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tables/table2.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Projetos IA\Kotrik\mcs-personal\dados_sharepoint\"/>
    </mc:Choice>
  </mc:AlternateContent>
  <xr:revisionPtr revIDLastSave="0" documentId="13_ncr:1_{8281B848-385A-45F3-8559-A60E67DFB715}" xr6:coauthVersionLast="47" xr6:coauthVersionMax="47" xr10:uidLastSave="{00000000-0000-0000-0000-000000000000}"/>
  <bookViews>
    <workbookView xWindow="-120" yWindow="-120" windowWidth="29040" windowHeight="15720" xr2:uid="{B07AACC0-D7C8-44B4-9B7D-63E87CB60CAF}"/>
  </bookViews>
  <sheets>
    <sheet name="General_assignaciones" sheetId="1" r:id="rId1"/>
    <sheet name="provedores_alojamentos" sheetId="2" r:id="rId2"/>
  </sheets>
  <definedNames>
    <definedName name="_xlnm._FilterDatabase" localSheetId="0" hidden="1">General_assignaciones!$A$6034:$T$6040</definedName>
    <definedName name="_xlnm.Print_Area" localSheetId="0">General_assignaciones!$A$1:$I$26,General_assignaciones!$F$1084</definedName>
    <definedName name="Z_2FE11B59_8ADF_4701_AAAD_257D0975C20F_.wvu.FilterData" localSheetId="0" hidden="1">General_assignaciones!$B$1:$AG$476</definedName>
    <definedName name="Z_4F547074_B52F_4E44_A881_F153A32A82EE_.wvu.FilterData" localSheetId="0" hidden="1">General_assignaciones!$B$1:$AB$773</definedName>
    <definedName name="Z_8C88F9AA_A7DD_4750_A6A0_10F2CF355F8F_.wvu.FilterData" localSheetId="0" hidden="1">General_assignaciones!$B$1:$AG$405</definedName>
    <definedName name="Z_E4AA400A_3DA0_4EF7_9E09_878BCB59D4AF_.wvu.FilterData" localSheetId="0" hidden="1">General_assignaciones!$B$1:$AG$476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K264" i="2" l="1"/>
  <c r="J264" i="2"/>
  <c r="J259" i="2"/>
  <c r="J246" i="2"/>
  <c r="K245" i="2"/>
  <c r="K241" i="2"/>
  <c r="J241" i="2"/>
  <c r="K198" i="2"/>
  <c r="J198" i="2"/>
  <c r="J90" i="2"/>
  <c r="K45" i="2"/>
  <c r="J27" i="2"/>
  <c r="K6084" i="1"/>
  <c r="L6084" i="1" s="1"/>
  <c r="J6084" i="1"/>
  <c r="K6083" i="1"/>
  <c r="J6083" i="1"/>
  <c r="K6082" i="1"/>
  <c r="J6082" i="1"/>
  <c r="K6081" i="1"/>
  <c r="L6081" i="1" s="1"/>
  <c r="J6081" i="1"/>
  <c r="K6080" i="1"/>
  <c r="J6080" i="1"/>
  <c r="K6079" i="1"/>
  <c r="J6079" i="1"/>
  <c r="K6078" i="1"/>
  <c r="J6078" i="1"/>
  <c r="K6077" i="1"/>
  <c r="J6077" i="1"/>
  <c r="K6076" i="1"/>
  <c r="J6076" i="1"/>
  <c r="N6075" i="1"/>
  <c r="K6075" i="1"/>
  <c r="J6075" i="1"/>
  <c r="K6074" i="1"/>
  <c r="J6074" i="1"/>
  <c r="K6073" i="1"/>
  <c r="L6073" i="1" s="1"/>
  <c r="J6073" i="1"/>
  <c r="K6072" i="1"/>
  <c r="J6072" i="1"/>
  <c r="K6071" i="1"/>
  <c r="J6071" i="1"/>
  <c r="K6070" i="1"/>
  <c r="J6070" i="1"/>
  <c r="M6069" i="1"/>
  <c r="K6069" i="1"/>
  <c r="J6069" i="1"/>
  <c r="N6068" i="1"/>
  <c r="K6068" i="1"/>
  <c r="J6068" i="1"/>
  <c r="M6067" i="1"/>
  <c r="K6067" i="1"/>
  <c r="J6067" i="1"/>
  <c r="M6066" i="1"/>
  <c r="K6066" i="1"/>
  <c r="J6066" i="1"/>
  <c r="M6065" i="1"/>
  <c r="K6065" i="1"/>
  <c r="J6065" i="1"/>
  <c r="N6064" i="1"/>
  <c r="K6064" i="1"/>
  <c r="J6064" i="1"/>
  <c r="N6063" i="1"/>
  <c r="K6063" i="1"/>
  <c r="J6063" i="1"/>
  <c r="K6062" i="1"/>
  <c r="J6062" i="1"/>
  <c r="J6061" i="1"/>
  <c r="L6061" i="1" s="1"/>
  <c r="N6060" i="1"/>
  <c r="K6060" i="1"/>
  <c r="J6060" i="1"/>
  <c r="N6059" i="1"/>
  <c r="K6059" i="1"/>
  <c r="J6059" i="1"/>
  <c r="K6058" i="1"/>
  <c r="J6058" i="1"/>
  <c r="K6057" i="1"/>
  <c r="J6057" i="1"/>
  <c r="N6056" i="1"/>
  <c r="K6056" i="1"/>
  <c r="J6056" i="1"/>
  <c r="N6055" i="1"/>
  <c r="K6055" i="1"/>
  <c r="J6055" i="1"/>
  <c r="N6054" i="1"/>
  <c r="K6054" i="1"/>
  <c r="J6054" i="1"/>
  <c r="N6053" i="1"/>
  <c r="K6053" i="1"/>
  <c r="J6053" i="1"/>
  <c r="N6052" i="1"/>
  <c r="K6052" i="1"/>
  <c r="J6052" i="1"/>
  <c r="K6051" i="1"/>
  <c r="J6051" i="1"/>
  <c r="K6050" i="1"/>
  <c r="L6050" i="1" s="1"/>
  <c r="K6049" i="1"/>
  <c r="L6049" i="1" s="1"/>
  <c r="K6048" i="1"/>
  <c r="J6048" i="1"/>
  <c r="K6047" i="1"/>
  <c r="J6047" i="1"/>
  <c r="K6046" i="1"/>
  <c r="J6046" i="1"/>
  <c r="J6045" i="1"/>
  <c r="L6045" i="1" s="1"/>
  <c r="J6044" i="1"/>
  <c r="L6044" i="1" s="1"/>
  <c r="K6043" i="1"/>
  <c r="J6043" i="1"/>
  <c r="K6042" i="1"/>
  <c r="J6042" i="1"/>
  <c r="K6041" i="1"/>
  <c r="L6041" i="1" s="1"/>
  <c r="J6041" i="1"/>
  <c r="K6040" i="1"/>
  <c r="J6040" i="1"/>
  <c r="J6039" i="1"/>
  <c r="L6039" i="1" s="1"/>
  <c r="K6038" i="1"/>
  <c r="J6038" i="1"/>
  <c r="K6037" i="1"/>
  <c r="J6037" i="1"/>
  <c r="K6036" i="1"/>
  <c r="J6036" i="1"/>
  <c r="K6035" i="1"/>
  <c r="J6035" i="1"/>
  <c r="K6034" i="1"/>
  <c r="J6034" i="1"/>
  <c r="K6033" i="1"/>
  <c r="J6033" i="1"/>
  <c r="J6032" i="1"/>
  <c r="L6032" i="1" s="1"/>
  <c r="K6031" i="1"/>
  <c r="L6031" i="1" s="1"/>
  <c r="J6031" i="1"/>
  <c r="N6030" i="1"/>
  <c r="K6030" i="1"/>
  <c r="J6030" i="1"/>
  <c r="J6029" i="1"/>
  <c r="L6029" i="1" s="1"/>
  <c r="J6028" i="1"/>
  <c r="L6028" i="1" s="1"/>
  <c r="N6027" i="1"/>
  <c r="K6027" i="1"/>
  <c r="J6027" i="1"/>
  <c r="J6026" i="1"/>
  <c r="L6026" i="1" s="1"/>
  <c r="K6025" i="1"/>
  <c r="J6025" i="1"/>
  <c r="K6024" i="1"/>
  <c r="J6024" i="1"/>
  <c r="N6023" i="1"/>
  <c r="K6023" i="1"/>
  <c r="J6023" i="1"/>
  <c r="J6022" i="1"/>
  <c r="L6022" i="1" s="1"/>
  <c r="K6021" i="1"/>
  <c r="J6021" i="1"/>
  <c r="N6020" i="1"/>
  <c r="K6020" i="1"/>
  <c r="L6020" i="1" s="1"/>
  <c r="Q6020" i="1" s="1"/>
  <c r="J6019" i="1"/>
  <c r="L6019" i="1" s="1"/>
  <c r="K6018" i="1"/>
  <c r="J6018" i="1"/>
  <c r="N6017" i="1"/>
  <c r="K6017" i="1"/>
  <c r="L6017" i="1" s="1"/>
  <c r="Q6017" i="1" s="1"/>
  <c r="K6016" i="1"/>
  <c r="J6016" i="1"/>
  <c r="J6015" i="1"/>
  <c r="L6015" i="1" s="1"/>
  <c r="N6014" i="1"/>
  <c r="K6014" i="1"/>
  <c r="J6014" i="1"/>
  <c r="J6013" i="1"/>
  <c r="L6013" i="1" s="1"/>
  <c r="J6012" i="1"/>
  <c r="L6012" i="1" s="1"/>
  <c r="K6011" i="1"/>
  <c r="L6011" i="1" s="1"/>
  <c r="J6011" i="1"/>
  <c r="K6010" i="1"/>
  <c r="J6010" i="1"/>
  <c r="K6009" i="1"/>
  <c r="J6009" i="1"/>
  <c r="K6008" i="1"/>
  <c r="J6008" i="1"/>
  <c r="K6007" i="1"/>
  <c r="J6007" i="1"/>
  <c r="P6006" i="1"/>
  <c r="K6006" i="1"/>
  <c r="J6006" i="1"/>
  <c r="K6005" i="1"/>
  <c r="J6005" i="1"/>
  <c r="K6004" i="1"/>
  <c r="J6004" i="1"/>
  <c r="K6003" i="1"/>
  <c r="J6003" i="1"/>
  <c r="K6002" i="1"/>
  <c r="J6002" i="1"/>
  <c r="K6001" i="1"/>
  <c r="J6001" i="1"/>
  <c r="N6000" i="1"/>
  <c r="K6000" i="1"/>
  <c r="J6000" i="1"/>
  <c r="K5999" i="1"/>
  <c r="J5999" i="1"/>
  <c r="K5998" i="1"/>
  <c r="J5998" i="1"/>
  <c r="K5997" i="1"/>
  <c r="L5997" i="1" s="1"/>
  <c r="J5997" i="1"/>
  <c r="J5996" i="1"/>
  <c r="L5996" i="1" s="1"/>
  <c r="K5995" i="1"/>
  <c r="J5995" i="1"/>
  <c r="J5994" i="1"/>
  <c r="L5994" i="1" s="1"/>
  <c r="K5993" i="1"/>
  <c r="J5993" i="1"/>
  <c r="J5992" i="1"/>
  <c r="L5992" i="1" s="1"/>
  <c r="K5991" i="1"/>
  <c r="J5991" i="1"/>
  <c r="K5990" i="1"/>
  <c r="J5990" i="1"/>
  <c r="K5989" i="1"/>
  <c r="J5989" i="1"/>
  <c r="K5988" i="1"/>
  <c r="J5988" i="1"/>
  <c r="K5987" i="1"/>
  <c r="J5987" i="1"/>
  <c r="K5986" i="1"/>
  <c r="J5986" i="1"/>
  <c r="J5985" i="1"/>
  <c r="L5985" i="1" s="1"/>
  <c r="K5984" i="1"/>
  <c r="J5984" i="1"/>
  <c r="J5983" i="1"/>
  <c r="L5983" i="1" s="1"/>
  <c r="J5982" i="1"/>
  <c r="L5982" i="1" s="1"/>
  <c r="J5981" i="1"/>
  <c r="L5981" i="1" s="1"/>
  <c r="K5980" i="1"/>
  <c r="J5980" i="1"/>
  <c r="K5979" i="1"/>
  <c r="J5979" i="1"/>
  <c r="K5978" i="1"/>
  <c r="J5978" i="1"/>
  <c r="J5977" i="1"/>
  <c r="L5977" i="1" s="1"/>
  <c r="K5976" i="1"/>
  <c r="J5976" i="1"/>
  <c r="J5975" i="1"/>
  <c r="L5975" i="1" s="1"/>
  <c r="K5974" i="1"/>
  <c r="J5974" i="1"/>
  <c r="J5973" i="1"/>
  <c r="L5973" i="1" s="1"/>
  <c r="J5972" i="1"/>
  <c r="L5972" i="1" s="1"/>
  <c r="J5971" i="1"/>
  <c r="L5971" i="1" s="1"/>
  <c r="J5970" i="1"/>
  <c r="L5970" i="1" s="1"/>
  <c r="K5969" i="1"/>
  <c r="J5969" i="1"/>
  <c r="K5968" i="1"/>
  <c r="J5968" i="1"/>
  <c r="K5967" i="1"/>
  <c r="J5967" i="1"/>
  <c r="J5966" i="1"/>
  <c r="L5966" i="1" s="1"/>
  <c r="K5965" i="1"/>
  <c r="J5965" i="1"/>
  <c r="K5964" i="1"/>
  <c r="J5964" i="1"/>
  <c r="N5963" i="1"/>
  <c r="J5963" i="1"/>
  <c r="L5963" i="1" s="1"/>
  <c r="Q5963" i="1" s="1"/>
  <c r="N5962" i="1"/>
  <c r="J5962" i="1"/>
  <c r="L5962" i="1" s="1"/>
  <c r="Q5962" i="1" s="1"/>
  <c r="L5961" i="1"/>
  <c r="O5961" i="1" s="1"/>
  <c r="J5960" i="1"/>
  <c r="L5960" i="1" s="1"/>
  <c r="J5959" i="1"/>
  <c r="L5959" i="1" s="1"/>
  <c r="J5958" i="1"/>
  <c r="L5958" i="1" s="1"/>
  <c r="K5957" i="1"/>
  <c r="J5957" i="1"/>
  <c r="J5956" i="1"/>
  <c r="L5956" i="1" s="1"/>
  <c r="K5955" i="1"/>
  <c r="J5955" i="1"/>
  <c r="M5954" i="1"/>
  <c r="J5954" i="1"/>
  <c r="L5954" i="1" s="1"/>
  <c r="M5953" i="1"/>
  <c r="J5953" i="1"/>
  <c r="L5953" i="1" s="1"/>
  <c r="M5952" i="1"/>
  <c r="J5952" i="1"/>
  <c r="L5952" i="1" s="1"/>
  <c r="M5951" i="1"/>
  <c r="J5951" i="1"/>
  <c r="L5951" i="1" s="1"/>
  <c r="K5950" i="1"/>
  <c r="J5950" i="1"/>
  <c r="K5949" i="1"/>
  <c r="J5949" i="1"/>
  <c r="J5948" i="1"/>
  <c r="L5948" i="1" s="1"/>
  <c r="K5947" i="1"/>
  <c r="J5947" i="1"/>
  <c r="K5946" i="1"/>
  <c r="J5946" i="1"/>
  <c r="K5945" i="1"/>
  <c r="J5945" i="1"/>
  <c r="K5944" i="1"/>
  <c r="J5944" i="1"/>
  <c r="N5943" i="1"/>
  <c r="J5943" i="1"/>
  <c r="L5943" i="1" s="1"/>
  <c r="Q5943" i="1" s="1"/>
  <c r="K5942" i="1"/>
  <c r="J5942" i="1"/>
  <c r="K5941" i="1"/>
  <c r="J5941" i="1"/>
  <c r="M5940" i="1"/>
  <c r="J5940" i="1"/>
  <c r="L5940" i="1" s="1"/>
  <c r="J5939" i="1"/>
  <c r="L5939" i="1" s="1"/>
  <c r="K5938" i="1"/>
  <c r="J5938" i="1"/>
  <c r="K5937" i="1"/>
  <c r="J5937" i="1"/>
  <c r="N5936" i="1"/>
  <c r="J5936" i="1"/>
  <c r="L5936" i="1" s="1"/>
  <c r="Q5936" i="1" s="1"/>
  <c r="J5935" i="1"/>
  <c r="L5935" i="1" s="1"/>
  <c r="J5934" i="1"/>
  <c r="L5934" i="1" s="1"/>
  <c r="K5933" i="1"/>
  <c r="J5933" i="1"/>
  <c r="K5932" i="1"/>
  <c r="L5932" i="1" s="1"/>
  <c r="J5932" i="1"/>
  <c r="M5931" i="1"/>
  <c r="J5931" i="1"/>
  <c r="L5931" i="1" s="1"/>
  <c r="K5930" i="1"/>
  <c r="J5930" i="1"/>
  <c r="J5929" i="1"/>
  <c r="L5929" i="1" s="1"/>
  <c r="K5928" i="1"/>
  <c r="J5928" i="1"/>
  <c r="K5927" i="1"/>
  <c r="J5927" i="1"/>
  <c r="J5926" i="1"/>
  <c r="L5926" i="1" s="1"/>
  <c r="K5925" i="1"/>
  <c r="L5925" i="1" s="1"/>
  <c r="J5925" i="1"/>
  <c r="J5924" i="1"/>
  <c r="L5924" i="1" s="1"/>
  <c r="K5923" i="1"/>
  <c r="J5923" i="1"/>
  <c r="J5922" i="1"/>
  <c r="L5922" i="1" s="1"/>
  <c r="K5921" i="1"/>
  <c r="J5921" i="1"/>
  <c r="K5920" i="1"/>
  <c r="J5920" i="1"/>
  <c r="K5919" i="1"/>
  <c r="J5919" i="1"/>
  <c r="K5918" i="1"/>
  <c r="J5918" i="1"/>
  <c r="J5917" i="1"/>
  <c r="L5917" i="1" s="1"/>
  <c r="M5916" i="1"/>
  <c r="J5916" i="1"/>
  <c r="L5916" i="1" s="1"/>
  <c r="M5915" i="1"/>
  <c r="J5915" i="1"/>
  <c r="L5915" i="1" s="1"/>
  <c r="J5914" i="1"/>
  <c r="L5914" i="1" s="1"/>
  <c r="J5913" i="1"/>
  <c r="L5913" i="1" s="1"/>
  <c r="J5912" i="1"/>
  <c r="L5912" i="1" s="1"/>
  <c r="J5911" i="1"/>
  <c r="L5911" i="1" s="1"/>
  <c r="J5910" i="1"/>
  <c r="L5910" i="1" s="1"/>
  <c r="J5909" i="1"/>
  <c r="L5909" i="1" s="1"/>
  <c r="J5908" i="1"/>
  <c r="L5908" i="1" s="1"/>
  <c r="J5907" i="1"/>
  <c r="L5907" i="1" s="1"/>
  <c r="J5906" i="1"/>
  <c r="L5906" i="1" s="1"/>
  <c r="J5905" i="1"/>
  <c r="L5905" i="1" s="1"/>
  <c r="N5904" i="1"/>
  <c r="J5904" i="1"/>
  <c r="L5904" i="1" s="1"/>
  <c r="Q5904" i="1" s="1"/>
  <c r="P5903" i="1"/>
  <c r="J5903" i="1"/>
  <c r="L5903" i="1" s="1"/>
  <c r="O5903" i="1" s="1"/>
  <c r="J5902" i="1"/>
  <c r="L5902" i="1" s="1"/>
  <c r="J5901" i="1"/>
  <c r="L5901" i="1" s="1"/>
  <c r="K5900" i="1"/>
  <c r="J5900" i="1"/>
  <c r="J5899" i="1"/>
  <c r="L5899" i="1" s="1"/>
  <c r="J5898" i="1"/>
  <c r="L5898" i="1" s="1"/>
  <c r="J5897" i="1"/>
  <c r="L5897" i="1" s="1"/>
  <c r="N5896" i="1"/>
  <c r="J5896" i="1"/>
  <c r="L5896" i="1" s="1"/>
  <c r="Q5896" i="1" s="1"/>
  <c r="M5895" i="1"/>
  <c r="J5895" i="1"/>
  <c r="L5895" i="1" s="1"/>
  <c r="J5894" i="1"/>
  <c r="L5894" i="1" s="1"/>
  <c r="K5893" i="1"/>
  <c r="J5893" i="1"/>
  <c r="J5892" i="1"/>
  <c r="L5892" i="1" s="1"/>
  <c r="M5891" i="1"/>
  <c r="J5891" i="1"/>
  <c r="L5891" i="1" s="1"/>
  <c r="J5890" i="1"/>
  <c r="L5890" i="1" s="1"/>
  <c r="J5889" i="1"/>
  <c r="L5889" i="1" s="1"/>
  <c r="J5888" i="1"/>
  <c r="L5888" i="1" s="1"/>
  <c r="J5887" i="1"/>
  <c r="L5887" i="1" s="1"/>
  <c r="N5886" i="1"/>
  <c r="J5886" i="1"/>
  <c r="L5886" i="1" s="1"/>
  <c r="Q5886" i="1" s="1"/>
  <c r="J5885" i="1"/>
  <c r="L5885" i="1" s="1"/>
  <c r="K5884" i="1"/>
  <c r="J5884" i="1"/>
  <c r="J5883" i="1"/>
  <c r="L5883" i="1" s="1"/>
  <c r="K5882" i="1"/>
  <c r="J5882" i="1"/>
  <c r="K5881" i="1"/>
  <c r="J5881" i="1"/>
  <c r="K5880" i="1"/>
  <c r="J5880" i="1"/>
  <c r="K5879" i="1"/>
  <c r="J5879" i="1"/>
  <c r="J5878" i="1"/>
  <c r="L5878" i="1" s="1"/>
  <c r="J5877" i="1"/>
  <c r="L5877" i="1" s="1"/>
  <c r="J5876" i="1"/>
  <c r="L5876" i="1" s="1"/>
  <c r="M5875" i="1"/>
  <c r="J5875" i="1"/>
  <c r="L5875" i="1" s="1"/>
  <c r="M5874" i="1"/>
  <c r="J5874" i="1"/>
  <c r="L5874" i="1" s="1"/>
  <c r="J5873" i="1"/>
  <c r="L5873" i="1" s="1"/>
  <c r="J5872" i="1"/>
  <c r="L5872" i="1" s="1"/>
  <c r="M5871" i="1"/>
  <c r="K5871" i="1"/>
  <c r="J5871" i="1"/>
  <c r="J5870" i="1"/>
  <c r="L5870" i="1" s="1"/>
  <c r="K5869" i="1"/>
  <c r="J5869" i="1"/>
  <c r="J5868" i="1"/>
  <c r="L5868" i="1" s="1"/>
  <c r="J5867" i="1"/>
  <c r="L5867" i="1" s="1"/>
  <c r="K5866" i="1"/>
  <c r="J5866" i="1"/>
  <c r="J5865" i="1"/>
  <c r="L5865" i="1" s="1"/>
  <c r="J5864" i="1"/>
  <c r="L5864" i="1" s="1"/>
  <c r="J5863" i="1"/>
  <c r="L5863" i="1" s="1"/>
  <c r="N5862" i="1"/>
  <c r="J5862" i="1"/>
  <c r="L5862" i="1" s="1"/>
  <c r="Q5862" i="1" s="1"/>
  <c r="J5861" i="1"/>
  <c r="L5861" i="1" s="1"/>
  <c r="J5860" i="1"/>
  <c r="L5860" i="1" s="1"/>
  <c r="J5859" i="1"/>
  <c r="L5859" i="1" s="1"/>
  <c r="M5858" i="1"/>
  <c r="J5858" i="1"/>
  <c r="L5858" i="1" s="1"/>
  <c r="K5857" i="1"/>
  <c r="J5857" i="1"/>
  <c r="K5856" i="1"/>
  <c r="J5856" i="1"/>
  <c r="M5855" i="1"/>
  <c r="J5855" i="1"/>
  <c r="L5855" i="1" s="1"/>
  <c r="J5854" i="1"/>
  <c r="L5854" i="1" s="1"/>
  <c r="K5853" i="1"/>
  <c r="J5853" i="1"/>
  <c r="M5852" i="1"/>
  <c r="J5852" i="1"/>
  <c r="L5852" i="1" s="1"/>
  <c r="M5851" i="1"/>
  <c r="J5851" i="1"/>
  <c r="L5851" i="1" s="1"/>
  <c r="J5850" i="1"/>
  <c r="L5850" i="1" s="1"/>
  <c r="K5849" i="1"/>
  <c r="J5849" i="1"/>
  <c r="K5848" i="1"/>
  <c r="J5848" i="1"/>
  <c r="J5847" i="1"/>
  <c r="L5847" i="1" s="1"/>
  <c r="K5846" i="1"/>
  <c r="J5846" i="1"/>
  <c r="K5845" i="1"/>
  <c r="J5845" i="1"/>
  <c r="K5844" i="1"/>
  <c r="L5844" i="1" s="1"/>
  <c r="J5844" i="1"/>
  <c r="J5843" i="1"/>
  <c r="L5843" i="1" s="1"/>
  <c r="K5842" i="1"/>
  <c r="J5842" i="1"/>
  <c r="K5841" i="1"/>
  <c r="J5841" i="1"/>
  <c r="K5840" i="1"/>
  <c r="J5840" i="1"/>
  <c r="L5839" i="1"/>
  <c r="K5838" i="1"/>
  <c r="J5838" i="1"/>
  <c r="K5837" i="1"/>
  <c r="L5837" i="1" s="1"/>
  <c r="K5836" i="1"/>
  <c r="J5836" i="1"/>
  <c r="N5835" i="1"/>
  <c r="J5835" i="1"/>
  <c r="L5835" i="1" s="1"/>
  <c r="Q5835" i="1" s="1"/>
  <c r="J5834" i="1"/>
  <c r="L5834" i="1" s="1"/>
  <c r="K5833" i="1"/>
  <c r="L5833" i="1" s="1"/>
  <c r="J5832" i="1"/>
  <c r="L5832" i="1" s="1"/>
  <c r="J5831" i="1"/>
  <c r="L5831" i="1" s="1"/>
  <c r="J5830" i="1"/>
  <c r="L5830" i="1" s="1"/>
  <c r="J5829" i="1"/>
  <c r="L5829" i="1" s="1"/>
  <c r="K5828" i="1"/>
  <c r="J5828" i="1"/>
  <c r="J5827" i="1"/>
  <c r="L5827" i="1" s="1"/>
  <c r="K5826" i="1"/>
  <c r="J5826" i="1"/>
  <c r="J5825" i="1"/>
  <c r="L5825" i="1" s="1"/>
  <c r="J5824" i="1"/>
  <c r="L5824" i="1" s="1"/>
  <c r="J5823" i="1"/>
  <c r="L5823" i="1" s="1"/>
  <c r="J5822" i="1"/>
  <c r="L5822" i="1" s="1"/>
  <c r="K5821" i="1"/>
  <c r="J5821" i="1"/>
  <c r="J5820" i="1"/>
  <c r="L5820" i="1" s="1"/>
  <c r="J5819" i="1"/>
  <c r="L5819" i="1" s="1"/>
  <c r="K5818" i="1"/>
  <c r="J5818" i="1"/>
  <c r="K5817" i="1"/>
  <c r="J5817" i="1"/>
  <c r="J5816" i="1"/>
  <c r="L5816" i="1" s="1"/>
  <c r="J5815" i="1"/>
  <c r="L5815" i="1" s="1"/>
  <c r="K5814" i="1"/>
  <c r="J5814" i="1"/>
  <c r="J5813" i="1"/>
  <c r="L5813" i="1" s="1"/>
  <c r="K5812" i="1"/>
  <c r="J5812" i="1"/>
  <c r="K5811" i="1"/>
  <c r="J5811" i="1"/>
  <c r="K5810" i="1"/>
  <c r="J5810" i="1"/>
  <c r="J5809" i="1"/>
  <c r="L5809" i="1" s="1"/>
  <c r="J5808" i="1"/>
  <c r="L5808" i="1" s="1"/>
  <c r="J5807" i="1"/>
  <c r="L5807" i="1" s="1"/>
  <c r="J5806" i="1"/>
  <c r="L5806" i="1" s="1"/>
  <c r="J5805" i="1"/>
  <c r="L5805" i="1" s="1"/>
  <c r="J5804" i="1"/>
  <c r="L5804" i="1" s="1"/>
  <c r="K5803" i="1"/>
  <c r="J5803" i="1"/>
  <c r="J5802" i="1"/>
  <c r="L5802" i="1" s="1"/>
  <c r="K5801" i="1"/>
  <c r="J5801" i="1"/>
  <c r="K5800" i="1"/>
  <c r="J5800" i="1"/>
  <c r="J5799" i="1"/>
  <c r="L5799" i="1" s="1"/>
  <c r="J5798" i="1"/>
  <c r="L5798" i="1" s="1"/>
  <c r="J5797" i="1"/>
  <c r="L5797" i="1" s="1"/>
  <c r="J5796" i="1"/>
  <c r="L5796" i="1" s="1"/>
  <c r="J5795" i="1"/>
  <c r="L5795" i="1" s="1"/>
  <c r="M5794" i="1"/>
  <c r="J5794" i="1"/>
  <c r="L5794" i="1" s="1"/>
  <c r="M5793" i="1"/>
  <c r="J5793" i="1"/>
  <c r="L5793" i="1" s="1"/>
  <c r="J5792" i="1"/>
  <c r="L5792" i="1" s="1"/>
  <c r="J5791" i="1"/>
  <c r="L5791" i="1" s="1"/>
  <c r="P5790" i="1"/>
  <c r="J5790" i="1"/>
  <c r="L5790" i="1" s="1"/>
  <c r="O5790" i="1" s="1"/>
  <c r="J5789" i="1"/>
  <c r="L5789" i="1" s="1"/>
  <c r="J5788" i="1"/>
  <c r="L5788" i="1" s="1"/>
  <c r="M5787" i="1"/>
  <c r="K5787" i="1"/>
  <c r="J5787" i="1"/>
  <c r="J5786" i="1"/>
  <c r="L5786" i="1" s="1"/>
  <c r="J5785" i="1"/>
  <c r="L5785" i="1" s="1"/>
  <c r="J5784" i="1"/>
  <c r="L5784" i="1" s="1"/>
  <c r="J5783" i="1"/>
  <c r="L5783" i="1" s="1"/>
  <c r="J5782" i="1"/>
  <c r="L5782" i="1" s="1"/>
  <c r="J5781" i="1"/>
  <c r="L5781" i="1" s="1"/>
  <c r="J5780" i="1"/>
  <c r="L5780" i="1" s="1"/>
  <c r="J5779" i="1"/>
  <c r="L5779" i="1" s="1"/>
  <c r="J5778" i="1"/>
  <c r="L5778" i="1" s="1"/>
  <c r="J5777" i="1"/>
  <c r="L5777" i="1" s="1"/>
  <c r="K5776" i="1"/>
  <c r="J5776" i="1"/>
  <c r="K5775" i="1"/>
  <c r="J5775" i="1"/>
  <c r="K5774" i="1"/>
  <c r="J5774" i="1"/>
  <c r="J5773" i="1"/>
  <c r="L5773" i="1" s="1"/>
  <c r="K5772" i="1"/>
  <c r="J5772" i="1"/>
  <c r="M5771" i="1"/>
  <c r="J5771" i="1"/>
  <c r="L5771" i="1" s="1"/>
  <c r="K5770" i="1"/>
  <c r="J5770" i="1"/>
  <c r="J5769" i="1"/>
  <c r="L5769" i="1" s="1"/>
  <c r="J5768" i="1"/>
  <c r="L5768" i="1" s="1"/>
  <c r="J5767" i="1"/>
  <c r="L5767" i="1" s="1"/>
  <c r="J5766" i="1"/>
  <c r="L5766" i="1" s="1"/>
  <c r="J5765" i="1"/>
  <c r="L5765" i="1" s="1"/>
  <c r="K5764" i="1"/>
  <c r="J5764" i="1"/>
  <c r="J5763" i="1"/>
  <c r="L5763" i="1" s="1"/>
  <c r="J5762" i="1"/>
  <c r="L5762" i="1" s="1"/>
  <c r="J5761" i="1"/>
  <c r="L5761" i="1" s="1"/>
  <c r="K5760" i="1"/>
  <c r="J5760" i="1"/>
  <c r="J5759" i="1"/>
  <c r="L5759" i="1" s="1"/>
  <c r="J5758" i="1"/>
  <c r="L5758" i="1" s="1"/>
  <c r="J5757" i="1"/>
  <c r="L5757" i="1" s="1"/>
  <c r="J5756" i="1"/>
  <c r="L5756" i="1" s="1"/>
  <c r="J5755" i="1"/>
  <c r="L5755" i="1" s="1"/>
  <c r="J5754" i="1"/>
  <c r="L5754" i="1" s="1"/>
  <c r="J5753" i="1"/>
  <c r="L5753" i="1" s="1"/>
  <c r="J5752" i="1"/>
  <c r="L5752" i="1" s="1"/>
  <c r="J5751" i="1"/>
  <c r="L5751" i="1" s="1"/>
  <c r="J5750" i="1"/>
  <c r="L5750" i="1" s="1"/>
  <c r="K5749" i="1"/>
  <c r="L5749" i="1" s="1"/>
  <c r="J5749" i="1"/>
  <c r="J5748" i="1"/>
  <c r="L5748" i="1" s="1"/>
  <c r="J5747" i="1"/>
  <c r="L5747" i="1" s="1"/>
  <c r="J5746" i="1"/>
  <c r="L5746" i="1" s="1"/>
  <c r="J5745" i="1"/>
  <c r="L5745" i="1" s="1"/>
  <c r="K5744" i="1"/>
  <c r="J5744" i="1"/>
  <c r="N5743" i="1"/>
  <c r="J5743" i="1"/>
  <c r="L5743" i="1" s="1"/>
  <c r="Q5743" i="1" s="1"/>
  <c r="K5742" i="1"/>
  <c r="J5742" i="1"/>
  <c r="M5741" i="1"/>
  <c r="J5741" i="1"/>
  <c r="L5741" i="1" s="1"/>
  <c r="J5740" i="1"/>
  <c r="L5740" i="1" s="1"/>
  <c r="M5739" i="1"/>
  <c r="J5739" i="1"/>
  <c r="L5739" i="1" s="1"/>
  <c r="K5738" i="1"/>
  <c r="J5738" i="1"/>
  <c r="J5737" i="1"/>
  <c r="L5737" i="1" s="1"/>
  <c r="J5736" i="1"/>
  <c r="L5736" i="1" s="1"/>
  <c r="K5735" i="1"/>
  <c r="J5735" i="1"/>
  <c r="K5734" i="1"/>
  <c r="J5734" i="1"/>
  <c r="J5733" i="1"/>
  <c r="L5733" i="1" s="1"/>
  <c r="Q5733" i="1" s="1"/>
  <c r="R5733" i="1" s="1"/>
  <c r="J5732" i="1"/>
  <c r="L5732" i="1" s="1"/>
  <c r="Q5732" i="1" s="1"/>
  <c r="R5732" i="1" s="1"/>
  <c r="J5731" i="1"/>
  <c r="L5731" i="1" s="1"/>
  <c r="J5730" i="1"/>
  <c r="L5730" i="1" s="1"/>
  <c r="K5729" i="1"/>
  <c r="L5729" i="1" s="1"/>
  <c r="K5728" i="1"/>
  <c r="J5728" i="1"/>
  <c r="J5727" i="1"/>
  <c r="L5727" i="1" s="1"/>
  <c r="J5726" i="1"/>
  <c r="L5726" i="1" s="1"/>
  <c r="J5725" i="1"/>
  <c r="L5725" i="1" s="1"/>
  <c r="M5724" i="1"/>
  <c r="J5724" i="1"/>
  <c r="L5724" i="1" s="1"/>
  <c r="M5723" i="1"/>
  <c r="J5723" i="1"/>
  <c r="L5723" i="1" s="1"/>
  <c r="M5722" i="1"/>
  <c r="K5722" i="1"/>
  <c r="J5722" i="1"/>
  <c r="J5721" i="1"/>
  <c r="L5721" i="1" s="1"/>
  <c r="K5720" i="1"/>
  <c r="J5720" i="1"/>
  <c r="K5719" i="1"/>
  <c r="J5719" i="1"/>
  <c r="M5718" i="1"/>
  <c r="J5718" i="1"/>
  <c r="L5718" i="1" s="1"/>
  <c r="K5717" i="1"/>
  <c r="J5717" i="1"/>
  <c r="K5716" i="1"/>
  <c r="J5716" i="1"/>
  <c r="J5715" i="1"/>
  <c r="L5715" i="1" s="1"/>
  <c r="K5714" i="1"/>
  <c r="J5714" i="1"/>
  <c r="K5713" i="1"/>
  <c r="J5713" i="1"/>
  <c r="M5712" i="1"/>
  <c r="J5712" i="1"/>
  <c r="L5712" i="1" s="1"/>
  <c r="K5711" i="1"/>
  <c r="J5711" i="1"/>
  <c r="K5710" i="1"/>
  <c r="J5710" i="1"/>
  <c r="J5709" i="1"/>
  <c r="L5709" i="1" s="1"/>
  <c r="K5708" i="1"/>
  <c r="L5708" i="1" s="1"/>
  <c r="J5708" i="1"/>
  <c r="J5707" i="1"/>
  <c r="L5707" i="1" s="1"/>
  <c r="J5706" i="1"/>
  <c r="L5706" i="1" s="1"/>
  <c r="K5705" i="1"/>
  <c r="J5705" i="1"/>
  <c r="J5704" i="1"/>
  <c r="L5704" i="1" s="1"/>
  <c r="K5703" i="1"/>
  <c r="J5703" i="1"/>
  <c r="K5702" i="1"/>
  <c r="J5702" i="1"/>
  <c r="K5701" i="1"/>
  <c r="J5701" i="1"/>
  <c r="K5700" i="1"/>
  <c r="J5700" i="1"/>
  <c r="L5699" i="1"/>
  <c r="K5698" i="1"/>
  <c r="J5698" i="1"/>
  <c r="K5697" i="1"/>
  <c r="J5697" i="1"/>
  <c r="K5696" i="1"/>
  <c r="J5696" i="1"/>
  <c r="J5695" i="1"/>
  <c r="L5695" i="1" s="1"/>
  <c r="J5694" i="1"/>
  <c r="L5694" i="1" s="1"/>
  <c r="K5693" i="1"/>
  <c r="J5693" i="1"/>
  <c r="J5692" i="1"/>
  <c r="L5692" i="1" s="1"/>
  <c r="J5691" i="1"/>
  <c r="L5691" i="1" s="1"/>
  <c r="J5690" i="1"/>
  <c r="L5690" i="1" s="1"/>
  <c r="J5689" i="1"/>
  <c r="L5689" i="1" s="1"/>
  <c r="J5688" i="1"/>
  <c r="L5688" i="1" s="1"/>
  <c r="J5687" i="1"/>
  <c r="L5687" i="1" s="1"/>
  <c r="J5686" i="1"/>
  <c r="L5686" i="1" s="1"/>
  <c r="J5685" i="1"/>
  <c r="L5685" i="1" s="1"/>
  <c r="J5684" i="1"/>
  <c r="L5684" i="1" s="1"/>
  <c r="L5683" i="1"/>
  <c r="J5682" i="1"/>
  <c r="L5682" i="1" s="1"/>
  <c r="J5681" i="1"/>
  <c r="L5681" i="1" s="1"/>
  <c r="J5680" i="1"/>
  <c r="L5680" i="1" s="1"/>
  <c r="J5679" i="1"/>
  <c r="L5679" i="1" s="1"/>
  <c r="J5678" i="1"/>
  <c r="L5678" i="1" s="1"/>
  <c r="J5677" i="1"/>
  <c r="L5677" i="1" s="1"/>
  <c r="K5676" i="1"/>
  <c r="J5676" i="1"/>
  <c r="J5675" i="1"/>
  <c r="L5675" i="1" s="1"/>
  <c r="K5674" i="1"/>
  <c r="J5674" i="1"/>
  <c r="J5673" i="1"/>
  <c r="L5673" i="1" s="1"/>
  <c r="J5672" i="1"/>
  <c r="L5672" i="1" s="1"/>
  <c r="J5671" i="1"/>
  <c r="L5671" i="1" s="1"/>
  <c r="J5670" i="1"/>
  <c r="L5670" i="1" s="1"/>
  <c r="M5669" i="1"/>
  <c r="J5669" i="1"/>
  <c r="L5669" i="1" s="1"/>
  <c r="J5668" i="1"/>
  <c r="L5668" i="1" s="1"/>
  <c r="K5667" i="1"/>
  <c r="J5667" i="1"/>
  <c r="J5666" i="1"/>
  <c r="L5666" i="1" s="1"/>
  <c r="J5665" i="1"/>
  <c r="L5665" i="1" s="1"/>
  <c r="J5664" i="1"/>
  <c r="L5664" i="1" s="1"/>
  <c r="J5663" i="1"/>
  <c r="L5663" i="1" s="1"/>
  <c r="J5662" i="1"/>
  <c r="L5662" i="1" s="1"/>
  <c r="J5661" i="1"/>
  <c r="L5661" i="1" s="1"/>
  <c r="J5660" i="1"/>
  <c r="L5660" i="1" s="1"/>
  <c r="J5659" i="1"/>
  <c r="L5659" i="1" s="1"/>
  <c r="K5658" i="1"/>
  <c r="J5658" i="1"/>
  <c r="J5657" i="1"/>
  <c r="L5657" i="1" s="1"/>
  <c r="N5656" i="1"/>
  <c r="J5656" i="1"/>
  <c r="L5656" i="1" s="1"/>
  <c r="Q5656" i="1" s="1"/>
  <c r="J5655" i="1"/>
  <c r="L5655" i="1" s="1"/>
  <c r="J5654" i="1"/>
  <c r="L5654" i="1" s="1"/>
  <c r="J5653" i="1"/>
  <c r="L5653" i="1" s="1"/>
  <c r="J5652" i="1"/>
  <c r="L5652" i="1" s="1"/>
  <c r="J5651" i="1"/>
  <c r="L5651" i="1" s="1"/>
  <c r="J5650" i="1"/>
  <c r="L5650" i="1" s="1"/>
  <c r="J5649" i="1"/>
  <c r="L5649" i="1" s="1"/>
  <c r="J5648" i="1"/>
  <c r="L5648" i="1" s="1"/>
  <c r="J5647" i="1"/>
  <c r="L5647" i="1" s="1"/>
  <c r="J5646" i="1"/>
  <c r="L5646" i="1" s="1"/>
  <c r="J5645" i="1"/>
  <c r="L5645" i="1" s="1"/>
  <c r="J5644" i="1"/>
  <c r="L5644" i="1" s="1"/>
  <c r="J5643" i="1"/>
  <c r="L5643" i="1" s="1"/>
  <c r="J5642" i="1"/>
  <c r="L5642" i="1" s="1"/>
  <c r="J5641" i="1"/>
  <c r="L5641" i="1" s="1"/>
  <c r="J5640" i="1"/>
  <c r="L5640" i="1" s="1"/>
  <c r="J5639" i="1"/>
  <c r="L5639" i="1" s="1"/>
  <c r="J5638" i="1"/>
  <c r="L5638" i="1" s="1"/>
  <c r="J5637" i="1"/>
  <c r="L5637" i="1" s="1"/>
  <c r="J5636" i="1"/>
  <c r="L5636" i="1" s="1"/>
  <c r="J5635" i="1"/>
  <c r="L5635" i="1" s="1"/>
  <c r="J5634" i="1"/>
  <c r="L5634" i="1" s="1"/>
  <c r="J5633" i="1"/>
  <c r="L5633" i="1" s="1"/>
  <c r="J5632" i="1"/>
  <c r="L5632" i="1" s="1"/>
  <c r="J5631" i="1"/>
  <c r="L5631" i="1" s="1"/>
  <c r="J5630" i="1"/>
  <c r="L5630" i="1" s="1"/>
  <c r="J5629" i="1"/>
  <c r="L5629" i="1" s="1"/>
  <c r="J5628" i="1"/>
  <c r="L5628" i="1" s="1"/>
  <c r="J5627" i="1"/>
  <c r="L5627" i="1" s="1"/>
  <c r="J5626" i="1"/>
  <c r="L5626" i="1" s="1"/>
  <c r="J5625" i="1"/>
  <c r="L5625" i="1" s="1"/>
  <c r="J5624" i="1"/>
  <c r="L5624" i="1" s="1"/>
  <c r="J5623" i="1"/>
  <c r="L5623" i="1" s="1"/>
  <c r="J5622" i="1"/>
  <c r="L5622" i="1" s="1"/>
  <c r="J5621" i="1"/>
  <c r="L5621" i="1" s="1"/>
  <c r="M5620" i="1"/>
  <c r="J5620" i="1"/>
  <c r="L5620" i="1" s="1"/>
  <c r="J5619" i="1"/>
  <c r="L5619" i="1" s="1"/>
  <c r="L5618" i="1"/>
  <c r="J5617" i="1"/>
  <c r="L5617" i="1" s="1"/>
  <c r="P5616" i="1"/>
  <c r="J5616" i="1"/>
  <c r="L5616" i="1" s="1"/>
  <c r="O5616" i="1" s="1"/>
  <c r="P5615" i="1"/>
  <c r="J5615" i="1"/>
  <c r="L5615" i="1" s="1"/>
  <c r="O5615" i="1" s="1"/>
  <c r="P5614" i="1"/>
  <c r="J5614" i="1"/>
  <c r="L5614" i="1" s="1"/>
  <c r="O5614" i="1" s="1"/>
  <c r="N5613" i="1"/>
  <c r="J5613" i="1"/>
  <c r="L5613" i="1" s="1"/>
  <c r="Q5613" i="1" s="1"/>
  <c r="J5612" i="1"/>
  <c r="L5612" i="1" s="1"/>
  <c r="J5611" i="1"/>
  <c r="L5611" i="1" s="1"/>
  <c r="J5610" i="1"/>
  <c r="L5610" i="1" s="1"/>
  <c r="J5609" i="1"/>
  <c r="L5609" i="1" s="1"/>
  <c r="J5608" i="1"/>
  <c r="L5608" i="1" s="1"/>
  <c r="J5607" i="1"/>
  <c r="L5607" i="1" s="1"/>
  <c r="J5606" i="1"/>
  <c r="L5606" i="1" s="1"/>
  <c r="J5605" i="1"/>
  <c r="L5605" i="1" s="1"/>
  <c r="J5604" i="1"/>
  <c r="L5604" i="1" s="1"/>
  <c r="J5603" i="1"/>
  <c r="L5603" i="1" s="1"/>
  <c r="J5602" i="1"/>
  <c r="L5602" i="1" s="1"/>
  <c r="J5601" i="1"/>
  <c r="L5601" i="1" s="1"/>
  <c r="J5600" i="1"/>
  <c r="L5600" i="1" s="1"/>
  <c r="J5599" i="1"/>
  <c r="L5599" i="1" s="1"/>
  <c r="J5598" i="1"/>
  <c r="L5598" i="1" s="1"/>
  <c r="J5597" i="1"/>
  <c r="L5597" i="1" s="1"/>
  <c r="J5596" i="1"/>
  <c r="L5596" i="1" s="1"/>
  <c r="J5595" i="1"/>
  <c r="L5595" i="1" s="1"/>
  <c r="J5594" i="1"/>
  <c r="L5594" i="1" s="1"/>
  <c r="L5593" i="1"/>
  <c r="J5592" i="1"/>
  <c r="L5592" i="1" s="1"/>
  <c r="J5591" i="1"/>
  <c r="L5591" i="1" s="1"/>
  <c r="J5590" i="1"/>
  <c r="L5590" i="1" s="1"/>
  <c r="J5589" i="1"/>
  <c r="L5589" i="1" s="1"/>
  <c r="J5588" i="1"/>
  <c r="L5588" i="1" s="1"/>
  <c r="J5587" i="1"/>
  <c r="L5587" i="1" s="1"/>
  <c r="N5586" i="1"/>
  <c r="J5586" i="1"/>
  <c r="L5586" i="1" s="1"/>
  <c r="Q5586" i="1" s="1"/>
  <c r="J5585" i="1"/>
  <c r="L5585" i="1" s="1"/>
  <c r="J5584" i="1"/>
  <c r="L5584" i="1" s="1"/>
  <c r="J5583" i="1"/>
  <c r="L5583" i="1" s="1"/>
  <c r="J5582" i="1"/>
  <c r="L5582" i="1" s="1"/>
  <c r="K5581" i="1"/>
  <c r="J5581" i="1"/>
  <c r="N5580" i="1"/>
  <c r="J5580" i="1"/>
  <c r="L5580" i="1" s="1"/>
  <c r="Q5580" i="1" s="1"/>
  <c r="K5579" i="1"/>
  <c r="J5579" i="1"/>
  <c r="J5578" i="1"/>
  <c r="L5578" i="1" s="1"/>
  <c r="J5577" i="1"/>
  <c r="L5577" i="1" s="1"/>
  <c r="J5576" i="1"/>
  <c r="L5576" i="1" s="1"/>
  <c r="J5575" i="1"/>
  <c r="L5575" i="1" s="1"/>
  <c r="J5574" i="1"/>
  <c r="L5574" i="1" s="1"/>
  <c r="J5573" i="1"/>
  <c r="L5573" i="1" s="1"/>
  <c r="J5572" i="1"/>
  <c r="L5572" i="1" s="1"/>
  <c r="J5571" i="1"/>
  <c r="L5571" i="1" s="1"/>
  <c r="J5570" i="1"/>
  <c r="L5570" i="1" s="1"/>
  <c r="N5569" i="1"/>
  <c r="J5569" i="1"/>
  <c r="L5569" i="1" s="1"/>
  <c r="Q5569" i="1" s="1"/>
  <c r="J5568" i="1"/>
  <c r="L5568" i="1" s="1"/>
  <c r="J5567" i="1"/>
  <c r="L5567" i="1" s="1"/>
  <c r="J5566" i="1"/>
  <c r="L5566" i="1" s="1"/>
  <c r="N5565" i="1"/>
  <c r="J5565" i="1"/>
  <c r="L5565" i="1" s="1"/>
  <c r="Q5565" i="1" s="1"/>
  <c r="J5564" i="1"/>
  <c r="L5564" i="1" s="1"/>
  <c r="N5563" i="1"/>
  <c r="J5563" i="1"/>
  <c r="L5563" i="1" s="1"/>
  <c r="Q5563" i="1" s="1"/>
  <c r="K5562" i="1"/>
  <c r="J5562" i="1"/>
  <c r="J5561" i="1"/>
  <c r="L5561" i="1" s="1"/>
  <c r="J5560" i="1"/>
  <c r="L5560" i="1" s="1"/>
  <c r="J5559" i="1"/>
  <c r="L5559" i="1" s="1"/>
  <c r="J5558" i="1"/>
  <c r="L5558" i="1" s="1"/>
  <c r="J5557" i="1"/>
  <c r="L5557" i="1" s="1"/>
  <c r="J5556" i="1"/>
  <c r="L5556" i="1" s="1"/>
  <c r="P5555" i="1"/>
  <c r="L5555" i="1"/>
  <c r="O5555" i="1" s="1"/>
  <c r="J5554" i="1"/>
  <c r="L5554" i="1" s="1"/>
  <c r="K5553" i="1"/>
  <c r="J5553" i="1"/>
  <c r="J5552" i="1"/>
  <c r="L5552" i="1" s="1"/>
  <c r="J5551" i="1"/>
  <c r="L5551" i="1" s="1"/>
  <c r="J5550" i="1"/>
  <c r="L5550" i="1" s="1"/>
  <c r="J5549" i="1"/>
  <c r="L5549" i="1" s="1"/>
  <c r="K5548" i="1"/>
  <c r="J5548" i="1"/>
  <c r="K5547" i="1"/>
  <c r="L5547" i="1" s="1"/>
  <c r="J5547" i="1"/>
  <c r="J5546" i="1"/>
  <c r="L5546" i="1" s="1"/>
  <c r="J5545" i="1"/>
  <c r="L5545" i="1" s="1"/>
  <c r="J5544" i="1"/>
  <c r="L5544" i="1" s="1"/>
  <c r="J5543" i="1"/>
  <c r="L5543" i="1" s="1"/>
  <c r="J5542" i="1"/>
  <c r="L5542" i="1" s="1"/>
  <c r="J5541" i="1"/>
  <c r="L5541" i="1" s="1"/>
  <c r="J5540" i="1"/>
  <c r="L5540" i="1" s="1"/>
  <c r="J5539" i="1"/>
  <c r="L5539" i="1" s="1"/>
  <c r="J5538" i="1"/>
  <c r="L5538" i="1" s="1"/>
  <c r="J5537" i="1"/>
  <c r="L5537" i="1" s="1"/>
  <c r="J5536" i="1"/>
  <c r="L5536" i="1" s="1"/>
  <c r="M5535" i="1"/>
  <c r="J5535" i="1"/>
  <c r="L5535" i="1" s="1"/>
  <c r="K5534" i="1"/>
  <c r="J5534" i="1"/>
  <c r="J5533" i="1"/>
  <c r="L5533" i="1" s="1"/>
  <c r="J5532" i="1"/>
  <c r="L5532" i="1" s="1"/>
  <c r="J5531" i="1"/>
  <c r="L5531" i="1" s="1"/>
  <c r="J5530" i="1"/>
  <c r="L5530" i="1" s="1"/>
  <c r="J5529" i="1"/>
  <c r="L5529" i="1" s="1"/>
  <c r="K5528" i="1"/>
  <c r="J5528" i="1"/>
  <c r="N5527" i="1"/>
  <c r="J5527" i="1"/>
  <c r="L5527" i="1" s="1"/>
  <c r="Q5527" i="1" s="1"/>
  <c r="L5526" i="1"/>
  <c r="K5525" i="1"/>
  <c r="J5525" i="1"/>
  <c r="K5524" i="1"/>
  <c r="J5524" i="1"/>
  <c r="J5523" i="1"/>
  <c r="L5523" i="1" s="1"/>
  <c r="M5522" i="1"/>
  <c r="J5522" i="1"/>
  <c r="L5522" i="1" s="1"/>
  <c r="J5521" i="1"/>
  <c r="L5521" i="1" s="1"/>
  <c r="J5520" i="1"/>
  <c r="L5520" i="1" s="1"/>
  <c r="J5519" i="1"/>
  <c r="L5519" i="1" s="1"/>
  <c r="J5518" i="1"/>
  <c r="L5518" i="1" s="1"/>
  <c r="J5517" i="1"/>
  <c r="L5517" i="1" s="1"/>
  <c r="J5516" i="1"/>
  <c r="L5516" i="1" s="1"/>
  <c r="J5515" i="1"/>
  <c r="L5515" i="1" s="1"/>
  <c r="J5514" i="1"/>
  <c r="L5514" i="1" s="1"/>
  <c r="J5513" i="1"/>
  <c r="L5513" i="1" s="1"/>
  <c r="J5512" i="1"/>
  <c r="L5512" i="1" s="1"/>
  <c r="N5511" i="1"/>
  <c r="J5511" i="1"/>
  <c r="L5511" i="1" s="1"/>
  <c r="Q5511" i="1" s="1"/>
  <c r="J5510" i="1"/>
  <c r="L5510" i="1" s="1"/>
  <c r="J5509" i="1"/>
  <c r="L5509" i="1" s="1"/>
  <c r="J5508" i="1"/>
  <c r="L5508" i="1" s="1"/>
  <c r="K5507" i="1"/>
  <c r="J5507" i="1"/>
  <c r="M5506" i="1"/>
  <c r="J5506" i="1"/>
  <c r="L5506" i="1" s="1"/>
  <c r="M5505" i="1"/>
  <c r="J5505" i="1"/>
  <c r="L5505" i="1" s="1"/>
  <c r="K5504" i="1"/>
  <c r="J5504" i="1"/>
  <c r="J5503" i="1"/>
  <c r="L5503" i="1" s="1"/>
  <c r="J5502" i="1"/>
  <c r="L5502" i="1" s="1"/>
  <c r="J5501" i="1"/>
  <c r="L5501" i="1" s="1"/>
  <c r="J5500" i="1"/>
  <c r="L5500" i="1" s="1"/>
  <c r="J5499" i="1"/>
  <c r="L5499" i="1" s="1"/>
  <c r="J5498" i="1"/>
  <c r="L5498" i="1" s="1"/>
  <c r="J5497" i="1"/>
  <c r="L5497" i="1" s="1"/>
  <c r="K5496" i="1"/>
  <c r="J5496" i="1"/>
  <c r="J5495" i="1"/>
  <c r="L5495" i="1" s="1"/>
  <c r="K5494" i="1"/>
  <c r="J5494" i="1"/>
  <c r="K5493" i="1"/>
  <c r="J5493" i="1"/>
  <c r="K5492" i="1"/>
  <c r="L5492" i="1" s="1"/>
  <c r="J5492" i="1"/>
  <c r="K5491" i="1"/>
  <c r="J5491" i="1"/>
  <c r="K5490" i="1"/>
  <c r="J5490" i="1"/>
  <c r="J5489" i="1"/>
  <c r="L5489" i="1" s="1"/>
  <c r="K5488" i="1"/>
  <c r="J5488" i="1"/>
  <c r="K5487" i="1"/>
  <c r="J5487" i="1"/>
  <c r="J5486" i="1"/>
  <c r="L5486" i="1" s="1"/>
  <c r="K5485" i="1"/>
  <c r="J5485" i="1"/>
  <c r="J5484" i="1"/>
  <c r="L5484" i="1" s="1"/>
  <c r="J5483" i="1"/>
  <c r="L5483" i="1" s="1"/>
  <c r="J5482" i="1"/>
  <c r="L5482" i="1" s="1"/>
  <c r="P5481" i="1"/>
  <c r="J5481" i="1"/>
  <c r="L5481" i="1" s="1"/>
  <c r="O5481" i="1" s="1"/>
  <c r="J5480" i="1"/>
  <c r="L5480" i="1" s="1"/>
  <c r="L5479" i="1"/>
  <c r="L5478" i="1"/>
  <c r="P5477" i="1"/>
  <c r="N5477" i="1"/>
  <c r="J5477" i="1"/>
  <c r="L5477" i="1" s="1"/>
  <c r="N5476" i="1"/>
  <c r="J5476" i="1"/>
  <c r="L5476" i="1" s="1"/>
  <c r="Q5476" i="1" s="1"/>
  <c r="M5475" i="1"/>
  <c r="J5475" i="1"/>
  <c r="L5475" i="1" s="1"/>
  <c r="M5474" i="1"/>
  <c r="J5474" i="1"/>
  <c r="L5474" i="1" s="1"/>
  <c r="M5473" i="1"/>
  <c r="J5473" i="1"/>
  <c r="L5473" i="1" s="1"/>
  <c r="M5472" i="1"/>
  <c r="J5472" i="1"/>
  <c r="L5472" i="1" s="1"/>
  <c r="M5471" i="1"/>
  <c r="J5471" i="1"/>
  <c r="L5471" i="1" s="1"/>
  <c r="J5470" i="1"/>
  <c r="L5470" i="1" s="1"/>
  <c r="K5469" i="1"/>
  <c r="J5469" i="1"/>
  <c r="M5468" i="1"/>
  <c r="J5468" i="1"/>
  <c r="L5468" i="1" s="1"/>
  <c r="K5467" i="1"/>
  <c r="J5467" i="1"/>
  <c r="J5466" i="1"/>
  <c r="L5466" i="1" s="1"/>
  <c r="J5465" i="1"/>
  <c r="L5465" i="1" s="1"/>
  <c r="N5464" i="1"/>
  <c r="J5464" i="1"/>
  <c r="L5464" i="1" s="1"/>
  <c r="Q5464" i="1" s="1"/>
  <c r="K5463" i="1"/>
  <c r="J5463" i="1"/>
  <c r="J5462" i="1"/>
  <c r="L5462" i="1" s="1"/>
  <c r="K5461" i="1"/>
  <c r="J5461" i="1"/>
  <c r="K5460" i="1"/>
  <c r="J5460" i="1"/>
  <c r="K5459" i="1"/>
  <c r="J5459" i="1"/>
  <c r="K5458" i="1"/>
  <c r="J5458" i="1"/>
  <c r="J5457" i="1"/>
  <c r="L5457" i="1" s="1"/>
  <c r="K5456" i="1"/>
  <c r="L5456" i="1" s="1"/>
  <c r="J5456" i="1"/>
  <c r="K5455" i="1"/>
  <c r="L5455" i="1" s="1"/>
  <c r="J5455" i="1"/>
  <c r="J5454" i="1"/>
  <c r="L5454" i="1" s="1"/>
  <c r="K5453" i="1"/>
  <c r="J5453" i="1"/>
  <c r="K5452" i="1"/>
  <c r="J5452" i="1"/>
  <c r="J5451" i="1"/>
  <c r="L5451" i="1" s="1"/>
  <c r="K5450" i="1"/>
  <c r="J5450" i="1"/>
  <c r="K5449" i="1"/>
  <c r="L5449" i="1" s="1"/>
  <c r="J5449" i="1"/>
  <c r="J5448" i="1"/>
  <c r="L5448" i="1" s="1"/>
  <c r="J5447" i="1"/>
  <c r="L5447" i="1" s="1"/>
  <c r="J5446" i="1"/>
  <c r="L5446" i="1" s="1"/>
  <c r="J5445" i="1"/>
  <c r="L5445" i="1" s="1"/>
  <c r="J5444" i="1"/>
  <c r="L5444" i="1" s="1"/>
  <c r="J5443" i="1"/>
  <c r="L5443" i="1" s="1"/>
  <c r="J5442" i="1"/>
  <c r="L5442" i="1" s="1"/>
  <c r="J5441" i="1"/>
  <c r="L5441" i="1" s="1"/>
  <c r="J5440" i="1"/>
  <c r="L5440" i="1" s="1"/>
  <c r="J5439" i="1"/>
  <c r="L5439" i="1" s="1"/>
  <c r="J5438" i="1"/>
  <c r="L5438" i="1" s="1"/>
  <c r="J5437" i="1"/>
  <c r="L5437" i="1" s="1"/>
  <c r="K5436" i="1"/>
  <c r="L5436" i="1" s="1"/>
  <c r="J5436" i="1"/>
  <c r="K5435" i="1"/>
  <c r="J5435" i="1"/>
  <c r="J5434" i="1"/>
  <c r="L5434" i="1" s="1"/>
  <c r="K5433" i="1"/>
  <c r="J5433" i="1"/>
  <c r="K5432" i="1"/>
  <c r="J5432" i="1"/>
  <c r="K5431" i="1"/>
  <c r="J5431" i="1"/>
  <c r="K5430" i="1"/>
  <c r="J5430" i="1"/>
  <c r="J5429" i="1"/>
  <c r="L5429" i="1" s="1"/>
  <c r="J5428" i="1"/>
  <c r="L5428" i="1" s="1"/>
  <c r="J5427" i="1"/>
  <c r="L5427" i="1" s="1"/>
  <c r="K5426" i="1"/>
  <c r="J5426" i="1"/>
  <c r="K5425" i="1"/>
  <c r="J5425" i="1"/>
  <c r="K5424" i="1"/>
  <c r="J5424" i="1"/>
  <c r="J5423" i="1"/>
  <c r="L5423" i="1" s="1"/>
  <c r="K5422" i="1"/>
  <c r="J5422" i="1"/>
  <c r="K5421" i="1"/>
  <c r="J5421" i="1"/>
  <c r="K5420" i="1"/>
  <c r="J5420" i="1"/>
  <c r="J5419" i="1"/>
  <c r="L5419" i="1" s="1"/>
  <c r="K5418" i="1"/>
  <c r="J5418" i="1"/>
  <c r="K5417" i="1"/>
  <c r="J5417" i="1"/>
  <c r="K5416" i="1"/>
  <c r="L5416" i="1" s="1"/>
  <c r="J5416" i="1"/>
  <c r="N5415" i="1"/>
  <c r="J5415" i="1"/>
  <c r="L5415" i="1" s="1"/>
  <c r="Q5415" i="1" s="1"/>
  <c r="J5414" i="1"/>
  <c r="L5414" i="1" s="1"/>
  <c r="N5413" i="1"/>
  <c r="J5413" i="1"/>
  <c r="L5413" i="1" s="1"/>
  <c r="Q5413" i="1" s="1"/>
  <c r="K5412" i="1"/>
  <c r="J5412" i="1"/>
  <c r="M5411" i="1"/>
  <c r="J5411" i="1"/>
  <c r="L5411" i="1" s="1"/>
  <c r="J5410" i="1"/>
  <c r="L5410" i="1" s="1"/>
  <c r="N5409" i="1"/>
  <c r="J5409" i="1"/>
  <c r="L5409" i="1" s="1"/>
  <c r="Q5409" i="1" s="1"/>
  <c r="J5408" i="1"/>
  <c r="L5408" i="1" s="1"/>
  <c r="K5407" i="1"/>
  <c r="J5407" i="1"/>
  <c r="J5406" i="1"/>
  <c r="L5406" i="1" s="1"/>
  <c r="K5405" i="1"/>
  <c r="J5405" i="1"/>
  <c r="J5404" i="1"/>
  <c r="L5404" i="1" s="1"/>
  <c r="J5403" i="1"/>
  <c r="L5403" i="1" s="1"/>
  <c r="J5402" i="1"/>
  <c r="L5402" i="1" s="1"/>
  <c r="J5401" i="1"/>
  <c r="L5401" i="1" s="1"/>
  <c r="K5400" i="1"/>
  <c r="L5400" i="1" s="1"/>
  <c r="J5400" i="1"/>
  <c r="J5399" i="1"/>
  <c r="L5399" i="1" s="1"/>
  <c r="J5398" i="1"/>
  <c r="L5398" i="1" s="1"/>
  <c r="M5397" i="1"/>
  <c r="J5397" i="1"/>
  <c r="L5397" i="1" s="1"/>
  <c r="M5396" i="1"/>
  <c r="J5396" i="1"/>
  <c r="L5396" i="1" s="1"/>
  <c r="J5395" i="1"/>
  <c r="L5395" i="1" s="1"/>
  <c r="J5394" i="1"/>
  <c r="L5394" i="1" s="1"/>
  <c r="J5393" i="1"/>
  <c r="L5393" i="1" s="1"/>
  <c r="J5392" i="1"/>
  <c r="L5392" i="1" s="1"/>
  <c r="M5391" i="1"/>
  <c r="J5391" i="1"/>
  <c r="L5391" i="1" s="1"/>
  <c r="M5390" i="1"/>
  <c r="J5390" i="1"/>
  <c r="L5390" i="1" s="1"/>
  <c r="J5389" i="1"/>
  <c r="L5389" i="1" s="1"/>
  <c r="J5388" i="1"/>
  <c r="L5388" i="1" s="1"/>
  <c r="J5387" i="1"/>
  <c r="L5387" i="1" s="1"/>
  <c r="J5386" i="1"/>
  <c r="L5386" i="1" s="1"/>
  <c r="J5385" i="1"/>
  <c r="L5385" i="1" s="1"/>
  <c r="M5384" i="1"/>
  <c r="J5384" i="1"/>
  <c r="L5384" i="1" s="1"/>
  <c r="J5383" i="1"/>
  <c r="L5383" i="1" s="1"/>
  <c r="J5382" i="1"/>
  <c r="L5382" i="1" s="1"/>
  <c r="J5381" i="1"/>
  <c r="L5381" i="1" s="1"/>
  <c r="J5380" i="1"/>
  <c r="L5380" i="1" s="1"/>
  <c r="J5379" i="1"/>
  <c r="L5379" i="1" s="1"/>
  <c r="K5378" i="1"/>
  <c r="J5378" i="1"/>
  <c r="J5377" i="1"/>
  <c r="L5377" i="1" s="1"/>
  <c r="N5376" i="1"/>
  <c r="J5376" i="1"/>
  <c r="L5376" i="1" s="1"/>
  <c r="Q5376" i="1" s="1"/>
  <c r="N5375" i="1"/>
  <c r="J5375" i="1"/>
  <c r="L5375" i="1" s="1"/>
  <c r="Q5375" i="1" s="1"/>
  <c r="N5374" i="1"/>
  <c r="J5374" i="1"/>
  <c r="L5374" i="1" s="1"/>
  <c r="Q5374" i="1" s="1"/>
  <c r="N5373" i="1"/>
  <c r="J5373" i="1"/>
  <c r="L5373" i="1" s="1"/>
  <c r="Q5373" i="1" s="1"/>
  <c r="J5372" i="1"/>
  <c r="L5372" i="1" s="1"/>
  <c r="J5371" i="1"/>
  <c r="L5371" i="1" s="1"/>
  <c r="J5370" i="1"/>
  <c r="L5370" i="1" s="1"/>
  <c r="J5369" i="1"/>
  <c r="L5369" i="1" s="1"/>
  <c r="J5368" i="1"/>
  <c r="L5368" i="1" s="1"/>
  <c r="K5367" i="1"/>
  <c r="J5367" i="1"/>
  <c r="J5366" i="1"/>
  <c r="L5366" i="1" s="1"/>
  <c r="J5365" i="1"/>
  <c r="L5365" i="1" s="1"/>
  <c r="K5364" i="1"/>
  <c r="L5364" i="1" s="1"/>
  <c r="J5364" i="1"/>
  <c r="P5363" i="1"/>
  <c r="N5363" i="1"/>
  <c r="J5363" i="1"/>
  <c r="L5363" i="1" s="1"/>
  <c r="J5362" i="1"/>
  <c r="L5362" i="1" s="1"/>
  <c r="J5361" i="1"/>
  <c r="L5361" i="1" s="1"/>
  <c r="J5360" i="1"/>
  <c r="L5360" i="1" s="1"/>
  <c r="J5359" i="1"/>
  <c r="L5359" i="1" s="1"/>
  <c r="K5358" i="1"/>
  <c r="J5358" i="1"/>
  <c r="J5357" i="1"/>
  <c r="L5357" i="1" s="1"/>
  <c r="N5356" i="1"/>
  <c r="J5356" i="1"/>
  <c r="L5356" i="1" s="1"/>
  <c r="Q5356" i="1" s="1"/>
  <c r="J5355" i="1"/>
  <c r="L5355" i="1" s="1"/>
  <c r="K5354" i="1"/>
  <c r="J5354" i="1"/>
  <c r="K5353" i="1"/>
  <c r="J5353" i="1"/>
  <c r="K5352" i="1"/>
  <c r="J5352" i="1"/>
  <c r="K5351" i="1"/>
  <c r="J5351" i="1"/>
  <c r="K5350" i="1"/>
  <c r="J5350" i="1"/>
  <c r="J5349" i="1"/>
  <c r="L5349" i="1" s="1"/>
  <c r="J5348" i="1"/>
  <c r="L5348" i="1" s="1"/>
  <c r="J5347" i="1"/>
  <c r="L5347" i="1" s="1"/>
  <c r="J5346" i="1"/>
  <c r="L5346" i="1" s="1"/>
  <c r="J5345" i="1"/>
  <c r="L5345" i="1" s="1"/>
  <c r="J5344" i="1"/>
  <c r="L5344" i="1" s="1"/>
  <c r="K5343" i="1"/>
  <c r="J5343" i="1"/>
  <c r="J5342" i="1"/>
  <c r="L5342" i="1" s="1"/>
  <c r="J5341" i="1"/>
  <c r="L5341" i="1" s="1"/>
  <c r="J5340" i="1"/>
  <c r="L5340" i="1" s="1"/>
  <c r="J5339" i="1"/>
  <c r="L5339" i="1" s="1"/>
  <c r="P5338" i="1"/>
  <c r="K5338" i="1"/>
  <c r="L5338" i="1" s="1"/>
  <c r="O5338" i="1" s="1"/>
  <c r="J5337" i="1"/>
  <c r="L5337" i="1" s="1"/>
  <c r="J5336" i="1"/>
  <c r="L5336" i="1" s="1"/>
  <c r="K5335" i="1"/>
  <c r="J5335" i="1"/>
  <c r="K5334" i="1"/>
  <c r="J5334" i="1"/>
  <c r="J5333" i="1"/>
  <c r="L5333" i="1" s="1"/>
  <c r="M5332" i="1"/>
  <c r="J5332" i="1"/>
  <c r="L5332" i="1" s="1"/>
  <c r="J5331" i="1"/>
  <c r="L5331" i="1" s="1"/>
  <c r="N5330" i="1"/>
  <c r="J5330" i="1"/>
  <c r="L5330" i="1" s="1"/>
  <c r="Q5330" i="1" s="1"/>
  <c r="J5329" i="1"/>
  <c r="L5329" i="1" s="1"/>
  <c r="K5328" i="1"/>
  <c r="J5328" i="1"/>
  <c r="K5327" i="1"/>
  <c r="J5327" i="1"/>
  <c r="K5326" i="1"/>
  <c r="J5326" i="1"/>
  <c r="K5325" i="1"/>
  <c r="J5325" i="1"/>
  <c r="K5324" i="1"/>
  <c r="L5324" i="1" s="1"/>
  <c r="J5324" i="1"/>
  <c r="K5323" i="1"/>
  <c r="J5323" i="1"/>
  <c r="J5322" i="1"/>
  <c r="L5322" i="1" s="1"/>
  <c r="J5321" i="1"/>
  <c r="L5321" i="1" s="1"/>
  <c r="J5320" i="1"/>
  <c r="L5320" i="1" s="1"/>
  <c r="J5319" i="1"/>
  <c r="L5319" i="1" s="1"/>
  <c r="K5318" i="1"/>
  <c r="J5318" i="1"/>
  <c r="K5317" i="1"/>
  <c r="J5317" i="1"/>
  <c r="K5316" i="1"/>
  <c r="L5316" i="1" s="1"/>
  <c r="J5316" i="1"/>
  <c r="J5315" i="1"/>
  <c r="L5315" i="1" s="1"/>
  <c r="K5314" i="1"/>
  <c r="J5314" i="1"/>
  <c r="J5313" i="1"/>
  <c r="L5313" i="1" s="1"/>
  <c r="J5312" i="1"/>
  <c r="L5312" i="1" s="1"/>
  <c r="M5311" i="1"/>
  <c r="J5311" i="1"/>
  <c r="L5311" i="1" s="1"/>
  <c r="J5310" i="1"/>
  <c r="L5310" i="1" s="1"/>
  <c r="J5309" i="1"/>
  <c r="L5309" i="1" s="1"/>
  <c r="J5308" i="1"/>
  <c r="L5308" i="1" s="1"/>
  <c r="J5307" i="1"/>
  <c r="L5307" i="1" s="1"/>
  <c r="J5306" i="1"/>
  <c r="L5306" i="1" s="1"/>
  <c r="J5305" i="1"/>
  <c r="L5305" i="1" s="1"/>
  <c r="J5304" i="1"/>
  <c r="L5304" i="1" s="1"/>
  <c r="J5303" i="1"/>
  <c r="L5303" i="1" s="1"/>
  <c r="J5302" i="1"/>
  <c r="L5302" i="1" s="1"/>
  <c r="P5301" i="1"/>
  <c r="K5301" i="1"/>
  <c r="J5301" i="1"/>
  <c r="M5300" i="1"/>
  <c r="K5300" i="1"/>
  <c r="J5300" i="1"/>
  <c r="M5299" i="1"/>
  <c r="K5299" i="1"/>
  <c r="J5299" i="1"/>
  <c r="M5298" i="1"/>
  <c r="K5298" i="1"/>
  <c r="J5298" i="1"/>
  <c r="M5297" i="1"/>
  <c r="K5297" i="1"/>
  <c r="J5297" i="1"/>
  <c r="K5296" i="1"/>
  <c r="J5296" i="1"/>
  <c r="K5295" i="1"/>
  <c r="J5295" i="1"/>
  <c r="K5294" i="1"/>
  <c r="J5294" i="1"/>
  <c r="K5293" i="1"/>
  <c r="J5293" i="1"/>
  <c r="K5292" i="1"/>
  <c r="J5292" i="1"/>
  <c r="J5291" i="1"/>
  <c r="L5291" i="1" s="1"/>
  <c r="N5290" i="1"/>
  <c r="J5290" i="1"/>
  <c r="L5290" i="1" s="1"/>
  <c r="Q5290" i="1" s="1"/>
  <c r="K5289" i="1"/>
  <c r="L5289" i="1" s="1"/>
  <c r="K5288" i="1"/>
  <c r="J5288" i="1"/>
  <c r="K5287" i="1"/>
  <c r="J5287" i="1"/>
  <c r="K5286" i="1"/>
  <c r="J5286" i="1"/>
  <c r="K5285" i="1"/>
  <c r="J5285" i="1"/>
  <c r="K5284" i="1"/>
  <c r="J5284" i="1"/>
  <c r="K5283" i="1"/>
  <c r="J5283" i="1"/>
  <c r="K5282" i="1"/>
  <c r="J5282" i="1"/>
  <c r="M5281" i="1"/>
  <c r="K5281" i="1"/>
  <c r="J5281" i="1"/>
  <c r="M5280" i="1"/>
  <c r="K5280" i="1"/>
  <c r="J5280" i="1"/>
  <c r="M5279" i="1"/>
  <c r="K5279" i="1"/>
  <c r="J5279" i="1"/>
  <c r="K5278" i="1"/>
  <c r="J5278" i="1"/>
  <c r="K5277" i="1"/>
  <c r="L5277" i="1" s="1"/>
  <c r="J5277" i="1"/>
  <c r="J5276" i="1"/>
  <c r="L5276" i="1" s="1"/>
  <c r="K5275" i="1"/>
  <c r="J5275" i="1"/>
  <c r="J5274" i="1"/>
  <c r="L5274" i="1" s="1"/>
  <c r="J5273" i="1"/>
  <c r="L5273" i="1" s="1"/>
  <c r="J5272" i="1"/>
  <c r="L5272" i="1" s="1"/>
  <c r="J5271" i="1"/>
  <c r="L5271" i="1" s="1"/>
  <c r="M5270" i="1"/>
  <c r="K5270" i="1"/>
  <c r="J5270" i="1"/>
  <c r="K5269" i="1"/>
  <c r="L5269" i="1" s="1"/>
  <c r="J5269" i="1"/>
  <c r="J5268" i="1"/>
  <c r="L5268" i="1" s="1"/>
  <c r="J5267" i="1"/>
  <c r="L5267" i="1" s="1"/>
  <c r="J5266" i="1"/>
  <c r="L5266" i="1" s="1"/>
  <c r="J5265" i="1"/>
  <c r="L5265" i="1" s="1"/>
  <c r="J5264" i="1"/>
  <c r="L5264" i="1" s="1"/>
  <c r="J5263" i="1"/>
  <c r="L5263" i="1" s="1"/>
  <c r="K5262" i="1"/>
  <c r="J5262" i="1"/>
  <c r="J5261" i="1"/>
  <c r="L5261" i="1" s="1"/>
  <c r="J5260" i="1"/>
  <c r="L5260" i="1" s="1"/>
  <c r="J5259" i="1"/>
  <c r="L5259" i="1" s="1"/>
  <c r="K5258" i="1"/>
  <c r="J5258" i="1"/>
  <c r="K5257" i="1"/>
  <c r="J5257" i="1"/>
  <c r="K5256" i="1"/>
  <c r="J5256" i="1"/>
  <c r="J5255" i="1"/>
  <c r="L5255" i="1" s="1"/>
  <c r="K5254" i="1"/>
  <c r="J5254" i="1"/>
  <c r="K5253" i="1"/>
  <c r="J5253" i="1"/>
  <c r="J5252" i="1"/>
  <c r="L5252" i="1" s="1"/>
  <c r="K5251" i="1"/>
  <c r="J5251" i="1"/>
  <c r="M5250" i="1"/>
  <c r="J5250" i="1"/>
  <c r="L5250" i="1" s="1"/>
  <c r="K5249" i="1"/>
  <c r="J5249" i="1"/>
  <c r="K5248" i="1"/>
  <c r="L5248" i="1" s="1"/>
  <c r="J5248" i="1"/>
  <c r="J5247" i="1"/>
  <c r="L5247" i="1" s="1"/>
  <c r="J5246" i="1"/>
  <c r="L5246" i="1" s="1"/>
  <c r="J5245" i="1"/>
  <c r="L5245" i="1" s="1"/>
  <c r="J5244" i="1"/>
  <c r="L5244" i="1" s="1"/>
  <c r="J5243" i="1"/>
  <c r="L5243" i="1" s="1"/>
  <c r="N5242" i="1"/>
  <c r="J5242" i="1"/>
  <c r="L5242" i="1" s="1"/>
  <c r="Q5242" i="1" s="1"/>
  <c r="J5241" i="1"/>
  <c r="L5241" i="1" s="1"/>
  <c r="N5240" i="1"/>
  <c r="J5240" i="1"/>
  <c r="L5240" i="1" s="1"/>
  <c r="Q5240" i="1" s="1"/>
  <c r="K5239" i="1"/>
  <c r="J5239" i="1"/>
  <c r="K5238" i="1"/>
  <c r="J5238" i="1"/>
  <c r="J5237" i="1"/>
  <c r="L5237" i="1" s="1"/>
  <c r="K5236" i="1"/>
  <c r="L5236" i="1" s="1"/>
  <c r="J5236" i="1"/>
  <c r="J5235" i="1"/>
  <c r="L5235" i="1" s="1"/>
  <c r="J5234" i="1"/>
  <c r="L5234" i="1" s="1"/>
  <c r="L5233" i="1"/>
  <c r="J5232" i="1"/>
  <c r="L5232" i="1" s="1"/>
  <c r="J5231" i="1"/>
  <c r="L5231" i="1" s="1"/>
  <c r="K5230" i="1"/>
  <c r="J5230" i="1"/>
  <c r="J5229" i="1"/>
  <c r="L5229" i="1" s="1"/>
  <c r="K5228" i="1"/>
  <c r="J5228" i="1"/>
  <c r="K5227" i="1"/>
  <c r="L5227" i="1" s="1"/>
  <c r="J5227" i="1"/>
  <c r="J5226" i="1"/>
  <c r="L5226" i="1" s="1"/>
  <c r="J5225" i="1"/>
  <c r="L5225" i="1" s="1"/>
  <c r="K5224" i="1"/>
  <c r="J5224" i="1"/>
  <c r="J5223" i="1"/>
  <c r="L5223" i="1" s="1"/>
  <c r="J5222" i="1"/>
  <c r="L5222" i="1" s="1"/>
  <c r="J5221" i="1"/>
  <c r="L5221" i="1" s="1"/>
  <c r="J5220" i="1"/>
  <c r="L5220" i="1" s="1"/>
  <c r="J5219" i="1"/>
  <c r="L5219" i="1" s="1"/>
  <c r="J5218" i="1"/>
  <c r="L5218" i="1" s="1"/>
  <c r="J5217" i="1"/>
  <c r="L5217" i="1" s="1"/>
  <c r="J5216" i="1"/>
  <c r="L5216" i="1" s="1"/>
  <c r="J5215" i="1"/>
  <c r="L5215" i="1" s="1"/>
  <c r="J5214" i="1"/>
  <c r="L5214" i="1" s="1"/>
  <c r="J5213" i="1"/>
  <c r="L5213" i="1" s="1"/>
  <c r="J5212" i="1"/>
  <c r="L5212" i="1" s="1"/>
  <c r="J5211" i="1"/>
  <c r="L5211" i="1" s="1"/>
  <c r="J5210" i="1"/>
  <c r="L5210" i="1" s="1"/>
  <c r="J5209" i="1"/>
  <c r="L5209" i="1" s="1"/>
  <c r="J5208" i="1"/>
  <c r="L5208" i="1" s="1"/>
  <c r="N5207" i="1"/>
  <c r="J5207" i="1"/>
  <c r="L5207" i="1" s="1"/>
  <c r="Q5207" i="1" s="1"/>
  <c r="M5206" i="1"/>
  <c r="J5206" i="1"/>
  <c r="L5206" i="1" s="1"/>
  <c r="M5205" i="1"/>
  <c r="J5205" i="1"/>
  <c r="L5205" i="1" s="1"/>
  <c r="M5204" i="1"/>
  <c r="J5204" i="1"/>
  <c r="L5204" i="1" s="1"/>
  <c r="M5203" i="1"/>
  <c r="J5203" i="1"/>
  <c r="L5203" i="1" s="1"/>
  <c r="J5202" i="1"/>
  <c r="L5202" i="1" s="1"/>
  <c r="M5201" i="1"/>
  <c r="J5201" i="1"/>
  <c r="L5201" i="1" s="1"/>
  <c r="J5200" i="1"/>
  <c r="L5200" i="1" s="1"/>
  <c r="J5199" i="1"/>
  <c r="L5199" i="1" s="1"/>
  <c r="J5198" i="1"/>
  <c r="L5198" i="1" s="1"/>
  <c r="J5197" i="1"/>
  <c r="L5197" i="1" s="1"/>
  <c r="M5196" i="1"/>
  <c r="J5196" i="1"/>
  <c r="L5196" i="1" s="1"/>
  <c r="M5195" i="1"/>
  <c r="J5195" i="1"/>
  <c r="L5195" i="1" s="1"/>
  <c r="M5194" i="1"/>
  <c r="J5194" i="1"/>
  <c r="L5194" i="1" s="1"/>
  <c r="M5193" i="1"/>
  <c r="J5193" i="1"/>
  <c r="L5193" i="1" s="1"/>
  <c r="K5192" i="1"/>
  <c r="J5192" i="1"/>
  <c r="J5191" i="1"/>
  <c r="L5191" i="1" s="1"/>
  <c r="K5190" i="1"/>
  <c r="J5190" i="1"/>
  <c r="K5189" i="1"/>
  <c r="J5189" i="1"/>
  <c r="K5188" i="1"/>
  <c r="J5188" i="1"/>
  <c r="K5187" i="1"/>
  <c r="J5187" i="1"/>
  <c r="K5186" i="1"/>
  <c r="J5186" i="1"/>
  <c r="J5185" i="1"/>
  <c r="L5185" i="1" s="1"/>
  <c r="J5184" i="1"/>
  <c r="L5184" i="1" s="1"/>
  <c r="M5183" i="1"/>
  <c r="K5183" i="1"/>
  <c r="J5183" i="1"/>
  <c r="M5182" i="1"/>
  <c r="J5182" i="1"/>
  <c r="L5182" i="1" s="1"/>
  <c r="K5181" i="1"/>
  <c r="J5181" i="1"/>
  <c r="K5180" i="1"/>
  <c r="J5180" i="1"/>
  <c r="K5179" i="1"/>
  <c r="J5179" i="1"/>
  <c r="M5178" i="1"/>
  <c r="K5178" i="1"/>
  <c r="J5178" i="1"/>
  <c r="M5177" i="1"/>
  <c r="J5177" i="1"/>
  <c r="L5177" i="1" s="1"/>
  <c r="K5176" i="1"/>
  <c r="J5176" i="1"/>
  <c r="M5175" i="1"/>
  <c r="K5175" i="1"/>
  <c r="J5175" i="1"/>
  <c r="M5174" i="1"/>
  <c r="K5174" i="1"/>
  <c r="J5174" i="1"/>
  <c r="J5173" i="1"/>
  <c r="L5173" i="1" s="1"/>
  <c r="K5172" i="1"/>
  <c r="J5172" i="1"/>
  <c r="K5171" i="1"/>
  <c r="J5171" i="1"/>
  <c r="J5170" i="1"/>
  <c r="L5170" i="1" s="1"/>
  <c r="J5169" i="1"/>
  <c r="L5169" i="1" s="1"/>
  <c r="K5168" i="1"/>
  <c r="J5168" i="1"/>
  <c r="M5167" i="1"/>
  <c r="K5167" i="1"/>
  <c r="L5167" i="1" s="1"/>
  <c r="J5167" i="1"/>
  <c r="J5166" i="1"/>
  <c r="L5166" i="1" s="1"/>
  <c r="M5165" i="1"/>
  <c r="K5165" i="1"/>
  <c r="J5165" i="1"/>
  <c r="J5164" i="1"/>
  <c r="L5164" i="1" s="1"/>
  <c r="J5163" i="1"/>
  <c r="L5163" i="1" s="1"/>
  <c r="M5162" i="1"/>
  <c r="K5162" i="1"/>
  <c r="J5162" i="1"/>
  <c r="M5161" i="1"/>
  <c r="K5161" i="1"/>
  <c r="L5161" i="1" s="1"/>
  <c r="J5161" i="1"/>
  <c r="J5160" i="1"/>
  <c r="L5160" i="1" s="1"/>
  <c r="J5159" i="1"/>
  <c r="L5159" i="1" s="1"/>
  <c r="M5158" i="1"/>
  <c r="K5158" i="1"/>
  <c r="J5158" i="1"/>
  <c r="K5157" i="1"/>
  <c r="J5157" i="1"/>
  <c r="J5156" i="1"/>
  <c r="L5156" i="1" s="1"/>
  <c r="J5155" i="1"/>
  <c r="L5155" i="1" s="1"/>
  <c r="J5154" i="1"/>
  <c r="L5154" i="1" s="1"/>
  <c r="K5153" i="1"/>
  <c r="L5153" i="1" s="1"/>
  <c r="J5153" i="1"/>
  <c r="J5152" i="1"/>
  <c r="L5152" i="1" s="1"/>
  <c r="K5151" i="1"/>
  <c r="J5151" i="1"/>
  <c r="K5150" i="1"/>
  <c r="J5150" i="1"/>
  <c r="J5149" i="1"/>
  <c r="L5149" i="1" s="1"/>
  <c r="J5148" i="1"/>
  <c r="L5148" i="1" s="1"/>
  <c r="J5147" i="1"/>
  <c r="L5147" i="1" s="1"/>
  <c r="J5146" i="1"/>
  <c r="L5146" i="1" s="1"/>
  <c r="J5145" i="1"/>
  <c r="L5145" i="1" s="1"/>
  <c r="J5144" i="1"/>
  <c r="L5144" i="1" s="1"/>
  <c r="N5143" i="1"/>
  <c r="J5143" i="1"/>
  <c r="L5143" i="1" s="1"/>
  <c r="Q5143" i="1" s="1"/>
  <c r="M5142" i="1"/>
  <c r="K5142" i="1"/>
  <c r="J5142" i="1"/>
  <c r="M5141" i="1"/>
  <c r="K5141" i="1"/>
  <c r="J5141" i="1"/>
  <c r="K5140" i="1"/>
  <c r="J5140" i="1"/>
  <c r="M5139" i="1"/>
  <c r="K5139" i="1"/>
  <c r="L5139" i="1" s="1"/>
  <c r="J5139" i="1"/>
  <c r="M5138" i="1"/>
  <c r="K5138" i="1"/>
  <c r="J5138" i="1"/>
  <c r="K5137" i="1"/>
  <c r="J5137" i="1"/>
  <c r="J5136" i="1"/>
  <c r="L5136" i="1" s="1"/>
  <c r="K5135" i="1"/>
  <c r="J5135" i="1"/>
  <c r="K5134" i="1"/>
  <c r="J5134" i="1"/>
  <c r="K5133" i="1"/>
  <c r="L5133" i="1" s="1"/>
  <c r="J5133" i="1"/>
  <c r="K5132" i="1"/>
  <c r="L5132" i="1" s="1"/>
  <c r="J5132" i="1"/>
  <c r="J5131" i="1"/>
  <c r="L5131" i="1" s="1"/>
  <c r="J5130" i="1"/>
  <c r="L5130" i="1" s="1"/>
  <c r="K5129" i="1"/>
  <c r="J5129" i="1"/>
  <c r="P5128" i="1"/>
  <c r="J5128" i="1"/>
  <c r="L5128" i="1" s="1"/>
  <c r="O5128" i="1" s="1"/>
  <c r="J5127" i="1"/>
  <c r="L5127" i="1" s="1"/>
  <c r="J5126" i="1"/>
  <c r="L5126" i="1" s="1"/>
  <c r="K5125" i="1"/>
  <c r="L5125" i="1" s="1"/>
  <c r="J5125" i="1"/>
  <c r="K5124" i="1"/>
  <c r="L5124" i="1" s="1"/>
  <c r="J5124" i="1"/>
  <c r="K5123" i="1"/>
  <c r="J5123" i="1"/>
  <c r="P5122" i="1"/>
  <c r="N5122" i="1"/>
  <c r="J5122" i="1"/>
  <c r="L5122" i="1" s="1"/>
  <c r="J5121" i="1"/>
  <c r="L5121" i="1" s="1"/>
  <c r="J5120" i="1"/>
  <c r="L5120" i="1" s="1"/>
  <c r="K5119" i="1"/>
  <c r="J5119" i="1"/>
  <c r="J5118" i="1"/>
  <c r="L5118" i="1" s="1"/>
  <c r="J5117" i="1"/>
  <c r="L5117" i="1" s="1"/>
  <c r="J5116" i="1"/>
  <c r="L5116" i="1" s="1"/>
  <c r="K5115" i="1"/>
  <c r="J5115" i="1"/>
  <c r="K5114" i="1"/>
  <c r="J5114" i="1"/>
  <c r="K5113" i="1"/>
  <c r="J5113" i="1"/>
  <c r="K5112" i="1"/>
  <c r="J5112" i="1"/>
  <c r="K5111" i="1"/>
  <c r="L5111" i="1" s="1"/>
  <c r="J5111" i="1"/>
  <c r="K5110" i="1"/>
  <c r="J5110" i="1"/>
  <c r="K5109" i="1"/>
  <c r="J5109" i="1"/>
  <c r="K5108" i="1"/>
  <c r="J5108" i="1"/>
  <c r="N5107" i="1"/>
  <c r="J5107" i="1"/>
  <c r="L5107" i="1" s="1"/>
  <c r="Q5107" i="1" s="1"/>
  <c r="J5106" i="1"/>
  <c r="L5106" i="1" s="1"/>
  <c r="J5105" i="1"/>
  <c r="L5105" i="1" s="1"/>
  <c r="J5104" i="1"/>
  <c r="L5104" i="1" s="1"/>
  <c r="M5103" i="1"/>
  <c r="K5103" i="1"/>
  <c r="L5103" i="1" s="1"/>
  <c r="J5103" i="1"/>
  <c r="J5102" i="1"/>
  <c r="L5102" i="1" s="1"/>
  <c r="K5101" i="1"/>
  <c r="J5101" i="1"/>
  <c r="K5100" i="1"/>
  <c r="L5100" i="1" s="1"/>
  <c r="O5100" i="1" s="1"/>
  <c r="R5100" i="1" s="1"/>
  <c r="J5100" i="1"/>
  <c r="K5099" i="1"/>
  <c r="J5099" i="1"/>
  <c r="N5098" i="1"/>
  <c r="J5098" i="1"/>
  <c r="L5098" i="1" s="1"/>
  <c r="Q5098" i="1" s="1"/>
  <c r="J5097" i="1"/>
  <c r="L5097" i="1" s="1"/>
  <c r="J5096" i="1"/>
  <c r="L5096" i="1" s="1"/>
  <c r="P5095" i="1"/>
  <c r="K5095" i="1"/>
  <c r="J5095" i="1"/>
  <c r="K5094" i="1"/>
  <c r="J5094" i="1"/>
  <c r="K5093" i="1"/>
  <c r="J5093" i="1"/>
  <c r="K5092" i="1"/>
  <c r="J5092" i="1"/>
  <c r="K5091" i="1"/>
  <c r="L5091" i="1" s="1"/>
  <c r="O5091" i="1" s="1"/>
  <c r="R5091" i="1" s="1"/>
  <c r="J5091" i="1"/>
  <c r="K5090" i="1"/>
  <c r="J5090" i="1"/>
  <c r="K5089" i="1"/>
  <c r="J5089" i="1"/>
  <c r="J5088" i="1"/>
  <c r="L5088" i="1" s="1"/>
  <c r="K5087" i="1"/>
  <c r="J5087" i="1"/>
  <c r="K5086" i="1"/>
  <c r="J5086" i="1"/>
  <c r="K5085" i="1"/>
  <c r="J5085" i="1"/>
  <c r="N5084" i="1"/>
  <c r="K5084" i="1"/>
  <c r="L5084" i="1" s="1"/>
  <c r="Q5084" i="1" s="1"/>
  <c r="J5084" i="1"/>
  <c r="J5083" i="1"/>
  <c r="L5083" i="1" s="1"/>
  <c r="P5082" i="1"/>
  <c r="K5082" i="1"/>
  <c r="J5082" i="1"/>
  <c r="K5081" i="1"/>
  <c r="J5081" i="1"/>
  <c r="J5080" i="1"/>
  <c r="L5080" i="1" s="1"/>
  <c r="K5079" i="1"/>
  <c r="J5079" i="1"/>
  <c r="J5078" i="1"/>
  <c r="L5078" i="1" s="1"/>
  <c r="J5077" i="1"/>
  <c r="L5077" i="1" s="1"/>
  <c r="N5076" i="1"/>
  <c r="K5076" i="1"/>
  <c r="J5076" i="1"/>
  <c r="P5075" i="1"/>
  <c r="K5075" i="1"/>
  <c r="J5075" i="1"/>
  <c r="P5074" i="1"/>
  <c r="K5074" i="1"/>
  <c r="J5074" i="1"/>
  <c r="K5073" i="1"/>
  <c r="L5073" i="1" s="1"/>
  <c r="J5073" i="1"/>
  <c r="N5072" i="1"/>
  <c r="J5072" i="1"/>
  <c r="L5072" i="1" s="1"/>
  <c r="Q5072" i="1" s="1"/>
  <c r="K5071" i="1"/>
  <c r="L5071" i="1" s="1"/>
  <c r="J5071" i="1"/>
  <c r="K5070" i="1"/>
  <c r="J5070" i="1"/>
  <c r="J5069" i="1"/>
  <c r="L5069" i="1" s="1"/>
  <c r="J5068" i="1"/>
  <c r="L5068" i="1" s="1"/>
  <c r="K5067" i="1"/>
  <c r="J5067" i="1"/>
  <c r="J5066" i="1"/>
  <c r="L5066" i="1" s="1"/>
  <c r="J5065" i="1"/>
  <c r="L5065" i="1" s="1"/>
  <c r="K5064" i="1"/>
  <c r="L5064" i="1" s="1"/>
  <c r="J5064" i="1"/>
  <c r="J5063" i="1"/>
  <c r="L5063" i="1" s="1"/>
  <c r="J5062" i="1"/>
  <c r="L5062" i="1" s="1"/>
  <c r="J5061" i="1"/>
  <c r="L5061" i="1" s="1"/>
  <c r="J5060" i="1"/>
  <c r="L5060" i="1" s="1"/>
  <c r="K5059" i="1"/>
  <c r="J5059" i="1"/>
  <c r="J5058" i="1"/>
  <c r="L5058" i="1" s="1"/>
  <c r="K5057" i="1"/>
  <c r="J5057" i="1"/>
  <c r="K5056" i="1"/>
  <c r="J5056" i="1"/>
  <c r="M5055" i="1"/>
  <c r="K5055" i="1"/>
  <c r="J5055" i="1"/>
  <c r="K5054" i="1"/>
  <c r="J5054" i="1"/>
  <c r="J5053" i="1"/>
  <c r="L5053" i="1" s="1"/>
  <c r="J5052" i="1"/>
  <c r="L5052" i="1" s="1"/>
  <c r="K5051" i="1"/>
  <c r="J5051" i="1"/>
  <c r="K5050" i="1"/>
  <c r="J5050" i="1"/>
  <c r="K5049" i="1"/>
  <c r="J5049" i="1"/>
  <c r="K5048" i="1"/>
  <c r="J5048" i="1"/>
  <c r="N5047" i="1"/>
  <c r="K5047" i="1"/>
  <c r="J5047" i="1"/>
  <c r="N5046" i="1"/>
  <c r="K5046" i="1"/>
  <c r="J5046" i="1"/>
  <c r="K5045" i="1"/>
  <c r="J5045" i="1"/>
  <c r="J5044" i="1"/>
  <c r="L5044" i="1" s="1"/>
  <c r="P5043" i="1"/>
  <c r="K5043" i="1"/>
  <c r="J5043" i="1"/>
  <c r="K5042" i="1"/>
  <c r="J5042" i="1"/>
  <c r="K5041" i="1"/>
  <c r="J5041" i="1"/>
  <c r="K5040" i="1"/>
  <c r="J5040" i="1"/>
  <c r="K5039" i="1"/>
  <c r="L5039" i="1" s="1"/>
  <c r="J5039" i="1"/>
  <c r="K5038" i="1"/>
  <c r="J5038" i="1"/>
  <c r="K5037" i="1"/>
  <c r="J5037" i="1"/>
  <c r="J5036" i="1"/>
  <c r="L5036" i="1" s="1"/>
  <c r="K5035" i="1"/>
  <c r="L5035" i="1" s="1"/>
  <c r="J5034" i="1"/>
  <c r="L5034" i="1" s="1"/>
  <c r="M5033" i="1"/>
  <c r="J5033" i="1"/>
  <c r="L5033" i="1" s="1"/>
  <c r="M5032" i="1"/>
  <c r="J5032" i="1"/>
  <c r="L5032" i="1" s="1"/>
  <c r="M5031" i="1"/>
  <c r="J5031" i="1"/>
  <c r="L5031" i="1" s="1"/>
  <c r="J5030" i="1"/>
  <c r="L5030" i="1" s="1"/>
  <c r="P5029" i="1"/>
  <c r="J5029" i="1"/>
  <c r="L5029" i="1" s="1"/>
  <c r="O5029" i="1" s="1"/>
  <c r="P5028" i="1"/>
  <c r="N5028" i="1"/>
  <c r="J5028" i="1"/>
  <c r="L5028" i="1" s="1"/>
  <c r="O5028" i="1" s="1"/>
  <c r="J5027" i="1"/>
  <c r="L5027" i="1" s="1"/>
  <c r="J5026" i="1"/>
  <c r="L5026" i="1" s="1"/>
  <c r="M5025" i="1"/>
  <c r="J5025" i="1"/>
  <c r="L5025" i="1" s="1"/>
  <c r="J5024" i="1"/>
  <c r="L5024" i="1" s="1"/>
  <c r="J5023" i="1"/>
  <c r="L5023" i="1" s="1"/>
  <c r="J5022" i="1"/>
  <c r="L5022" i="1" s="1"/>
  <c r="J5021" i="1"/>
  <c r="L5021" i="1" s="1"/>
  <c r="J5020" i="1"/>
  <c r="L5020" i="1" s="1"/>
  <c r="J5019" i="1"/>
  <c r="L5019" i="1" s="1"/>
  <c r="J5018" i="1"/>
  <c r="L5018" i="1" s="1"/>
  <c r="J5017" i="1"/>
  <c r="L5017" i="1" s="1"/>
  <c r="J5016" i="1"/>
  <c r="L5016" i="1" s="1"/>
  <c r="J5015" i="1"/>
  <c r="L5015" i="1" s="1"/>
  <c r="J5014" i="1"/>
  <c r="L5014" i="1" s="1"/>
  <c r="J5013" i="1"/>
  <c r="L5013" i="1" s="1"/>
  <c r="J5012" i="1"/>
  <c r="L5012" i="1" s="1"/>
  <c r="J5011" i="1"/>
  <c r="L5011" i="1" s="1"/>
  <c r="J5010" i="1"/>
  <c r="L5010" i="1" s="1"/>
  <c r="J5009" i="1"/>
  <c r="L5009" i="1" s="1"/>
  <c r="J5008" i="1"/>
  <c r="L5008" i="1" s="1"/>
  <c r="J5007" i="1"/>
  <c r="L5007" i="1" s="1"/>
  <c r="J5006" i="1"/>
  <c r="L5006" i="1" s="1"/>
  <c r="J5005" i="1"/>
  <c r="L5005" i="1" s="1"/>
  <c r="J5004" i="1"/>
  <c r="L5004" i="1" s="1"/>
  <c r="J5003" i="1"/>
  <c r="L5003" i="1" s="1"/>
  <c r="J5002" i="1"/>
  <c r="L5002" i="1" s="1"/>
  <c r="J5001" i="1"/>
  <c r="L5001" i="1" s="1"/>
  <c r="J5000" i="1"/>
  <c r="L5000" i="1" s="1"/>
  <c r="J4999" i="1"/>
  <c r="L4999" i="1" s="1"/>
  <c r="J4998" i="1"/>
  <c r="L4998" i="1" s="1"/>
  <c r="J4997" i="1"/>
  <c r="L4997" i="1" s="1"/>
  <c r="J4996" i="1"/>
  <c r="L4996" i="1" s="1"/>
  <c r="M4995" i="1"/>
  <c r="J4995" i="1"/>
  <c r="L4995" i="1" s="1"/>
  <c r="M4994" i="1"/>
  <c r="J4994" i="1"/>
  <c r="L4994" i="1" s="1"/>
  <c r="J4993" i="1"/>
  <c r="L4993" i="1" s="1"/>
  <c r="J4992" i="1"/>
  <c r="L4992" i="1" s="1"/>
  <c r="J4991" i="1"/>
  <c r="L4991" i="1" s="1"/>
  <c r="J4990" i="1"/>
  <c r="L4990" i="1" s="1"/>
  <c r="J4989" i="1"/>
  <c r="L4989" i="1" s="1"/>
  <c r="J4988" i="1"/>
  <c r="L4988" i="1" s="1"/>
  <c r="J4987" i="1"/>
  <c r="L4987" i="1" s="1"/>
  <c r="J4986" i="1"/>
  <c r="L4986" i="1" s="1"/>
  <c r="J4985" i="1"/>
  <c r="L4985" i="1" s="1"/>
  <c r="J4984" i="1"/>
  <c r="L4984" i="1" s="1"/>
  <c r="J4983" i="1"/>
  <c r="L4983" i="1" s="1"/>
  <c r="J4982" i="1"/>
  <c r="L4982" i="1" s="1"/>
  <c r="L4981" i="1"/>
  <c r="J4981" i="1"/>
  <c r="J4980" i="1"/>
  <c r="L4980" i="1" s="1"/>
  <c r="J4979" i="1"/>
  <c r="L4979" i="1" s="1"/>
  <c r="N4978" i="1"/>
  <c r="J4978" i="1"/>
  <c r="L4978" i="1" s="1"/>
  <c r="Q4978" i="1" s="1"/>
  <c r="N4977" i="1"/>
  <c r="J4977" i="1"/>
  <c r="L4977" i="1" s="1"/>
  <c r="Q4977" i="1" s="1"/>
  <c r="N4976" i="1"/>
  <c r="J4976" i="1"/>
  <c r="L4976" i="1" s="1"/>
  <c r="Q4976" i="1" s="1"/>
  <c r="N4975" i="1"/>
  <c r="J4975" i="1"/>
  <c r="L4975" i="1" s="1"/>
  <c r="N4974" i="1"/>
  <c r="J4974" i="1"/>
  <c r="L4974" i="1" s="1"/>
  <c r="N4973" i="1"/>
  <c r="J4973" i="1"/>
  <c r="L4973" i="1" s="1"/>
  <c r="P4972" i="1"/>
  <c r="N4972" i="1"/>
  <c r="J4972" i="1"/>
  <c r="L4972" i="1" s="1"/>
  <c r="J4971" i="1"/>
  <c r="L4971" i="1" s="1"/>
  <c r="J4970" i="1"/>
  <c r="L4970" i="1" s="1"/>
  <c r="J4969" i="1"/>
  <c r="L4969" i="1" s="1"/>
  <c r="J4968" i="1"/>
  <c r="L4968" i="1" s="1"/>
  <c r="J4967" i="1"/>
  <c r="L4967" i="1" s="1"/>
  <c r="J4966" i="1"/>
  <c r="L4966" i="1" s="1"/>
  <c r="J4965" i="1"/>
  <c r="L4965" i="1" s="1"/>
  <c r="J4964" i="1"/>
  <c r="L4964" i="1" s="1"/>
  <c r="J4963" i="1"/>
  <c r="L4963" i="1" s="1"/>
  <c r="J4962" i="1"/>
  <c r="L4962" i="1" s="1"/>
  <c r="J4961" i="1"/>
  <c r="L4961" i="1" s="1"/>
  <c r="J4960" i="1"/>
  <c r="L4960" i="1" s="1"/>
  <c r="J4959" i="1"/>
  <c r="L4959" i="1" s="1"/>
  <c r="J4958" i="1"/>
  <c r="L4958" i="1" s="1"/>
  <c r="J4957" i="1"/>
  <c r="L4957" i="1" s="1"/>
  <c r="J4956" i="1"/>
  <c r="L4956" i="1" s="1"/>
  <c r="J4955" i="1"/>
  <c r="L4955" i="1" s="1"/>
  <c r="M4954" i="1"/>
  <c r="J4954" i="1"/>
  <c r="L4954" i="1" s="1"/>
  <c r="M4953" i="1"/>
  <c r="J4953" i="1"/>
  <c r="L4953" i="1" s="1"/>
  <c r="J4952" i="1"/>
  <c r="L4952" i="1" s="1"/>
  <c r="J4951" i="1"/>
  <c r="L4951" i="1" s="1"/>
  <c r="J4950" i="1"/>
  <c r="L4950" i="1" s="1"/>
  <c r="L4949" i="1"/>
  <c r="J4949" i="1"/>
  <c r="J4948" i="1"/>
  <c r="L4948" i="1" s="1"/>
  <c r="J4947" i="1"/>
  <c r="L4947" i="1" s="1"/>
  <c r="J4946" i="1"/>
  <c r="L4946" i="1" s="1"/>
  <c r="J4945" i="1"/>
  <c r="L4945" i="1" s="1"/>
  <c r="J4944" i="1"/>
  <c r="L4944" i="1" s="1"/>
  <c r="J4943" i="1"/>
  <c r="L4943" i="1" s="1"/>
  <c r="J4942" i="1"/>
  <c r="L4942" i="1" s="1"/>
  <c r="J4941" i="1"/>
  <c r="L4941" i="1" s="1"/>
  <c r="J4940" i="1"/>
  <c r="L4940" i="1" s="1"/>
  <c r="J4939" i="1"/>
  <c r="L4939" i="1" s="1"/>
  <c r="J4938" i="1"/>
  <c r="L4938" i="1" s="1"/>
  <c r="M4937" i="1"/>
  <c r="J4937" i="1"/>
  <c r="L4937" i="1" s="1"/>
  <c r="J4936" i="1"/>
  <c r="L4936" i="1" s="1"/>
  <c r="M4935" i="1"/>
  <c r="J4935" i="1"/>
  <c r="L4935" i="1" s="1"/>
  <c r="M4934" i="1"/>
  <c r="J4934" i="1"/>
  <c r="L4934" i="1" s="1"/>
  <c r="M4933" i="1"/>
  <c r="J4933" i="1"/>
  <c r="L4933" i="1" s="1"/>
  <c r="M4932" i="1"/>
  <c r="J4932" i="1"/>
  <c r="L4932" i="1" s="1"/>
  <c r="J4931" i="1"/>
  <c r="L4931" i="1" s="1"/>
  <c r="J4930" i="1"/>
  <c r="L4930" i="1" s="1"/>
  <c r="J4929" i="1"/>
  <c r="L4929" i="1" s="1"/>
  <c r="J4928" i="1"/>
  <c r="L4928" i="1" s="1"/>
  <c r="J4927" i="1"/>
  <c r="L4927" i="1" s="1"/>
  <c r="J4926" i="1"/>
  <c r="L4926" i="1" s="1"/>
  <c r="J4925" i="1"/>
  <c r="L4925" i="1" s="1"/>
  <c r="J4924" i="1"/>
  <c r="L4924" i="1" s="1"/>
  <c r="J4923" i="1"/>
  <c r="L4923" i="1" s="1"/>
  <c r="J4922" i="1"/>
  <c r="L4922" i="1" s="1"/>
  <c r="J4921" i="1"/>
  <c r="L4921" i="1" s="1"/>
  <c r="J4920" i="1"/>
  <c r="L4920" i="1" s="1"/>
  <c r="J4919" i="1"/>
  <c r="L4919" i="1" s="1"/>
  <c r="L4918" i="1"/>
  <c r="J4917" i="1"/>
  <c r="L4917" i="1" s="1"/>
  <c r="J4916" i="1"/>
  <c r="L4916" i="1" s="1"/>
  <c r="J4915" i="1"/>
  <c r="L4915" i="1" s="1"/>
  <c r="J4914" i="1"/>
  <c r="L4914" i="1" s="1"/>
  <c r="J4913" i="1"/>
  <c r="L4913" i="1" s="1"/>
  <c r="J4912" i="1"/>
  <c r="L4912" i="1" s="1"/>
  <c r="J4911" i="1"/>
  <c r="L4911" i="1" s="1"/>
  <c r="J4910" i="1"/>
  <c r="L4910" i="1" s="1"/>
  <c r="N4909" i="1"/>
  <c r="L4909" i="1"/>
  <c r="Q4909" i="1" s="1"/>
  <c r="M4908" i="1"/>
  <c r="J4908" i="1"/>
  <c r="L4908" i="1" s="1"/>
  <c r="M4907" i="1"/>
  <c r="J4907" i="1"/>
  <c r="L4907" i="1" s="1"/>
  <c r="M4906" i="1"/>
  <c r="J4906" i="1"/>
  <c r="L4906" i="1" s="1"/>
  <c r="M4905" i="1"/>
  <c r="J4905" i="1"/>
  <c r="L4905" i="1" s="1"/>
  <c r="M4904" i="1"/>
  <c r="J4904" i="1"/>
  <c r="L4904" i="1" s="1"/>
  <c r="M4903" i="1"/>
  <c r="J4903" i="1"/>
  <c r="L4903" i="1" s="1"/>
  <c r="M4902" i="1"/>
  <c r="J4902" i="1"/>
  <c r="L4902" i="1" s="1"/>
  <c r="M4901" i="1"/>
  <c r="J4901" i="1"/>
  <c r="L4901" i="1" s="1"/>
  <c r="M4900" i="1"/>
  <c r="L4900" i="1"/>
  <c r="J4900" i="1"/>
  <c r="M4899" i="1"/>
  <c r="J4899" i="1"/>
  <c r="L4899" i="1" s="1"/>
  <c r="M4898" i="1"/>
  <c r="J4898" i="1"/>
  <c r="L4898" i="1" s="1"/>
  <c r="M4897" i="1"/>
  <c r="J4897" i="1"/>
  <c r="L4897" i="1" s="1"/>
  <c r="J4896" i="1"/>
  <c r="L4896" i="1" s="1"/>
  <c r="J4895" i="1"/>
  <c r="L4895" i="1" s="1"/>
  <c r="J4894" i="1"/>
  <c r="L4894" i="1" s="1"/>
  <c r="J4893" i="1"/>
  <c r="L4893" i="1" s="1"/>
  <c r="J4892" i="1"/>
  <c r="L4892" i="1" s="1"/>
  <c r="J4891" i="1"/>
  <c r="L4891" i="1" s="1"/>
  <c r="J4890" i="1"/>
  <c r="L4890" i="1" s="1"/>
  <c r="J4889" i="1"/>
  <c r="L4889" i="1" s="1"/>
  <c r="J4888" i="1"/>
  <c r="L4888" i="1" s="1"/>
  <c r="J4887" i="1"/>
  <c r="L4887" i="1" s="1"/>
  <c r="N4886" i="1"/>
  <c r="J4886" i="1"/>
  <c r="L4886" i="1" s="1"/>
  <c r="Q4886" i="1" s="1"/>
  <c r="J4885" i="1"/>
  <c r="L4885" i="1" s="1"/>
  <c r="J4884" i="1"/>
  <c r="L4884" i="1" s="1"/>
  <c r="J4883" i="1"/>
  <c r="L4883" i="1" s="1"/>
  <c r="J4882" i="1"/>
  <c r="L4882" i="1" s="1"/>
  <c r="J4881" i="1"/>
  <c r="L4881" i="1" s="1"/>
  <c r="J4880" i="1"/>
  <c r="L4880" i="1" s="1"/>
  <c r="J4879" i="1"/>
  <c r="L4879" i="1" s="1"/>
  <c r="J4878" i="1"/>
  <c r="L4878" i="1" s="1"/>
  <c r="M4877" i="1"/>
  <c r="J4877" i="1"/>
  <c r="L4877" i="1" s="1"/>
  <c r="J4876" i="1"/>
  <c r="L4876" i="1" s="1"/>
  <c r="J4875" i="1"/>
  <c r="L4875" i="1" s="1"/>
  <c r="J4874" i="1"/>
  <c r="L4874" i="1" s="1"/>
  <c r="J4873" i="1"/>
  <c r="L4873" i="1" s="1"/>
  <c r="J4872" i="1"/>
  <c r="L4872" i="1" s="1"/>
  <c r="M4871" i="1"/>
  <c r="J4871" i="1"/>
  <c r="L4871" i="1" s="1"/>
  <c r="M4870" i="1"/>
  <c r="J4870" i="1"/>
  <c r="L4870" i="1" s="1"/>
  <c r="J4869" i="1"/>
  <c r="L4869" i="1" s="1"/>
  <c r="J4868" i="1"/>
  <c r="L4868" i="1" s="1"/>
  <c r="J4867" i="1"/>
  <c r="L4867" i="1" s="1"/>
  <c r="M4866" i="1"/>
  <c r="J4866" i="1"/>
  <c r="L4866" i="1" s="1"/>
  <c r="M4865" i="1"/>
  <c r="J4865" i="1"/>
  <c r="L4865" i="1" s="1"/>
  <c r="M4864" i="1"/>
  <c r="J4864" i="1"/>
  <c r="L4864" i="1" s="1"/>
  <c r="M4863" i="1"/>
  <c r="J4863" i="1"/>
  <c r="L4863" i="1" s="1"/>
  <c r="M4862" i="1"/>
  <c r="J4862" i="1"/>
  <c r="L4862" i="1" s="1"/>
  <c r="M4861" i="1"/>
  <c r="J4861" i="1"/>
  <c r="L4861" i="1" s="1"/>
  <c r="J4860" i="1"/>
  <c r="L4860" i="1" s="1"/>
  <c r="J4859" i="1"/>
  <c r="L4859" i="1" s="1"/>
  <c r="L4858" i="1"/>
  <c r="J4857" i="1"/>
  <c r="L4857" i="1" s="1"/>
  <c r="J4856" i="1"/>
  <c r="L4856" i="1" s="1"/>
  <c r="J4855" i="1"/>
  <c r="L4855" i="1" s="1"/>
  <c r="J4854" i="1"/>
  <c r="L4854" i="1" s="1"/>
  <c r="J4853" i="1"/>
  <c r="L4853" i="1" s="1"/>
  <c r="J4852" i="1"/>
  <c r="L4852" i="1" s="1"/>
  <c r="J4851" i="1"/>
  <c r="L4851" i="1" s="1"/>
  <c r="J4850" i="1"/>
  <c r="L4850" i="1" s="1"/>
  <c r="J4849" i="1"/>
  <c r="L4849" i="1" s="1"/>
  <c r="J4848" i="1"/>
  <c r="L4848" i="1" s="1"/>
  <c r="J4847" i="1"/>
  <c r="L4847" i="1" s="1"/>
  <c r="J4846" i="1"/>
  <c r="L4846" i="1" s="1"/>
  <c r="J4845" i="1"/>
  <c r="L4845" i="1" s="1"/>
  <c r="J4844" i="1"/>
  <c r="L4844" i="1" s="1"/>
  <c r="J4843" i="1"/>
  <c r="L4843" i="1" s="1"/>
  <c r="L4842" i="1"/>
  <c r="J4841" i="1"/>
  <c r="L4841" i="1" s="1"/>
  <c r="J4840" i="1"/>
  <c r="L4840" i="1" s="1"/>
  <c r="J4839" i="1"/>
  <c r="L4839" i="1" s="1"/>
  <c r="J4838" i="1"/>
  <c r="L4838" i="1" s="1"/>
  <c r="J4837" i="1"/>
  <c r="L4837" i="1" s="1"/>
  <c r="J4836" i="1"/>
  <c r="L4836" i="1" s="1"/>
  <c r="J4835" i="1"/>
  <c r="L4835" i="1" s="1"/>
  <c r="J4834" i="1"/>
  <c r="L4834" i="1" s="1"/>
  <c r="J4833" i="1"/>
  <c r="L4833" i="1" s="1"/>
  <c r="J4832" i="1"/>
  <c r="L4832" i="1" s="1"/>
  <c r="J4831" i="1"/>
  <c r="L4831" i="1" s="1"/>
  <c r="M4830" i="1"/>
  <c r="J4830" i="1"/>
  <c r="L4830" i="1" s="1"/>
  <c r="M4829" i="1"/>
  <c r="J4829" i="1"/>
  <c r="L4829" i="1" s="1"/>
  <c r="M4828" i="1"/>
  <c r="J4828" i="1"/>
  <c r="L4828" i="1" s="1"/>
  <c r="M4827" i="1"/>
  <c r="J4827" i="1"/>
  <c r="L4827" i="1" s="1"/>
  <c r="M4826" i="1"/>
  <c r="J4826" i="1"/>
  <c r="L4826" i="1" s="1"/>
  <c r="M4825" i="1"/>
  <c r="J4825" i="1"/>
  <c r="L4825" i="1" s="1"/>
  <c r="M4824" i="1"/>
  <c r="J4824" i="1"/>
  <c r="L4824" i="1" s="1"/>
  <c r="M4823" i="1"/>
  <c r="J4823" i="1"/>
  <c r="L4823" i="1" s="1"/>
  <c r="M4822" i="1"/>
  <c r="J4822" i="1"/>
  <c r="L4822" i="1" s="1"/>
  <c r="J4821" i="1"/>
  <c r="L4821" i="1" s="1"/>
  <c r="J4820" i="1"/>
  <c r="L4820" i="1" s="1"/>
  <c r="J4819" i="1"/>
  <c r="L4819" i="1" s="1"/>
  <c r="J4818" i="1"/>
  <c r="L4818" i="1" s="1"/>
  <c r="J4817" i="1"/>
  <c r="L4817" i="1" s="1"/>
  <c r="J4816" i="1"/>
  <c r="L4816" i="1" s="1"/>
  <c r="J4815" i="1"/>
  <c r="L4815" i="1" s="1"/>
  <c r="J4814" i="1"/>
  <c r="L4814" i="1" s="1"/>
  <c r="J4813" i="1"/>
  <c r="L4813" i="1" s="1"/>
  <c r="J4812" i="1"/>
  <c r="L4812" i="1" s="1"/>
  <c r="J4811" i="1"/>
  <c r="L4811" i="1" s="1"/>
  <c r="J4810" i="1"/>
  <c r="L4810" i="1" s="1"/>
  <c r="J4809" i="1"/>
  <c r="L4809" i="1" s="1"/>
  <c r="J4808" i="1"/>
  <c r="L4808" i="1" s="1"/>
  <c r="J4807" i="1"/>
  <c r="L4807" i="1" s="1"/>
  <c r="M4806" i="1"/>
  <c r="J4806" i="1"/>
  <c r="L4806" i="1" s="1"/>
  <c r="M4805" i="1"/>
  <c r="J4805" i="1"/>
  <c r="L4805" i="1" s="1"/>
  <c r="J4804" i="1"/>
  <c r="L4804" i="1" s="1"/>
  <c r="J4803" i="1"/>
  <c r="L4803" i="1" s="1"/>
  <c r="M4802" i="1"/>
  <c r="K4802" i="1"/>
  <c r="J4802" i="1"/>
  <c r="J4801" i="1"/>
  <c r="L4801" i="1" s="1"/>
  <c r="M4800" i="1"/>
  <c r="J4800" i="1"/>
  <c r="L4800" i="1" s="1"/>
  <c r="M4799" i="1"/>
  <c r="J4799" i="1"/>
  <c r="L4799" i="1" s="1"/>
  <c r="J4798" i="1"/>
  <c r="L4798" i="1" s="1"/>
  <c r="J4797" i="1"/>
  <c r="L4797" i="1" s="1"/>
  <c r="J4796" i="1"/>
  <c r="L4796" i="1" s="1"/>
  <c r="J4795" i="1"/>
  <c r="L4795" i="1" s="1"/>
  <c r="K4794" i="1"/>
  <c r="J4794" i="1"/>
  <c r="J4793" i="1"/>
  <c r="L4793" i="1" s="1"/>
  <c r="J4792" i="1"/>
  <c r="L4792" i="1" s="1"/>
  <c r="J4791" i="1"/>
  <c r="L4791" i="1" s="1"/>
  <c r="J4790" i="1"/>
  <c r="L4790" i="1" s="1"/>
  <c r="J4789" i="1"/>
  <c r="L4789" i="1" s="1"/>
  <c r="J4788" i="1"/>
  <c r="L4788" i="1" s="1"/>
  <c r="J4787" i="1"/>
  <c r="L4787" i="1" s="1"/>
  <c r="J4786" i="1"/>
  <c r="L4786" i="1" s="1"/>
  <c r="J4785" i="1"/>
  <c r="L4785" i="1" s="1"/>
  <c r="J4784" i="1"/>
  <c r="L4784" i="1" s="1"/>
  <c r="J4783" i="1"/>
  <c r="L4783" i="1" s="1"/>
  <c r="J4782" i="1"/>
  <c r="L4782" i="1" s="1"/>
  <c r="J4781" i="1"/>
  <c r="L4781" i="1" s="1"/>
  <c r="J4780" i="1"/>
  <c r="L4780" i="1" s="1"/>
  <c r="J4779" i="1"/>
  <c r="L4779" i="1" s="1"/>
  <c r="J4778" i="1"/>
  <c r="L4778" i="1" s="1"/>
  <c r="J4777" i="1"/>
  <c r="L4777" i="1" s="1"/>
  <c r="J4776" i="1"/>
  <c r="L4776" i="1" s="1"/>
  <c r="J4775" i="1"/>
  <c r="L4775" i="1" s="1"/>
  <c r="J4774" i="1"/>
  <c r="L4774" i="1" s="1"/>
  <c r="J4773" i="1"/>
  <c r="L4773" i="1" s="1"/>
  <c r="J4772" i="1"/>
  <c r="L4772" i="1" s="1"/>
  <c r="J4771" i="1"/>
  <c r="L4771" i="1" s="1"/>
  <c r="J4770" i="1"/>
  <c r="L4770" i="1" s="1"/>
  <c r="J4769" i="1"/>
  <c r="L4769" i="1" s="1"/>
  <c r="J4768" i="1"/>
  <c r="L4768" i="1" s="1"/>
  <c r="J4767" i="1"/>
  <c r="L4767" i="1" s="1"/>
  <c r="N4766" i="1"/>
  <c r="J4766" i="1"/>
  <c r="L4766" i="1" s="1"/>
  <c r="Q4766" i="1" s="1"/>
  <c r="N4765" i="1"/>
  <c r="J4765" i="1"/>
  <c r="L4765" i="1" s="1"/>
  <c r="Q4765" i="1" s="1"/>
  <c r="N4764" i="1"/>
  <c r="J4764" i="1"/>
  <c r="L4764" i="1" s="1"/>
  <c r="Q4764" i="1" s="1"/>
  <c r="N4763" i="1"/>
  <c r="J4763" i="1"/>
  <c r="L4763" i="1" s="1"/>
  <c r="Q4763" i="1" s="1"/>
  <c r="N4762" i="1"/>
  <c r="J4762" i="1"/>
  <c r="L4762" i="1" s="1"/>
  <c r="Q4762" i="1" s="1"/>
  <c r="J4761" i="1"/>
  <c r="L4761" i="1" s="1"/>
  <c r="N4760" i="1"/>
  <c r="J4760" i="1"/>
  <c r="L4760" i="1" s="1"/>
  <c r="J4759" i="1"/>
  <c r="L4759" i="1" s="1"/>
  <c r="J4758" i="1"/>
  <c r="L4758" i="1" s="1"/>
  <c r="J4757" i="1"/>
  <c r="L4757" i="1" s="1"/>
  <c r="J4756" i="1"/>
  <c r="L4756" i="1" s="1"/>
  <c r="J4755" i="1"/>
  <c r="L4755" i="1" s="1"/>
  <c r="J4754" i="1"/>
  <c r="L4754" i="1" s="1"/>
  <c r="M4753" i="1"/>
  <c r="J4753" i="1"/>
  <c r="L4753" i="1" s="1"/>
  <c r="J4752" i="1"/>
  <c r="L4752" i="1" s="1"/>
  <c r="J4751" i="1"/>
  <c r="L4751" i="1" s="1"/>
  <c r="J4750" i="1"/>
  <c r="L4750" i="1" s="1"/>
  <c r="J4749" i="1"/>
  <c r="L4749" i="1" s="1"/>
  <c r="M4748" i="1"/>
  <c r="J4748" i="1"/>
  <c r="L4748" i="1" s="1"/>
  <c r="M4747" i="1"/>
  <c r="J4747" i="1"/>
  <c r="L4747" i="1" s="1"/>
  <c r="M4746" i="1"/>
  <c r="J4746" i="1"/>
  <c r="L4746" i="1" s="1"/>
  <c r="M4745" i="1"/>
  <c r="J4745" i="1"/>
  <c r="L4745" i="1" s="1"/>
  <c r="J4744" i="1"/>
  <c r="L4744" i="1" s="1"/>
  <c r="J4743" i="1"/>
  <c r="L4743" i="1" s="1"/>
  <c r="J4742" i="1"/>
  <c r="L4742" i="1" s="1"/>
  <c r="J4741" i="1"/>
  <c r="L4741" i="1" s="1"/>
  <c r="J4740" i="1"/>
  <c r="L4740" i="1" s="1"/>
  <c r="J4739" i="1"/>
  <c r="L4739" i="1" s="1"/>
  <c r="J4738" i="1"/>
  <c r="L4738" i="1" s="1"/>
  <c r="J4737" i="1"/>
  <c r="L4737" i="1" s="1"/>
  <c r="J4736" i="1"/>
  <c r="L4736" i="1" s="1"/>
  <c r="J4735" i="1"/>
  <c r="L4735" i="1" s="1"/>
  <c r="J4734" i="1"/>
  <c r="L4734" i="1" s="1"/>
  <c r="J4733" i="1"/>
  <c r="L4733" i="1" s="1"/>
  <c r="J4732" i="1"/>
  <c r="L4732" i="1" s="1"/>
  <c r="J4731" i="1"/>
  <c r="L4731" i="1" s="1"/>
  <c r="J4730" i="1"/>
  <c r="L4730" i="1" s="1"/>
  <c r="J4729" i="1"/>
  <c r="L4729" i="1" s="1"/>
  <c r="J4728" i="1"/>
  <c r="L4728" i="1" s="1"/>
  <c r="J4727" i="1"/>
  <c r="L4727" i="1" s="1"/>
  <c r="M4726" i="1"/>
  <c r="J4726" i="1"/>
  <c r="L4726" i="1" s="1"/>
  <c r="M4725" i="1"/>
  <c r="J4725" i="1"/>
  <c r="L4725" i="1" s="1"/>
  <c r="M4724" i="1"/>
  <c r="J4724" i="1"/>
  <c r="L4724" i="1" s="1"/>
  <c r="M4723" i="1"/>
  <c r="J4723" i="1"/>
  <c r="L4723" i="1" s="1"/>
  <c r="M4722" i="1"/>
  <c r="J4722" i="1"/>
  <c r="L4722" i="1" s="1"/>
  <c r="M4721" i="1"/>
  <c r="J4721" i="1"/>
  <c r="L4721" i="1" s="1"/>
  <c r="M4720" i="1"/>
  <c r="J4720" i="1"/>
  <c r="L4720" i="1" s="1"/>
  <c r="J4719" i="1"/>
  <c r="L4719" i="1" s="1"/>
  <c r="J4718" i="1"/>
  <c r="L4718" i="1" s="1"/>
  <c r="J4717" i="1"/>
  <c r="L4717" i="1" s="1"/>
  <c r="M4716" i="1"/>
  <c r="J4716" i="1"/>
  <c r="L4716" i="1" s="1"/>
  <c r="J4715" i="1"/>
  <c r="L4715" i="1" s="1"/>
  <c r="J4714" i="1"/>
  <c r="L4714" i="1" s="1"/>
  <c r="J4713" i="1"/>
  <c r="L4713" i="1" s="1"/>
  <c r="J4712" i="1"/>
  <c r="L4712" i="1" s="1"/>
  <c r="J4711" i="1"/>
  <c r="L4711" i="1" s="1"/>
  <c r="J4710" i="1"/>
  <c r="L4710" i="1" s="1"/>
  <c r="N4709" i="1"/>
  <c r="J4709" i="1"/>
  <c r="L4709" i="1" s="1"/>
  <c r="Q4709" i="1" s="1"/>
  <c r="J4708" i="1"/>
  <c r="L4708" i="1" s="1"/>
  <c r="M4707" i="1"/>
  <c r="J4707" i="1"/>
  <c r="L4707" i="1" s="1"/>
  <c r="J4706" i="1"/>
  <c r="L4706" i="1" s="1"/>
  <c r="J4705" i="1"/>
  <c r="L4705" i="1" s="1"/>
  <c r="J4704" i="1"/>
  <c r="L4704" i="1" s="1"/>
  <c r="J4703" i="1"/>
  <c r="L4703" i="1" s="1"/>
  <c r="J4702" i="1"/>
  <c r="L4702" i="1" s="1"/>
  <c r="J4701" i="1"/>
  <c r="L4701" i="1" s="1"/>
  <c r="J4700" i="1"/>
  <c r="L4700" i="1" s="1"/>
  <c r="J4699" i="1"/>
  <c r="L4699" i="1" s="1"/>
  <c r="J4698" i="1"/>
  <c r="L4698" i="1" s="1"/>
  <c r="J4697" i="1"/>
  <c r="L4697" i="1" s="1"/>
  <c r="J4696" i="1"/>
  <c r="L4696" i="1" s="1"/>
  <c r="J4695" i="1"/>
  <c r="L4695" i="1" s="1"/>
  <c r="J4694" i="1"/>
  <c r="L4694" i="1" s="1"/>
  <c r="J4693" i="1"/>
  <c r="L4693" i="1" s="1"/>
  <c r="J4692" i="1"/>
  <c r="L4692" i="1" s="1"/>
  <c r="J4691" i="1"/>
  <c r="L4691" i="1" s="1"/>
  <c r="L4690" i="1"/>
  <c r="J4690" i="1"/>
  <c r="J4689" i="1"/>
  <c r="L4689" i="1" s="1"/>
  <c r="J4688" i="1"/>
  <c r="L4688" i="1" s="1"/>
  <c r="J4687" i="1"/>
  <c r="L4687" i="1" s="1"/>
  <c r="J4686" i="1"/>
  <c r="L4686" i="1" s="1"/>
  <c r="J4685" i="1"/>
  <c r="L4685" i="1" s="1"/>
  <c r="J4684" i="1"/>
  <c r="L4684" i="1" s="1"/>
  <c r="J4683" i="1"/>
  <c r="L4683" i="1" s="1"/>
  <c r="J4682" i="1"/>
  <c r="L4682" i="1" s="1"/>
  <c r="J4681" i="1"/>
  <c r="L4681" i="1" s="1"/>
  <c r="M4680" i="1"/>
  <c r="J4680" i="1"/>
  <c r="L4680" i="1" s="1"/>
  <c r="M4679" i="1"/>
  <c r="J4679" i="1"/>
  <c r="L4679" i="1" s="1"/>
  <c r="J4678" i="1"/>
  <c r="L4678" i="1" s="1"/>
  <c r="J4677" i="1"/>
  <c r="L4677" i="1" s="1"/>
  <c r="J4676" i="1"/>
  <c r="L4676" i="1" s="1"/>
  <c r="J4675" i="1"/>
  <c r="L4675" i="1" s="1"/>
  <c r="J4674" i="1"/>
  <c r="L4674" i="1" s="1"/>
  <c r="N4673" i="1"/>
  <c r="J4673" i="1"/>
  <c r="L4673" i="1" s="1"/>
  <c r="M4672" i="1"/>
  <c r="J4672" i="1"/>
  <c r="L4672" i="1" s="1"/>
  <c r="M4671" i="1"/>
  <c r="J4671" i="1"/>
  <c r="L4671" i="1" s="1"/>
  <c r="M4670" i="1"/>
  <c r="J4670" i="1"/>
  <c r="L4670" i="1" s="1"/>
  <c r="J4669" i="1"/>
  <c r="L4669" i="1" s="1"/>
  <c r="J4668" i="1"/>
  <c r="L4668" i="1" s="1"/>
  <c r="J4667" i="1"/>
  <c r="L4667" i="1" s="1"/>
  <c r="J4666" i="1"/>
  <c r="L4666" i="1" s="1"/>
  <c r="J4665" i="1"/>
  <c r="L4665" i="1" s="1"/>
  <c r="J4664" i="1"/>
  <c r="L4664" i="1" s="1"/>
  <c r="J4663" i="1"/>
  <c r="L4663" i="1" s="1"/>
  <c r="J4662" i="1"/>
  <c r="L4662" i="1" s="1"/>
  <c r="J4661" i="1"/>
  <c r="L4661" i="1" s="1"/>
  <c r="J4660" i="1"/>
  <c r="L4660" i="1" s="1"/>
  <c r="J4659" i="1"/>
  <c r="L4659" i="1" s="1"/>
  <c r="J4658" i="1"/>
  <c r="L4658" i="1" s="1"/>
  <c r="J4657" i="1"/>
  <c r="L4657" i="1" s="1"/>
  <c r="J4656" i="1"/>
  <c r="L4656" i="1" s="1"/>
  <c r="J4655" i="1"/>
  <c r="L4655" i="1" s="1"/>
  <c r="J4654" i="1"/>
  <c r="L4654" i="1" s="1"/>
  <c r="J4653" i="1"/>
  <c r="L4653" i="1" s="1"/>
  <c r="J4652" i="1"/>
  <c r="L4652" i="1" s="1"/>
  <c r="J4651" i="1"/>
  <c r="L4651" i="1" s="1"/>
  <c r="N4650" i="1"/>
  <c r="J4650" i="1"/>
  <c r="L4650" i="1" s="1"/>
  <c r="J4649" i="1"/>
  <c r="L4649" i="1" s="1"/>
  <c r="J4648" i="1"/>
  <c r="L4648" i="1" s="1"/>
  <c r="J4647" i="1"/>
  <c r="L4647" i="1" s="1"/>
  <c r="J4646" i="1"/>
  <c r="L4646" i="1" s="1"/>
  <c r="J4645" i="1"/>
  <c r="L4645" i="1" s="1"/>
  <c r="J4644" i="1"/>
  <c r="L4644" i="1" s="1"/>
  <c r="M4643" i="1"/>
  <c r="J4643" i="1"/>
  <c r="L4643" i="1" s="1"/>
  <c r="M4642" i="1"/>
  <c r="J4642" i="1"/>
  <c r="L4642" i="1" s="1"/>
  <c r="J4641" i="1"/>
  <c r="L4641" i="1" s="1"/>
  <c r="J4640" i="1"/>
  <c r="L4640" i="1" s="1"/>
  <c r="J4639" i="1"/>
  <c r="L4639" i="1" s="1"/>
  <c r="J4638" i="1"/>
  <c r="L4638" i="1" s="1"/>
  <c r="J4637" i="1"/>
  <c r="L4637" i="1" s="1"/>
  <c r="J4636" i="1"/>
  <c r="L4636" i="1" s="1"/>
  <c r="J4635" i="1"/>
  <c r="L4635" i="1" s="1"/>
  <c r="J4634" i="1"/>
  <c r="L4634" i="1" s="1"/>
  <c r="J4633" i="1"/>
  <c r="L4633" i="1" s="1"/>
  <c r="L4632" i="1"/>
  <c r="J4632" i="1"/>
  <c r="J4631" i="1"/>
  <c r="L4631" i="1" s="1"/>
  <c r="K4630" i="1"/>
  <c r="J4630" i="1"/>
  <c r="J4629" i="1"/>
  <c r="L4629" i="1" s="1"/>
  <c r="J4628" i="1"/>
  <c r="L4628" i="1" s="1"/>
  <c r="J4627" i="1"/>
  <c r="L4627" i="1" s="1"/>
  <c r="J4626" i="1"/>
  <c r="L4626" i="1" s="1"/>
  <c r="J4625" i="1"/>
  <c r="L4625" i="1" s="1"/>
  <c r="J4624" i="1"/>
  <c r="L4624" i="1" s="1"/>
  <c r="J4623" i="1"/>
  <c r="L4623" i="1" s="1"/>
  <c r="J4622" i="1"/>
  <c r="L4622" i="1" s="1"/>
  <c r="J4621" i="1"/>
  <c r="L4621" i="1" s="1"/>
  <c r="J4620" i="1"/>
  <c r="L4620" i="1" s="1"/>
  <c r="J4619" i="1"/>
  <c r="L4619" i="1" s="1"/>
  <c r="J4618" i="1"/>
  <c r="L4618" i="1" s="1"/>
  <c r="J4617" i="1"/>
  <c r="L4617" i="1" s="1"/>
  <c r="J4616" i="1"/>
  <c r="L4616" i="1" s="1"/>
  <c r="J4615" i="1"/>
  <c r="L4615" i="1" s="1"/>
  <c r="P4614" i="1"/>
  <c r="J4614" i="1"/>
  <c r="L4614" i="1" s="1"/>
  <c r="O4614" i="1" s="1"/>
  <c r="L4613" i="1"/>
  <c r="J4613" i="1"/>
  <c r="J4612" i="1"/>
  <c r="L4612" i="1" s="1"/>
  <c r="J4611" i="1"/>
  <c r="L4611" i="1" s="1"/>
  <c r="J4610" i="1"/>
  <c r="L4610" i="1" s="1"/>
  <c r="M4609" i="1"/>
  <c r="J4609" i="1"/>
  <c r="L4609" i="1" s="1"/>
  <c r="J4608" i="1"/>
  <c r="L4608" i="1" s="1"/>
  <c r="J4607" i="1"/>
  <c r="L4607" i="1" s="1"/>
  <c r="J4606" i="1"/>
  <c r="L4606" i="1" s="1"/>
  <c r="J4605" i="1"/>
  <c r="L4605" i="1" s="1"/>
  <c r="J4604" i="1"/>
  <c r="L4604" i="1" s="1"/>
  <c r="J4603" i="1"/>
  <c r="L4603" i="1" s="1"/>
  <c r="J4602" i="1"/>
  <c r="L4602" i="1" s="1"/>
  <c r="J4601" i="1"/>
  <c r="L4601" i="1" s="1"/>
  <c r="J4600" i="1"/>
  <c r="L4600" i="1" s="1"/>
  <c r="J4599" i="1"/>
  <c r="L4599" i="1" s="1"/>
  <c r="J4598" i="1"/>
  <c r="L4598" i="1" s="1"/>
  <c r="J4597" i="1"/>
  <c r="L4597" i="1" s="1"/>
  <c r="J4596" i="1"/>
  <c r="L4596" i="1" s="1"/>
  <c r="J4595" i="1"/>
  <c r="L4595" i="1" s="1"/>
  <c r="J4594" i="1"/>
  <c r="L4594" i="1" s="1"/>
  <c r="J4593" i="1"/>
  <c r="L4593" i="1" s="1"/>
  <c r="M4592" i="1"/>
  <c r="L4592" i="1"/>
  <c r="J4592" i="1"/>
  <c r="J4591" i="1"/>
  <c r="L4591" i="1" s="1"/>
  <c r="J4590" i="1"/>
  <c r="L4590" i="1" s="1"/>
  <c r="J4589" i="1"/>
  <c r="L4589" i="1" s="1"/>
  <c r="N4588" i="1"/>
  <c r="J4588" i="1"/>
  <c r="L4588" i="1" s="1"/>
  <c r="Q4588" i="1" s="1"/>
  <c r="N4587" i="1"/>
  <c r="J4587" i="1"/>
  <c r="L4587" i="1" s="1"/>
  <c r="J4586" i="1"/>
  <c r="L4586" i="1" s="1"/>
  <c r="J4585" i="1"/>
  <c r="L4585" i="1" s="1"/>
  <c r="J4584" i="1"/>
  <c r="L4584" i="1" s="1"/>
  <c r="J4583" i="1"/>
  <c r="L4583" i="1" s="1"/>
  <c r="J4582" i="1"/>
  <c r="L4582" i="1" s="1"/>
  <c r="J4581" i="1"/>
  <c r="L4581" i="1" s="1"/>
  <c r="J4580" i="1"/>
  <c r="L4580" i="1" s="1"/>
  <c r="J4579" i="1"/>
  <c r="L4579" i="1" s="1"/>
  <c r="M4578" i="1"/>
  <c r="J4578" i="1"/>
  <c r="L4578" i="1" s="1"/>
  <c r="J4577" i="1"/>
  <c r="L4577" i="1" s="1"/>
  <c r="J4576" i="1"/>
  <c r="L4576" i="1" s="1"/>
  <c r="J4575" i="1"/>
  <c r="L4575" i="1" s="1"/>
  <c r="L4574" i="1"/>
  <c r="J4574" i="1"/>
  <c r="J4573" i="1"/>
  <c r="L4573" i="1" s="1"/>
  <c r="N4572" i="1"/>
  <c r="J4572" i="1"/>
  <c r="L4572" i="1" s="1"/>
  <c r="Q4572" i="1" s="1"/>
  <c r="J4571" i="1"/>
  <c r="L4571" i="1" s="1"/>
  <c r="J4570" i="1"/>
  <c r="L4570" i="1" s="1"/>
  <c r="J4569" i="1"/>
  <c r="L4569" i="1" s="1"/>
  <c r="J4568" i="1"/>
  <c r="L4568" i="1" s="1"/>
  <c r="J4567" i="1"/>
  <c r="L4567" i="1" s="1"/>
  <c r="J4566" i="1"/>
  <c r="L4566" i="1" s="1"/>
  <c r="J4565" i="1"/>
  <c r="L4565" i="1" s="1"/>
  <c r="J4564" i="1"/>
  <c r="L4564" i="1" s="1"/>
  <c r="J4563" i="1"/>
  <c r="L4563" i="1" s="1"/>
  <c r="J4562" i="1"/>
  <c r="L4562" i="1" s="1"/>
  <c r="J4561" i="1"/>
  <c r="L4561" i="1" s="1"/>
  <c r="J4560" i="1"/>
  <c r="L4560" i="1" s="1"/>
  <c r="J4559" i="1"/>
  <c r="L4559" i="1" s="1"/>
  <c r="J4558" i="1"/>
  <c r="L4558" i="1" s="1"/>
  <c r="N4557" i="1"/>
  <c r="J4557" i="1"/>
  <c r="L4557" i="1" s="1"/>
  <c r="J4556" i="1"/>
  <c r="L4556" i="1" s="1"/>
  <c r="J4555" i="1"/>
  <c r="L4555" i="1" s="1"/>
  <c r="K4554" i="1"/>
  <c r="J4554" i="1"/>
  <c r="J4553" i="1"/>
  <c r="L4553" i="1" s="1"/>
  <c r="J4552" i="1"/>
  <c r="L4552" i="1" s="1"/>
  <c r="N4551" i="1"/>
  <c r="L4551" i="1"/>
  <c r="Q4551" i="1" s="1"/>
  <c r="M4550" i="1"/>
  <c r="J4550" i="1"/>
  <c r="L4550" i="1" s="1"/>
  <c r="J4549" i="1"/>
  <c r="L4549" i="1" s="1"/>
  <c r="J4548" i="1"/>
  <c r="L4548" i="1" s="1"/>
  <c r="J4547" i="1"/>
  <c r="L4547" i="1" s="1"/>
  <c r="J4546" i="1"/>
  <c r="L4546" i="1" s="1"/>
  <c r="J4545" i="1"/>
  <c r="L4545" i="1" s="1"/>
  <c r="J4544" i="1"/>
  <c r="L4544" i="1" s="1"/>
  <c r="J4543" i="1"/>
  <c r="L4543" i="1" s="1"/>
  <c r="N4542" i="1"/>
  <c r="J4542" i="1"/>
  <c r="L4542" i="1" s="1"/>
  <c r="Q4542" i="1" s="1"/>
  <c r="N4541" i="1"/>
  <c r="J4541" i="1"/>
  <c r="L4541" i="1" s="1"/>
  <c r="Q4541" i="1" s="1"/>
  <c r="N4540" i="1"/>
  <c r="J4540" i="1"/>
  <c r="L4540" i="1" s="1"/>
  <c r="Q4540" i="1" s="1"/>
  <c r="J4539" i="1"/>
  <c r="L4539" i="1" s="1"/>
  <c r="M4538" i="1"/>
  <c r="J4538" i="1"/>
  <c r="L4538" i="1" s="1"/>
  <c r="M4537" i="1"/>
  <c r="J4537" i="1"/>
  <c r="L4537" i="1" s="1"/>
  <c r="J4536" i="1"/>
  <c r="L4536" i="1" s="1"/>
  <c r="J4535" i="1"/>
  <c r="L4535" i="1" s="1"/>
  <c r="J4534" i="1"/>
  <c r="L4534" i="1" s="1"/>
  <c r="J4533" i="1"/>
  <c r="L4533" i="1" s="1"/>
  <c r="J4532" i="1"/>
  <c r="L4532" i="1" s="1"/>
  <c r="M4531" i="1"/>
  <c r="J4531" i="1"/>
  <c r="L4531" i="1" s="1"/>
  <c r="M4530" i="1"/>
  <c r="J4530" i="1"/>
  <c r="L4530" i="1" s="1"/>
  <c r="J4529" i="1"/>
  <c r="L4529" i="1" s="1"/>
  <c r="J4528" i="1"/>
  <c r="L4528" i="1" s="1"/>
  <c r="J4527" i="1"/>
  <c r="L4527" i="1" s="1"/>
  <c r="J4526" i="1"/>
  <c r="L4526" i="1" s="1"/>
  <c r="J4525" i="1"/>
  <c r="L4525" i="1" s="1"/>
  <c r="J4524" i="1"/>
  <c r="L4524" i="1" s="1"/>
  <c r="J4523" i="1"/>
  <c r="L4523" i="1" s="1"/>
  <c r="J4522" i="1"/>
  <c r="L4522" i="1" s="1"/>
  <c r="J4521" i="1"/>
  <c r="L4521" i="1" s="1"/>
  <c r="J4520" i="1"/>
  <c r="L4520" i="1" s="1"/>
  <c r="J4519" i="1"/>
  <c r="L4519" i="1" s="1"/>
  <c r="J4518" i="1"/>
  <c r="L4518" i="1" s="1"/>
  <c r="J4517" i="1"/>
  <c r="L4517" i="1" s="1"/>
  <c r="J4516" i="1"/>
  <c r="L4516" i="1" s="1"/>
  <c r="J4515" i="1"/>
  <c r="L4515" i="1" s="1"/>
  <c r="J4514" i="1"/>
  <c r="L4514" i="1" s="1"/>
  <c r="J4513" i="1"/>
  <c r="L4513" i="1" s="1"/>
  <c r="J4512" i="1"/>
  <c r="L4512" i="1" s="1"/>
  <c r="J4511" i="1"/>
  <c r="L4511" i="1" s="1"/>
  <c r="J4510" i="1"/>
  <c r="L4510" i="1" s="1"/>
  <c r="J4509" i="1"/>
  <c r="L4509" i="1" s="1"/>
  <c r="J4508" i="1"/>
  <c r="L4508" i="1" s="1"/>
  <c r="J4507" i="1"/>
  <c r="L4507" i="1" s="1"/>
  <c r="J4506" i="1"/>
  <c r="L4506" i="1" s="1"/>
  <c r="J4505" i="1"/>
  <c r="L4505" i="1" s="1"/>
  <c r="J4504" i="1"/>
  <c r="L4504" i="1" s="1"/>
  <c r="J4503" i="1"/>
  <c r="L4503" i="1" s="1"/>
  <c r="J4502" i="1"/>
  <c r="L4502" i="1" s="1"/>
  <c r="J4501" i="1"/>
  <c r="L4501" i="1" s="1"/>
  <c r="J4500" i="1"/>
  <c r="L4500" i="1" s="1"/>
  <c r="J4499" i="1"/>
  <c r="L4499" i="1" s="1"/>
  <c r="J4498" i="1"/>
  <c r="L4498" i="1" s="1"/>
  <c r="J4497" i="1"/>
  <c r="L4497" i="1" s="1"/>
  <c r="N4496" i="1"/>
  <c r="J4496" i="1"/>
  <c r="L4496" i="1" s="1"/>
  <c r="Q4496" i="1" s="1"/>
  <c r="J4495" i="1"/>
  <c r="L4495" i="1" s="1"/>
  <c r="J4494" i="1"/>
  <c r="L4494" i="1" s="1"/>
  <c r="J4493" i="1"/>
  <c r="L4493" i="1" s="1"/>
  <c r="J4492" i="1"/>
  <c r="L4492" i="1" s="1"/>
  <c r="J4491" i="1"/>
  <c r="L4491" i="1" s="1"/>
  <c r="J4490" i="1"/>
  <c r="L4490" i="1" s="1"/>
  <c r="J4489" i="1"/>
  <c r="L4489" i="1" s="1"/>
  <c r="J4488" i="1"/>
  <c r="L4488" i="1" s="1"/>
  <c r="J4487" i="1"/>
  <c r="L4487" i="1" s="1"/>
  <c r="J4486" i="1"/>
  <c r="L4486" i="1" s="1"/>
  <c r="N4485" i="1"/>
  <c r="L4485" i="1"/>
  <c r="Q4485" i="1" s="1"/>
  <c r="J4484" i="1"/>
  <c r="L4484" i="1" s="1"/>
  <c r="J4483" i="1"/>
  <c r="L4483" i="1" s="1"/>
  <c r="J4482" i="1"/>
  <c r="L4482" i="1" s="1"/>
  <c r="J4481" i="1"/>
  <c r="L4481" i="1" s="1"/>
  <c r="J4480" i="1"/>
  <c r="L4480" i="1" s="1"/>
  <c r="J4479" i="1"/>
  <c r="L4479" i="1" s="1"/>
  <c r="J4478" i="1"/>
  <c r="L4478" i="1" s="1"/>
  <c r="J4477" i="1"/>
  <c r="L4477" i="1" s="1"/>
  <c r="L4476" i="1"/>
  <c r="J4475" i="1"/>
  <c r="L4475" i="1" s="1"/>
  <c r="Q4475" i="1" s="1"/>
  <c r="R4475" i="1" s="1"/>
  <c r="J4474" i="1"/>
  <c r="L4474" i="1" s="1"/>
  <c r="J4473" i="1"/>
  <c r="L4473" i="1" s="1"/>
  <c r="J4472" i="1"/>
  <c r="L4472" i="1" s="1"/>
  <c r="J4471" i="1"/>
  <c r="L4471" i="1" s="1"/>
  <c r="J4470" i="1"/>
  <c r="L4470" i="1" s="1"/>
  <c r="M4469" i="1"/>
  <c r="J4469" i="1"/>
  <c r="L4469" i="1" s="1"/>
  <c r="J4468" i="1"/>
  <c r="L4468" i="1" s="1"/>
  <c r="J4467" i="1"/>
  <c r="L4467" i="1" s="1"/>
  <c r="J4466" i="1"/>
  <c r="L4466" i="1" s="1"/>
  <c r="J4465" i="1"/>
  <c r="L4465" i="1" s="1"/>
  <c r="J4464" i="1"/>
  <c r="L4464" i="1" s="1"/>
  <c r="J4463" i="1"/>
  <c r="L4463" i="1" s="1"/>
  <c r="J4462" i="1"/>
  <c r="L4462" i="1" s="1"/>
  <c r="J4461" i="1"/>
  <c r="L4461" i="1" s="1"/>
  <c r="J4460" i="1"/>
  <c r="L4460" i="1" s="1"/>
  <c r="J4459" i="1"/>
  <c r="L4459" i="1" s="1"/>
  <c r="J4458" i="1"/>
  <c r="L4458" i="1" s="1"/>
  <c r="N4457" i="1"/>
  <c r="J4457" i="1"/>
  <c r="L4457" i="1" s="1"/>
  <c r="Q4457" i="1" s="1"/>
  <c r="N4456" i="1"/>
  <c r="J4456" i="1"/>
  <c r="L4456" i="1" s="1"/>
  <c r="Q4456" i="1" s="1"/>
  <c r="J4455" i="1"/>
  <c r="L4455" i="1" s="1"/>
  <c r="P4454" i="1"/>
  <c r="J4454" i="1"/>
  <c r="L4454" i="1" s="1"/>
  <c r="O4454" i="1" s="1"/>
  <c r="J4453" i="1"/>
  <c r="L4453" i="1" s="1"/>
  <c r="J4452" i="1"/>
  <c r="L4452" i="1" s="1"/>
  <c r="J4451" i="1"/>
  <c r="L4451" i="1" s="1"/>
  <c r="N4450" i="1"/>
  <c r="J4450" i="1"/>
  <c r="L4450" i="1" s="1"/>
  <c r="Q4450" i="1" s="1"/>
  <c r="N4449" i="1"/>
  <c r="J4449" i="1"/>
  <c r="L4449" i="1" s="1"/>
  <c r="Q4449" i="1" s="1"/>
  <c r="J4448" i="1"/>
  <c r="L4448" i="1" s="1"/>
  <c r="J4447" i="1"/>
  <c r="L4447" i="1" s="1"/>
  <c r="J4446" i="1"/>
  <c r="L4446" i="1" s="1"/>
  <c r="J4445" i="1"/>
  <c r="L4445" i="1" s="1"/>
  <c r="J4444" i="1"/>
  <c r="L4444" i="1" s="1"/>
  <c r="J4443" i="1"/>
  <c r="L4443" i="1" s="1"/>
  <c r="J4442" i="1"/>
  <c r="L4442" i="1" s="1"/>
  <c r="J4441" i="1"/>
  <c r="L4441" i="1" s="1"/>
  <c r="J4440" i="1"/>
  <c r="L4440" i="1" s="1"/>
  <c r="J4439" i="1"/>
  <c r="L4439" i="1" s="1"/>
  <c r="J4438" i="1"/>
  <c r="L4438" i="1" s="1"/>
  <c r="J4437" i="1"/>
  <c r="L4437" i="1" s="1"/>
  <c r="J4436" i="1"/>
  <c r="L4436" i="1" s="1"/>
  <c r="J4435" i="1"/>
  <c r="L4435" i="1" s="1"/>
  <c r="J4434" i="1"/>
  <c r="L4434" i="1" s="1"/>
  <c r="J4433" i="1"/>
  <c r="L4433" i="1" s="1"/>
  <c r="P4432" i="1"/>
  <c r="J4432" i="1"/>
  <c r="L4432" i="1" s="1"/>
  <c r="O4432" i="1" s="1"/>
  <c r="J4431" i="1"/>
  <c r="L4431" i="1" s="1"/>
  <c r="J4430" i="1"/>
  <c r="L4430" i="1" s="1"/>
  <c r="J4429" i="1"/>
  <c r="L4429" i="1" s="1"/>
  <c r="J4428" i="1"/>
  <c r="L4428" i="1" s="1"/>
  <c r="J4427" i="1"/>
  <c r="L4427" i="1" s="1"/>
  <c r="J4426" i="1"/>
  <c r="L4426" i="1" s="1"/>
  <c r="J4425" i="1"/>
  <c r="L4425" i="1" s="1"/>
  <c r="J4424" i="1"/>
  <c r="L4424" i="1" s="1"/>
  <c r="J4423" i="1"/>
  <c r="L4423" i="1" s="1"/>
  <c r="J4422" i="1"/>
  <c r="L4422" i="1" s="1"/>
  <c r="J4421" i="1"/>
  <c r="L4421" i="1" s="1"/>
  <c r="J4420" i="1"/>
  <c r="L4420" i="1" s="1"/>
  <c r="J4419" i="1"/>
  <c r="L4419" i="1" s="1"/>
  <c r="J4418" i="1"/>
  <c r="L4418" i="1" s="1"/>
  <c r="J4417" i="1"/>
  <c r="L4417" i="1" s="1"/>
  <c r="J4416" i="1"/>
  <c r="L4416" i="1" s="1"/>
  <c r="M4415" i="1"/>
  <c r="J4415" i="1"/>
  <c r="L4415" i="1" s="1"/>
  <c r="J4414" i="1"/>
  <c r="L4414" i="1" s="1"/>
  <c r="J4413" i="1"/>
  <c r="L4413" i="1" s="1"/>
  <c r="J4412" i="1"/>
  <c r="L4412" i="1" s="1"/>
  <c r="J4411" i="1"/>
  <c r="L4411" i="1" s="1"/>
  <c r="J4410" i="1"/>
  <c r="L4410" i="1" s="1"/>
  <c r="J4409" i="1"/>
  <c r="L4409" i="1" s="1"/>
  <c r="M4408" i="1"/>
  <c r="J4408" i="1"/>
  <c r="L4408" i="1" s="1"/>
  <c r="J4407" i="1"/>
  <c r="L4407" i="1" s="1"/>
  <c r="J4406" i="1"/>
  <c r="L4406" i="1" s="1"/>
  <c r="J4405" i="1"/>
  <c r="L4405" i="1" s="1"/>
  <c r="J4404" i="1"/>
  <c r="L4404" i="1" s="1"/>
  <c r="J4403" i="1"/>
  <c r="L4403" i="1" s="1"/>
  <c r="J4402" i="1"/>
  <c r="L4402" i="1" s="1"/>
  <c r="J4401" i="1"/>
  <c r="L4401" i="1" s="1"/>
  <c r="J4400" i="1"/>
  <c r="L4400" i="1" s="1"/>
  <c r="J4399" i="1"/>
  <c r="L4399" i="1" s="1"/>
  <c r="J4398" i="1"/>
  <c r="L4398" i="1" s="1"/>
  <c r="J4397" i="1"/>
  <c r="L4397" i="1" s="1"/>
  <c r="J4396" i="1"/>
  <c r="L4396" i="1" s="1"/>
  <c r="J4395" i="1"/>
  <c r="L4395" i="1" s="1"/>
  <c r="J4394" i="1"/>
  <c r="L4394" i="1" s="1"/>
  <c r="M4393" i="1"/>
  <c r="J4393" i="1"/>
  <c r="L4393" i="1" s="1"/>
  <c r="M4392" i="1"/>
  <c r="J4392" i="1"/>
  <c r="L4392" i="1" s="1"/>
  <c r="M4391" i="1"/>
  <c r="J4391" i="1"/>
  <c r="L4391" i="1" s="1"/>
  <c r="J4390" i="1"/>
  <c r="L4390" i="1" s="1"/>
  <c r="J4389" i="1"/>
  <c r="L4389" i="1" s="1"/>
  <c r="J4388" i="1"/>
  <c r="L4388" i="1" s="1"/>
  <c r="J4387" i="1"/>
  <c r="L4387" i="1" s="1"/>
  <c r="J4386" i="1"/>
  <c r="L4386" i="1" s="1"/>
  <c r="J4385" i="1"/>
  <c r="L4385" i="1" s="1"/>
  <c r="J4384" i="1"/>
  <c r="L4384" i="1" s="1"/>
  <c r="J4383" i="1"/>
  <c r="L4383" i="1" s="1"/>
  <c r="J4382" i="1"/>
  <c r="L4382" i="1" s="1"/>
  <c r="J4381" i="1"/>
  <c r="L4381" i="1" s="1"/>
  <c r="J4380" i="1"/>
  <c r="L4380" i="1" s="1"/>
  <c r="J4379" i="1"/>
  <c r="L4379" i="1" s="1"/>
  <c r="J4378" i="1"/>
  <c r="L4378" i="1" s="1"/>
  <c r="J4377" i="1"/>
  <c r="L4377" i="1" s="1"/>
  <c r="J4376" i="1"/>
  <c r="L4376" i="1" s="1"/>
  <c r="J4375" i="1"/>
  <c r="L4375" i="1" s="1"/>
  <c r="M4374" i="1"/>
  <c r="J4374" i="1"/>
  <c r="L4374" i="1" s="1"/>
  <c r="M4373" i="1"/>
  <c r="J4373" i="1"/>
  <c r="L4373" i="1" s="1"/>
  <c r="M4372" i="1"/>
  <c r="J4372" i="1"/>
  <c r="L4372" i="1" s="1"/>
  <c r="M4371" i="1"/>
  <c r="J4371" i="1"/>
  <c r="L4371" i="1" s="1"/>
  <c r="M4370" i="1"/>
  <c r="J4370" i="1"/>
  <c r="L4370" i="1" s="1"/>
  <c r="M4369" i="1"/>
  <c r="J4369" i="1"/>
  <c r="L4369" i="1" s="1"/>
  <c r="M4368" i="1"/>
  <c r="J4368" i="1"/>
  <c r="L4368" i="1" s="1"/>
  <c r="M4367" i="1"/>
  <c r="J4367" i="1"/>
  <c r="L4367" i="1" s="1"/>
  <c r="M4366" i="1"/>
  <c r="J4366" i="1"/>
  <c r="L4366" i="1" s="1"/>
  <c r="M4365" i="1"/>
  <c r="J4365" i="1"/>
  <c r="L4365" i="1" s="1"/>
  <c r="M4364" i="1"/>
  <c r="J4364" i="1"/>
  <c r="L4364" i="1" s="1"/>
  <c r="J4363" i="1"/>
  <c r="L4363" i="1" s="1"/>
  <c r="J4362" i="1"/>
  <c r="L4362" i="1" s="1"/>
  <c r="J4361" i="1"/>
  <c r="L4361" i="1" s="1"/>
  <c r="J4360" i="1"/>
  <c r="L4360" i="1" s="1"/>
  <c r="M4359" i="1"/>
  <c r="J4359" i="1"/>
  <c r="L4359" i="1" s="1"/>
  <c r="M4358" i="1"/>
  <c r="J4358" i="1"/>
  <c r="L4358" i="1" s="1"/>
  <c r="J4357" i="1"/>
  <c r="L4357" i="1" s="1"/>
  <c r="J4356" i="1"/>
  <c r="L4356" i="1" s="1"/>
  <c r="J4355" i="1"/>
  <c r="L4355" i="1" s="1"/>
  <c r="J4354" i="1"/>
  <c r="L4354" i="1" s="1"/>
  <c r="J4353" i="1"/>
  <c r="L4353" i="1" s="1"/>
  <c r="J4352" i="1"/>
  <c r="L4352" i="1" s="1"/>
  <c r="J4351" i="1"/>
  <c r="L4351" i="1" s="1"/>
  <c r="J4350" i="1"/>
  <c r="L4350" i="1" s="1"/>
  <c r="J4349" i="1"/>
  <c r="L4349" i="1" s="1"/>
  <c r="J4348" i="1"/>
  <c r="L4348" i="1" s="1"/>
  <c r="J4347" i="1"/>
  <c r="L4347" i="1" s="1"/>
  <c r="J4346" i="1"/>
  <c r="L4346" i="1" s="1"/>
  <c r="J4345" i="1"/>
  <c r="L4345" i="1" s="1"/>
  <c r="N4344" i="1"/>
  <c r="J4344" i="1"/>
  <c r="L4344" i="1" s="1"/>
  <c r="Q4344" i="1" s="1"/>
  <c r="N4343" i="1"/>
  <c r="J4343" i="1"/>
  <c r="L4343" i="1" s="1"/>
  <c r="Q4343" i="1" s="1"/>
  <c r="J4342" i="1"/>
  <c r="L4342" i="1" s="1"/>
  <c r="J4341" i="1"/>
  <c r="L4341" i="1" s="1"/>
  <c r="J4340" i="1"/>
  <c r="L4340" i="1" s="1"/>
  <c r="J4339" i="1"/>
  <c r="L4339" i="1" s="1"/>
  <c r="J4338" i="1"/>
  <c r="L4338" i="1" s="1"/>
  <c r="J4337" i="1"/>
  <c r="L4337" i="1" s="1"/>
  <c r="J4336" i="1"/>
  <c r="L4336" i="1" s="1"/>
  <c r="J4335" i="1"/>
  <c r="L4335" i="1" s="1"/>
  <c r="J4334" i="1"/>
  <c r="L4334" i="1" s="1"/>
  <c r="K4333" i="1"/>
  <c r="J4333" i="1"/>
  <c r="J4332" i="1"/>
  <c r="L4332" i="1" s="1"/>
  <c r="N4331" i="1"/>
  <c r="J4331" i="1"/>
  <c r="L4331" i="1" s="1"/>
  <c r="Q4331" i="1" s="1"/>
  <c r="N4330" i="1"/>
  <c r="J4330" i="1"/>
  <c r="L4330" i="1" s="1"/>
  <c r="Q4330" i="1" s="1"/>
  <c r="J4329" i="1"/>
  <c r="L4329" i="1" s="1"/>
  <c r="J4328" i="1"/>
  <c r="L4328" i="1" s="1"/>
  <c r="J4327" i="1"/>
  <c r="L4327" i="1" s="1"/>
  <c r="J4326" i="1"/>
  <c r="L4326" i="1" s="1"/>
  <c r="J4325" i="1"/>
  <c r="L4325" i="1" s="1"/>
  <c r="J4324" i="1"/>
  <c r="L4324" i="1" s="1"/>
  <c r="J4323" i="1"/>
  <c r="L4323" i="1" s="1"/>
  <c r="J4322" i="1"/>
  <c r="L4322" i="1" s="1"/>
  <c r="J4321" i="1"/>
  <c r="L4321" i="1" s="1"/>
  <c r="J4320" i="1"/>
  <c r="L4320" i="1" s="1"/>
  <c r="N4319" i="1"/>
  <c r="J4319" i="1"/>
  <c r="L4319" i="1" s="1"/>
  <c r="Q4319" i="1" s="1"/>
  <c r="J4318" i="1"/>
  <c r="L4318" i="1" s="1"/>
  <c r="J4317" i="1"/>
  <c r="L4317" i="1" s="1"/>
  <c r="J4316" i="1"/>
  <c r="L4316" i="1" s="1"/>
  <c r="J4315" i="1"/>
  <c r="L4315" i="1" s="1"/>
  <c r="J4314" i="1"/>
  <c r="L4314" i="1" s="1"/>
  <c r="J4313" i="1"/>
  <c r="L4313" i="1" s="1"/>
  <c r="J4312" i="1"/>
  <c r="L4312" i="1" s="1"/>
  <c r="J4311" i="1"/>
  <c r="L4311" i="1" s="1"/>
  <c r="J4310" i="1"/>
  <c r="L4310" i="1" s="1"/>
  <c r="J4309" i="1"/>
  <c r="L4309" i="1" s="1"/>
  <c r="J4308" i="1"/>
  <c r="L4308" i="1" s="1"/>
  <c r="J4307" i="1"/>
  <c r="L4307" i="1" s="1"/>
  <c r="J4306" i="1"/>
  <c r="L4306" i="1" s="1"/>
  <c r="J4305" i="1"/>
  <c r="L4305" i="1" s="1"/>
  <c r="J4304" i="1"/>
  <c r="L4304" i="1" s="1"/>
  <c r="J4303" i="1"/>
  <c r="L4303" i="1" s="1"/>
  <c r="J4302" i="1"/>
  <c r="L4302" i="1" s="1"/>
  <c r="J4301" i="1"/>
  <c r="L4301" i="1" s="1"/>
  <c r="J4300" i="1"/>
  <c r="L4300" i="1" s="1"/>
  <c r="J4299" i="1"/>
  <c r="L4299" i="1" s="1"/>
  <c r="J4298" i="1"/>
  <c r="L4298" i="1" s="1"/>
  <c r="J4297" i="1"/>
  <c r="L4297" i="1" s="1"/>
  <c r="J4296" i="1"/>
  <c r="L4296" i="1" s="1"/>
  <c r="J4295" i="1"/>
  <c r="L4295" i="1" s="1"/>
  <c r="J4294" i="1"/>
  <c r="L4294" i="1" s="1"/>
  <c r="J4293" i="1"/>
  <c r="L4293" i="1" s="1"/>
  <c r="P4292" i="1"/>
  <c r="J4292" i="1"/>
  <c r="L4292" i="1" s="1"/>
  <c r="O4292" i="1" s="1"/>
  <c r="J4291" i="1"/>
  <c r="L4291" i="1" s="1"/>
  <c r="P4290" i="1"/>
  <c r="J4290" i="1"/>
  <c r="L4290" i="1" s="1"/>
  <c r="O4290" i="1" s="1"/>
  <c r="M4289" i="1"/>
  <c r="J4289" i="1"/>
  <c r="L4289" i="1" s="1"/>
  <c r="J4288" i="1"/>
  <c r="L4288" i="1" s="1"/>
  <c r="J4287" i="1"/>
  <c r="L4287" i="1" s="1"/>
  <c r="J4286" i="1"/>
  <c r="L4286" i="1" s="1"/>
  <c r="P4285" i="1"/>
  <c r="J4285" i="1"/>
  <c r="L4285" i="1" s="1"/>
  <c r="O4285" i="1" s="1"/>
  <c r="P4284" i="1"/>
  <c r="J4284" i="1"/>
  <c r="L4284" i="1" s="1"/>
  <c r="O4284" i="1" s="1"/>
  <c r="J4283" i="1"/>
  <c r="L4283" i="1" s="1"/>
  <c r="J4282" i="1"/>
  <c r="L4282" i="1" s="1"/>
  <c r="J4281" i="1"/>
  <c r="L4281" i="1" s="1"/>
  <c r="J4280" i="1"/>
  <c r="L4280" i="1" s="1"/>
  <c r="J4279" i="1"/>
  <c r="L4279" i="1" s="1"/>
  <c r="J4278" i="1"/>
  <c r="L4278" i="1" s="1"/>
  <c r="J4277" i="1"/>
  <c r="L4277" i="1" s="1"/>
  <c r="J4276" i="1"/>
  <c r="L4276" i="1" s="1"/>
  <c r="J4275" i="1"/>
  <c r="L4275" i="1" s="1"/>
  <c r="J4274" i="1"/>
  <c r="L4274" i="1" s="1"/>
  <c r="J4273" i="1"/>
  <c r="L4273" i="1" s="1"/>
  <c r="J4272" i="1"/>
  <c r="L4272" i="1" s="1"/>
  <c r="J4271" i="1"/>
  <c r="L4271" i="1" s="1"/>
  <c r="J4270" i="1"/>
  <c r="L4270" i="1" s="1"/>
  <c r="J4269" i="1"/>
  <c r="L4269" i="1" s="1"/>
  <c r="J4268" i="1"/>
  <c r="L4268" i="1" s="1"/>
  <c r="J4267" i="1"/>
  <c r="L4267" i="1" s="1"/>
  <c r="J4266" i="1"/>
  <c r="L4266" i="1" s="1"/>
  <c r="J4265" i="1"/>
  <c r="L4265" i="1" s="1"/>
  <c r="N4264" i="1"/>
  <c r="J4264" i="1"/>
  <c r="L4264" i="1" s="1"/>
  <c r="Q4264" i="1" s="1"/>
  <c r="J4263" i="1"/>
  <c r="L4263" i="1" s="1"/>
  <c r="J4262" i="1"/>
  <c r="L4262" i="1" s="1"/>
  <c r="P4261" i="1"/>
  <c r="J4261" i="1"/>
  <c r="L4261" i="1" s="1"/>
  <c r="O4261" i="1" s="1"/>
  <c r="J4260" i="1"/>
  <c r="L4260" i="1" s="1"/>
  <c r="J4259" i="1"/>
  <c r="L4259" i="1" s="1"/>
  <c r="J4258" i="1"/>
  <c r="L4258" i="1" s="1"/>
  <c r="J4257" i="1"/>
  <c r="L4257" i="1" s="1"/>
  <c r="J4256" i="1"/>
  <c r="L4256" i="1" s="1"/>
  <c r="J4255" i="1"/>
  <c r="L4255" i="1" s="1"/>
  <c r="J4254" i="1"/>
  <c r="L4254" i="1" s="1"/>
  <c r="J4253" i="1"/>
  <c r="L4253" i="1" s="1"/>
  <c r="J4252" i="1"/>
  <c r="L4252" i="1" s="1"/>
  <c r="J4251" i="1"/>
  <c r="L4251" i="1" s="1"/>
  <c r="J4250" i="1"/>
  <c r="L4250" i="1" s="1"/>
  <c r="J4249" i="1"/>
  <c r="L4249" i="1" s="1"/>
  <c r="J4248" i="1"/>
  <c r="L4248" i="1" s="1"/>
  <c r="N4247" i="1"/>
  <c r="J4247" i="1"/>
  <c r="L4247" i="1" s="1"/>
  <c r="Q4247" i="1" s="1"/>
  <c r="J4246" i="1"/>
  <c r="L4246" i="1" s="1"/>
  <c r="J4245" i="1"/>
  <c r="L4245" i="1" s="1"/>
  <c r="J4244" i="1"/>
  <c r="L4244" i="1" s="1"/>
  <c r="M4243" i="1"/>
  <c r="J4243" i="1"/>
  <c r="L4243" i="1" s="1"/>
  <c r="J4242" i="1"/>
  <c r="L4242" i="1" s="1"/>
  <c r="J4241" i="1"/>
  <c r="L4241" i="1" s="1"/>
  <c r="J4240" i="1"/>
  <c r="L4240" i="1" s="1"/>
  <c r="M4239" i="1"/>
  <c r="J4239" i="1"/>
  <c r="L4239" i="1" s="1"/>
  <c r="M4238" i="1"/>
  <c r="J4238" i="1"/>
  <c r="L4238" i="1" s="1"/>
  <c r="M4237" i="1"/>
  <c r="J4237" i="1"/>
  <c r="L4237" i="1" s="1"/>
  <c r="M4236" i="1"/>
  <c r="J4236" i="1"/>
  <c r="L4236" i="1" s="1"/>
  <c r="M4235" i="1"/>
  <c r="J4235" i="1"/>
  <c r="L4235" i="1" s="1"/>
  <c r="M4234" i="1"/>
  <c r="J4234" i="1"/>
  <c r="L4234" i="1" s="1"/>
  <c r="M4233" i="1"/>
  <c r="J4233" i="1"/>
  <c r="L4233" i="1" s="1"/>
  <c r="M4232" i="1"/>
  <c r="J4232" i="1"/>
  <c r="L4232" i="1" s="1"/>
  <c r="M4231" i="1"/>
  <c r="J4231" i="1"/>
  <c r="L4231" i="1" s="1"/>
  <c r="M4230" i="1"/>
  <c r="J4230" i="1"/>
  <c r="L4230" i="1" s="1"/>
  <c r="J4229" i="1"/>
  <c r="L4229" i="1" s="1"/>
  <c r="K4228" i="1"/>
  <c r="J4228" i="1"/>
  <c r="J4227" i="1"/>
  <c r="L4227" i="1" s="1"/>
  <c r="J4226" i="1"/>
  <c r="L4226" i="1" s="1"/>
  <c r="J4225" i="1"/>
  <c r="L4225" i="1" s="1"/>
  <c r="J4224" i="1"/>
  <c r="L4224" i="1" s="1"/>
  <c r="J4223" i="1"/>
  <c r="L4223" i="1" s="1"/>
  <c r="J4222" i="1"/>
  <c r="L4222" i="1" s="1"/>
  <c r="N4221" i="1"/>
  <c r="J4221" i="1"/>
  <c r="L4221" i="1" s="1"/>
  <c r="Q4221" i="1" s="1"/>
  <c r="J4220" i="1"/>
  <c r="L4220" i="1" s="1"/>
  <c r="J4219" i="1"/>
  <c r="L4219" i="1" s="1"/>
  <c r="J4218" i="1"/>
  <c r="L4218" i="1" s="1"/>
  <c r="J4217" i="1"/>
  <c r="L4217" i="1" s="1"/>
  <c r="J4216" i="1"/>
  <c r="L4216" i="1" s="1"/>
  <c r="J4215" i="1"/>
  <c r="L4215" i="1" s="1"/>
  <c r="J4214" i="1"/>
  <c r="L4214" i="1" s="1"/>
  <c r="M4213" i="1"/>
  <c r="J4213" i="1"/>
  <c r="L4213" i="1" s="1"/>
  <c r="M4212" i="1"/>
  <c r="J4212" i="1"/>
  <c r="L4212" i="1" s="1"/>
  <c r="M4211" i="1"/>
  <c r="J4211" i="1"/>
  <c r="L4211" i="1" s="1"/>
  <c r="M4210" i="1"/>
  <c r="J4210" i="1"/>
  <c r="L4210" i="1" s="1"/>
  <c r="M4209" i="1"/>
  <c r="J4209" i="1"/>
  <c r="L4209" i="1" s="1"/>
  <c r="M4208" i="1"/>
  <c r="J4208" i="1"/>
  <c r="L4208" i="1" s="1"/>
  <c r="J4207" i="1"/>
  <c r="L4207" i="1" s="1"/>
  <c r="J4206" i="1"/>
  <c r="L4206" i="1" s="1"/>
  <c r="J4205" i="1"/>
  <c r="L4205" i="1" s="1"/>
  <c r="J4204" i="1"/>
  <c r="L4204" i="1" s="1"/>
  <c r="J4203" i="1"/>
  <c r="L4203" i="1" s="1"/>
  <c r="J4202" i="1"/>
  <c r="L4202" i="1" s="1"/>
  <c r="J4201" i="1"/>
  <c r="L4201" i="1" s="1"/>
  <c r="J4200" i="1"/>
  <c r="L4200" i="1" s="1"/>
  <c r="J4199" i="1"/>
  <c r="L4199" i="1" s="1"/>
  <c r="J4198" i="1"/>
  <c r="L4198" i="1" s="1"/>
  <c r="J4197" i="1"/>
  <c r="L4197" i="1" s="1"/>
  <c r="J4196" i="1"/>
  <c r="L4196" i="1" s="1"/>
  <c r="J4195" i="1"/>
  <c r="L4195" i="1" s="1"/>
  <c r="J4194" i="1"/>
  <c r="L4194" i="1" s="1"/>
  <c r="J4193" i="1"/>
  <c r="L4193" i="1" s="1"/>
  <c r="J4192" i="1"/>
  <c r="L4192" i="1" s="1"/>
  <c r="M4191" i="1"/>
  <c r="J4191" i="1"/>
  <c r="L4191" i="1" s="1"/>
  <c r="M4190" i="1"/>
  <c r="J4190" i="1"/>
  <c r="L4190" i="1" s="1"/>
  <c r="M4189" i="1"/>
  <c r="J4189" i="1"/>
  <c r="L4189" i="1" s="1"/>
  <c r="M4188" i="1"/>
  <c r="J4188" i="1"/>
  <c r="L4188" i="1" s="1"/>
  <c r="M4187" i="1"/>
  <c r="J4187" i="1"/>
  <c r="L4187" i="1" s="1"/>
  <c r="J4186" i="1"/>
  <c r="L4186" i="1" s="1"/>
  <c r="J4185" i="1"/>
  <c r="L4185" i="1" s="1"/>
  <c r="J4184" i="1"/>
  <c r="L4184" i="1" s="1"/>
  <c r="J4183" i="1"/>
  <c r="L4183" i="1" s="1"/>
  <c r="J4182" i="1"/>
  <c r="L4182" i="1" s="1"/>
  <c r="J4181" i="1"/>
  <c r="L4181" i="1" s="1"/>
  <c r="J4180" i="1"/>
  <c r="L4180" i="1" s="1"/>
  <c r="Q4180" i="1" s="1"/>
  <c r="R4180" i="1" s="1"/>
  <c r="J4179" i="1"/>
  <c r="L4179" i="1" s="1"/>
  <c r="J4178" i="1"/>
  <c r="L4178" i="1" s="1"/>
  <c r="J4177" i="1"/>
  <c r="L4177" i="1" s="1"/>
  <c r="J4176" i="1"/>
  <c r="L4176" i="1" s="1"/>
  <c r="J4175" i="1"/>
  <c r="L4175" i="1" s="1"/>
  <c r="J4174" i="1"/>
  <c r="L4174" i="1" s="1"/>
  <c r="J4173" i="1"/>
  <c r="L4173" i="1" s="1"/>
  <c r="J4172" i="1"/>
  <c r="L4172" i="1" s="1"/>
  <c r="J4171" i="1"/>
  <c r="L4171" i="1" s="1"/>
  <c r="J4170" i="1"/>
  <c r="L4170" i="1" s="1"/>
  <c r="J4169" i="1"/>
  <c r="L4169" i="1" s="1"/>
  <c r="J4168" i="1"/>
  <c r="L4168" i="1" s="1"/>
  <c r="J4167" i="1"/>
  <c r="L4167" i="1" s="1"/>
  <c r="J4166" i="1"/>
  <c r="L4166" i="1" s="1"/>
  <c r="N4165" i="1"/>
  <c r="J4165" i="1"/>
  <c r="L4165" i="1" s="1"/>
  <c r="Q4165" i="1" s="1"/>
  <c r="J4164" i="1"/>
  <c r="L4164" i="1" s="1"/>
  <c r="J4163" i="1"/>
  <c r="L4163" i="1" s="1"/>
  <c r="J4162" i="1"/>
  <c r="L4162" i="1" s="1"/>
  <c r="J4161" i="1"/>
  <c r="L4161" i="1" s="1"/>
  <c r="J4160" i="1"/>
  <c r="L4160" i="1" s="1"/>
  <c r="J4159" i="1"/>
  <c r="L4159" i="1" s="1"/>
  <c r="J4158" i="1"/>
  <c r="L4158" i="1" s="1"/>
  <c r="J4157" i="1"/>
  <c r="L4157" i="1" s="1"/>
  <c r="J4156" i="1"/>
  <c r="L4156" i="1" s="1"/>
  <c r="J4155" i="1"/>
  <c r="L4155" i="1" s="1"/>
  <c r="J4154" i="1"/>
  <c r="L4154" i="1" s="1"/>
  <c r="J4153" i="1"/>
  <c r="L4153" i="1" s="1"/>
  <c r="J4152" i="1"/>
  <c r="L4152" i="1" s="1"/>
  <c r="J4151" i="1"/>
  <c r="L4151" i="1" s="1"/>
  <c r="M4150" i="1"/>
  <c r="J4150" i="1"/>
  <c r="L4150" i="1" s="1"/>
  <c r="M4149" i="1"/>
  <c r="J4149" i="1"/>
  <c r="L4149" i="1" s="1"/>
  <c r="M4148" i="1"/>
  <c r="J4148" i="1"/>
  <c r="L4148" i="1" s="1"/>
  <c r="J4147" i="1"/>
  <c r="L4147" i="1" s="1"/>
  <c r="J4146" i="1"/>
  <c r="L4146" i="1" s="1"/>
  <c r="J4145" i="1"/>
  <c r="L4145" i="1" s="1"/>
  <c r="O4144" i="1"/>
  <c r="M4144" i="1"/>
  <c r="J4144" i="1"/>
  <c r="L4144" i="1" s="1"/>
  <c r="Q4144" i="1" s="1"/>
  <c r="J4143" i="1"/>
  <c r="L4143" i="1" s="1"/>
  <c r="J4142" i="1"/>
  <c r="L4142" i="1" s="1"/>
  <c r="J4141" i="1"/>
  <c r="L4141" i="1" s="1"/>
  <c r="J4140" i="1"/>
  <c r="L4140" i="1" s="1"/>
  <c r="J4139" i="1"/>
  <c r="L4139" i="1" s="1"/>
  <c r="J4138" i="1"/>
  <c r="L4138" i="1" s="1"/>
  <c r="J4137" i="1"/>
  <c r="L4137" i="1" s="1"/>
  <c r="J4136" i="1"/>
  <c r="L4136" i="1" s="1"/>
  <c r="J4135" i="1"/>
  <c r="L4135" i="1" s="1"/>
  <c r="J4134" i="1"/>
  <c r="L4134" i="1" s="1"/>
  <c r="J4133" i="1"/>
  <c r="L4133" i="1" s="1"/>
  <c r="J4132" i="1"/>
  <c r="L4132" i="1" s="1"/>
  <c r="J4131" i="1"/>
  <c r="L4131" i="1" s="1"/>
  <c r="J4130" i="1"/>
  <c r="L4130" i="1" s="1"/>
  <c r="M4129" i="1"/>
  <c r="J4129" i="1"/>
  <c r="L4129" i="1" s="1"/>
  <c r="M4128" i="1"/>
  <c r="J4128" i="1"/>
  <c r="L4128" i="1" s="1"/>
  <c r="M4127" i="1"/>
  <c r="J4127" i="1"/>
  <c r="L4127" i="1" s="1"/>
  <c r="M4126" i="1"/>
  <c r="J4126" i="1"/>
  <c r="L4126" i="1" s="1"/>
  <c r="J4125" i="1"/>
  <c r="L4125" i="1" s="1"/>
  <c r="J4124" i="1"/>
  <c r="L4124" i="1" s="1"/>
  <c r="J4123" i="1"/>
  <c r="L4123" i="1" s="1"/>
  <c r="J4122" i="1"/>
  <c r="L4122" i="1" s="1"/>
  <c r="J4121" i="1"/>
  <c r="L4121" i="1" s="1"/>
  <c r="J4120" i="1"/>
  <c r="L4120" i="1" s="1"/>
  <c r="J4119" i="1"/>
  <c r="L4119" i="1" s="1"/>
  <c r="M4118" i="1"/>
  <c r="J4118" i="1"/>
  <c r="L4118" i="1" s="1"/>
  <c r="J4117" i="1"/>
  <c r="L4117" i="1" s="1"/>
  <c r="J4116" i="1"/>
  <c r="L4116" i="1" s="1"/>
  <c r="M4115" i="1"/>
  <c r="J4115" i="1"/>
  <c r="L4115" i="1" s="1"/>
  <c r="M4114" i="1"/>
  <c r="J4114" i="1"/>
  <c r="L4114" i="1" s="1"/>
  <c r="M4113" i="1"/>
  <c r="J4113" i="1"/>
  <c r="L4113" i="1" s="1"/>
  <c r="J4112" i="1"/>
  <c r="L4112" i="1" s="1"/>
  <c r="J4111" i="1"/>
  <c r="L4111" i="1" s="1"/>
  <c r="J4110" i="1"/>
  <c r="L4110" i="1" s="1"/>
  <c r="J4109" i="1"/>
  <c r="L4109" i="1" s="1"/>
  <c r="J4108" i="1"/>
  <c r="L4108" i="1" s="1"/>
  <c r="J4107" i="1"/>
  <c r="L4107" i="1" s="1"/>
  <c r="J4106" i="1"/>
  <c r="L4106" i="1" s="1"/>
  <c r="J4105" i="1"/>
  <c r="L4105" i="1" s="1"/>
  <c r="J4104" i="1"/>
  <c r="L4104" i="1" s="1"/>
  <c r="N4103" i="1"/>
  <c r="J4103" i="1"/>
  <c r="L4103" i="1" s="1"/>
  <c r="Q4103" i="1" s="1"/>
  <c r="N4102" i="1"/>
  <c r="J4102" i="1"/>
  <c r="L4102" i="1" s="1"/>
  <c r="Q4102" i="1" s="1"/>
  <c r="N4101" i="1"/>
  <c r="J4101" i="1"/>
  <c r="L4101" i="1" s="1"/>
  <c r="Q4101" i="1" s="1"/>
  <c r="J4100" i="1"/>
  <c r="L4100" i="1" s="1"/>
  <c r="J4099" i="1"/>
  <c r="L4099" i="1" s="1"/>
  <c r="J4098" i="1"/>
  <c r="L4098" i="1" s="1"/>
  <c r="J4097" i="1"/>
  <c r="L4097" i="1" s="1"/>
  <c r="J4096" i="1"/>
  <c r="L4096" i="1" s="1"/>
  <c r="J4095" i="1"/>
  <c r="L4095" i="1" s="1"/>
  <c r="L4094" i="1"/>
  <c r="J4093" i="1"/>
  <c r="L4093" i="1" s="1"/>
  <c r="J4092" i="1"/>
  <c r="L4092" i="1" s="1"/>
  <c r="M4091" i="1"/>
  <c r="J4091" i="1"/>
  <c r="L4091" i="1" s="1"/>
  <c r="M4090" i="1"/>
  <c r="J4090" i="1"/>
  <c r="L4090" i="1" s="1"/>
  <c r="M4089" i="1"/>
  <c r="J4089" i="1"/>
  <c r="L4089" i="1" s="1"/>
  <c r="M4088" i="1"/>
  <c r="J4088" i="1"/>
  <c r="L4088" i="1" s="1"/>
  <c r="J4087" i="1"/>
  <c r="L4087" i="1" s="1"/>
  <c r="M4086" i="1"/>
  <c r="J4086" i="1"/>
  <c r="L4086" i="1" s="1"/>
  <c r="M4085" i="1"/>
  <c r="J4085" i="1"/>
  <c r="L4085" i="1" s="1"/>
  <c r="M4084" i="1"/>
  <c r="J4084" i="1"/>
  <c r="L4084" i="1" s="1"/>
  <c r="M4083" i="1"/>
  <c r="J4083" i="1"/>
  <c r="L4083" i="1" s="1"/>
  <c r="M4082" i="1"/>
  <c r="J4082" i="1"/>
  <c r="L4082" i="1" s="1"/>
  <c r="M4081" i="1"/>
  <c r="J4081" i="1"/>
  <c r="L4081" i="1" s="1"/>
  <c r="M4080" i="1"/>
  <c r="J4080" i="1"/>
  <c r="L4080" i="1" s="1"/>
  <c r="M4079" i="1"/>
  <c r="J4079" i="1"/>
  <c r="L4079" i="1" s="1"/>
  <c r="M4078" i="1"/>
  <c r="J4078" i="1"/>
  <c r="L4078" i="1" s="1"/>
  <c r="M4077" i="1"/>
  <c r="J4077" i="1"/>
  <c r="L4077" i="1" s="1"/>
  <c r="M4076" i="1"/>
  <c r="J4076" i="1"/>
  <c r="L4076" i="1" s="1"/>
  <c r="M4075" i="1"/>
  <c r="J4075" i="1"/>
  <c r="L4075" i="1" s="1"/>
  <c r="J4074" i="1"/>
  <c r="L4074" i="1" s="1"/>
  <c r="J4073" i="1"/>
  <c r="L4073" i="1" s="1"/>
  <c r="J4072" i="1"/>
  <c r="L4072" i="1" s="1"/>
  <c r="M4071" i="1"/>
  <c r="J4071" i="1"/>
  <c r="L4071" i="1" s="1"/>
  <c r="M4070" i="1"/>
  <c r="J4070" i="1"/>
  <c r="L4070" i="1" s="1"/>
  <c r="M4069" i="1"/>
  <c r="J4069" i="1"/>
  <c r="L4069" i="1" s="1"/>
  <c r="M4068" i="1"/>
  <c r="J4068" i="1"/>
  <c r="L4068" i="1" s="1"/>
  <c r="J4067" i="1"/>
  <c r="L4067" i="1" s="1"/>
  <c r="J4066" i="1"/>
  <c r="L4066" i="1" s="1"/>
  <c r="J4065" i="1"/>
  <c r="L4065" i="1" s="1"/>
  <c r="J4064" i="1"/>
  <c r="L4064" i="1" s="1"/>
  <c r="J4063" i="1"/>
  <c r="L4063" i="1" s="1"/>
  <c r="O4062" i="1"/>
  <c r="M4062" i="1"/>
  <c r="J4062" i="1"/>
  <c r="L4062" i="1" s="1"/>
  <c r="Q4062" i="1" s="1"/>
  <c r="M4061" i="1"/>
  <c r="J4061" i="1"/>
  <c r="L4061" i="1" s="1"/>
  <c r="M4060" i="1"/>
  <c r="J4060" i="1"/>
  <c r="L4060" i="1" s="1"/>
  <c r="O4059" i="1"/>
  <c r="M4059" i="1"/>
  <c r="J4059" i="1"/>
  <c r="L4059" i="1" s="1"/>
  <c r="Q4059" i="1" s="1"/>
  <c r="M4058" i="1"/>
  <c r="J4058" i="1"/>
  <c r="L4058" i="1" s="1"/>
  <c r="M4057" i="1"/>
  <c r="J4057" i="1"/>
  <c r="L4057" i="1" s="1"/>
  <c r="M4056" i="1"/>
  <c r="J4056" i="1"/>
  <c r="L4056" i="1" s="1"/>
  <c r="O4055" i="1"/>
  <c r="M4055" i="1"/>
  <c r="J4055" i="1"/>
  <c r="L4055" i="1" s="1"/>
  <c r="Q4055" i="1" s="1"/>
  <c r="M4054" i="1"/>
  <c r="J4054" i="1"/>
  <c r="L4054" i="1" s="1"/>
  <c r="J4053" i="1"/>
  <c r="L4053" i="1" s="1"/>
  <c r="J4052" i="1"/>
  <c r="L4052" i="1" s="1"/>
  <c r="M4051" i="1"/>
  <c r="J4051" i="1"/>
  <c r="L4051" i="1" s="1"/>
  <c r="M4050" i="1"/>
  <c r="J4050" i="1"/>
  <c r="L4050" i="1" s="1"/>
  <c r="M4049" i="1"/>
  <c r="J4049" i="1"/>
  <c r="L4049" i="1" s="1"/>
  <c r="M4048" i="1"/>
  <c r="J4048" i="1"/>
  <c r="L4048" i="1" s="1"/>
  <c r="M4047" i="1"/>
  <c r="J4047" i="1"/>
  <c r="L4047" i="1" s="1"/>
  <c r="M4046" i="1"/>
  <c r="J4046" i="1"/>
  <c r="L4046" i="1" s="1"/>
  <c r="M4045" i="1"/>
  <c r="J4045" i="1"/>
  <c r="L4045" i="1" s="1"/>
  <c r="J4044" i="1"/>
  <c r="L4044" i="1" s="1"/>
  <c r="J4043" i="1"/>
  <c r="L4043" i="1" s="1"/>
  <c r="J4042" i="1"/>
  <c r="L4042" i="1" s="1"/>
  <c r="J4041" i="1"/>
  <c r="L4041" i="1" s="1"/>
  <c r="J4040" i="1"/>
  <c r="L4040" i="1" s="1"/>
  <c r="M4039" i="1"/>
  <c r="J4039" i="1"/>
  <c r="L4039" i="1" s="1"/>
  <c r="M4038" i="1"/>
  <c r="J4038" i="1"/>
  <c r="L4038" i="1" s="1"/>
  <c r="J4037" i="1"/>
  <c r="L4037" i="1" s="1"/>
  <c r="P4036" i="1"/>
  <c r="Q4036" i="1" s="1"/>
  <c r="L4036" i="1"/>
  <c r="O4036" i="1" s="1"/>
  <c r="J4035" i="1"/>
  <c r="L4035" i="1" s="1"/>
  <c r="J4034" i="1"/>
  <c r="L4034" i="1" s="1"/>
  <c r="M4033" i="1"/>
  <c r="J4033" i="1"/>
  <c r="L4033" i="1" s="1"/>
  <c r="J4032" i="1"/>
  <c r="L4032" i="1" s="1"/>
  <c r="J4031" i="1"/>
  <c r="L4031" i="1" s="1"/>
  <c r="P4030" i="1"/>
  <c r="L4030" i="1"/>
  <c r="O4030" i="1" s="1"/>
  <c r="J4029" i="1"/>
  <c r="L4029" i="1" s="1"/>
  <c r="J4028" i="1"/>
  <c r="L4028" i="1" s="1"/>
  <c r="J4027" i="1"/>
  <c r="L4027" i="1" s="1"/>
  <c r="J4026" i="1"/>
  <c r="L4026" i="1" s="1"/>
  <c r="J4025" i="1"/>
  <c r="L4025" i="1" s="1"/>
  <c r="J4024" i="1"/>
  <c r="L4024" i="1" s="1"/>
  <c r="J4023" i="1"/>
  <c r="L4023" i="1" s="1"/>
  <c r="J4022" i="1"/>
  <c r="L4022" i="1" s="1"/>
  <c r="J4021" i="1"/>
  <c r="L4021" i="1" s="1"/>
  <c r="J4020" i="1"/>
  <c r="L4020" i="1" s="1"/>
  <c r="J4019" i="1"/>
  <c r="L4019" i="1" s="1"/>
  <c r="N4018" i="1"/>
  <c r="J4018" i="1"/>
  <c r="L4018" i="1" s="1"/>
  <c r="Q4018" i="1" s="1"/>
  <c r="N4017" i="1"/>
  <c r="J4017" i="1"/>
  <c r="L4017" i="1" s="1"/>
  <c r="Q4017" i="1" s="1"/>
  <c r="J4016" i="1"/>
  <c r="L4016" i="1" s="1"/>
  <c r="J4015" i="1"/>
  <c r="L4015" i="1" s="1"/>
  <c r="J4014" i="1"/>
  <c r="L4014" i="1" s="1"/>
  <c r="J4013" i="1"/>
  <c r="L4013" i="1" s="1"/>
  <c r="J4012" i="1"/>
  <c r="L4012" i="1" s="1"/>
  <c r="M4011" i="1"/>
  <c r="J4011" i="1"/>
  <c r="L4011" i="1" s="1"/>
  <c r="J4010" i="1"/>
  <c r="L4010" i="1" s="1"/>
  <c r="J4009" i="1"/>
  <c r="L4009" i="1" s="1"/>
  <c r="J4008" i="1"/>
  <c r="L4008" i="1" s="1"/>
  <c r="M4007" i="1"/>
  <c r="J4007" i="1"/>
  <c r="L4007" i="1" s="1"/>
  <c r="J4006" i="1"/>
  <c r="L4006" i="1" s="1"/>
  <c r="J4005" i="1"/>
  <c r="L4005" i="1" s="1"/>
  <c r="J4004" i="1"/>
  <c r="L4004" i="1" s="1"/>
  <c r="J4003" i="1"/>
  <c r="L4003" i="1" s="1"/>
  <c r="J4002" i="1"/>
  <c r="L4002" i="1" s="1"/>
  <c r="J4001" i="1"/>
  <c r="L4001" i="1" s="1"/>
  <c r="J4000" i="1"/>
  <c r="L4000" i="1" s="1"/>
  <c r="J3999" i="1"/>
  <c r="L3999" i="1" s="1"/>
  <c r="J3998" i="1"/>
  <c r="L3998" i="1" s="1"/>
  <c r="J3997" i="1"/>
  <c r="L3997" i="1" s="1"/>
  <c r="J3996" i="1"/>
  <c r="L3996" i="1" s="1"/>
  <c r="J3995" i="1"/>
  <c r="L3995" i="1" s="1"/>
  <c r="J3994" i="1"/>
  <c r="L3994" i="1" s="1"/>
  <c r="J3993" i="1"/>
  <c r="L3993" i="1" s="1"/>
  <c r="J3992" i="1"/>
  <c r="L3992" i="1" s="1"/>
  <c r="J3991" i="1"/>
  <c r="L3991" i="1" s="1"/>
  <c r="J3990" i="1"/>
  <c r="L3990" i="1" s="1"/>
  <c r="P3989" i="1"/>
  <c r="Q3989" i="1" s="1"/>
  <c r="O3989" i="1"/>
  <c r="J3989" i="1"/>
  <c r="J3988" i="1"/>
  <c r="L3988" i="1" s="1"/>
  <c r="J3987" i="1"/>
  <c r="L3987" i="1" s="1"/>
  <c r="J3986" i="1"/>
  <c r="L3986" i="1" s="1"/>
  <c r="J3985" i="1"/>
  <c r="L3985" i="1" s="1"/>
  <c r="J3984" i="1"/>
  <c r="L3984" i="1" s="1"/>
  <c r="J3983" i="1"/>
  <c r="L3983" i="1" s="1"/>
  <c r="J3982" i="1"/>
  <c r="L3982" i="1" s="1"/>
  <c r="J3981" i="1"/>
  <c r="L3981" i="1" s="1"/>
  <c r="J3980" i="1"/>
  <c r="L3980" i="1" s="1"/>
  <c r="J3979" i="1"/>
  <c r="L3979" i="1" s="1"/>
  <c r="J3978" i="1"/>
  <c r="L3978" i="1" s="1"/>
  <c r="J3977" i="1"/>
  <c r="L3977" i="1" s="1"/>
  <c r="K3976" i="1"/>
  <c r="J3976" i="1"/>
  <c r="J3975" i="1"/>
  <c r="L3975" i="1" s="1"/>
  <c r="J3974" i="1"/>
  <c r="L3974" i="1" s="1"/>
  <c r="J3973" i="1"/>
  <c r="L3973" i="1" s="1"/>
  <c r="J3972" i="1"/>
  <c r="L3972" i="1" s="1"/>
  <c r="J3971" i="1"/>
  <c r="L3971" i="1" s="1"/>
  <c r="J3970" i="1"/>
  <c r="L3970" i="1" s="1"/>
  <c r="J3969" i="1"/>
  <c r="L3969" i="1" s="1"/>
  <c r="J3968" i="1"/>
  <c r="L3968" i="1" s="1"/>
  <c r="J3967" i="1"/>
  <c r="L3967" i="1" s="1"/>
  <c r="J3966" i="1"/>
  <c r="L3966" i="1" s="1"/>
  <c r="N3965" i="1"/>
  <c r="J3965" i="1"/>
  <c r="L3965" i="1" s="1"/>
  <c r="Q3965" i="1" s="1"/>
  <c r="J3964" i="1"/>
  <c r="L3964" i="1" s="1"/>
  <c r="M3963" i="1"/>
  <c r="J3963" i="1"/>
  <c r="L3963" i="1" s="1"/>
  <c r="M3962" i="1"/>
  <c r="J3962" i="1"/>
  <c r="L3962" i="1" s="1"/>
  <c r="M3961" i="1"/>
  <c r="J3961" i="1"/>
  <c r="L3961" i="1" s="1"/>
  <c r="M3960" i="1"/>
  <c r="J3960" i="1"/>
  <c r="L3960" i="1" s="1"/>
  <c r="J3959" i="1"/>
  <c r="L3959" i="1" s="1"/>
  <c r="J3958" i="1"/>
  <c r="L3958" i="1" s="1"/>
  <c r="J3957" i="1"/>
  <c r="L3957" i="1" s="1"/>
  <c r="J3956" i="1"/>
  <c r="L3956" i="1" s="1"/>
  <c r="J3955" i="1"/>
  <c r="L3955" i="1" s="1"/>
  <c r="J3954" i="1"/>
  <c r="L3954" i="1" s="1"/>
  <c r="J3953" i="1"/>
  <c r="L3953" i="1" s="1"/>
  <c r="J3952" i="1"/>
  <c r="L3952" i="1" s="1"/>
  <c r="J3951" i="1"/>
  <c r="L3951" i="1" s="1"/>
  <c r="J3950" i="1"/>
  <c r="L3950" i="1" s="1"/>
  <c r="J3949" i="1"/>
  <c r="L3949" i="1" s="1"/>
  <c r="J3948" i="1"/>
  <c r="L3948" i="1" s="1"/>
  <c r="J3947" i="1"/>
  <c r="L3947" i="1" s="1"/>
  <c r="J3946" i="1"/>
  <c r="L3946" i="1" s="1"/>
  <c r="J3945" i="1"/>
  <c r="L3945" i="1" s="1"/>
  <c r="J3944" i="1"/>
  <c r="L3944" i="1" s="1"/>
  <c r="J3943" i="1"/>
  <c r="L3943" i="1" s="1"/>
  <c r="J3942" i="1"/>
  <c r="L3942" i="1" s="1"/>
  <c r="J3941" i="1"/>
  <c r="L3941" i="1" s="1"/>
  <c r="J3940" i="1"/>
  <c r="L3940" i="1" s="1"/>
  <c r="J3939" i="1"/>
  <c r="L3939" i="1" s="1"/>
  <c r="J3938" i="1"/>
  <c r="L3938" i="1" s="1"/>
  <c r="J3937" i="1"/>
  <c r="L3937" i="1" s="1"/>
  <c r="M3936" i="1"/>
  <c r="J3936" i="1"/>
  <c r="L3936" i="1" s="1"/>
  <c r="J3935" i="1"/>
  <c r="L3935" i="1" s="1"/>
  <c r="L3934" i="1"/>
  <c r="L3933" i="1"/>
  <c r="J3932" i="1"/>
  <c r="L3932" i="1" s="1"/>
  <c r="L3931" i="1"/>
  <c r="J3930" i="1"/>
  <c r="L3930" i="1" s="1"/>
  <c r="J3929" i="1"/>
  <c r="L3929" i="1" s="1"/>
  <c r="L3928" i="1"/>
  <c r="J3927" i="1"/>
  <c r="L3927" i="1" s="1"/>
  <c r="J3926" i="1"/>
  <c r="L3926" i="1" s="1"/>
  <c r="J3925" i="1"/>
  <c r="L3925" i="1" s="1"/>
  <c r="J3924" i="1"/>
  <c r="L3924" i="1" s="1"/>
  <c r="J3923" i="1"/>
  <c r="L3923" i="1" s="1"/>
  <c r="J3922" i="1"/>
  <c r="L3922" i="1" s="1"/>
  <c r="J3921" i="1"/>
  <c r="L3921" i="1" s="1"/>
  <c r="J3920" i="1"/>
  <c r="L3920" i="1" s="1"/>
  <c r="J3919" i="1"/>
  <c r="L3919" i="1" s="1"/>
  <c r="M3918" i="1"/>
  <c r="J3918" i="1"/>
  <c r="L3918" i="1" s="1"/>
  <c r="J3917" i="1"/>
  <c r="L3917" i="1" s="1"/>
  <c r="J3916" i="1"/>
  <c r="L3916" i="1" s="1"/>
  <c r="J3915" i="1"/>
  <c r="L3915" i="1" s="1"/>
  <c r="M3914" i="1"/>
  <c r="J3914" i="1"/>
  <c r="L3914" i="1" s="1"/>
  <c r="J3913" i="1"/>
  <c r="L3913" i="1" s="1"/>
  <c r="J3912" i="1"/>
  <c r="L3912" i="1" s="1"/>
  <c r="J3911" i="1"/>
  <c r="L3911" i="1" s="1"/>
  <c r="J3910" i="1"/>
  <c r="L3910" i="1" s="1"/>
  <c r="J3909" i="1"/>
  <c r="L3909" i="1" s="1"/>
  <c r="J3908" i="1"/>
  <c r="L3908" i="1" s="1"/>
  <c r="J3907" i="1"/>
  <c r="L3907" i="1" s="1"/>
  <c r="J3906" i="1"/>
  <c r="L3906" i="1" s="1"/>
  <c r="J3905" i="1"/>
  <c r="L3905" i="1" s="1"/>
  <c r="J3904" i="1"/>
  <c r="L3904" i="1" s="1"/>
  <c r="J3903" i="1"/>
  <c r="L3903" i="1" s="1"/>
  <c r="J3902" i="1"/>
  <c r="L3902" i="1" s="1"/>
  <c r="M3901" i="1"/>
  <c r="J3901" i="1"/>
  <c r="L3901" i="1" s="1"/>
  <c r="J3900" i="1"/>
  <c r="L3900" i="1" s="1"/>
  <c r="J3899" i="1"/>
  <c r="L3899" i="1" s="1"/>
  <c r="J3898" i="1"/>
  <c r="L3898" i="1" s="1"/>
  <c r="J3897" i="1"/>
  <c r="L3897" i="1" s="1"/>
  <c r="J3896" i="1"/>
  <c r="L3896" i="1" s="1"/>
  <c r="J3895" i="1"/>
  <c r="L3895" i="1" s="1"/>
  <c r="J3894" i="1"/>
  <c r="L3894" i="1" s="1"/>
  <c r="J3893" i="1"/>
  <c r="L3893" i="1" s="1"/>
  <c r="J3892" i="1"/>
  <c r="L3892" i="1" s="1"/>
  <c r="J3891" i="1"/>
  <c r="L3891" i="1" s="1"/>
  <c r="J3890" i="1"/>
  <c r="L3890" i="1" s="1"/>
  <c r="N3889" i="1"/>
  <c r="J3889" i="1"/>
  <c r="L3889" i="1" s="1"/>
  <c r="Q3889" i="1" s="1"/>
  <c r="J3888" i="1"/>
  <c r="L3888" i="1" s="1"/>
  <c r="N3887" i="1"/>
  <c r="L3887" i="1"/>
  <c r="Q3887" i="1" s="1"/>
  <c r="M3886" i="1"/>
  <c r="J3886" i="1"/>
  <c r="L3886" i="1" s="1"/>
  <c r="J3885" i="1"/>
  <c r="L3885" i="1" s="1"/>
  <c r="N3884" i="1"/>
  <c r="J3884" i="1"/>
  <c r="L3884" i="1" s="1"/>
  <c r="Q3884" i="1" s="1"/>
  <c r="J3883" i="1"/>
  <c r="L3883" i="1" s="1"/>
  <c r="J3882" i="1"/>
  <c r="L3882" i="1" s="1"/>
  <c r="J3881" i="1"/>
  <c r="L3881" i="1" s="1"/>
  <c r="J3880" i="1"/>
  <c r="L3880" i="1" s="1"/>
  <c r="J3879" i="1"/>
  <c r="L3879" i="1" s="1"/>
  <c r="J3878" i="1"/>
  <c r="L3878" i="1" s="1"/>
  <c r="N3877" i="1"/>
  <c r="J3877" i="1"/>
  <c r="L3877" i="1" s="1"/>
  <c r="Q3877" i="1" s="1"/>
  <c r="M3876" i="1"/>
  <c r="J3876" i="1"/>
  <c r="L3876" i="1" s="1"/>
  <c r="M3875" i="1"/>
  <c r="J3875" i="1"/>
  <c r="L3875" i="1" s="1"/>
  <c r="M3874" i="1"/>
  <c r="J3874" i="1"/>
  <c r="L3874" i="1" s="1"/>
  <c r="M3873" i="1"/>
  <c r="J3873" i="1"/>
  <c r="L3873" i="1" s="1"/>
  <c r="M3872" i="1"/>
  <c r="J3872" i="1"/>
  <c r="L3872" i="1" s="1"/>
  <c r="M3871" i="1"/>
  <c r="J3871" i="1"/>
  <c r="L3871" i="1" s="1"/>
  <c r="M3870" i="1"/>
  <c r="J3870" i="1"/>
  <c r="L3870" i="1" s="1"/>
  <c r="J3869" i="1"/>
  <c r="L3869" i="1" s="1"/>
  <c r="J3868" i="1"/>
  <c r="L3868" i="1" s="1"/>
  <c r="J3867" i="1"/>
  <c r="L3867" i="1" s="1"/>
  <c r="J3866" i="1"/>
  <c r="L3866" i="1" s="1"/>
  <c r="J3865" i="1"/>
  <c r="L3865" i="1" s="1"/>
  <c r="M3864" i="1"/>
  <c r="J3864" i="1"/>
  <c r="L3864" i="1" s="1"/>
  <c r="J3863" i="1"/>
  <c r="L3863" i="1" s="1"/>
  <c r="J3862" i="1"/>
  <c r="L3862" i="1" s="1"/>
  <c r="J3861" i="1"/>
  <c r="L3861" i="1" s="1"/>
  <c r="P3860" i="1"/>
  <c r="J3860" i="1"/>
  <c r="L3860" i="1" s="1"/>
  <c r="O3860" i="1" s="1"/>
  <c r="J3859" i="1"/>
  <c r="L3859" i="1" s="1"/>
  <c r="J3858" i="1"/>
  <c r="L3858" i="1" s="1"/>
  <c r="M3857" i="1"/>
  <c r="J3857" i="1"/>
  <c r="L3857" i="1" s="1"/>
  <c r="J3856" i="1"/>
  <c r="L3856" i="1" s="1"/>
  <c r="J3855" i="1"/>
  <c r="L3855" i="1" s="1"/>
  <c r="J3854" i="1"/>
  <c r="L3854" i="1" s="1"/>
  <c r="J3853" i="1"/>
  <c r="L3853" i="1" s="1"/>
  <c r="J3852" i="1"/>
  <c r="L3852" i="1" s="1"/>
  <c r="J3851" i="1"/>
  <c r="L3851" i="1" s="1"/>
  <c r="J3850" i="1"/>
  <c r="L3850" i="1" s="1"/>
  <c r="J3849" i="1"/>
  <c r="L3849" i="1" s="1"/>
  <c r="M3848" i="1"/>
  <c r="J3848" i="1"/>
  <c r="L3848" i="1" s="1"/>
  <c r="M3847" i="1"/>
  <c r="J3847" i="1"/>
  <c r="L3847" i="1" s="1"/>
  <c r="M3846" i="1"/>
  <c r="J3846" i="1"/>
  <c r="L3846" i="1" s="1"/>
  <c r="J3845" i="1"/>
  <c r="L3845" i="1" s="1"/>
  <c r="J3844" i="1"/>
  <c r="L3844" i="1" s="1"/>
  <c r="J3843" i="1"/>
  <c r="L3843" i="1" s="1"/>
  <c r="J3842" i="1"/>
  <c r="L3842" i="1" s="1"/>
  <c r="M3841" i="1"/>
  <c r="J3841" i="1"/>
  <c r="L3841" i="1" s="1"/>
  <c r="J3840" i="1"/>
  <c r="L3840" i="1" s="1"/>
  <c r="J3839" i="1"/>
  <c r="L3839" i="1" s="1"/>
  <c r="J3838" i="1"/>
  <c r="L3838" i="1" s="1"/>
  <c r="J3837" i="1"/>
  <c r="L3837" i="1" s="1"/>
  <c r="J3836" i="1"/>
  <c r="L3836" i="1" s="1"/>
  <c r="J3835" i="1"/>
  <c r="L3835" i="1" s="1"/>
  <c r="J3834" i="1"/>
  <c r="L3834" i="1" s="1"/>
  <c r="J3833" i="1"/>
  <c r="L3833" i="1" s="1"/>
  <c r="J3832" i="1"/>
  <c r="L3832" i="1" s="1"/>
  <c r="J3831" i="1"/>
  <c r="L3831" i="1" s="1"/>
  <c r="J3830" i="1"/>
  <c r="L3830" i="1" s="1"/>
  <c r="M3829" i="1"/>
  <c r="J3829" i="1"/>
  <c r="L3829" i="1" s="1"/>
  <c r="J3828" i="1"/>
  <c r="L3828" i="1" s="1"/>
  <c r="J3827" i="1"/>
  <c r="L3827" i="1" s="1"/>
  <c r="J3826" i="1"/>
  <c r="L3826" i="1" s="1"/>
  <c r="J3825" i="1"/>
  <c r="L3825" i="1" s="1"/>
  <c r="J3824" i="1"/>
  <c r="L3824" i="1" s="1"/>
  <c r="J3823" i="1"/>
  <c r="L3823" i="1" s="1"/>
  <c r="J3822" i="1"/>
  <c r="L3822" i="1" s="1"/>
  <c r="J3821" i="1"/>
  <c r="L3821" i="1" s="1"/>
  <c r="M3820" i="1"/>
  <c r="J3820" i="1"/>
  <c r="L3820" i="1" s="1"/>
  <c r="M3819" i="1"/>
  <c r="J3819" i="1"/>
  <c r="L3819" i="1" s="1"/>
  <c r="J3818" i="1"/>
  <c r="L3818" i="1" s="1"/>
  <c r="J3817" i="1"/>
  <c r="L3817" i="1" s="1"/>
  <c r="J3816" i="1"/>
  <c r="L3816" i="1" s="1"/>
  <c r="J3815" i="1"/>
  <c r="L3815" i="1" s="1"/>
  <c r="J3814" i="1"/>
  <c r="L3814" i="1" s="1"/>
  <c r="J3813" i="1"/>
  <c r="L3813" i="1" s="1"/>
  <c r="M3812" i="1"/>
  <c r="J3812" i="1"/>
  <c r="L3812" i="1" s="1"/>
  <c r="M3811" i="1"/>
  <c r="J3811" i="1"/>
  <c r="L3811" i="1" s="1"/>
  <c r="M3810" i="1"/>
  <c r="J3810" i="1"/>
  <c r="L3810" i="1" s="1"/>
  <c r="J3809" i="1"/>
  <c r="L3809" i="1" s="1"/>
  <c r="J3808" i="1"/>
  <c r="L3808" i="1" s="1"/>
  <c r="J3807" i="1"/>
  <c r="L3807" i="1" s="1"/>
  <c r="J3806" i="1"/>
  <c r="L3806" i="1" s="1"/>
  <c r="J3805" i="1"/>
  <c r="L3805" i="1" s="1"/>
  <c r="J3804" i="1"/>
  <c r="L3804" i="1" s="1"/>
  <c r="J3803" i="1"/>
  <c r="L3803" i="1" s="1"/>
  <c r="N3802" i="1"/>
  <c r="J3802" i="1"/>
  <c r="L3802" i="1" s="1"/>
  <c r="Q3802" i="1" s="1"/>
  <c r="J3801" i="1"/>
  <c r="L3801" i="1" s="1"/>
  <c r="J3800" i="1"/>
  <c r="L3800" i="1" s="1"/>
  <c r="J3799" i="1"/>
  <c r="L3799" i="1" s="1"/>
  <c r="J3798" i="1"/>
  <c r="L3798" i="1" s="1"/>
  <c r="J3797" i="1"/>
  <c r="L3797" i="1" s="1"/>
  <c r="J3796" i="1"/>
  <c r="L3796" i="1" s="1"/>
  <c r="M3795" i="1"/>
  <c r="J3795" i="1"/>
  <c r="L3795" i="1" s="1"/>
  <c r="J3794" i="1"/>
  <c r="L3794" i="1" s="1"/>
  <c r="M3793" i="1"/>
  <c r="J3793" i="1"/>
  <c r="L3793" i="1" s="1"/>
  <c r="J3792" i="1"/>
  <c r="L3792" i="1" s="1"/>
  <c r="J3791" i="1"/>
  <c r="L3791" i="1" s="1"/>
  <c r="J3790" i="1"/>
  <c r="L3790" i="1" s="1"/>
  <c r="J3789" i="1"/>
  <c r="L3789" i="1" s="1"/>
  <c r="J3788" i="1"/>
  <c r="L3788" i="1" s="1"/>
  <c r="J3787" i="1"/>
  <c r="L3787" i="1" s="1"/>
  <c r="J3786" i="1"/>
  <c r="L3786" i="1" s="1"/>
  <c r="J3785" i="1"/>
  <c r="L3785" i="1" s="1"/>
  <c r="J3784" i="1"/>
  <c r="L3784" i="1" s="1"/>
  <c r="M3783" i="1"/>
  <c r="J3783" i="1"/>
  <c r="L3783" i="1" s="1"/>
  <c r="M3782" i="1"/>
  <c r="J3782" i="1"/>
  <c r="L3782" i="1" s="1"/>
  <c r="J3781" i="1"/>
  <c r="L3781" i="1" s="1"/>
  <c r="J3780" i="1"/>
  <c r="L3780" i="1" s="1"/>
  <c r="J3779" i="1"/>
  <c r="L3779" i="1" s="1"/>
  <c r="J3778" i="1"/>
  <c r="L3778" i="1" s="1"/>
  <c r="J3777" i="1"/>
  <c r="L3777" i="1" s="1"/>
  <c r="J3776" i="1"/>
  <c r="L3776" i="1" s="1"/>
  <c r="J3775" i="1"/>
  <c r="L3775" i="1" s="1"/>
  <c r="J3774" i="1"/>
  <c r="L3774" i="1" s="1"/>
  <c r="J3773" i="1"/>
  <c r="L3773" i="1" s="1"/>
  <c r="J3772" i="1"/>
  <c r="L3772" i="1" s="1"/>
  <c r="J3771" i="1"/>
  <c r="L3771" i="1" s="1"/>
  <c r="J3770" i="1"/>
  <c r="L3770" i="1" s="1"/>
  <c r="J3769" i="1"/>
  <c r="L3769" i="1" s="1"/>
  <c r="M3768" i="1"/>
  <c r="J3768" i="1"/>
  <c r="L3768" i="1" s="1"/>
  <c r="M3767" i="1"/>
  <c r="J3767" i="1"/>
  <c r="L3767" i="1" s="1"/>
  <c r="M3766" i="1"/>
  <c r="J3766" i="1"/>
  <c r="L3766" i="1" s="1"/>
  <c r="M3765" i="1"/>
  <c r="J3765" i="1"/>
  <c r="L3765" i="1" s="1"/>
  <c r="J3764" i="1"/>
  <c r="L3764" i="1" s="1"/>
  <c r="J3763" i="1"/>
  <c r="L3763" i="1" s="1"/>
  <c r="J3762" i="1"/>
  <c r="L3762" i="1" s="1"/>
  <c r="M3761" i="1"/>
  <c r="J3761" i="1"/>
  <c r="L3761" i="1" s="1"/>
  <c r="M3760" i="1"/>
  <c r="J3760" i="1"/>
  <c r="L3760" i="1" s="1"/>
  <c r="M3759" i="1"/>
  <c r="J3759" i="1"/>
  <c r="L3759" i="1" s="1"/>
  <c r="M3758" i="1"/>
  <c r="J3758" i="1"/>
  <c r="L3758" i="1" s="1"/>
  <c r="J3757" i="1"/>
  <c r="L3757" i="1" s="1"/>
  <c r="J3756" i="1"/>
  <c r="L3756" i="1" s="1"/>
  <c r="J3755" i="1"/>
  <c r="L3755" i="1" s="1"/>
  <c r="J3754" i="1"/>
  <c r="L3754" i="1" s="1"/>
  <c r="J3753" i="1"/>
  <c r="L3753" i="1" s="1"/>
  <c r="J3752" i="1"/>
  <c r="L3752" i="1" s="1"/>
  <c r="J3751" i="1"/>
  <c r="L3751" i="1" s="1"/>
  <c r="J3750" i="1"/>
  <c r="L3750" i="1" s="1"/>
  <c r="J3749" i="1"/>
  <c r="L3749" i="1" s="1"/>
  <c r="J3748" i="1"/>
  <c r="L3748" i="1" s="1"/>
  <c r="J3747" i="1"/>
  <c r="L3747" i="1" s="1"/>
  <c r="J3746" i="1"/>
  <c r="L3746" i="1" s="1"/>
  <c r="J3745" i="1"/>
  <c r="L3745" i="1" s="1"/>
  <c r="M3744" i="1"/>
  <c r="J3744" i="1"/>
  <c r="L3744" i="1" s="1"/>
  <c r="M3743" i="1"/>
  <c r="J3743" i="1"/>
  <c r="L3743" i="1" s="1"/>
  <c r="J3742" i="1"/>
  <c r="L3742" i="1" s="1"/>
  <c r="J3741" i="1"/>
  <c r="L3741" i="1" s="1"/>
  <c r="J3740" i="1"/>
  <c r="L3740" i="1" s="1"/>
  <c r="J3739" i="1"/>
  <c r="L3739" i="1" s="1"/>
  <c r="N3738" i="1"/>
  <c r="J3738" i="1"/>
  <c r="L3738" i="1" s="1"/>
  <c r="Q3738" i="1" s="1"/>
  <c r="J3737" i="1"/>
  <c r="L3737" i="1" s="1"/>
  <c r="J3736" i="1"/>
  <c r="L3736" i="1" s="1"/>
  <c r="J3735" i="1"/>
  <c r="L3735" i="1" s="1"/>
  <c r="J3734" i="1"/>
  <c r="L3734" i="1" s="1"/>
  <c r="J3733" i="1"/>
  <c r="L3733" i="1" s="1"/>
  <c r="J3732" i="1"/>
  <c r="L3732" i="1" s="1"/>
  <c r="J3731" i="1"/>
  <c r="L3731" i="1" s="1"/>
  <c r="J3730" i="1"/>
  <c r="L3730" i="1" s="1"/>
  <c r="J3729" i="1"/>
  <c r="L3729" i="1" s="1"/>
  <c r="J3728" i="1"/>
  <c r="L3728" i="1" s="1"/>
  <c r="J3727" i="1"/>
  <c r="L3727" i="1" s="1"/>
  <c r="J3726" i="1"/>
  <c r="L3726" i="1" s="1"/>
  <c r="J3725" i="1"/>
  <c r="L3725" i="1" s="1"/>
  <c r="J3724" i="1"/>
  <c r="L3724" i="1" s="1"/>
  <c r="J3723" i="1"/>
  <c r="L3723" i="1" s="1"/>
  <c r="J3722" i="1"/>
  <c r="L3722" i="1" s="1"/>
  <c r="J3721" i="1"/>
  <c r="L3721" i="1" s="1"/>
  <c r="J3720" i="1"/>
  <c r="L3720" i="1" s="1"/>
  <c r="J3719" i="1"/>
  <c r="L3719" i="1" s="1"/>
  <c r="J3718" i="1"/>
  <c r="L3718" i="1" s="1"/>
  <c r="J3717" i="1"/>
  <c r="L3717" i="1" s="1"/>
  <c r="M3716" i="1"/>
  <c r="J3716" i="1"/>
  <c r="L3716" i="1" s="1"/>
  <c r="M3715" i="1"/>
  <c r="J3715" i="1"/>
  <c r="L3715" i="1" s="1"/>
  <c r="J3714" i="1"/>
  <c r="L3714" i="1" s="1"/>
  <c r="J3713" i="1"/>
  <c r="L3713" i="1" s="1"/>
  <c r="J3712" i="1"/>
  <c r="L3712" i="1" s="1"/>
  <c r="J3711" i="1"/>
  <c r="L3711" i="1" s="1"/>
  <c r="J3710" i="1"/>
  <c r="L3710" i="1" s="1"/>
  <c r="J3709" i="1"/>
  <c r="L3709" i="1" s="1"/>
  <c r="J3708" i="1"/>
  <c r="L3708" i="1" s="1"/>
  <c r="J3707" i="1"/>
  <c r="L3707" i="1" s="1"/>
  <c r="J3706" i="1"/>
  <c r="L3706" i="1" s="1"/>
  <c r="J3705" i="1"/>
  <c r="L3705" i="1" s="1"/>
  <c r="J3704" i="1"/>
  <c r="L3704" i="1" s="1"/>
  <c r="J3703" i="1"/>
  <c r="L3703" i="1" s="1"/>
  <c r="J3702" i="1"/>
  <c r="L3702" i="1" s="1"/>
  <c r="N3701" i="1"/>
  <c r="J3701" i="1"/>
  <c r="L3701" i="1" s="1"/>
  <c r="Q3701" i="1" s="1"/>
  <c r="N3700" i="1"/>
  <c r="J3700" i="1"/>
  <c r="L3700" i="1" s="1"/>
  <c r="Q3700" i="1" s="1"/>
  <c r="N3699" i="1"/>
  <c r="J3699" i="1"/>
  <c r="L3699" i="1" s="1"/>
  <c r="Q3699" i="1" s="1"/>
  <c r="N3698" i="1"/>
  <c r="J3698" i="1"/>
  <c r="L3698" i="1" s="1"/>
  <c r="Q3698" i="1" s="1"/>
  <c r="P3697" i="1"/>
  <c r="L3697" i="1"/>
  <c r="O3697" i="1" s="1"/>
  <c r="J3696" i="1"/>
  <c r="L3696" i="1" s="1"/>
  <c r="J3695" i="1"/>
  <c r="L3695" i="1" s="1"/>
  <c r="J3694" i="1"/>
  <c r="L3694" i="1" s="1"/>
  <c r="J3693" i="1"/>
  <c r="L3693" i="1" s="1"/>
  <c r="J3692" i="1"/>
  <c r="L3692" i="1" s="1"/>
  <c r="J3691" i="1"/>
  <c r="L3691" i="1" s="1"/>
  <c r="J3690" i="1"/>
  <c r="L3690" i="1" s="1"/>
  <c r="J3689" i="1"/>
  <c r="L3689" i="1" s="1"/>
  <c r="M3688" i="1"/>
  <c r="J3688" i="1"/>
  <c r="L3688" i="1" s="1"/>
  <c r="M3687" i="1"/>
  <c r="J3687" i="1"/>
  <c r="L3687" i="1" s="1"/>
  <c r="M3686" i="1"/>
  <c r="J3686" i="1"/>
  <c r="L3686" i="1" s="1"/>
  <c r="J3685" i="1"/>
  <c r="L3685" i="1" s="1"/>
  <c r="J3684" i="1"/>
  <c r="L3684" i="1" s="1"/>
  <c r="J3683" i="1"/>
  <c r="L3683" i="1" s="1"/>
  <c r="J3682" i="1"/>
  <c r="L3682" i="1" s="1"/>
  <c r="J3681" i="1"/>
  <c r="L3681" i="1" s="1"/>
  <c r="J3680" i="1"/>
  <c r="L3680" i="1" s="1"/>
  <c r="J3679" i="1"/>
  <c r="L3679" i="1" s="1"/>
  <c r="J3678" i="1"/>
  <c r="L3678" i="1" s="1"/>
  <c r="J3677" i="1"/>
  <c r="L3677" i="1" s="1"/>
  <c r="J3676" i="1"/>
  <c r="L3676" i="1" s="1"/>
  <c r="J3675" i="1"/>
  <c r="L3675" i="1" s="1"/>
  <c r="J3674" i="1"/>
  <c r="L3674" i="1" s="1"/>
  <c r="J3673" i="1"/>
  <c r="L3673" i="1" s="1"/>
  <c r="J3672" i="1"/>
  <c r="L3672" i="1" s="1"/>
  <c r="J3671" i="1"/>
  <c r="L3671" i="1" s="1"/>
  <c r="J3670" i="1"/>
  <c r="L3670" i="1" s="1"/>
  <c r="J3669" i="1"/>
  <c r="L3669" i="1" s="1"/>
  <c r="J3668" i="1"/>
  <c r="L3668" i="1" s="1"/>
  <c r="J3667" i="1"/>
  <c r="L3667" i="1" s="1"/>
  <c r="J3666" i="1"/>
  <c r="L3666" i="1" s="1"/>
  <c r="J3665" i="1"/>
  <c r="L3665" i="1" s="1"/>
  <c r="J3664" i="1"/>
  <c r="L3664" i="1" s="1"/>
  <c r="J3663" i="1"/>
  <c r="L3663" i="1" s="1"/>
  <c r="J3662" i="1"/>
  <c r="L3662" i="1" s="1"/>
  <c r="J3661" i="1"/>
  <c r="L3661" i="1" s="1"/>
  <c r="J3660" i="1"/>
  <c r="L3660" i="1" s="1"/>
  <c r="J3659" i="1"/>
  <c r="L3659" i="1" s="1"/>
  <c r="M3658" i="1"/>
  <c r="J3658" i="1"/>
  <c r="L3658" i="1" s="1"/>
  <c r="M3657" i="1"/>
  <c r="J3657" i="1"/>
  <c r="L3657" i="1" s="1"/>
  <c r="M3656" i="1"/>
  <c r="J3656" i="1"/>
  <c r="L3656" i="1" s="1"/>
  <c r="M3655" i="1"/>
  <c r="J3655" i="1"/>
  <c r="L3655" i="1" s="1"/>
  <c r="J3654" i="1"/>
  <c r="L3654" i="1" s="1"/>
  <c r="J3653" i="1"/>
  <c r="L3653" i="1" s="1"/>
  <c r="M3652" i="1"/>
  <c r="J3652" i="1"/>
  <c r="L3652" i="1" s="1"/>
  <c r="J3651" i="1"/>
  <c r="L3651" i="1" s="1"/>
  <c r="P3650" i="1"/>
  <c r="J3650" i="1"/>
  <c r="L3650" i="1" s="1"/>
  <c r="O3650" i="1" s="1"/>
  <c r="J3649" i="1"/>
  <c r="L3649" i="1" s="1"/>
  <c r="J3648" i="1"/>
  <c r="L3648" i="1" s="1"/>
  <c r="J3647" i="1"/>
  <c r="L3647" i="1" s="1"/>
  <c r="J3646" i="1"/>
  <c r="L3646" i="1" s="1"/>
  <c r="J3645" i="1"/>
  <c r="L3645" i="1" s="1"/>
  <c r="J3644" i="1"/>
  <c r="L3644" i="1" s="1"/>
  <c r="N3643" i="1"/>
  <c r="J3643" i="1"/>
  <c r="L3643" i="1" s="1"/>
  <c r="Q3643" i="1" s="1"/>
  <c r="J3642" i="1"/>
  <c r="L3642" i="1" s="1"/>
  <c r="J3641" i="1"/>
  <c r="L3641" i="1" s="1"/>
  <c r="J3640" i="1"/>
  <c r="L3640" i="1" s="1"/>
  <c r="J3639" i="1"/>
  <c r="L3639" i="1" s="1"/>
  <c r="J3638" i="1"/>
  <c r="L3638" i="1" s="1"/>
  <c r="J3637" i="1"/>
  <c r="L3637" i="1" s="1"/>
  <c r="J3636" i="1"/>
  <c r="L3636" i="1" s="1"/>
  <c r="J3635" i="1"/>
  <c r="L3635" i="1" s="1"/>
  <c r="N3634" i="1"/>
  <c r="J3634" i="1"/>
  <c r="L3634" i="1" s="1"/>
  <c r="Q3634" i="1" s="1"/>
  <c r="J3633" i="1"/>
  <c r="L3633" i="1" s="1"/>
  <c r="J3632" i="1"/>
  <c r="L3632" i="1" s="1"/>
  <c r="J3631" i="1"/>
  <c r="L3631" i="1" s="1"/>
  <c r="J3630" i="1"/>
  <c r="L3630" i="1" s="1"/>
  <c r="J3629" i="1"/>
  <c r="L3629" i="1" s="1"/>
  <c r="J3628" i="1"/>
  <c r="L3628" i="1" s="1"/>
  <c r="J3627" i="1"/>
  <c r="L3627" i="1" s="1"/>
  <c r="J3626" i="1"/>
  <c r="L3626" i="1" s="1"/>
  <c r="J3625" i="1"/>
  <c r="L3625" i="1" s="1"/>
  <c r="J3624" i="1"/>
  <c r="L3624" i="1" s="1"/>
  <c r="J3623" i="1"/>
  <c r="L3623" i="1" s="1"/>
  <c r="J3622" i="1"/>
  <c r="L3622" i="1" s="1"/>
  <c r="J3621" i="1"/>
  <c r="L3621" i="1" s="1"/>
  <c r="J3620" i="1"/>
  <c r="L3620" i="1" s="1"/>
  <c r="J3619" i="1"/>
  <c r="L3619" i="1" s="1"/>
  <c r="J3618" i="1"/>
  <c r="L3618" i="1" s="1"/>
  <c r="J3617" i="1"/>
  <c r="L3617" i="1" s="1"/>
  <c r="N3616" i="1"/>
  <c r="J3616" i="1"/>
  <c r="L3616" i="1" s="1"/>
  <c r="Q3616" i="1" s="1"/>
  <c r="N3615" i="1"/>
  <c r="J3615" i="1"/>
  <c r="L3615" i="1" s="1"/>
  <c r="Q3615" i="1" s="1"/>
  <c r="N3614" i="1"/>
  <c r="J3614" i="1"/>
  <c r="L3614" i="1" s="1"/>
  <c r="Q3614" i="1" s="1"/>
  <c r="J3613" i="1"/>
  <c r="L3613" i="1" s="1"/>
  <c r="J3612" i="1"/>
  <c r="L3612" i="1" s="1"/>
  <c r="N3611" i="1"/>
  <c r="J3611" i="1"/>
  <c r="L3611" i="1" s="1"/>
  <c r="Q3611" i="1" s="1"/>
  <c r="N3610" i="1"/>
  <c r="J3610" i="1"/>
  <c r="L3610" i="1" s="1"/>
  <c r="Q3610" i="1" s="1"/>
  <c r="N3609" i="1"/>
  <c r="J3609" i="1"/>
  <c r="L3609" i="1" s="1"/>
  <c r="Q3609" i="1" s="1"/>
  <c r="N3608" i="1"/>
  <c r="J3608" i="1"/>
  <c r="L3608" i="1" s="1"/>
  <c r="Q3608" i="1" s="1"/>
  <c r="N3607" i="1"/>
  <c r="J3607" i="1"/>
  <c r="L3607" i="1" s="1"/>
  <c r="Q3607" i="1" s="1"/>
  <c r="N3606" i="1"/>
  <c r="J3606" i="1"/>
  <c r="L3606" i="1" s="1"/>
  <c r="Q3606" i="1" s="1"/>
  <c r="J3605" i="1"/>
  <c r="L3605" i="1" s="1"/>
  <c r="J3604" i="1"/>
  <c r="L3604" i="1" s="1"/>
  <c r="N3603" i="1"/>
  <c r="J3603" i="1"/>
  <c r="L3603" i="1" s="1"/>
  <c r="Q3603" i="1" s="1"/>
  <c r="J3602" i="1"/>
  <c r="L3602" i="1" s="1"/>
  <c r="J3601" i="1"/>
  <c r="L3601" i="1" s="1"/>
  <c r="J3600" i="1"/>
  <c r="L3600" i="1" s="1"/>
  <c r="J3599" i="1"/>
  <c r="L3599" i="1" s="1"/>
  <c r="J3598" i="1"/>
  <c r="L3598" i="1" s="1"/>
  <c r="J3597" i="1"/>
  <c r="L3597" i="1" s="1"/>
  <c r="N3596" i="1"/>
  <c r="J3596" i="1"/>
  <c r="L3596" i="1" s="1"/>
  <c r="Q3596" i="1" s="1"/>
  <c r="J3595" i="1"/>
  <c r="L3595" i="1" s="1"/>
  <c r="J3594" i="1"/>
  <c r="L3594" i="1" s="1"/>
  <c r="J3593" i="1"/>
  <c r="L3593" i="1" s="1"/>
  <c r="J3592" i="1"/>
  <c r="L3592" i="1" s="1"/>
  <c r="M3591" i="1"/>
  <c r="J3591" i="1"/>
  <c r="L3591" i="1" s="1"/>
  <c r="J3590" i="1"/>
  <c r="L3590" i="1" s="1"/>
  <c r="J3589" i="1"/>
  <c r="L3589" i="1" s="1"/>
  <c r="N3588" i="1"/>
  <c r="J3588" i="1"/>
  <c r="L3588" i="1" s="1"/>
  <c r="Q3588" i="1" s="1"/>
  <c r="J3587" i="1"/>
  <c r="L3587" i="1" s="1"/>
  <c r="J3586" i="1"/>
  <c r="L3586" i="1" s="1"/>
  <c r="J3585" i="1"/>
  <c r="L3585" i="1" s="1"/>
  <c r="J3584" i="1"/>
  <c r="L3584" i="1" s="1"/>
  <c r="J3583" i="1"/>
  <c r="L3583" i="1" s="1"/>
  <c r="L3582" i="1"/>
  <c r="J3581" i="1"/>
  <c r="L3581" i="1" s="1"/>
  <c r="J3580" i="1"/>
  <c r="L3580" i="1" s="1"/>
  <c r="M3579" i="1"/>
  <c r="J3579" i="1"/>
  <c r="L3579" i="1" s="1"/>
  <c r="J3578" i="1"/>
  <c r="L3578" i="1" s="1"/>
  <c r="M3577" i="1"/>
  <c r="J3577" i="1"/>
  <c r="L3577" i="1" s="1"/>
  <c r="J3576" i="1"/>
  <c r="L3576" i="1" s="1"/>
  <c r="J3575" i="1"/>
  <c r="L3575" i="1" s="1"/>
  <c r="J3574" i="1"/>
  <c r="L3574" i="1" s="1"/>
  <c r="J3573" i="1"/>
  <c r="L3573" i="1" s="1"/>
  <c r="J3572" i="1"/>
  <c r="L3572" i="1" s="1"/>
  <c r="M3571" i="1"/>
  <c r="J3571" i="1"/>
  <c r="L3571" i="1" s="1"/>
  <c r="M3570" i="1"/>
  <c r="J3570" i="1"/>
  <c r="L3570" i="1" s="1"/>
  <c r="J3569" i="1"/>
  <c r="L3569" i="1" s="1"/>
  <c r="J3568" i="1"/>
  <c r="L3568" i="1" s="1"/>
  <c r="J3567" i="1"/>
  <c r="L3567" i="1" s="1"/>
  <c r="J3566" i="1"/>
  <c r="L3566" i="1" s="1"/>
  <c r="J3565" i="1"/>
  <c r="L3565" i="1" s="1"/>
  <c r="J3564" i="1"/>
  <c r="L3564" i="1" s="1"/>
  <c r="N3563" i="1"/>
  <c r="J3563" i="1"/>
  <c r="L3563" i="1" s="1"/>
  <c r="Q3563" i="1" s="1"/>
  <c r="N3562" i="1"/>
  <c r="J3562" i="1"/>
  <c r="L3562" i="1" s="1"/>
  <c r="Q3562" i="1" s="1"/>
  <c r="N3561" i="1"/>
  <c r="J3561" i="1"/>
  <c r="L3561" i="1" s="1"/>
  <c r="Q3561" i="1" s="1"/>
  <c r="J3560" i="1"/>
  <c r="L3560" i="1" s="1"/>
  <c r="J3559" i="1"/>
  <c r="L3559" i="1" s="1"/>
  <c r="J3558" i="1"/>
  <c r="L3558" i="1" s="1"/>
  <c r="J3557" i="1"/>
  <c r="L3557" i="1" s="1"/>
  <c r="J3556" i="1"/>
  <c r="L3556" i="1" s="1"/>
  <c r="J3555" i="1"/>
  <c r="L3555" i="1" s="1"/>
  <c r="J3554" i="1"/>
  <c r="L3554" i="1" s="1"/>
  <c r="J3553" i="1"/>
  <c r="L3553" i="1" s="1"/>
  <c r="J3552" i="1"/>
  <c r="L3552" i="1" s="1"/>
  <c r="J3551" i="1"/>
  <c r="L3551" i="1" s="1"/>
  <c r="J3550" i="1"/>
  <c r="L3550" i="1" s="1"/>
  <c r="J3549" i="1"/>
  <c r="L3549" i="1" s="1"/>
  <c r="J3548" i="1"/>
  <c r="L3548" i="1" s="1"/>
  <c r="J3547" i="1"/>
  <c r="L3547" i="1" s="1"/>
  <c r="N3546" i="1"/>
  <c r="J3546" i="1"/>
  <c r="L3546" i="1" s="1"/>
  <c r="Q3546" i="1" s="1"/>
  <c r="N3545" i="1"/>
  <c r="J3545" i="1"/>
  <c r="L3545" i="1" s="1"/>
  <c r="Q3545" i="1" s="1"/>
  <c r="J3544" i="1"/>
  <c r="L3544" i="1" s="1"/>
  <c r="J3543" i="1"/>
  <c r="L3543" i="1" s="1"/>
  <c r="J3542" i="1"/>
  <c r="L3542" i="1" s="1"/>
  <c r="J3541" i="1"/>
  <c r="L3541" i="1" s="1"/>
  <c r="N3540" i="1"/>
  <c r="J3540" i="1"/>
  <c r="L3540" i="1" s="1"/>
  <c r="Q3540" i="1" s="1"/>
  <c r="J3539" i="1"/>
  <c r="L3539" i="1" s="1"/>
  <c r="J3538" i="1"/>
  <c r="L3538" i="1" s="1"/>
  <c r="J3537" i="1"/>
  <c r="L3537" i="1" s="1"/>
  <c r="J3536" i="1"/>
  <c r="L3536" i="1" s="1"/>
  <c r="J3535" i="1"/>
  <c r="L3535" i="1" s="1"/>
  <c r="J3534" i="1"/>
  <c r="L3534" i="1" s="1"/>
  <c r="J3533" i="1"/>
  <c r="L3533" i="1" s="1"/>
  <c r="J3532" i="1"/>
  <c r="L3532" i="1" s="1"/>
  <c r="J3531" i="1"/>
  <c r="L3531" i="1" s="1"/>
  <c r="J3530" i="1"/>
  <c r="L3530" i="1" s="1"/>
  <c r="J3529" i="1"/>
  <c r="L3529" i="1" s="1"/>
  <c r="M3528" i="1"/>
  <c r="J3528" i="1"/>
  <c r="L3528" i="1" s="1"/>
  <c r="J3527" i="1"/>
  <c r="L3527" i="1" s="1"/>
  <c r="J3526" i="1"/>
  <c r="L3526" i="1" s="1"/>
  <c r="J3525" i="1"/>
  <c r="L3525" i="1" s="1"/>
  <c r="J3524" i="1"/>
  <c r="L3524" i="1" s="1"/>
  <c r="J3523" i="1"/>
  <c r="L3523" i="1" s="1"/>
  <c r="N3522" i="1"/>
  <c r="J3522" i="1"/>
  <c r="L3522" i="1" s="1"/>
  <c r="N3521" i="1"/>
  <c r="J3521" i="1"/>
  <c r="L3521" i="1" s="1"/>
  <c r="Q3521" i="1" s="1"/>
  <c r="N3520" i="1"/>
  <c r="J3520" i="1"/>
  <c r="L3520" i="1" s="1"/>
  <c r="Q3520" i="1" s="1"/>
  <c r="J3519" i="1"/>
  <c r="L3519" i="1" s="1"/>
  <c r="J3518" i="1"/>
  <c r="L3518" i="1" s="1"/>
  <c r="J3517" i="1"/>
  <c r="L3517" i="1" s="1"/>
  <c r="N3516" i="1"/>
  <c r="J3516" i="1"/>
  <c r="L3516" i="1" s="1"/>
  <c r="Q3516" i="1" s="1"/>
  <c r="J3515" i="1"/>
  <c r="L3515" i="1" s="1"/>
  <c r="J3514" i="1"/>
  <c r="L3514" i="1" s="1"/>
  <c r="J3513" i="1"/>
  <c r="L3513" i="1" s="1"/>
  <c r="J3512" i="1"/>
  <c r="L3512" i="1" s="1"/>
  <c r="J3511" i="1"/>
  <c r="L3511" i="1" s="1"/>
  <c r="J3510" i="1"/>
  <c r="L3510" i="1" s="1"/>
  <c r="J3509" i="1"/>
  <c r="L3509" i="1" s="1"/>
  <c r="J3508" i="1"/>
  <c r="L3508" i="1" s="1"/>
  <c r="J3507" i="1"/>
  <c r="L3507" i="1" s="1"/>
  <c r="J3506" i="1"/>
  <c r="L3506" i="1" s="1"/>
  <c r="J3505" i="1"/>
  <c r="L3505" i="1" s="1"/>
  <c r="J3504" i="1"/>
  <c r="L3504" i="1" s="1"/>
  <c r="J3503" i="1"/>
  <c r="L3503" i="1" s="1"/>
  <c r="M3502" i="1"/>
  <c r="J3502" i="1"/>
  <c r="L3502" i="1" s="1"/>
  <c r="J3501" i="1"/>
  <c r="L3501" i="1" s="1"/>
  <c r="J3500" i="1"/>
  <c r="L3500" i="1" s="1"/>
  <c r="P3499" i="1"/>
  <c r="L3499" i="1"/>
  <c r="O3499" i="1" s="1"/>
  <c r="N3498" i="1"/>
  <c r="J3498" i="1"/>
  <c r="L3498" i="1" s="1"/>
  <c r="Q3498" i="1" s="1"/>
  <c r="J3497" i="1"/>
  <c r="L3497" i="1" s="1"/>
  <c r="N3496" i="1"/>
  <c r="J3496" i="1"/>
  <c r="L3496" i="1" s="1"/>
  <c r="Q3496" i="1" s="1"/>
  <c r="J3495" i="1"/>
  <c r="L3495" i="1" s="1"/>
  <c r="J3494" i="1"/>
  <c r="L3494" i="1" s="1"/>
  <c r="J3493" i="1"/>
  <c r="L3493" i="1" s="1"/>
  <c r="J3492" i="1"/>
  <c r="L3492" i="1" s="1"/>
  <c r="J3491" i="1"/>
  <c r="L3491" i="1" s="1"/>
  <c r="J3490" i="1"/>
  <c r="L3490" i="1" s="1"/>
  <c r="J3489" i="1"/>
  <c r="L3489" i="1" s="1"/>
  <c r="J3488" i="1"/>
  <c r="L3488" i="1" s="1"/>
  <c r="J3487" i="1"/>
  <c r="L3487" i="1" s="1"/>
  <c r="J3486" i="1"/>
  <c r="L3486" i="1" s="1"/>
  <c r="N3485" i="1"/>
  <c r="J3485" i="1"/>
  <c r="L3485" i="1" s="1"/>
  <c r="Q3485" i="1" s="1"/>
  <c r="L3484" i="1"/>
  <c r="J3484" i="1"/>
  <c r="J3483" i="1"/>
  <c r="L3483" i="1" s="1"/>
  <c r="J3482" i="1"/>
  <c r="L3482" i="1" s="1"/>
  <c r="J3481" i="1"/>
  <c r="L3481" i="1" s="1"/>
  <c r="J3480" i="1"/>
  <c r="L3480" i="1" s="1"/>
  <c r="J3479" i="1"/>
  <c r="L3479" i="1" s="1"/>
  <c r="P3478" i="1"/>
  <c r="J3478" i="1"/>
  <c r="L3478" i="1" s="1"/>
  <c r="O3478" i="1" s="1"/>
  <c r="J3477" i="1"/>
  <c r="L3477" i="1" s="1"/>
  <c r="J3476" i="1"/>
  <c r="L3476" i="1" s="1"/>
  <c r="J3475" i="1"/>
  <c r="L3475" i="1" s="1"/>
  <c r="J3474" i="1"/>
  <c r="L3474" i="1" s="1"/>
  <c r="J3473" i="1"/>
  <c r="L3473" i="1" s="1"/>
  <c r="J3472" i="1"/>
  <c r="L3472" i="1" s="1"/>
  <c r="J3471" i="1"/>
  <c r="L3471" i="1" s="1"/>
  <c r="J3470" i="1"/>
  <c r="L3470" i="1" s="1"/>
  <c r="J3469" i="1"/>
  <c r="L3469" i="1" s="1"/>
  <c r="J3468" i="1"/>
  <c r="L3468" i="1" s="1"/>
  <c r="J3467" i="1"/>
  <c r="L3467" i="1" s="1"/>
  <c r="J3466" i="1"/>
  <c r="L3466" i="1" s="1"/>
  <c r="J3465" i="1"/>
  <c r="L3465" i="1" s="1"/>
  <c r="N3464" i="1"/>
  <c r="L3464" i="1"/>
  <c r="Q3464" i="1" s="1"/>
  <c r="J3464" i="1"/>
  <c r="J3463" i="1"/>
  <c r="L3463" i="1" s="1"/>
  <c r="J3462" i="1"/>
  <c r="L3462" i="1" s="1"/>
  <c r="J3461" i="1"/>
  <c r="L3461" i="1" s="1"/>
  <c r="N3460" i="1"/>
  <c r="J3460" i="1"/>
  <c r="L3460" i="1" s="1"/>
  <c r="J3459" i="1"/>
  <c r="L3459" i="1" s="1"/>
  <c r="J3458" i="1"/>
  <c r="L3458" i="1" s="1"/>
  <c r="J3457" i="1"/>
  <c r="L3457" i="1" s="1"/>
  <c r="J3456" i="1"/>
  <c r="L3456" i="1" s="1"/>
  <c r="J3455" i="1"/>
  <c r="L3455" i="1" s="1"/>
  <c r="J3454" i="1"/>
  <c r="L3454" i="1" s="1"/>
  <c r="J3453" i="1"/>
  <c r="L3453" i="1" s="1"/>
  <c r="J3452" i="1"/>
  <c r="L3452" i="1" s="1"/>
  <c r="J3451" i="1"/>
  <c r="L3451" i="1" s="1"/>
  <c r="J3450" i="1"/>
  <c r="L3450" i="1" s="1"/>
  <c r="J3449" i="1"/>
  <c r="L3449" i="1" s="1"/>
  <c r="K3448" i="1"/>
  <c r="J3448" i="1"/>
  <c r="J3447" i="1"/>
  <c r="L3447" i="1" s="1"/>
  <c r="J3446" i="1"/>
  <c r="L3446" i="1" s="1"/>
  <c r="J3445" i="1"/>
  <c r="L3445" i="1" s="1"/>
  <c r="J3444" i="1"/>
  <c r="L3444" i="1" s="1"/>
  <c r="J3443" i="1"/>
  <c r="L3443" i="1" s="1"/>
  <c r="J3442" i="1"/>
  <c r="L3442" i="1" s="1"/>
  <c r="J3441" i="1"/>
  <c r="L3441" i="1" s="1"/>
  <c r="J3440" i="1"/>
  <c r="L3440" i="1" s="1"/>
  <c r="J3439" i="1"/>
  <c r="L3439" i="1" s="1"/>
  <c r="J3438" i="1"/>
  <c r="L3438" i="1" s="1"/>
  <c r="J3437" i="1"/>
  <c r="L3437" i="1" s="1"/>
  <c r="J3436" i="1"/>
  <c r="L3436" i="1" s="1"/>
  <c r="J3435" i="1"/>
  <c r="L3435" i="1" s="1"/>
  <c r="J3434" i="1"/>
  <c r="L3434" i="1" s="1"/>
  <c r="J3433" i="1"/>
  <c r="L3433" i="1" s="1"/>
  <c r="J3432" i="1"/>
  <c r="L3432" i="1" s="1"/>
  <c r="J3431" i="1"/>
  <c r="L3431" i="1" s="1"/>
  <c r="J3430" i="1"/>
  <c r="L3430" i="1" s="1"/>
  <c r="J3429" i="1"/>
  <c r="L3429" i="1" s="1"/>
  <c r="P3428" i="1"/>
  <c r="J3428" i="1"/>
  <c r="L3428" i="1" s="1"/>
  <c r="O3428" i="1" s="1"/>
  <c r="J3427" i="1"/>
  <c r="L3427" i="1" s="1"/>
  <c r="J3426" i="1"/>
  <c r="L3426" i="1" s="1"/>
  <c r="J3425" i="1"/>
  <c r="L3425" i="1" s="1"/>
  <c r="J3424" i="1"/>
  <c r="L3424" i="1" s="1"/>
  <c r="J3423" i="1"/>
  <c r="L3423" i="1" s="1"/>
  <c r="J3422" i="1"/>
  <c r="L3422" i="1" s="1"/>
  <c r="J3421" i="1"/>
  <c r="L3421" i="1" s="1"/>
  <c r="N3420" i="1"/>
  <c r="J3420" i="1"/>
  <c r="L3420" i="1" s="1"/>
  <c r="Q3420" i="1" s="1"/>
  <c r="J3419" i="1"/>
  <c r="L3419" i="1" s="1"/>
  <c r="J3418" i="1"/>
  <c r="L3418" i="1" s="1"/>
  <c r="J3417" i="1"/>
  <c r="L3417" i="1" s="1"/>
  <c r="J3416" i="1"/>
  <c r="L3416" i="1" s="1"/>
  <c r="J3415" i="1"/>
  <c r="L3415" i="1" s="1"/>
  <c r="J3414" i="1"/>
  <c r="L3414" i="1" s="1"/>
  <c r="J3413" i="1"/>
  <c r="L3413" i="1" s="1"/>
  <c r="J3412" i="1"/>
  <c r="L3412" i="1" s="1"/>
  <c r="J3411" i="1"/>
  <c r="L3411" i="1" s="1"/>
  <c r="J3410" i="1"/>
  <c r="L3410" i="1" s="1"/>
  <c r="J3409" i="1"/>
  <c r="L3409" i="1" s="1"/>
  <c r="J3408" i="1"/>
  <c r="L3408" i="1" s="1"/>
  <c r="J3407" i="1"/>
  <c r="L3407" i="1" s="1"/>
  <c r="P3406" i="1"/>
  <c r="J3406" i="1"/>
  <c r="L3406" i="1" s="1"/>
  <c r="O3406" i="1" s="1"/>
  <c r="J3405" i="1"/>
  <c r="L3405" i="1" s="1"/>
  <c r="J3404" i="1"/>
  <c r="L3404" i="1" s="1"/>
  <c r="J3403" i="1"/>
  <c r="L3403" i="1" s="1"/>
  <c r="J3402" i="1"/>
  <c r="L3402" i="1" s="1"/>
  <c r="J3401" i="1"/>
  <c r="L3401" i="1" s="1"/>
  <c r="J3400" i="1"/>
  <c r="L3400" i="1" s="1"/>
  <c r="J3399" i="1"/>
  <c r="L3399" i="1" s="1"/>
  <c r="J3398" i="1"/>
  <c r="L3398" i="1" s="1"/>
  <c r="J3397" i="1"/>
  <c r="L3397" i="1" s="1"/>
  <c r="J3396" i="1"/>
  <c r="L3396" i="1" s="1"/>
  <c r="J3395" i="1"/>
  <c r="L3395" i="1" s="1"/>
  <c r="J3394" i="1"/>
  <c r="L3394" i="1" s="1"/>
  <c r="J3393" i="1"/>
  <c r="L3393" i="1" s="1"/>
  <c r="J3392" i="1"/>
  <c r="L3392" i="1" s="1"/>
  <c r="J3391" i="1"/>
  <c r="L3391" i="1" s="1"/>
  <c r="J3390" i="1"/>
  <c r="L3390" i="1" s="1"/>
  <c r="J3389" i="1"/>
  <c r="L3389" i="1" s="1"/>
  <c r="J3388" i="1"/>
  <c r="L3388" i="1" s="1"/>
  <c r="J3387" i="1"/>
  <c r="L3387" i="1" s="1"/>
  <c r="J3386" i="1"/>
  <c r="L3386" i="1" s="1"/>
  <c r="J3385" i="1"/>
  <c r="L3385" i="1" s="1"/>
  <c r="J3384" i="1"/>
  <c r="L3384" i="1" s="1"/>
  <c r="J3383" i="1"/>
  <c r="L3383" i="1" s="1"/>
  <c r="J3382" i="1"/>
  <c r="L3382" i="1" s="1"/>
  <c r="J3381" i="1"/>
  <c r="L3381" i="1" s="1"/>
  <c r="J3380" i="1"/>
  <c r="L3380" i="1" s="1"/>
  <c r="J3379" i="1"/>
  <c r="L3379" i="1" s="1"/>
  <c r="J3378" i="1"/>
  <c r="L3378" i="1" s="1"/>
  <c r="J3377" i="1"/>
  <c r="L3377" i="1" s="1"/>
  <c r="J3376" i="1"/>
  <c r="L3376" i="1" s="1"/>
  <c r="J3375" i="1"/>
  <c r="L3375" i="1" s="1"/>
  <c r="J3374" i="1"/>
  <c r="L3374" i="1" s="1"/>
  <c r="J3373" i="1"/>
  <c r="L3373" i="1" s="1"/>
  <c r="J3372" i="1"/>
  <c r="L3372" i="1" s="1"/>
  <c r="J3371" i="1"/>
  <c r="L3371" i="1" s="1"/>
  <c r="J3370" i="1"/>
  <c r="L3370" i="1" s="1"/>
  <c r="J3369" i="1"/>
  <c r="L3369" i="1" s="1"/>
  <c r="J3368" i="1"/>
  <c r="L3368" i="1" s="1"/>
  <c r="J3367" i="1"/>
  <c r="L3367" i="1" s="1"/>
  <c r="J3366" i="1"/>
  <c r="L3366" i="1" s="1"/>
  <c r="J3365" i="1"/>
  <c r="L3365" i="1" s="1"/>
  <c r="J3364" i="1"/>
  <c r="L3364" i="1" s="1"/>
  <c r="J3363" i="1"/>
  <c r="L3363" i="1" s="1"/>
  <c r="J3362" i="1"/>
  <c r="L3362" i="1" s="1"/>
  <c r="J3361" i="1"/>
  <c r="L3361" i="1" s="1"/>
  <c r="J3360" i="1"/>
  <c r="L3360" i="1" s="1"/>
  <c r="J3359" i="1"/>
  <c r="L3359" i="1" s="1"/>
  <c r="J3358" i="1"/>
  <c r="L3358" i="1" s="1"/>
  <c r="J3357" i="1"/>
  <c r="L3357" i="1" s="1"/>
  <c r="J3356" i="1"/>
  <c r="L3356" i="1" s="1"/>
  <c r="J3355" i="1"/>
  <c r="L3355" i="1" s="1"/>
  <c r="J3354" i="1"/>
  <c r="L3354" i="1" s="1"/>
  <c r="J3353" i="1"/>
  <c r="L3353" i="1" s="1"/>
  <c r="J3352" i="1"/>
  <c r="L3352" i="1" s="1"/>
  <c r="J3351" i="1"/>
  <c r="L3351" i="1" s="1"/>
  <c r="J3350" i="1"/>
  <c r="L3350" i="1" s="1"/>
  <c r="J3349" i="1"/>
  <c r="L3349" i="1" s="1"/>
  <c r="J3348" i="1"/>
  <c r="L3348" i="1" s="1"/>
  <c r="J3347" i="1"/>
  <c r="L3347" i="1" s="1"/>
  <c r="J3346" i="1"/>
  <c r="L3346" i="1" s="1"/>
  <c r="J3345" i="1"/>
  <c r="L3345" i="1" s="1"/>
  <c r="P3344" i="1"/>
  <c r="L3344" i="1"/>
  <c r="O3344" i="1" s="1"/>
  <c r="J3343" i="1"/>
  <c r="L3343" i="1" s="1"/>
  <c r="J3342" i="1"/>
  <c r="L3342" i="1" s="1"/>
  <c r="J3341" i="1"/>
  <c r="L3341" i="1" s="1"/>
  <c r="J3340" i="1"/>
  <c r="L3340" i="1" s="1"/>
  <c r="J3339" i="1"/>
  <c r="L3339" i="1" s="1"/>
  <c r="J3338" i="1"/>
  <c r="L3338" i="1" s="1"/>
  <c r="N3337" i="1"/>
  <c r="J3337" i="1"/>
  <c r="L3337" i="1" s="1"/>
  <c r="Q3337" i="1" s="1"/>
  <c r="J3336" i="1"/>
  <c r="L3336" i="1" s="1"/>
  <c r="J3335" i="1"/>
  <c r="L3335" i="1" s="1"/>
  <c r="J3334" i="1"/>
  <c r="L3334" i="1" s="1"/>
  <c r="J3333" i="1"/>
  <c r="L3333" i="1" s="1"/>
  <c r="J3332" i="1"/>
  <c r="L3332" i="1" s="1"/>
  <c r="J3331" i="1"/>
  <c r="L3331" i="1" s="1"/>
  <c r="J3330" i="1"/>
  <c r="L3330" i="1" s="1"/>
  <c r="J3329" i="1"/>
  <c r="L3329" i="1" s="1"/>
  <c r="J3328" i="1"/>
  <c r="L3328" i="1" s="1"/>
  <c r="J3327" i="1"/>
  <c r="L3327" i="1" s="1"/>
  <c r="J3326" i="1"/>
  <c r="L3326" i="1" s="1"/>
  <c r="N3325" i="1"/>
  <c r="J3325" i="1"/>
  <c r="L3325" i="1" s="1"/>
  <c r="Q3325" i="1" s="1"/>
  <c r="J3324" i="1"/>
  <c r="L3324" i="1" s="1"/>
  <c r="J3323" i="1"/>
  <c r="L3323" i="1" s="1"/>
  <c r="J3322" i="1"/>
  <c r="L3322" i="1" s="1"/>
  <c r="J3321" i="1"/>
  <c r="L3321" i="1" s="1"/>
  <c r="J3320" i="1"/>
  <c r="L3320" i="1" s="1"/>
  <c r="J3319" i="1"/>
  <c r="L3319" i="1" s="1"/>
  <c r="J3318" i="1"/>
  <c r="L3318" i="1" s="1"/>
  <c r="J3317" i="1"/>
  <c r="L3317" i="1" s="1"/>
  <c r="J3316" i="1"/>
  <c r="L3316" i="1" s="1"/>
  <c r="J3315" i="1"/>
  <c r="L3315" i="1" s="1"/>
  <c r="J3314" i="1"/>
  <c r="L3314" i="1" s="1"/>
  <c r="J3313" i="1"/>
  <c r="L3313" i="1" s="1"/>
  <c r="J3312" i="1"/>
  <c r="L3312" i="1" s="1"/>
  <c r="J3311" i="1"/>
  <c r="L3311" i="1" s="1"/>
  <c r="J3310" i="1"/>
  <c r="L3310" i="1" s="1"/>
  <c r="J3309" i="1"/>
  <c r="L3309" i="1" s="1"/>
  <c r="J3308" i="1"/>
  <c r="L3308" i="1" s="1"/>
  <c r="J3307" i="1"/>
  <c r="L3307" i="1" s="1"/>
  <c r="J3306" i="1"/>
  <c r="L3306" i="1" s="1"/>
  <c r="J3305" i="1"/>
  <c r="L3305" i="1" s="1"/>
  <c r="J3304" i="1"/>
  <c r="L3304" i="1" s="1"/>
  <c r="J3303" i="1"/>
  <c r="L3303" i="1" s="1"/>
  <c r="J3302" i="1"/>
  <c r="L3302" i="1" s="1"/>
  <c r="J3301" i="1"/>
  <c r="L3301" i="1" s="1"/>
  <c r="J3300" i="1"/>
  <c r="L3300" i="1" s="1"/>
  <c r="J3299" i="1"/>
  <c r="L3299" i="1" s="1"/>
  <c r="J3298" i="1"/>
  <c r="L3298" i="1" s="1"/>
  <c r="J3297" i="1"/>
  <c r="L3297" i="1" s="1"/>
  <c r="J3296" i="1"/>
  <c r="L3296" i="1" s="1"/>
  <c r="J3295" i="1"/>
  <c r="L3295" i="1" s="1"/>
  <c r="J3294" i="1"/>
  <c r="L3294" i="1" s="1"/>
  <c r="J3293" i="1"/>
  <c r="L3293" i="1" s="1"/>
  <c r="J3292" i="1"/>
  <c r="L3292" i="1" s="1"/>
  <c r="J3291" i="1"/>
  <c r="L3291" i="1" s="1"/>
  <c r="J3290" i="1"/>
  <c r="L3290" i="1" s="1"/>
  <c r="J3289" i="1"/>
  <c r="L3289" i="1" s="1"/>
  <c r="J3288" i="1"/>
  <c r="L3288" i="1" s="1"/>
  <c r="N3287" i="1"/>
  <c r="J3287" i="1"/>
  <c r="L3287" i="1" s="1"/>
  <c r="N3286" i="1"/>
  <c r="J3286" i="1"/>
  <c r="L3286" i="1" s="1"/>
  <c r="Q3286" i="1" s="1"/>
  <c r="N3285" i="1"/>
  <c r="J3285" i="1"/>
  <c r="L3285" i="1" s="1"/>
  <c r="Q3285" i="1" s="1"/>
  <c r="J3284" i="1"/>
  <c r="L3284" i="1" s="1"/>
  <c r="J3283" i="1"/>
  <c r="L3283" i="1" s="1"/>
  <c r="J3282" i="1"/>
  <c r="L3282" i="1" s="1"/>
  <c r="J3281" i="1"/>
  <c r="L3281" i="1" s="1"/>
  <c r="J3280" i="1"/>
  <c r="L3280" i="1" s="1"/>
  <c r="J3279" i="1"/>
  <c r="L3279" i="1" s="1"/>
  <c r="J3278" i="1"/>
  <c r="L3278" i="1" s="1"/>
  <c r="J3277" i="1"/>
  <c r="L3277" i="1" s="1"/>
  <c r="J3276" i="1"/>
  <c r="L3276" i="1" s="1"/>
  <c r="L3275" i="1"/>
  <c r="J3275" i="1"/>
  <c r="J3274" i="1"/>
  <c r="L3274" i="1" s="1"/>
  <c r="J3273" i="1"/>
  <c r="L3273" i="1" s="1"/>
  <c r="J3272" i="1"/>
  <c r="L3272" i="1" s="1"/>
  <c r="J3271" i="1"/>
  <c r="L3271" i="1" s="1"/>
  <c r="J3270" i="1"/>
  <c r="L3270" i="1" s="1"/>
  <c r="J3269" i="1"/>
  <c r="L3269" i="1" s="1"/>
  <c r="J3268" i="1"/>
  <c r="L3268" i="1" s="1"/>
  <c r="J3267" i="1"/>
  <c r="L3267" i="1" s="1"/>
  <c r="L3266" i="1"/>
  <c r="J3266" i="1"/>
  <c r="J3265" i="1"/>
  <c r="L3265" i="1" s="1"/>
  <c r="J3264" i="1"/>
  <c r="L3264" i="1" s="1"/>
  <c r="J3263" i="1"/>
  <c r="L3263" i="1" s="1"/>
  <c r="J3262" i="1"/>
  <c r="L3262" i="1" s="1"/>
  <c r="J3261" i="1"/>
  <c r="L3261" i="1" s="1"/>
  <c r="J3260" i="1"/>
  <c r="L3260" i="1" s="1"/>
  <c r="J3259" i="1"/>
  <c r="L3259" i="1" s="1"/>
  <c r="J3258" i="1"/>
  <c r="L3258" i="1" s="1"/>
  <c r="J3257" i="1"/>
  <c r="L3257" i="1" s="1"/>
  <c r="J3256" i="1"/>
  <c r="L3256" i="1" s="1"/>
  <c r="J3255" i="1"/>
  <c r="L3255" i="1" s="1"/>
  <c r="J3254" i="1"/>
  <c r="L3254" i="1" s="1"/>
  <c r="J3253" i="1"/>
  <c r="L3253" i="1" s="1"/>
  <c r="J3252" i="1"/>
  <c r="L3252" i="1" s="1"/>
  <c r="J3251" i="1"/>
  <c r="L3251" i="1" s="1"/>
  <c r="J3250" i="1"/>
  <c r="L3250" i="1" s="1"/>
  <c r="J3249" i="1"/>
  <c r="L3249" i="1" s="1"/>
  <c r="J3248" i="1"/>
  <c r="L3248" i="1" s="1"/>
  <c r="J3247" i="1"/>
  <c r="L3247" i="1" s="1"/>
  <c r="J3246" i="1"/>
  <c r="L3246" i="1" s="1"/>
  <c r="J3245" i="1"/>
  <c r="L3245" i="1" s="1"/>
  <c r="J3244" i="1"/>
  <c r="L3244" i="1" s="1"/>
  <c r="J3243" i="1"/>
  <c r="L3243" i="1" s="1"/>
  <c r="J3242" i="1"/>
  <c r="L3242" i="1" s="1"/>
  <c r="J3241" i="1"/>
  <c r="L3241" i="1" s="1"/>
  <c r="J3240" i="1"/>
  <c r="L3240" i="1" s="1"/>
  <c r="J3239" i="1"/>
  <c r="L3239" i="1" s="1"/>
  <c r="J3238" i="1"/>
  <c r="L3238" i="1" s="1"/>
  <c r="J3237" i="1"/>
  <c r="L3237" i="1" s="1"/>
  <c r="J3236" i="1"/>
  <c r="L3236" i="1" s="1"/>
  <c r="J3235" i="1"/>
  <c r="L3235" i="1" s="1"/>
  <c r="J3234" i="1"/>
  <c r="L3234" i="1" s="1"/>
  <c r="N3233" i="1"/>
  <c r="J3233" i="1"/>
  <c r="L3233" i="1" s="1"/>
  <c r="Q3233" i="1" s="1"/>
  <c r="N3232" i="1"/>
  <c r="J3232" i="1"/>
  <c r="L3232" i="1" s="1"/>
  <c r="Q3232" i="1" s="1"/>
  <c r="N3231" i="1"/>
  <c r="J3231" i="1"/>
  <c r="L3231" i="1" s="1"/>
  <c r="Q3231" i="1" s="1"/>
  <c r="N3230" i="1"/>
  <c r="J3230" i="1"/>
  <c r="L3230" i="1" s="1"/>
  <c r="Q3230" i="1" s="1"/>
  <c r="J3229" i="1"/>
  <c r="L3229" i="1" s="1"/>
  <c r="J3228" i="1"/>
  <c r="L3228" i="1" s="1"/>
  <c r="J3227" i="1"/>
  <c r="L3227" i="1" s="1"/>
  <c r="J3226" i="1"/>
  <c r="L3226" i="1" s="1"/>
  <c r="J3225" i="1"/>
  <c r="L3225" i="1" s="1"/>
  <c r="N3224" i="1"/>
  <c r="J3224" i="1"/>
  <c r="L3224" i="1" s="1"/>
  <c r="Q3224" i="1" s="1"/>
  <c r="J3223" i="1"/>
  <c r="L3223" i="1" s="1"/>
  <c r="J3222" i="1"/>
  <c r="L3222" i="1" s="1"/>
  <c r="J3221" i="1"/>
  <c r="L3221" i="1" s="1"/>
  <c r="L3220" i="1"/>
  <c r="J3220" i="1"/>
  <c r="J3219" i="1"/>
  <c r="L3219" i="1" s="1"/>
  <c r="J3218" i="1"/>
  <c r="L3218" i="1" s="1"/>
  <c r="N3217" i="1"/>
  <c r="J3217" i="1"/>
  <c r="L3217" i="1" s="1"/>
  <c r="Q3217" i="1" s="1"/>
  <c r="N3216" i="1"/>
  <c r="J3216" i="1"/>
  <c r="L3216" i="1" s="1"/>
  <c r="Q3216" i="1" s="1"/>
  <c r="N3215" i="1"/>
  <c r="J3215" i="1"/>
  <c r="L3215" i="1" s="1"/>
  <c r="Q3215" i="1" s="1"/>
  <c r="N3214" i="1"/>
  <c r="J3214" i="1"/>
  <c r="L3214" i="1" s="1"/>
  <c r="Q3214" i="1" s="1"/>
  <c r="J3213" i="1"/>
  <c r="L3213" i="1" s="1"/>
  <c r="J3212" i="1"/>
  <c r="L3212" i="1" s="1"/>
  <c r="L3211" i="1"/>
  <c r="J3211" i="1"/>
  <c r="J3210" i="1"/>
  <c r="L3210" i="1" s="1"/>
  <c r="J3209" i="1"/>
  <c r="L3209" i="1" s="1"/>
  <c r="J3208" i="1"/>
  <c r="L3208" i="1" s="1"/>
  <c r="J3207" i="1"/>
  <c r="L3207" i="1" s="1"/>
  <c r="J3206" i="1"/>
  <c r="L3206" i="1" s="1"/>
  <c r="J3205" i="1"/>
  <c r="L3205" i="1" s="1"/>
  <c r="J3204" i="1"/>
  <c r="L3204" i="1" s="1"/>
  <c r="J3203" i="1"/>
  <c r="L3203" i="1" s="1"/>
  <c r="J3202" i="1"/>
  <c r="L3202" i="1" s="1"/>
  <c r="J3201" i="1"/>
  <c r="L3201" i="1" s="1"/>
  <c r="J3200" i="1"/>
  <c r="L3200" i="1" s="1"/>
  <c r="J3199" i="1"/>
  <c r="L3199" i="1" s="1"/>
  <c r="J3198" i="1"/>
  <c r="L3198" i="1" s="1"/>
  <c r="J3197" i="1"/>
  <c r="L3197" i="1" s="1"/>
  <c r="J3196" i="1"/>
  <c r="L3196" i="1" s="1"/>
  <c r="J3195" i="1"/>
  <c r="L3195" i="1" s="1"/>
  <c r="J3194" i="1"/>
  <c r="L3194" i="1" s="1"/>
  <c r="J3193" i="1"/>
  <c r="L3193" i="1" s="1"/>
  <c r="J3192" i="1"/>
  <c r="L3192" i="1" s="1"/>
  <c r="J3191" i="1"/>
  <c r="L3191" i="1" s="1"/>
  <c r="J3190" i="1"/>
  <c r="L3190" i="1" s="1"/>
  <c r="J3189" i="1"/>
  <c r="L3189" i="1" s="1"/>
  <c r="J3188" i="1"/>
  <c r="L3188" i="1" s="1"/>
  <c r="J3187" i="1"/>
  <c r="L3187" i="1" s="1"/>
  <c r="J3186" i="1"/>
  <c r="L3186" i="1" s="1"/>
  <c r="J3185" i="1"/>
  <c r="L3185" i="1" s="1"/>
  <c r="J3184" i="1"/>
  <c r="L3184" i="1" s="1"/>
  <c r="J3183" i="1"/>
  <c r="L3183" i="1" s="1"/>
  <c r="N3182" i="1"/>
  <c r="J3182" i="1"/>
  <c r="L3182" i="1" s="1"/>
  <c r="J3181" i="1"/>
  <c r="L3181" i="1" s="1"/>
  <c r="J3180" i="1"/>
  <c r="L3180" i="1" s="1"/>
  <c r="J3179" i="1"/>
  <c r="L3179" i="1" s="1"/>
  <c r="J3178" i="1"/>
  <c r="L3178" i="1" s="1"/>
  <c r="J3177" i="1"/>
  <c r="L3177" i="1" s="1"/>
  <c r="J3176" i="1"/>
  <c r="L3176" i="1" s="1"/>
  <c r="J3175" i="1"/>
  <c r="L3175" i="1" s="1"/>
  <c r="J3174" i="1"/>
  <c r="L3174" i="1" s="1"/>
  <c r="J3173" i="1"/>
  <c r="L3173" i="1" s="1"/>
  <c r="J3172" i="1"/>
  <c r="L3172" i="1" s="1"/>
  <c r="J3171" i="1"/>
  <c r="L3171" i="1" s="1"/>
  <c r="N3170" i="1"/>
  <c r="J3170" i="1"/>
  <c r="L3170" i="1" s="1"/>
  <c r="Q3170" i="1" s="1"/>
  <c r="N3169" i="1"/>
  <c r="J3169" i="1"/>
  <c r="L3169" i="1" s="1"/>
  <c r="Q3169" i="1" s="1"/>
  <c r="N3168" i="1"/>
  <c r="J3168" i="1"/>
  <c r="L3168" i="1" s="1"/>
  <c r="Q3168" i="1" s="1"/>
  <c r="N3167" i="1"/>
  <c r="J3167" i="1"/>
  <c r="L3167" i="1" s="1"/>
  <c r="Q3167" i="1" s="1"/>
  <c r="J3166" i="1"/>
  <c r="L3166" i="1" s="1"/>
  <c r="J3165" i="1"/>
  <c r="L3165" i="1" s="1"/>
  <c r="J3164" i="1"/>
  <c r="L3164" i="1" s="1"/>
  <c r="J3163" i="1"/>
  <c r="L3163" i="1" s="1"/>
  <c r="J3162" i="1"/>
  <c r="L3162" i="1" s="1"/>
  <c r="J3161" i="1"/>
  <c r="L3161" i="1" s="1"/>
  <c r="J3160" i="1"/>
  <c r="L3160" i="1" s="1"/>
  <c r="N3159" i="1"/>
  <c r="L3159" i="1"/>
  <c r="Q3159" i="1" s="1"/>
  <c r="J3159" i="1"/>
  <c r="N3158" i="1"/>
  <c r="J3158" i="1"/>
  <c r="L3158" i="1" s="1"/>
  <c r="Q3158" i="1" s="1"/>
  <c r="N3157" i="1"/>
  <c r="J3157" i="1"/>
  <c r="L3157" i="1" s="1"/>
  <c r="Q3157" i="1" s="1"/>
  <c r="N3156" i="1"/>
  <c r="J3156" i="1"/>
  <c r="L3156" i="1" s="1"/>
  <c r="Q3156" i="1" s="1"/>
  <c r="J3155" i="1"/>
  <c r="L3155" i="1" s="1"/>
  <c r="N3154" i="1"/>
  <c r="J3154" i="1"/>
  <c r="L3154" i="1" s="1"/>
  <c r="M3153" i="1"/>
  <c r="L3153" i="1"/>
  <c r="J3153" i="1"/>
  <c r="J3152" i="1"/>
  <c r="L3152" i="1" s="1"/>
  <c r="J3151" i="1"/>
  <c r="L3151" i="1" s="1"/>
  <c r="J3150" i="1"/>
  <c r="L3150" i="1" s="1"/>
  <c r="J3149" i="1"/>
  <c r="L3149" i="1" s="1"/>
  <c r="J3148" i="1"/>
  <c r="L3148" i="1" s="1"/>
  <c r="J3147" i="1"/>
  <c r="L3147" i="1" s="1"/>
  <c r="J3146" i="1"/>
  <c r="L3146" i="1" s="1"/>
  <c r="J3145" i="1"/>
  <c r="L3145" i="1" s="1"/>
  <c r="J3144" i="1"/>
  <c r="L3144" i="1" s="1"/>
  <c r="J3143" i="1"/>
  <c r="L3143" i="1" s="1"/>
  <c r="J3142" i="1"/>
  <c r="L3142" i="1" s="1"/>
  <c r="J3141" i="1"/>
  <c r="L3141" i="1" s="1"/>
  <c r="J3140" i="1"/>
  <c r="L3140" i="1" s="1"/>
  <c r="J3139" i="1"/>
  <c r="L3139" i="1" s="1"/>
  <c r="J3138" i="1"/>
  <c r="L3138" i="1" s="1"/>
  <c r="J3137" i="1"/>
  <c r="L3137" i="1" s="1"/>
  <c r="J3136" i="1"/>
  <c r="L3136" i="1" s="1"/>
  <c r="J3135" i="1"/>
  <c r="L3135" i="1" s="1"/>
  <c r="J3134" i="1"/>
  <c r="L3134" i="1" s="1"/>
  <c r="J3133" i="1"/>
  <c r="L3133" i="1" s="1"/>
  <c r="J3132" i="1"/>
  <c r="L3132" i="1" s="1"/>
  <c r="J3131" i="1"/>
  <c r="L3131" i="1" s="1"/>
  <c r="J3130" i="1"/>
  <c r="L3130" i="1" s="1"/>
  <c r="J3129" i="1"/>
  <c r="L3129" i="1" s="1"/>
  <c r="J3128" i="1"/>
  <c r="L3128" i="1" s="1"/>
  <c r="J3127" i="1"/>
  <c r="L3127" i="1" s="1"/>
  <c r="J3126" i="1"/>
  <c r="L3126" i="1" s="1"/>
  <c r="J3125" i="1"/>
  <c r="L3125" i="1" s="1"/>
  <c r="J3124" i="1"/>
  <c r="L3124" i="1" s="1"/>
  <c r="J3123" i="1"/>
  <c r="L3123" i="1" s="1"/>
  <c r="J3122" i="1"/>
  <c r="L3122" i="1" s="1"/>
  <c r="J3121" i="1"/>
  <c r="L3121" i="1" s="1"/>
  <c r="J3120" i="1"/>
  <c r="L3120" i="1" s="1"/>
  <c r="J3119" i="1"/>
  <c r="L3119" i="1" s="1"/>
  <c r="J3118" i="1"/>
  <c r="L3118" i="1" s="1"/>
  <c r="J3117" i="1"/>
  <c r="L3117" i="1" s="1"/>
  <c r="J3116" i="1"/>
  <c r="L3116" i="1" s="1"/>
  <c r="J3115" i="1"/>
  <c r="L3115" i="1" s="1"/>
  <c r="J3114" i="1"/>
  <c r="L3114" i="1" s="1"/>
  <c r="J3113" i="1"/>
  <c r="L3113" i="1" s="1"/>
  <c r="J3112" i="1"/>
  <c r="L3112" i="1" s="1"/>
  <c r="J3111" i="1"/>
  <c r="L3111" i="1" s="1"/>
  <c r="J3110" i="1"/>
  <c r="L3110" i="1" s="1"/>
  <c r="J3109" i="1"/>
  <c r="L3109" i="1" s="1"/>
  <c r="N3108" i="1"/>
  <c r="J3108" i="1"/>
  <c r="L3108" i="1" s="1"/>
  <c r="Q3108" i="1" s="1"/>
  <c r="N3107" i="1"/>
  <c r="J3107" i="1"/>
  <c r="L3107" i="1" s="1"/>
  <c r="Q3107" i="1" s="1"/>
  <c r="J3106" i="1"/>
  <c r="L3106" i="1" s="1"/>
  <c r="J3105" i="1"/>
  <c r="L3105" i="1" s="1"/>
  <c r="J3104" i="1"/>
  <c r="L3104" i="1" s="1"/>
  <c r="N3103" i="1"/>
  <c r="J3103" i="1"/>
  <c r="L3103" i="1" s="1"/>
  <c r="Q3103" i="1" s="1"/>
  <c r="J3102" i="1"/>
  <c r="L3102" i="1" s="1"/>
  <c r="N3101" i="1"/>
  <c r="J3101" i="1"/>
  <c r="L3101" i="1" s="1"/>
  <c r="Q3101" i="1" s="1"/>
  <c r="N3100" i="1"/>
  <c r="J3100" i="1"/>
  <c r="L3100" i="1" s="1"/>
  <c r="Q3100" i="1" s="1"/>
  <c r="N3099" i="1"/>
  <c r="J3099" i="1"/>
  <c r="L3099" i="1" s="1"/>
  <c r="J3098" i="1"/>
  <c r="L3098" i="1" s="1"/>
  <c r="J3097" i="1"/>
  <c r="L3097" i="1" s="1"/>
  <c r="J3096" i="1"/>
  <c r="L3096" i="1" s="1"/>
  <c r="J3095" i="1"/>
  <c r="L3095" i="1" s="1"/>
  <c r="J3094" i="1"/>
  <c r="L3094" i="1" s="1"/>
  <c r="J3093" i="1"/>
  <c r="L3093" i="1" s="1"/>
  <c r="J3092" i="1"/>
  <c r="L3092" i="1" s="1"/>
  <c r="P3091" i="1"/>
  <c r="J3091" i="1"/>
  <c r="L3091" i="1" s="1"/>
  <c r="O3091" i="1" s="1"/>
  <c r="J3090" i="1"/>
  <c r="L3090" i="1" s="1"/>
  <c r="J3089" i="1"/>
  <c r="L3089" i="1" s="1"/>
  <c r="J3088" i="1"/>
  <c r="L3088" i="1" s="1"/>
  <c r="J3087" i="1"/>
  <c r="L3087" i="1" s="1"/>
  <c r="J3086" i="1"/>
  <c r="L3086" i="1" s="1"/>
  <c r="N3085" i="1"/>
  <c r="J3085" i="1"/>
  <c r="L3085" i="1" s="1"/>
  <c r="Q3085" i="1" s="1"/>
  <c r="J3084" i="1"/>
  <c r="L3084" i="1" s="1"/>
  <c r="J3083" i="1"/>
  <c r="L3083" i="1" s="1"/>
  <c r="J3082" i="1"/>
  <c r="L3082" i="1" s="1"/>
  <c r="J3081" i="1"/>
  <c r="L3081" i="1" s="1"/>
  <c r="J3080" i="1"/>
  <c r="L3080" i="1" s="1"/>
  <c r="N3079" i="1"/>
  <c r="J3079" i="1"/>
  <c r="L3079" i="1" s="1"/>
  <c r="Q3079" i="1" s="1"/>
  <c r="J3078" i="1"/>
  <c r="L3078" i="1" s="1"/>
  <c r="J3077" i="1"/>
  <c r="L3077" i="1" s="1"/>
  <c r="J3076" i="1"/>
  <c r="L3076" i="1" s="1"/>
  <c r="J3075" i="1"/>
  <c r="L3075" i="1" s="1"/>
  <c r="J3074" i="1"/>
  <c r="L3074" i="1" s="1"/>
  <c r="J3073" i="1"/>
  <c r="L3073" i="1" s="1"/>
  <c r="J3072" i="1"/>
  <c r="L3072" i="1" s="1"/>
  <c r="N3071" i="1"/>
  <c r="J3071" i="1"/>
  <c r="L3071" i="1" s="1"/>
  <c r="Q3071" i="1" s="1"/>
  <c r="N3070" i="1"/>
  <c r="J3070" i="1"/>
  <c r="L3070" i="1" s="1"/>
  <c r="Q3070" i="1" s="1"/>
  <c r="W3069" i="1"/>
  <c r="J3069" i="1"/>
  <c r="L3069" i="1" s="1"/>
  <c r="J3068" i="1"/>
  <c r="L3068" i="1" s="1"/>
  <c r="J3067" i="1"/>
  <c r="L3067" i="1" s="1"/>
  <c r="J3066" i="1"/>
  <c r="L3066" i="1" s="1"/>
  <c r="J3065" i="1"/>
  <c r="L3065" i="1" s="1"/>
  <c r="J3064" i="1"/>
  <c r="L3064" i="1" s="1"/>
  <c r="J3063" i="1"/>
  <c r="L3063" i="1" s="1"/>
  <c r="J3062" i="1"/>
  <c r="L3062" i="1" s="1"/>
  <c r="J3061" i="1"/>
  <c r="L3061" i="1" s="1"/>
  <c r="J3060" i="1"/>
  <c r="L3060" i="1" s="1"/>
  <c r="J3059" i="1"/>
  <c r="L3059" i="1" s="1"/>
  <c r="J3058" i="1"/>
  <c r="L3058" i="1" s="1"/>
  <c r="J3057" i="1"/>
  <c r="L3057" i="1" s="1"/>
  <c r="J3056" i="1"/>
  <c r="L3056" i="1" s="1"/>
  <c r="J3055" i="1"/>
  <c r="L3055" i="1" s="1"/>
  <c r="M3054" i="1"/>
  <c r="J3054" i="1"/>
  <c r="L3054" i="1" s="1"/>
  <c r="J3053" i="1"/>
  <c r="L3053" i="1" s="1"/>
  <c r="P3052" i="1"/>
  <c r="J3052" i="1"/>
  <c r="L3052" i="1" s="1"/>
  <c r="J3051" i="1"/>
  <c r="L3051" i="1" s="1"/>
  <c r="N3050" i="1"/>
  <c r="J3050" i="1"/>
  <c r="L3050" i="1" s="1"/>
  <c r="Q3050" i="1" s="1"/>
  <c r="N3049" i="1"/>
  <c r="J3049" i="1"/>
  <c r="L3049" i="1" s="1"/>
  <c r="Q3049" i="1" s="1"/>
  <c r="J3048" i="1"/>
  <c r="L3048" i="1" s="1"/>
  <c r="J3047" i="1"/>
  <c r="L3047" i="1" s="1"/>
  <c r="J3046" i="1"/>
  <c r="L3046" i="1" s="1"/>
  <c r="J3045" i="1"/>
  <c r="L3045" i="1" s="1"/>
  <c r="J3044" i="1"/>
  <c r="L3044" i="1" s="1"/>
  <c r="J3043" i="1"/>
  <c r="L3043" i="1" s="1"/>
  <c r="J3042" i="1"/>
  <c r="L3042" i="1" s="1"/>
  <c r="J3041" i="1"/>
  <c r="L3041" i="1" s="1"/>
  <c r="J3040" i="1"/>
  <c r="L3040" i="1" s="1"/>
  <c r="N3039" i="1"/>
  <c r="J3039" i="1"/>
  <c r="L3039" i="1" s="1"/>
  <c r="Q3039" i="1" s="1"/>
  <c r="J3038" i="1"/>
  <c r="L3038" i="1" s="1"/>
  <c r="J3037" i="1"/>
  <c r="L3037" i="1" s="1"/>
  <c r="J3036" i="1"/>
  <c r="L3036" i="1" s="1"/>
  <c r="J3035" i="1"/>
  <c r="L3035" i="1" s="1"/>
  <c r="J3034" i="1"/>
  <c r="L3034" i="1" s="1"/>
  <c r="J3033" i="1"/>
  <c r="L3033" i="1" s="1"/>
  <c r="J3032" i="1"/>
  <c r="L3032" i="1" s="1"/>
  <c r="J3031" i="1"/>
  <c r="L3031" i="1" s="1"/>
  <c r="N3030" i="1"/>
  <c r="J3030" i="1"/>
  <c r="L3030" i="1" s="1"/>
  <c r="Q3030" i="1" s="1"/>
  <c r="J3029" i="1"/>
  <c r="L3029" i="1" s="1"/>
  <c r="J3028" i="1"/>
  <c r="L3028" i="1" s="1"/>
  <c r="J3027" i="1"/>
  <c r="L3027" i="1" s="1"/>
  <c r="J3026" i="1"/>
  <c r="L3026" i="1" s="1"/>
  <c r="J3025" i="1"/>
  <c r="L3025" i="1" s="1"/>
  <c r="J3024" i="1"/>
  <c r="L3024" i="1" s="1"/>
  <c r="J3023" i="1"/>
  <c r="L3023" i="1" s="1"/>
  <c r="J3022" i="1"/>
  <c r="L3022" i="1" s="1"/>
  <c r="J3021" i="1"/>
  <c r="L3021" i="1" s="1"/>
  <c r="J3020" i="1"/>
  <c r="L3020" i="1" s="1"/>
  <c r="J3019" i="1"/>
  <c r="L3019" i="1" s="1"/>
  <c r="J3018" i="1"/>
  <c r="L3018" i="1" s="1"/>
  <c r="J3017" i="1"/>
  <c r="L3017" i="1" s="1"/>
  <c r="J3016" i="1"/>
  <c r="L3016" i="1" s="1"/>
  <c r="J3015" i="1"/>
  <c r="L3015" i="1" s="1"/>
  <c r="J3014" i="1"/>
  <c r="L3014" i="1" s="1"/>
  <c r="J3013" i="1"/>
  <c r="L3013" i="1" s="1"/>
  <c r="J3012" i="1"/>
  <c r="L3012" i="1" s="1"/>
  <c r="J3011" i="1"/>
  <c r="L3011" i="1" s="1"/>
  <c r="J3010" i="1"/>
  <c r="L3010" i="1" s="1"/>
  <c r="J3009" i="1"/>
  <c r="L3009" i="1" s="1"/>
  <c r="J3008" i="1"/>
  <c r="L3008" i="1" s="1"/>
  <c r="J3007" i="1"/>
  <c r="L3007" i="1" s="1"/>
  <c r="J3006" i="1"/>
  <c r="L3006" i="1" s="1"/>
  <c r="J3005" i="1"/>
  <c r="L3005" i="1" s="1"/>
  <c r="J3004" i="1"/>
  <c r="L3004" i="1" s="1"/>
  <c r="J3003" i="1"/>
  <c r="L3003" i="1" s="1"/>
  <c r="J3002" i="1"/>
  <c r="L3002" i="1" s="1"/>
  <c r="J3001" i="1"/>
  <c r="L3001" i="1" s="1"/>
  <c r="J3000" i="1"/>
  <c r="L3000" i="1" s="1"/>
  <c r="J2999" i="1"/>
  <c r="L2999" i="1" s="1"/>
  <c r="J2998" i="1"/>
  <c r="L2998" i="1" s="1"/>
  <c r="J2997" i="1"/>
  <c r="L2997" i="1" s="1"/>
  <c r="J2996" i="1"/>
  <c r="L2996" i="1" s="1"/>
  <c r="J2995" i="1"/>
  <c r="L2995" i="1" s="1"/>
  <c r="J2994" i="1"/>
  <c r="L2994" i="1" s="1"/>
  <c r="P2993" i="1"/>
  <c r="J2993" i="1"/>
  <c r="L2993" i="1" s="1"/>
  <c r="O2993" i="1" s="1"/>
  <c r="P2992" i="1"/>
  <c r="J2992" i="1"/>
  <c r="L2992" i="1" s="1"/>
  <c r="O2992" i="1" s="1"/>
  <c r="J2991" i="1"/>
  <c r="L2991" i="1" s="1"/>
  <c r="J2990" i="1"/>
  <c r="L2990" i="1" s="1"/>
  <c r="J2989" i="1"/>
  <c r="L2989" i="1" s="1"/>
  <c r="J2988" i="1"/>
  <c r="L2988" i="1" s="1"/>
  <c r="J2987" i="1"/>
  <c r="L2987" i="1" s="1"/>
  <c r="P2986" i="1"/>
  <c r="J2986" i="1"/>
  <c r="L2986" i="1" s="1"/>
  <c r="L2985" i="1"/>
  <c r="M2984" i="1"/>
  <c r="J2984" i="1"/>
  <c r="L2984" i="1" s="1"/>
  <c r="P2983" i="1"/>
  <c r="J2983" i="1"/>
  <c r="L2983" i="1" s="1"/>
  <c r="J2982" i="1"/>
  <c r="L2982" i="1" s="1"/>
  <c r="J2981" i="1"/>
  <c r="L2981" i="1" s="1"/>
  <c r="N2980" i="1"/>
  <c r="J2980" i="1"/>
  <c r="L2980" i="1" s="1"/>
  <c r="Q2980" i="1" s="1"/>
  <c r="J2979" i="1"/>
  <c r="L2979" i="1" s="1"/>
  <c r="J2978" i="1"/>
  <c r="L2978" i="1" s="1"/>
  <c r="J2977" i="1"/>
  <c r="L2977" i="1" s="1"/>
  <c r="J2976" i="1"/>
  <c r="L2976" i="1" s="1"/>
  <c r="J2975" i="1"/>
  <c r="L2975" i="1" s="1"/>
  <c r="J2974" i="1"/>
  <c r="L2974" i="1" s="1"/>
  <c r="J2973" i="1"/>
  <c r="L2973" i="1" s="1"/>
  <c r="J2972" i="1"/>
  <c r="L2972" i="1" s="1"/>
  <c r="J2971" i="1"/>
  <c r="L2971" i="1" s="1"/>
  <c r="J2970" i="1"/>
  <c r="L2970" i="1" s="1"/>
  <c r="J2969" i="1"/>
  <c r="L2969" i="1" s="1"/>
  <c r="J2968" i="1"/>
  <c r="L2968" i="1" s="1"/>
  <c r="J2967" i="1"/>
  <c r="L2967" i="1" s="1"/>
  <c r="J2966" i="1"/>
  <c r="L2966" i="1" s="1"/>
  <c r="J2965" i="1"/>
  <c r="L2965" i="1" s="1"/>
  <c r="J2964" i="1"/>
  <c r="L2964" i="1" s="1"/>
  <c r="J2963" i="1"/>
  <c r="L2963" i="1" s="1"/>
  <c r="J2962" i="1"/>
  <c r="L2962" i="1" s="1"/>
  <c r="J2961" i="1"/>
  <c r="L2961" i="1" s="1"/>
  <c r="J2960" i="1"/>
  <c r="L2960" i="1" s="1"/>
  <c r="J2959" i="1"/>
  <c r="L2959" i="1" s="1"/>
  <c r="P2958" i="1"/>
  <c r="J2958" i="1"/>
  <c r="L2958" i="1" s="1"/>
  <c r="O2958" i="1" s="1"/>
  <c r="J2957" i="1"/>
  <c r="L2957" i="1" s="1"/>
  <c r="N2956" i="1"/>
  <c r="J2956" i="1"/>
  <c r="L2956" i="1" s="1"/>
  <c r="Q2956" i="1" s="1"/>
  <c r="N2955" i="1"/>
  <c r="J2955" i="1"/>
  <c r="L2955" i="1" s="1"/>
  <c r="Q2955" i="1" s="1"/>
  <c r="N2954" i="1"/>
  <c r="J2954" i="1"/>
  <c r="L2954" i="1" s="1"/>
  <c r="Q2954" i="1" s="1"/>
  <c r="N2953" i="1"/>
  <c r="J2953" i="1"/>
  <c r="L2953" i="1" s="1"/>
  <c r="Q2953" i="1" s="1"/>
  <c r="J2952" i="1"/>
  <c r="L2952" i="1" s="1"/>
  <c r="J2951" i="1"/>
  <c r="L2951" i="1" s="1"/>
  <c r="J2950" i="1"/>
  <c r="L2950" i="1" s="1"/>
  <c r="J2949" i="1"/>
  <c r="L2949" i="1" s="1"/>
  <c r="J2948" i="1"/>
  <c r="L2948" i="1" s="1"/>
  <c r="J2947" i="1"/>
  <c r="L2947" i="1" s="1"/>
  <c r="P2946" i="1"/>
  <c r="J2946" i="1"/>
  <c r="L2946" i="1" s="1"/>
  <c r="O2946" i="1" s="1"/>
  <c r="P2945" i="1"/>
  <c r="J2945" i="1"/>
  <c r="L2945" i="1" s="1"/>
  <c r="O2945" i="1" s="1"/>
  <c r="J2944" i="1"/>
  <c r="L2944" i="1" s="1"/>
  <c r="J2943" i="1"/>
  <c r="L2943" i="1" s="1"/>
  <c r="J2942" i="1"/>
  <c r="L2942" i="1" s="1"/>
  <c r="J2941" i="1"/>
  <c r="L2941" i="1" s="1"/>
  <c r="J2940" i="1"/>
  <c r="L2940" i="1" s="1"/>
  <c r="J2939" i="1"/>
  <c r="L2939" i="1" s="1"/>
  <c r="J2938" i="1"/>
  <c r="L2938" i="1" s="1"/>
  <c r="J2937" i="1"/>
  <c r="L2937" i="1" s="1"/>
  <c r="J2936" i="1"/>
  <c r="L2936" i="1" s="1"/>
  <c r="J2935" i="1"/>
  <c r="L2935" i="1" s="1"/>
  <c r="J2934" i="1"/>
  <c r="L2934" i="1" s="1"/>
  <c r="J2933" i="1"/>
  <c r="L2933" i="1" s="1"/>
  <c r="N2932" i="1"/>
  <c r="J2932" i="1"/>
  <c r="L2932" i="1" s="1"/>
  <c r="Q2932" i="1" s="1"/>
  <c r="J2931" i="1"/>
  <c r="L2931" i="1" s="1"/>
  <c r="P2930" i="1"/>
  <c r="M2930" i="1"/>
  <c r="J2930" i="1"/>
  <c r="L2930" i="1" s="1"/>
  <c r="M2929" i="1"/>
  <c r="J2929" i="1"/>
  <c r="L2929" i="1" s="1"/>
  <c r="J2928" i="1"/>
  <c r="L2928" i="1" s="1"/>
  <c r="P2927" i="1"/>
  <c r="J2927" i="1"/>
  <c r="L2927" i="1" s="1"/>
  <c r="O2927" i="1" s="1"/>
  <c r="N2926" i="1"/>
  <c r="J2926" i="1"/>
  <c r="L2926" i="1" s="1"/>
  <c r="Q2926" i="1" s="1"/>
  <c r="J2925" i="1"/>
  <c r="L2925" i="1" s="1"/>
  <c r="J2924" i="1"/>
  <c r="L2924" i="1" s="1"/>
  <c r="N2923" i="1"/>
  <c r="J2923" i="1"/>
  <c r="L2923" i="1" s="1"/>
  <c r="Q2923" i="1" s="1"/>
  <c r="J2922" i="1"/>
  <c r="L2922" i="1" s="1"/>
  <c r="J2921" i="1"/>
  <c r="L2921" i="1" s="1"/>
  <c r="J2920" i="1"/>
  <c r="L2920" i="1" s="1"/>
  <c r="J2919" i="1"/>
  <c r="L2919" i="1" s="1"/>
  <c r="J2918" i="1"/>
  <c r="L2918" i="1" s="1"/>
  <c r="J2917" i="1"/>
  <c r="L2917" i="1" s="1"/>
  <c r="J2916" i="1"/>
  <c r="L2916" i="1" s="1"/>
  <c r="J2915" i="1"/>
  <c r="L2915" i="1" s="1"/>
  <c r="J2914" i="1"/>
  <c r="L2914" i="1" s="1"/>
  <c r="J2913" i="1"/>
  <c r="L2913" i="1" s="1"/>
  <c r="J2912" i="1"/>
  <c r="L2912" i="1" s="1"/>
  <c r="J2911" i="1"/>
  <c r="L2911" i="1" s="1"/>
  <c r="J2910" i="1"/>
  <c r="L2910" i="1" s="1"/>
  <c r="J2909" i="1"/>
  <c r="L2909" i="1" s="1"/>
  <c r="J2908" i="1"/>
  <c r="L2908" i="1" s="1"/>
  <c r="N2907" i="1"/>
  <c r="J2907" i="1"/>
  <c r="L2907" i="1" s="1"/>
  <c r="Q2907" i="1" s="1"/>
  <c r="J2906" i="1"/>
  <c r="L2906" i="1" s="1"/>
  <c r="N2905" i="1"/>
  <c r="J2905" i="1"/>
  <c r="L2905" i="1" s="1"/>
  <c r="Q2905" i="1" s="1"/>
  <c r="N2904" i="1"/>
  <c r="J2904" i="1"/>
  <c r="L2904" i="1" s="1"/>
  <c r="Q2904" i="1" s="1"/>
  <c r="N2903" i="1"/>
  <c r="J2903" i="1"/>
  <c r="L2903" i="1" s="1"/>
  <c r="Q2903" i="1" s="1"/>
  <c r="J2902" i="1"/>
  <c r="L2902" i="1" s="1"/>
  <c r="J2901" i="1"/>
  <c r="L2901" i="1" s="1"/>
  <c r="J2900" i="1"/>
  <c r="L2900" i="1" s="1"/>
  <c r="J2899" i="1"/>
  <c r="L2899" i="1" s="1"/>
  <c r="J2898" i="1"/>
  <c r="L2898" i="1" s="1"/>
  <c r="J2897" i="1"/>
  <c r="L2897" i="1" s="1"/>
  <c r="J2896" i="1"/>
  <c r="L2896" i="1" s="1"/>
  <c r="J2895" i="1"/>
  <c r="L2895" i="1" s="1"/>
  <c r="J2894" i="1"/>
  <c r="L2894" i="1" s="1"/>
  <c r="J2893" i="1"/>
  <c r="L2893" i="1" s="1"/>
  <c r="J2892" i="1"/>
  <c r="L2892" i="1" s="1"/>
  <c r="N2891" i="1"/>
  <c r="J2891" i="1"/>
  <c r="L2891" i="1" s="1"/>
  <c r="Q2891" i="1" s="1"/>
  <c r="N2890" i="1"/>
  <c r="J2890" i="1"/>
  <c r="L2890" i="1" s="1"/>
  <c r="Q2890" i="1" s="1"/>
  <c r="J2889" i="1"/>
  <c r="L2889" i="1" s="1"/>
  <c r="J2888" i="1"/>
  <c r="L2888" i="1" s="1"/>
  <c r="J2887" i="1"/>
  <c r="L2887" i="1" s="1"/>
  <c r="J2886" i="1"/>
  <c r="L2886" i="1" s="1"/>
  <c r="J2885" i="1"/>
  <c r="L2885" i="1" s="1"/>
  <c r="J2884" i="1"/>
  <c r="L2884" i="1" s="1"/>
  <c r="J2883" i="1"/>
  <c r="L2883" i="1" s="1"/>
  <c r="J2882" i="1"/>
  <c r="L2882" i="1" s="1"/>
  <c r="J2881" i="1"/>
  <c r="L2881" i="1" s="1"/>
  <c r="J2880" i="1"/>
  <c r="L2880" i="1" s="1"/>
  <c r="J2879" i="1"/>
  <c r="L2879" i="1" s="1"/>
  <c r="J2878" i="1"/>
  <c r="L2878" i="1" s="1"/>
  <c r="J2877" i="1"/>
  <c r="L2877" i="1" s="1"/>
  <c r="J2876" i="1"/>
  <c r="L2876" i="1" s="1"/>
  <c r="P2875" i="1"/>
  <c r="J2875" i="1"/>
  <c r="L2875" i="1" s="1"/>
  <c r="O2875" i="1" s="1"/>
  <c r="N2874" i="1"/>
  <c r="J2874" i="1"/>
  <c r="L2874" i="1" s="1"/>
  <c r="Q2874" i="1" s="1"/>
  <c r="N2873" i="1"/>
  <c r="J2873" i="1"/>
  <c r="L2873" i="1" s="1"/>
  <c r="Q2873" i="1" s="1"/>
  <c r="N2872" i="1"/>
  <c r="J2872" i="1"/>
  <c r="L2872" i="1" s="1"/>
  <c r="Q2872" i="1" s="1"/>
  <c r="J2871" i="1"/>
  <c r="L2871" i="1" s="1"/>
  <c r="J2870" i="1"/>
  <c r="L2870" i="1" s="1"/>
  <c r="J2869" i="1"/>
  <c r="L2869" i="1" s="1"/>
  <c r="J2868" i="1"/>
  <c r="L2868" i="1" s="1"/>
  <c r="J2867" i="1"/>
  <c r="L2867" i="1" s="1"/>
  <c r="J2866" i="1"/>
  <c r="L2866" i="1" s="1"/>
  <c r="J2865" i="1"/>
  <c r="L2865" i="1" s="1"/>
  <c r="J2864" i="1"/>
  <c r="L2864" i="1" s="1"/>
  <c r="J2863" i="1"/>
  <c r="L2863" i="1" s="1"/>
  <c r="J2862" i="1"/>
  <c r="L2862" i="1" s="1"/>
  <c r="J2861" i="1"/>
  <c r="L2861" i="1" s="1"/>
  <c r="J2860" i="1"/>
  <c r="L2860" i="1" s="1"/>
  <c r="N2859" i="1"/>
  <c r="J2859" i="1"/>
  <c r="L2859" i="1" s="1"/>
  <c r="Q2859" i="1" s="1"/>
  <c r="N2858" i="1"/>
  <c r="J2858" i="1"/>
  <c r="L2858" i="1" s="1"/>
  <c r="Q2858" i="1" s="1"/>
  <c r="N2857" i="1"/>
  <c r="J2857" i="1"/>
  <c r="L2857" i="1" s="1"/>
  <c r="Q2857" i="1" s="1"/>
  <c r="N2856" i="1"/>
  <c r="J2856" i="1"/>
  <c r="L2856" i="1" s="1"/>
  <c r="Q2856" i="1" s="1"/>
  <c r="J2855" i="1"/>
  <c r="L2855" i="1" s="1"/>
  <c r="J2854" i="1"/>
  <c r="L2854" i="1" s="1"/>
  <c r="J2853" i="1"/>
  <c r="L2853" i="1" s="1"/>
  <c r="J2852" i="1"/>
  <c r="L2852" i="1" s="1"/>
  <c r="J2851" i="1"/>
  <c r="L2851" i="1" s="1"/>
  <c r="J2850" i="1"/>
  <c r="L2850" i="1" s="1"/>
  <c r="J2849" i="1"/>
  <c r="L2849" i="1" s="1"/>
  <c r="J2848" i="1"/>
  <c r="L2848" i="1" s="1"/>
  <c r="J2847" i="1"/>
  <c r="L2847" i="1" s="1"/>
  <c r="J2846" i="1"/>
  <c r="L2846" i="1" s="1"/>
  <c r="L2845" i="1"/>
  <c r="J2844" i="1"/>
  <c r="L2844" i="1" s="1"/>
  <c r="J2843" i="1"/>
  <c r="L2843" i="1" s="1"/>
  <c r="N2842" i="1"/>
  <c r="J2842" i="1"/>
  <c r="L2842" i="1" s="1"/>
  <c r="Q2842" i="1" s="1"/>
  <c r="J2841" i="1"/>
  <c r="L2841" i="1" s="1"/>
  <c r="J2840" i="1"/>
  <c r="L2840" i="1" s="1"/>
  <c r="J2839" i="1"/>
  <c r="L2839" i="1" s="1"/>
  <c r="J2838" i="1"/>
  <c r="L2838" i="1" s="1"/>
  <c r="L2837" i="1"/>
  <c r="J2836" i="1"/>
  <c r="L2836" i="1" s="1"/>
  <c r="J2835" i="1"/>
  <c r="L2835" i="1" s="1"/>
  <c r="J2834" i="1"/>
  <c r="L2834" i="1" s="1"/>
  <c r="J2833" i="1"/>
  <c r="L2833" i="1" s="1"/>
  <c r="J2832" i="1"/>
  <c r="L2832" i="1" s="1"/>
  <c r="J2831" i="1"/>
  <c r="L2831" i="1" s="1"/>
  <c r="J2830" i="1"/>
  <c r="L2830" i="1" s="1"/>
  <c r="J2829" i="1"/>
  <c r="L2829" i="1" s="1"/>
  <c r="J2828" i="1"/>
  <c r="L2828" i="1" s="1"/>
  <c r="J2827" i="1"/>
  <c r="L2827" i="1" s="1"/>
  <c r="J2826" i="1"/>
  <c r="L2826" i="1" s="1"/>
  <c r="J2825" i="1"/>
  <c r="L2825" i="1" s="1"/>
  <c r="J2824" i="1"/>
  <c r="L2824" i="1" s="1"/>
  <c r="J2823" i="1"/>
  <c r="L2823" i="1" s="1"/>
  <c r="J2822" i="1"/>
  <c r="L2822" i="1" s="1"/>
  <c r="J2821" i="1"/>
  <c r="L2821" i="1" s="1"/>
  <c r="J2820" i="1"/>
  <c r="L2820" i="1" s="1"/>
  <c r="N2819" i="1"/>
  <c r="J2819" i="1"/>
  <c r="L2819" i="1" s="1"/>
  <c r="Q2819" i="1" s="1"/>
  <c r="N2818" i="1"/>
  <c r="J2818" i="1"/>
  <c r="L2818" i="1" s="1"/>
  <c r="Q2818" i="1" s="1"/>
  <c r="J2817" i="1"/>
  <c r="L2817" i="1" s="1"/>
  <c r="J2816" i="1"/>
  <c r="L2816" i="1" s="1"/>
  <c r="J2815" i="1"/>
  <c r="L2815" i="1" s="1"/>
  <c r="J2814" i="1"/>
  <c r="L2814" i="1" s="1"/>
  <c r="J2813" i="1"/>
  <c r="L2813" i="1" s="1"/>
  <c r="Q2812" i="1"/>
  <c r="P2812" i="1"/>
  <c r="J2812" i="1"/>
  <c r="L2812" i="1" s="1"/>
  <c r="O2812" i="1" s="1"/>
  <c r="Q2811" i="1"/>
  <c r="P2811" i="1"/>
  <c r="J2811" i="1"/>
  <c r="L2811" i="1" s="1"/>
  <c r="O2811" i="1" s="1"/>
  <c r="R2811" i="1" s="1"/>
  <c r="Q2810" i="1"/>
  <c r="P2810" i="1"/>
  <c r="J2810" i="1"/>
  <c r="L2810" i="1" s="1"/>
  <c r="O2810" i="1" s="1"/>
  <c r="J2809" i="1"/>
  <c r="L2809" i="1" s="1"/>
  <c r="L2808" i="1"/>
  <c r="L2807" i="1"/>
  <c r="J2806" i="1"/>
  <c r="L2806" i="1" s="1"/>
  <c r="J2805" i="1"/>
  <c r="L2805" i="1" s="1"/>
  <c r="J2804" i="1"/>
  <c r="L2804" i="1" s="1"/>
  <c r="J2803" i="1"/>
  <c r="L2803" i="1" s="1"/>
  <c r="J2802" i="1"/>
  <c r="L2802" i="1" s="1"/>
  <c r="J2801" i="1"/>
  <c r="L2801" i="1" s="1"/>
  <c r="J2800" i="1"/>
  <c r="L2800" i="1" s="1"/>
  <c r="J2799" i="1"/>
  <c r="L2799" i="1" s="1"/>
  <c r="J2798" i="1"/>
  <c r="L2798" i="1" s="1"/>
  <c r="J2797" i="1"/>
  <c r="L2797" i="1" s="1"/>
  <c r="J2796" i="1"/>
  <c r="L2796" i="1" s="1"/>
  <c r="J2795" i="1"/>
  <c r="L2795" i="1" s="1"/>
  <c r="J2794" i="1"/>
  <c r="L2794" i="1" s="1"/>
  <c r="J2793" i="1"/>
  <c r="L2793" i="1" s="1"/>
  <c r="J2792" i="1"/>
  <c r="L2792" i="1" s="1"/>
  <c r="J2791" i="1"/>
  <c r="L2791" i="1" s="1"/>
  <c r="J2790" i="1"/>
  <c r="L2790" i="1" s="1"/>
  <c r="J2789" i="1"/>
  <c r="L2789" i="1" s="1"/>
  <c r="J2788" i="1"/>
  <c r="L2788" i="1" s="1"/>
  <c r="J2787" i="1"/>
  <c r="L2787" i="1" s="1"/>
  <c r="J2786" i="1"/>
  <c r="L2786" i="1" s="1"/>
  <c r="J2785" i="1"/>
  <c r="L2785" i="1" s="1"/>
  <c r="J2784" i="1"/>
  <c r="L2784" i="1" s="1"/>
  <c r="J2783" i="1"/>
  <c r="L2783" i="1" s="1"/>
  <c r="J2782" i="1"/>
  <c r="L2782" i="1" s="1"/>
  <c r="J2781" i="1"/>
  <c r="L2781" i="1" s="1"/>
  <c r="J2780" i="1"/>
  <c r="L2780" i="1" s="1"/>
  <c r="J2779" i="1"/>
  <c r="L2779" i="1" s="1"/>
  <c r="J2778" i="1"/>
  <c r="L2778" i="1" s="1"/>
  <c r="L2777" i="1"/>
  <c r="J2776" i="1"/>
  <c r="L2776" i="1" s="1"/>
  <c r="J2775" i="1"/>
  <c r="L2775" i="1" s="1"/>
  <c r="J2774" i="1"/>
  <c r="L2774" i="1" s="1"/>
  <c r="N2773" i="1"/>
  <c r="J2773" i="1"/>
  <c r="L2773" i="1" s="1"/>
  <c r="Q2773" i="1" s="1"/>
  <c r="L2772" i="1"/>
  <c r="J2771" i="1"/>
  <c r="L2771" i="1" s="1"/>
  <c r="J2770" i="1"/>
  <c r="L2770" i="1" s="1"/>
  <c r="J2769" i="1"/>
  <c r="L2769" i="1" s="1"/>
  <c r="P2768" i="1"/>
  <c r="J2768" i="1"/>
  <c r="L2768" i="1" s="1"/>
  <c r="O2768" i="1" s="1"/>
  <c r="P2767" i="1"/>
  <c r="J2767" i="1"/>
  <c r="L2767" i="1" s="1"/>
  <c r="O2767" i="1" s="1"/>
  <c r="N2766" i="1"/>
  <c r="J2766" i="1"/>
  <c r="L2766" i="1" s="1"/>
  <c r="Q2766" i="1" s="1"/>
  <c r="P2765" i="1"/>
  <c r="N2765" i="1"/>
  <c r="L2765" i="1"/>
  <c r="J2764" i="1"/>
  <c r="L2764" i="1" s="1"/>
  <c r="J2763" i="1"/>
  <c r="L2763" i="1" s="1"/>
  <c r="J2762" i="1"/>
  <c r="L2762" i="1" s="1"/>
  <c r="J2761" i="1"/>
  <c r="L2761" i="1" s="1"/>
  <c r="N2760" i="1"/>
  <c r="J2760" i="1"/>
  <c r="L2760" i="1" s="1"/>
  <c r="Q2760" i="1" s="1"/>
  <c r="N2759" i="1"/>
  <c r="J2759" i="1"/>
  <c r="L2759" i="1" s="1"/>
  <c r="Q2759" i="1" s="1"/>
  <c r="J2758" i="1"/>
  <c r="L2758" i="1" s="1"/>
  <c r="J2757" i="1"/>
  <c r="L2757" i="1" s="1"/>
  <c r="J2756" i="1"/>
  <c r="L2756" i="1" s="1"/>
  <c r="J2755" i="1"/>
  <c r="L2755" i="1" s="1"/>
  <c r="J2754" i="1"/>
  <c r="L2754" i="1" s="1"/>
  <c r="J2753" i="1"/>
  <c r="L2753" i="1" s="1"/>
  <c r="N2752" i="1"/>
  <c r="J2752" i="1"/>
  <c r="L2752" i="1" s="1"/>
  <c r="J2751" i="1"/>
  <c r="L2751" i="1" s="1"/>
  <c r="J2750" i="1"/>
  <c r="L2750" i="1" s="1"/>
  <c r="J2749" i="1"/>
  <c r="L2749" i="1" s="1"/>
  <c r="J2748" i="1"/>
  <c r="L2748" i="1" s="1"/>
  <c r="J2747" i="1"/>
  <c r="L2747" i="1" s="1"/>
  <c r="J2746" i="1"/>
  <c r="L2746" i="1" s="1"/>
  <c r="M2745" i="1"/>
  <c r="J2745" i="1"/>
  <c r="L2745" i="1" s="1"/>
  <c r="M2744" i="1"/>
  <c r="J2744" i="1"/>
  <c r="L2744" i="1" s="1"/>
  <c r="N2743" i="1"/>
  <c r="J2743" i="1"/>
  <c r="L2743" i="1" s="1"/>
  <c r="Q2743" i="1" s="1"/>
  <c r="J2742" i="1"/>
  <c r="L2742" i="1" s="1"/>
  <c r="J2741" i="1"/>
  <c r="L2741" i="1" s="1"/>
  <c r="J2740" i="1"/>
  <c r="L2740" i="1" s="1"/>
  <c r="J2739" i="1"/>
  <c r="L2739" i="1" s="1"/>
  <c r="J2738" i="1"/>
  <c r="L2738" i="1" s="1"/>
  <c r="J2737" i="1"/>
  <c r="L2737" i="1" s="1"/>
  <c r="J2736" i="1"/>
  <c r="L2736" i="1" s="1"/>
  <c r="J2735" i="1"/>
  <c r="L2735" i="1" s="1"/>
  <c r="J2734" i="1"/>
  <c r="L2734" i="1" s="1"/>
  <c r="M2733" i="1"/>
  <c r="K2733" i="1"/>
  <c r="J2733" i="1"/>
  <c r="J2732" i="1"/>
  <c r="L2732" i="1" s="1"/>
  <c r="J2731" i="1"/>
  <c r="L2731" i="1" s="1"/>
  <c r="M2730" i="1"/>
  <c r="J2730" i="1"/>
  <c r="L2730" i="1" s="1"/>
  <c r="K2729" i="1"/>
  <c r="J2729" i="1"/>
  <c r="J2728" i="1"/>
  <c r="L2728" i="1" s="1"/>
  <c r="J2727" i="1"/>
  <c r="L2727" i="1" s="1"/>
  <c r="J2726" i="1"/>
  <c r="L2726" i="1" s="1"/>
  <c r="J2725" i="1"/>
  <c r="L2725" i="1" s="1"/>
  <c r="J2724" i="1"/>
  <c r="L2724" i="1" s="1"/>
  <c r="J2723" i="1"/>
  <c r="L2723" i="1" s="1"/>
  <c r="J2722" i="1"/>
  <c r="L2722" i="1" s="1"/>
  <c r="J2721" i="1"/>
  <c r="L2721" i="1" s="1"/>
  <c r="J2720" i="1"/>
  <c r="L2720" i="1" s="1"/>
  <c r="J2719" i="1"/>
  <c r="L2719" i="1" s="1"/>
  <c r="J2718" i="1"/>
  <c r="L2718" i="1" s="1"/>
  <c r="N2717" i="1"/>
  <c r="J2717" i="1"/>
  <c r="L2717" i="1" s="1"/>
  <c r="Q2717" i="1" s="1"/>
  <c r="J2716" i="1"/>
  <c r="L2716" i="1" s="1"/>
  <c r="J2715" i="1"/>
  <c r="L2715" i="1" s="1"/>
  <c r="N2714" i="1"/>
  <c r="J2714" i="1"/>
  <c r="L2714" i="1" s="1"/>
  <c r="Q2714" i="1" s="1"/>
  <c r="N2713" i="1"/>
  <c r="J2713" i="1"/>
  <c r="L2713" i="1" s="1"/>
  <c r="Q2713" i="1" s="1"/>
  <c r="J2712" i="1"/>
  <c r="L2712" i="1" s="1"/>
  <c r="J2711" i="1"/>
  <c r="L2711" i="1" s="1"/>
  <c r="J2710" i="1"/>
  <c r="L2710" i="1" s="1"/>
  <c r="J2709" i="1"/>
  <c r="L2709" i="1" s="1"/>
  <c r="J2708" i="1"/>
  <c r="L2708" i="1" s="1"/>
  <c r="N2707" i="1"/>
  <c r="J2707" i="1"/>
  <c r="L2707" i="1" s="1"/>
  <c r="Q2707" i="1" s="1"/>
  <c r="N2706" i="1"/>
  <c r="J2706" i="1"/>
  <c r="L2706" i="1" s="1"/>
  <c r="Q2706" i="1" s="1"/>
  <c r="J2705" i="1"/>
  <c r="L2705" i="1" s="1"/>
  <c r="N2704" i="1"/>
  <c r="J2704" i="1"/>
  <c r="L2704" i="1" s="1"/>
  <c r="Q2704" i="1" s="1"/>
  <c r="N2703" i="1"/>
  <c r="J2703" i="1"/>
  <c r="L2703" i="1" s="1"/>
  <c r="Q2703" i="1" s="1"/>
  <c r="N2702" i="1"/>
  <c r="J2702" i="1"/>
  <c r="L2702" i="1" s="1"/>
  <c r="Q2702" i="1" s="1"/>
  <c r="N2701" i="1"/>
  <c r="J2701" i="1"/>
  <c r="L2701" i="1" s="1"/>
  <c r="Q2701" i="1" s="1"/>
  <c r="J2700" i="1"/>
  <c r="L2700" i="1" s="1"/>
  <c r="J2699" i="1"/>
  <c r="L2699" i="1" s="1"/>
  <c r="J2698" i="1"/>
  <c r="L2698" i="1" s="1"/>
  <c r="J2697" i="1"/>
  <c r="L2697" i="1" s="1"/>
  <c r="J2696" i="1"/>
  <c r="L2696" i="1" s="1"/>
  <c r="N2695" i="1"/>
  <c r="J2695" i="1"/>
  <c r="L2695" i="1" s="1"/>
  <c r="Q2695" i="1" s="1"/>
  <c r="J2694" i="1"/>
  <c r="L2694" i="1" s="1"/>
  <c r="J2693" i="1"/>
  <c r="L2693" i="1" s="1"/>
  <c r="J2692" i="1"/>
  <c r="L2692" i="1" s="1"/>
  <c r="J2691" i="1"/>
  <c r="L2691" i="1" s="1"/>
  <c r="J2690" i="1"/>
  <c r="L2690" i="1" s="1"/>
  <c r="J2689" i="1"/>
  <c r="L2689" i="1" s="1"/>
  <c r="N2688" i="1"/>
  <c r="J2688" i="1"/>
  <c r="L2688" i="1" s="1"/>
  <c r="Q2688" i="1" s="1"/>
  <c r="N2687" i="1"/>
  <c r="J2687" i="1"/>
  <c r="L2687" i="1" s="1"/>
  <c r="Q2687" i="1" s="1"/>
  <c r="N2686" i="1"/>
  <c r="J2686" i="1"/>
  <c r="L2686" i="1" s="1"/>
  <c r="Q2686" i="1" s="1"/>
  <c r="J2685" i="1"/>
  <c r="L2685" i="1" s="1"/>
  <c r="J2684" i="1"/>
  <c r="L2684" i="1" s="1"/>
  <c r="J2683" i="1"/>
  <c r="L2683" i="1" s="1"/>
  <c r="J2682" i="1"/>
  <c r="L2682" i="1" s="1"/>
  <c r="P2681" i="1"/>
  <c r="J2681" i="1"/>
  <c r="L2681" i="1" s="1"/>
  <c r="O2681" i="1" s="1"/>
  <c r="J2680" i="1"/>
  <c r="L2680" i="1" s="1"/>
  <c r="J2679" i="1"/>
  <c r="L2679" i="1" s="1"/>
  <c r="J2678" i="1"/>
  <c r="L2678" i="1" s="1"/>
  <c r="J2677" i="1"/>
  <c r="L2677" i="1" s="1"/>
  <c r="J2676" i="1"/>
  <c r="L2676" i="1" s="1"/>
  <c r="J2675" i="1"/>
  <c r="L2675" i="1" s="1"/>
  <c r="J2674" i="1"/>
  <c r="L2674" i="1" s="1"/>
  <c r="J2673" i="1"/>
  <c r="L2673" i="1" s="1"/>
  <c r="J2672" i="1"/>
  <c r="L2672" i="1" s="1"/>
  <c r="J2671" i="1"/>
  <c r="L2671" i="1" s="1"/>
  <c r="J2670" i="1"/>
  <c r="L2670" i="1" s="1"/>
  <c r="J2669" i="1"/>
  <c r="L2669" i="1" s="1"/>
  <c r="J2668" i="1"/>
  <c r="L2668" i="1" s="1"/>
  <c r="J2667" i="1"/>
  <c r="L2667" i="1" s="1"/>
  <c r="J2666" i="1"/>
  <c r="L2666" i="1" s="1"/>
  <c r="J2665" i="1"/>
  <c r="L2665" i="1" s="1"/>
  <c r="J2664" i="1"/>
  <c r="L2664" i="1" s="1"/>
  <c r="P2663" i="1"/>
  <c r="J2663" i="1"/>
  <c r="L2663" i="1" s="1"/>
  <c r="O2663" i="1" s="1"/>
  <c r="J2662" i="1"/>
  <c r="L2662" i="1" s="1"/>
  <c r="J2661" i="1"/>
  <c r="L2661" i="1" s="1"/>
  <c r="J2660" i="1"/>
  <c r="L2660" i="1" s="1"/>
  <c r="J2659" i="1"/>
  <c r="L2659" i="1" s="1"/>
  <c r="J2658" i="1"/>
  <c r="L2658" i="1" s="1"/>
  <c r="J2657" i="1"/>
  <c r="L2657" i="1" s="1"/>
  <c r="J2656" i="1"/>
  <c r="L2656" i="1" s="1"/>
  <c r="J2655" i="1"/>
  <c r="L2655" i="1" s="1"/>
  <c r="J2654" i="1"/>
  <c r="L2654" i="1" s="1"/>
  <c r="J2653" i="1"/>
  <c r="L2653" i="1" s="1"/>
  <c r="J2652" i="1"/>
  <c r="L2652" i="1" s="1"/>
  <c r="J2651" i="1"/>
  <c r="L2651" i="1" s="1"/>
  <c r="J2650" i="1"/>
  <c r="L2650" i="1" s="1"/>
  <c r="J2649" i="1"/>
  <c r="L2649" i="1" s="1"/>
  <c r="J2648" i="1"/>
  <c r="L2648" i="1" s="1"/>
  <c r="P2647" i="1"/>
  <c r="K2647" i="1"/>
  <c r="J2647" i="1"/>
  <c r="J2646" i="1"/>
  <c r="L2646" i="1" s="1"/>
  <c r="J2645" i="1"/>
  <c r="L2645" i="1" s="1"/>
  <c r="N2644" i="1"/>
  <c r="L2644" i="1"/>
  <c r="Q2644" i="1" s="1"/>
  <c r="N2643" i="1"/>
  <c r="J2643" i="1"/>
  <c r="L2643" i="1" s="1"/>
  <c r="Q2643" i="1" s="1"/>
  <c r="J2642" i="1"/>
  <c r="L2642" i="1" s="1"/>
  <c r="J2641" i="1"/>
  <c r="L2641" i="1" s="1"/>
  <c r="J2640" i="1"/>
  <c r="L2640" i="1" s="1"/>
  <c r="N2639" i="1"/>
  <c r="J2639" i="1"/>
  <c r="L2639" i="1" s="1"/>
  <c r="Q2639" i="1" s="1"/>
  <c r="N2638" i="1"/>
  <c r="J2638" i="1"/>
  <c r="L2638" i="1" s="1"/>
  <c r="Q2638" i="1" s="1"/>
  <c r="J2637" i="1"/>
  <c r="L2637" i="1" s="1"/>
  <c r="J2636" i="1"/>
  <c r="L2636" i="1" s="1"/>
  <c r="P2635" i="1"/>
  <c r="L2635" i="1"/>
  <c r="O2635" i="1" s="1"/>
  <c r="J2634" i="1"/>
  <c r="L2634" i="1" s="1"/>
  <c r="P2633" i="1"/>
  <c r="L2633" i="1"/>
  <c r="O2633" i="1" s="1"/>
  <c r="J2632" i="1"/>
  <c r="L2632" i="1" s="1"/>
  <c r="J2631" i="1"/>
  <c r="L2631" i="1" s="1"/>
  <c r="P2630" i="1"/>
  <c r="L2630" i="1"/>
  <c r="O2630" i="1" s="1"/>
  <c r="P2629" i="1"/>
  <c r="J2629" i="1"/>
  <c r="L2629" i="1" s="1"/>
  <c r="O2629" i="1" s="1"/>
  <c r="P2628" i="1"/>
  <c r="J2628" i="1"/>
  <c r="L2628" i="1" s="1"/>
  <c r="O2628" i="1" s="1"/>
  <c r="P2627" i="1"/>
  <c r="J2627" i="1"/>
  <c r="L2627" i="1" s="1"/>
  <c r="O2627" i="1" s="1"/>
  <c r="P2626" i="1"/>
  <c r="J2626" i="1"/>
  <c r="L2626" i="1" s="1"/>
  <c r="O2626" i="1" s="1"/>
  <c r="P2625" i="1"/>
  <c r="J2625" i="1"/>
  <c r="L2625" i="1" s="1"/>
  <c r="O2625" i="1" s="1"/>
  <c r="P2624" i="1"/>
  <c r="L2624" i="1"/>
  <c r="O2624" i="1" s="1"/>
  <c r="P2623" i="1"/>
  <c r="J2623" i="1"/>
  <c r="L2623" i="1" s="1"/>
  <c r="O2623" i="1" s="1"/>
  <c r="P2622" i="1"/>
  <c r="L2622" i="1"/>
  <c r="O2622" i="1" s="1"/>
  <c r="P2621" i="1"/>
  <c r="L2621" i="1"/>
  <c r="O2621" i="1" s="1"/>
  <c r="J2620" i="1"/>
  <c r="L2620" i="1" s="1"/>
  <c r="J2619" i="1"/>
  <c r="L2619" i="1" s="1"/>
  <c r="J2618" i="1"/>
  <c r="L2618" i="1" s="1"/>
  <c r="J2617" i="1"/>
  <c r="L2617" i="1" s="1"/>
  <c r="J2616" i="1"/>
  <c r="L2616" i="1" s="1"/>
  <c r="J2615" i="1"/>
  <c r="L2615" i="1" s="1"/>
  <c r="J2614" i="1"/>
  <c r="L2614" i="1" s="1"/>
  <c r="J2613" i="1"/>
  <c r="L2613" i="1" s="1"/>
  <c r="J2612" i="1"/>
  <c r="L2612" i="1" s="1"/>
  <c r="J2611" i="1"/>
  <c r="L2611" i="1" s="1"/>
  <c r="J2610" i="1"/>
  <c r="L2610" i="1" s="1"/>
  <c r="J2609" i="1"/>
  <c r="L2609" i="1" s="1"/>
  <c r="P2608" i="1"/>
  <c r="J2608" i="1"/>
  <c r="L2608" i="1" s="1"/>
  <c r="O2608" i="1" s="1"/>
  <c r="P2607" i="1"/>
  <c r="J2607" i="1"/>
  <c r="L2607" i="1" s="1"/>
  <c r="O2607" i="1" s="1"/>
  <c r="J2606" i="1"/>
  <c r="L2606" i="1" s="1"/>
  <c r="J2605" i="1"/>
  <c r="L2605" i="1" s="1"/>
  <c r="J2604" i="1"/>
  <c r="L2604" i="1" s="1"/>
  <c r="J2603" i="1"/>
  <c r="L2603" i="1" s="1"/>
  <c r="J2602" i="1"/>
  <c r="L2602" i="1" s="1"/>
  <c r="J2601" i="1"/>
  <c r="L2601" i="1" s="1"/>
  <c r="J2600" i="1"/>
  <c r="L2600" i="1" s="1"/>
  <c r="L2599" i="1"/>
  <c r="J2598" i="1"/>
  <c r="L2598" i="1" s="1"/>
  <c r="J2597" i="1"/>
  <c r="L2597" i="1" s="1"/>
  <c r="J2596" i="1"/>
  <c r="L2596" i="1" s="1"/>
  <c r="J2595" i="1"/>
  <c r="L2595" i="1" s="1"/>
  <c r="J2594" i="1"/>
  <c r="L2594" i="1" s="1"/>
  <c r="J2593" i="1"/>
  <c r="L2593" i="1" s="1"/>
  <c r="J2592" i="1"/>
  <c r="L2592" i="1" s="1"/>
  <c r="J2591" i="1"/>
  <c r="L2591" i="1" s="1"/>
  <c r="J2590" i="1"/>
  <c r="L2590" i="1" s="1"/>
  <c r="J2589" i="1"/>
  <c r="L2589" i="1" s="1"/>
  <c r="J2588" i="1"/>
  <c r="L2588" i="1" s="1"/>
  <c r="J2587" i="1"/>
  <c r="L2587" i="1" s="1"/>
  <c r="J2586" i="1"/>
  <c r="L2586" i="1" s="1"/>
  <c r="J2585" i="1"/>
  <c r="L2585" i="1" s="1"/>
  <c r="J2584" i="1"/>
  <c r="L2584" i="1" s="1"/>
  <c r="J2583" i="1"/>
  <c r="L2583" i="1" s="1"/>
  <c r="J2582" i="1"/>
  <c r="L2582" i="1" s="1"/>
  <c r="J2581" i="1"/>
  <c r="L2581" i="1" s="1"/>
  <c r="J2580" i="1"/>
  <c r="L2580" i="1" s="1"/>
  <c r="J2579" i="1"/>
  <c r="L2579" i="1" s="1"/>
  <c r="J2578" i="1"/>
  <c r="L2578" i="1" s="1"/>
  <c r="N2577" i="1"/>
  <c r="J2577" i="1"/>
  <c r="L2577" i="1" s="1"/>
  <c r="Q2577" i="1" s="1"/>
  <c r="J2576" i="1"/>
  <c r="L2576" i="1" s="1"/>
  <c r="J2575" i="1"/>
  <c r="L2575" i="1" s="1"/>
  <c r="J2574" i="1"/>
  <c r="L2574" i="1" s="1"/>
  <c r="J2573" i="1"/>
  <c r="L2573" i="1" s="1"/>
  <c r="J2572" i="1"/>
  <c r="L2572" i="1" s="1"/>
  <c r="J2571" i="1"/>
  <c r="L2571" i="1" s="1"/>
  <c r="J2570" i="1"/>
  <c r="L2570" i="1" s="1"/>
  <c r="J2569" i="1"/>
  <c r="L2569" i="1" s="1"/>
  <c r="J2568" i="1"/>
  <c r="L2568" i="1" s="1"/>
  <c r="J2567" i="1"/>
  <c r="L2567" i="1" s="1"/>
  <c r="J2566" i="1"/>
  <c r="L2566" i="1" s="1"/>
  <c r="J2565" i="1"/>
  <c r="L2565" i="1" s="1"/>
  <c r="J2564" i="1"/>
  <c r="L2564" i="1" s="1"/>
  <c r="J2563" i="1"/>
  <c r="L2563" i="1" s="1"/>
  <c r="J2562" i="1"/>
  <c r="L2562" i="1" s="1"/>
  <c r="J2561" i="1"/>
  <c r="L2561" i="1" s="1"/>
  <c r="J2560" i="1"/>
  <c r="L2560" i="1" s="1"/>
  <c r="J2559" i="1"/>
  <c r="L2559" i="1" s="1"/>
  <c r="N2558" i="1"/>
  <c r="J2558" i="1"/>
  <c r="L2558" i="1" s="1"/>
  <c r="Q2558" i="1" s="1"/>
  <c r="J2557" i="1"/>
  <c r="L2557" i="1" s="1"/>
  <c r="J2556" i="1"/>
  <c r="L2556" i="1" s="1"/>
  <c r="J2555" i="1"/>
  <c r="L2555" i="1" s="1"/>
  <c r="J2554" i="1"/>
  <c r="L2554" i="1" s="1"/>
  <c r="J2553" i="1"/>
  <c r="L2553" i="1" s="1"/>
  <c r="J2552" i="1"/>
  <c r="L2552" i="1" s="1"/>
  <c r="J2551" i="1"/>
  <c r="L2551" i="1" s="1"/>
  <c r="J2550" i="1"/>
  <c r="L2550" i="1" s="1"/>
  <c r="J2549" i="1"/>
  <c r="L2549" i="1" s="1"/>
  <c r="J2548" i="1"/>
  <c r="L2548" i="1" s="1"/>
  <c r="J2547" i="1"/>
  <c r="L2547" i="1" s="1"/>
  <c r="J2546" i="1"/>
  <c r="L2546" i="1" s="1"/>
  <c r="J2545" i="1"/>
  <c r="L2545" i="1" s="1"/>
  <c r="N2544" i="1"/>
  <c r="J2544" i="1"/>
  <c r="L2544" i="1" s="1"/>
  <c r="Q2544" i="1" s="1"/>
  <c r="N2543" i="1"/>
  <c r="J2543" i="1"/>
  <c r="L2543" i="1" s="1"/>
  <c r="Q2543" i="1" s="1"/>
  <c r="J2542" i="1"/>
  <c r="L2542" i="1" s="1"/>
  <c r="J2541" i="1"/>
  <c r="L2541" i="1" s="1"/>
  <c r="J2540" i="1"/>
  <c r="L2540" i="1" s="1"/>
  <c r="L2539" i="1"/>
  <c r="L2538" i="1"/>
  <c r="J2537" i="1"/>
  <c r="L2537" i="1" s="1"/>
  <c r="J2536" i="1"/>
  <c r="L2536" i="1" s="1"/>
  <c r="J2535" i="1"/>
  <c r="L2535" i="1" s="1"/>
  <c r="J2534" i="1"/>
  <c r="L2534" i="1" s="1"/>
  <c r="J2533" i="1"/>
  <c r="L2533" i="1" s="1"/>
  <c r="J2532" i="1"/>
  <c r="L2532" i="1" s="1"/>
  <c r="J2531" i="1"/>
  <c r="L2531" i="1" s="1"/>
  <c r="J2530" i="1"/>
  <c r="L2530" i="1" s="1"/>
  <c r="J2529" i="1"/>
  <c r="L2529" i="1" s="1"/>
  <c r="J2528" i="1"/>
  <c r="L2528" i="1" s="1"/>
  <c r="J2527" i="1"/>
  <c r="L2527" i="1" s="1"/>
  <c r="J2526" i="1"/>
  <c r="L2526" i="1" s="1"/>
  <c r="J2525" i="1"/>
  <c r="L2525" i="1" s="1"/>
  <c r="J2524" i="1"/>
  <c r="L2524" i="1" s="1"/>
  <c r="J2523" i="1"/>
  <c r="L2523" i="1" s="1"/>
  <c r="N2522" i="1"/>
  <c r="J2522" i="1"/>
  <c r="L2522" i="1" s="1"/>
  <c r="Q2522" i="1" s="1"/>
  <c r="N2521" i="1"/>
  <c r="J2521" i="1"/>
  <c r="L2521" i="1" s="1"/>
  <c r="Q2521" i="1" s="1"/>
  <c r="N2520" i="1"/>
  <c r="J2520" i="1"/>
  <c r="L2520" i="1" s="1"/>
  <c r="Q2520" i="1" s="1"/>
  <c r="N2519" i="1"/>
  <c r="J2519" i="1"/>
  <c r="L2519" i="1" s="1"/>
  <c r="Q2519" i="1" s="1"/>
  <c r="J2518" i="1"/>
  <c r="L2518" i="1" s="1"/>
  <c r="J2517" i="1"/>
  <c r="L2517" i="1" s="1"/>
  <c r="J2516" i="1"/>
  <c r="L2516" i="1" s="1"/>
  <c r="J2515" i="1"/>
  <c r="L2515" i="1" s="1"/>
  <c r="J2514" i="1"/>
  <c r="L2514" i="1" s="1"/>
  <c r="J2513" i="1"/>
  <c r="L2513" i="1" s="1"/>
  <c r="J2512" i="1"/>
  <c r="L2512" i="1" s="1"/>
  <c r="J2511" i="1"/>
  <c r="L2511" i="1" s="1"/>
  <c r="J2510" i="1"/>
  <c r="L2510" i="1" s="1"/>
  <c r="J2509" i="1"/>
  <c r="L2509" i="1" s="1"/>
  <c r="J2508" i="1"/>
  <c r="L2508" i="1" s="1"/>
  <c r="J2507" i="1"/>
  <c r="L2507" i="1" s="1"/>
  <c r="J2506" i="1"/>
  <c r="L2506" i="1" s="1"/>
  <c r="J2505" i="1"/>
  <c r="L2505" i="1" s="1"/>
  <c r="J2504" i="1"/>
  <c r="L2504" i="1" s="1"/>
  <c r="J2503" i="1"/>
  <c r="L2503" i="1" s="1"/>
  <c r="J2502" i="1"/>
  <c r="L2502" i="1" s="1"/>
  <c r="J2501" i="1"/>
  <c r="L2501" i="1" s="1"/>
  <c r="J2500" i="1"/>
  <c r="L2500" i="1" s="1"/>
  <c r="P2499" i="1"/>
  <c r="J2499" i="1"/>
  <c r="L2499" i="1" s="1"/>
  <c r="O2499" i="1" s="1"/>
  <c r="J2498" i="1"/>
  <c r="L2498" i="1" s="1"/>
  <c r="J2497" i="1"/>
  <c r="L2497" i="1" s="1"/>
  <c r="J2496" i="1"/>
  <c r="L2496" i="1" s="1"/>
  <c r="J2495" i="1"/>
  <c r="L2495" i="1" s="1"/>
  <c r="J2494" i="1"/>
  <c r="L2494" i="1" s="1"/>
  <c r="J2493" i="1"/>
  <c r="L2493" i="1" s="1"/>
  <c r="J2492" i="1"/>
  <c r="L2492" i="1" s="1"/>
  <c r="J2491" i="1"/>
  <c r="L2491" i="1" s="1"/>
  <c r="J2490" i="1"/>
  <c r="L2490" i="1" s="1"/>
  <c r="J2489" i="1"/>
  <c r="L2489" i="1" s="1"/>
  <c r="J2488" i="1"/>
  <c r="L2488" i="1" s="1"/>
  <c r="J2487" i="1"/>
  <c r="L2487" i="1" s="1"/>
  <c r="J2486" i="1"/>
  <c r="L2486" i="1" s="1"/>
  <c r="J2485" i="1"/>
  <c r="L2485" i="1" s="1"/>
  <c r="J2484" i="1"/>
  <c r="L2484" i="1" s="1"/>
  <c r="J2483" i="1"/>
  <c r="L2483" i="1" s="1"/>
  <c r="J2482" i="1"/>
  <c r="L2482" i="1" s="1"/>
  <c r="P2481" i="1"/>
  <c r="J2481" i="1"/>
  <c r="L2481" i="1" s="1"/>
  <c r="O2481" i="1" s="1"/>
  <c r="N2480" i="1"/>
  <c r="K2480" i="1"/>
  <c r="J2480" i="1"/>
  <c r="J2479" i="1"/>
  <c r="L2479" i="1" s="1"/>
  <c r="J2478" i="1"/>
  <c r="L2478" i="1" s="1"/>
  <c r="J2477" i="1"/>
  <c r="L2477" i="1" s="1"/>
  <c r="P2476" i="1"/>
  <c r="J2476" i="1"/>
  <c r="L2476" i="1" s="1"/>
  <c r="O2476" i="1" s="1"/>
  <c r="J2475" i="1"/>
  <c r="L2475" i="1" s="1"/>
  <c r="J2474" i="1"/>
  <c r="L2474" i="1" s="1"/>
  <c r="J2473" i="1"/>
  <c r="L2473" i="1" s="1"/>
  <c r="J2472" i="1"/>
  <c r="L2472" i="1" s="1"/>
  <c r="J2471" i="1"/>
  <c r="L2471" i="1" s="1"/>
  <c r="J2470" i="1"/>
  <c r="L2470" i="1" s="1"/>
  <c r="L2469" i="1"/>
  <c r="J2468" i="1"/>
  <c r="L2468" i="1" s="1"/>
  <c r="J2467" i="1"/>
  <c r="L2467" i="1" s="1"/>
  <c r="J2466" i="1"/>
  <c r="L2466" i="1" s="1"/>
  <c r="J2465" i="1"/>
  <c r="L2465" i="1" s="1"/>
  <c r="J2464" i="1"/>
  <c r="L2464" i="1" s="1"/>
  <c r="N2463" i="1"/>
  <c r="L2463" i="1"/>
  <c r="Q2463" i="1" s="1"/>
  <c r="J2462" i="1"/>
  <c r="L2462" i="1" s="1"/>
  <c r="J2461" i="1"/>
  <c r="L2461" i="1" s="1"/>
  <c r="J2460" i="1"/>
  <c r="L2460" i="1" s="1"/>
  <c r="J2459" i="1"/>
  <c r="L2459" i="1" s="1"/>
  <c r="P2458" i="1"/>
  <c r="M2458" i="1"/>
  <c r="J2458" i="1"/>
  <c r="L2458" i="1" s="1"/>
  <c r="J2457" i="1"/>
  <c r="L2457" i="1" s="1"/>
  <c r="J2456" i="1"/>
  <c r="L2456" i="1" s="1"/>
  <c r="J2455" i="1"/>
  <c r="L2455" i="1" s="1"/>
  <c r="J2454" i="1"/>
  <c r="L2454" i="1" s="1"/>
  <c r="J2453" i="1"/>
  <c r="L2453" i="1" s="1"/>
  <c r="J2452" i="1"/>
  <c r="L2452" i="1" s="1"/>
  <c r="L2451" i="1"/>
  <c r="J2450" i="1"/>
  <c r="L2450" i="1" s="1"/>
  <c r="J2449" i="1"/>
  <c r="L2449" i="1" s="1"/>
  <c r="J2448" i="1"/>
  <c r="L2448" i="1" s="1"/>
  <c r="J2447" i="1"/>
  <c r="L2447" i="1" s="1"/>
  <c r="L2446" i="1"/>
  <c r="J2445" i="1"/>
  <c r="L2445" i="1" s="1"/>
  <c r="J2444" i="1"/>
  <c r="L2444" i="1" s="1"/>
  <c r="J2443" i="1"/>
  <c r="L2443" i="1" s="1"/>
  <c r="J2442" i="1"/>
  <c r="L2442" i="1" s="1"/>
  <c r="P2441" i="1"/>
  <c r="J2441" i="1"/>
  <c r="L2441" i="1" s="1"/>
  <c r="O2441" i="1" s="1"/>
  <c r="J2440" i="1"/>
  <c r="L2440" i="1" s="1"/>
  <c r="J2439" i="1"/>
  <c r="L2439" i="1" s="1"/>
  <c r="P2438" i="1"/>
  <c r="J2438" i="1"/>
  <c r="L2438" i="1" s="1"/>
  <c r="O2438" i="1" s="1"/>
  <c r="J2437" i="1"/>
  <c r="L2437" i="1" s="1"/>
  <c r="J2436" i="1"/>
  <c r="L2436" i="1" s="1"/>
  <c r="J2435" i="1"/>
  <c r="L2435" i="1" s="1"/>
  <c r="P2434" i="1"/>
  <c r="L2434" i="1"/>
  <c r="O2434" i="1" s="1"/>
  <c r="N2433" i="1"/>
  <c r="K2433" i="1"/>
  <c r="J2433" i="1"/>
  <c r="L2432" i="1"/>
  <c r="J2431" i="1"/>
  <c r="L2431" i="1" s="1"/>
  <c r="J2430" i="1"/>
  <c r="L2430" i="1" s="1"/>
  <c r="J2429" i="1"/>
  <c r="L2429" i="1" s="1"/>
  <c r="L2428" i="1"/>
  <c r="J2427" i="1"/>
  <c r="L2427" i="1" s="1"/>
  <c r="J2426" i="1"/>
  <c r="L2426" i="1" s="1"/>
  <c r="L2425" i="1"/>
  <c r="J2424" i="1"/>
  <c r="L2424" i="1" s="1"/>
  <c r="L2423" i="1"/>
  <c r="J2422" i="1"/>
  <c r="L2422" i="1" s="1"/>
  <c r="J2421" i="1"/>
  <c r="L2421" i="1" s="1"/>
  <c r="J2420" i="1"/>
  <c r="L2420" i="1" s="1"/>
  <c r="J2419" i="1"/>
  <c r="L2419" i="1" s="1"/>
  <c r="J2418" i="1"/>
  <c r="L2418" i="1" s="1"/>
  <c r="J2417" i="1"/>
  <c r="L2417" i="1" s="1"/>
  <c r="P2416" i="1"/>
  <c r="J2416" i="1"/>
  <c r="L2416" i="1" s="1"/>
  <c r="O2416" i="1" s="1"/>
  <c r="J2415" i="1"/>
  <c r="L2415" i="1" s="1"/>
  <c r="J2414" i="1"/>
  <c r="L2414" i="1" s="1"/>
  <c r="J2413" i="1"/>
  <c r="L2413" i="1" s="1"/>
  <c r="J2412" i="1"/>
  <c r="L2412" i="1" s="1"/>
  <c r="J2411" i="1"/>
  <c r="L2411" i="1" s="1"/>
  <c r="J2410" i="1"/>
  <c r="L2410" i="1" s="1"/>
  <c r="J2409" i="1"/>
  <c r="L2409" i="1" s="1"/>
  <c r="J2408" i="1"/>
  <c r="L2408" i="1" s="1"/>
  <c r="J2407" i="1"/>
  <c r="L2407" i="1" s="1"/>
  <c r="J2406" i="1"/>
  <c r="L2406" i="1" s="1"/>
  <c r="J2405" i="1"/>
  <c r="L2405" i="1" s="1"/>
  <c r="J2404" i="1"/>
  <c r="L2404" i="1" s="1"/>
  <c r="J2403" i="1"/>
  <c r="L2403" i="1" s="1"/>
  <c r="J2402" i="1"/>
  <c r="L2402" i="1" s="1"/>
  <c r="J2401" i="1"/>
  <c r="L2401" i="1" s="1"/>
  <c r="J2400" i="1"/>
  <c r="L2400" i="1" s="1"/>
  <c r="J2399" i="1"/>
  <c r="L2399" i="1" s="1"/>
  <c r="J2398" i="1"/>
  <c r="L2398" i="1" s="1"/>
  <c r="J2397" i="1"/>
  <c r="L2397" i="1" s="1"/>
  <c r="J2396" i="1"/>
  <c r="L2396" i="1" s="1"/>
  <c r="J2395" i="1"/>
  <c r="L2395" i="1" s="1"/>
  <c r="J2394" i="1"/>
  <c r="L2394" i="1" s="1"/>
  <c r="J2393" i="1"/>
  <c r="L2393" i="1" s="1"/>
  <c r="J2392" i="1"/>
  <c r="L2392" i="1" s="1"/>
  <c r="J2391" i="1"/>
  <c r="L2391" i="1" s="1"/>
  <c r="J2390" i="1"/>
  <c r="L2390" i="1" s="1"/>
  <c r="P2389" i="1"/>
  <c r="J2389" i="1"/>
  <c r="L2389" i="1" s="1"/>
  <c r="O2389" i="1" s="1"/>
  <c r="P2388" i="1"/>
  <c r="J2388" i="1"/>
  <c r="L2388" i="1" s="1"/>
  <c r="O2388" i="1" s="1"/>
  <c r="P2387" i="1"/>
  <c r="J2387" i="1"/>
  <c r="L2387" i="1" s="1"/>
  <c r="O2387" i="1" s="1"/>
  <c r="J2386" i="1"/>
  <c r="L2386" i="1" s="1"/>
  <c r="J2385" i="1"/>
  <c r="L2385" i="1" s="1"/>
  <c r="J2384" i="1"/>
  <c r="L2384" i="1" s="1"/>
  <c r="J2383" i="1"/>
  <c r="L2383" i="1" s="1"/>
  <c r="J2382" i="1"/>
  <c r="L2382" i="1" s="1"/>
  <c r="J2381" i="1"/>
  <c r="L2381" i="1" s="1"/>
  <c r="J2380" i="1"/>
  <c r="L2380" i="1" s="1"/>
  <c r="J2379" i="1"/>
  <c r="L2379" i="1" s="1"/>
  <c r="J2378" i="1"/>
  <c r="L2378" i="1" s="1"/>
  <c r="J2377" i="1"/>
  <c r="L2377" i="1" s="1"/>
  <c r="J2376" i="1"/>
  <c r="L2376" i="1" s="1"/>
  <c r="J2375" i="1"/>
  <c r="L2375" i="1" s="1"/>
  <c r="L2374" i="1"/>
  <c r="J2373" i="1"/>
  <c r="L2373" i="1" s="1"/>
  <c r="J2372" i="1"/>
  <c r="L2372" i="1" s="1"/>
  <c r="J2371" i="1"/>
  <c r="L2371" i="1" s="1"/>
  <c r="J2370" i="1"/>
  <c r="L2370" i="1" s="1"/>
  <c r="J2369" i="1"/>
  <c r="L2369" i="1" s="1"/>
  <c r="J2368" i="1"/>
  <c r="L2368" i="1" s="1"/>
  <c r="J2367" i="1"/>
  <c r="L2367" i="1" s="1"/>
  <c r="P2366" i="1"/>
  <c r="J2366" i="1"/>
  <c r="L2366" i="1" s="1"/>
  <c r="O2366" i="1" s="1"/>
  <c r="J2365" i="1"/>
  <c r="L2365" i="1" s="1"/>
  <c r="J2364" i="1"/>
  <c r="L2364" i="1" s="1"/>
  <c r="L2363" i="1"/>
  <c r="J2362" i="1"/>
  <c r="L2362" i="1" s="1"/>
  <c r="J2361" i="1"/>
  <c r="L2361" i="1" s="1"/>
  <c r="J2360" i="1"/>
  <c r="L2360" i="1" s="1"/>
  <c r="J2359" i="1"/>
  <c r="L2359" i="1" s="1"/>
  <c r="J2358" i="1"/>
  <c r="L2358" i="1" s="1"/>
  <c r="J2357" i="1"/>
  <c r="L2357" i="1" s="1"/>
  <c r="J2356" i="1"/>
  <c r="L2356" i="1" s="1"/>
  <c r="J2355" i="1"/>
  <c r="L2355" i="1" s="1"/>
  <c r="N2354" i="1"/>
  <c r="J2354" i="1"/>
  <c r="L2354" i="1" s="1"/>
  <c r="Q2354" i="1" s="1"/>
  <c r="J2353" i="1"/>
  <c r="L2353" i="1" s="1"/>
  <c r="J2352" i="1"/>
  <c r="L2352" i="1" s="1"/>
  <c r="J2351" i="1"/>
  <c r="L2351" i="1" s="1"/>
  <c r="N2350" i="1"/>
  <c r="J2350" i="1"/>
  <c r="L2350" i="1" s="1"/>
  <c r="Q2350" i="1" s="1"/>
  <c r="J2349" i="1"/>
  <c r="L2349" i="1" s="1"/>
  <c r="J2348" i="1"/>
  <c r="L2348" i="1" s="1"/>
  <c r="J2347" i="1"/>
  <c r="L2347" i="1" s="1"/>
  <c r="J2346" i="1"/>
  <c r="L2346" i="1" s="1"/>
  <c r="J2345" i="1"/>
  <c r="L2345" i="1" s="1"/>
  <c r="J2344" i="1"/>
  <c r="L2344" i="1" s="1"/>
  <c r="J2343" i="1"/>
  <c r="L2343" i="1" s="1"/>
  <c r="J2342" i="1"/>
  <c r="L2342" i="1" s="1"/>
  <c r="J2341" i="1"/>
  <c r="L2341" i="1" s="1"/>
  <c r="J2340" i="1"/>
  <c r="L2340" i="1" s="1"/>
  <c r="J2339" i="1"/>
  <c r="L2339" i="1" s="1"/>
  <c r="J2338" i="1"/>
  <c r="L2338" i="1" s="1"/>
  <c r="J2337" i="1"/>
  <c r="L2337" i="1" s="1"/>
  <c r="J2336" i="1"/>
  <c r="L2336" i="1" s="1"/>
  <c r="J2335" i="1"/>
  <c r="L2335" i="1" s="1"/>
  <c r="L2334" i="1"/>
  <c r="J2333" i="1"/>
  <c r="L2333" i="1" s="1"/>
  <c r="J2332" i="1"/>
  <c r="L2332" i="1" s="1"/>
  <c r="J2331" i="1"/>
  <c r="L2331" i="1" s="1"/>
  <c r="J2330" i="1"/>
  <c r="L2330" i="1" s="1"/>
  <c r="J2329" i="1"/>
  <c r="L2329" i="1" s="1"/>
  <c r="J2328" i="1"/>
  <c r="L2328" i="1" s="1"/>
  <c r="J2327" i="1"/>
  <c r="L2327" i="1" s="1"/>
  <c r="J2326" i="1"/>
  <c r="L2326" i="1" s="1"/>
  <c r="J2325" i="1"/>
  <c r="L2325" i="1" s="1"/>
  <c r="J2324" i="1"/>
  <c r="L2324" i="1" s="1"/>
  <c r="J2323" i="1"/>
  <c r="L2323" i="1" s="1"/>
  <c r="J2322" i="1"/>
  <c r="L2322" i="1" s="1"/>
  <c r="P2321" i="1"/>
  <c r="J2321" i="1"/>
  <c r="L2321" i="1" s="1"/>
  <c r="O2321" i="1" s="1"/>
  <c r="J2320" i="1"/>
  <c r="L2320" i="1" s="1"/>
  <c r="J2319" i="1"/>
  <c r="L2319" i="1" s="1"/>
  <c r="J2318" i="1"/>
  <c r="L2318" i="1" s="1"/>
  <c r="L2317" i="1"/>
  <c r="J2316" i="1"/>
  <c r="L2316" i="1" s="1"/>
  <c r="J2315" i="1"/>
  <c r="L2315" i="1" s="1"/>
  <c r="J2314" i="1"/>
  <c r="L2314" i="1" s="1"/>
  <c r="J2313" i="1"/>
  <c r="L2313" i="1" s="1"/>
  <c r="N2312" i="1"/>
  <c r="J2312" i="1"/>
  <c r="L2312" i="1" s="1"/>
  <c r="Q2312" i="1" s="1"/>
  <c r="J2311" i="1"/>
  <c r="L2311" i="1" s="1"/>
  <c r="J2310" i="1"/>
  <c r="L2310" i="1" s="1"/>
  <c r="N2309" i="1"/>
  <c r="L2309" i="1"/>
  <c r="Q2309" i="1" s="1"/>
  <c r="J2308" i="1"/>
  <c r="L2308" i="1" s="1"/>
  <c r="J2307" i="1"/>
  <c r="L2307" i="1" s="1"/>
  <c r="N2306" i="1"/>
  <c r="N2305" i="1"/>
  <c r="J2305" i="1"/>
  <c r="L2305" i="1" s="1"/>
  <c r="Q2305" i="1" s="1"/>
  <c r="N2304" i="1"/>
  <c r="J2304" i="1"/>
  <c r="L2304" i="1" s="1"/>
  <c r="Q2304" i="1" s="1"/>
  <c r="L2303" i="1"/>
  <c r="N2302" i="1"/>
  <c r="J2302" i="1"/>
  <c r="L2302" i="1" s="1"/>
  <c r="Q2302" i="1" s="1"/>
  <c r="J2301" i="1"/>
  <c r="L2301" i="1" s="1"/>
  <c r="L2300" i="1"/>
  <c r="J2299" i="1"/>
  <c r="L2299" i="1" s="1"/>
  <c r="J2298" i="1"/>
  <c r="L2298" i="1" s="1"/>
  <c r="J2297" i="1"/>
  <c r="L2297" i="1" s="1"/>
  <c r="J2296" i="1"/>
  <c r="L2296" i="1" s="1"/>
  <c r="J2295" i="1"/>
  <c r="L2295" i="1" s="1"/>
  <c r="J2294" i="1"/>
  <c r="L2294" i="1" s="1"/>
  <c r="J2293" i="1"/>
  <c r="L2293" i="1" s="1"/>
  <c r="J2292" i="1"/>
  <c r="L2292" i="1" s="1"/>
  <c r="J2291" i="1"/>
  <c r="L2291" i="1" s="1"/>
  <c r="J2290" i="1"/>
  <c r="L2290" i="1" s="1"/>
  <c r="J2289" i="1"/>
  <c r="L2289" i="1" s="1"/>
  <c r="J2288" i="1"/>
  <c r="L2288" i="1" s="1"/>
  <c r="N2287" i="1"/>
  <c r="J2287" i="1"/>
  <c r="L2287" i="1" s="1"/>
  <c r="Q2287" i="1" s="1"/>
  <c r="J2286" i="1"/>
  <c r="L2286" i="1" s="1"/>
  <c r="J2285" i="1"/>
  <c r="L2285" i="1" s="1"/>
  <c r="J2284" i="1"/>
  <c r="L2284" i="1" s="1"/>
  <c r="J2283" i="1"/>
  <c r="L2283" i="1" s="1"/>
  <c r="J2282" i="1"/>
  <c r="L2282" i="1" s="1"/>
  <c r="J2281" i="1"/>
  <c r="L2281" i="1" s="1"/>
  <c r="J2280" i="1"/>
  <c r="L2280" i="1" s="1"/>
  <c r="J2279" i="1"/>
  <c r="L2279" i="1" s="1"/>
  <c r="J2278" i="1"/>
  <c r="L2278" i="1" s="1"/>
  <c r="J2277" i="1"/>
  <c r="L2277" i="1" s="1"/>
  <c r="J2276" i="1"/>
  <c r="L2276" i="1" s="1"/>
  <c r="J2275" i="1"/>
  <c r="L2275" i="1" s="1"/>
  <c r="J2274" i="1"/>
  <c r="L2274" i="1" s="1"/>
  <c r="J2273" i="1"/>
  <c r="L2273" i="1" s="1"/>
  <c r="P2272" i="1"/>
  <c r="J2272" i="1"/>
  <c r="L2272" i="1" s="1"/>
  <c r="O2272" i="1" s="1"/>
  <c r="J2271" i="1"/>
  <c r="L2271" i="1" s="1"/>
  <c r="J2270" i="1"/>
  <c r="L2270" i="1" s="1"/>
  <c r="J2269" i="1"/>
  <c r="L2269" i="1" s="1"/>
  <c r="L2268" i="1"/>
  <c r="J2267" i="1"/>
  <c r="L2267" i="1" s="1"/>
  <c r="J2266" i="1"/>
  <c r="L2266" i="1" s="1"/>
  <c r="L2265" i="1"/>
  <c r="J2264" i="1"/>
  <c r="L2264" i="1" s="1"/>
  <c r="J2263" i="1"/>
  <c r="L2263" i="1" s="1"/>
  <c r="O2263" i="1" s="1"/>
  <c r="R2263" i="1" s="1"/>
  <c r="J2262" i="1"/>
  <c r="L2262" i="1" s="1"/>
  <c r="O2262" i="1" s="1"/>
  <c r="R2262" i="1" s="1"/>
  <c r="N2261" i="1"/>
  <c r="J2261" i="1"/>
  <c r="L2261" i="1" s="1"/>
  <c r="Q2261" i="1" s="1"/>
  <c r="J2260" i="1"/>
  <c r="L2260" i="1" s="1"/>
  <c r="J2259" i="1"/>
  <c r="L2259" i="1" s="1"/>
  <c r="J2258" i="1"/>
  <c r="L2258" i="1" s="1"/>
  <c r="J2257" i="1"/>
  <c r="L2257" i="1" s="1"/>
  <c r="M2256" i="1"/>
  <c r="J2256" i="1"/>
  <c r="L2256" i="1" s="1"/>
  <c r="J2255" i="1"/>
  <c r="L2255" i="1" s="1"/>
  <c r="J2254" i="1"/>
  <c r="L2254" i="1" s="1"/>
  <c r="J2253" i="1"/>
  <c r="L2253" i="1" s="1"/>
  <c r="J2252" i="1"/>
  <c r="L2252" i="1" s="1"/>
  <c r="J2251" i="1"/>
  <c r="L2251" i="1" s="1"/>
  <c r="J2250" i="1"/>
  <c r="L2250" i="1" s="1"/>
  <c r="J2249" i="1"/>
  <c r="L2249" i="1" s="1"/>
  <c r="J2248" i="1"/>
  <c r="L2248" i="1" s="1"/>
  <c r="P2247" i="1"/>
  <c r="J2247" i="1"/>
  <c r="L2247" i="1" s="1"/>
  <c r="O2247" i="1" s="1"/>
  <c r="J2246" i="1"/>
  <c r="L2246" i="1" s="1"/>
  <c r="J2245" i="1"/>
  <c r="L2245" i="1" s="1"/>
  <c r="P2244" i="1"/>
  <c r="J2244" i="1"/>
  <c r="L2244" i="1" s="1"/>
  <c r="O2244" i="1" s="1"/>
  <c r="J2243" i="1"/>
  <c r="L2243" i="1" s="1"/>
  <c r="J2242" i="1"/>
  <c r="L2242" i="1" s="1"/>
  <c r="J2241" i="1"/>
  <c r="L2241" i="1" s="1"/>
  <c r="J2240" i="1"/>
  <c r="L2240" i="1" s="1"/>
  <c r="J2239" i="1"/>
  <c r="L2239" i="1" s="1"/>
  <c r="J2238" i="1"/>
  <c r="L2238" i="1" s="1"/>
  <c r="J2237" i="1"/>
  <c r="L2237" i="1" s="1"/>
  <c r="P2236" i="1"/>
  <c r="J2236" i="1"/>
  <c r="L2236" i="1" s="1"/>
  <c r="O2236" i="1" s="1"/>
  <c r="P2235" i="1"/>
  <c r="L2235" i="1"/>
  <c r="O2235" i="1" s="1"/>
  <c r="J2234" i="1"/>
  <c r="L2234" i="1" s="1"/>
  <c r="J2233" i="1"/>
  <c r="L2233" i="1" s="1"/>
  <c r="P2232" i="1"/>
  <c r="J2232" i="1"/>
  <c r="L2232" i="1" s="1"/>
  <c r="O2232" i="1" s="1"/>
  <c r="J2231" i="1"/>
  <c r="L2231" i="1" s="1"/>
  <c r="J2230" i="1"/>
  <c r="L2230" i="1" s="1"/>
  <c r="N2229" i="1"/>
  <c r="J2229" i="1"/>
  <c r="L2229" i="1" s="1"/>
  <c r="Q2229" i="1" s="1"/>
  <c r="P2228" i="1"/>
  <c r="J2228" i="1"/>
  <c r="L2228" i="1" s="1"/>
  <c r="O2228" i="1" s="1"/>
  <c r="P2227" i="1"/>
  <c r="L2227" i="1"/>
  <c r="O2227" i="1" s="1"/>
  <c r="N2226" i="1"/>
  <c r="J2226" i="1"/>
  <c r="L2226" i="1" s="1"/>
  <c r="Q2226" i="1" s="1"/>
  <c r="L2225" i="1"/>
  <c r="N2224" i="1"/>
  <c r="J2224" i="1"/>
  <c r="L2224" i="1" s="1"/>
  <c r="Q2224" i="1" s="1"/>
  <c r="P2223" i="1"/>
  <c r="N2223" i="1"/>
  <c r="J2223" i="1"/>
  <c r="L2223" i="1" s="1"/>
  <c r="J2222" i="1"/>
  <c r="L2222" i="1" s="1"/>
  <c r="J2221" i="1"/>
  <c r="L2221" i="1" s="1"/>
  <c r="J2220" i="1"/>
  <c r="L2220" i="1" s="1"/>
  <c r="J2219" i="1"/>
  <c r="L2219" i="1" s="1"/>
  <c r="J2218" i="1"/>
  <c r="L2218" i="1" s="1"/>
  <c r="P2217" i="1"/>
  <c r="J2217" i="1"/>
  <c r="L2217" i="1" s="1"/>
  <c r="O2217" i="1" s="1"/>
  <c r="J2216" i="1"/>
  <c r="L2216" i="1" s="1"/>
  <c r="J2215" i="1"/>
  <c r="L2215" i="1" s="1"/>
  <c r="J2214" i="1"/>
  <c r="L2214" i="1" s="1"/>
  <c r="J2213" i="1"/>
  <c r="L2213" i="1" s="1"/>
  <c r="N2212" i="1"/>
  <c r="J2212" i="1"/>
  <c r="L2212" i="1" s="1"/>
  <c r="Q2212" i="1" s="1"/>
  <c r="L2211" i="1"/>
  <c r="N2210" i="1"/>
  <c r="J2210" i="1"/>
  <c r="L2210" i="1" s="1"/>
  <c r="Q2210" i="1" s="1"/>
  <c r="P2209" i="1"/>
  <c r="J2209" i="1"/>
  <c r="L2209" i="1" s="1"/>
  <c r="O2209" i="1" s="1"/>
  <c r="J2208" i="1"/>
  <c r="L2208" i="1" s="1"/>
  <c r="L2207" i="1"/>
  <c r="N2206" i="1"/>
  <c r="J2206" i="1"/>
  <c r="L2206" i="1" s="1"/>
  <c r="Q2206" i="1" s="1"/>
  <c r="J2205" i="1"/>
  <c r="L2205" i="1" s="1"/>
  <c r="J2204" i="1"/>
  <c r="L2204" i="1" s="1"/>
  <c r="J2203" i="1"/>
  <c r="L2203" i="1" s="1"/>
  <c r="J2202" i="1"/>
  <c r="L2202" i="1" s="1"/>
  <c r="J2201" i="1"/>
  <c r="L2201" i="1" s="1"/>
  <c r="J2200" i="1"/>
  <c r="L2200" i="1" s="1"/>
  <c r="J2199" i="1"/>
  <c r="L2199" i="1" s="1"/>
  <c r="J2198" i="1"/>
  <c r="L2198" i="1" s="1"/>
  <c r="J2197" i="1"/>
  <c r="L2197" i="1" s="1"/>
  <c r="N2196" i="1"/>
  <c r="J2196" i="1"/>
  <c r="L2196" i="1" s="1"/>
  <c r="Q2196" i="1" s="1"/>
  <c r="N2195" i="1"/>
  <c r="J2195" i="1"/>
  <c r="L2195" i="1" s="1"/>
  <c r="Q2195" i="1" s="1"/>
  <c r="N2194" i="1"/>
  <c r="J2194" i="1"/>
  <c r="L2194" i="1" s="1"/>
  <c r="Q2194" i="1" s="1"/>
  <c r="J2193" i="1"/>
  <c r="L2193" i="1" s="1"/>
  <c r="J2192" i="1"/>
  <c r="L2192" i="1" s="1"/>
  <c r="J2191" i="1"/>
  <c r="L2191" i="1" s="1"/>
  <c r="J2190" i="1"/>
  <c r="L2190" i="1" s="1"/>
  <c r="J2189" i="1"/>
  <c r="L2189" i="1" s="1"/>
  <c r="J2188" i="1"/>
  <c r="L2188" i="1" s="1"/>
  <c r="M2187" i="1"/>
  <c r="J2187" i="1"/>
  <c r="L2187" i="1" s="1"/>
  <c r="M2186" i="1"/>
  <c r="K2186" i="1"/>
  <c r="J2186" i="1"/>
  <c r="M2185" i="1"/>
  <c r="J2185" i="1"/>
  <c r="L2185" i="1" s="1"/>
  <c r="K2184" i="1"/>
  <c r="J2184" i="1"/>
  <c r="J2183" i="1"/>
  <c r="L2183" i="1" s="1"/>
  <c r="J2182" i="1"/>
  <c r="L2182" i="1" s="1"/>
  <c r="J2181" i="1"/>
  <c r="L2181" i="1" s="1"/>
  <c r="N2180" i="1"/>
  <c r="J2180" i="1"/>
  <c r="L2180" i="1" s="1"/>
  <c r="Q2180" i="1" s="1"/>
  <c r="J2179" i="1"/>
  <c r="L2179" i="1" s="1"/>
  <c r="N2178" i="1"/>
  <c r="J2178" i="1"/>
  <c r="L2178" i="1" s="1"/>
  <c r="Q2178" i="1" s="1"/>
  <c r="J2177" i="1"/>
  <c r="L2177" i="1" s="1"/>
  <c r="J2176" i="1"/>
  <c r="L2176" i="1" s="1"/>
  <c r="J2175" i="1"/>
  <c r="L2175" i="1" s="1"/>
  <c r="J2174" i="1"/>
  <c r="L2174" i="1" s="1"/>
  <c r="J2173" i="1"/>
  <c r="L2173" i="1" s="1"/>
  <c r="J2172" i="1"/>
  <c r="L2172" i="1" s="1"/>
  <c r="J2171" i="1"/>
  <c r="L2171" i="1" s="1"/>
  <c r="J2170" i="1"/>
  <c r="L2170" i="1" s="1"/>
  <c r="J2169" i="1"/>
  <c r="L2169" i="1" s="1"/>
  <c r="J2168" i="1"/>
  <c r="L2168" i="1" s="1"/>
  <c r="J2167" i="1"/>
  <c r="L2167" i="1" s="1"/>
  <c r="J2166" i="1"/>
  <c r="L2166" i="1" s="1"/>
  <c r="J2165" i="1"/>
  <c r="L2165" i="1" s="1"/>
  <c r="J2164" i="1"/>
  <c r="L2164" i="1" s="1"/>
  <c r="N2163" i="1"/>
  <c r="J2163" i="1"/>
  <c r="L2163" i="1" s="1"/>
  <c r="Q2163" i="1" s="1"/>
  <c r="J2162" i="1"/>
  <c r="L2162" i="1" s="1"/>
  <c r="N2161" i="1"/>
  <c r="J2161" i="1"/>
  <c r="L2161" i="1" s="1"/>
  <c r="Q2161" i="1" s="1"/>
  <c r="N2160" i="1"/>
  <c r="J2160" i="1"/>
  <c r="L2160" i="1" s="1"/>
  <c r="Q2160" i="1" s="1"/>
  <c r="J2159" i="1"/>
  <c r="L2159" i="1" s="1"/>
  <c r="J2158" i="1"/>
  <c r="L2158" i="1" s="1"/>
  <c r="J2157" i="1"/>
  <c r="L2157" i="1" s="1"/>
  <c r="J2156" i="1"/>
  <c r="L2156" i="1" s="1"/>
  <c r="J2155" i="1"/>
  <c r="L2155" i="1" s="1"/>
  <c r="J2154" i="1"/>
  <c r="L2154" i="1" s="1"/>
  <c r="N2153" i="1"/>
  <c r="J2153" i="1"/>
  <c r="L2153" i="1" s="1"/>
  <c r="Q2153" i="1" s="1"/>
  <c r="J2152" i="1"/>
  <c r="L2152" i="1" s="1"/>
  <c r="P2151" i="1"/>
  <c r="J2151" i="1"/>
  <c r="L2151" i="1" s="1"/>
  <c r="O2151" i="1" s="1"/>
  <c r="N2150" i="1"/>
  <c r="J2150" i="1"/>
  <c r="L2150" i="1" s="1"/>
  <c r="Q2150" i="1" s="1"/>
  <c r="P2149" i="1"/>
  <c r="N2149" i="1"/>
  <c r="J2149" i="1"/>
  <c r="L2149" i="1" s="1"/>
  <c r="N2148" i="1"/>
  <c r="J2148" i="1"/>
  <c r="L2148" i="1" s="1"/>
  <c r="Q2148" i="1" s="1"/>
  <c r="N2147" i="1"/>
  <c r="J2147" i="1"/>
  <c r="L2147" i="1" s="1"/>
  <c r="Q2147" i="1" s="1"/>
  <c r="P2146" i="1"/>
  <c r="N2146" i="1"/>
  <c r="J2146" i="1"/>
  <c r="L2146" i="1" s="1"/>
  <c r="J2145" i="1"/>
  <c r="L2145" i="1" s="1"/>
  <c r="N2144" i="1"/>
  <c r="J2144" i="1"/>
  <c r="L2144" i="1" s="1"/>
  <c r="Q2144" i="1" s="1"/>
  <c r="J2143" i="1"/>
  <c r="L2143" i="1" s="1"/>
  <c r="P2142" i="1"/>
  <c r="N2142" i="1"/>
  <c r="J2142" i="1"/>
  <c r="L2142" i="1" s="1"/>
  <c r="P2141" i="1"/>
  <c r="J2141" i="1"/>
  <c r="L2141" i="1" s="1"/>
  <c r="O2141" i="1" s="1"/>
  <c r="P2140" i="1"/>
  <c r="N2140" i="1"/>
  <c r="J2140" i="1"/>
  <c r="L2140" i="1" s="1"/>
  <c r="N2139" i="1"/>
  <c r="J2139" i="1"/>
  <c r="L2139" i="1" s="1"/>
  <c r="Q2139" i="1" s="1"/>
  <c r="P2138" i="1"/>
  <c r="J2138" i="1"/>
  <c r="L2138" i="1" s="1"/>
  <c r="O2138" i="1" s="1"/>
  <c r="J2137" i="1"/>
  <c r="L2137" i="1" s="1"/>
  <c r="N2136" i="1"/>
  <c r="J2136" i="1"/>
  <c r="L2136" i="1" s="1"/>
  <c r="Q2136" i="1" s="1"/>
  <c r="J2135" i="1"/>
  <c r="L2135" i="1" s="1"/>
  <c r="P2134" i="1"/>
  <c r="N2134" i="1"/>
  <c r="J2134" i="1"/>
  <c r="L2134" i="1" s="1"/>
  <c r="L2133" i="1"/>
  <c r="P2132" i="1"/>
  <c r="N2132" i="1"/>
  <c r="J2132" i="1"/>
  <c r="L2132" i="1" s="1"/>
  <c r="P2131" i="1"/>
  <c r="N2131" i="1"/>
  <c r="J2131" i="1"/>
  <c r="L2131" i="1" s="1"/>
  <c r="P2130" i="1"/>
  <c r="N2130" i="1"/>
  <c r="J2130" i="1"/>
  <c r="L2130" i="1" s="1"/>
  <c r="N2129" i="1"/>
  <c r="J2129" i="1"/>
  <c r="L2129" i="1" s="1"/>
  <c r="Q2129" i="1" s="1"/>
  <c r="N2128" i="1"/>
  <c r="J2128" i="1"/>
  <c r="L2128" i="1" s="1"/>
  <c r="Q2128" i="1" s="1"/>
  <c r="J2127" i="1"/>
  <c r="L2127" i="1" s="1"/>
  <c r="J2126" i="1"/>
  <c r="L2126" i="1" s="1"/>
  <c r="J2125" i="1"/>
  <c r="L2125" i="1" s="1"/>
  <c r="J2124" i="1"/>
  <c r="L2124" i="1" s="1"/>
  <c r="J2123" i="1"/>
  <c r="L2123" i="1" s="1"/>
  <c r="J2122" i="1"/>
  <c r="L2122" i="1" s="1"/>
  <c r="J2121" i="1"/>
  <c r="L2121" i="1" s="1"/>
  <c r="J2120" i="1"/>
  <c r="L2120" i="1" s="1"/>
  <c r="J2119" i="1"/>
  <c r="L2119" i="1" s="1"/>
  <c r="J2118" i="1"/>
  <c r="L2118" i="1" s="1"/>
  <c r="J2117" i="1"/>
  <c r="L2117" i="1" s="1"/>
  <c r="N2116" i="1"/>
  <c r="J2116" i="1"/>
  <c r="L2116" i="1" s="1"/>
  <c r="Q2116" i="1" s="1"/>
  <c r="J2115" i="1"/>
  <c r="L2115" i="1" s="1"/>
  <c r="J2114" i="1"/>
  <c r="L2114" i="1" s="1"/>
  <c r="J2113" i="1"/>
  <c r="L2113" i="1" s="1"/>
  <c r="J2112" i="1"/>
  <c r="L2112" i="1" s="1"/>
  <c r="J2111" i="1"/>
  <c r="L2111" i="1" s="1"/>
  <c r="P2110" i="1"/>
  <c r="J2110" i="1"/>
  <c r="L2110" i="1" s="1"/>
  <c r="O2110" i="1" s="1"/>
  <c r="P2109" i="1"/>
  <c r="J2109" i="1"/>
  <c r="L2109" i="1" s="1"/>
  <c r="O2109" i="1" s="1"/>
  <c r="J2108" i="1"/>
  <c r="L2108" i="1" s="1"/>
  <c r="J2107" i="1"/>
  <c r="L2107" i="1" s="1"/>
  <c r="J2106" i="1"/>
  <c r="L2106" i="1" s="1"/>
  <c r="J2105" i="1"/>
  <c r="L2105" i="1" s="1"/>
  <c r="J2104" i="1"/>
  <c r="L2104" i="1" s="1"/>
  <c r="J2103" i="1"/>
  <c r="L2103" i="1" s="1"/>
  <c r="J2102" i="1"/>
  <c r="L2102" i="1" s="1"/>
  <c r="K2101" i="1"/>
  <c r="J2101" i="1"/>
  <c r="K2100" i="1"/>
  <c r="J2100" i="1"/>
  <c r="J2099" i="1"/>
  <c r="L2099" i="1" s="1"/>
  <c r="J2098" i="1"/>
  <c r="L2098" i="1" s="1"/>
  <c r="J2097" i="1"/>
  <c r="L2097" i="1" s="1"/>
  <c r="J2096" i="1"/>
  <c r="L2096" i="1" s="1"/>
  <c r="J2095" i="1"/>
  <c r="L2095" i="1" s="1"/>
  <c r="J2094" i="1"/>
  <c r="L2094" i="1" s="1"/>
  <c r="J2093" i="1"/>
  <c r="L2093" i="1" s="1"/>
  <c r="J2092" i="1"/>
  <c r="L2092" i="1" s="1"/>
  <c r="J2091" i="1"/>
  <c r="L2091" i="1" s="1"/>
  <c r="J2090" i="1"/>
  <c r="L2090" i="1" s="1"/>
  <c r="J2089" i="1"/>
  <c r="L2089" i="1" s="1"/>
  <c r="J2088" i="1"/>
  <c r="L2088" i="1" s="1"/>
  <c r="J2087" i="1"/>
  <c r="L2087" i="1" s="1"/>
  <c r="J2086" i="1"/>
  <c r="L2086" i="1" s="1"/>
  <c r="N2085" i="1"/>
  <c r="J2085" i="1"/>
  <c r="L2085" i="1" s="1"/>
  <c r="Q2085" i="1" s="1"/>
  <c r="N2084" i="1"/>
  <c r="J2084" i="1"/>
  <c r="L2084" i="1" s="1"/>
  <c r="Q2084" i="1" s="1"/>
  <c r="J2083" i="1"/>
  <c r="L2083" i="1" s="1"/>
  <c r="J2082" i="1"/>
  <c r="L2082" i="1" s="1"/>
  <c r="K2081" i="1"/>
  <c r="J2081" i="1"/>
  <c r="J2080" i="1"/>
  <c r="L2080" i="1" s="1"/>
  <c r="O2080" i="1" s="1"/>
  <c r="R2080" i="1" s="1"/>
  <c r="K2079" i="1"/>
  <c r="J2079" i="1"/>
  <c r="P2078" i="1"/>
  <c r="J2078" i="1"/>
  <c r="L2078" i="1" s="1"/>
  <c r="O2078" i="1" s="1"/>
  <c r="K2077" i="1"/>
  <c r="J2077" i="1"/>
  <c r="P2076" i="1"/>
  <c r="J2076" i="1"/>
  <c r="L2076" i="1" s="1"/>
  <c r="O2076" i="1" s="1"/>
  <c r="P2075" i="1"/>
  <c r="J2075" i="1"/>
  <c r="L2075" i="1" s="1"/>
  <c r="O2075" i="1" s="1"/>
  <c r="P2074" i="1"/>
  <c r="J2074" i="1"/>
  <c r="L2074" i="1" s="1"/>
  <c r="O2074" i="1" s="1"/>
  <c r="J2073" i="1"/>
  <c r="L2073" i="1" s="1"/>
  <c r="P2072" i="1"/>
  <c r="J2072" i="1"/>
  <c r="L2072" i="1" s="1"/>
  <c r="O2072" i="1" s="1"/>
  <c r="K2071" i="1"/>
  <c r="J2071" i="1"/>
  <c r="J2070" i="1"/>
  <c r="L2070" i="1" s="1"/>
  <c r="J2069" i="1"/>
  <c r="L2069" i="1" s="1"/>
  <c r="K2068" i="1"/>
  <c r="J2068" i="1"/>
  <c r="K2067" i="1"/>
  <c r="J2067" i="1"/>
  <c r="K2066" i="1"/>
  <c r="J2066" i="1"/>
  <c r="J2065" i="1"/>
  <c r="L2065" i="1" s="1"/>
  <c r="J2064" i="1"/>
  <c r="L2064" i="1" s="1"/>
  <c r="P2063" i="1"/>
  <c r="J2063" i="1"/>
  <c r="L2063" i="1" s="1"/>
  <c r="O2063" i="1" s="1"/>
  <c r="N2062" i="1"/>
  <c r="J2062" i="1"/>
  <c r="L2062" i="1" s="1"/>
  <c r="Q2062" i="1" s="1"/>
  <c r="J2061" i="1"/>
  <c r="L2061" i="1" s="1"/>
  <c r="J2060" i="1"/>
  <c r="L2060" i="1" s="1"/>
  <c r="J2059" i="1"/>
  <c r="L2059" i="1" s="1"/>
  <c r="J2058" i="1"/>
  <c r="L2058" i="1" s="1"/>
  <c r="J2057" i="1"/>
  <c r="L2057" i="1" s="1"/>
  <c r="P2056" i="1"/>
  <c r="L2056" i="1"/>
  <c r="O2056" i="1" s="1"/>
  <c r="J2055" i="1"/>
  <c r="L2055" i="1" s="1"/>
  <c r="J2054" i="1"/>
  <c r="L2054" i="1" s="1"/>
  <c r="K2053" i="1"/>
  <c r="J2053" i="1"/>
  <c r="J2052" i="1"/>
  <c r="L2052" i="1" s="1"/>
  <c r="J2051" i="1"/>
  <c r="L2051" i="1" s="1"/>
  <c r="J2050" i="1"/>
  <c r="L2050" i="1" s="1"/>
  <c r="N2049" i="1"/>
  <c r="J2049" i="1"/>
  <c r="L2049" i="1" s="1"/>
  <c r="Q2049" i="1" s="1"/>
  <c r="J2048" i="1"/>
  <c r="L2048" i="1" s="1"/>
  <c r="J2047" i="1"/>
  <c r="L2047" i="1" s="1"/>
  <c r="J2046" i="1"/>
  <c r="L2046" i="1" s="1"/>
  <c r="P2045" i="1"/>
  <c r="L2045" i="1"/>
  <c r="O2045" i="1" s="1"/>
  <c r="J2044" i="1"/>
  <c r="L2044" i="1" s="1"/>
  <c r="J2043" i="1"/>
  <c r="L2043" i="1" s="1"/>
  <c r="J2042" i="1"/>
  <c r="L2042" i="1" s="1"/>
  <c r="J2041" i="1"/>
  <c r="L2041" i="1" s="1"/>
  <c r="J2040" i="1"/>
  <c r="L2040" i="1" s="1"/>
  <c r="J2039" i="1"/>
  <c r="L2039" i="1" s="1"/>
  <c r="J2038" i="1"/>
  <c r="L2038" i="1" s="1"/>
  <c r="J2037" i="1"/>
  <c r="L2037" i="1" s="1"/>
  <c r="J2036" i="1"/>
  <c r="L2036" i="1" s="1"/>
  <c r="J2035" i="1"/>
  <c r="L2035" i="1" s="1"/>
  <c r="J2034" i="1"/>
  <c r="L2034" i="1" s="1"/>
  <c r="K2033" i="1"/>
  <c r="J2033" i="1"/>
  <c r="J2032" i="1"/>
  <c r="L2032" i="1" s="1"/>
  <c r="J2031" i="1"/>
  <c r="L2031" i="1" s="1"/>
  <c r="J2030" i="1"/>
  <c r="L2030" i="1" s="1"/>
  <c r="J2029" i="1"/>
  <c r="L2029" i="1" s="1"/>
  <c r="N2028" i="1"/>
  <c r="J2028" i="1"/>
  <c r="L2028" i="1" s="1"/>
  <c r="Q2028" i="1" s="1"/>
  <c r="J2027" i="1"/>
  <c r="L2027" i="1" s="1"/>
  <c r="J2026" i="1"/>
  <c r="L2026" i="1" s="1"/>
  <c r="J2025" i="1"/>
  <c r="L2025" i="1" s="1"/>
  <c r="J2024" i="1"/>
  <c r="L2024" i="1" s="1"/>
  <c r="J2023" i="1"/>
  <c r="L2023" i="1" s="1"/>
  <c r="J2022" i="1"/>
  <c r="L2022" i="1" s="1"/>
  <c r="J2021" i="1"/>
  <c r="L2021" i="1" s="1"/>
  <c r="J2020" i="1"/>
  <c r="L2020" i="1" s="1"/>
  <c r="J2019" i="1"/>
  <c r="L2019" i="1" s="1"/>
  <c r="J2018" i="1"/>
  <c r="L2018" i="1" s="1"/>
  <c r="P2017" i="1"/>
  <c r="J2017" i="1"/>
  <c r="L2017" i="1" s="1"/>
  <c r="O2017" i="1" s="1"/>
  <c r="J2016" i="1"/>
  <c r="L2016" i="1" s="1"/>
  <c r="J2015" i="1"/>
  <c r="L2015" i="1" s="1"/>
  <c r="N2014" i="1"/>
  <c r="J2014" i="1"/>
  <c r="L2014" i="1" s="1"/>
  <c r="Q2014" i="1" s="1"/>
  <c r="P2013" i="1"/>
  <c r="J2013" i="1"/>
  <c r="L2013" i="1" s="1"/>
  <c r="O2013" i="1" s="1"/>
  <c r="J2012" i="1"/>
  <c r="L2012" i="1" s="1"/>
  <c r="J2011" i="1"/>
  <c r="L2011" i="1" s="1"/>
  <c r="K2010" i="1"/>
  <c r="J2010" i="1"/>
  <c r="J2009" i="1"/>
  <c r="L2009" i="1" s="1"/>
  <c r="K2008" i="1"/>
  <c r="J2008" i="1"/>
  <c r="J2007" i="1"/>
  <c r="L2007" i="1" s="1"/>
  <c r="P2006" i="1"/>
  <c r="N2006" i="1"/>
  <c r="J2006" i="1"/>
  <c r="L2006" i="1" s="1"/>
  <c r="P2005" i="1"/>
  <c r="J2005" i="1"/>
  <c r="L2005" i="1" s="1"/>
  <c r="O2005" i="1" s="1"/>
  <c r="J2004" i="1"/>
  <c r="L2004" i="1" s="1"/>
  <c r="N2003" i="1"/>
  <c r="J2003" i="1"/>
  <c r="L2003" i="1" s="1"/>
  <c r="Q2003" i="1" s="1"/>
  <c r="N2002" i="1"/>
  <c r="J2002" i="1"/>
  <c r="L2002" i="1" s="1"/>
  <c r="Q2002" i="1" s="1"/>
  <c r="K2001" i="1"/>
  <c r="J2001" i="1"/>
  <c r="J2000" i="1"/>
  <c r="L2000" i="1" s="1"/>
  <c r="J1999" i="1"/>
  <c r="L1999" i="1" s="1"/>
  <c r="L1998" i="1"/>
  <c r="J1997" i="1"/>
  <c r="L1997" i="1" s="1"/>
  <c r="J1996" i="1"/>
  <c r="L1996" i="1" s="1"/>
  <c r="N1995" i="1"/>
  <c r="J1995" i="1"/>
  <c r="L1995" i="1" s="1"/>
  <c r="Q1995" i="1" s="1"/>
  <c r="J1994" i="1"/>
  <c r="L1994" i="1" s="1"/>
  <c r="N1993" i="1"/>
  <c r="O1993" i="1" s="1"/>
  <c r="J1993" i="1"/>
  <c r="L1993" i="1" s="1"/>
  <c r="Q1993" i="1" s="1"/>
  <c r="N1992" i="1"/>
  <c r="L1992" i="1"/>
  <c r="Q1992" i="1" s="1"/>
  <c r="J1991" i="1"/>
  <c r="L1991" i="1" s="1"/>
  <c r="J1990" i="1"/>
  <c r="L1990" i="1" s="1"/>
  <c r="P1989" i="1"/>
  <c r="J1989" i="1"/>
  <c r="L1989" i="1" s="1"/>
  <c r="O1989" i="1" s="1"/>
  <c r="J1988" i="1"/>
  <c r="L1988" i="1" s="1"/>
  <c r="J1987" i="1"/>
  <c r="L1987" i="1" s="1"/>
  <c r="N1986" i="1"/>
  <c r="J1986" i="1"/>
  <c r="L1986" i="1" s="1"/>
  <c r="Q1986" i="1" s="1"/>
  <c r="J1985" i="1"/>
  <c r="L1985" i="1" s="1"/>
  <c r="P1984" i="1"/>
  <c r="J1984" i="1"/>
  <c r="L1984" i="1" s="1"/>
  <c r="O1984" i="1" s="1"/>
  <c r="P1983" i="1"/>
  <c r="L1983" i="1"/>
  <c r="O1983" i="1" s="1"/>
  <c r="J1982" i="1"/>
  <c r="L1982" i="1" s="1"/>
  <c r="J1981" i="1"/>
  <c r="L1981" i="1" s="1"/>
  <c r="N1980" i="1"/>
  <c r="J1980" i="1"/>
  <c r="L1980" i="1" s="1"/>
  <c r="Q1980" i="1" s="1"/>
  <c r="J1979" i="1"/>
  <c r="L1979" i="1" s="1"/>
  <c r="J1978" i="1"/>
  <c r="L1978" i="1" s="1"/>
  <c r="J1977" i="1"/>
  <c r="L1977" i="1" s="1"/>
  <c r="J1976" i="1"/>
  <c r="L1976" i="1" s="1"/>
  <c r="J1975" i="1"/>
  <c r="L1975" i="1" s="1"/>
  <c r="P1974" i="1"/>
  <c r="N1974" i="1"/>
  <c r="J1974" i="1"/>
  <c r="L1974" i="1" s="1"/>
  <c r="J1973" i="1"/>
  <c r="L1973" i="1" s="1"/>
  <c r="J1972" i="1"/>
  <c r="L1972" i="1" s="1"/>
  <c r="N1971" i="1"/>
  <c r="J1971" i="1"/>
  <c r="L1971" i="1" s="1"/>
  <c r="Q1971" i="1" s="1"/>
  <c r="J1970" i="1"/>
  <c r="L1970" i="1" s="1"/>
  <c r="P1969" i="1"/>
  <c r="Q1969" i="1" s="1"/>
  <c r="L1969" i="1"/>
  <c r="O1969" i="1" s="1"/>
  <c r="N1968" i="1"/>
  <c r="J1968" i="1"/>
  <c r="L1968" i="1" s="1"/>
  <c r="Q1968" i="1" s="1"/>
  <c r="J1967" i="1"/>
  <c r="L1967" i="1" s="1"/>
  <c r="J1966" i="1"/>
  <c r="L1966" i="1" s="1"/>
  <c r="J1965" i="1"/>
  <c r="L1965" i="1" s="1"/>
  <c r="J1964" i="1"/>
  <c r="L1964" i="1" s="1"/>
  <c r="J1963" i="1"/>
  <c r="L1963" i="1" s="1"/>
  <c r="N1962" i="1"/>
  <c r="J1962" i="1"/>
  <c r="L1962" i="1" s="1"/>
  <c r="Q1962" i="1" s="1"/>
  <c r="P1961" i="1"/>
  <c r="N1961" i="1"/>
  <c r="J1961" i="1"/>
  <c r="L1961" i="1" s="1"/>
  <c r="N1960" i="1"/>
  <c r="L1960" i="1"/>
  <c r="Q1960" i="1" s="1"/>
  <c r="J1959" i="1"/>
  <c r="L1959" i="1" s="1"/>
  <c r="J1958" i="1"/>
  <c r="L1958" i="1" s="1"/>
  <c r="J1957" i="1"/>
  <c r="L1957" i="1" s="1"/>
  <c r="J1956" i="1"/>
  <c r="L1956" i="1" s="1"/>
  <c r="J1955" i="1"/>
  <c r="L1955" i="1" s="1"/>
  <c r="J1954" i="1"/>
  <c r="L1954" i="1" s="1"/>
  <c r="P1953" i="1"/>
  <c r="J1953" i="1"/>
  <c r="L1953" i="1" s="1"/>
  <c r="O1953" i="1" s="1"/>
  <c r="M1952" i="1"/>
  <c r="J1952" i="1"/>
  <c r="L1952" i="1" s="1"/>
  <c r="O1952" i="1" s="1"/>
  <c r="R1952" i="1" s="1"/>
  <c r="J1951" i="1"/>
  <c r="L1951" i="1" s="1"/>
  <c r="J1950" i="1"/>
  <c r="L1950" i="1" s="1"/>
  <c r="N1949" i="1"/>
  <c r="J1949" i="1"/>
  <c r="L1949" i="1" s="1"/>
  <c r="J1948" i="1"/>
  <c r="L1948" i="1" s="1"/>
  <c r="N1947" i="1"/>
  <c r="J1947" i="1"/>
  <c r="L1947" i="1" s="1"/>
  <c r="Q1947" i="1" s="1"/>
  <c r="J1946" i="1"/>
  <c r="L1946" i="1" s="1"/>
  <c r="J1945" i="1"/>
  <c r="L1945" i="1" s="1"/>
  <c r="N1944" i="1"/>
  <c r="J1944" i="1"/>
  <c r="L1944" i="1" s="1"/>
  <c r="P1943" i="1"/>
  <c r="L1943" i="1"/>
  <c r="O1943" i="1" s="1"/>
  <c r="J1942" i="1"/>
  <c r="L1942" i="1" s="1"/>
  <c r="J1941" i="1"/>
  <c r="L1941" i="1" s="1"/>
  <c r="J1940" i="1"/>
  <c r="L1940" i="1" s="1"/>
  <c r="J1939" i="1"/>
  <c r="L1939" i="1" s="1"/>
  <c r="J1938" i="1"/>
  <c r="L1938" i="1" s="1"/>
  <c r="J1937" i="1"/>
  <c r="L1937" i="1" s="1"/>
  <c r="W1936" i="1"/>
  <c r="J1936" i="1"/>
  <c r="L1936" i="1" s="1"/>
  <c r="J1935" i="1"/>
  <c r="L1935" i="1" s="1"/>
  <c r="J1934" i="1"/>
  <c r="L1934" i="1" s="1"/>
  <c r="J1933" i="1"/>
  <c r="L1933" i="1" s="1"/>
  <c r="N1932" i="1"/>
  <c r="J1932" i="1"/>
  <c r="L1932" i="1" s="1"/>
  <c r="Q1932" i="1" s="1"/>
  <c r="J1931" i="1"/>
  <c r="L1931" i="1" s="1"/>
  <c r="J1930" i="1"/>
  <c r="L1930" i="1" s="1"/>
  <c r="J1929" i="1"/>
  <c r="L1929" i="1" s="1"/>
  <c r="J1928" i="1"/>
  <c r="L1928" i="1" s="1"/>
  <c r="J1927" i="1"/>
  <c r="L1927" i="1" s="1"/>
  <c r="J1926" i="1"/>
  <c r="L1926" i="1" s="1"/>
  <c r="J1925" i="1"/>
  <c r="L1925" i="1" s="1"/>
  <c r="J1924" i="1"/>
  <c r="L1924" i="1" s="1"/>
  <c r="J1923" i="1"/>
  <c r="L1923" i="1" s="1"/>
  <c r="J1922" i="1"/>
  <c r="L1922" i="1" s="1"/>
  <c r="J1921" i="1"/>
  <c r="L1921" i="1" s="1"/>
  <c r="J1920" i="1"/>
  <c r="L1920" i="1" s="1"/>
  <c r="J1919" i="1"/>
  <c r="L1919" i="1" s="1"/>
  <c r="J1918" i="1"/>
  <c r="L1918" i="1" s="1"/>
  <c r="J1917" i="1"/>
  <c r="L1917" i="1" s="1"/>
  <c r="L1916" i="1"/>
  <c r="J1915" i="1"/>
  <c r="L1915" i="1" s="1"/>
  <c r="J1914" i="1"/>
  <c r="L1914" i="1" s="1"/>
  <c r="P1913" i="1"/>
  <c r="N1913" i="1"/>
  <c r="J1913" i="1"/>
  <c r="L1913" i="1" s="1"/>
  <c r="J1912" i="1"/>
  <c r="L1912" i="1" s="1"/>
  <c r="J1911" i="1"/>
  <c r="L1911" i="1" s="1"/>
  <c r="J1910" i="1"/>
  <c r="L1910" i="1" s="1"/>
  <c r="J1909" i="1"/>
  <c r="L1909" i="1" s="1"/>
  <c r="J1908" i="1"/>
  <c r="L1908" i="1" s="1"/>
  <c r="P1907" i="1"/>
  <c r="J1907" i="1"/>
  <c r="L1907" i="1" s="1"/>
  <c r="O1907" i="1" s="1"/>
  <c r="J1906" i="1"/>
  <c r="L1906" i="1" s="1"/>
  <c r="M1905" i="1"/>
  <c r="J1905" i="1"/>
  <c r="L1905" i="1" s="1"/>
  <c r="J1904" i="1"/>
  <c r="L1904" i="1" s="1"/>
  <c r="M1903" i="1"/>
  <c r="J1903" i="1"/>
  <c r="L1903" i="1" s="1"/>
  <c r="J1902" i="1"/>
  <c r="L1902" i="1" s="1"/>
  <c r="J1901" i="1"/>
  <c r="L1901" i="1" s="1"/>
  <c r="J1900" i="1"/>
  <c r="L1900" i="1" s="1"/>
  <c r="J1899" i="1"/>
  <c r="L1899" i="1" s="1"/>
  <c r="J1898" i="1"/>
  <c r="L1898" i="1" s="1"/>
  <c r="J1897" i="1"/>
  <c r="L1897" i="1" s="1"/>
  <c r="J1896" i="1"/>
  <c r="L1896" i="1" s="1"/>
  <c r="N1895" i="1"/>
  <c r="J1895" i="1"/>
  <c r="L1895" i="1" s="1"/>
  <c r="Q1895" i="1" s="1"/>
  <c r="N1894" i="1"/>
  <c r="J1894" i="1"/>
  <c r="L1894" i="1" s="1"/>
  <c r="Q1894" i="1" s="1"/>
  <c r="J1893" i="1"/>
  <c r="L1893" i="1" s="1"/>
  <c r="L1892" i="1"/>
  <c r="J1891" i="1"/>
  <c r="L1891" i="1" s="1"/>
  <c r="J1890" i="1"/>
  <c r="L1890" i="1" s="1"/>
  <c r="J1889" i="1"/>
  <c r="L1889" i="1" s="1"/>
  <c r="N1888" i="1"/>
  <c r="J1888" i="1"/>
  <c r="L1888" i="1" s="1"/>
  <c r="Q1888" i="1" s="1"/>
  <c r="J1887" i="1"/>
  <c r="L1887" i="1" s="1"/>
  <c r="J1886" i="1"/>
  <c r="L1886" i="1" s="1"/>
  <c r="J1885" i="1"/>
  <c r="L1885" i="1" s="1"/>
  <c r="N1884" i="1"/>
  <c r="J1884" i="1"/>
  <c r="L1884" i="1" s="1"/>
  <c r="Q1884" i="1" s="1"/>
  <c r="J1883" i="1"/>
  <c r="L1883" i="1" s="1"/>
  <c r="J1882" i="1"/>
  <c r="L1882" i="1" s="1"/>
  <c r="J1881" i="1"/>
  <c r="L1881" i="1" s="1"/>
  <c r="J1880" i="1"/>
  <c r="L1880" i="1" s="1"/>
  <c r="J1879" i="1"/>
  <c r="L1879" i="1" s="1"/>
  <c r="J1878" i="1"/>
  <c r="L1878" i="1" s="1"/>
  <c r="J1877" i="1"/>
  <c r="L1877" i="1" s="1"/>
  <c r="J1876" i="1"/>
  <c r="L1876" i="1" s="1"/>
  <c r="K1875" i="1"/>
  <c r="J1875" i="1"/>
  <c r="J1874" i="1"/>
  <c r="L1874" i="1" s="1"/>
  <c r="J1873" i="1"/>
  <c r="L1873" i="1" s="1"/>
  <c r="J1872" i="1"/>
  <c r="L1872" i="1" s="1"/>
  <c r="J1871" i="1"/>
  <c r="L1871" i="1" s="1"/>
  <c r="P1870" i="1"/>
  <c r="J1870" i="1"/>
  <c r="L1870" i="1" s="1"/>
  <c r="N1869" i="1"/>
  <c r="J1869" i="1"/>
  <c r="L1869" i="1" s="1"/>
  <c r="Q1869" i="1" s="1"/>
  <c r="J1868" i="1"/>
  <c r="L1868" i="1" s="1"/>
  <c r="P1867" i="1"/>
  <c r="J1867" i="1"/>
  <c r="L1867" i="1" s="1"/>
  <c r="O1867" i="1" s="1"/>
  <c r="J1866" i="1"/>
  <c r="L1866" i="1" s="1"/>
  <c r="J1865" i="1"/>
  <c r="L1865" i="1" s="1"/>
  <c r="P1864" i="1"/>
  <c r="J1864" i="1"/>
  <c r="L1864" i="1" s="1"/>
  <c r="O1864" i="1" s="1"/>
  <c r="N1863" i="1"/>
  <c r="J1863" i="1"/>
  <c r="L1863" i="1" s="1"/>
  <c r="Q1863" i="1" s="1"/>
  <c r="J1862" i="1"/>
  <c r="L1862" i="1" s="1"/>
  <c r="K1861" i="1"/>
  <c r="J1861" i="1"/>
  <c r="J1860" i="1"/>
  <c r="L1860" i="1" s="1"/>
  <c r="J1859" i="1"/>
  <c r="L1859" i="1" s="1"/>
  <c r="J1858" i="1"/>
  <c r="L1858" i="1" s="1"/>
  <c r="N1857" i="1"/>
  <c r="J1857" i="1"/>
  <c r="L1857" i="1" s="1"/>
  <c r="Q1857" i="1" s="1"/>
  <c r="J1856" i="1"/>
  <c r="L1856" i="1" s="1"/>
  <c r="J1855" i="1"/>
  <c r="L1855" i="1" s="1"/>
  <c r="J1854" i="1"/>
  <c r="L1854" i="1" s="1"/>
  <c r="J1853" i="1"/>
  <c r="L1853" i="1" s="1"/>
  <c r="N1852" i="1"/>
  <c r="J1852" i="1"/>
  <c r="L1852" i="1" s="1"/>
  <c r="Q1852" i="1" s="1"/>
  <c r="N1851" i="1"/>
  <c r="J1851" i="1"/>
  <c r="L1851" i="1" s="1"/>
  <c r="J1850" i="1"/>
  <c r="L1850" i="1" s="1"/>
  <c r="J1849" i="1"/>
  <c r="L1849" i="1" s="1"/>
  <c r="N1848" i="1"/>
  <c r="J1848" i="1"/>
  <c r="L1848" i="1" s="1"/>
  <c r="Q1848" i="1" s="1"/>
  <c r="N1847" i="1"/>
  <c r="J1847" i="1"/>
  <c r="L1847" i="1" s="1"/>
  <c r="Q1847" i="1" s="1"/>
  <c r="J1846" i="1"/>
  <c r="L1846" i="1" s="1"/>
  <c r="J1845" i="1"/>
  <c r="L1845" i="1" s="1"/>
  <c r="P1844" i="1"/>
  <c r="J1844" i="1"/>
  <c r="L1844" i="1" s="1"/>
  <c r="O1844" i="1" s="1"/>
  <c r="J1843" i="1"/>
  <c r="L1843" i="1" s="1"/>
  <c r="P1842" i="1"/>
  <c r="J1842" i="1"/>
  <c r="L1842" i="1" s="1"/>
  <c r="O1842" i="1" s="1"/>
  <c r="K1841" i="1"/>
  <c r="J1841" i="1"/>
  <c r="K1840" i="1"/>
  <c r="J1840" i="1"/>
  <c r="K1839" i="1"/>
  <c r="J1839" i="1"/>
  <c r="K1838" i="1"/>
  <c r="J1838" i="1"/>
  <c r="J1837" i="1"/>
  <c r="L1837" i="1" s="1"/>
  <c r="J1836" i="1"/>
  <c r="L1836" i="1" s="1"/>
  <c r="J1835" i="1"/>
  <c r="L1835" i="1" s="1"/>
  <c r="J1834" i="1"/>
  <c r="L1834" i="1" s="1"/>
  <c r="J1833" i="1"/>
  <c r="L1833" i="1" s="1"/>
  <c r="J1832" i="1"/>
  <c r="L1832" i="1" s="1"/>
  <c r="J1831" i="1"/>
  <c r="L1831" i="1" s="1"/>
  <c r="J1830" i="1"/>
  <c r="L1830" i="1" s="1"/>
  <c r="J1829" i="1"/>
  <c r="L1829" i="1" s="1"/>
  <c r="J1828" i="1"/>
  <c r="L1828" i="1" s="1"/>
  <c r="N1827" i="1"/>
  <c r="J1827" i="1"/>
  <c r="L1827" i="1" s="1"/>
  <c r="Q1827" i="1" s="1"/>
  <c r="J1826" i="1"/>
  <c r="L1826" i="1" s="1"/>
  <c r="J1825" i="1"/>
  <c r="L1825" i="1" s="1"/>
  <c r="J1824" i="1"/>
  <c r="L1824" i="1" s="1"/>
  <c r="N1823" i="1"/>
  <c r="J1823" i="1"/>
  <c r="L1823" i="1" s="1"/>
  <c r="Q1823" i="1" s="1"/>
  <c r="J1822" i="1"/>
  <c r="L1822" i="1" s="1"/>
  <c r="J1821" i="1"/>
  <c r="L1821" i="1" s="1"/>
  <c r="K1820" i="1"/>
  <c r="J1820" i="1"/>
  <c r="J1819" i="1"/>
  <c r="L1819" i="1" s="1"/>
  <c r="J1818" i="1"/>
  <c r="L1818" i="1" s="1"/>
  <c r="J1817" i="1"/>
  <c r="L1817" i="1" s="1"/>
  <c r="J1816" i="1"/>
  <c r="L1816" i="1" s="1"/>
  <c r="J1815" i="1"/>
  <c r="L1815" i="1" s="1"/>
  <c r="N1814" i="1"/>
  <c r="J1814" i="1"/>
  <c r="L1814" i="1" s="1"/>
  <c r="Q1814" i="1" s="1"/>
  <c r="J1813" i="1"/>
  <c r="L1813" i="1" s="1"/>
  <c r="N1812" i="1"/>
  <c r="J1812" i="1"/>
  <c r="L1812" i="1" s="1"/>
  <c r="J1811" i="1"/>
  <c r="L1811" i="1" s="1"/>
  <c r="J1810" i="1"/>
  <c r="L1810" i="1" s="1"/>
  <c r="J1809" i="1"/>
  <c r="L1809" i="1" s="1"/>
  <c r="J1808" i="1"/>
  <c r="L1808" i="1" s="1"/>
  <c r="J1807" i="1"/>
  <c r="L1807" i="1" s="1"/>
  <c r="J1806" i="1"/>
  <c r="L1806" i="1" s="1"/>
  <c r="J1805" i="1"/>
  <c r="L1805" i="1" s="1"/>
  <c r="J1804" i="1"/>
  <c r="L1804" i="1" s="1"/>
  <c r="J1803" i="1"/>
  <c r="L1803" i="1" s="1"/>
  <c r="J1802" i="1"/>
  <c r="L1802" i="1" s="1"/>
  <c r="J1801" i="1"/>
  <c r="L1801" i="1" s="1"/>
  <c r="J1800" i="1"/>
  <c r="L1800" i="1" s="1"/>
  <c r="K1799" i="1"/>
  <c r="J1799" i="1"/>
  <c r="J1798" i="1"/>
  <c r="L1798" i="1" s="1"/>
  <c r="J1797" i="1"/>
  <c r="L1797" i="1" s="1"/>
  <c r="J1796" i="1"/>
  <c r="L1796" i="1" s="1"/>
  <c r="K1795" i="1"/>
  <c r="J1795" i="1"/>
  <c r="N1794" i="1"/>
  <c r="J1794" i="1"/>
  <c r="L1794" i="1" s="1"/>
  <c r="Q1794" i="1" s="1"/>
  <c r="J1793" i="1"/>
  <c r="L1793" i="1" s="1"/>
  <c r="J1792" i="1"/>
  <c r="L1792" i="1" s="1"/>
  <c r="J1791" i="1"/>
  <c r="L1791" i="1" s="1"/>
  <c r="J1790" i="1"/>
  <c r="L1790" i="1" s="1"/>
  <c r="J1789" i="1"/>
  <c r="L1789" i="1" s="1"/>
  <c r="N1788" i="1"/>
  <c r="J1788" i="1"/>
  <c r="L1788" i="1" s="1"/>
  <c r="Q1788" i="1" s="1"/>
  <c r="J1787" i="1"/>
  <c r="L1787" i="1" s="1"/>
  <c r="J1786" i="1"/>
  <c r="L1786" i="1" s="1"/>
  <c r="J1785" i="1"/>
  <c r="L1785" i="1" s="1"/>
  <c r="K1784" i="1"/>
  <c r="L1784" i="1" s="1"/>
  <c r="J1784" i="1"/>
  <c r="N1783" i="1"/>
  <c r="J1783" i="1"/>
  <c r="L1783" i="1" s="1"/>
  <c r="Q1783" i="1" s="1"/>
  <c r="J1782" i="1"/>
  <c r="L1782" i="1" s="1"/>
  <c r="N1781" i="1"/>
  <c r="J1781" i="1"/>
  <c r="L1781" i="1" s="1"/>
  <c r="Q1781" i="1" s="1"/>
  <c r="N1780" i="1"/>
  <c r="J1780" i="1"/>
  <c r="L1780" i="1" s="1"/>
  <c r="J1779" i="1"/>
  <c r="L1779" i="1" s="1"/>
  <c r="J1778" i="1"/>
  <c r="L1778" i="1" s="1"/>
  <c r="J1777" i="1"/>
  <c r="L1777" i="1" s="1"/>
  <c r="N1776" i="1"/>
  <c r="J1776" i="1"/>
  <c r="L1776" i="1" s="1"/>
  <c r="Q1776" i="1" s="1"/>
  <c r="N1775" i="1"/>
  <c r="J1775" i="1"/>
  <c r="L1775" i="1" s="1"/>
  <c r="Q1775" i="1" s="1"/>
  <c r="N1774" i="1"/>
  <c r="J1774" i="1"/>
  <c r="L1774" i="1" s="1"/>
  <c r="Q1774" i="1" s="1"/>
  <c r="N1773" i="1"/>
  <c r="J1773" i="1"/>
  <c r="L1773" i="1" s="1"/>
  <c r="J1772" i="1"/>
  <c r="L1772" i="1" s="1"/>
  <c r="K1771" i="1"/>
  <c r="J1771" i="1"/>
  <c r="J1770" i="1"/>
  <c r="L1770" i="1" s="1"/>
  <c r="J1769" i="1"/>
  <c r="L1769" i="1" s="1"/>
  <c r="J1768" i="1"/>
  <c r="L1768" i="1" s="1"/>
  <c r="J1767" i="1"/>
  <c r="L1767" i="1" s="1"/>
  <c r="J1766" i="1"/>
  <c r="L1766" i="1" s="1"/>
  <c r="J1765" i="1"/>
  <c r="L1765" i="1" s="1"/>
  <c r="M1764" i="1"/>
  <c r="J1764" i="1"/>
  <c r="L1764" i="1" s="1"/>
  <c r="J1763" i="1"/>
  <c r="L1763" i="1" s="1"/>
  <c r="J1762" i="1"/>
  <c r="L1762" i="1" s="1"/>
  <c r="J1761" i="1"/>
  <c r="L1761" i="1" s="1"/>
  <c r="J1760" i="1"/>
  <c r="L1760" i="1" s="1"/>
  <c r="M1759" i="1"/>
  <c r="J1759" i="1"/>
  <c r="L1759" i="1" s="1"/>
  <c r="J1758" i="1"/>
  <c r="L1758" i="1" s="1"/>
  <c r="Q1757" i="1"/>
  <c r="P1757" i="1"/>
  <c r="N1757" i="1"/>
  <c r="J1757" i="1"/>
  <c r="L1757" i="1" s="1"/>
  <c r="J1756" i="1"/>
  <c r="L1756" i="1" s="1"/>
  <c r="J1755" i="1"/>
  <c r="L1755" i="1" s="1"/>
  <c r="J1754" i="1"/>
  <c r="L1754" i="1" s="1"/>
  <c r="J1753" i="1"/>
  <c r="L1753" i="1" s="1"/>
  <c r="J1752" i="1"/>
  <c r="L1752" i="1" s="1"/>
  <c r="J1751" i="1"/>
  <c r="L1751" i="1" s="1"/>
  <c r="K1750" i="1"/>
  <c r="J1750" i="1"/>
  <c r="J1749" i="1"/>
  <c r="L1749" i="1" s="1"/>
  <c r="J1748" i="1"/>
  <c r="L1748" i="1" s="1"/>
  <c r="P1747" i="1"/>
  <c r="N1747" i="1"/>
  <c r="J1747" i="1"/>
  <c r="L1747" i="1" s="1"/>
  <c r="L1746" i="1"/>
  <c r="J1745" i="1"/>
  <c r="L1745" i="1" s="1"/>
  <c r="J1744" i="1"/>
  <c r="L1744" i="1" s="1"/>
  <c r="J1743" i="1"/>
  <c r="L1743" i="1" s="1"/>
  <c r="J1742" i="1"/>
  <c r="L1742" i="1" s="1"/>
  <c r="J1741" i="1"/>
  <c r="L1741" i="1" s="1"/>
  <c r="N1740" i="1"/>
  <c r="J1740" i="1"/>
  <c r="L1740" i="1" s="1"/>
  <c r="Q1740" i="1" s="1"/>
  <c r="J1739" i="1"/>
  <c r="L1739" i="1" s="1"/>
  <c r="N1738" i="1"/>
  <c r="J1738" i="1"/>
  <c r="L1738" i="1" s="1"/>
  <c r="Q1738" i="1" s="1"/>
  <c r="J1737" i="1"/>
  <c r="L1737" i="1" s="1"/>
  <c r="J1736" i="1"/>
  <c r="L1736" i="1" s="1"/>
  <c r="J1735" i="1"/>
  <c r="L1735" i="1" s="1"/>
  <c r="J1734" i="1"/>
  <c r="L1734" i="1" s="1"/>
  <c r="J1733" i="1"/>
  <c r="L1733" i="1" s="1"/>
  <c r="J1732" i="1"/>
  <c r="L1732" i="1" s="1"/>
  <c r="J1731" i="1"/>
  <c r="L1731" i="1" s="1"/>
  <c r="J1730" i="1"/>
  <c r="L1730" i="1" s="1"/>
  <c r="J1729" i="1"/>
  <c r="L1729" i="1" s="1"/>
  <c r="J1728" i="1"/>
  <c r="L1728" i="1" s="1"/>
  <c r="J1727" i="1"/>
  <c r="L1727" i="1" s="1"/>
  <c r="J1726" i="1"/>
  <c r="L1726" i="1" s="1"/>
  <c r="J1725" i="1"/>
  <c r="L1725" i="1" s="1"/>
  <c r="J1724" i="1"/>
  <c r="L1724" i="1" s="1"/>
  <c r="N1723" i="1"/>
  <c r="J1723" i="1"/>
  <c r="L1723" i="1" s="1"/>
  <c r="Q1723" i="1" s="1"/>
  <c r="J1722" i="1"/>
  <c r="L1722" i="1" s="1"/>
  <c r="J1721" i="1"/>
  <c r="L1721" i="1" s="1"/>
  <c r="J1720" i="1"/>
  <c r="L1720" i="1" s="1"/>
  <c r="N1719" i="1"/>
  <c r="J1719" i="1"/>
  <c r="L1719" i="1" s="1"/>
  <c r="Q1719" i="1" s="1"/>
  <c r="J1718" i="1"/>
  <c r="L1718" i="1" s="1"/>
  <c r="J1717" i="1"/>
  <c r="L1717" i="1" s="1"/>
  <c r="M1716" i="1"/>
  <c r="K1716" i="1"/>
  <c r="J1716" i="1"/>
  <c r="L1715" i="1"/>
  <c r="K1714" i="1"/>
  <c r="J1714" i="1"/>
  <c r="K1713" i="1"/>
  <c r="J1713" i="1"/>
  <c r="N1712" i="1"/>
  <c r="J1712" i="1"/>
  <c r="L1712" i="1" s="1"/>
  <c r="Q1712" i="1" s="1"/>
  <c r="K1711" i="1"/>
  <c r="J1711" i="1"/>
  <c r="M1710" i="1"/>
  <c r="J1710" i="1"/>
  <c r="L1710" i="1" s="1"/>
  <c r="N1709" i="1"/>
  <c r="J1709" i="1"/>
  <c r="L1709" i="1" s="1"/>
  <c r="N1708" i="1"/>
  <c r="J1708" i="1"/>
  <c r="L1708" i="1" s="1"/>
  <c r="Q1708" i="1" s="1"/>
  <c r="K1707" i="1"/>
  <c r="J1707" i="1"/>
  <c r="J1706" i="1"/>
  <c r="L1706" i="1" s="1"/>
  <c r="J1705" i="1"/>
  <c r="L1705" i="1" s="1"/>
  <c r="P1704" i="1"/>
  <c r="N1704" i="1"/>
  <c r="J1704" i="1"/>
  <c r="L1704" i="1" s="1"/>
  <c r="P1703" i="1"/>
  <c r="N1703" i="1"/>
  <c r="J1703" i="1"/>
  <c r="L1703" i="1" s="1"/>
  <c r="N1702" i="1"/>
  <c r="J1702" i="1"/>
  <c r="L1702" i="1" s="1"/>
  <c r="Q1702" i="1" s="1"/>
  <c r="J1701" i="1"/>
  <c r="L1701" i="1" s="1"/>
  <c r="J1700" i="1"/>
  <c r="L1700" i="1" s="1"/>
  <c r="J1699" i="1"/>
  <c r="L1699" i="1" s="1"/>
  <c r="O1699" i="1" s="1"/>
  <c r="R1699" i="1" s="1"/>
  <c r="N1698" i="1"/>
  <c r="J1698" i="1"/>
  <c r="L1698" i="1" s="1"/>
  <c r="Q1698" i="1" s="1"/>
  <c r="J1697" i="1"/>
  <c r="L1697" i="1" s="1"/>
  <c r="J1696" i="1"/>
  <c r="L1696" i="1" s="1"/>
  <c r="P1695" i="1"/>
  <c r="N1695" i="1"/>
  <c r="J1695" i="1"/>
  <c r="L1695" i="1" s="1"/>
  <c r="Q1695" i="1" s="1"/>
  <c r="N1694" i="1"/>
  <c r="J1694" i="1"/>
  <c r="L1694" i="1" s="1"/>
  <c r="Q1694" i="1" s="1"/>
  <c r="J1693" i="1"/>
  <c r="L1693" i="1" s="1"/>
  <c r="J1692" i="1"/>
  <c r="L1692" i="1" s="1"/>
  <c r="J1691" i="1"/>
  <c r="L1691" i="1" s="1"/>
  <c r="P1690" i="1"/>
  <c r="N1690" i="1"/>
  <c r="J1690" i="1"/>
  <c r="L1690" i="1" s="1"/>
  <c r="J1689" i="1"/>
  <c r="L1689" i="1" s="1"/>
  <c r="O1689" i="1" s="1"/>
  <c r="R1689" i="1" s="1"/>
  <c r="J1688" i="1"/>
  <c r="L1688" i="1" s="1"/>
  <c r="N1687" i="1"/>
  <c r="J1687" i="1"/>
  <c r="L1687" i="1" s="1"/>
  <c r="J1686" i="1"/>
  <c r="L1686" i="1" s="1"/>
  <c r="K1685" i="1"/>
  <c r="J1685" i="1"/>
  <c r="N1684" i="1"/>
  <c r="J1684" i="1"/>
  <c r="L1684" i="1" s="1"/>
  <c r="Q1684" i="1" s="1"/>
  <c r="J1683" i="1"/>
  <c r="L1683" i="1" s="1"/>
  <c r="J1682" i="1"/>
  <c r="L1682" i="1" s="1"/>
  <c r="J1681" i="1"/>
  <c r="L1681" i="1" s="1"/>
  <c r="O1681" i="1" s="1"/>
  <c r="R1681" i="1" s="1"/>
  <c r="J1680" i="1"/>
  <c r="L1680" i="1" s="1"/>
  <c r="J1679" i="1"/>
  <c r="L1679" i="1" s="1"/>
  <c r="J1678" i="1"/>
  <c r="L1678" i="1" s="1"/>
  <c r="N1677" i="1"/>
  <c r="J1677" i="1"/>
  <c r="L1677" i="1" s="1"/>
  <c r="Q1677" i="1" s="1"/>
  <c r="J1676" i="1"/>
  <c r="L1676" i="1" s="1"/>
  <c r="P1675" i="1"/>
  <c r="J1675" i="1"/>
  <c r="L1675" i="1" s="1"/>
  <c r="O1675" i="1" s="1"/>
  <c r="J1674" i="1"/>
  <c r="L1674" i="1" s="1"/>
  <c r="J1673" i="1"/>
  <c r="L1673" i="1" s="1"/>
  <c r="P1672" i="1"/>
  <c r="J1672" i="1"/>
  <c r="L1672" i="1" s="1"/>
  <c r="O1672" i="1" s="1"/>
  <c r="J1671" i="1"/>
  <c r="L1671" i="1" s="1"/>
  <c r="N1670" i="1"/>
  <c r="J1670" i="1"/>
  <c r="L1670" i="1" s="1"/>
  <c r="N1669" i="1"/>
  <c r="J1669" i="1"/>
  <c r="L1669" i="1" s="1"/>
  <c r="J1668" i="1"/>
  <c r="L1668" i="1" s="1"/>
  <c r="N1667" i="1"/>
  <c r="J1667" i="1"/>
  <c r="L1667" i="1" s="1"/>
  <c r="J1666" i="1"/>
  <c r="L1666" i="1" s="1"/>
  <c r="J1665" i="1"/>
  <c r="L1665" i="1" s="1"/>
  <c r="N1664" i="1"/>
  <c r="J1664" i="1"/>
  <c r="L1664" i="1" s="1"/>
  <c r="Q1664" i="1" s="1"/>
  <c r="J1663" i="1"/>
  <c r="L1663" i="1" s="1"/>
  <c r="J1662" i="1"/>
  <c r="L1662" i="1" s="1"/>
  <c r="J1661" i="1"/>
  <c r="L1661" i="1" s="1"/>
  <c r="J1660" i="1"/>
  <c r="L1660" i="1" s="1"/>
  <c r="J1659" i="1"/>
  <c r="L1659" i="1" s="1"/>
  <c r="J1658" i="1"/>
  <c r="L1658" i="1" s="1"/>
  <c r="N1657" i="1"/>
  <c r="J1657" i="1"/>
  <c r="L1657" i="1" s="1"/>
  <c r="Q1657" i="1" s="1"/>
  <c r="J1656" i="1"/>
  <c r="L1656" i="1" s="1"/>
  <c r="P1655" i="1"/>
  <c r="J1655" i="1"/>
  <c r="L1655" i="1" s="1"/>
  <c r="O1655" i="1" s="1"/>
  <c r="P1654" i="1"/>
  <c r="J1654" i="1"/>
  <c r="L1654" i="1" s="1"/>
  <c r="O1654" i="1" s="1"/>
  <c r="N1653" i="1"/>
  <c r="J1653" i="1"/>
  <c r="L1653" i="1" s="1"/>
  <c r="Q1653" i="1" s="1"/>
  <c r="J1652" i="1"/>
  <c r="L1652" i="1" s="1"/>
  <c r="N1651" i="1"/>
  <c r="L1651" i="1"/>
  <c r="Q1651" i="1" s="1"/>
  <c r="J1651" i="1"/>
  <c r="J1650" i="1"/>
  <c r="L1650" i="1" s="1"/>
  <c r="N1649" i="1"/>
  <c r="J1649" i="1"/>
  <c r="L1649" i="1" s="1"/>
  <c r="Q1649" i="1" s="1"/>
  <c r="N1648" i="1"/>
  <c r="J1648" i="1"/>
  <c r="L1648" i="1" s="1"/>
  <c r="P1647" i="1"/>
  <c r="J1647" i="1"/>
  <c r="L1647" i="1" s="1"/>
  <c r="J1646" i="1"/>
  <c r="L1646" i="1" s="1"/>
  <c r="J1645" i="1"/>
  <c r="L1645" i="1" s="1"/>
  <c r="J1644" i="1"/>
  <c r="L1644" i="1" s="1"/>
  <c r="P1643" i="1"/>
  <c r="J1643" i="1"/>
  <c r="L1643" i="1" s="1"/>
  <c r="O1643" i="1" s="1"/>
  <c r="N1642" i="1"/>
  <c r="J1642" i="1"/>
  <c r="L1642" i="1" s="1"/>
  <c r="Q1642" i="1" s="1"/>
  <c r="J1641" i="1"/>
  <c r="L1641" i="1" s="1"/>
  <c r="J1640" i="1"/>
  <c r="L1640" i="1" s="1"/>
  <c r="N1639" i="1"/>
  <c r="J1639" i="1"/>
  <c r="L1639" i="1" s="1"/>
  <c r="Q1639" i="1" s="1"/>
  <c r="J1638" i="1"/>
  <c r="L1638" i="1" s="1"/>
  <c r="N1637" i="1"/>
  <c r="J1637" i="1"/>
  <c r="L1637" i="1" s="1"/>
  <c r="Q1637" i="1" s="1"/>
  <c r="J1636" i="1"/>
  <c r="L1636" i="1" s="1"/>
  <c r="J1635" i="1"/>
  <c r="L1635" i="1" s="1"/>
  <c r="M1634" i="1"/>
  <c r="J1634" i="1"/>
  <c r="L1634" i="1" s="1"/>
  <c r="J1633" i="1"/>
  <c r="L1633" i="1" s="1"/>
  <c r="N1632" i="1"/>
  <c r="J1632" i="1"/>
  <c r="L1632" i="1" s="1"/>
  <c r="Q1632" i="1" s="1"/>
  <c r="N1631" i="1"/>
  <c r="L1631" i="1"/>
  <c r="Q1631" i="1" s="1"/>
  <c r="J1631" i="1"/>
  <c r="K1630" i="1"/>
  <c r="J1630" i="1"/>
  <c r="P1629" i="1"/>
  <c r="J1629" i="1"/>
  <c r="L1629" i="1" s="1"/>
  <c r="O1629" i="1" s="1"/>
  <c r="J1628" i="1"/>
  <c r="L1628" i="1" s="1"/>
  <c r="J1627" i="1"/>
  <c r="L1627" i="1" s="1"/>
  <c r="N1626" i="1"/>
  <c r="J1626" i="1"/>
  <c r="L1626" i="1" s="1"/>
  <c r="K1625" i="1"/>
  <c r="J1625" i="1"/>
  <c r="J1624" i="1"/>
  <c r="L1624" i="1" s="1"/>
  <c r="J1623" i="1"/>
  <c r="L1623" i="1" s="1"/>
  <c r="L1622" i="1"/>
  <c r="M1621" i="1"/>
  <c r="J1621" i="1"/>
  <c r="L1621" i="1" s="1"/>
  <c r="N1620" i="1"/>
  <c r="J1620" i="1"/>
  <c r="L1620" i="1" s="1"/>
  <c r="Q1620" i="1" s="1"/>
  <c r="M1619" i="1"/>
  <c r="J1619" i="1"/>
  <c r="L1619" i="1" s="1"/>
  <c r="P1618" i="1"/>
  <c r="J1618" i="1"/>
  <c r="L1618" i="1" s="1"/>
  <c r="O1618" i="1" s="1"/>
  <c r="P1617" i="1"/>
  <c r="J1617" i="1"/>
  <c r="L1617" i="1" s="1"/>
  <c r="O1617" i="1" s="1"/>
  <c r="N1616" i="1"/>
  <c r="J1616" i="1"/>
  <c r="L1616" i="1" s="1"/>
  <c r="Q1616" i="1" s="1"/>
  <c r="J1615" i="1"/>
  <c r="L1615" i="1" s="1"/>
  <c r="N1614" i="1"/>
  <c r="J1614" i="1"/>
  <c r="L1614" i="1" s="1"/>
  <c r="Q1614" i="1" s="1"/>
  <c r="J1613" i="1"/>
  <c r="L1613" i="1" s="1"/>
  <c r="J1612" i="1"/>
  <c r="L1612" i="1" s="1"/>
  <c r="N1611" i="1"/>
  <c r="J1611" i="1"/>
  <c r="L1611" i="1" s="1"/>
  <c r="Q1611" i="1" s="1"/>
  <c r="J1610" i="1"/>
  <c r="L1610" i="1" s="1"/>
  <c r="J1609" i="1"/>
  <c r="L1609" i="1" s="1"/>
  <c r="J1608" i="1"/>
  <c r="L1608" i="1" s="1"/>
  <c r="J1607" i="1"/>
  <c r="L1607" i="1" s="1"/>
  <c r="Q1607" i="1" s="1"/>
  <c r="R1607" i="1" s="1"/>
  <c r="J1606" i="1"/>
  <c r="L1606" i="1" s="1"/>
  <c r="J1605" i="1"/>
  <c r="L1605" i="1" s="1"/>
  <c r="L1604" i="1"/>
  <c r="J1603" i="1"/>
  <c r="L1603" i="1" s="1"/>
  <c r="N1602" i="1"/>
  <c r="J1602" i="1"/>
  <c r="L1602" i="1" s="1"/>
  <c r="Q1602" i="1" s="1"/>
  <c r="N1601" i="1"/>
  <c r="J1601" i="1"/>
  <c r="L1601" i="1" s="1"/>
  <c r="Q1601" i="1" s="1"/>
  <c r="J1600" i="1"/>
  <c r="L1600" i="1" s="1"/>
  <c r="Q1600" i="1" s="1"/>
  <c r="R1600" i="1" s="1"/>
  <c r="J1599" i="1"/>
  <c r="L1599" i="1" s="1"/>
  <c r="J1598" i="1"/>
  <c r="L1598" i="1" s="1"/>
  <c r="J1597" i="1"/>
  <c r="L1597" i="1" s="1"/>
  <c r="J1596" i="1"/>
  <c r="L1596" i="1" s="1"/>
  <c r="P1595" i="1"/>
  <c r="J1595" i="1"/>
  <c r="L1595" i="1" s="1"/>
  <c r="O1595" i="1" s="1"/>
  <c r="J1594" i="1"/>
  <c r="L1594" i="1" s="1"/>
  <c r="N1593" i="1"/>
  <c r="J1593" i="1"/>
  <c r="L1593" i="1" s="1"/>
  <c r="P1592" i="1"/>
  <c r="J1592" i="1"/>
  <c r="L1592" i="1" s="1"/>
  <c r="J1591" i="1"/>
  <c r="L1591" i="1" s="1"/>
  <c r="N1590" i="1"/>
  <c r="J1590" i="1"/>
  <c r="L1590" i="1" s="1"/>
  <c r="Q1590" i="1" s="1"/>
  <c r="N1589" i="1"/>
  <c r="J1589" i="1"/>
  <c r="L1589" i="1" s="1"/>
  <c r="P1588" i="1"/>
  <c r="J1588" i="1"/>
  <c r="L1588" i="1" s="1"/>
  <c r="O1588" i="1" s="1"/>
  <c r="J1587" i="1"/>
  <c r="L1587" i="1" s="1"/>
  <c r="J1586" i="1"/>
  <c r="L1586" i="1" s="1"/>
  <c r="J1585" i="1"/>
  <c r="L1585" i="1" s="1"/>
  <c r="J1584" i="1"/>
  <c r="L1584" i="1" s="1"/>
  <c r="J1583" i="1"/>
  <c r="L1583" i="1" s="1"/>
  <c r="J1582" i="1"/>
  <c r="L1582" i="1" s="1"/>
  <c r="J1581" i="1"/>
  <c r="L1581" i="1" s="1"/>
  <c r="J1580" i="1"/>
  <c r="L1580" i="1" s="1"/>
  <c r="P1579" i="1"/>
  <c r="J1579" i="1"/>
  <c r="L1579" i="1" s="1"/>
  <c r="O1579" i="1" s="1"/>
  <c r="J1578" i="1"/>
  <c r="L1578" i="1" s="1"/>
  <c r="P1577" i="1"/>
  <c r="J1577" i="1"/>
  <c r="L1577" i="1" s="1"/>
  <c r="O1577" i="1" s="1"/>
  <c r="J1576" i="1"/>
  <c r="L1576" i="1" s="1"/>
  <c r="N1575" i="1"/>
  <c r="J1575" i="1"/>
  <c r="L1575" i="1" s="1"/>
  <c r="Q1575" i="1" s="1"/>
  <c r="N1574" i="1"/>
  <c r="J1574" i="1"/>
  <c r="L1574" i="1" s="1"/>
  <c r="Q1574" i="1" s="1"/>
  <c r="J1573" i="1"/>
  <c r="L1573" i="1" s="1"/>
  <c r="J1572" i="1"/>
  <c r="L1572" i="1" s="1"/>
  <c r="J1571" i="1"/>
  <c r="L1571" i="1" s="1"/>
  <c r="J1570" i="1"/>
  <c r="L1570" i="1" s="1"/>
  <c r="J1569" i="1"/>
  <c r="L1569" i="1" s="1"/>
  <c r="N1568" i="1"/>
  <c r="J1568" i="1"/>
  <c r="L1568" i="1" s="1"/>
  <c r="Q1568" i="1" s="1"/>
  <c r="J1567" i="1"/>
  <c r="L1567" i="1" s="1"/>
  <c r="J1566" i="1"/>
  <c r="L1566" i="1" s="1"/>
  <c r="J1565" i="1"/>
  <c r="L1565" i="1" s="1"/>
  <c r="J1564" i="1"/>
  <c r="L1564" i="1" s="1"/>
  <c r="J1563" i="1"/>
  <c r="L1563" i="1" s="1"/>
  <c r="J1562" i="1"/>
  <c r="L1562" i="1" s="1"/>
  <c r="J1561" i="1"/>
  <c r="L1561" i="1" s="1"/>
  <c r="L1560" i="1"/>
  <c r="J1559" i="1"/>
  <c r="L1559" i="1" s="1"/>
  <c r="J1558" i="1"/>
  <c r="L1558" i="1" s="1"/>
  <c r="L1557" i="1"/>
  <c r="P1556" i="1"/>
  <c r="N1556" i="1"/>
  <c r="J1556" i="1"/>
  <c r="L1556" i="1" s="1"/>
  <c r="P1555" i="1"/>
  <c r="N1555" i="1"/>
  <c r="J1555" i="1"/>
  <c r="L1555" i="1" s="1"/>
  <c r="N1554" i="1"/>
  <c r="L1554" i="1"/>
  <c r="Q1554" i="1" s="1"/>
  <c r="J1553" i="1"/>
  <c r="L1553" i="1" s="1"/>
  <c r="N1552" i="1"/>
  <c r="J1552" i="1"/>
  <c r="L1552" i="1" s="1"/>
  <c r="Q1552" i="1" s="1"/>
  <c r="J1551" i="1"/>
  <c r="L1551" i="1" s="1"/>
  <c r="P1550" i="1"/>
  <c r="J1550" i="1"/>
  <c r="L1550" i="1" s="1"/>
  <c r="O1550" i="1" s="1"/>
  <c r="J1549" i="1"/>
  <c r="L1549" i="1" s="1"/>
  <c r="J1548" i="1"/>
  <c r="L1548" i="1" s="1"/>
  <c r="J1547" i="1"/>
  <c r="L1547" i="1" s="1"/>
  <c r="N1546" i="1"/>
  <c r="J1546" i="1"/>
  <c r="L1546" i="1" s="1"/>
  <c r="Q1546" i="1" s="1"/>
  <c r="N1545" i="1"/>
  <c r="J1545" i="1"/>
  <c r="L1545" i="1" s="1"/>
  <c r="Q1545" i="1" s="1"/>
  <c r="J1544" i="1"/>
  <c r="L1544" i="1" s="1"/>
  <c r="J1543" i="1"/>
  <c r="L1543" i="1" s="1"/>
  <c r="J1542" i="1"/>
  <c r="L1542" i="1" s="1"/>
  <c r="J1541" i="1"/>
  <c r="L1541" i="1" s="1"/>
  <c r="N1540" i="1"/>
  <c r="J1540" i="1"/>
  <c r="L1540" i="1" s="1"/>
  <c r="Q1540" i="1" s="1"/>
  <c r="J1539" i="1"/>
  <c r="L1539" i="1" s="1"/>
  <c r="J1538" i="1"/>
  <c r="L1538" i="1" s="1"/>
  <c r="J1537" i="1"/>
  <c r="L1537" i="1" s="1"/>
  <c r="J1536" i="1"/>
  <c r="L1536" i="1" s="1"/>
  <c r="J1535" i="1"/>
  <c r="L1535" i="1" s="1"/>
  <c r="N1534" i="1"/>
  <c r="J1534" i="1"/>
  <c r="L1534" i="1" s="1"/>
  <c r="Q1534" i="1" s="1"/>
  <c r="P1533" i="1"/>
  <c r="J1533" i="1"/>
  <c r="L1533" i="1" s="1"/>
  <c r="O1533" i="1" s="1"/>
  <c r="P1532" i="1"/>
  <c r="J1532" i="1"/>
  <c r="L1532" i="1" s="1"/>
  <c r="O1532" i="1" s="1"/>
  <c r="J1531" i="1"/>
  <c r="L1531" i="1" s="1"/>
  <c r="P1530" i="1"/>
  <c r="N1530" i="1"/>
  <c r="J1530" i="1"/>
  <c r="L1530" i="1" s="1"/>
  <c r="J1529" i="1"/>
  <c r="L1529" i="1" s="1"/>
  <c r="J1528" i="1"/>
  <c r="L1528" i="1" s="1"/>
  <c r="P1527" i="1"/>
  <c r="J1527" i="1"/>
  <c r="L1527" i="1" s="1"/>
  <c r="O1527" i="1" s="1"/>
  <c r="N1526" i="1"/>
  <c r="J1526" i="1"/>
  <c r="L1526" i="1" s="1"/>
  <c r="Q1526" i="1" s="1"/>
  <c r="J1525" i="1"/>
  <c r="L1525" i="1" s="1"/>
  <c r="J1524" i="1"/>
  <c r="L1524" i="1" s="1"/>
  <c r="P1523" i="1"/>
  <c r="J1523" i="1"/>
  <c r="L1523" i="1" s="1"/>
  <c r="O1523" i="1" s="1"/>
  <c r="J1522" i="1"/>
  <c r="L1522" i="1" s="1"/>
  <c r="J1521" i="1"/>
  <c r="L1521" i="1" s="1"/>
  <c r="J1520" i="1"/>
  <c r="L1520" i="1" s="1"/>
  <c r="N1519" i="1"/>
  <c r="J1519" i="1"/>
  <c r="L1519" i="1" s="1"/>
  <c r="Q1519" i="1" s="1"/>
  <c r="L1518" i="1"/>
  <c r="J1517" i="1"/>
  <c r="L1517" i="1" s="1"/>
  <c r="P1516" i="1"/>
  <c r="J1516" i="1"/>
  <c r="L1516" i="1" s="1"/>
  <c r="O1516" i="1" s="1"/>
  <c r="P1515" i="1"/>
  <c r="N1515" i="1"/>
  <c r="J1515" i="1"/>
  <c r="L1515" i="1" s="1"/>
  <c r="J1514" i="1"/>
  <c r="L1514" i="1" s="1"/>
  <c r="J1513" i="1"/>
  <c r="L1513" i="1" s="1"/>
  <c r="J1512" i="1"/>
  <c r="L1512" i="1" s="1"/>
  <c r="N1511" i="1"/>
  <c r="J1511" i="1"/>
  <c r="L1511" i="1" s="1"/>
  <c r="Q1511" i="1" s="1"/>
  <c r="P1510" i="1"/>
  <c r="N1510" i="1"/>
  <c r="J1510" i="1"/>
  <c r="L1510" i="1" s="1"/>
  <c r="Q1510" i="1" s="1"/>
  <c r="P1509" i="1"/>
  <c r="J1509" i="1"/>
  <c r="L1509" i="1" s="1"/>
  <c r="O1509" i="1" s="1"/>
  <c r="J1508" i="1"/>
  <c r="L1508" i="1" s="1"/>
  <c r="N1507" i="1"/>
  <c r="J1507" i="1"/>
  <c r="L1507" i="1" s="1"/>
  <c r="Q1507" i="1" s="1"/>
  <c r="J1506" i="1"/>
  <c r="L1506" i="1" s="1"/>
  <c r="J1505" i="1"/>
  <c r="L1505" i="1" s="1"/>
  <c r="J1504" i="1"/>
  <c r="L1504" i="1" s="1"/>
  <c r="J1503" i="1"/>
  <c r="L1503" i="1" s="1"/>
  <c r="J1502" i="1"/>
  <c r="L1502" i="1" s="1"/>
  <c r="J1501" i="1"/>
  <c r="L1501" i="1" s="1"/>
  <c r="J1500" i="1"/>
  <c r="L1500" i="1" s="1"/>
  <c r="J1499" i="1"/>
  <c r="L1499" i="1" s="1"/>
  <c r="J1498" i="1"/>
  <c r="L1498" i="1" s="1"/>
  <c r="J1497" i="1"/>
  <c r="L1497" i="1" s="1"/>
  <c r="P1496" i="1"/>
  <c r="J1496" i="1"/>
  <c r="L1496" i="1" s="1"/>
  <c r="N1495" i="1"/>
  <c r="J1495" i="1"/>
  <c r="L1495" i="1" s="1"/>
  <c r="Q1495" i="1" s="1"/>
  <c r="J1494" i="1"/>
  <c r="L1494" i="1" s="1"/>
  <c r="J1493" i="1"/>
  <c r="L1493" i="1" s="1"/>
  <c r="N1492" i="1"/>
  <c r="J1492" i="1"/>
  <c r="L1492" i="1" s="1"/>
  <c r="Q1492" i="1" s="1"/>
  <c r="J1491" i="1"/>
  <c r="L1491" i="1" s="1"/>
  <c r="J1490" i="1"/>
  <c r="L1490" i="1" s="1"/>
  <c r="J1489" i="1"/>
  <c r="L1489" i="1" s="1"/>
  <c r="J1488" i="1"/>
  <c r="L1488" i="1" s="1"/>
  <c r="J1487" i="1"/>
  <c r="L1487" i="1" s="1"/>
  <c r="L1486" i="1"/>
  <c r="P1485" i="1"/>
  <c r="J1485" i="1"/>
  <c r="L1485" i="1" s="1"/>
  <c r="N1484" i="1"/>
  <c r="J1484" i="1"/>
  <c r="L1484" i="1" s="1"/>
  <c r="Q1484" i="1" s="1"/>
  <c r="J1483" i="1"/>
  <c r="L1483" i="1" s="1"/>
  <c r="P1482" i="1"/>
  <c r="N1482" i="1"/>
  <c r="J1482" i="1"/>
  <c r="L1482" i="1" s="1"/>
  <c r="J1481" i="1"/>
  <c r="L1481" i="1" s="1"/>
  <c r="N1480" i="1"/>
  <c r="J1480" i="1"/>
  <c r="L1480" i="1" s="1"/>
  <c r="Q1480" i="1" s="1"/>
  <c r="N1479" i="1"/>
  <c r="J1479" i="1"/>
  <c r="L1479" i="1" s="1"/>
  <c r="Q1479" i="1" s="1"/>
  <c r="P1478" i="1"/>
  <c r="N1478" i="1"/>
  <c r="J1478" i="1"/>
  <c r="L1478" i="1" s="1"/>
  <c r="O1478" i="1" s="1"/>
  <c r="P1477" i="1"/>
  <c r="J1477" i="1"/>
  <c r="L1477" i="1" s="1"/>
  <c r="O1477" i="1" s="1"/>
  <c r="J1476" i="1"/>
  <c r="L1476" i="1" s="1"/>
  <c r="J1475" i="1"/>
  <c r="L1475" i="1" s="1"/>
  <c r="J1474" i="1"/>
  <c r="L1474" i="1" s="1"/>
  <c r="J1473" i="1"/>
  <c r="L1473" i="1" s="1"/>
  <c r="J1472" i="1"/>
  <c r="L1472" i="1" s="1"/>
  <c r="N1471" i="1"/>
  <c r="J1471" i="1"/>
  <c r="L1471" i="1" s="1"/>
  <c r="Q1471" i="1" s="1"/>
  <c r="J1470" i="1"/>
  <c r="L1470" i="1" s="1"/>
  <c r="J1469" i="1"/>
  <c r="L1469" i="1" s="1"/>
  <c r="J1468" i="1"/>
  <c r="L1468" i="1" s="1"/>
  <c r="J1467" i="1"/>
  <c r="L1467" i="1" s="1"/>
  <c r="J1466" i="1"/>
  <c r="L1466" i="1" s="1"/>
  <c r="J1465" i="1"/>
  <c r="L1465" i="1" s="1"/>
  <c r="N1464" i="1"/>
  <c r="J1464" i="1"/>
  <c r="L1464" i="1" s="1"/>
  <c r="J1463" i="1"/>
  <c r="L1463" i="1" s="1"/>
  <c r="J1462" i="1"/>
  <c r="L1462" i="1" s="1"/>
  <c r="N1461" i="1"/>
  <c r="J1461" i="1"/>
  <c r="L1461" i="1" s="1"/>
  <c r="Q1461" i="1" s="1"/>
  <c r="J1460" i="1"/>
  <c r="L1460" i="1" s="1"/>
  <c r="N1459" i="1"/>
  <c r="J1459" i="1"/>
  <c r="L1459" i="1" s="1"/>
  <c r="Q1459" i="1" s="1"/>
  <c r="J1458" i="1"/>
  <c r="L1458" i="1" s="1"/>
  <c r="P1457" i="1"/>
  <c r="N1457" i="1"/>
  <c r="J1457" i="1"/>
  <c r="L1457" i="1" s="1"/>
  <c r="J1456" i="1"/>
  <c r="L1456" i="1" s="1"/>
  <c r="J1455" i="1"/>
  <c r="L1455" i="1" s="1"/>
  <c r="J1454" i="1"/>
  <c r="L1454" i="1" s="1"/>
  <c r="J1453" i="1"/>
  <c r="L1453" i="1" s="1"/>
  <c r="N1452" i="1"/>
  <c r="K1452" i="1"/>
  <c r="J1452" i="1"/>
  <c r="J1451" i="1"/>
  <c r="L1451" i="1" s="1"/>
  <c r="J1450" i="1"/>
  <c r="L1450" i="1" s="1"/>
  <c r="N1449" i="1"/>
  <c r="K1449" i="1"/>
  <c r="J1449" i="1"/>
  <c r="J1448" i="1"/>
  <c r="L1448" i="1" s="1"/>
  <c r="J1447" i="1"/>
  <c r="L1447" i="1" s="1"/>
  <c r="J1446" i="1"/>
  <c r="L1446" i="1" s="1"/>
  <c r="N1445" i="1"/>
  <c r="J1445" i="1"/>
  <c r="L1445" i="1" s="1"/>
  <c r="Q1445" i="1" s="1"/>
  <c r="K1444" i="1"/>
  <c r="J1444" i="1"/>
  <c r="J1443" i="1"/>
  <c r="L1443" i="1" s="1"/>
  <c r="N1442" i="1"/>
  <c r="J1442" i="1"/>
  <c r="L1442" i="1" s="1"/>
  <c r="J1441" i="1"/>
  <c r="L1441" i="1" s="1"/>
  <c r="N1440" i="1"/>
  <c r="J1440" i="1"/>
  <c r="L1440" i="1" s="1"/>
  <c r="Q1440" i="1" s="1"/>
  <c r="K1439" i="1"/>
  <c r="J1439" i="1"/>
  <c r="P1438" i="1"/>
  <c r="N1438" i="1"/>
  <c r="J1438" i="1"/>
  <c r="L1438" i="1" s="1"/>
  <c r="K1437" i="1"/>
  <c r="J1437" i="1"/>
  <c r="J1436" i="1"/>
  <c r="L1436" i="1" s="1"/>
  <c r="J1435" i="1"/>
  <c r="L1435" i="1" s="1"/>
  <c r="N1434" i="1"/>
  <c r="J1434" i="1"/>
  <c r="L1434" i="1" s="1"/>
  <c r="J1433" i="1"/>
  <c r="L1433" i="1" s="1"/>
  <c r="N1432" i="1"/>
  <c r="J1432" i="1"/>
  <c r="L1432" i="1" s="1"/>
  <c r="Q1432" i="1" s="1"/>
  <c r="N1431" i="1"/>
  <c r="J1431" i="1"/>
  <c r="L1431" i="1" s="1"/>
  <c r="Q1431" i="1" s="1"/>
  <c r="J1430" i="1"/>
  <c r="L1430" i="1" s="1"/>
  <c r="P1429" i="1"/>
  <c r="N1429" i="1"/>
  <c r="J1429" i="1"/>
  <c r="L1429" i="1" s="1"/>
  <c r="N1428" i="1"/>
  <c r="J1428" i="1"/>
  <c r="L1428" i="1" s="1"/>
  <c r="J1427" i="1"/>
  <c r="L1427" i="1" s="1"/>
  <c r="J1426" i="1"/>
  <c r="L1426" i="1" s="1"/>
  <c r="J1425" i="1"/>
  <c r="L1425" i="1" s="1"/>
  <c r="J1424" i="1"/>
  <c r="L1424" i="1" s="1"/>
  <c r="N1423" i="1"/>
  <c r="J1423" i="1"/>
  <c r="L1423" i="1" s="1"/>
  <c r="Q1423" i="1" s="1"/>
  <c r="J1422" i="1"/>
  <c r="L1422" i="1" s="1"/>
  <c r="J1421" i="1"/>
  <c r="L1421" i="1" s="1"/>
  <c r="P1420" i="1"/>
  <c r="J1420" i="1"/>
  <c r="L1420" i="1" s="1"/>
  <c r="O1420" i="1" s="1"/>
  <c r="N1419" i="1"/>
  <c r="J1419" i="1"/>
  <c r="L1419" i="1" s="1"/>
  <c r="Q1419" i="1" s="1"/>
  <c r="J1418" i="1"/>
  <c r="L1418" i="1" s="1"/>
  <c r="J1417" i="1"/>
  <c r="L1417" i="1" s="1"/>
  <c r="P1416" i="1"/>
  <c r="K1416" i="1"/>
  <c r="J1416" i="1"/>
  <c r="P1415" i="1"/>
  <c r="J1415" i="1"/>
  <c r="L1415" i="1" s="1"/>
  <c r="O1415" i="1" s="1"/>
  <c r="N1414" i="1"/>
  <c r="L1414" i="1"/>
  <c r="Q1414" i="1" s="1"/>
  <c r="N1413" i="1"/>
  <c r="J1413" i="1"/>
  <c r="L1413" i="1" s="1"/>
  <c r="Q1413" i="1" s="1"/>
  <c r="N1412" i="1"/>
  <c r="J1412" i="1"/>
  <c r="L1412" i="1" s="1"/>
  <c r="Q1412" i="1" s="1"/>
  <c r="J1411" i="1"/>
  <c r="L1411" i="1" s="1"/>
  <c r="J1410" i="1"/>
  <c r="L1410" i="1" s="1"/>
  <c r="J1409" i="1"/>
  <c r="L1409" i="1" s="1"/>
  <c r="L1408" i="1"/>
  <c r="J1407" i="1"/>
  <c r="L1407" i="1" s="1"/>
  <c r="L1406" i="1"/>
  <c r="J1406" i="1"/>
  <c r="J1405" i="1"/>
  <c r="L1405" i="1" s="1"/>
  <c r="N1404" i="1"/>
  <c r="J1404" i="1"/>
  <c r="L1404" i="1" s="1"/>
  <c r="Q1404" i="1" s="1"/>
  <c r="P1403" i="1"/>
  <c r="N1403" i="1"/>
  <c r="J1403" i="1"/>
  <c r="L1403" i="1" s="1"/>
  <c r="N1402" i="1"/>
  <c r="J1402" i="1"/>
  <c r="L1402" i="1" s="1"/>
  <c r="Q1402" i="1" s="1"/>
  <c r="J1401" i="1"/>
  <c r="L1401" i="1" s="1"/>
  <c r="J1400" i="1"/>
  <c r="L1400" i="1" s="1"/>
  <c r="N1399" i="1"/>
  <c r="J1399" i="1"/>
  <c r="L1399" i="1" s="1"/>
  <c r="Q1399" i="1" s="1"/>
  <c r="J1398" i="1"/>
  <c r="L1398" i="1" s="1"/>
  <c r="J1397" i="1"/>
  <c r="L1397" i="1" s="1"/>
  <c r="P1396" i="1"/>
  <c r="N1396" i="1"/>
  <c r="J1396" i="1"/>
  <c r="L1396" i="1" s="1"/>
  <c r="N1395" i="1"/>
  <c r="L1395" i="1"/>
  <c r="Q1395" i="1" s="1"/>
  <c r="N1394" i="1"/>
  <c r="J1394" i="1"/>
  <c r="L1394" i="1" s="1"/>
  <c r="J1393" i="1"/>
  <c r="L1393" i="1" s="1"/>
  <c r="N1392" i="1"/>
  <c r="J1392" i="1"/>
  <c r="L1392" i="1" s="1"/>
  <c r="Q1392" i="1" s="1"/>
  <c r="N1391" i="1"/>
  <c r="J1391" i="1"/>
  <c r="L1391" i="1" s="1"/>
  <c r="Q1391" i="1" s="1"/>
  <c r="J1390" i="1"/>
  <c r="L1390" i="1" s="1"/>
  <c r="N1389" i="1"/>
  <c r="J1389" i="1"/>
  <c r="L1389" i="1" s="1"/>
  <c r="Q1389" i="1" s="1"/>
  <c r="J1388" i="1"/>
  <c r="L1388" i="1" s="1"/>
  <c r="J1387" i="1"/>
  <c r="L1387" i="1" s="1"/>
  <c r="N1386" i="1"/>
  <c r="J1386" i="1"/>
  <c r="L1386" i="1" s="1"/>
  <c r="Q1386" i="1" s="1"/>
  <c r="J1385" i="1"/>
  <c r="L1385" i="1" s="1"/>
  <c r="J1384" i="1"/>
  <c r="L1384" i="1" s="1"/>
  <c r="N1383" i="1"/>
  <c r="J1383" i="1"/>
  <c r="L1383" i="1" s="1"/>
  <c r="Q1383" i="1" s="1"/>
  <c r="P1382" i="1"/>
  <c r="J1382" i="1"/>
  <c r="L1382" i="1" s="1"/>
  <c r="O1382" i="1" s="1"/>
  <c r="N1381" i="1"/>
  <c r="J1381" i="1"/>
  <c r="L1381" i="1" s="1"/>
  <c r="Q1381" i="1" s="1"/>
  <c r="N1380" i="1"/>
  <c r="J1380" i="1"/>
  <c r="L1380" i="1" s="1"/>
  <c r="Q1380" i="1" s="1"/>
  <c r="L1379" i="1"/>
  <c r="J1378" i="1"/>
  <c r="L1378" i="1" s="1"/>
  <c r="J1377" i="1"/>
  <c r="L1377" i="1" s="1"/>
  <c r="J1376" i="1"/>
  <c r="L1376" i="1" s="1"/>
  <c r="N1375" i="1"/>
  <c r="J1375" i="1"/>
  <c r="L1375" i="1" s="1"/>
  <c r="Q1375" i="1" s="1"/>
  <c r="P1374" i="1"/>
  <c r="N1374" i="1"/>
  <c r="J1374" i="1"/>
  <c r="L1374" i="1" s="1"/>
  <c r="J1373" i="1"/>
  <c r="L1373" i="1" s="1"/>
  <c r="J1372" i="1"/>
  <c r="L1372" i="1" s="1"/>
  <c r="J1371" i="1"/>
  <c r="L1371" i="1" s="1"/>
  <c r="N1370" i="1"/>
  <c r="J1370" i="1"/>
  <c r="L1370" i="1" s="1"/>
  <c r="Q1370" i="1" s="1"/>
  <c r="J1369" i="1"/>
  <c r="L1369" i="1" s="1"/>
  <c r="P1368" i="1"/>
  <c r="J1368" i="1"/>
  <c r="L1368" i="1" s="1"/>
  <c r="O1368" i="1" s="1"/>
  <c r="P1367" i="1"/>
  <c r="N1367" i="1"/>
  <c r="J1367" i="1"/>
  <c r="L1367" i="1" s="1"/>
  <c r="P1366" i="1"/>
  <c r="J1366" i="1"/>
  <c r="L1366" i="1" s="1"/>
  <c r="O1366" i="1" s="1"/>
  <c r="N1365" i="1"/>
  <c r="J1365" i="1"/>
  <c r="L1365" i="1" s="1"/>
  <c r="Q1365" i="1" s="1"/>
  <c r="P1364" i="1"/>
  <c r="J1364" i="1"/>
  <c r="L1364" i="1" s="1"/>
  <c r="O1364" i="1" s="1"/>
  <c r="J1363" i="1"/>
  <c r="L1363" i="1" s="1"/>
  <c r="P1362" i="1"/>
  <c r="N1362" i="1"/>
  <c r="J1362" i="1"/>
  <c r="L1362" i="1" s="1"/>
  <c r="J1361" i="1"/>
  <c r="L1361" i="1" s="1"/>
  <c r="J1360" i="1"/>
  <c r="L1360" i="1" s="1"/>
  <c r="N1359" i="1"/>
  <c r="J1359" i="1"/>
  <c r="L1359" i="1" s="1"/>
  <c r="Q1359" i="1" s="1"/>
  <c r="J1358" i="1"/>
  <c r="L1358" i="1" s="1"/>
  <c r="N1357" i="1"/>
  <c r="J1357" i="1"/>
  <c r="L1357" i="1" s="1"/>
  <c r="Q1357" i="1" s="1"/>
  <c r="J1356" i="1"/>
  <c r="L1356" i="1" s="1"/>
  <c r="N1355" i="1"/>
  <c r="J1355" i="1"/>
  <c r="L1355" i="1" s="1"/>
  <c r="Q1355" i="1" s="1"/>
  <c r="J1354" i="1"/>
  <c r="L1354" i="1" s="1"/>
  <c r="J1353" i="1"/>
  <c r="L1353" i="1" s="1"/>
  <c r="P1352" i="1"/>
  <c r="J1352" i="1"/>
  <c r="L1352" i="1" s="1"/>
  <c r="O1352" i="1" s="1"/>
  <c r="P1351" i="1"/>
  <c r="J1351" i="1"/>
  <c r="L1351" i="1" s="1"/>
  <c r="O1351" i="1" s="1"/>
  <c r="J1350" i="1"/>
  <c r="L1350" i="1" s="1"/>
  <c r="J1349" i="1"/>
  <c r="L1349" i="1" s="1"/>
  <c r="P1348" i="1"/>
  <c r="J1348" i="1"/>
  <c r="L1348" i="1" s="1"/>
  <c r="O1348" i="1" s="1"/>
  <c r="J1347" i="1"/>
  <c r="L1347" i="1" s="1"/>
  <c r="J1346" i="1"/>
  <c r="L1346" i="1" s="1"/>
  <c r="P1345" i="1"/>
  <c r="J1345" i="1"/>
  <c r="L1345" i="1" s="1"/>
  <c r="O1345" i="1" s="1"/>
  <c r="P1344" i="1"/>
  <c r="J1344" i="1"/>
  <c r="L1344" i="1" s="1"/>
  <c r="O1344" i="1" s="1"/>
  <c r="P1343" i="1"/>
  <c r="J1343" i="1"/>
  <c r="L1343" i="1" s="1"/>
  <c r="O1343" i="1" s="1"/>
  <c r="P1342" i="1"/>
  <c r="J1342" i="1"/>
  <c r="L1342" i="1" s="1"/>
  <c r="O1342" i="1" s="1"/>
  <c r="N1341" i="1"/>
  <c r="J1341" i="1"/>
  <c r="L1341" i="1" s="1"/>
  <c r="Q1341" i="1" s="1"/>
  <c r="P1340" i="1"/>
  <c r="J1340" i="1"/>
  <c r="L1340" i="1" s="1"/>
  <c r="O1340" i="1" s="1"/>
  <c r="J1339" i="1"/>
  <c r="L1339" i="1" s="1"/>
  <c r="J1338" i="1"/>
  <c r="L1338" i="1" s="1"/>
  <c r="P1337" i="1"/>
  <c r="J1337" i="1"/>
  <c r="L1337" i="1" s="1"/>
  <c r="O1337" i="1" s="1"/>
  <c r="P1336" i="1"/>
  <c r="N1336" i="1"/>
  <c r="J1336" i="1"/>
  <c r="L1336" i="1" s="1"/>
  <c r="P1335" i="1"/>
  <c r="N1335" i="1"/>
  <c r="J1335" i="1"/>
  <c r="L1335" i="1" s="1"/>
  <c r="P1334" i="1"/>
  <c r="N1334" i="1"/>
  <c r="J1334" i="1"/>
  <c r="L1334" i="1" s="1"/>
  <c r="P1333" i="1"/>
  <c r="J1333" i="1"/>
  <c r="L1333" i="1" s="1"/>
  <c r="O1333" i="1" s="1"/>
  <c r="P1332" i="1"/>
  <c r="J1332" i="1"/>
  <c r="L1332" i="1" s="1"/>
  <c r="O1332" i="1" s="1"/>
  <c r="P1331" i="1"/>
  <c r="J1331" i="1"/>
  <c r="L1331" i="1" s="1"/>
  <c r="O1331" i="1" s="1"/>
  <c r="P1330" i="1"/>
  <c r="J1330" i="1"/>
  <c r="L1330" i="1" s="1"/>
  <c r="O1330" i="1" s="1"/>
  <c r="P1329" i="1"/>
  <c r="N1329" i="1"/>
  <c r="J1329" i="1"/>
  <c r="L1329" i="1" s="1"/>
  <c r="J1328" i="1"/>
  <c r="L1328" i="1" s="1"/>
  <c r="P1327" i="1"/>
  <c r="J1327" i="1"/>
  <c r="L1327" i="1" s="1"/>
  <c r="O1327" i="1" s="1"/>
  <c r="J1326" i="1"/>
  <c r="L1326" i="1" s="1"/>
  <c r="P1325" i="1"/>
  <c r="J1325" i="1"/>
  <c r="L1325" i="1" s="1"/>
  <c r="O1325" i="1" s="1"/>
  <c r="J1324" i="1"/>
  <c r="L1324" i="1" s="1"/>
  <c r="N1323" i="1"/>
  <c r="J1323" i="1"/>
  <c r="L1323" i="1" s="1"/>
  <c r="Q1323" i="1" s="1"/>
  <c r="J1322" i="1"/>
  <c r="L1322" i="1" s="1"/>
  <c r="P1321" i="1"/>
  <c r="J1321" i="1"/>
  <c r="L1321" i="1" s="1"/>
  <c r="N1320" i="1"/>
  <c r="J1320" i="1"/>
  <c r="L1320" i="1" s="1"/>
  <c r="Q1320" i="1" s="1"/>
  <c r="N1319" i="1"/>
  <c r="J1319" i="1"/>
  <c r="L1319" i="1" s="1"/>
  <c r="Q1319" i="1" s="1"/>
  <c r="J1318" i="1"/>
  <c r="L1318" i="1" s="1"/>
  <c r="P1317" i="1"/>
  <c r="J1317" i="1"/>
  <c r="L1317" i="1" s="1"/>
  <c r="P1316" i="1"/>
  <c r="J1316" i="1"/>
  <c r="L1316" i="1" s="1"/>
  <c r="J1315" i="1"/>
  <c r="L1315" i="1" s="1"/>
  <c r="J1314" i="1"/>
  <c r="L1314" i="1" s="1"/>
  <c r="J1313" i="1"/>
  <c r="L1313" i="1" s="1"/>
  <c r="J1312" i="1"/>
  <c r="L1312" i="1" s="1"/>
  <c r="P1311" i="1"/>
  <c r="J1311" i="1"/>
  <c r="L1311" i="1" s="1"/>
  <c r="O1311" i="1" s="1"/>
  <c r="J1310" i="1"/>
  <c r="L1310" i="1" s="1"/>
  <c r="J1309" i="1"/>
  <c r="L1309" i="1" s="1"/>
  <c r="J1308" i="1"/>
  <c r="L1308" i="1" s="1"/>
  <c r="P1307" i="1"/>
  <c r="J1307" i="1"/>
  <c r="L1307" i="1" s="1"/>
  <c r="O1307" i="1" s="1"/>
  <c r="P1306" i="1"/>
  <c r="J1306" i="1"/>
  <c r="L1306" i="1" s="1"/>
  <c r="J1305" i="1"/>
  <c r="L1305" i="1" s="1"/>
  <c r="P1304" i="1"/>
  <c r="J1304" i="1"/>
  <c r="L1304" i="1" s="1"/>
  <c r="O1304" i="1" s="1"/>
  <c r="L1303" i="1"/>
  <c r="L1302" i="1"/>
  <c r="P1301" i="1"/>
  <c r="J1301" i="1"/>
  <c r="L1301" i="1" s="1"/>
  <c r="O1301" i="1" s="1"/>
  <c r="N1300" i="1"/>
  <c r="J1300" i="1"/>
  <c r="L1300" i="1" s="1"/>
  <c r="Q1300" i="1" s="1"/>
  <c r="L1299" i="1"/>
  <c r="L1298" i="1"/>
  <c r="J1297" i="1"/>
  <c r="L1297" i="1" s="1"/>
  <c r="N1296" i="1"/>
  <c r="L1296" i="1"/>
  <c r="Q1296" i="1" s="1"/>
  <c r="L1295" i="1"/>
  <c r="N1294" i="1"/>
  <c r="J1294" i="1"/>
  <c r="L1294" i="1" s="1"/>
  <c r="J1293" i="1"/>
  <c r="L1293" i="1" s="1"/>
  <c r="J1292" i="1"/>
  <c r="L1292" i="1" s="1"/>
  <c r="P1291" i="1"/>
  <c r="J1291" i="1"/>
  <c r="L1291" i="1" s="1"/>
  <c r="O1291" i="1" s="1"/>
  <c r="J1290" i="1"/>
  <c r="L1290" i="1" s="1"/>
  <c r="J1289" i="1"/>
  <c r="L1289" i="1" s="1"/>
  <c r="P1288" i="1"/>
  <c r="J1288" i="1"/>
  <c r="L1288" i="1" s="1"/>
  <c r="O1288" i="1" s="1"/>
  <c r="N1287" i="1"/>
  <c r="J1287" i="1"/>
  <c r="L1287" i="1" s="1"/>
  <c r="Q1287" i="1" s="1"/>
  <c r="J1286" i="1"/>
  <c r="L1286" i="1" s="1"/>
  <c r="N1285" i="1"/>
  <c r="J1285" i="1"/>
  <c r="L1285" i="1" s="1"/>
  <c r="Q1285" i="1" s="1"/>
  <c r="N1284" i="1"/>
  <c r="J1284" i="1"/>
  <c r="L1284" i="1" s="1"/>
  <c r="Q1284" i="1" s="1"/>
  <c r="J1283" i="1"/>
  <c r="L1283" i="1" s="1"/>
  <c r="P1282" i="1"/>
  <c r="J1282" i="1"/>
  <c r="L1282" i="1" s="1"/>
  <c r="P1281" i="1"/>
  <c r="J1281" i="1"/>
  <c r="L1281" i="1" s="1"/>
  <c r="O1281" i="1" s="1"/>
  <c r="J1280" i="1"/>
  <c r="L1280" i="1" s="1"/>
  <c r="N1279" i="1"/>
  <c r="J1279" i="1"/>
  <c r="L1279" i="1" s="1"/>
  <c r="Q1279" i="1" s="1"/>
  <c r="J1278" i="1"/>
  <c r="L1278" i="1" s="1"/>
  <c r="J1277" i="1"/>
  <c r="L1277" i="1" s="1"/>
  <c r="J1276" i="1"/>
  <c r="L1276" i="1" s="1"/>
  <c r="P1275" i="1"/>
  <c r="L1275" i="1"/>
  <c r="O1275" i="1" s="1"/>
  <c r="J1274" i="1"/>
  <c r="L1274" i="1" s="1"/>
  <c r="J1273" i="1"/>
  <c r="L1273" i="1" s="1"/>
  <c r="J1272" i="1"/>
  <c r="L1272" i="1" s="1"/>
  <c r="P1271" i="1"/>
  <c r="J1271" i="1"/>
  <c r="L1271" i="1" s="1"/>
  <c r="O1271" i="1" s="1"/>
  <c r="P1270" i="1"/>
  <c r="J1270" i="1"/>
  <c r="L1270" i="1" s="1"/>
  <c r="P1269" i="1"/>
  <c r="N1269" i="1"/>
  <c r="J1269" i="1"/>
  <c r="L1269" i="1" s="1"/>
  <c r="J1268" i="1"/>
  <c r="L1268" i="1" s="1"/>
  <c r="J1267" i="1"/>
  <c r="L1267" i="1" s="1"/>
  <c r="J1266" i="1"/>
  <c r="L1266" i="1" s="1"/>
  <c r="P1265" i="1"/>
  <c r="J1265" i="1"/>
  <c r="L1265" i="1" s="1"/>
  <c r="O1265" i="1" s="1"/>
  <c r="N1264" i="1"/>
  <c r="J1264" i="1"/>
  <c r="L1264" i="1" s="1"/>
  <c r="Q1264" i="1" s="1"/>
  <c r="J1263" i="1"/>
  <c r="L1263" i="1" s="1"/>
  <c r="J1262" i="1"/>
  <c r="L1262" i="1" s="1"/>
  <c r="P1261" i="1"/>
  <c r="J1261" i="1"/>
  <c r="L1261" i="1" s="1"/>
  <c r="O1261" i="1" s="1"/>
  <c r="P1260" i="1"/>
  <c r="J1260" i="1"/>
  <c r="L1260" i="1" s="1"/>
  <c r="O1260" i="1" s="1"/>
  <c r="J1259" i="1"/>
  <c r="L1259" i="1" s="1"/>
  <c r="J1258" i="1"/>
  <c r="L1258" i="1" s="1"/>
  <c r="J1257" i="1"/>
  <c r="L1257" i="1" s="1"/>
  <c r="P1256" i="1"/>
  <c r="J1256" i="1"/>
  <c r="L1256" i="1" s="1"/>
  <c r="O1256" i="1" s="1"/>
  <c r="J1255" i="1"/>
  <c r="L1255" i="1" s="1"/>
  <c r="J1254" i="1"/>
  <c r="L1254" i="1" s="1"/>
  <c r="J1253" i="1"/>
  <c r="L1253" i="1" s="1"/>
  <c r="J1252" i="1"/>
  <c r="L1252" i="1" s="1"/>
  <c r="J1251" i="1"/>
  <c r="L1251" i="1" s="1"/>
  <c r="P1250" i="1"/>
  <c r="L1250" i="1"/>
  <c r="O1250" i="1" s="1"/>
  <c r="J1249" i="1"/>
  <c r="L1249" i="1" s="1"/>
  <c r="J1248" i="1"/>
  <c r="L1248" i="1" s="1"/>
  <c r="P1247" i="1"/>
  <c r="J1247" i="1"/>
  <c r="L1247" i="1" s="1"/>
  <c r="O1247" i="1" s="1"/>
  <c r="J1246" i="1"/>
  <c r="L1246" i="1" s="1"/>
  <c r="J1245" i="1"/>
  <c r="L1245" i="1" s="1"/>
  <c r="J1244" i="1"/>
  <c r="L1244" i="1" s="1"/>
  <c r="J1243" i="1"/>
  <c r="L1243" i="1" s="1"/>
  <c r="J1242" i="1"/>
  <c r="L1242" i="1" s="1"/>
  <c r="M1241" i="1"/>
  <c r="J1241" i="1"/>
  <c r="L1241" i="1" s="1"/>
  <c r="J1240" i="1"/>
  <c r="L1240" i="1" s="1"/>
  <c r="J1239" i="1"/>
  <c r="L1239" i="1" s="1"/>
  <c r="N1238" i="1"/>
  <c r="J1238" i="1"/>
  <c r="L1238" i="1" s="1"/>
  <c r="L1237" i="1"/>
  <c r="J1236" i="1"/>
  <c r="L1236" i="1" s="1"/>
  <c r="J1235" i="1"/>
  <c r="L1235" i="1" s="1"/>
  <c r="P1234" i="1"/>
  <c r="N1234" i="1"/>
  <c r="J1234" i="1"/>
  <c r="L1234" i="1" s="1"/>
  <c r="J1233" i="1"/>
  <c r="L1233" i="1" s="1"/>
  <c r="N1232" i="1"/>
  <c r="J1232" i="1"/>
  <c r="L1232" i="1" s="1"/>
  <c r="Q1232" i="1" s="1"/>
  <c r="J1231" i="1"/>
  <c r="L1231" i="1" s="1"/>
  <c r="J1230" i="1"/>
  <c r="L1230" i="1" s="1"/>
  <c r="J1229" i="1"/>
  <c r="L1229" i="1" s="1"/>
  <c r="J1228" i="1"/>
  <c r="L1228" i="1" s="1"/>
  <c r="J1227" i="1"/>
  <c r="L1227" i="1" s="1"/>
  <c r="N1226" i="1"/>
  <c r="J1226" i="1"/>
  <c r="L1226" i="1" s="1"/>
  <c r="Q1226" i="1" s="1"/>
  <c r="L1225" i="1"/>
  <c r="J1224" i="1"/>
  <c r="L1224" i="1" s="1"/>
  <c r="J1223" i="1"/>
  <c r="L1223" i="1" s="1"/>
  <c r="J1222" i="1"/>
  <c r="L1222" i="1" s="1"/>
  <c r="J1221" i="1"/>
  <c r="L1221" i="1" s="1"/>
  <c r="N1220" i="1"/>
  <c r="J1220" i="1"/>
  <c r="L1220" i="1" s="1"/>
  <c r="Q1220" i="1" s="1"/>
  <c r="J1219" i="1"/>
  <c r="L1219" i="1" s="1"/>
  <c r="J1218" i="1"/>
  <c r="L1218" i="1" s="1"/>
  <c r="J1217" i="1"/>
  <c r="L1217" i="1" s="1"/>
  <c r="J1216" i="1"/>
  <c r="L1216" i="1" s="1"/>
  <c r="P1215" i="1"/>
  <c r="J1215" i="1"/>
  <c r="L1215" i="1" s="1"/>
  <c r="J1214" i="1"/>
  <c r="L1214" i="1" s="1"/>
  <c r="J1213" i="1"/>
  <c r="L1213" i="1" s="1"/>
  <c r="N1212" i="1"/>
  <c r="J1212" i="1"/>
  <c r="L1212" i="1" s="1"/>
  <c r="Q1212" i="1" s="1"/>
  <c r="N1211" i="1"/>
  <c r="J1211" i="1"/>
  <c r="L1211" i="1" s="1"/>
  <c r="Q1211" i="1" s="1"/>
  <c r="J1210" i="1"/>
  <c r="L1210" i="1" s="1"/>
  <c r="J1209" i="1"/>
  <c r="L1209" i="1" s="1"/>
  <c r="L1208" i="1"/>
  <c r="J1207" i="1"/>
  <c r="L1207" i="1" s="1"/>
  <c r="N1206" i="1"/>
  <c r="J1206" i="1"/>
  <c r="L1206" i="1" s="1"/>
  <c r="N1205" i="1"/>
  <c r="J1205" i="1"/>
  <c r="L1205" i="1" s="1"/>
  <c r="Q1205" i="1" s="1"/>
  <c r="N1204" i="1"/>
  <c r="J1204" i="1"/>
  <c r="L1204" i="1" s="1"/>
  <c r="Q1204" i="1" s="1"/>
  <c r="J1203" i="1"/>
  <c r="L1203" i="1" s="1"/>
  <c r="J1202" i="1"/>
  <c r="L1202" i="1" s="1"/>
  <c r="N1201" i="1"/>
  <c r="J1201" i="1"/>
  <c r="L1201" i="1" s="1"/>
  <c r="Q1201" i="1" s="1"/>
  <c r="J1200" i="1"/>
  <c r="L1200" i="1" s="1"/>
  <c r="J1199" i="1"/>
  <c r="L1199" i="1" s="1"/>
  <c r="J1198" i="1"/>
  <c r="L1198" i="1" s="1"/>
  <c r="N1197" i="1"/>
  <c r="J1197" i="1"/>
  <c r="L1197" i="1" s="1"/>
  <c r="Q1197" i="1" s="1"/>
  <c r="J1196" i="1"/>
  <c r="L1196" i="1" s="1"/>
  <c r="J1195" i="1"/>
  <c r="L1195" i="1" s="1"/>
  <c r="J1194" i="1"/>
  <c r="L1194" i="1" s="1"/>
  <c r="J1193" i="1"/>
  <c r="L1193" i="1" s="1"/>
  <c r="J1192" i="1"/>
  <c r="L1192" i="1" s="1"/>
  <c r="J1191" i="1"/>
  <c r="L1191" i="1" s="1"/>
  <c r="J1190" i="1"/>
  <c r="L1190" i="1" s="1"/>
  <c r="N1189" i="1"/>
  <c r="J1189" i="1"/>
  <c r="L1189" i="1" s="1"/>
  <c r="J1188" i="1"/>
  <c r="L1188" i="1" s="1"/>
  <c r="J1187" i="1"/>
  <c r="L1187" i="1" s="1"/>
  <c r="J1186" i="1"/>
  <c r="L1186" i="1" s="1"/>
  <c r="J1185" i="1"/>
  <c r="L1185" i="1" s="1"/>
  <c r="J1184" i="1"/>
  <c r="L1184" i="1" s="1"/>
  <c r="P1183" i="1"/>
  <c r="J1183" i="1"/>
  <c r="L1183" i="1" s="1"/>
  <c r="M1182" i="1"/>
  <c r="J1182" i="1"/>
  <c r="L1182" i="1" s="1"/>
  <c r="J1181" i="1"/>
  <c r="L1181" i="1" s="1"/>
  <c r="J1180" i="1"/>
  <c r="L1180" i="1" s="1"/>
  <c r="M1179" i="1"/>
  <c r="J1179" i="1"/>
  <c r="L1179" i="1" s="1"/>
  <c r="J1178" i="1"/>
  <c r="L1178" i="1" s="1"/>
  <c r="M1177" i="1"/>
  <c r="J1177" i="1"/>
  <c r="L1177" i="1" s="1"/>
  <c r="J1176" i="1"/>
  <c r="L1176" i="1" s="1"/>
  <c r="J1175" i="1"/>
  <c r="L1175" i="1" s="1"/>
  <c r="L1174" i="1"/>
  <c r="J1174" i="1"/>
  <c r="J1173" i="1"/>
  <c r="L1173" i="1" s="1"/>
  <c r="J1172" i="1"/>
  <c r="L1172" i="1" s="1"/>
  <c r="J1171" i="1"/>
  <c r="L1171" i="1" s="1"/>
  <c r="P1170" i="1"/>
  <c r="J1170" i="1"/>
  <c r="L1170" i="1" s="1"/>
  <c r="O1170" i="1" s="1"/>
  <c r="P1169" i="1"/>
  <c r="J1169" i="1"/>
  <c r="L1169" i="1" s="1"/>
  <c r="O1169" i="1" s="1"/>
  <c r="J1168" i="1"/>
  <c r="L1168" i="1" s="1"/>
  <c r="J1167" i="1"/>
  <c r="L1167" i="1" s="1"/>
  <c r="L1166" i="1"/>
  <c r="J1166" i="1"/>
  <c r="J1165" i="1"/>
  <c r="L1165" i="1" s="1"/>
  <c r="J1164" i="1"/>
  <c r="L1164" i="1" s="1"/>
  <c r="P1163" i="1"/>
  <c r="J1163" i="1"/>
  <c r="L1163" i="1" s="1"/>
  <c r="O1163" i="1" s="1"/>
  <c r="P1162" i="1"/>
  <c r="J1162" i="1"/>
  <c r="L1162" i="1" s="1"/>
  <c r="O1162" i="1" s="1"/>
  <c r="P1161" i="1"/>
  <c r="J1161" i="1"/>
  <c r="L1161" i="1" s="1"/>
  <c r="J1160" i="1"/>
  <c r="L1160" i="1" s="1"/>
  <c r="P1159" i="1"/>
  <c r="J1159" i="1"/>
  <c r="L1159" i="1" s="1"/>
  <c r="O1159" i="1" s="1"/>
  <c r="J1158" i="1"/>
  <c r="L1158" i="1" s="1"/>
  <c r="J1157" i="1"/>
  <c r="L1157" i="1" s="1"/>
  <c r="P1156" i="1"/>
  <c r="J1156" i="1"/>
  <c r="L1156" i="1" s="1"/>
  <c r="O1156" i="1" s="1"/>
  <c r="P1155" i="1"/>
  <c r="J1155" i="1"/>
  <c r="L1155" i="1" s="1"/>
  <c r="O1155" i="1" s="1"/>
  <c r="J1154" i="1"/>
  <c r="L1154" i="1" s="1"/>
  <c r="P1153" i="1"/>
  <c r="J1153" i="1"/>
  <c r="L1153" i="1" s="1"/>
  <c r="O1153" i="1" s="1"/>
  <c r="J1152" i="1"/>
  <c r="L1152" i="1" s="1"/>
  <c r="P1151" i="1"/>
  <c r="J1151" i="1"/>
  <c r="L1151" i="1" s="1"/>
  <c r="J1150" i="1"/>
  <c r="L1150" i="1" s="1"/>
  <c r="J1149" i="1"/>
  <c r="L1149" i="1" s="1"/>
  <c r="J1148" i="1"/>
  <c r="L1148" i="1" s="1"/>
  <c r="J1147" i="1"/>
  <c r="L1147" i="1" s="1"/>
  <c r="P1146" i="1"/>
  <c r="J1146" i="1"/>
  <c r="L1146" i="1" s="1"/>
  <c r="O1146" i="1" s="1"/>
  <c r="J1145" i="1"/>
  <c r="L1145" i="1" s="1"/>
  <c r="J1144" i="1"/>
  <c r="L1144" i="1" s="1"/>
  <c r="J1143" i="1"/>
  <c r="L1143" i="1" s="1"/>
  <c r="J1142" i="1"/>
  <c r="L1142" i="1" s="1"/>
  <c r="J1141" i="1"/>
  <c r="L1141" i="1" s="1"/>
  <c r="J1140" i="1"/>
  <c r="L1140" i="1" s="1"/>
  <c r="J1139" i="1"/>
  <c r="L1139" i="1" s="1"/>
  <c r="J1138" i="1"/>
  <c r="L1138" i="1" s="1"/>
  <c r="M1137" i="1"/>
  <c r="J1137" i="1"/>
  <c r="L1137" i="1" s="1"/>
  <c r="J1136" i="1"/>
  <c r="L1136" i="1" s="1"/>
  <c r="J1135" i="1"/>
  <c r="L1135" i="1" s="1"/>
  <c r="J1134" i="1"/>
  <c r="L1134" i="1" s="1"/>
  <c r="P1133" i="1"/>
  <c r="N1133" i="1"/>
  <c r="J1133" i="1"/>
  <c r="L1133" i="1" s="1"/>
  <c r="O1133" i="1" s="1"/>
  <c r="J1132" i="1"/>
  <c r="L1132" i="1" s="1"/>
  <c r="J1131" i="1"/>
  <c r="L1131" i="1" s="1"/>
  <c r="J1130" i="1"/>
  <c r="L1130" i="1" s="1"/>
  <c r="L1129" i="1"/>
  <c r="J1129" i="1"/>
  <c r="J1128" i="1"/>
  <c r="L1128" i="1" s="1"/>
  <c r="J1127" i="1"/>
  <c r="L1127" i="1" s="1"/>
  <c r="J1126" i="1"/>
  <c r="L1126" i="1" s="1"/>
  <c r="J1125" i="1"/>
  <c r="L1125" i="1" s="1"/>
  <c r="J1124" i="1"/>
  <c r="L1124" i="1" s="1"/>
  <c r="J1123" i="1"/>
  <c r="L1123" i="1" s="1"/>
  <c r="J1122" i="1"/>
  <c r="L1122" i="1" s="1"/>
  <c r="J1121" i="1"/>
  <c r="L1121" i="1" s="1"/>
  <c r="J1120" i="1"/>
  <c r="L1120" i="1" s="1"/>
  <c r="J1119" i="1"/>
  <c r="L1119" i="1" s="1"/>
  <c r="J1118" i="1"/>
  <c r="L1118" i="1" s="1"/>
  <c r="L1117" i="1"/>
  <c r="J1116" i="1"/>
  <c r="L1116" i="1" s="1"/>
  <c r="J1115" i="1"/>
  <c r="L1115" i="1" s="1"/>
  <c r="L1114" i="1"/>
  <c r="J1113" i="1"/>
  <c r="L1113" i="1" s="1"/>
  <c r="P1112" i="1"/>
  <c r="J1112" i="1"/>
  <c r="L1112" i="1" s="1"/>
  <c r="P1111" i="1"/>
  <c r="J1111" i="1"/>
  <c r="L1111" i="1" s="1"/>
  <c r="O1111" i="1" s="1"/>
  <c r="P1110" i="1"/>
  <c r="J1110" i="1"/>
  <c r="L1110" i="1" s="1"/>
  <c r="O1110" i="1" s="1"/>
  <c r="P1109" i="1"/>
  <c r="J1109" i="1"/>
  <c r="L1109" i="1" s="1"/>
  <c r="O1109" i="1" s="1"/>
  <c r="P1108" i="1"/>
  <c r="L1108" i="1"/>
  <c r="O1108" i="1" s="1"/>
  <c r="J1107" i="1"/>
  <c r="L1107" i="1" s="1"/>
  <c r="P1106" i="1"/>
  <c r="J1106" i="1"/>
  <c r="L1106" i="1" s="1"/>
  <c r="O1106" i="1" s="1"/>
  <c r="J1105" i="1"/>
  <c r="L1105" i="1" s="1"/>
  <c r="P1104" i="1"/>
  <c r="J1104" i="1"/>
  <c r="L1104" i="1" s="1"/>
  <c r="O1104" i="1" s="1"/>
  <c r="P1103" i="1"/>
  <c r="L1103" i="1"/>
  <c r="O1103" i="1" s="1"/>
  <c r="P1102" i="1"/>
  <c r="L1102" i="1"/>
  <c r="O1102" i="1" s="1"/>
  <c r="P1101" i="1"/>
  <c r="L1101" i="1"/>
  <c r="O1101" i="1" s="1"/>
  <c r="P1100" i="1"/>
  <c r="L1100" i="1"/>
  <c r="O1100" i="1" s="1"/>
  <c r="P1099" i="1"/>
  <c r="J1099" i="1"/>
  <c r="L1099" i="1" s="1"/>
  <c r="P1098" i="1"/>
  <c r="L1098" i="1"/>
  <c r="O1098" i="1" s="1"/>
  <c r="J1097" i="1"/>
  <c r="L1097" i="1" s="1"/>
  <c r="J1096" i="1"/>
  <c r="L1096" i="1" s="1"/>
  <c r="J1095" i="1"/>
  <c r="L1095" i="1" s="1"/>
  <c r="J1094" i="1"/>
  <c r="L1094" i="1" s="1"/>
  <c r="L1093" i="1"/>
  <c r="P1092" i="1"/>
  <c r="J1092" i="1"/>
  <c r="L1092" i="1" s="1"/>
  <c r="J1091" i="1"/>
  <c r="L1091" i="1" s="1"/>
  <c r="J1090" i="1"/>
  <c r="L1090" i="1" s="1"/>
  <c r="J1089" i="1"/>
  <c r="L1089" i="1" s="1"/>
  <c r="P1088" i="1"/>
  <c r="J1088" i="1"/>
  <c r="L1088" i="1" s="1"/>
  <c r="J1087" i="1"/>
  <c r="L1087" i="1" s="1"/>
  <c r="J1086" i="1"/>
  <c r="L1086" i="1" s="1"/>
  <c r="J1085" i="1"/>
  <c r="L1085" i="1" s="1"/>
  <c r="J1084" i="1"/>
  <c r="L1084" i="1" s="1"/>
  <c r="J1083" i="1"/>
  <c r="L1083" i="1" s="1"/>
  <c r="J1082" i="1"/>
  <c r="L1082" i="1" s="1"/>
  <c r="M1081" i="1"/>
  <c r="J1081" i="1"/>
  <c r="L1081" i="1" s="1"/>
  <c r="M1080" i="1"/>
  <c r="J1080" i="1"/>
  <c r="L1080" i="1" s="1"/>
  <c r="J1079" i="1"/>
  <c r="L1079" i="1" s="1"/>
  <c r="L1078" i="1"/>
  <c r="P1077" i="1"/>
  <c r="J1077" i="1"/>
  <c r="L1077" i="1" s="1"/>
  <c r="P1076" i="1"/>
  <c r="J1076" i="1"/>
  <c r="L1076" i="1" s="1"/>
  <c r="O1076" i="1" s="1"/>
  <c r="J1075" i="1"/>
  <c r="L1075" i="1" s="1"/>
  <c r="J1074" i="1"/>
  <c r="L1074" i="1" s="1"/>
  <c r="J1073" i="1"/>
  <c r="L1073" i="1" s="1"/>
  <c r="J1072" i="1"/>
  <c r="L1072" i="1" s="1"/>
  <c r="J1071" i="1"/>
  <c r="L1071" i="1" s="1"/>
  <c r="J1070" i="1"/>
  <c r="L1070" i="1" s="1"/>
  <c r="L1069" i="1"/>
  <c r="J1068" i="1"/>
  <c r="L1068" i="1" s="1"/>
  <c r="J1067" i="1"/>
  <c r="L1067" i="1" s="1"/>
  <c r="J1066" i="1"/>
  <c r="L1066" i="1" s="1"/>
  <c r="J1065" i="1"/>
  <c r="L1065" i="1" s="1"/>
  <c r="J1064" i="1"/>
  <c r="L1064" i="1" s="1"/>
  <c r="J1063" i="1"/>
  <c r="L1063" i="1" s="1"/>
  <c r="J1062" i="1"/>
  <c r="L1062" i="1" s="1"/>
  <c r="J1061" i="1"/>
  <c r="L1061" i="1" s="1"/>
  <c r="P1060" i="1"/>
  <c r="J1060" i="1"/>
  <c r="L1060" i="1" s="1"/>
  <c r="O1060" i="1" s="1"/>
  <c r="J1059" i="1"/>
  <c r="L1059" i="1" s="1"/>
  <c r="J1058" i="1"/>
  <c r="L1058" i="1" s="1"/>
  <c r="J1057" i="1"/>
  <c r="L1057" i="1" s="1"/>
  <c r="J1056" i="1"/>
  <c r="L1056" i="1" s="1"/>
  <c r="J1055" i="1"/>
  <c r="L1055" i="1" s="1"/>
  <c r="P1054" i="1"/>
  <c r="J1054" i="1"/>
  <c r="L1054" i="1" s="1"/>
  <c r="O1054" i="1" s="1"/>
  <c r="J1053" i="1"/>
  <c r="L1053" i="1" s="1"/>
  <c r="J1052" i="1"/>
  <c r="L1052" i="1" s="1"/>
  <c r="J1051" i="1"/>
  <c r="L1051" i="1" s="1"/>
  <c r="J1050" i="1"/>
  <c r="L1050" i="1" s="1"/>
  <c r="J1049" i="1"/>
  <c r="L1049" i="1" s="1"/>
  <c r="J1048" i="1"/>
  <c r="L1048" i="1" s="1"/>
  <c r="J1047" i="1"/>
  <c r="L1047" i="1" s="1"/>
  <c r="P1046" i="1"/>
  <c r="J1046" i="1"/>
  <c r="L1046" i="1" s="1"/>
  <c r="O1046" i="1" s="1"/>
  <c r="P1045" i="1"/>
  <c r="L1045" i="1"/>
  <c r="O1045" i="1" s="1"/>
  <c r="P1044" i="1"/>
  <c r="J1044" i="1"/>
  <c r="L1044" i="1" s="1"/>
  <c r="O1044" i="1" s="1"/>
  <c r="P1043" i="1"/>
  <c r="J1043" i="1"/>
  <c r="L1043" i="1" s="1"/>
  <c r="O1043" i="1" s="1"/>
  <c r="J1042" i="1"/>
  <c r="L1042" i="1" s="1"/>
  <c r="J1041" i="1"/>
  <c r="L1041" i="1" s="1"/>
  <c r="J1040" i="1"/>
  <c r="L1040" i="1" s="1"/>
  <c r="J1039" i="1"/>
  <c r="L1039" i="1" s="1"/>
  <c r="J1038" i="1"/>
  <c r="L1038" i="1" s="1"/>
  <c r="J1037" i="1"/>
  <c r="L1037" i="1" s="1"/>
  <c r="J1036" i="1"/>
  <c r="L1036" i="1" s="1"/>
  <c r="J1035" i="1"/>
  <c r="L1035" i="1" s="1"/>
  <c r="J1034" i="1"/>
  <c r="L1034" i="1" s="1"/>
  <c r="J1033" i="1"/>
  <c r="L1033" i="1" s="1"/>
  <c r="J1032" i="1"/>
  <c r="L1032" i="1" s="1"/>
  <c r="L1031" i="1"/>
  <c r="J1030" i="1"/>
  <c r="L1030" i="1" s="1"/>
  <c r="J1029" i="1"/>
  <c r="L1029" i="1" s="1"/>
  <c r="N1028" i="1"/>
  <c r="J1028" i="1"/>
  <c r="L1028" i="1" s="1"/>
  <c r="Q1028" i="1" s="1"/>
  <c r="K1027" i="1"/>
  <c r="J1027" i="1"/>
  <c r="N1026" i="1"/>
  <c r="J1026" i="1"/>
  <c r="L1026" i="1" s="1"/>
  <c r="Q1026" i="1" s="1"/>
  <c r="K1025" i="1"/>
  <c r="J1025" i="1"/>
  <c r="L1024" i="1"/>
  <c r="L1023" i="1"/>
  <c r="L1022" i="1"/>
  <c r="J1021" i="1"/>
  <c r="L1021" i="1" s="1"/>
  <c r="J1020" i="1"/>
  <c r="L1020" i="1" s="1"/>
  <c r="N1019" i="1"/>
  <c r="J1019" i="1"/>
  <c r="L1019" i="1" s="1"/>
  <c r="Q1019" i="1" s="1"/>
  <c r="J1018" i="1"/>
  <c r="L1018" i="1" s="1"/>
  <c r="J1017" i="1"/>
  <c r="L1017" i="1" s="1"/>
  <c r="J1016" i="1"/>
  <c r="L1016" i="1" s="1"/>
  <c r="J1015" i="1"/>
  <c r="L1015" i="1" s="1"/>
  <c r="M1014" i="1"/>
  <c r="J1014" i="1"/>
  <c r="L1014" i="1" s="1"/>
  <c r="N1013" i="1"/>
  <c r="J1013" i="1"/>
  <c r="L1013" i="1" s="1"/>
  <c r="Q1013" i="1" s="1"/>
  <c r="N1012" i="1"/>
  <c r="J1012" i="1"/>
  <c r="L1012" i="1" s="1"/>
  <c r="Q1012" i="1" s="1"/>
  <c r="J1011" i="1"/>
  <c r="L1011" i="1" s="1"/>
  <c r="J1010" i="1"/>
  <c r="L1010" i="1" s="1"/>
  <c r="J1009" i="1"/>
  <c r="L1009" i="1" s="1"/>
  <c r="J1008" i="1"/>
  <c r="L1008" i="1" s="1"/>
  <c r="J1007" i="1"/>
  <c r="L1007" i="1" s="1"/>
  <c r="P1006" i="1"/>
  <c r="Q1006" i="1" s="1"/>
  <c r="O1006" i="1"/>
  <c r="J1006" i="1"/>
  <c r="L1005" i="1"/>
  <c r="J1004" i="1"/>
  <c r="L1004" i="1" s="1"/>
  <c r="J1003" i="1"/>
  <c r="L1003" i="1" s="1"/>
  <c r="J1002" i="1"/>
  <c r="L1002" i="1" s="1"/>
  <c r="N1001" i="1"/>
  <c r="J1001" i="1"/>
  <c r="L1001" i="1" s="1"/>
  <c r="Q1001" i="1" s="1"/>
  <c r="J1000" i="1"/>
  <c r="L1000" i="1" s="1"/>
  <c r="N999" i="1"/>
  <c r="J999" i="1"/>
  <c r="L999" i="1" s="1"/>
  <c r="Q999" i="1" s="1"/>
  <c r="J998" i="1"/>
  <c r="L998" i="1" s="1"/>
  <c r="J997" i="1"/>
  <c r="L997" i="1" s="1"/>
  <c r="J996" i="1"/>
  <c r="L996" i="1" s="1"/>
  <c r="J995" i="1"/>
  <c r="L995" i="1" s="1"/>
  <c r="J994" i="1"/>
  <c r="L994" i="1" s="1"/>
  <c r="P993" i="1"/>
  <c r="N993" i="1"/>
  <c r="J993" i="1"/>
  <c r="L993" i="1" s="1"/>
  <c r="J992" i="1"/>
  <c r="L992" i="1" s="1"/>
  <c r="P991" i="1"/>
  <c r="N991" i="1"/>
  <c r="J991" i="1"/>
  <c r="L991" i="1" s="1"/>
  <c r="J990" i="1"/>
  <c r="L990" i="1" s="1"/>
  <c r="J989" i="1"/>
  <c r="L989" i="1" s="1"/>
  <c r="J988" i="1"/>
  <c r="L988" i="1" s="1"/>
  <c r="J987" i="1"/>
  <c r="L987" i="1" s="1"/>
  <c r="P986" i="1"/>
  <c r="N986" i="1"/>
  <c r="J986" i="1"/>
  <c r="L986" i="1" s="1"/>
  <c r="P985" i="1"/>
  <c r="J985" i="1"/>
  <c r="L985" i="1" s="1"/>
  <c r="O985" i="1" s="1"/>
  <c r="P984" i="1"/>
  <c r="J984" i="1"/>
  <c r="L984" i="1" s="1"/>
  <c r="O984" i="1" s="1"/>
  <c r="P983" i="1"/>
  <c r="N983" i="1"/>
  <c r="J983" i="1"/>
  <c r="L983" i="1" s="1"/>
  <c r="P982" i="1"/>
  <c r="M982" i="1"/>
  <c r="L982" i="1"/>
  <c r="O982" i="1" s="1"/>
  <c r="J981" i="1"/>
  <c r="L981" i="1" s="1"/>
  <c r="M980" i="1"/>
  <c r="J980" i="1"/>
  <c r="L980" i="1" s="1"/>
  <c r="J979" i="1"/>
  <c r="L979" i="1" s="1"/>
  <c r="J978" i="1"/>
  <c r="L978" i="1" s="1"/>
  <c r="J977" i="1"/>
  <c r="L977" i="1" s="1"/>
  <c r="J976" i="1"/>
  <c r="L976" i="1" s="1"/>
  <c r="P975" i="1"/>
  <c r="J975" i="1"/>
  <c r="L975" i="1" s="1"/>
  <c r="O975" i="1" s="1"/>
  <c r="J974" i="1"/>
  <c r="L974" i="1" s="1"/>
  <c r="O974" i="1" s="1"/>
  <c r="R974" i="1" s="1"/>
  <c r="P973" i="1"/>
  <c r="L973" i="1"/>
  <c r="O973" i="1" s="1"/>
  <c r="J972" i="1"/>
  <c r="L972" i="1" s="1"/>
  <c r="J971" i="1"/>
  <c r="L971" i="1" s="1"/>
  <c r="J970" i="1"/>
  <c r="L970" i="1" s="1"/>
  <c r="O970" i="1" s="1"/>
  <c r="R970" i="1" s="1"/>
  <c r="P969" i="1"/>
  <c r="M969" i="1"/>
  <c r="J969" i="1"/>
  <c r="L969" i="1" s="1"/>
  <c r="O969" i="1" s="1"/>
  <c r="J968" i="1"/>
  <c r="L968" i="1" s="1"/>
  <c r="J967" i="1"/>
  <c r="L967" i="1" s="1"/>
  <c r="L966" i="1"/>
  <c r="L965" i="1"/>
  <c r="N964" i="1"/>
  <c r="J964" i="1"/>
  <c r="L964" i="1" s="1"/>
  <c r="Q964" i="1" s="1"/>
  <c r="J963" i="1"/>
  <c r="L963" i="1" s="1"/>
  <c r="J962" i="1"/>
  <c r="L962" i="1" s="1"/>
  <c r="M961" i="1"/>
  <c r="J961" i="1"/>
  <c r="L961" i="1" s="1"/>
  <c r="L960" i="1"/>
  <c r="J959" i="1"/>
  <c r="L959" i="1" s="1"/>
  <c r="J958" i="1"/>
  <c r="L958" i="1" s="1"/>
  <c r="J957" i="1"/>
  <c r="L957" i="1" s="1"/>
  <c r="J956" i="1"/>
  <c r="L956" i="1" s="1"/>
  <c r="J955" i="1"/>
  <c r="L955" i="1" s="1"/>
  <c r="J954" i="1"/>
  <c r="L954" i="1" s="1"/>
  <c r="P953" i="1"/>
  <c r="J953" i="1"/>
  <c r="L953" i="1" s="1"/>
  <c r="O953" i="1" s="1"/>
  <c r="P952" i="1"/>
  <c r="J952" i="1"/>
  <c r="L952" i="1" s="1"/>
  <c r="O952" i="1" s="1"/>
  <c r="J951" i="1"/>
  <c r="L951" i="1" s="1"/>
  <c r="J950" i="1"/>
  <c r="L950" i="1" s="1"/>
  <c r="J949" i="1"/>
  <c r="L949" i="1" s="1"/>
  <c r="P948" i="1"/>
  <c r="N948" i="1"/>
  <c r="J948" i="1"/>
  <c r="L948" i="1" s="1"/>
  <c r="J947" i="1"/>
  <c r="L947" i="1" s="1"/>
  <c r="J946" i="1"/>
  <c r="L946" i="1" s="1"/>
  <c r="J945" i="1"/>
  <c r="L945" i="1" s="1"/>
  <c r="J944" i="1"/>
  <c r="L944" i="1" s="1"/>
  <c r="J943" i="1"/>
  <c r="L943" i="1" s="1"/>
  <c r="J942" i="1"/>
  <c r="L942" i="1" s="1"/>
  <c r="J941" i="1"/>
  <c r="L941" i="1" s="1"/>
  <c r="J940" i="1"/>
  <c r="L940" i="1" s="1"/>
  <c r="J939" i="1"/>
  <c r="L939" i="1" s="1"/>
  <c r="J938" i="1"/>
  <c r="L938" i="1" s="1"/>
  <c r="N937" i="1"/>
  <c r="J937" i="1"/>
  <c r="L937" i="1" s="1"/>
  <c r="Q937" i="1" s="1"/>
  <c r="J936" i="1"/>
  <c r="L936" i="1" s="1"/>
  <c r="J935" i="1"/>
  <c r="L935" i="1" s="1"/>
  <c r="J934" i="1"/>
  <c r="L934" i="1" s="1"/>
  <c r="J933" i="1"/>
  <c r="L933" i="1" s="1"/>
  <c r="M932" i="1"/>
  <c r="J932" i="1"/>
  <c r="L932" i="1" s="1"/>
  <c r="M931" i="1"/>
  <c r="J931" i="1"/>
  <c r="L931" i="1" s="1"/>
  <c r="J930" i="1"/>
  <c r="L930" i="1" s="1"/>
  <c r="P929" i="1"/>
  <c r="J929" i="1"/>
  <c r="L929" i="1" s="1"/>
  <c r="O929" i="1" s="1"/>
  <c r="J928" i="1"/>
  <c r="L928" i="1" s="1"/>
  <c r="P927" i="1"/>
  <c r="N927" i="1"/>
  <c r="J927" i="1"/>
  <c r="L927" i="1" s="1"/>
  <c r="M926" i="1"/>
  <c r="J926" i="1"/>
  <c r="L926" i="1" s="1"/>
  <c r="J925" i="1"/>
  <c r="L925" i="1" s="1"/>
  <c r="J924" i="1"/>
  <c r="L924" i="1" s="1"/>
  <c r="J923" i="1"/>
  <c r="L923" i="1" s="1"/>
  <c r="J922" i="1"/>
  <c r="L922" i="1" s="1"/>
  <c r="J921" i="1"/>
  <c r="L921" i="1" s="1"/>
  <c r="J920" i="1"/>
  <c r="L920" i="1" s="1"/>
  <c r="J919" i="1"/>
  <c r="L919" i="1" s="1"/>
  <c r="J918" i="1"/>
  <c r="L918" i="1" s="1"/>
  <c r="J917" i="1"/>
  <c r="L917" i="1" s="1"/>
  <c r="P916" i="1"/>
  <c r="J916" i="1"/>
  <c r="L916" i="1" s="1"/>
  <c r="O916" i="1" s="1"/>
  <c r="J915" i="1"/>
  <c r="L915" i="1" s="1"/>
  <c r="J914" i="1"/>
  <c r="L914" i="1" s="1"/>
  <c r="J913" i="1"/>
  <c r="L913" i="1" s="1"/>
  <c r="J912" i="1"/>
  <c r="L912" i="1" s="1"/>
  <c r="J911" i="1"/>
  <c r="L911" i="1" s="1"/>
  <c r="M910" i="1"/>
  <c r="J910" i="1"/>
  <c r="L910" i="1" s="1"/>
  <c r="J909" i="1"/>
  <c r="L909" i="1" s="1"/>
  <c r="J908" i="1"/>
  <c r="L908" i="1" s="1"/>
  <c r="J907" i="1"/>
  <c r="L907" i="1" s="1"/>
  <c r="J906" i="1"/>
  <c r="L906" i="1" s="1"/>
  <c r="J905" i="1"/>
  <c r="L905" i="1" s="1"/>
  <c r="J904" i="1"/>
  <c r="L904" i="1" s="1"/>
  <c r="J903" i="1"/>
  <c r="L903" i="1" s="1"/>
  <c r="O903" i="1" s="1"/>
  <c r="R903" i="1" s="1"/>
  <c r="J902" i="1"/>
  <c r="L902" i="1" s="1"/>
  <c r="O902" i="1" s="1"/>
  <c r="R902" i="1" s="1"/>
  <c r="J901" i="1"/>
  <c r="L901" i="1" s="1"/>
  <c r="M900" i="1"/>
  <c r="J900" i="1"/>
  <c r="L900" i="1" s="1"/>
  <c r="J899" i="1"/>
  <c r="L899" i="1" s="1"/>
  <c r="P898" i="1"/>
  <c r="J898" i="1"/>
  <c r="L898" i="1" s="1"/>
  <c r="O898" i="1" s="1"/>
  <c r="J897" i="1"/>
  <c r="L897" i="1" s="1"/>
  <c r="J896" i="1"/>
  <c r="L896" i="1" s="1"/>
  <c r="J895" i="1"/>
  <c r="L895" i="1" s="1"/>
  <c r="J894" i="1"/>
  <c r="L894" i="1" s="1"/>
  <c r="J893" i="1"/>
  <c r="L893" i="1" s="1"/>
  <c r="O893" i="1" s="1"/>
  <c r="R893" i="1" s="1"/>
  <c r="P892" i="1"/>
  <c r="M892" i="1"/>
  <c r="J892" i="1"/>
  <c r="L892" i="1" s="1"/>
  <c r="O892" i="1" s="1"/>
  <c r="P891" i="1"/>
  <c r="M891" i="1"/>
  <c r="J891" i="1"/>
  <c r="L891" i="1" s="1"/>
  <c r="M890" i="1"/>
  <c r="J890" i="1"/>
  <c r="L890" i="1" s="1"/>
  <c r="J889" i="1"/>
  <c r="L889" i="1" s="1"/>
  <c r="J888" i="1"/>
  <c r="L888" i="1" s="1"/>
  <c r="N887" i="1"/>
  <c r="M887" i="1"/>
  <c r="J887" i="1"/>
  <c r="L887" i="1" s="1"/>
  <c r="Q887" i="1" s="1"/>
  <c r="J886" i="1"/>
  <c r="L886" i="1" s="1"/>
  <c r="J885" i="1"/>
  <c r="L885" i="1" s="1"/>
  <c r="J884" i="1"/>
  <c r="L884" i="1" s="1"/>
  <c r="J883" i="1"/>
  <c r="L883" i="1" s="1"/>
  <c r="M882" i="1"/>
  <c r="J882" i="1"/>
  <c r="L882" i="1" s="1"/>
  <c r="M881" i="1"/>
  <c r="J881" i="1"/>
  <c r="L881" i="1" s="1"/>
  <c r="J880" i="1"/>
  <c r="L880" i="1" s="1"/>
  <c r="N879" i="1"/>
  <c r="J879" i="1"/>
  <c r="L879" i="1" s="1"/>
  <c r="Q879" i="1" s="1"/>
  <c r="J878" i="1"/>
  <c r="L878" i="1" s="1"/>
  <c r="J877" i="1"/>
  <c r="L877" i="1" s="1"/>
  <c r="N876" i="1"/>
  <c r="J876" i="1"/>
  <c r="L876" i="1" s="1"/>
  <c r="Q876" i="1" s="1"/>
  <c r="J875" i="1"/>
  <c r="L875" i="1" s="1"/>
  <c r="J874" i="1"/>
  <c r="L874" i="1" s="1"/>
  <c r="P873" i="1"/>
  <c r="J873" i="1"/>
  <c r="L873" i="1" s="1"/>
  <c r="O873" i="1" s="1"/>
  <c r="J872" i="1"/>
  <c r="L872" i="1" s="1"/>
  <c r="M871" i="1"/>
  <c r="J871" i="1"/>
  <c r="L871" i="1" s="1"/>
  <c r="N870" i="1"/>
  <c r="J870" i="1"/>
  <c r="L870" i="1" s="1"/>
  <c r="Q870" i="1" s="1"/>
  <c r="J869" i="1"/>
  <c r="L869" i="1" s="1"/>
  <c r="J868" i="1"/>
  <c r="L868" i="1" s="1"/>
  <c r="J867" i="1"/>
  <c r="L867" i="1" s="1"/>
  <c r="J866" i="1"/>
  <c r="L866" i="1" s="1"/>
  <c r="L865" i="1"/>
  <c r="L864" i="1"/>
  <c r="N863" i="1"/>
  <c r="M863" i="1"/>
  <c r="J863" i="1"/>
  <c r="L863" i="1" s="1"/>
  <c r="N862" i="1"/>
  <c r="J862" i="1"/>
  <c r="L862" i="1" s="1"/>
  <c r="Q862" i="1" s="1"/>
  <c r="M861" i="1"/>
  <c r="J861" i="1"/>
  <c r="L861" i="1" s="1"/>
  <c r="J860" i="1"/>
  <c r="L860" i="1" s="1"/>
  <c r="J859" i="1"/>
  <c r="L859" i="1" s="1"/>
  <c r="J858" i="1"/>
  <c r="L858" i="1" s="1"/>
  <c r="J857" i="1"/>
  <c r="L857" i="1" s="1"/>
  <c r="J856" i="1"/>
  <c r="L856" i="1" s="1"/>
  <c r="J855" i="1"/>
  <c r="L855" i="1" s="1"/>
  <c r="L854" i="1"/>
  <c r="L853" i="1"/>
  <c r="J852" i="1"/>
  <c r="L852" i="1" s="1"/>
  <c r="J851" i="1"/>
  <c r="L851" i="1" s="1"/>
  <c r="J850" i="1"/>
  <c r="L850" i="1" s="1"/>
  <c r="J849" i="1"/>
  <c r="L849" i="1" s="1"/>
  <c r="J848" i="1"/>
  <c r="L848" i="1" s="1"/>
  <c r="M847" i="1"/>
  <c r="J847" i="1"/>
  <c r="L847" i="1" s="1"/>
  <c r="M846" i="1"/>
  <c r="J846" i="1"/>
  <c r="L846" i="1" s="1"/>
  <c r="M845" i="1"/>
  <c r="J845" i="1"/>
  <c r="L845" i="1" s="1"/>
  <c r="P844" i="1"/>
  <c r="J844" i="1"/>
  <c r="L844" i="1" s="1"/>
  <c r="J843" i="1"/>
  <c r="L843" i="1" s="1"/>
  <c r="J842" i="1"/>
  <c r="L842" i="1" s="1"/>
  <c r="J841" i="1"/>
  <c r="L841" i="1" s="1"/>
  <c r="M840" i="1"/>
  <c r="J840" i="1"/>
  <c r="L840" i="1" s="1"/>
  <c r="M839" i="1"/>
  <c r="J839" i="1"/>
  <c r="L839" i="1" s="1"/>
  <c r="N838" i="1"/>
  <c r="J838" i="1"/>
  <c r="L838" i="1" s="1"/>
  <c r="J837" i="1"/>
  <c r="L837" i="1" s="1"/>
  <c r="J836" i="1"/>
  <c r="L836" i="1" s="1"/>
  <c r="J835" i="1"/>
  <c r="L835" i="1" s="1"/>
  <c r="N834" i="1"/>
  <c r="J834" i="1"/>
  <c r="L834" i="1" s="1"/>
  <c r="Q834" i="1" s="1"/>
  <c r="M833" i="1"/>
  <c r="J833" i="1"/>
  <c r="L833" i="1" s="1"/>
  <c r="N832" i="1"/>
  <c r="J832" i="1"/>
  <c r="L832" i="1" s="1"/>
  <c r="Q832" i="1" s="1"/>
  <c r="J831" i="1"/>
  <c r="L831" i="1" s="1"/>
  <c r="M830" i="1"/>
  <c r="J830" i="1"/>
  <c r="L830" i="1" s="1"/>
  <c r="J829" i="1"/>
  <c r="L829" i="1" s="1"/>
  <c r="P828" i="1"/>
  <c r="J828" i="1"/>
  <c r="L828" i="1" s="1"/>
  <c r="O828" i="1" s="1"/>
  <c r="P827" i="1"/>
  <c r="J827" i="1"/>
  <c r="L827" i="1" s="1"/>
  <c r="O827" i="1" s="1"/>
  <c r="P826" i="1"/>
  <c r="M826" i="1"/>
  <c r="J826" i="1"/>
  <c r="L826" i="1" s="1"/>
  <c r="J825" i="1"/>
  <c r="L825" i="1" s="1"/>
  <c r="J824" i="1"/>
  <c r="L824" i="1" s="1"/>
  <c r="M823" i="1"/>
  <c r="J823" i="1"/>
  <c r="L823" i="1" s="1"/>
  <c r="N822" i="1"/>
  <c r="J822" i="1"/>
  <c r="L822" i="1" s="1"/>
  <c r="J821" i="1"/>
  <c r="L821" i="1" s="1"/>
  <c r="J820" i="1"/>
  <c r="L820" i="1" s="1"/>
  <c r="P819" i="1"/>
  <c r="J819" i="1"/>
  <c r="L819" i="1" s="1"/>
  <c r="O819" i="1" s="1"/>
  <c r="J818" i="1"/>
  <c r="L818" i="1" s="1"/>
  <c r="J817" i="1"/>
  <c r="L817" i="1" s="1"/>
  <c r="J816" i="1"/>
  <c r="L816" i="1" s="1"/>
  <c r="J815" i="1"/>
  <c r="L815" i="1" s="1"/>
  <c r="J814" i="1"/>
  <c r="L814" i="1" s="1"/>
  <c r="N813" i="1"/>
  <c r="J813" i="1"/>
  <c r="L813" i="1" s="1"/>
  <c r="Q813" i="1" s="1"/>
  <c r="J812" i="1"/>
  <c r="L812" i="1" s="1"/>
  <c r="J811" i="1"/>
  <c r="L811" i="1" s="1"/>
  <c r="L810" i="1"/>
  <c r="J810" i="1"/>
  <c r="J809" i="1"/>
  <c r="L809" i="1" s="1"/>
  <c r="J808" i="1"/>
  <c r="L808" i="1" s="1"/>
  <c r="J807" i="1"/>
  <c r="L807" i="1" s="1"/>
  <c r="J806" i="1"/>
  <c r="L806" i="1" s="1"/>
  <c r="J805" i="1"/>
  <c r="L805" i="1" s="1"/>
  <c r="J804" i="1"/>
  <c r="L804" i="1" s="1"/>
  <c r="J803" i="1"/>
  <c r="L803" i="1" s="1"/>
  <c r="J802" i="1"/>
  <c r="L802" i="1" s="1"/>
  <c r="J801" i="1"/>
  <c r="L801" i="1" s="1"/>
  <c r="J800" i="1"/>
  <c r="L800" i="1" s="1"/>
  <c r="J799" i="1"/>
  <c r="L799" i="1" s="1"/>
  <c r="P798" i="1"/>
  <c r="M798" i="1"/>
  <c r="J798" i="1"/>
  <c r="L798" i="1" s="1"/>
  <c r="O798" i="1" s="1"/>
  <c r="J797" i="1"/>
  <c r="L797" i="1" s="1"/>
  <c r="J796" i="1"/>
  <c r="L796" i="1" s="1"/>
  <c r="L795" i="1"/>
  <c r="O795" i="1" s="1"/>
  <c r="R795" i="1" s="1"/>
  <c r="J794" i="1"/>
  <c r="L794" i="1" s="1"/>
  <c r="L793" i="1"/>
  <c r="O793" i="1" s="1"/>
  <c r="R793" i="1" s="1"/>
  <c r="J792" i="1"/>
  <c r="L792" i="1" s="1"/>
  <c r="L791" i="1"/>
  <c r="P790" i="1"/>
  <c r="J790" i="1"/>
  <c r="L790" i="1" s="1"/>
  <c r="O790" i="1" s="1"/>
  <c r="J789" i="1"/>
  <c r="L789" i="1" s="1"/>
  <c r="N788" i="1"/>
  <c r="J788" i="1"/>
  <c r="L788" i="1" s="1"/>
  <c r="Q788" i="1" s="1"/>
  <c r="J787" i="1"/>
  <c r="L787" i="1" s="1"/>
  <c r="N786" i="1"/>
  <c r="L786" i="1"/>
  <c r="Q786" i="1" s="1"/>
  <c r="P785" i="1"/>
  <c r="J785" i="1"/>
  <c r="L785" i="1" s="1"/>
  <c r="O785" i="1" s="1"/>
  <c r="L784" i="1"/>
  <c r="M783" i="1"/>
  <c r="J783" i="1"/>
  <c r="L783" i="1" s="1"/>
  <c r="L782" i="1"/>
  <c r="P781" i="1"/>
  <c r="J781" i="1"/>
  <c r="L781" i="1" s="1"/>
  <c r="O781" i="1" s="1"/>
  <c r="J780" i="1"/>
  <c r="L780" i="1" s="1"/>
  <c r="J779" i="1"/>
  <c r="L779" i="1" s="1"/>
  <c r="J778" i="1"/>
  <c r="L778" i="1" s="1"/>
  <c r="P777" i="1"/>
  <c r="J777" i="1"/>
  <c r="L777" i="1" s="1"/>
  <c r="J776" i="1"/>
  <c r="L776" i="1" s="1"/>
  <c r="J775" i="1"/>
  <c r="L775" i="1" s="1"/>
  <c r="J774" i="1"/>
  <c r="L774" i="1" s="1"/>
  <c r="J773" i="1"/>
  <c r="L773" i="1" s="1"/>
  <c r="J772" i="1"/>
  <c r="L772" i="1" s="1"/>
  <c r="J771" i="1"/>
  <c r="L771" i="1" s="1"/>
  <c r="J770" i="1"/>
  <c r="L770" i="1" s="1"/>
  <c r="J769" i="1"/>
  <c r="L769" i="1" s="1"/>
  <c r="J768" i="1"/>
  <c r="L768" i="1" s="1"/>
  <c r="N767" i="1"/>
  <c r="J767" i="1"/>
  <c r="L767" i="1" s="1"/>
  <c r="M766" i="1"/>
  <c r="J766" i="1"/>
  <c r="L766" i="1" s="1"/>
  <c r="M765" i="1"/>
  <c r="J765" i="1"/>
  <c r="L765" i="1" s="1"/>
  <c r="J764" i="1"/>
  <c r="L764" i="1" s="1"/>
  <c r="J763" i="1"/>
  <c r="L763" i="1" s="1"/>
  <c r="J762" i="1"/>
  <c r="L762" i="1" s="1"/>
  <c r="M761" i="1"/>
  <c r="J761" i="1"/>
  <c r="L761" i="1" s="1"/>
  <c r="J760" i="1"/>
  <c r="L760" i="1" s="1"/>
  <c r="J759" i="1"/>
  <c r="L759" i="1" s="1"/>
  <c r="J758" i="1"/>
  <c r="L758" i="1" s="1"/>
  <c r="J757" i="1"/>
  <c r="L757" i="1" s="1"/>
  <c r="N756" i="1"/>
  <c r="J756" i="1"/>
  <c r="L756" i="1" s="1"/>
  <c r="J755" i="1"/>
  <c r="L755" i="1" s="1"/>
  <c r="L754" i="1"/>
  <c r="L753" i="1"/>
  <c r="P752" i="1"/>
  <c r="J752" i="1"/>
  <c r="L752" i="1" s="1"/>
  <c r="O752" i="1" s="1"/>
  <c r="P751" i="1"/>
  <c r="J751" i="1"/>
  <c r="L751" i="1" s="1"/>
  <c r="L750" i="1"/>
  <c r="O750" i="1" s="1"/>
  <c r="R750" i="1" s="1"/>
  <c r="P749" i="1"/>
  <c r="J749" i="1"/>
  <c r="L749" i="1" s="1"/>
  <c r="O749" i="1" s="1"/>
  <c r="P748" i="1"/>
  <c r="J748" i="1"/>
  <c r="L748" i="1" s="1"/>
  <c r="O748" i="1" s="1"/>
  <c r="J747" i="1"/>
  <c r="L747" i="1" s="1"/>
  <c r="J746" i="1"/>
  <c r="L746" i="1" s="1"/>
  <c r="J745" i="1"/>
  <c r="L745" i="1" s="1"/>
  <c r="J744" i="1"/>
  <c r="L744" i="1" s="1"/>
  <c r="M743" i="1"/>
  <c r="J743" i="1"/>
  <c r="L743" i="1" s="1"/>
  <c r="J742" i="1"/>
  <c r="L742" i="1" s="1"/>
  <c r="L741" i="1"/>
  <c r="J740" i="1"/>
  <c r="L740" i="1" s="1"/>
  <c r="J739" i="1"/>
  <c r="L739" i="1" s="1"/>
  <c r="N738" i="1"/>
  <c r="J738" i="1"/>
  <c r="L738" i="1" s="1"/>
  <c r="Q738" i="1" s="1"/>
  <c r="P737" i="1"/>
  <c r="N737" i="1"/>
  <c r="J737" i="1"/>
  <c r="L737" i="1" s="1"/>
  <c r="P736" i="1"/>
  <c r="J736" i="1"/>
  <c r="L736" i="1" s="1"/>
  <c r="O736" i="1" s="1"/>
  <c r="J735" i="1"/>
  <c r="L735" i="1" s="1"/>
  <c r="P734" i="1"/>
  <c r="M734" i="1"/>
  <c r="J734" i="1"/>
  <c r="L734" i="1" s="1"/>
  <c r="O734" i="1" s="1"/>
  <c r="J733" i="1"/>
  <c r="L733" i="1" s="1"/>
  <c r="J732" i="1"/>
  <c r="L732" i="1" s="1"/>
  <c r="J731" i="1"/>
  <c r="L731" i="1" s="1"/>
  <c r="K730" i="1"/>
  <c r="J730" i="1"/>
  <c r="K729" i="1"/>
  <c r="J729" i="1"/>
  <c r="J728" i="1"/>
  <c r="L728" i="1" s="1"/>
  <c r="P727" i="1"/>
  <c r="N727" i="1"/>
  <c r="L727" i="1"/>
  <c r="J726" i="1"/>
  <c r="L726" i="1" s="1"/>
  <c r="J725" i="1"/>
  <c r="L725" i="1" s="1"/>
  <c r="J724" i="1"/>
  <c r="L724" i="1" s="1"/>
  <c r="J723" i="1"/>
  <c r="L723" i="1" s="1"/>
  <c r="J722" i="1"/>
  <c r="L722" i="1" s="1"/>
  <c r="J721" i="1"/>
  <c r="L721" i="1" s="1"/>
  <c r="J720" i="1"/>
  <c r="L720" i="1" s="1"/>
  <c r="J719" i="1"/>
  <c r="L719" i="1" s="1"/>
  <c r="J718" i="1"/>
  <c r="L718" i="1" s="1"/>
  <c r="J717" i="1"/>
  <c r="L717" i="1" s="1"/>
  <c r="J716" i="1"/>
  <c r="L716" i="1" s="1"/>
  <c r="P715" i="1"/>
  <c r="J715" i="1"/>
  <c r="L715" i="1" s="1"/>
  <c r="M714" i="1"/>
  <c r="J714" i="1"/>
  <c r="L714" i="1" s="1"/>
  <c r="M713" i="1"/>
  <c r="J713" i="1"/>
  <c r="L713" i="1" s="1"/>
  <c r="J712" i="1"/>
  <c r="L712" i="1" s="1"/>
  <c r="J711" i="1"/>
  <c r="L711" i="1" s="1"/>
  <c r="J710" i="1"/>
  <c r="L710" i="1" s="1"/>
  <c r="J709" i="1"/>
  <c r="L709" i="1" s="1"/>
  <c r="J708" i="1"/>
  <c r="L708" i="1" s="1"/>
  <c r="L707" i="1"/>
  <c r="J706" i="1"/>
  <c r="L706" i="1" s="1"/>
  <c r="P705" i="1"/>
  <c r="L705" i="1"/>
  <c r="O705" i="1" s="1"/>
  <c r="J704" i="1"/>
  <c r="L704" i="1" s="1"/>
  <c r="J703" i="1"/>
  <c r="L703" i="1" s="1"/>
  <c r="J702" i="1"/>
  <c r="L702" i="1" s="1"/>
  <c r="J701" i="1"/>
  <c r="L701" i="1" s="1"/>
  <c r="J700" i="1"/>
  <c r="L700" i="1" s="1"/>
  <c r="P699" i="1"/>
  <c r="N699" i="1"/>
  <c r="J699" i="1"/>
  <c r="L699" i="1" s="1"/>
  <c r="J698" i="1"/>
  <c r="L698" i="1" s="1"/>
  <c r="J697" i="1"/>
  <c r="L697" i="1" s="1"/>
  <c r="M696" i="1"/>
  <c r="J696" i="1"/>
  <c r="L696" i="1" s="1"/>
  <c r="J695" i="1"/>
  <c r="L695" i="1" s="1"/>
  <c r="J694" i="1"/>
  <c r="L694" i="1" s="1"/>
  <c r="N693" i="1"/>
  <c r="J693" i="1"/>
  <c r="L693" i="1" s="1"/>
  <c r="Q693" i="1" s="1"/>
  <c r="N692" i="1"/>
  <c r="J692" i="1"/>
  <c r="L692" i="1" s="1"/>
  <c r="Q692" i="1" s="1"/>
  <c r="N691" i="1"/>
  <c r="J691" i="1"/>
  <c r="L691" i="1" s="1"/>
  <c r="Q691" i="1" s="1"/>
  <c r="M690" i="1"/>
  <c r="J690" i="1"/>
  <c r="L690" i="1" s="1"/>
  <c r="L689" i="1"/>
  <c r="J688" i="1"/>
  <c r="L688" i="1" s="1"/>
  <c r="J687" i="1"/>
  <c r="L687" i="1" s="1"/>
  <c r="M686" i="1"/>
  <c r="J686" i="1"/>
  <c r="L686" i="1" s="1"/>
  <c r="N685" i="1"/>
  <c r="J685" i="1"/>
  <c r="L685" i="1" s="1"/>
  <c r="Q685" i="1" s="1"/>
  <c r="J684" i="1"/>
  <c r="L684" i="1" s="1"/>
  <c r="P683" i="1"/>
  <c r="K683" i="1"/>
  <c r="J683" i="1"/>
  <c r="P682" i="1"/>
  <c r="L682" i="1"/>
  <c r="O682" i="1" s="1"/>
  <c r="J682" i="1"/>
  <c r="J681" i="1"/>
  <c r="L681" i="1" s="1"/>
  <c r="J680" i="1"/>
  <c r="L680" i="1" s="1"/>
  <c r="J679" i="1"/>
  <c r="L679" i="1" s="1"/>
  <c r="J678" i="1"/>
  <c r="L678" i="1" s="1"/>
  <c r="J677" i="1"/>
  <c r="L677" i="1" s="1"/>
  <c r="J676" i="1"/>
  <c r="L676" i="1" s="1"/>
  <c r="M675" i="1"/>
  <c r="J675" i="1"/>
  <c r="L675" i="1" s="1"/>
  <c r="J674" i="1"/>
  <c r="L674" i="1" s="1"/>
  <c r="J673" i="1"/>
  <c r="L673" i="1" s="1"/>
  <c r="J672" i="1"/>
  <c r="L672" i="1" s="1"/>
  <c r="P671" i="1"/>
  <c r="J671" i="1"/>
  <c r="L671" i="1" s="1"/>
  <c r="O671" i="1" s="1"/>
  <c r="J670" i="1"/>
  <c r="L670" i="1" s="1"/>
  <c r="N669" i="1"/>
  <c r="J669" i="1"/>
  <c r="L669" i="1" s="1"/>
  <c r="Q669" i="1" s="1"/>
  <c r="J668" i="1"/>
  <c r="L668" i="1" s="1"/>
  <c r="P667" i="1"/>
  <c r="J667" i="1"/>
  <c r="L667" i="1" s="1"/>
  <c r="O667" i="1" s="1"/>
  <c r="M666" i="1"/>
  <c r="J666" i="1"/>
  <c r="L666" i="1" s="1"/>
  <c r="N665" i="1"/>
  <c r="K665" i="1"/>
  <c r="L665" i="1" s="1"/>
  <c r="Q665" i="1" s="1"/>
  <c r="J665" i="1"/>
  <c r="N664" i="1"/>
  <c r="J664" i="1"/>
  <c r="L664" i="1" s="1"/>
  <c r="Q664" i="1" s="1"/>
  <c r="J663" i="1"/>
  <c r="L663" i="1" s="1"/>
  <c r="J662" i="1"/>
  <c r="L662" i="1" s="1"/>
  <c r="N661" i="1"/>
  <c r="J661" i="1"/>
  <c r="L661" i="1" s="1"/>
  <c r="J660" i="1"/>
  <c r="L660" i="1" s="1"/>
  <c r="J659" i="1"/>
  <c r="L659" i="1" s="1"/>
  <c r="J658" i="1"/>
  <c r="L658" i="1" s="1"/>
  <c r="J657" i="1"/>
  <c r="L657" i="1" s="1"/>
  <c r="N656" i="1"/>
  <c r="J656" i="1"/>
  <c r="L656" i="1" s="1"/>
  <c r="Q656" i="1" s="1"/>
  <c r="P655" i="1"/>
  <c r="J655" i="1"/>
  <c r="L655" i="1" s="1"/>
  <c r="J654" i="1"/>
  <c r="L654" i="1" s="1"/>
  <c r="J653" i="1"/>
  <c r="L653" i="1" s="1"/>
  <c r="P652" i="1"/>
  <c r="Q652" i="1" s="1"/>
  <c r="L652" i="1"/>
  <c r="O652" i="1" s="1"/>
  <c r="J651" i="1"/>
  <c r="L651" i="1" s="1"/>
  <c r="O651" i="1" s="1"/>
  <c r="R651" i="1" s="1"/>
  <c r="J650" i="1"/>
  <c r="L650" i="1" s="1"/>
  <c r="J649" i="1"/>
  <c r="L649" i="1" s="1"/>
  <c r="J648" i="1"/>
  <c r="L648" i="1" s="1"/>
  <c r="J647" i="1"/>
  <c r="L647" i="1" s="1"/>
  <c r="J646" i="1"/>
  <c r="L646" i="1" s="1"/>
  <c r="J645" i="1"/>
  <c r="L645" i="1" s="1"/>
  <c r="J644" i="1"/>
  <c r="L644" i="1" s="1"/>
  <c r="J643" i="1"/>
  <c r="L643" i="1" s="1"/>
  <c r="P642" i="1"/>
  <c r="J642" i="1"/>
  <c r="L642" i="1" s="1"/>
  <c r="O642" i="1" s="1"/>
  <c r="J641" i="1"/>
  <c r="L641" i="1" s="1"/>
  <c r="J640" i="1"/>
  <c r="L640" i="1" s="1"/>
  <c r="J639" i="1"/>
  <c r="L639" i="1" s="1"/>
  <c r="J638" i="1"/>
  <c r="L638" i="1" s="1"/>
  <c r="M637" i="1"/>
  <c r="J637" i="1"/>
  <c r="L637" i="1" s="1"/>
  <c r="J636" i="1"/>
  <c r="L636" i="1" s="1"/>
  <c r="J635" i="1"/>
  <c r="L635" i="1" s="1"/>
  <c r="J634" i="1"/>
  <c r="L634" i="1" s="1"/>
  <c r="J633" i="1"/>
  <c r="L633" i="1" s="1"/>
  <c r="N632" i="1"/>
  <c r="J632" i="1"/>
  <c r="L632" i="1" s="1"/>
  <c r="Q632" i="1" s="1"/>
  <c r="N631" i="1"/>
  <c r="J631" i="1"/>
  <c r="L631" i="1" s="1"/>
  <c r="P630" i="1"/>
  <c r="M630" i="1"/>
  <c r="J630" i="1"/>
  <c r="L630" i="1" s="1"/>
  <c r="P629" i="1"/>
  <c r="J629" i="1"/>
  <c r="L629" i="1" s="1"/>
  <c r="O629" i="1" s="1"/>
  <c r="J628" i="1"/>
  <c r="L628" i="1" s="1"/>
  <c r="J627" i="1"/>
  <c r="L627" i="1" s="1"/>
  <c r="J626" i="1"/>
  <c r="L626" i="1" s="1"/>
  <c r="J625" i="1"/>
  <c r="L625" i="1" s="1"/>
  <c r="J624" i="1"/>
  <c r="L624" i="1" s="1"/>
  <c r="J623" i="1"/>
  <c r="L623" i="1" s="1"/>
  <c r="L622" i="1"/>
  <c r="N621" i="1"/>
  <c r="J621" i="1"/>
  <c r="L621" i="1" s="1"/>
  <c r="Q621" i="1" s="1"/>
  <c r="M620" i="1"/>
  <c r="J620" i="1"/>
  <c r="L620" i="1" s="1"/>
  <c r="J619" i="1"/>
  <c r="L619" i="1" s="1"/>
  <c r="J618" i="1"/>
  <c r="L618" i="1" s="1"/>
  <c r="J617" i="1"/>
  <c r="L617" i="1" s="1"/>
  <c r="P616" i="1"/>
  <c r="J616" i="1"/>
  <c r="L616" i="1" s="1"/>
  <c r="O616" i="1" s="1"/>
  <c r="J615" i="1"/>
  <c r="L615" i="1" s="1"/>
  <c r="J614" i="1"/>
  <c r="L614" i="1" s="1"/>
  <c r="J613" i="1"/>
  <c r="L613" i="1" s="1"/>
  <c r="J612" i="1"/>
  <c r="L612" i="1" s="1"/>
  <c r="J611" i="1"/>
  <c r="L611" i="1" s="1"/>
  <c r="M610" i="1"/>
  <c r="J610" i="1"/>
  <c r="L610" i="1" s="1"/>
  <c r="J609" i="1"/>
  <c r="L609" i="1" s="1"/>
  <c r="J608" i="1"/>
  <c r="L608" i="1" s="1"/>
  <c r="N607" i="1"/>
  <c r="J607" i="1"/>
  <c r="L607" i="1" s="1"/>
  <c r="Q607" i="1" s="1"/>
  <c r="J606" i="1"/>
  <c r="L606" i="1" s="1"/>
  <c r="N605" i="1"/>
  <c r="J605" i="1"/>
  <c r="L605" i="1" s="1"/>
  <c r="Q605" i="1" s="1"/>
  <c r="N604" i="1"/>
  <c r="J604" i="1"/>
  <c r="L604" i="1" s="1"/>
  <c r="Q604" i="1" s="1"/>
  <c r="P603" i="1"/>
  <c r="J603" i="1"/>
  <c r="L603" i="1" s="1"/>
  <c r="O603" i="1" s="1"/>
  <c r="J602" i="1"/>
  <c r="L602" i="1" s="1"/>
  <c r="P601" i="1"/>
  <c r="J601" i="1"/>
  <c r="L601" i="1" s="1"/>
  <c r="O601" i="1" s="1"/>
  <c r="J600" i="1"/>
  <c r="L600" i="1" s="1"/>
  <c r="J599" i="1"/>
  <c r="L599" i="1" s="1"/>
  <c r="P598" i="1"/>
  <c r="J598" i="1"/>
  <c r="L598" i="1" s="1"/>
  <c r="O598" i="1" s="1"/>
  <c r="J597" i="1"/>
  <c r="L597" i="1" s="1"/>
  <c r="P596" i="1"/>
  <c r="J596" i="1"/>
  <c r="L596" i="1" s="1"/>
  <c r="O596" i="1" s="1"/>
  <c r="J595" i="1"/>
  <c r="L595" i="1" s="1"/>
  <c r="P594" i="1"/>
  <c r="L594" i="1"/>
  <c r="O594" i="1" s="1"/>
  <c r="P593" i="1"/>
  <c r="M593" i="1"/>
  <c r="J593" i="1"/>
  <c r="L593" i="1" s="1"/>
  <c r="O593" i="1" s="1"/>
  <c r="N592" i="1"/>
  <c r="J592" i="1"/>
  <c r="L592" i="1" s="1"/>
  <c r="Q592" i="1" s="1"/>
  <c r="J591" i="1"/>
  <c r="L591" i="1" s="1"/>
  <c r="P590" i="1"/>
  <c r="J590" i="1"/>
  <c r="L590" i="1" s="1"/>
  <c r="O590" i="1" s="1"/>
  <c r="N589" i="1"/>
  <c r="J589" i="1"/>
  <c r="L589" i="1" s="1"/>
  <c r="Q589" i="1" s="1"/>
  <c r="J588" i="1"/>
  <c r="L588" i="1" s="1"/>
  <c r="J587" i="1"/>
  <c r="L587" i="1" s="1"/>
  <c r="N586" i="1"/>
  <c r="K586" i="1"/>
  <c r="J586" i="1"/>
  <c r="J585" i="1"/>
  <c r="L585" i="1" s="1"/>
  <c r="J584" i="1"/>
  <c r="L584" i="1" s="1"/>
  <c r="J583" i="1"/>
  <c r="L583" i="1" s="1"/>
  <c r="J582" i="1"/>
  <c r="L582" i="1" s="1"/>
  <c r="J581" i="1"/>
  <c r="L581" i="1" s="1"/>
  <c r="J580" i="1"/>
  <c r="L580" i="1" s="1"/>
  <c r="J579" i="1"/>
  <c r="L579" i="1" s="1"/>
  <c r="J578" i="1"/>
  <c r="L578" i="1" s="1"/>
  <c r="J577" i="1"/>
  <c r="L577" i="1" s="1"/>
  <c r="P576" i="1"/>
  <c r="J576" i="1"/>
  <c r="L576" i="1" s="1"/>
  <c r="O576" i="1" s="1"/>
  <c r="R576" i="1" s="1"/>
  <c r="P575" i="1"/>
  <c r="J575" i="1"/>
  <c r="L575" i="1" s="1"/>
  <c r="O575" i="1" s="1"/>
  <c r="R575" i="1" s="1"/>
  <c r="M574" i="1"/>
  <c r="J574" i="1"/>
  <c r="L574" i="1" s="1"/>
  <c r="P573" i="1"/>
  <c r="M573" i="1"/>
  <c r="J573" i="1"/>
  <c r="L573" i="1" s="1"/>
  <c r="O573" i="1" s="1"/>
  <c r="P572" i="1"/>
  <c r="N572" i="1"/>
  <c r="J572" i="1"/>
  <c r="L572" i="1" s="1"/>
  <c r="J571" i="1"/>
  <c r="L571" i="1" s="1"/>
  <c r="J570" i="1"/>
  <c r="L570" i="1" s="1"/>
  <c r="N569" i="1"/>
  <c r="J569" i="1"/>
  <c r="L569" i="1" s="1"/>
  <c r="Q569" i="1" s="1"/>
  <c r="J568" i="1"/>
  <c r="L568" i="1" s="1"/>
  <c r="J567" i="1"/>
  <c r="L567" i="1" s="1"/>
  <c r="N566" i="1"/>
  <c r="J566" i="1"/>
  <c r="L566" i="1" s="1"/>
  <c r="Q566" i="1" s="1"/>
  <c r="N565" i="1"/>
  <c r="J565" i="1"/>
  <c r="L565" i="1" s="1"/>
  <c r="Q565" i="1" s="1"/>
  <c r="J564" i="1"/>
  <c r="L564" i="1" s="1"/>
  <c r="P563" i="1"/>
  <c r="J563" i="1"/>
  <c r="L563" i="1" s="1"/>
  <c r="O563" i="1" s="1"/>
  <c r="L562" i="1"/>
  <c r="J561" i="1"/>
  <c r="L561" i="1" s="1"/>
  <c r="J560" i="1"/>
  <c r="L560" i="1" s="1"/>
  <c r="J559" i="1"/>
  <c r="L559" i="1" s="1"/>
  <c r="J558" i="1"/>
  <c r="L558" i="1" s="1"/>
  <c r="J557" i="1"/>
  <c r="L557" i="1" s="1"/>
  <c r="J556" i="1"/>
  <c r="L556" i="1" s="1"/>
  <c r="J555" i="1"/>
  <c r="L555" i="1" s="1"/>
  <c r="J554" i="1"/>
  <c r="L554" i="1" s="1"/>
  <c r="J553" i="1"/>
  <c r="L553" i="1" s="1"/>
  <c r="J552" i="1"/>
  <c r="L552" i="1" s="1"/>
  <c r="J551" i="1"/>
  <c r="L551" i="1" s="1"/>
  <c r="P550" i="1"/>
  <c r="N550" i="1"/>
  <c r="J550" i="1"/>
  <c r="L550" i="1" s="1"/>
  <c r="J549" i="1"/>
  <c r="L549" i="1" s="1"/>
  <c r="J548" i="1"/>
  <c r="L548" i="1" s="1"/>
  <c r="J547" i="1"/>
  <c r="L547" i="1" s="1"/>
  <c r="J546" i="1"/>
  <c r="L546" i="1" s="1"/>
  <c r="J545" i="1"/>
  <c r="L545" i="1" s="1"/>
  <c r="J544" i="1"/>
  <c r="L544" i="1" s="1"/>
  <c r="J543" i="1"/>
  <c r="L543" i="1" s="1"/>
  <c r="J542" i="1"/>
  <c r="L542" i="1" s="1"/>
  <c r="P541" i="1"/>
  <c r="J541" i="1"/>
  <c r="L541" i="1" s="1"/>
  <c r="O541" i="1" s="1"/>
  <c r="N540" i="1"/>
  <c r="J540" i="1"/>
  <c r="L540" i="1" s="1"/>
  <c r="Q540" i="1" s="1"/>
  <c r="J539" i="1"/>
  <c r="L539" i="1" s="1"/>
  <c r="J538" i="1"/>
  <c r="L538" i="1" s="1"/>
  <c r="J537" i="1"/>
  <c r="L537" i="1" s="1"/>
  <c r="J536" i="1"/>
  <c r="L536" i="1" s="1"/>
  <c r="J535" i="1"/>
  <c r="L535" i="1" s="1"/>
  <c r="J534" i="1"/>
  <c r="L534" i="1" s="1"/>
  <c r="K533" i="1"/>
  <c r="J533" i="1"/>
  <c r="J532" i="1"/>
  <c r="L532" i="1" s="1"/>
  <c r="P531" i="1"/>
  <c r="J531" i="1"/>
  <c r="L531" i="1" s="1"/>
  <c r="O531" i="1" s="1"/>
  <c r="P530" i="1"/>
  <c r="J530" i="1"/>
  <c r="L530" i="1" s="1"/>
  <c r="O530" i="1" s="1"/>
  <c r="J529" i="1"/>
  <c r="L529" i="1" s="1"/>
  <c r="J528" i="1"/>
  <c r="L528" i="1" s="1"/>
  <c r="J527" i="1"/>
  <c r="L527" i="1" s="1"/>
  <c r="J526" i="1"/>
  <c r="L526" i="1" s="1"/>
  <c r="P525" i="1"/>
  <c r="J525" i="1"/>
  <c r="L525" i="1" s="1"/>
  <c r="O525" i="1" s="1"/>
  <c r="J524" i="1"/>
  <c r="L524" i="1" s="1"/>
  <c r="J523" i="1"/>
  <c r="L523" i="1" s="1"/>
  <c r="J522" i="1"/>
  <c r="L522" i="1" s="1"/>
  <c r="J521" i="1"/>
  <c r="L521" i="1" s="1"/>
  <c r="J520" i="1"/>
  <c r="L520" i="1" s="1"/>
  <c r="J519" i="1"/>
  <c r="L519" i="1" s="1"/>
  <c r="L518" i="1"/>
  <c r="M517" i="1"/>
  <c r="J517" i="1"/>
  <c r="L517" i="1" s="1"/>
  <c r="P516" i="1"/>
  <c r="L516" i="1"/>
  <c r="O516" i="1" s="1"/>
  <c r="P515" i="1"/>
  <c r="J515" i="1"/>
  <c r="L515" i="1" s="1"/>
  <c r="O515" i="1" s="1"/>
  <c r="J514" i="1"/>
  <c r="L514" i="1" s="1"/>
  <c r="M513" i="1"/>
  <c r="J513" i="1"/>
  <c r="L513" i="1" s="1"/>
  <c r="J512" i="1"/>
  <c r="L512" i="1" s="1"/>
  <c r="J511" i="1"/>
  <c r="L511" i="1" s="1"/>
  <c r="J510" i="1"/>
  <c r="L510" i="1" s="1"/>
  <c r="J509" i="1"/>
  <c r="L509" i="1" s="1"/>
  <c r="J508" i="1"/>
  <c r="L508" i="1" s="1"/>
  <c r="J507" i="1"/>
  <c r="L507" i="1" s="1"/>
  <c r="P506" i="1"/>
  <c r="J506" i="1"/>
  <c r="L506" i="1" s="1"/>
  <c r="O506" i="1" s="1"/>
  <c r="J505" i="1"/>
  <c r="L505" i="1" s="1"/>
  <c r="J504" i="1"/>
  <c r="L504" i="1" s="1"/>
  <c r="J503" i="1"/>
  <c r="L503" i="1" s="1"/>
  <c r="J502" i="1"/>
  <c r="L502" i="1" s="1"/>
  <c r="P501" i="1"/>
  <c r="M501" i="1"/>
  <c r="J501" i="1"/>
  <c r="L501" i="1" s="1"/>
  <c r="J500" i="1"/>
  <c r="L500" i="1" s="1"/>
  <c r="N499" i="1"/>
  <c r="J499" i="1"/>
  <c r="L499" i="1" s="1"/>
  <c r="Q499" i="1" s="1"/>
  <c r="M498" i="1"/>
  <c r="J498" i="1"/>
  <c r="L498" i="1" s="1"/>
  <c r="J497" i="1"/>
  <c r="L497" i="1" s="1"/>
  <c r="J496" i="1"/>
  <c r="L496" i="1" s="1"/>
  <c r="J495" i="1"/>
  <c r="L495" i="1" s="1"/>
  <c r="J494" i="1"/>
  <c r="L494" i="1" s="1"/>
  <c r="M493" i="1"/>
  <c r="J493" i="1"/>
  <c r="L493" i="1" s="1"/>
  <c r="N492" i="1"/>
  <c r="J492" i="1"/>
  <c r="L492" i="1" s="1"/>
  <c r="Q492" i="1" s="1"/>
  <c r="J491" i="1"/>
  <c r="L491" i="1" s="1"/>
  <c r="J490" i="1"/>
  <c r="L490" i="1" s="1"/>
  <c r="J489" i="1"/>
  <c r="L489" i="1" s="1"/>
  <c r="J488" i="1"/>
  <c r="L488" i="1" s="1"/>
  <c r="J487" i="1"/>
  <c r="L487" i="1" s="1"/>
  <c r="J486" i="1"/>
  <c r="L486" i="1" s="1"/>
  <c r="J485" i="1"/>
  <c r="L485" i="1" s="1"/>
  <c r="N484" i="1"/>
  <c r="J484" i="1"/>
  <c r="L484" i="1" s="1"/>
  <c r="Q484" i="1" s="1"/>
  <c r="J483" i="1"/>
  <c r="L483" i="1" s="1"/>
  <c r="J482" i="1"/>
  <c r="L482" i="1" s="1"/>
  <c r="N481" i="1"/>
  <c r="J481" i="1"/>
  <c r="L481" i="1" s="1"/>
  <c r="Q481" i="1" s="1"/>
  <c r="J480" i="1"/>
  <c r="L480" i="1" s="1"/>
  <c r="J479" i="1"/>
  <c r="L479" i="1" s="1"/>
  <c r="J478" i="1"/>
  <c r="L478" i="1" s="1"/>
  <c r="J477" i="1"/>
  <c r="L477" i="1" s="1"/>
  <c r="M476" i="1"/>
  <c r="J476" i="1"/>
  <c r="L476" i="1" s="1"/>
  <c r="J475" i="1"/>
  <c r="L475" i="1" s="1"/>
  <c r="J474" i="1"/>
  <c r="L474" i="1" s="1"/>
  <c r="P473" i="1"/>
  <c r="J473" i="1"/>
  <c r="L473" i="1" s="1"/>
  <c r="O473" i="1" s="1"/>
  <c r="N472" i="1"/>
  <c r="J472" i="1"/>
  <c r="L472" i="1" s="1"/>
  <c r="Q472" i="1" s="1"/>
  <c r="J471" i="1"/>
  <c r="L471" i="1" s="1"/>
  <c r="J470" i="1"/>
  <c r="L470" i="1" s="1"/>
  <c r="J469" i="1"/>
  <c r="L469" i="1" s="1"/>
  <c r="J468" i="1"/>
  <c r="L468" i="1" s="1"/>
  <c r="J467" i="1"/>
  <c r="L467" i="1" s="1"/>
  <c r="J466" i="1"/>
  <c r="L466" i="1" s="1"/>
  <c r="P465" i="1"/>
  <c r="J465" i="1"/>
  <c r="L465" i="1" s="1"/>
  <c r="O465" i="1" s="1"/>
  <c r="N464" i="1"/>
  <c r="L464" i="1"/>
  <c r="Q464" i="1" s="1"/>
  <c r="N463" i="1"/>
  <c r="J463" i="1"/>
  <c r="L463" i="1" s="1"/>
  <c r="Q463" i="1" s="1"/>
  <c r="P462" i="1"/>
  <c r="J462" i="1"/>
  <c r="L462" i="1" s="1"/>
  <c r="O462" i="1" s="1"/>
  <c r="J461" i="1"/>
  <c r="L461" i="1" s="1"/>
  <c r="J460" i="1"/>
  <c r="L460" i="1" s="1"/>
  <c r="J459" i="1"/>
  <c r="L459" i="1" s="1"/>
  <c r="N458" i="1"/>
  <c r="J458" i="1"/>
  <c r="L458" i="1" s="1"/>
  <c r="Q458" i="1" s="1"/>
  <c r="J457" i="1"/>
  <c r="L457" i="1" s="1"/>
  <c r="J456" i="1"/>
  <c r="L456" i="1" s="1"/>
  <c r="M455" i="1"/>
  <c r="J455" i="1"/>
  <c r="L455" i="1" s="1"/>
  <c r="M454" i="1"/>
  <c r="J454" i="1"/>
  <c r="L454" i="1" s="1"/>
  <c r="N453" i="1"/>
  <c r="L453" i="1"/>
  <c r="Q453" i="1" s="1"/>
  <c r="J452" i="1"/>
  <c r="L452" i="1" s="1"/>
  <c r="L451" i="1"/>
  <c r="L450" i="1"/>
  <c r="L449" i="1"/>
  <c r="J448" i="1"/>
  <c r="L448" i="1" s="1"/>
  <c r="N447" i="1"/>
  <c r="L447" i="1"/>
  <c r="Q447" i="1" s="1"/>
  <c r="N446" i="1"/>
  <c r="L446" i="1"/>
  <c r="Q446" i="1" s="1"/>
  <c r="N445" i="1"/>
  <c r="L445" i="1"/>
  <c r="Q445" i="1" s="1"/>
  <c r="J444" i="1"/>
  <c r="L444" i="1" s="1"/>
  <c r="J443" i="1"/>
  <c r="L443" i="1" s="1"/>
  <c r="P442" i="1"/>
  <c r="L442" i="1"/>
  <c r="O442" i="1" s="1"/>
  <c r="J441" i="1"/>
  <c r="L441" i="1" s="1"/>
  <c r="J440" i="1"/>
  <c r="L440" i="1" s="1"/>
  <c r="N439" i="1"/>
  <c r="J439" i="1"/>
  <c r="L439" i="1" s="1"/>
  <c r="Q439" i="1" s="1"/>
  <c r="J438" i="1"/>
  <c r="L438" i="1" s="1"/>
  <c r="P437" i="1"/>
  <c r="J437" i="1"/>
  <c r="L437" i="1" s="1"/>
  <c r="O437" i="1" s="1"/>
  <c r="J436" i="1"/>
  <c r="L436" i="1" s="1"/>
  <c r="J435" i="1"/>
  <c r="L435" i="1" s="1"/>
  <c r="J434" i="1"/>
  <c r="L434" i="1" s="1"/>
  <c r="P433" i="1"/>
  <c r="J433" i="1"/>
  <c r="L433" i="1" s="1"/>
  <c r="O433" i="1" s="1"/>
  <c r="J432" i="1"/>
  <c r="L432" i="1" s="1"/>
  <c r="J431" i="1"/>
  <c r="L431" i="1" s="1"/>
  <c r="J430" i="1"/>
  <c r="L430" i="1" s="1"/>
  <c r="J429" i="1"/>
  <c r="L429" i="1" s="1"/>
  <c r="J428" i="1"/>
  <c r="L428" i="1" s="1"/>
  <c r="J427" i="1"/>
  <c r="L427" i="1" s="1"/>
  <c r="J426" i="1"/>
  <c r="L426" i="1" s="1"/>
  <c r="J425" i="1"/>
  <c r="L425" i="1" s="1"/>
  <c r="J424" i="1"/>
  <c r="L424" i="1" s="1"/>
  <c r="J423" i="1"/>
  <c r="L423" i="1" s="1"/>
  <c r="J422" i="1"/>
  <c r="L422" i="1" s="1"/>
  <c r="J421" i="1"/>
  <c r="L421" i="1" s="1"/>
  <c r="J420" i="1"/>
  <c r="L420" i="1" s="1"/>
  <c r="J419" i="1"/>
  <c r="L419" i="1" s="1"/>
  <c r="P418" i="1"/>
  <c r="J418" i="1"/>
  <c r="L418" i="1" s="1"/>
  <c r="O418" i="1" s="1"/>
  <c r="J417" i="1"/>
  <c r="L417" i="1" s="1"/>
  <c r="J416" i="1"/>
  <c r="L416" i="1" s="1"/>
  <c r="J415" i="1"/>
  <c r="L415" i="1" s="1"/>
  <c r="J414" i="1"/>
  <c r="L414" i="1" s="1"/>
  <c r="J413" i="1"/>
  <c r="L413" i="1" s="1"/>
  <c r="J412" i="1"/>
  <c r="L412" i="1" s="1"/>
  <c r="J411" i="1"/>
  <c r="L411" i="1" s="1"/>
  <c r="J410" i="1"/>
  <c r="L410" i="1" s="1"/>
  <c r="N409" i="1"/>
  <c r="J409" i="1"/>
  <c r="L409" i="1" s="1"/>
  <c r="Q409" i="1" s="1"/>
  <c r="J408" i="1"/>
  <c r="L408" i="1" s="1"/>
  <c r="J407" i="1"/>
  <c r="L407" i="1" s="1"/>
  <c r="N406" i="1"/>
  <c r="J406" i="1"/>
  <c r="L406" i="1" s="1"/>
  <c r="Q406" i="1" s="1"/>
  <c r="J405" i="1"/>
  <c r="L405" i="1" s="1"/>
  <c r="J404" i="1"/>
  <c r="L404" i="1" s="1"/>
  <c r="J403" i="1"/>
  <c r="L403" i="1" s="1"/>
  <c r="P402" i="1"/>
  <c r="J402" i="1"/>
  <c r="L402" i="1" s="1"/>
  <c r="O402" i="1" s="1"/>
  <c r="J401" i="1"/>
  <c r="L401" i="1" s="1"/>
  <c r="L400" i="1"/>
  <c r="J399" i="1"/>
  <c r="L399" i="1" s="1"/>
  <c r="J398" i="1"/>
  <c r="L398" i="1" s="1"/>
  <c r="J397" i="1"/>
  <c r="L397" i="1" s="1"/>
  <c r="J396" i="1"/>
  <c r="L396" i="1" s="1"/>
  <c r="J395" i="1"/>
  <c r="L395" i="1" s="1"/>
  <c r="J394" i="1"/>
  <c r="L394" i="1" s="1"/>
  <c r="J393" i="1"/>
  <c r="L393" i="1" s="1"/>
  <c r="J392" i="1"/>
  <c r="L392" i="1" s="1"/>
  <c r="P391" i="1"/>
  <c r="J391" i="1"/>
  <c r="L391" i="1" s="1"/>
  <c r="O391" i="1" s="1"/>
  <c r="P390" i="1"/>
  <c r="J390" i="1"/>
  <c r="L390" i="1" s="1"/>
  <c r="O390" i="1" s="1"/>
  <c r="J389" i="1"/>
  <c r="L389" i="1" s="1"/>
  <c r="J388" i="1"/>
  <c r="L388" i="1" s="1"/>
  <c r="J387" i="1"/>
  <c r="L387" i="1" s="1"/>
  <c r="N386" i="1"/>
  <c r="J386" i="1"/>
  <c r="L386" i="1" s="1"/>
  <c r="Q386" i="1" s="1"/>
  <c r="J385" i="1"/>
  <c r="L385" i="1" s="1"/>
  <c r="N384" i="1"/>
  <c r="J384" i="1"/>
  <c r="L384" i="1" s="1"/>
  <c r="Q384" i="1" s="1"/>
  <c r="J383" i="1"/>
  <c r="L383" i="1" s="1"/>
  <c r="P382" i="1"/>
  <c r="J382" i="1"/>
  <c r="L382" i="1" s="1"/>
  <c r="O382" i="1" s="1"/>
  <c r="N381" i="1"/>
  <c r="O381" i="1" s="1"/>
  <c r="L381" i="1"/>
  <c r="Q381" i="1" s="1"/>
  <c r="M380" i="1"/>
  <c r="J380" i="1"/>
  <c r="L380" i="1" s="1"/>
  <c r="J379" i="1"/>
  <c r="L379" i="1" s="1"/>
  <c r="J378" i="1"/>
  <c r="L378" i="1" s="1"/>
  <c r="N377" i="1"/>
  <c r="J377" i="1"/>
  <c r="L377" i="1" s="1"/>
  <c r="Q377" i="1" s="1"/>
  <c r="J376" i="1"/>
  <c r="L376" i="1" s="1"/>
  <c r="J375" i="1"/>
  <c r="L375" i="1" s="1"/>
  <c r="J374" i="1"/>
  <c r="L374" i="1" s="1"/>
  <c r="J373" i="1"/>
  <c r="L373" i="1" s="1"/>
  <c r="N372" i="1"/>
  <c r="J372" i="1"/>
  <c r="L372" i="1" s="1"/>
  <c r="Q372" i="1" s="1"/>
  <c r="J371" i="1"/>
  <c r="L371" i="1" s="1"/>
  <c r="J370" i="1"/>
  <c r="L370" i="1" s="1"/>
  <c r="J369" i="1"/>
  <c r="L369" i="1" s="1"/>
  <c r="J368" i="1"/>
  <c r="L368" i="1" s="1"/>
  <c r="J367" i="1"/>
  <c r="L367" i="1" s="1"/>
  <c r="L366" i="1"/>
  <c r="J365" i="1"/>
  <c r="L365" i="1" s="1"/>
  <c r="J364" i="1"/>
  <c r="L364" i="1" s="1"/>
  <c r="N363" i="1"/>
  <c r="J363" i="1"/>
  <c r="L363" i="1" s="1"/>
  <c r="Q363" i="1" s="1"/>
  <c r="J362" i="1"/>
  <c r="L362" i="1" s="1"/>
  <c r="N361" i="1"/>
  <c r="J361" i="1"/>
  <c r="L361" i="1" s="1"/>
  <c r="Q361" i="1" s="1"/>
  <c r="J360" i="1"/>
  <c r="L360" i="1" s="1"/>
  <c r="J359" i="1"/>
  <c r="L359" i="1" s="1"/>
  <c r="J358" i="1"/>
  <c r="L358" i="1" s="1"/>
  <c r="J357" i="1"/>
  <c r="L357" i="1" s="1"/>
  <c r="N356" i="1"/>
  <c r="J356" i="1"/>
  <c r="L356" i="1" s="1"/>
  <c r="Q356" i="1" s="1"/>
  <c r="N355" i="1"/>
  <c r="J355" i="1"/>
  <c r="L355" i="1" s="1"/>
  <c r="Q355" i="1" s="1"/>
  <c r="N354" i="1"/>
  <c r="J354" i="1"/>
  <c r="L354" i="1" s="1"/>
  <c r="Q354" i="1" s="1"/>
  <c r="N353" i="1"/>
  <c r="J353" i="1"/>
  <c r="L353" i="1" s="1"/>
  <c r="Q353" i="1" s="1"/>
  <c r="P352" i="1"/>
  <c r="J352" i="1"/>
  <c r="L352" i="1" s="1"/>
  <c r="O352" i="1" s="1"/>
  <c r="P351" i="1"/>
  <c r="N351" i="1"/>
  <c r="J351" i="1"/>
  <c r="L351" i="1" s="1"/>
  <c r="J350" i="1"/>
  <c r="L350" i="1" s="1"/>
  <c r="N349" i="1"/>
  <c r="J349" i="1"/>
  <c r="L349" i="1" s="1"/>
  <c r="Q349" i="1" s="1"/>
  <c r="P348" i="1"/>
  <c r="N348" i="1"/>
  <c r="J348" i="1"/>
  <c r="L348" i="1" s="1"/>
  <c r="P347" i="1"/>
  <c r="N347" i="1"/>
  <c r="J347" i="1"/>
  <c r="L347" i="1" s="1"/>
  <c r="P346" i="1"/>
  <c r="J346" i="1"/>
  <c r="L346" i="1" s="1"/>
  <c r="O346" i="1" s="1"/>
  <c r="P345" i="1"/>
  <c r="N345" i="1"/>
  <c r="J345" i="1"/>
  <c r="L345" i="1" s="1"/>
  <c r="P344" i="1"/>
  <c r="N344" i="1"/>
  <c r="J344" i="1"/>
  <c r="L344" i="1" s="1"/>
  <c r="P343" i="1"/>
  <c r="J343" i="1"/>
  <c r="L343" i="1" s="1"/>
  <c r="O343" i="1" s="1"/>
  <c r="J342" i="1"/>
  <c r="L342" i="1" s="1"/>
  <c r="L341" i="1"/>
  <c r="J340" i="1"/>
  <c r="L340" i="1" s="1"/>
  <c r="P339" i="1"/>
  <c r="J339" i="1"/>
  <c r="L339" i="1" s="1"/>
  <c r="O339" i="1" s="1"/>
  <c r="J338" i="1"/>
  <c r="L338" i="1" s="1"/>
  <c r="P337" i="1"/>
  <c r="J337" i="1"/>
  <c r="L337" i="1" s="1"/>
  <c r="O337" i="1" s="1"/>
  <c r="J336" i="1"/>
  <c r="L336" i="1" s="1"/>
  <c r="P335" i="1"/>
  <c r="J335" i="1"/>
  <c r="L335" i="1" s="1"/>
  <c r="O335" i="1" s="1"/>
  <c r="J334" i="1"/>
  <c r="L334" i="1" s="1"/>
  <c r="J333" i="1"/>
  <c r="L333" i="1" s="1"/>
  <c r="J332" i="1"/>
  <c r="L332" i="1" s="1"/>
  <c r="J331" i="1"/>
  <c r="L331" i="1" s="1"/>
  <c r="J330" i="1"/>
  <c r="L330" i="1" s="1"/>
  <c r="L329" i="1"/>
  <c r="J328" i="1"/>
  <c r="L328" i="1" s="1"/>
  <c r="J327" i="1"/>
  <c r="L327" i="1" s="1"/>
  <c r="J326" i="1"/>
  <c r="L326" i="1" s="1"/>
  <c r="J325" i="1"/>
  <c r="L325" i="1" s="1"/>
  <c r="J324" i="1"/>
  <c r="L324" i="1" s="1"/>
  <c r="J323" i="1"/>
  <c r="L323" i="1" s="1"/>
  <c r="J322" i="1"/>
  <c r="L322" i="1" s="1"/>
  <c r="N321" i="1"/>
  <c r="J321" i="1"/>
  <c r="L321" i="1" s="1"/>
  <c r="Q321" i="1" s="1"/>
  <c r="N320" i="1"/>
  <c r="J320" i="1"/>
  <c r="L320" i="1" s="1"/>
  <c r="Q320" i="1" s="1"/>
  <c r="J319" i="1"/>
  <c r="L319" i="1" s="1"/>
  <c r="J318" i="1"/>
  <c r="L318" i="1" s="1"/>
  <c r="J317" i="1"/>
  <c r="L317" i="1" s="1"/>
  <c r="P316" i="1"/>
  <c r="J316" i="1"/>
  <c r="L316" i="1" s="1"/>
  <c r="O316" i="1" s="1"/>
  <c r="P315" i="1"/>
  <c r="J315" i="1"/>
  <c r="L315" i="1" s="1"/>
  <c r="O315" i="1" s="1"/>
  <c r="P314" i="1"/>
  <c r="J314" i="1"/>
  <c r="L314" i="1" s="1"/>
  <c r="O314" i="1" s="1"/>
  <c r="P313" i="1"/>
  <c r="J313" i="1"/>
  <c r="L313" i="1" s="1"/>
  <c r="O313" i="1" s="1"/>
  <c r="P312" i="1"/>
  <c r="J312" i="1"/>
  <c r="L312" i="1" s="1"/>
  <c r="O312" i="1" s="1"/>
  <c r="P311" i="1"/>
  <c r="J311" i="1"/>
  <c r="L311" i="1" s="1"/>
  <c r="O311" i="1" s="1"/>
  <c r="J310" i="1"/>
  <c r="L310" i="1" s="1"/>
  <c r="P309" i="1"/>
  <c r="J309" i="1"/>
  <c r="L309" i="1" s="1"/>
  <c r="O309" i="1" s="1"/>
  <c r="L308" i="1"/>
  <c r="J307" i="1"/>
  <c r="L307" i="1" s="1"/>
  <c r="P306" i="1"/>
  <c r="J306" i="1"/>
  <c r="L306" i="1" s="1"/>
  <c r="O306" i="1" s="1"/>
  <c r="L305" i="1"/>
  <c r="N304" i="1"/>
  <c r="L304" i="1"/>
  <c r="Q304" i="1" s="1"/>
  <c r="P303" i="1"/>
  <c r="J303" i="1"/>
  <c r="L303" i="1" s="1"/>
  <c r="O303" i="1" s="1"/>
  <c r="M302" i="1"/>
  <c r="J302" i="1"/>
  <c r="L302" i="1" s="1"/>
  <c r="M301" i="1"/>
  <c r="L301" i="1"/>
  <c r="J300" i="1"/>
  <c r="L300" i="1" s="1"/>
  <c r="J299" i="1"/>
  <c r="L299" i="1" s="1"/>
  <c r="P298" i="1"/>
  <c r="J298" i="1"/>
  <c r="L298" i="1" s="1"/>
  <c r="O298" i="1" s="1"/>
  <c r="L297" i="1"/>
  <c r="P296" i="1"/>
  <c r="J296" i="1"/>
  <c r="L296" i="1" s="1"/>
  <c r="O296" i="1" s="1"/>
  <c r="P295" i="1"/>
  <c r="J295" i="1"/>
  <c r="L295" i="1" s="1"/>
  <c r="O295" i="1" s="1"/>
  <c r="P294" i="1"/>
  <c r="J294" i="1"/>
  <c r="L294" i="1" s="1"/>
  <c r="O294" i="1" s="1"/>
  <c r="P293" i="1"/>
  <c r="J293" i="1"/>
  <c r="L293" i="1" s="1"/>
  <c r="O293" i="1" s="1"/>
  <c r="J292" i="1"/>
  <c r="L292" i="1" s="1"/>
  <c r="M291" i="1"/>
  <c r="J291" i="1"/>
  <c r="L291" i="1" s="1"/>
  <c r="J290" i="1"/>
  <c r="L290" i="1" s="1"/>
  <c r="J289" i="1"/>
  <c r="L289" i="1" s="1"/>
  <c r="P288" i="1"/>
  <c r="J288" i="1"/>
  <c r="L288" i="1" s="1"/>
  <c r="O288" i="1" s="1"/>
  <c r="P287" i="1"/>
  <c r="J287" i="1"/>
  <c r="L287" i="1" s="1"/>
  <c r="O287" i="1" s="1"/>
  <c r="M286" i="1"/>
  <c r="J286" i="1"/>
  <c r="L286" i="1" s="1"/>
  <c r="J285" i="1"/>
  <c r="L285" i="1" s="1"/>
  <c r="J284" i="1"/>
  <c r="L284" i="1" s="1"/>
  <c r="N283" i="1"/>
  <c r="J283" i="1"/>
  <c r="L283" i="1" s="1"/>
  <c r="Q283" i="1" s="1"/>
  <c r="N282" i="1"/>
  <c r="J282" i="1"/>
  <c r="L282" i="1" s="1"/>
  <c r="Q282" i="1" s="1"/>
  <c r="P281" i="1"/>
  <c r="J281" i="1"/>
  <c r="L281" i="1" s="1"/>
  <c r="O281" i="1" s="1"/>
  <c r="J280" i="1"/>
  <c r="L280" i="1" s="1"/>
  <c r="J279" i="1"/>
  <c r="L279" i="1" s="1"/>
  <c r="J278" i="1"/>
  <c r="L278" i="1" s="1"/>
  <c r="J277" i="1"/>
  <c r="L277" i="1" s="1"/>
  <c r="J276" i="1"/>
  <c r="L276" i="1" s="1"/>
  <c r="P275" i="1"/>
  <c r="J275" i="1"/>
  <c r="L275" i="1" s="1"/>
  <c r="O275" i="1" s="1"/>
  <c r="P274" i="1"/>
  <c r="J274" i="1"/>
  <c r="L274" i="1" s="1"/>
  <c r="O274" i="1" s="1"/>
  <c r="P273" i="1"/>
  <c r="J273" i="1"/>
  <c r="L273" i="1" s="1"/>
  <c r="O273" i="1" s="1"/>
  <c r="P272" i="1"/>
  <c r="J272" i="1"/>
  <c r="L272" i="1" s="1"/>
  <c r="O272" i="1" s="1"/>
  <c r="P271" i="1"/>
  <c r="J271" i="1"/>
  <c r="L271" i="1" s="1"/>
  <c r="O271" i="1" s="1"/>
  <c r="P270" i="1"/>
  <c r="J270" i="1"/>
  <c r="L270" i="1" s="1"/>
  <c r="O270" i="1" s="1"/>
  <c r="P269" i="1"/>
  <c r="J269" i="1"/>
  <c r="L269" i="1" s="1"/>
  <c r="O269" i="1" s="1"/>
  <c r="J268" i="1"/>
  <c r="L268" i="1" s="1"/>
  <c r="J267" i="1"/>
  <c r="L267" i="1" s="1"/>
  <c r="J266" i="1"/>
  <c r="L266" i="1" s="1"/>
  <c r="P265" i="1"/>
  <c r="J265" i="1"/>
  <c r="L265" i="1" s="1"/>
  <c r="O265" i="1" s="1"/>
  <c r="J264" i="1"/>
  <c r="L264" i="1" s="1"/>
  <c r="J263" i="1"/>
  <c r="L263" i="1" s="1"/>
  <c r="N262" i="1"/>
  <c r="J262" i="1"/>
  <c r="L262" i="1" s="1"/>
  <c r="Q262" i="1" s="1"/>
  <c r="J261" i="1"/>
  <c r="L261" i="1" s="1"/>
  <c r="J260" i="1"/>
  <c r="L260" i="1" s="1"/>
  <c r="J259" i="1"/>
  <c r="L259" i="1" s="1"/>
  <c r="M258" i="1"/>
  <c r="J258" i="1"/>
  <c r="L258" i="1" s="1"/>
  <c r="L257" i="1"/>
  <c r="J256" i="1"/>
  <c r="L256" i="1" s="1"/>
  <c r="W255" i="1"/>
  <c r="J255" i="1"/>
  <c r="L255" i="1" s="1"/>
  <c r="J254" i="1"/>
  <c r="L254" i="1" s="1"/>
  <c r="J253" i="1"/>
  <c r="L253" i="1" s="1"/>
  <c r="N252" i="1"/>
  <c r="J252" i="1"/>
  <c r="L252" i="1" s="1"/>
  <c r="Q252" i="1" s="1"/>
  <c r="J251" i="1"/>
  <c r="L251" i="1" s="1"/>
  <c r="J250" i="1"/>
  <c r="L250" i="1" s="1"/>
  <c r="J249" i="1"/>
  <c r="L249" i="1" s="1"/>
  <c r="J248" i="1"/>
  <c r="L248" i="1" s="1"/>
  <c r="J247" i="1"/>
  <c r="L247" i="1" s="1"/>
  <c r="J246" i="1"/>
  <c r="L246" i="1" s="1"/>
  <c r="J245" i="1"/>
  <c r="L245" i="1" s="1"/>
  <c r="J244" i="1"/>
  <c r="L244" i="1" s="1"/>
  <c r="K243" i="1"/>
  <c r="J243" i="1"/>
  <c r="L242" i="1"/>
  <c r="L241" i="1"/>
  <c r="M240" i="1"/>
  <c r="J240" i="1"/>
  <c r="L240" i="1" s="1"/>
  <c r="J239" i="1"/>
  <c r="L239" i="1" s="1"/>
  <c r="J238" i="1"/>
  <c r="L238" i="1" s="1"/>
  <c r="J237" i="1"/>
  <c r="L237" i="1" s="1"/>
  <c r="N236" i="1"/>
  <c r="J236" i="1"/>
  <c r="L236" i="1" s="1"/>
  <c r="Q236" i="1" s="1"/>
  <c r="J235" i="1"/>
  <c r="L235" i="1" s="1"/>
  <c r="L234" i="1"/>
  <c r="L233" i="1"/>
  <c r="P232" i="1"/>
  <c r="J232" i="1"/>
  <c r="L232" i="1" s="1"/>
  <c r="O232" i="1" s="1"/>
  <c r="P231" i="1"/>
  <c r="J231" i="1"/>
  <c r="L231" i="1" s="1"/>
  <c r="O231" i="1" s="1"/>
  <c r="J230" i="1"/>
  <c r="L230" i="1" s="1"/>
  <c r="M229" i="1"/>
  <c r="J229" i="1"/>
  <c r="L229" i="1" s="1"/>
  <c r="P228" i="1"/>
  <c r="J228" i="1"/>
  <c r="L228" i="1" s="1"/>
  <c r="O228" i="1" s="1"/>
  <c r="J227" i="1"/>
  <c r="L227" i="1" s="1"/>
  <c r="P226" i="1"/>
  <c r="L226" i="1"/>
  <c r="O226" i="1" s="1"/>
  <c r="N225" i="1"/>
  <c r="J225" i="1"/>
  <c r="L225" i="1" s="1"/>
  <c r="Q225" i="1" s="1"/>
  <c r="J224" i="1"/>
  <c r="L224" i="1" s="1"/>
  <c r="P223" i="1"/>
  <c r="J223" i="1"/>
  <c r="L223" i="1" s="1"/>
  <c r="O223" i="1" s="1"/>
  <c r="L222" i="1"/>
  <c r="N221" i="1"/>
  <c r="L221" i="1"/>
  <c r="Q221" i="1" s="1"/>
  <c r="J220" i="1"/>
  <c r="L220" i="1" s="1"/>
  <c r="J219" i="1"/>
  <c r="L219" i="1" s="1"/>
  <c r="J218" i="1"/>
  <c r="L218" i="1" s="1"/>
  <c r="P217" i="1"/>
  <c r="J217" i="1"/>
  <c r="L217" i="1" s="1"/>
  <c r="O217" i="1" s="1"/>
  <c r="J216" i="1"/>
  <c r="L216" i="1" s="1"/>
  <c r="P215" i="1"/>
  <c r="J215" i="1"/>
  <c r="L215" i="1" s="1"/>
  <c r="O215" i="1" s="1"/>
  <c r="P214" i="1"/>
  <c r="J214" i="1"/>
  <c r="L214" i="1" s="1"/>
  <c r="O214" i="1" s="1"/>
  <c r="J213" i="1"/>
  <c r="L213" i="1" s="1"/>
  <c r="J212" i="1"/>
  <c r="L212" i="1" s="1"/>
  <c r="J211" i="1"/>
  <c r="L211" i="1" s="1"/>
  <c r="J210" i="1"/>
  <c r="L210" i="1" s="1"/>
  <c r="J209" i="1"/>
  <c r="L209" i="1" s="1"/>
  <c r="J208" i="1"/>
  <c r="L208" i="1" s="1"/>
  <c r="J207" i="1"/>
  <c r="L207" i="1" s="1"/>
  <c r="P206" i="1"/>
  <c r="J206" i="1"/>
  <c r="L206" i="1" s="1"/>
  <c r="O206" i="1" s="1"/>
  <c r="L205" i="1"/>
  <c r="P204" i="1"/>
  <c r="J204" i="1"/>
  <c r="L204" i="1" s="1"/>
  <c r="O204" i="1" s="1"/>
  <c r="L203" i="1"/>
  <c r="J202" i="1"/>
  <c r="L202" i="1" s="1"/>
  <c r="J201" i="1"/>
  <c r="L201" i="1" s="1"/>
  <c r="L200" i="1"/>
  <c r="J199" i="1"/>
  <c r="L199" i="1" s="1"/>
  <c r="J198" i="1"/>
  <c r="L198" i="1" s="1"/>
  <c r="J197" i="1"/>
  <c r="L197" i="1" s="1"/>
  <c r="J196" i="1"/>
  <c r="L196" i="1" s="1"/>
  <c r="N195" i="1"/>
  <c r="J195" i="1"/>
  <c r="L195" i="1" s="1"/>
  <c r="Q195" i="1" s="1"/>
  <c r="J194" i="1"/>
  <c r="L194" i="1" s="1"/>
  <c r="J193" i="1"/>
  <c r="L193" i="1" s="1"/>
  <c r="J192" i="1"/>
  <c r="L192" i="1" s="1"/>
  <c r="J191" i="1"/>
  <c r="L191" i="1" s="1"/>
  <c r="J190" i="1"/>
  <c r="L190" i="1" s="1"/>
  <c r="J189" i="1"/>
  <c r="L189" i="1" s="1"/>
  <c r="J188" i="1"/>
  <c r="L188" i="1" s="1"/>
  <c r="L187" i="1"/>
  <c r="J186" i="1"/>
  <c r="L186" i="1" s="1"/>
  <c r="J185" i="1"/>
  <c r="L185" i="1" s="1"/>
  <c r="J184" i="1"/>
  <c r="L184" i="1" s="1"/>
  <c r="J183" i="1"/>
  <c r="L183" i="1" s="1"/>
  <c r="J182" i="1"/>
  <c r="L182" i="1" s="1"/>
  <c r="J181" i="1"/>
  <c r="L181" i="1" s="1"/>
  <c r="J180" i="1"/>
  <c r="L180" i="1" s="1"/>
  <c r="J179" i="1"/>
  <c r="L179" i="1" s="1"/>
  <c r="J178" i="1"/>
  <c r="L178" i="1" s="1"/>
  <c r="J177" i="1"/>
  <c r="L177" i="1" s="1"/>
  <c r="J176" i="1"/>
  <c r="L176" i="1" s="1"/>
  <c r="N175" i="1"/>
  <c r="J175" i="1"/>
  <c r="L175" i="1" s="1"/>
  <c r="Q175" i="1" s="1"/>
  <c r="L174" i="1"/>
  <c r="J173" i="1"/>
  <c r="L173" i="1" s="1"/>
  <c r="M172" i="1"/>
  <c r="J172" i="1"/>
  <c r="L172" i="1" s="1"/>
  <c r="J171" i="1"/>
  <c r="L171" i="1" s="1"/>
  <c r="J170" i="1"/>
  <c r="L170" i="1" s="1"/>
  <c r="J169" i="1"/>
  <c r="L169" i="1" s="1"/>
  <c r="J168" i="1"/>
  <c r="L168" i="1" s="1"/>
  <c r="J167" i="1"/>
  <c r="L167" i="1" s="1"/>
  <c r="J166" i="1"/>
  <c r="L166" i="1" s="1"/>
  <c r="L165" i="1"/>
  <c r="P164" i="1"/>
  <c r="J164" i="1"/>
  <c r="L164" i="1" s="1"/>
  <c r="O164" i="1" s="1"/>
  <c r="P163" i="1"/>
  <c r="J163" i="1"/>
  <c r="L163" i="1" s="1"/>
  <c r="O163" i="1" s="1"/>
  <c r="J162" i="1"/>
  <c r="L162" i="1" s="1"/>
  <c r="J161" i="1"/>
  <c r="L161" i="1" s="1"/>
  <c r="J160" i="1"/>
  <c r="L160" i="1" s="1"/>
  <c r="J159" i="1"/>
  <c r="L159" i="1" s="1"/>
  <c r="J158" i="1"/>
  <c r="L158" i="1" s="1"/>
  <c r="J157" i="1"/>
  <c r="L157" i="1" s="1"/>
  <c r="P156" i="1"/>
  <c r="J156" i="1"/>
  <c r="L156" i="1" s="1"/>
  <c r="O156" i="1" s="1"/>
  <c r="J155" i="1"/>
  <c r="L155" i="1" s="1"/>
  <c r="J154" i="1"/>
  <c r="L154" i="1" s="1"/>
  <c r="J153" i="1"/>
  <c r="L153" i="1" s="1"/>
  <c r="P152" i="1"/>
  <c r="J152" i="1"/>
  <c r="L152" i="1" s="1"/>
  <c r="O152" i="1" s="1"/>
  <c r="J151" i="1"/>
  <c r="L151" i="1" s="1"/>
  <c r="J150" i="1"/>
  <c r="L150" i="1" s="1"/>
  <c r="J149" i="1"/>
  <c r="L149" i="1" s="1"/>
  <c r="J148" i="1"/>
  <c r="L148" i="1" s="1"/>
  <c r="J147" i="1"/>
  <c r="L147" i="1" s="1"/>
  <c r="J146" i="1"/>
  <c r="L146" i="1" s="1"/>
  <c r="L145" i="1"/>
  <c r="N144" i="1"/>
  <c r="J144" i="1"/>
  <c r="L144" i="1" s="1"/>
  <c r="Q144" i="1" s="1"/>
  <c r="P143" i="1"/>
  <c r="J143" i="1"/>
  <c r="L143" i="1" s="1"/>
  <c r="O143" i="1" s="1"/>
  <c r="J142" i="1"/>
  <c r="L142" i="1" s="1"/>
  <c r="L141" i="1"/>
  <c r="P140" i="1"/>
  <c r="N140" i="1"/>
  <c r="J140" i="1"/>
  <c r="L140" i="1" s="1"/>
  <c r="J139" i="1"/>
  <c r="L139" i="1" s="1"/>
  <c r="P138" i="1"/>
  <c r="J138" i="1"/>
  <c r="L138" i="1" s="1"/>
  <c r="O138" i="1" s="1"/>
  <c r="J137" i="1"/>
  <c r="L137" i="1" s="1"/>
  <c r="J136" i="1"/>
  <c r="L136" i="1" s="1"/>
  <c r="J135" i="1"/>
  <c r="L135" i="1" s="1"/>
  <c r="J134" i="1"/>
  <c r="L134" i="1" s="1"/>
  <c r="J133" i="1"/>
  <c r="L133" i="1" s="1"/>
  <c r="N132" i="1"/>
  <c r="J132" i="1"/>
  <c r="L132" i="1" s="1"/>
  <c r="Q132" i="1" s="1"/>
  <c r="J131" i="1"/>
  <c r="L131" i="1" s="1"/>
  <c r="L130" i="1"/>
  <c r="J129" i="1"/>
  <c r="L129" i="1" s="1"/>
  <c r="W128" i="1"/>
  <c r="J128" i="1"/>
  <c r="L128" i="1" s="1"/>
  <c r="J127" i="1"/>
  <c r="L127" i="1" s="1"/>
  <c r="N126" i="1"/>
  <c r="J126" i="1"/>
  <c r="L126" i="1" s="1"/>
  <c r="Q126" i="1" s="1"/>
  <c r="N125" i="1"/>
  <c r="J125" i="1"/>
  <c r="L125" i="1" s="1"/>
  <c r="Q125" i="1" s="1"/>
  <c r="J124" i="1"/>
  <c r="L124" i="1" s="1"/>
  <c r="J123" i="1"/>
  <c r="L123" i="1" s="1"/>
  <c r="M122" i="1"/>
  <c r="J122" i="1"/>
  <c r="L122" i="1" s="1"/>
  <c r="J121" i="1"/>
  <c r="L121" i="1" s="1"/>
  <c r="J120" i="1"/>
  <c r="L120" i="1" s="1"/>
  <c r="J119" i="1"/>
  <c r="L119" i="1" s="1"/>
  <c r="L118" i="1"/>
  <c r="J117" i="1"/>
  <c r="L117" i="1" s="1"/>
  <c r="J116" i="1"/>
  <c r="L116" i="1" s="1"/>
  <c r="J115" i="1"/>
  <c r="L115" i="1" s="1"/>
  <c r="J114" i="1"/>
  <c r="L114" i="1" s="1"/>
  <c r="N113" i="1"/>
  <c r="J113" i="1"/>
  <c r="L113" i="1" s="1"/>
  <c r="Q113" i="1" s="1"/>
  <c r="J112" i="1"/>
  <c r="L112" i="1" s="1"/>
  <c r="J111" i="1"/>
  <c r="L111" i="1" s="1"/>
  <c r="J110" i="1"/>
  <c r="L110" i="1" s="1"/>
  <c r="L109" i="1"/>
  <c r="J108" i="1"/>
  <c r="L108" i="1" s="1"/>
  <c r="J107" i="1"/>
  <c r="L107" i="1" s="1"/>
  <c r="J106" i="1"/>
  <c r="L106" i="1" s="1"/>
  <c r="J105" i="1"/>
  <c r="L105" i="1" s="1"/>
  <c r="L104" i="1"/>
  <c r="J103" i="1"/>
  <c r="L103" i="1" s="1"/>
  <c r="L102" i="1"/>
  <c r="J101" i="1"/>
  <c r="L101" i="1" s="1"/>
  <c r="J100" i="1"/>
  <c r="L100" i="1" s="1"/>
  <c r="J99" i="1"/>
  <c r="L99" i="1" s="1"/>
  <c r="J98" i="1"/>
  <c r="L98" i="1" s="1"/>
  <c r="L97" i="1"/>
  <c r="J96" i="1"/>
  <c r="L96" i="1" s="1"/>
  <c r="J95" i="1"/>
  <c r="L95" i="1" s="1"/>
  <c r="J94" i="1"/>
  <c r="L94" i="1" s="1"/>
  <c r="J93" i="1"/>
  <c r="L93" i="1" s="1"/>
  <c r="J92" i="1"/>
  <c r="L92" i="1" s="1"/>
  <c r="J91" i="1"/>
  <c r="L91" i="1" s="1"/>
  <c r="J90" i="1"/>
  <c r="L90" i="1" s="1"/>
  <c r="J89" i="1"/>
  <c r="L89" i="1" s="1"/>
  <c r="J88" i="1"/>
  <c r="L88" i="1" s="1"/>
  <c r="J87" i="1"/>
  <c r="L87" i="1" s="1"/>
  <c r="J86" i="1"/>
  <c r="L86" i="1" s="1"/>
  <c r="J85" i="1"/>
  <c r="L85" i="1" s="1"/>
  <c r="J84" i="1"/>
  <c r="L84" i="1" s="1"/>
  <c r="J83" i="1"/>
  <c r="L83" i="1" s="1"/>
  <c r="J82" i="1"/>
  <c r="L82" i="1" s="1"/>
  <c r="J81" i="1"/>
  <c r="L81" i="1" s="1"/>
  <c r="L80" i="1"/>
  <c r="J79" i="1"/>
  <c r="L79" i="1" s="1"/>
  <c r="J78" i="1"/>
  <c r="L78" i="1" s="1"/>
  <c r="N77" i="1"/>
  <c r="J77" i="1"/>
  <c r="L77" i="1" s="1"/>
  <c r="Q77" i="1" s="1"/>
  <c r="J76" i="1"/>
  <c r="L76" i="1" s="1"/>
  <c r="J75" i="1"/>
  <c r="L75" i="1" s="1"/>
  <c r="J74" i="1"/>
  <c r="L74" i="1" s="1"/>
  <c r="J73" i="1"/>
  <c r="L73" i="1" s="1"/>
  <c r="J72" i="1"/>
  <c r="L72" i="1" s="1"/>
  <c r="J71" i="1"/>
  <c r="L71" i="1" s="1"/>
  <c r="J70" i="1"/>
  <c r="L70" i="1" s="1"/>
  <c r="J69" i="1"/>
  <c r="L69" i="1" s="1"/>
  <c r="J68" i="1"/>
  <c r="L68" i="1" s="1"/>
  <c r="J67" i="1"/>
  <c r="L67" i="1" s="1"/>
  <c r="N66" i="1"/>
  <c r="J66" i="1"/>
  <c r="L66" i="1" s="1"/>
  <c r="Q66" i="1" s="1"/>
  <c r="J65" i="1"/>
  <c r="L65" i="1" s="1"/>
  <c r="J64" i="1"/>
  <c r="L64" i="1" s="1"/>
  <c r="L63" i="1"/>
  <c r="J62" i="1"/>
  <c r="L62" i="1" s="1"/>
  <c r="J61" i="1"/>
  <c r="L61" i="1" s="1"/>
  <c r="N60" i="1"/>
  <c r="J60" i="1"/>
  <c r="L60" i="1" s="1"/>
  <c r="Q60" i="1" s="1"/>
  <c r="J59" i="1"/>
  <c r="L59" i="1" s="1"/>
  <c r="J58" i="1"/>
  <c r="L58" i="1" s="1"/>
  <c r="J57" i="1"/>
  <c r="L57" i="1" s="1"/>
  <c r="J56" i="1"/>
  <c r="L56" i="1" s="1"/>
  <c r="L55" i="1"/>
  <c r="J54" i="1"/>
  <c r="L54" i="1" s="1"/>
  <c r="J53" i="1"/>
  <c r="L53" i="1" s="1"/>
  <c r="J52" i="1"/>
  <c r="L52" i="1" s="1"/>
  <c r="J51" i="1"/>
  <c r="L51" i="1" s="1"/>
  <c r="J50" i="1"/>
  <c r="L50" i="1" s="1"/>
  <c r="J49" i="1"/>
  <c r="L49" i="1" s="1"/>
  <c r="J48" i="1"/>
  <c r="L48" i="1" s="1"/>
  <c r="J47" i="1"/>
  <c r="L47" i="1" s="1"/>
  <c r="J46" i="1"/>
  <c r="L46" i="1" s="1"/>
  <c r="J45" i="1"/>
  <c r="L45" i="1" s="1"/>
  <c r="J44" i="1"/>
  <c r="L44" i="1" s="1"/>
  <c r="J43" i="1"/>
  <c r="L43" i="1" s="1"/>
  <c r="J42" i="1"/>
  <c r="L42" i="1" s="1"/>
  <c r="J41" i="1"/>
  <c r="L41" i="1" s="1"/>
  <c r="J40" i="1"/>
  <c r="L40" i="1" s="1"/>
  <c r="J39" i="1"/>
  <c r="L39" i="1" s="1"/>
  <c r="J38" i="1"/>
  <c r="L38" i="1" s="1"/>
  <c r="J37" i="1"/>
  <c r="L37" i="1" s="1"/>
  <c r="J36" i="1"/>
  <c r="L36" i="1" s="1"/>
  <c r="J35" i="1"/>
  <c r="L35" i="1" s="1"/>
  <c r="J34" i="1"/>
  <c r="L34" i="1" s="1"/>
  <c r="J33" i="1"/>
  <c r="L33" i="1" s="1"/>
  <c r="J32" i="1"/>
  <c r="L32" i="1" s="1"/>
  <c r="J31" i="1"/>
  <c r="L31" i="1" s="1"/>
  <c r="J30" i="1"/>
  <c r="L30" i="1" s="1"/>
  <c r="J29" i="1"/>
  <c r="L29" i="1" s="1"/>
  <c r="J28" i="1"/>
  <c r="L28" i="1" s="1"/>
  <c r="J27" i="1"/>
  <c r="L27" i="1" s="1"/>
  <c r="J26" i="1"/>
  <c r="L26" i="1" s="1"/>
  <c r="J25" i="1"/>
  <c r="L25" i="1" s="1"/>
  <c r="J24" i="1"/>
  <c r="L24" i="1" s="1"/>
  <c r="J23" i="1"/>
  <c r="L23" i="1" s="1"/>
  <c r="J22" i="1"/>
  <c r="L22" i="1" s="1"/>
  <c r="J21" i="1"/>
  <c r="L21" i="1" s="1"/>
  <c r="J20" i="1"/>
  <c r="L20" i="1" s="1"/>
  <c r="J19" i="1"/>
  <c r="L19" i="1" s="1"/>
  <c r="J18" i="1"/>
  <c r="L18" i="1" s="1"/>
  <c r="P17" i="1"/>
  <c r="J17" i="1"/>
  <c r="L17" i="1" s="1"/>
  <c r="O17" i="1" s="1"/>
  <c r="J16" i="1"/>
  <c r="L16" i="1" s="1"/>
  <c r="J15" i="1"/>
  <c r="L15" i="1" s="1"/>
  <c r="J14" i="1"/>
  <c r="L14" i="1" s="1"/>
  <c r="J13" i="1"/>
  <c r="L13" i="1" s="1"/>
  <c r="J12" i="1"/>
  <c r="L12" i="1" s="1"/>
  <c r="J11" i="1"/>
  <c r="L11" i="1" s="1"/>
  <c r="J10" i="1"/>
  <c r="L10" i="1" s="1"/>
  <c r="J9" i="1"/>
  <c r="L9" i="1" s="1"/>
  <c r="J8" i="1"/>
  <c r="L8" i="1" s="1"/>
  <c r="J7" i="1"/>
  <c r="L7" i="1" s="1"/>
  <c r="J6" i="1"/>
  <c r="L6" i="1" s="1"/>
  <c r="J5" i="1"/>
  <c r="L5" i="1" s="1"/>
  <c r="J4" i="1"/>
  <c r="L4" i="1" s="1"/>
  <c r="J3" i="1"/>
  <c r="L3" i="1" s="1"/>
  <c r="L2" i="1"/>
  <c r="L6079" i="1" l="1"/>
  <c r="L1449" i="1"/>
  <c r="Q1449" i="1" s="1"/>
  <c r="L5284" i="1"/>
  <c r="L5352" i="1"/>
  <c r="L1437" i="1"/>
  <c r="O1437" i="1" s="1"/>
  <c r="R1437" i="1" s="1"/>
  <c r="O1788" i="1"/>
  <c r="Q1704" i="1"/>
  <c r="O1757" i="1"/>
  <c r="R1757" i="1" s="1"/>
  <c r="Q1555" i="1"/>
  <c r="O1986" i="1"/>
  <c r="O3079" i="1"/>
  <c r="L2068" i="1"/>
  <c r="L3448" i="1"/>
  <c r="O1631" i="1"/>
  <c r="L5051" i="1"/>
  <c r="O5051" i="1" s="1"/>
  <c r="L1630" i="1"/>
  <c r="Q1630" i="1" s="1"/>
  <c r="R1630" i="1" s="1"/>
  <c r="O1747" i="1"/>
  <c r="R1747" i="1" s="1"/>
  <c r="L5101" i="1"/>
  <c r="L5137" i="1"/>
  <c r="O5137" i="1" s="1"/>
  <c r="L5249" i="1"/>
  <c r="O5249" i="1" s="1"/>
  <c r="L5256" i="1"/>
  <c r="O5256" i="1" s="1"/>
  <c r="L5280" i="1"/>
  <c r="L5285" i="1"/>
  <c r="O5285" i="1" s="1"/>
  <c r="L5353" i="1"/>
  <c r="O5353" i="1" s="1"/>
  <c r="L5420" i="1"/>
  <c r="L5453" i="1"/>
  <c r="L5460" i="1"/>
  <c r="L5742" i="1"/>
  <c r="O5742" i="1" s="1"/>
  <c r="L5848" i="1"/>
  <c r="Q5848" i="1" s="1"/>
  <c r="L5964" i="1"/>
  <c r="O5964" i="1" s="1"/>
  <c r="L6046" i="1"/>
  <c r="O6046" i="1" s="1"/>
  <c r="L6062" i="1"/>
  <c r="Q6062" i="1" s="1"/>
  <c r="L6076" i="1"/>
  <c r="O6076" i="1" s="1"/>
  <c r="L2480" i="1"/>
  <c r="Q2480" i="1" s="1"/>
  <c r="Q2635" i="1"/>
  <c r="R2635" i="1" s="1"/>
  <c r="Q226" i="1"/>
  <c r="Q1101" i="1"/>
  <c r="O1319" i="1"/>
  <c r="R1319" i="1" s="1"/>
  <c r="L1711" i="1"/>
  <c r="O1711" i="1" s="1"/>
  <c r="O3634" i="1"/>
  <c r="R3634" i="1" s="1"/>
  <c r="L5138" i="1"/>
  <c r="O5138" i="1" s="1"/>
  <c r="L5172" i="1"/>
  <c r="Q5172" i="1" s="1"/>
  <c r="L5713" i="1"/>
  <c r="O5713" i="1" s="1"/>
  <c r="L5849" i="1"/>
  <c r="Q5849" i="1" s="1"/>
  <c r="L5856" i="1"/>
  <c r="O5856" i="1" s="1"/>
  <c r="L5957" i="1"/>
  <c r="O5957" i="1" s="1"/>
  <c r="L5965" i="1"/>
  <c r="Q5965" i="1" s="1"/>
  <c r="L6083" i="1"/>
  <c r="O6083" i="1" s="1"/>
  <c r="Q2633" i="1"/>
  <c r="Q1234" i="1"/>
  <c r="O445" i="1"/>
  <c r="O1414" i="1"/>
  <c r="R1414" i="1" s="1"/>
  <c r="Q3697" i="1"/>
  <c r="L5056" i="1"/>
  <c r="O5056" i="1" s="1"/>
  <c r="L5258" i="1"/>
  <c r="Q5258" i="1" s="1"/>
  <c r="L5294" i="1"/>
  <c r="O5294" i="1" s="1"/>
  <c r="L6074" i="1"/>
  <c r="O6074" i="1" s="1"/>
  <c r="Q1163" i="1"/>
  <c r="R1163" i="1" s="1"/>
  <c r="O1396" i="1"/>
  <c r="O3070" i="1"/>
  <c r="O3520" i="1"/>
  <c r="O4551" i="1"/>
  <c r="L5047" i="1"/>
  <c r="Q5047" i="1" s="1"/>
  <c r="L5059" i="1"/>
  <c r="O5059" i="1" s="1"/>
  <c r="L5086" i="1"/>
  <c r="O5086" i="1" s="1"/>
  <c r="L5099" i="1"/>
  <c r="O5099" i="1" s="1"/>
  <c r="L5140" i="1"/>
  <c r="Q5140" i="1" s="1"/>
  <c r="L5162" i="1"/>
  <c r="O5162" i="1" s="1"/>
  <c r="L5168" i="1"/>
  <c r="O5168" i="1" s="1"/>
  <c r="L5175" i="1"/>
  <c r="L5180" i="1"/>
  <c r="O5180" i="1" s="1"/>
  <c r="L5238" i="1"/>
  <c r="L5283" i="1"/>
  <c r="L5296" i="1"/>
  <c r="L5351" i="1"/>
  <c r="Q5351" i="1" s="1"/>
  <c r="L5432" i="1"/>
  <c r="O5432" i="1" s="1"/>
  <c r="L5487" i="1"/>
  <c r="O5487" i="1" s="1"/>
  <c r="L5579" i="1"/>
  <c r="L5803" i="1"/>
  <c r="L5927" i="1"/>
  <c r="L5947" i="1"/>
  <c r="O5947" i="1" s="1"/>
  <c r="L5999" i="1"/>
  <c r="Q5999" i="1" s="1"/>
  <c r="L6060" i="1"/>
  <c r="Q6060" i="1" s="1"/>
  <c r="L6080" i="1"/>
  <c r="Q6080" i="1" s="1"/>
  <c r="L1444" i="1"/>
  <c r="L6042" i="1"/>
  <c r="Q1961" i="1"/>
  <c r="L5042" i="1"/>
  <c r="O5042" i="1" s="1"/>
  <c r="L5054" i="1"/>
  <c r="Q5054" i="1" s="1"/>
  <c r="L5081" i="1"/>
  <c r="L5093" i="1"/>
  <c r="L5113" i="1"/>
  <c r="L5254" i="1"/>
  <c r="O5254" i="1" s="1"/>
  <c r="L5262" i="1"/>
  <c r="L5318" i="1"/>
  <c r="L5326" i="1"/>
  <c r="L5418" i="1"/>
  <c r="L5425" i="1"/>
  <c r="L5504" i="1"/>
  <c r="O5504" i="1" s="1"/>
  <c r="L5696" i="1"/>
  <c r="O5696" i="1" s="1"/>
  <c r="L5717" i="1"/>
  <c r="Q5717" i="1" s="1"/>
  <c r="L5776" i="1"/>
  <c r="L5787" i="1"/>
  <c r="L5821" i="1"/>
  <c r="L5853" i="1"/>
  <c r="O5853" i="1" s="1"/>
  <c r="L5920" i="1"/>
  <c r="O5920" i="1" s="1"/>
  <c r="L5969" i="1"/>
  <c r="O5969" i="1" s="1"/>
  <c r="L5978" i="1"/>
  <c r="O5978" i="1" s="1"/>
  <c r="L5986" i="1"/>
  <c r="L6005" i="1"/>
  <c r="O6005" i="1" s="1"/>
  <c r="L6037" i="1"/>
  <c r="O6037" i="1" s="1"/>
  <c r="L6075" i="1"/>
  <c r="Q6075" i="1" s="1"/>
  <c r="L5350" i="1"/>
  <c r="O5350" i="1" s="1"/>
  <c r="L5548" i="1"/>
  <c r="L5701" i="1"/>
  <c r="L5984" i="1"/>
  <c r="O5984" i="1" s="1"/>
  <c r="L6023" i="1"/>
  <c r="Q6023" i="1" s="1"/>
  <c r="L1452" i="1"/>
  <c r="Q1452" i="1" s="1"/>
  <c r="Q2434" i="1"/>
  <c r="R2434" i="1" s="1"/>
  <c r="L6036" i="1"/>
  <c r="O6036" i="1" s="1"/>
  <c r="Q873" i="1"/>
  <c r="Q1102" i="1"/>
  <c r="O1419" i="1"/>
  <c r="R1419" i="1" s="1"/>
  <c r="L1838" i="1"/>
  <c r="O1838" i="1" s="1"/>
  <c r="L5043" i="1"/>
  <c r="O5043" i="1" s="1"/>
  <c r="L5055" i="1"/>
  <c r="L5070" i="1"/>
  <c r="L5082" i="1"/>
  <c r="O5082" i="1" s="1"/>
  <c r="L5094" i="1"/>
  <c r="O5094" i="1" s="1"/>
  <c r="L5114" i="1"/>
  <c r="L5129" i="1"/>
  <c r="L5327" i="1"/>
  <c r="L5426" i="1"/>
  <c r="L5467" i="1"/>
  <c r="L5562" i="1"/>
  <c r="Q5562" i="1" s="1"/>
  <c r="L5734" i="1"/>
  <c r="O5734" i="1" s="1"/>
  <c r="L5814" i="1"/>
  <c r="O5814" i="1" s="1"/>
  <c r="L6006" i="1"/>
  <c r="O6006" i="1" s="1"/>
  <c r="O1423" i="1"/>
  <c r="R1423" i="1" s="1"/>
  <c r="L1625" i="1"/>
  <c r="L2053" i="1"/>
  <c r="O2053" i="1" s="1"/>
  <c r="L2077" i="1"/>
  <c r="L5079" i="1"/>
  <c r="L5431" i="1"/>
  <c r="O5431" i="1" s="1"/>
  <c r="L5722" i="1"/>
  <c r="L5998" i="1"/>
  <c r="O632" i="1"/>
  <c r="R632" i="1" s="1"/>
  <c r="L683" i="1"/>
  <c r="O683" i="1" s="1"/>
  <c r="L2071" i="1"/>
  <c r="Q1301" i="1"/>
  <c r="R1301" i="1" s="1"/>
  <c r="O2765" i="1"/>
  <c r="O3159" i="1"/>
  <c r="R3159" i="1" s="1"/>
  <c r="L5067" i="1"/>
  <c r="Q5067" i="1" s="1"/>
  <c r="L5119" i="1"/>
  <c r="L5179" i="1"/>
  <c r="L5295" i="1"/>
  <c r="L5528" i="1"/>
  <c r="L5946" i="1"/>
  <c r="L5976" i="1"/>
  <c r="O5976" i="1" s="1"/>
  <c r="O1992" i="1"/>
  <c r="R1992" i="1" s="1"/>
  <c r="O3169" i="1"/>
  <c r="L5253" i="1"/>
  <c r="L6004" i="1"/>
  <c r="O693" i="1"/>
  <c r="R693" i="1" s="1"/>
  <c r="Q1103" i="1"/>
  <c r="R1103" i="1" s="1"/>
  <c r="L1713" i="1"/>
  <c r="O1775" i="1"/>
  <c r="L1820" i="1"/>
  <c r="O1971" i="1"/>
  <c r="L2081" i="1"/>
  <c r="L2101" i="1"/>
  <c r="L2184" i="1"/>
  <c r="O2184" i="1" s="1"/>
  <c r="O2644" i="1"/>
  <c r="L5095" i="1"/>
  <c r="O5095" i="1" s="1"/>
  <c r="L5115" i="1"/>
  <c r="Q5115" i="1" s="1"/>
  <c r="L5123" i="1"/>
  <c r="L5880" i="1"/>
  <c r="Q5880" i="1" s="1"/>
  <c r="L1771" i="1"/>
  <c r="L5041" i="1"/>
  <c r="O447" i="1"/>
  <c r="O786" i="1"/>
  <c r="R786" i="1" s="1"/>
  <c r="Q827" i="1"/>
  <c r="R827" i="1" s="1"/>
  <c r="O1495" i="1"/>
  <c r="R1495" i="1" s="1"/>
  <c r="O3100" i="1"/>
  <c r="R3100" i="1" s="1"/>
  <c r="L5257" i="1"/>
  <c r="Q5257" i="1" s="1"/>
  <c r="L5286" i="1"/>
  <c r="L5293" i="1"/>
  <c r="L5314" i="1"/>
  <c r="L5354" i="1"/>
  <c r="O5354" i="1" s="1"/>
  <c r="L5421" i="1"/>
  <c r="L5461" i="1"/>
  <c r="L5325" i="1"/>
  <c r="L5838" i="1"/>
  <c r="Q1098" i="1"/>
  <c r="R1098" i="1" s="1"/>
  <c r="Q1153" i="1"/>
  <c r="R1153" i="1" s="1"/>
  <c r="O2980" i="1"/>
  <c r="R2980" i="1" s="1"/>
  <c r="L5817" i="1"/>
  <c r="L5826" i="1"/>
  <c r="L5938" i="1"/>
  <c r="L6058" i="1"/>
  <c r="L6072" i="1"/>
  <c r="O6072" i="1" s="1"/>
  <c r="L5317" i="1"/>
  <c r="O501" i="1"/>
  <c r="O685" i="1"/>
  <c r="R685" i="1" s="1"/>
  <c r="Q1100" i="1"/>
  <c r="R1100" i="1" s="1"/>
  <c r="R516" i="1"/>
  <c r="Q798" i="1"/>
  <c r="R798" i="1" s="1"/>
  <c r="O4588" i="1"/>
  <c r="R4588" i="1" s="1"/>
  <c r="O727" i="1"/>
  <c r="R727" i="1" s="1"/>
  <c r="Q737" i="1"/>
  <c r="O862" i="1"/>
  <c r="R862" i="1" s="1"/>
  <c r="Q1108" i="1"/>
  <c r="R1108" i="1" s="1"/>
  <c r="O1226" i="1"/>
  <c r="R226" i="1"/>
  <c r="O304" i="1"/>
  <c r="Q516" i="1"/>
  <c r="Q705" i="1"/>
  <c r="R705" i="1" s="1"/>
  <c r="O1026" i="1"/>
  <c r="R1026" i="1" s="1"/>
  <c r="Q1045" i="1"/>
  <c r="R1045" i="1" s="1"/>
  <c r="O1232" i="1"/>
  <c r="Q1291" i="1"/>
  <c r="R1291" i="1" s="1"/>
  <c r="O1296" i="1"/>
  <c r="R1296" i="1" s="1"/>
  <c r="O1974" i="1"/>
  <c r="Q682" i="1"/>
  <c r="R682" i="1" s="1"/>
  <c r="O1445" i="1"/>
  <c r="R1445" i="1" s="1"/>
  <c r="O1695" i="1"/>
  <c r="Q1842" i="1"/>
  <c r="R1842" i="1" s="1"/>
  <c r="O1980" i="1"/>
  <c r="O221" i="1"/>
  <c r="R221" i="1" s="1"/>
  <c r="Q982" i="1"/>
  <c r="R982" i="1" s="1"/>
  <c r="Q1054" i="1"/>
  <c r="R1054" i="1" s="1"/>
  <c r="R1943" i="1"/>
  <c r="O4978" i="1"/>
  <c r="R1006" i="1"/>
  <c r="L1027" i="1"/>
  <c r="Q1027" i="1" s="1"/>
  <c r="O1480" i="1"/>
  <c r="R1480" i="1" s="1"/>
  <c r="L1707" i="1"/>
  <c r="O1707" i="1" s="1"/>
  <c r="L1714" i="1"/>
  <c r="Q1714" i="1" s="1"/>
  <c r="L1840" i="1"/>
  <c r="L1861" i="1"/>
  <c r="Q1943" i="1"/>
  <c r="Q1974" i="1"/>
  <c r="O2003" i="1"/>
  <c r="R2003" i="1" s="1"/>
  <c r="L2008" i="1"/>
  <c r="L2079" i="1"/>
  <c r="L2433" i="1"/>
  <c r="Q2433" i="1" s="1"/>
  <c r="Q2622" i="1"/>
  <c r="R2622" i="1" s="1"/>
  <c r="O3521" i="1"/>
  <c r="Q4030" i="1"/>
  <c r="R4030" i="1" s="1"/>
  <c r="L4333" i="1"/>
  <c r="O4485" i="1"/>
  <c r="L5045" i="1"/>
  <c r="L5135" i="1"/>
  <c r="L5150" i="1"/>
  <c r="O5150" i="1" s="1"/>
  <c r="L5158" i="1"/>
  <c r="O5158" i="1" s="1"/>
  <c r="L5187" i="1"/>
  <c r="L5192" i="1"/>
  <c r="L5279" i="1"/>
  <c r="Q5279" i="1" s="1"/>
  <c r="L5281" i="1"/>
  <c r="Q5281" i="1" s="1"/>
  <c r="L5288" i="1"/>
  <c r="L5367" i="1"/>
  <c r="L5469" i="1"/>
  <c r="Q5469" i="1" s="1"/>
  <c r="L5490" i="1"/>
  <c r="O5490" i="1" s="1"/>
  <c r="L5534" i="1"/>
  <c r="Q5534" i="1" s="1"/>
  <c r="Q1396" i="1"/>
  <c r="L1439" i="1"/>
  <c r="O1611" i="1"/>
  <c r="R1611" i="1" s="1"/>
  <c r="O1657" i="1"/>
  <c r="O1687" i="1"/>
  <c r="R1687" i="1" s="1"/>
  <c r="O1690" i="1"/>
  <c r="O1894" i="1"/>
  <c r="L2001" i="1"/>
  <c r="Q2013" i="1"/>
  <c r="R2013" i="1" s="1"/>
  <c r="R4036" i="1"/>
  <c r="L4228" i="1"/>
  <c r="L4554" i="1"/>
  <c r="Q4554" i="1" s="1"/>
  <c r="L4794" i="1"/>
  <c r="L5038" i="1"/>
  <c r="O5038" i="1" s="1"/>
  <c r="L5057" i="1"/>
  <c r="L5075" i="1"/>
  <c r="O5075" i="1" s="1"/>
  <c r="L5087" i="1"/>
  <c r="Q5087" i="1" s="1"/>
  <c r="L5092" i="1"/>
  <c r="O5092" i="1" s="1"/>
  <c r="R5092" i="1" s="1"/>
  <c r="L5112" i="1"/>
  <c r="L5142" i="1"/>
  <c r="Q5142" i="1" s="1"/>
  <c r="L5228" i="1"/>
  <c r="L5239" i="1"/>
  <c r="O5239" i="1" s="1"/>
  <c r="O3286" i="1"/>
  <c r="L533" i="1"/>
  <c r="L586" i="1"/>
  <c r="Q586" i="1" s="1"/>
  <c r="L730" i="1"/>
  <c r="Q730" i="1" s="1"/>
  <c r="R730" i="1" s="1"/>
  <c r="O788" i="1"/>
  <c r="R788" i="1" s="1"/>
  <c r="Q1307" i="1"/>
  <c r="R1307" i="1" s="1"/>
  <c r="O1399" i="1"/>
  <c r="R1399" i="1" s="1"/>
  <c r="L1685" i="1"/>
  <c r="O1703" i="1"/>
  <c r="O1783" i="1"/>
  <c r="L1799" i="1"/>
  <c r="O1799" i="1" s="1"/>
  <c r="L1875" i="1"/>
  <c r="O1913" i="1"/>
  <c r="Q1983" i="1"/>
  <c r="R1983" i="1" s="1"/>
  <c r="L2033" i="1"/>
  <c r="Q2056" i="1"/>
  <c r="R2056" i="1" s="1"/>
  <c r="L2067" i="1"/>
  <c r="Q2227" i="1"/>
  <c r="R2227" i="1" s="1"/>
  <c r="Q2235" i="1"/>
  <c r="R2235" i="1" s="1"/>
  <c r="Q2765" i="1"/>
  <c r="O3464" i="1"/>
  <c r="O3563" i="1"/>
  <c r="L4802" i="1"/>
  <c r="Q4802" i="1" s="1"/>
  <c r="L5050" i="1"/>
  <c r="L5085" i="1"/>
  <c r="L5090" i="1"/>
  <c r="O5090" i="1" s="1"/>
  <c r="R5090" i="1" s="1"/>
  <c r="L5110" i="1"/>
  <c r="O5110" i="1" s="1"/>
  <c r="L5171" i="1"/>
  <c r="Q5171" i="1" s="1"/>
  <c r="L5178" i="1"/>
  <c r="Q5178" i="1" s="1"/>
  <c r="L5190" i="1"/>
  <c r="Q5190" i="1" s="1"/>
  <c r="L5335" i="1"/>
  <c r="Q5335" i="1" s="1"/>
  <c r="L5488" i="1"/>
  <c r="O5488" i="1" s="1"/>
  <c r="L5493" i="1"/>
  <c r="O5493" i="1" s="1"/>
  <c r="L5714" i="1"/>
  <c r="O5714" i="1" s="1"/>
  <c r="L5719" i="1"/>
  <c r="O5719" i="1" s="1"/>
  <c r="L5735" i="1"/>
  <c r="Q5735" i="1" s="1"/>
  <c r="L5760" i="1"/>
  <c r="O5760" i="1" s="1"/>
  <c r="L5810" i="1"/>
  <c r="O5810" i="1" s="1"/>
  <c r="L5840" i="1"/>
  <c r="Q5840" i="1" s="1"/>
  <c r="L5845" i="1"/>
  <c r="O5845" i="1" s="1"/>
  <c r="Q442" i="1"/>
  <c r="R442" i="1" s="1"/>
  <c r="O453" i="1"/>
  <c r="R652" i="1"/>
  <c r="O1279" i="1"/>
  <c r="O1526" i="1"/>
  <c r="R1526" i="1" s="1"/>
  <c r="O1632" i="1"/>
  <c r="R1632" i="1" s="1"/>
  <c r="Q1703" i="1"/>
  <c r="Q1867" i="1"/>
  <c r="R1867" i="1" s="1"/>
  <c r="Q1913" i="1"/>
  <c r="O1960" i="1"/>
  <c r="O4766" i="1"/>
  <c r="L5412" i="1"/>
  <c r="L5417" i="1"/>
  <c r="L5422" i="1"/>
  <c r="L5430" i="1"/>
  <c r="Q5430" i="1" s="1"/>
  <c r="L5435" i="1"/>
  <c r="L5452" i="1"/>
  <c r="O5452" i="1" s="1"/>
  <c r="L5524" i="1"/>
  <c r="O5524" i="1" s="1"/>
  <c r="O1601" i="1"/>
  <c r="R1601" i="1" s="1"/>
  <c r="O1794" i="1"/>
  <c r="O3214" i="1"/>
  <c r="R3214" i="1" s="1"/>
  <c r="Q3344" i="1"/>
  <c r="R3344" i="1" s="1"/>
  <c r="L3976" i="1"/>
  <c r="O3976" i="1" s="1"/>
  <c r="O4909" i="1"/>
  <c r="L5046" i="1"/>
  <c r="Q5046" i="1" s="1"/>
  <c r="L5048" i="1"/>
  <c r="L5108" i="1"/>
  <c r="O5108" i="1" s="1"/>
  <c r="L5151" i="1"/>
  <c r="Q5151" i="1" s="1"/>
  <c r="L5174" i="1"/>
  <c r="O5174" i="1" s="1"/>
  <c r="L5176" i="1"/>
  <c r="O5176" i="1" s="1"/>
  <c r="L5183" i="1"/>
  <c r="O5183" i="1" s="1"/>
  <c r="L5188" i="1"/>
  <c r="Q5188" i="1" s="1"/>
  <c r="L5275" i="1"/>
  <c r="O699" i="1"/>
  <c r="R873" i="1"/>
  <c r="Q973" i="1"/>
  <c r="R973" i="1" s="1"/>
  <c r="O1234" i="1"/>
  <c r="R1234" i="1" s="1"/>
  <c r="Q1250" i="1"/>
  <c r="R1250" i="1" s="1"/>
  <c r="O1395" i="1"/>
  <c r="R1395" i="1" s="1"/>
  <c r="O1413" i="1"/>
  <c r="R1413" i="1" s="1"/>
  <c r="O1651" i="1"/>
  <c r="R1651" i="1" s="1"/>
  <c r="L1839" i="1"/>
  <c r="O2014" i="1"/>
  <c r="R2014" i="1" s="1"/>
  <c r="O2463" i="1"/>
  <c r="Q2621" i="1"/>
  <c r="R2621" i="1" s="1"/>
  <c r="L2647" i="1"/>
  <c r="O2647" i="1" s="1"/>
  <c r="R2810" i="1"/>
  <c r="R2812" i="1"/>
  <c r="O3496" i="1"/>
  <c r="R3697" i="1"/>
  <c r="L4630" i="1"/>
  <c r="O4630" i="1" s="1"/>
  <c r="O4762" i="1"/>
  <c r="O1403" i="1"/>
  <c r="O1484" i="1"/>
  <c r="R1484" i="1" s="1"/>
  <c r="O1519" i="1"/>
  <c r="R1519" i="1" s="1"/>
  <c r="O1556" i="1"/>
  <c r="O1814" i="1"/>
  <c r="O2458" i="1"/>
  <c r="O446" i="1"/>
  <c r="O630" i="1"/>
  <c r="Q642" i="1"/>
  <c r="L729" i="1"/>
  <c r="Q734" i="1"/>
  <c r="R734" i="1" s="1"/>
  <c r="R1101" i="1"/>
  <c r="Q1275" i="1"/>
  <c r="R1275" i="1" s="1"/>
  <c r="L1416" i="1"/>
  <c r="O1416" i="1" s="1"/>
  <c r="O1602" i="1"/>
  <c r="R1602" i="1" s="1"/>
  <c r="L1750" i="1"/>
  <c r="L1795" i="1"/>
  <c r="O1795" i="1" s="1"/>
  <c r="O1961" i="1"/>
  <c r="R1969" i="1"/>
  <c r="L2010" i="1"/>
  <c r="L2066" i="1"/>
  <c r="O2309" i="1"/>
  <c r="Q2624" i="1"/>
  <c r="R2624" i="1" s="1"/>
  <c r="L2733" i="1"/>
  <c r="O2733" i="1" s="1"/>
  <c r="O2930" i="1"/>
  <c r="O3071" i="1"/>
  <c r="Q3499" i="1"/>
  <c r="R3499" i="1" s="1"/>
  <c r="L5658" i="1"/>
  <c r="O5658" i="1" s="1"/>
  <c r="L5698" i="1"/>
  <c r="L5703" i="1"/>
  <c r="O5703" i="1" s="1"/>
  <c r="L5711" i="1"/>
  <c r="Q5711" i="1" s="1"/>
  <c r="L5716" i="1"/>
  <c r="L5857" i="1"/>
  <c r="O5857" i="1" s="1"/>
  <c r="L5930" i="1"/>
  <c r="O5930" i="1" s="1"/>
  <c r="L5945" i="1"/>
  <c r="O5945" i="1" s="1"/>
  <c r="L5950" i="1"/>
  <c r="O5950" i="1" s="1"/>
  <c r="L5968" i="1"/>
  <c r="O5968" i="1" s="1"/>
  <c r="L5298" i="1"/>
  <c r="O5298" i="1" s="1"/>
  <c r="L5300" i="1"/>
  <c r="Q5300" i="1" s="1"/>
  <c r="L5343" i="1"/>
  <c r="L5378" i="1"/>
  <c r="O5378" i="1" s="1"/>
  <c r="L5424" i="1"/>
  <c r="Q5424" i="1" s="1"/>
  <c r="L5459" i="1"/>
  <c r="L5485" i="1"/>
  <c r="L5667" i="1"/>
  <c r="Q5667" i="1" s="1"/>
  <c r="L5693" i="1"/>
  <c r="O5693" i="1" s="1"/>
  <c r="L5801" i="1"/>
  <c r="O5801" i="1" s="1"/>
  <c r="L5812" i="1"/>
  <c r="O5812" i="1" s="1"/>
  <c r="L5842" i="1"/>
  <c r="Q5842" i="1" s="1"/>
  <c r="L5871" i="1"/>
  <c r="O5871" i="1" s="1"/>
  <c r="L5879" i="1"/>
  <c r="O5879" i="1" s="1"/>
  <c r="L5884" i="1"/>
  <c r="O5884" i="1" s="1"/>
  <c r="L5955" i="1"/>
  <c r="L5979" i="1"/>
  <c r="O5979" i="1" s="1"/>
  <c r="L5987" i="1"/>
  <c r="O5987" i="1" s="1"/>
  <c r="L6014" i="1"/>
  <c r="Q6014" i="1" s="1"/>
  <c r="L5974" i="1"/>
  <c r="O5974" i="1" s="1"/>
  <c r="L6002" i="1"/>
  <c r="O6002" i="1" s="1"/>
  <c r="L6009" i="1"/>
  <c r="O6009" i="1" s="1"/>
  <c r="L6024" i="1"/>
  <c r="O6024" i="1" s="1"/>
  <c r="L6034" i="1"/>
  <c r="O6034" i="1" s="1"/>
  <c r="L5866" i="1"/>
  <c r="O5866" i="1" s="1"/>
  <c r="L5928" i="1"/>
  <c r="L5933" i="1"/>
  <c r="O5933" i="1" s="1"/>
  <c r="L5995" i="1"/>
  <c r="L6000" i="1"/>
  <c r="Q6000" i="1" s="1"/>
  <c r="L6052" i="1"/>
  <c r="Q6052" i="1" s="1"/>
  <c r="L6054" i="1"/>
  <c r="Q6054" i="1" s="1"/>
  <c r="L6056" i="1"/>
  <c r="Q6056" i="1" s="1"/>
  <c r="L6071" i="1"/>
  <c r="O6071" i="1" s="1"/>
  <c r="L6078" i="1"/>
  <c r="O6078" i="1" s="1"/>
  <c r="L5676" i="1"/>
  <c r="Q5676" i="1" s="1"/>
  <c r="L5738" i="1"/>
  <c r="O5738" i="1" s="1"/>
  <c r="L5774" i="1"/>
  <c r="Q5774" i="1" s="1"/>
  <c r="L5818" i="1"/>
  <c r="L5869" i="1"/>
  <c r="Q5869" i="1" s="1"/>
  <c r="L5882" i="1"/>
  <c r="O5882" i="1" s="1"/>
  <c r="L5893" i="1"/>
  <c r="O5893" i="1" s="1"/>
  <c r="L5918" i="1"/>
  <c r="O5918" i="1" s="1"/>
  <c r="L5923" i="1"/>
  <c r="O5923" i="1" s="1"/>
  <c r="L5941" i="1"/>
  <c r="Q5941" i="1" s="1"/>
  <c r="L5990" i="1"/>
  <c r="O5990" i="1" s="1"/>
  <c r="L6007" i="1"/>
  <c r="O6007" i="1" s="1"/>
  <c r="L6027" i="1"/>
  <c r="Q6027" i="1" s="1"/>
  <c r="L6047" i="1"/>
  <c r="O6047" i="1" s="1"/>
  <c r="L6063" i="1"/>
  <c r="Q6063" i="1" s="1"/>
  <c r="L6065" i="1"/>
  <c r="O6065" i="1" s="1"/>
  <c r="L6067" i="1"/>
  <c r="O6067" i="1" s="1"/>
  <c r="L6069" i="1"/>
  <c r="L5407" i="1"/>
  <c r="O5407" i="1" s="1"/>
  <c r="L5491" i="1"/>
  <c r="L5496" i="1"/>
  <c r="L5507" i="1"/>
  <c r="O5507" i="1" s="1"/>
  <c r="Q5555" i="1"/>
  <c r="R5555" i="1" s="1"/>
  <c r="L5980" i="1"/>
  <c r="Q5980" i="1" s="1"/>
  <c r="L5988" i="1"/>
  <c r="O5988" i="1" s="1"/>
  <c r="L5993" i="1"/>
  <c r="O5993" i="1" s="1"/>
  <c r="L6030" i="1"/>
  <c r="Q6030" i="1" s="1"/>
  <c r="L5282" i="1"/>
  <c r="L5292" i="1"/>
  <c r="L5323" i="1"/>
  <c r="L243" i="1"/>
  <c r="O243" i="1" s="1"/>
  <c r="O464" i="1"/>
  <c r="Q594" i="1"/>
  <c r="R594" i="1" s="1"/>
  <c r="O891" i="1"/>
  <c r="L1025" i="1"/>
  <c r="R1102" i="1"/>
  <c r="Q1265" i="1"/>
  <c r="R1265" i="1" s="1"/>
  <c r="O1554" i="1"/>
  <c r="R1554" i="1" s="1"/>
  <c r="O1649" i="1"/>
  <c r="L1716" i="1"/>
  <c r="L1841" i="1"/>
  <c r="Q2045" i="1"/>
  <c r="R2045" i="1" s="1"/>
  <c r="L2100" i="1"/>
  <c r="L2186" i="1"/>
  <c r="Q2630" i="1"/>
  <c r="R2630" i="1" s="1"/>
  <c r="R2633" i="1"/>
  <c r="L2729" i="1"/>
  <c r="O3516" i="1"/>
  <c r="O3887" i="1"/>
  <c r="R3887" i="1" s="1"/>
  <c r="R3989" i="1"/>
  <c r="L5037" i="1"/>
  <c r="Q5037" i="1" s="1"/>
  <c r="L5074" i="1"/>
  <c r="L5076" i="1"/>
  <c r="Q5076" i="1" s="1"/>
  <c r="L5134" i="1"/>
  <c r="Q5134" i="1" s="1"/>
  <c r="L5141" i="1"/>
  <c r="O5141" i="1" s="1"/>
  <c r="L5157" i="1"/>
  <c r="L5181" i="1"/>
  <c r="L5186" i="1"/>
  <c r="L5224" i="1"/>
  <c r="L5251" i="1"/>
  <c r="Q5251" i="1" s="1"/>
  <c r="L5270" i="1"/>
  <c r="Q5270" i="1" s="1"/>
  <c r="L5278" i="1"/>
  <c r="O5278" i="1" s="1"/>
  <c r="L5287" i="1"/>
  <c r="Q5287" i="1" s="1"/>
  <c r="L5297" i="1"/>
  <c r="L5299" i="1"/>
  <c r="L5301" i="1"/>
  <c r="O5301" i="1" s="1"/>
  <c r="L5328" i="1"/>
  <c r="O5328" i="1" s="1"/>
  <c r="L5433" i="1"/>
  <c r="L5450" i="1"/>
  <c r="L5674" i="1"/>
  <c r="L5697" i="1"/>
  <c r="Q5697" i="1" s="1"/>
  <c r="L5702" i="1"/>
  <c r="O5702" i="1" s="1"/>
  <c r="L5710" i="1"/>
  <c r="O5710" i="1" s="1"/>
  <c r="L5772" i="1"/>
  <c r="Q5772" i="1" s="1"/>
  <c r="L5921" i="1"/>
  <c r="O5921" i="1" s="1"/>
  <c r="L5944" i="1"/>
  <c r="L5949" i="1"/>
  <c r="O5949" i="1" s="1"/>
  <c r="L5967" i="1"/>
  <c r="L6003" i="1"/>
  <c r="O6003" i="1" s="1"/>
  <c r="L6010" i="1"/>
  <c r="O6010" i="1" s="1"/>
  <c r="L6025" i="1"/>
  <c r="O6025" i="1" s="1"/>
  <c r="L6035" i="1"/>
  <c r="O6035" i="1" s="1"/>
  <c r="L6040" i="1"/>
  <c r="O6040" i="1" s="1"/>
  <c r="L6059" i="1"/>
  <c r="Q6059" i="1" s="1"/>
  <c r="L5358" i="1"/>
  <c r="O5358" i="1" s="1"/>
  <c r="L5405" i="1"/>
  <c r="Q5405" i="1" s="1"/>
  <c r="L5458" i="1"/>
  <c r="O5458" i="1" s="1"/>
  <c r="L5463" i="1"/>
  <c r="O5463" i="1" s="1"/>
  <c r="L5494" i="1"/>
  <c r="L5553" i="1"/>
  <c r="L5581" i="1"/>
  <c r="O5581" i="1" s="1"/>
  <c r="L5720" i="1"/>
  <c r="O5720" i="1" s="1"/>
  <c r="L5764" i="1"/>
  <c r="O5764" i="1" s="1"/>
  <c r="L5800" i="1"/>
  <c r="Q5800" i="1" s="1"/>
  <c r="L5811" i="1"/>
  <c r="Q5811" i="1" s="1"/>
  <c r="L5841" i="1"/>
  <c r="O5841" i="1" s="1"/>
  <c r="L5846" i="1"/>
  <c r="Q5846" i="1" s="1"/>
  <c r="L5525" i="1"/>
  <c r="Q5525" i="1" s="1"/>
  <c r="L5700" i="1"/>
  <c r="O5700" i="1" s="1"/>
  <c r="L5705" i="1"/>
  <c r="O5705" i="1" s="1"/>
  <c r="L5728" i="1"/>
  <c r="L5744" i="1"/>
  <c r="Q5744" i="1" s="1"/>
  <c r="L5770" i="1"/>
  <c r="O5770" i="1" s="1"/>
  <c r="L5775" i="1"/>
  <c r="Q5775" i="1" s="1"/>
  <c r="L5836" i="1"/>
  <c r="O5836" i="1" s="1"/>
  <c r="L5919" i="1"/>
  <c r="O5919" i="1" s="1"/>
  <c r="L5937" i="1"/>
  <c r="O5937" i="1" s="1"/>
  <c r="L5942" i="1"/>
  <c r="O5942" i="1" s="1"/>
  <c r="L5991" i="1"/>
  <c r="O5991" i="1" s="1"/>
  <c r="L6001" i="1"/>
  <c r="O6001" i="1" s="1"/>
  <c r="L6008" i="1"/>
  <c r="O6008" i="1" s="1"/>
  <c r="L6018" i="1"/>
  <c r="O6018" i="1" s="1"/>
  <c r="L6033" i="1"/>
  <c r="O6033" i="1" s="1"/>
  <c r="L6048" i="1"/>
  <c r="O6048" i="1" s="1"/>
  <c r="L6053" i="1"/>
  <c r="Q6053" i="1" s="1"/>
  <c r="L6055" i="1"/>
  <c r="Q6055" i="1" s="1"/>
  <c r="L6057" i="1"/>
  <c r="O6057" i="1" s="1"/>
  <c r="L5040" i="1"/>
  <c r="L5049" i="1"/>
  <c r="L5089" i="1"/>
  <c r="O5089" i="1" s="1"/>
  <c r="L5109" i="1"/>
  <c r="Q5109" i="1" s="1"/>
  <c r="L5165" i="1"/>
  <c r="Q5165" i="1" s="1"/>
  <c r="L5189" i="1"/>
  <c r="O5189" i="1" s="1"/>
  <c r="L5230" i="1"/>
  <c r="L5334" i="1"/>
  <c r="O5334" i="1" s="1"/>
  <c r="L6038" i="1"/>
  <c r="L6043" i="1"/>
  <c r="O6043" i="1" s="1"/>
  <c r="L6051" i="1"/>
  <c r="O6051" i="1" s="1"/>
  <c r="L6064" i="1"/>
  <c r="Q6064" i="1" s="1"/>
  <c r="L6066" i="1"/>
  <c r="O6066" i="1" s="1"/>
  <c r="L6068" i="1"/>
  <c r="Q6068" i="1" s="1"/>
  <c r="L6070" i="1"/>
  <c r="O6070" i="1" s="1"/>
  <c r="L6077" i="1"/>
  <c r="O6077" i="1" s="1"/>
  <c r="L5828" i="1"/>
  <c r="O5828" i="1" s="1"/>
  <c r="L5881" i="1"/>
  <c r="Q5881" i="1" s="1"/>
  <c r="L5900" i="1"/>
  <c r="O5900" i="1" s="1"/>
  <c r="L5989" i="1"/>
  <c r="O5989" i="1" s="1"/>
  <c r="L6016" i="1"/>
  <c r="O6016" i="1" s="1"/>
  <c r="L6021" i="1"/>
  <c r="O6021" i="1" s="1"/>
  <c r="L6082" i="1"/>
  <c r="Q6082" i="1" s="1"/>
  <c r="O6084" i="1"/>
  <c r="Q6084" i="1"/>
  <c r="Q6083" i="1"/>
  <c r="O6081" i="1"/>
  <c r="Q6081" i="1"/>
  <c r="O6080" i="1"/>
  <c r="O6079" i="1"/>
  <c r="Q6079" i="1"/>
  <c r="O6073" i="1"/>
  <c r="Q6073" i="1"/>
  <c r="O6061" i="1"/>
  <c r="Q6061" i="1"/>
  <c r="O6050" i="1"/>
  <c r="Q6050" i="1"/>
  <c r="O6049" i="1"/>
  <c r="Q6049" i="1"/>
  <c r="O6045" i="1"/>
  <c r="Q6045" i="1"/>
  <c r="O6044" i="1"/>
  <c r="Q6044" i="1"/>
  <c r="O6042" i="1"/>
  <c r="Q6042" i="1"/>
  <c r="O6041" i="1"/>
  <c r="Q6041" i="1"/>
  <c r="O6039" i="1"/>
  <c r="Q6039" i="1"/>
  <c r="O6032" i="1"/>
  <c r="Q6032" i="1"/>
  <c r="O6031" i="1"/>
  <c r="Q6031" i="1"/>
  <c r="O6029" i="1"/>
  <c r="Q6029" i="1"/>
  <c r="O6028" i="1"/>
  <c r="Q6028" i="1"/>
  <c r="O6026" i="1"/>
  <c r="Q6026" i="1"/>
  <c r="O6022" i="1"/>
  <c r="Q6022" i="1"/>
  <c r="O6019" i="1"/>
  <c r="Q6019" i="1"/>
  <c r="O6015" i="1"/>
  <c r="Q6015" i="1"/>
  <c r="M6013" i="1"/>
  <c r="O6013" i="1" s="1"/>
  <c r="Q6013" i="1"/>
  <c r="M6012" i="1"/>
  <c r="O6012" i="1" s="1"/>
  <c r="Q6012" i="1"/>
  <c r="O6011" i="1"/>
  <c r="Q6011" i="1"/>
  <c r="Q6002" i="1"/>
  <c r="O5998" i="1"/>
  <c r="Q5998" i="1"/>
  <c r="O5997" i="1"/>
  <c r="Q5997" i="1"/>
  <c r="O5996" i="1"/>
  <c r="Q5996" i="1"/>
  <c r="O5994" i="1"/>
  <c r="Q5994" i="1"/>
  <c r="O5992" i="1"/>
  <c r="Q5992" i="1"/>
  <c r="O5986" i="1"/>
  <c r="Q5986" i="1"/>
  <c r="O5985" i="1"/>
  <c r="Q5985" i="1"/>
  <c r="O5983" i="1"/>
  <c r="Q5983" i="1"/>
  <c r="M5982" i="1"/>
  <c r="O5982" i="1"/>
  <c r="Q5982" i="1"/>
  <c r="O5981" i="1"/>
  <c r="Q5981" i="1"/>
  <c r="M5977" i="1"/>
  <c r="O5977" i="1" s="1"/>
  <c r="Q5977" i="1"/>
  <c r="O5975" i="1"/>
  <c r="Q5975" i="1"/>
  <c r="O5973" i="1"/>
  <c r="Q5973" i="1"/>
  <c r="O5972" i="1"/>
  <c r="Q5972" i="1"/>
  <c r="O5971" i="1"/>
  <c r="Q5971" i="1"/>
  <c r="O5970" i="1"/>
  <c r="Q5970" i="1"/>
  <c r="O5966" i="1"/>
  <c r="Q5966" i="1"/>
  <c r="O5965" i="1"/>
  <c r="O5960" i="1"/>
  <c r="Q5960" i="1"/>
  <c r="O5959" i="1"/>
  <c r="Q5959" i="1"/>
  <c r="O5958" i="1"/>
  <c r="Q5958" i="1"/>
  <c r="O5956" i="1"/>
  <c r="Q5956" i="1"/>
  <c r="O5954" i="1"/>
  <c r="Q5954" i="1"/>
  <c r="O5953" i="1"/>
  <c r="Q5953" i="1"/>
  <c r="O5952" i="1"/>
  <c r="Q5952" i="1"/>
  <c r="O5951" i="1"/>
  <c r="Q5951" i="1"/>
  <c r="O5948" i="1"/>
  <c r="Q5948" i="1"/>
  <c r="O5946" i="1"/>
  <c r="Q5946" i="1"/>
  <c r="Q5942" i="1"/>
  <c r="O5940" i="1"/>
  <c r="Q5940" i="1"/>
  <c r="O5939" i="1"/>
  <c r="Q5939" i="1"/>
  <c r="Q5937" i="1"/>
  <c r="O5935" i="1"/>
  <c r="Q5935" i="1"/>
  <c r="O5934" i="1"/>
  <c r="Q5934" i="1"/>
  <c r="O5932" i="1"/>
  <c r="Q5932" i="1"/>
  <c r="O5931" i="1"/>
  <c r="Q5931" i="1"/>
  <c r="O5929" i="1"/>
  <c r="Q5929" i="1"/>
  <c r="O5926" i="1"/>
  <c r="Q5926" i="1"/>
  <c r="O5925" i="1"/>
  <c r="Q5925" i="1"/>
  <c r="O5924" i="1"/>
  <c r="Q5924" i="1"/>
  <c r="O5922" i="1"/>
  <c r="Q5922" i="1"/>
  <c r="Q5918" i="1"/>
  <c r="O5917" i="1"/>
  <c r="Q5917" i="1"/>
  <c r="O5916" i="1"/>
  <c r="Q5916" i="1"/>
  <c r="O5915" i="1"/>
  <c r="Q5915" i="1"/>
  <c r="O5914" i="1"/>
  <c r="Q5914" i="1"/>
  <c r="O5913" i="1"/>
  <c r="Q5913" i="1"/>
  <c r="O5912" i="1"/>
  <c r="Q5912" i="1"/>
  <c r="O5911" i="1"/>
  <c r="Q5911" i="1"/>
  <c r="O5910" i="1"/>
  <c r="Q5910" i="1"/>
  <c r="O5909" i="1"/>
  <c r="Q5909" i="1"/>
  <c r="O5908" i="1"/>
  <c r="Q5908" i="1"/>
  <c r="O5907" i="1"/>
  <c r="Q5907" i="1"/>
  <c r="O5906" i="1"/>
  <c r="Q5906" i="1"/>
  <c r="O5905" i="1"/>
  <c r="Q5905" i="1"/>
  <c r="O5902" i="1"/>
  <c r="Q5902" i="1"/>
  <c r="O5901" i="1"/>
  <c r="Q5901" i="1"/>
  <c r="O5899" i="1"/>
  <c r="Q5899" i="1"/>
  <c r="O5898" i="1"/>
  <c r="Q5898" i="1"/>
  <c r="O5897" i="1"/>
  <c r="Q5897" i="1"/>
  <c r="O5895" i="1"/>
  <c r="Q5895" i="1"/>
  <c r="O5894" i="1"/>
  <c r="Q5894" i="1"/>
  <c r="O5892" i="1"/>
  <c r="Q5892" i="1"/>
  <c r="O5891" i="1"/>
  <c r="Q5891" i="1"/>
  <c r="O5890" i="1"/>
  <c r="Q5890" i="1"/>
  <c r="O5889" i="1"/>
  <c r="Q5889" i="1"/>
  <c r="O5888" i="1"/>
  <c r="Q5888" i="1"/>
  <c r="O5887" i="1"/>
  <c r="Q5887" i="1"/>
  <c r="O5885" i="1"/>
  <c r="Q5885" i="1"/>
  <c r="O5883" i="1"/>
  <c r="Q5883" i="1"/>
  <c r="O5878" i="1"/>
  <c r="Q5878" i="1"/>
  <c r="O5877" i="1"/>
  <c r="Q5877" i="1"/>
  <c r="O5876" i="1"/>
  <c r="Q5876" i="1"/>
  <c r="O5875" i="1"/>
  <c r="Q5875" i="1"/>
  <c r="O5874" i="1"/>
  <c r="Q5874" i="1"/>
  <c r="O5873" i="1"/>
  <c r="Q5873" i="1"/>
  <c r="O5872" i="1"/>
  <c r="Q5872" i="1"/>
  <c r="O5870" i="1"/>
  <c r="Q5870" i="1"/>
  <c r="O5868" i="1"/>
  <c r="Q5868" i="1"/>
  <c r="O5867" i="1"/>
  <c r="Q5867" i="1"/>
  <c r="O5865" i="1"/>
  <c r="Q5865" i="1"/>
  <c r="O5864" i="1"/>
  <c r="Q5864" i="1"/>
  <c r="O5863" i="1"/>
  <c r="Q5863" i="1"/>
  <c r="M5861" i="1"/>
  <c r="O5861" i="1" s="1"/>
  <c r="Q5861" i="1"/>
  <c r="M5860" i="1"/>
  <c r="O5860" i="1" s="1"/>
  <c r="Q5860" i="1"/>
  <c r="M5859" i="1"/>
  <c r="O5859" i="1" s="1"/>
  <c r="Q5859" i="1"/>
  <c r="O5858" i="1"/>
  <c r="Q5858" i="1"/>
  <c r="O5855" i="1"/>
  <c r="Q5855" i="1"/>
  <c r="O5854" i="1"/>
  <c r="Q5854" i="1"/>
  <c r="Q5853" i="1"/>
  <c r="O5852" i="1"/>
  <c r="Q5852" i="1"/>
  <c r="O5851" i="1"/>
  <c r="Q5851" i="1"/>
  <c r="O5850" i="1"/>
  <c r="Q5850" i="1"/>
  <c r="O5847" i="1"/>
  <c r="Q5847" i="1"/>
  <c r="O5844" i="1"/>
  <c r="Q5844" i="1"/>
  <c r="O5843" i="1"/>
  <c r="Q5843" i="1"/>
  <c r="O5842" i="1"/>
  <c r="O5839" i="1"/>
  <c r="Q5839" i="1"/>
  <c r="O5838" i="1"/>
  <c r="Q5838" i="1"/>
  <c r="O5837" i="1"/>
  <c r="Q5837" i="1"/>
  <c r="Q5836" i="1"/>
  <c r="O5834" i="1"/>
  <c r="Q5834" i="1"/>
  <c r="O5833" i="1"/>
  <c r="Q5833" i="1"/>
  <c r="O5832" i="1"/>
  <c r="Q5832" i="1"/>
  <c r="O5831" i="1"/>
  <c r="Q5831" i="1"/>
  <c r="O5830" i="1"/>
  <c r="Q5830" i="1"/>
  <c r="O5829" i="1"/>
  <c r="Q5829" i="1"/>
  <c r="O5827" i="1"/>
  <c r="Q5827" i="1"/>
  <c r="O5825" i="1"/>
  <c r="Q5825" i="1"/>
  <c r="O5824" i="1"/>
  <c r="Q5824" i="1"/>
  <c r="O5823" i="1"/>
  <c r="Q5823" i="1"/>
  <c r="O5822" i="1"/>
  <c r="Q5822" i="1"/>
  <c r="O5820" i="1"/>
  <c r="Q5820" i="1"/>
  <c r="O5819" i="1"/>
  <c r="Q5819" i="1"/>
  <c r="O5817" i="1"/>
  <c r="Q5817" i="1"/>
  <c r="O5816" i="1"/>
  <c r="Q5816" i="1"/>
  <c r="O5815" i="1"/>
  <c r="Q5815" i="1"/>
  <c r="O5813" i="1"/>
  <c r="Q5813" i="1"/>
  <c r="O5811" i="1"/>
  <c r="Q5810" i="1"/>
  <c r="O5809" i="1"/>
  <c r="Q5809" i="1"/>
  <c r="O5808" i="1"/>
  <c r="Q5808" i="1"/>
  <c r="O5807" i="1"/>
  <c r="Q5807" i="1"/>
  <c r="O5806" i="1"/>
  <c r="Q5806" i="1"/>
  <c r="O5805" i="1"/>
  <c r="Q5805" i="1"/>
  <c r="O5804" i="1"/>
  <c r="Q5804" i="1"/>
  <c r="O5802" i="1"/>
  <c r="Q5802" i="1"/>
  <c r="O5799" i="1"/>
  <c r="Q5799" i="1"/>
  <c r="O5798" i="1"/>
  <c r="Q5798" i="1"/>
  <c r="O5797" i="1"/>
  <c r="Q5797" i="1"/>
  <c r="O5796" i="1"/>
  <c r="Q5796" i="1"/>
  <c r="O5795" i="1"/>
  <c r="Q5795" i="1"/>
  <c r="O5794" i="1"/>
  <c r="Q5794" i="1"/>
  <c r="O5793" i="1"/>
  <c r="Q5793" i="1"/>
  <c r="O5792" i="1"/>
  <c r="Q5792" i="1"/>
  <c r="O5791" i="1"/>
  <c r="Q5791" i="1"/>
  <c r="O5789" i="1"/>
  <c r="Q5789" i="1"/>
  <c r="O5788" i="1"/>
  <c r="Q5788" i="1"/>
  <c r="O5786" i="1"/>
  <c r="Q5786" i="1"/>
  <c r="O5785" i="1"/>
  <c r="Q5785" i="1"/>
  <c r="O5784" i="1"/>
  <c r="Q5784" i="1"/>
  <c r="O5783" i="1"/>
  <c r="Q5783" i="1"/>
  <c r="O5782" i="1"/>
  <c r="Q5782" i="1"/>
  <c r="O5781" i="1"/>
  <c r="Q5781" i="1"/>
  <c r="O5780" i="1"/>
  <c r="Q5780" i="1"/>
  <c r="O5779" i="1"/>
  <c r="Q5779" i="1"/>
  <c r="O5778" i="1"/>
  <c r="Q5778" i="1"/>
  <c r="O5777" i="1"/>
  <c r="Q5777" i="1"/>
  <c r="O5775" i="1"/>
  <c r="O5773" i="1"/>
  <c r="Q5773" i="1"/>
  <c r="O5771" i="1"/>
  <c r="Q5771" i="1"/>
  <c r="O5769" i="1"/>
  <c r="Q5769" i="1"/>
  <c r="O5768" i="1"/>
  <c r="Q5768" i="1"/>
  <c r="O5767" i="1"/>
  <c r="Q5767" i="1"/>
  <c r="O5766" i="1"/>
  <c r="Q5766" i="1"/>
  <c r="O5765" i="1"/>
  <c r="Q5765" i="1"/>
  <c r="O5763" i="1"/>
  <c r="Q5763" i="1"/>
  <c r="O5762" i="1"/>
  <c r="Q5762" i="1"/>
  <c r="O5761" i="1"/>
  <c r="Q5761" i="1"/>
  <c r="Q5760" i="1"/>
  <c r="O5759" i="1"/>
  <c r="Q5759" i="1"/>
  <c r="O5758" i="1"/>
  <c r="Q5758" i="1"/>
  <c r="O5757" i="1"/>
  <c r="Q5757" i="1"/>
  <c r="O5756" i="1"/>
  <c r="Q5756" i="1"/>
  <c r="O5755" i="1"/>
  <c r="Q5755" i="1"/>
  <c r="O5754" i="1"/>
  <c r="Q5754" i="1"/>
  <c r="O5753" i="1"/>
  <c r="Q5753" i="1"/>
  <c r="O5752" i="1"/>
  <c r="Q5752" i="1"/>
  <c r="O5751" i="1"/>
  <c r="Q5751" i="1"/>
  <c r="O5750" i="1"/>
  <c r="Q5750" i="1"/>
  <c r="O5749" i="1"/>
  <c r="Q5749" i="1"/>
  <c r="O5748" i="1"/>
  <c r="Q5748" i="1"/>
  <c r="O5747" i="1"/>
  <c r="Q5747" i="1"/>
  <c r="O5746" i="1"/>
  <c r="Q5746" i="1"/>
  <c r="O5745" i="1"/>
  <c r="Q5745" i="1"/>
  <c r="O5741" i="1"/>
  <c r="Q5741" i="1"/>
  <c r="O5740" i="1"/>
  <c r="Q5740" i="1"/>
  <c r="O5739" i="1"/>
  <c r="Q5739" i="1"/>
  <c r="O5737" i="1"/>
  <c r="Q5737" i="1"/>
  <c r="O5736" i="1"/>
  <c r="Q5736" i="1"/>
  <c r="O5731" i="1"/>
  <c r="Q5731" i="1"/>
  <c r="O5730" i="1"/>
  <c r="Q5730" i="1"/>
  <c r="O5729" i="1"/>
  <c r="Q5729" i="1"/>
  <c r="O5727" i="1"/>
  <c r="Q5727" i="1"/>
  <c r="O5726" i="1"/>
  <c r="Q5726" i="1"/>
  <c r="O5725" i="1"/>
  <c r="Q5725" i="1"/>
  <c r="O5724" i="1"/>
  <c r="Q5724" i="1"/>
  <c r="O5723" i="1"/>
  <c r="Q5723" i="1"/>
  <c r="O5722" i="1"/>
  <c r="Q5722" i="1"/>
  <c r="O5721" i="1"/>
  <c r="Q5721" i="1"/>
  <c r="O5718" i="1"/>
  <c r="Q5718" i="1"/>
  <c r="O5717" i="1"/>
  <c r="O5716" i="1"/>
  <c r="Q5716" i="1"/>
  <c r="O5715" i="1"/>
  <c r="Q5715" i="1"/>
  <c r="O5712" i="1"/>
  <c r="Q5712" i="1"/>
  <c r="O5711" i="1"/>
  <c r="O5709" i="1"/>
  <c r="Q5709" i="1"/>
  <c r="O5708" i="1"/>
  <c r="Q5708" i="1"/>
  <c r="O5707" i="1"/>
  <c r="Q5707" i="1"/>
  <c r="O5706" i="1"/>
  <c r="Q5706" i="1"/>
  <c r="O5704" i="1"/>
  <c r="Q5704" i="1"/>
  <c r="Q5699" i="1"/>
  <c r="O5699" i="1"/>
  <c r="O5695" i="1"/>
  <c r="Q5695" i="1"/>
  <c r="O5694" i="1"/>
  <c r="Q5694" i="1"/>
  <c r="O5692" i="1"/>
  <c r="Q5692" i="1"/>
  <c r="O5691" i="1"/>
  <c r="Q5691" i="1"/>
  <c r="O5690" i="1"/>
  <c r="Q5690" i="1"/>
  <c r="O5689" i="1"/>
  <c r="Q5689" i="1"/>
  <c r="O5688" i="1"/>
  <c r="Q5688" i="1"/>
  <c r="O5687" i="1"/>
  <c r="Q5687" i="1"/>
  <c r="O5686" i="1"/>
  <c r="Q5686" i="1"/>
  <c r="O5685" i="1"/>
  <c r="Q5685" i="1"/>
  <c r="O5684" i="1"/>
  <c r="Q5684" i="1"/>
  <c r="O5683" i="1"/>
  <c r="Q5683" i="1"/>
  <c r="O5682" i="1"/>
  <c r="Q5682" i="1"/>
  <c r="O5681" i="1"/>
  <c r="Q5681" i="1"/>
  <c r="O5680" i="1"/>
  <c r="Q5680" i="1"/>
  <c r="O5679" i="1"/>
  <c r="Q5679" i="1"/>
  <c r="O5678" i="1"/>
  <c r="Q5678" i="1"/>
  <c r="O5677" i="1"/>
  <c r="Q5677" i="1"/>
  <c r="O5675" i="1"/>
  <c r="Q5675" i="1"/>
  <c r="O5674" i="1"/>
  <c r="Q5674" i="1"/>
  <c r="O5673" i="1"/>
  <c r="Q5673" i="1"/>
  <c r="O5672" i="1"/>
  <c r="Q5672" i="1"/>
  <c r="O5671" i="1"/>
  <c r="Q5671" i="1"/>
  <c r="O5670" i="1"/>
  <c r="Q5670" i="1"/>
  <c r="O5669" i="1"/>
  <c r="Q5669" i="1"/>
  <c r="O5668" i="1"/>
  <c r="Q5668" i="1"/>
  <c r="O5667" i="1"/>
  <c r="O5666" i="1"/>
  <c r="Q5666" i="1"/>
  <c r="O5665" i="1"/>
  <c r="Q5665" i="1"/>
  <c r="O5664" i="1"/>
  <c r="Q5664" i="1"/>
  <c r="O5663" i="1"/>
  <c r="Q5663" i="1"/>
  <c r="O5662" i="1"/>
  <c r="Q5662" i="1"/>
  <c r="O5661" i="1"/>
  <c r="Q5661" i="1"/>
  <c r="O5660" i="1"/>
  <c r="Q5660" i="1"/>
  <c r="O5659" i="1"/>
  <c r="Q5659" i="1"/>
  <c r="O5657" i="1"/>
  <c r="Q5657" i="1"/>
  <c r="O5655" i="1"/>
  <c r="Q5655" i="1"/>
  <c r="O5654" i="1"/>
  <c r="Q5654" i="1"/>
  <c r="O5653" i="1"/>
  <c r="Q5653" i="1"/>
  <c r="O5652" i="1"/>
  <c r="Q5652" i="1"/>
  <c r="O5651" i="1"/>
  <c r="Q5651" i="1"/>
  <c r="O5650" i="1"/>
  <c r="Q5650" i="1"/>
  <c r="O5649" i="1"/>
  <c r="Q5649" i="1"/>
  <c r="O5648" i="1"/>
  <c r="Q5648" i="1"/>
  <c r="O5647" i="1"/>
  <c r="Q5647" i="1"/>
  <c r="O5646" i="1"/>
  <c r="Q5646" i="1"/>
  <c r="O5645" i="1"/>
  <c r="Q5645" i="1"/>
  <c r="O5644" i="1"/>
  <c r="Q5644" i="1"/>
  <c r="O5643" i="1"/>
  <c r="Q5643" i="1"/>
  <c r="O5642" i="1"/>
  <c r="Q5642" i="1"/>
  <c r="O5641" i="1"/>
  <c r="Q5641" i="1"/>
  <c r="O5640" i="1"/>
  <c r="Q5640" i="1"/>
  <c r="O5639" i="1"/>
  <c r="Q5639" i="1"/>
  <c r="O5638" i="1"/>
  <c r="Q5638" i="1"/>
  <c r="O5637" i="1"/>
  <c r="Q5637" i="1"/>
  <c r="O5636" i="1"/>
  <c r="Q5636" i="1"/>
  <c r="O5635" i="1"/>
  <c r="Q5635" i="1"/>
  <c r="O5634" i="1"/>
  <c r="Q5634" i="1"/>
  <c r="O5633" i="1"/>
  <c r="Q5633" i="1"/>
  <c r="O5632" i="1"/>
  <c r="Q5632" i="1"/>
  <c r="O5631" i="1"/>
  <c r="Q5631" i="1"/>
  <c r="O5630" i="1"/>
  <c r="Q5630" i="1"/>
  <c r="O5629" i="1"/>
  <c r="Q5629" i="1"/>
  <c r="O5628" i="1"/>
  <c r="Q5628" i="1"/>
  <c r="O5627" i="1"/>
  <c r="Q5627" i="1"/>
  <c r="O5626" i="1"/>
  <c r="Q5626" i="1"/>
  <c r="O5625" i="1"/>
  <c r="Q5625" i="1"/>
  <c r="O5624" i="1"/>
  <c r="Q5624" i="1"/>
  <c r="O5623" i="1"/>
  <c r="Q5623" i="1"/>
  <c r="O5622" i="1"/>
  <c r="Q5622" i="1"/>
  <c r="O5621" i="1"/>
  <c r="Q5621" i="1"/>
  <c r="O5620" i="1"/>
  <c r="Q5620" i="1"/>
  <c r="O5619" i="1"/>
  <c r="Q5619" i="1"/>
  <c r="Q5618" i="1"/>
  <c r="O5618" i="1"/>
  <c r="O5617" i="1"/>
  <c r="Q5617" i="1"/>
  <c r="O5612" i="1"/>
  <c r="Q5612" i="1"/>
  <c r="O5611" i="1"/>
  <c r="Q5611" i="1"/>
  <c r="O5610" i="1"/>
  <c r="Q5610" i="1"/>
  <c r="O5609" i="1"/>
  <c r="Q5609" i="1"/>
  <c r="O5608" i="1"/>
  <c r="Q5608" i="1"/>
  <c r="O5607" i="1"/>
  <c r="Q5607" i="1"/>
  <c r="O5606" i="1"/>
  <c r="Q5606" i="1"/>
  <c r="O5605" i="1"/>
  <c r="Q5605" i="1"/>
  <c r="O5604" i="1"/>
  <c r="Q5604" i="1"/>
  <c r="O5603" i="1"/>
  <c r="Q5603" i="1"/>
  <c r="O5602" i="1"/>
  <c r="Q5602" i="1"/>
  <c r="O5601" i="1"/>
  <c r="Q5601" i="1"/>
  <c r="O5600" i="1"/>
  <c r="Q5600" i="1"/>
  <c r="O5599" i="1"/>
  <c r="Q5599" i="1"/>
  <c r="O5598" i="1"/>
  <c r="Q5598" i="1"/>
  <c r="O5597" i="1"/>
  <c r="Q5597" i="1"/>
  <c r="O5596" i="1"/>
  <c r="Q5596" i="1"/>
  <c r="O5595" i="1"/>
  <c r="Q5595" i="1"/>
  <c r="O5594" i="1"/>
  <c r="Q5594" i="1"/>
  <c r="O5593" i="1"/>
  <c r="Q5593" i="1"/>
  <c r="O5592" i="1"/>
  <c r="Q5592" i="1"/>
  <c r="O5591" i="1"/>
  <c r="Q5591" i="1"/>
  <c r="O5590" i="1"/>
  <c r="Q5590" i="1"/>
  <c r="O5589" i="1"/>
  <c r="Q5589" i="1"/>
  <c r="O5588" i="1"/>
  <c r="Q5588" i="1"/>
  <c r="O5587" i="1"/>
  <c r="Q5587" i="1"/>
  <c r="O5585" i="1"/>
  <c r="Q5585" i="1"/>
  <c r="O5584" i="1"/>
  <c r="Q5584" i="1"/>
  <c r="O5583" i="1"/>
  <c r="Q5583" i="1"/>
  <c r="O5582" i="1"/>
  <c r="Q5582" i="1"/>
  <c r="O5578" i="1"/>
  <c r="Q5578" i="1"/>
  <c r="O5577" i="1"/>
  <c r="Q5577" i="1"/>
  <c r="O5576" i="1"/>
  <c r="Q5576" i="1"/>
  <c r="O5575" i="1"/>
  <c r="Q5575" i="1"/>
  <c r="O5574" i="1"/>
  <c r="Q5574" i="1"/>
  <c r="O5573" i="1"/>
  <c r="Q5573" i="1"/>
  <c r="O5572" i="1"/>
  <c r="Q5572" i="1"/>
  <c r="O5571" i="1"/>
  <c r="Q5571" i="1"/>
  <c r="O5570" i="1"/>
  <c r="Q5570" i="1"/>
  <c r="O5568" i="1"/>
  <c r="Q5568" i="1"/>
  <c r="O5567" i="1"/>
  <c r="Q5567" i="1"/>
  <c r="O5566" i="1"/>
  <c r="Q5566" i="1"/>
  <c r="O5564" i="1"/>
  <c r="Q5564" i="1"/>
  <c r="O5561" i="1"/>
  <c r="Q5561" i="1"/>
  <c r="O5560" i="1"/>
  <c r="Q5560" i="1"/>
  <c r="O5559" i="1"/>
  <c r="Q5559" i="1"/>
  <c r="O5558" i="1"/>
  <c r="Q5558" i="1"/>
  <c r="O5557" i="1"/>
  <c r="Q5557" i="1"/>
  <c r="O5556" i="1"/>
  <c r="Q5556" i="1"/>
  <c r="O5554" i="1"/>
  <c r="Q5554" i="1"/>
  <c r="O5552" i="1"/>
  <c r="Q5552" i="1"/>
  <c r="O5551" i="1"/>
  <c r="Q5551" i="1"/>
  <c r="O5550" i="1"/>
  <c r="Q5550" i="1"/>
  <c r="O5549" i="1"/>
  <c r="Q5549" i="1"/>
  <c r="O5547" i="1"/>
  <c r="Q5547" i="1"/>
  <c r="O5546" i="1"/>
  <c r="Q5546" i="1"/>
  <c r="O5545" i="1"/>
  <c r="Q5545" i="1"/>
  <c r="O5544" i="1"/>
  <c r="Q5544" i="1"/>
  <c r="O5543" i="1"/>
  <c r="Q5543" i="1"/>
  <c r="O5542" i="1"/>
  <c r="Q5542" i="1"/>
  <c r="O5541" i="1"/>
  <c r="Q5541" i="1"/>
  <c r="O5540" i="1"/>
  <c r="Q5540" i="1"/>
  <c r="O5539" i="1"/>
  <c r="Q5539" i="1"/>
  <c r="O5538" i="1"/>
  <c r="Q5538" i="1"/>
  <c r="O5537" i="1"/>
  <c r="Q5537" i="1"/>
  <c r="O5536" i="1"/>
  <c r="Q5536" i="1"/>
  <c r="O5535" i="1"/>
  <c r="Q5535" i="1"/>
  <c r="O5534" i="1"/>
  <c r="O5533" i="1"/>
  <c r="Q5533" i="1"/>
  <c r="O5532" i="1"/>
  <c r="Q5532" i="1"/>
  <c r="O5531" i="1"/>
  <c r="Q5531" i="1"/>
  <c r="O5530" i="1"/>
  <c r="Q5530" i="1"/>
  <c r="O5529" i="1"/>
  <c r="Q5529" i="1"/>
  <c r="O5528" i="1"/>
  <c r="Q5528" i="1"/>
  <c r="Q5526" i="1"/>
  <c r="O5526" i="1"/>
  <c r="O5523" i="1"/>
  <c r="Q5523" i="1"/>
  <c r="O5522" i="1"/>
  <c r="Q5522" i="1"/>
  <c r="O5521" i="1"/>
  <c r="Q5521" i="1"/>
  <c r="O5520" i="1"/>
  <c r="Q5520" i="1"/>
  <c r="O5519" i="1"/>
  <c r="Q5519" i="1"/>
  <c r="O5518" i="1"/>
  <c r="Q5518" i="1"/>
  <c r="O5517" i="1"/>
  <c r="Q5517" i="1"/>
  <c r="O5516" i="1"/>
  <c r="Q5516" i="1"/>
  <c r="O5515" i="1"/>
  <c r="Q5515" i="1"/>
  <c r="O5514" i="1"/>
  <c r="Q5514" i="1"/>
  <c r="O5513" i="1"/>
  <c r="Q5513" i="1"/>
  <c r="O5512" i="1"/>
  <c r="Q5512" i="1"/>
  <c r="O5510" i="1"/>
  <c r="Q5510" i="1"/>
  <c r="O5509" i="1"/>
  <c r="Q5509" i="1"/>
  <c r="O5508" i="1"/>
  <c r="Q5508" i="1"/>
  <c r="O5506" i="1"/>
  <c r="Q5506" i="1"/>
  <c r="O5505" i="1"/>
  <c r="Q5505" i="1"/>
  <c r="O5503" i="1"/>
  <c r="Q5503" i="1"/>
  <c r="O5502" i="1"/>
  <c r="Q5502" i="1"/>
  <c r="O5501" i="1"/>
  <c r="Q5501" i="1"/>
  <c r="O5500" i="1"/>
  <c r="Q5500" i="1"/>
  <c r="O5499" i="1"/>
  <c r="Q5499" i="1"/>
  <c r="O5498" i="1"/>
  <c r="Q5498" i="1"/>
  <c r="O5497" i="1"/>
  <c r="Q5497" i="1"/>
  <c r="O5496" i="1"/>
  <c r="Q5496" i="1"/>
  <c r="O5495" i="1"/>
  <c r="Q5495" i="1"/>
  <c r="Q5493" i="1"/>
  <c r="O5492" i="1"/>
  <c r="Q5492" i="1"/>
  <c r="O5491" i="1"/>
  <c r="Q5491" i="1"/>
  <c r="O5489" i="1"/>
  <c r="Q5489" i="1"/>
  <c r="O5486" i="1"/>
  <c r="Q5486" i="1"/>
  <c r="O5485" i="1"/>
  <c r="Q5485" i="1"/>
  <c r="O5484" i="1"/>
  <c r="Q5484" i="1"/>
  <c r="O5483" i="1"/>
  <c r="Q5483" i="1"/>
  <c r="O5482" i="1"/>
  <c r="Q5482" i="1"/>
  <c r="O5480" i="1"/>
  <c r="Q5480" i="1"/>
  <c r="O5479" i="1"/>
  <c r="Q5479" i="1"/>
  <c r="O5478" i="1"/>
  <c r="Q5478" i="1"/>
  <c r="O5475" i="1"/>
  <c r="Q5475" i="1"/>
  <c r="O5474" i="1"/>
  <c r="Q5474" i="1"/>
  <c r="O5473" i="1"/>
  <c r="Q5473" i="1"/>
  <c r="O5472" i="1"/>
  <c r="Q5472" i="1"/>
  <c r="O5471" i="1"/>
  <c r="Q5471" i="1"/>
  <c r="O5470" i="1"/>
  <c r="Q5470" i="1"/>
  <c r="O5468" i="1"/>
  <c r="Q5468" i="1"/>
  <c r="O5467" i="1"/>
  <c r="Q5467" i="1"/>
  <c r="O5466" i="1"/>
  <c r="Q5466" i="1"/>
  <c r="O5465" i="1"/>
  <c r="Q5465" i="1"/>
  <c r="O5462" i="1"/>
  <c r="Q5462" i="1"/>
  <c r="O5461" i="1"/>
  <c r="Q5461" i="1"/>
  <c r="O5460" i="1"/>
  <c r="Q5460" i="1"/>
  <c r="O5459" i="1"/>
  <c r="Q5459" i="1"/>
  <c r="O5457" i="1"/>
  <c r="Q5457" i="1"/>
  <c r="O5456" i="1"/>
  <c r="Q5456" i="1"/>
  <c r="O5455" i="1"/>
  <c r="Q5455" i="1"/>
  <c r="O5454" i="1"/>
  <c r="Q5454" i="1"/>
  <c r="O5453" i="1"/>
  <c r="Q5453" i="1"/>
  <c r="O5451" i="1"/>
  <c r="Q5451" i="1"/>
  <c r="O5450" i="1"/>
  <c r="Q5450" i="1"/>
  <c r="O5449" i="1"/>
  <c r="Q5449" i="1"/>
  <c r="O5448" i="1"/>
  <c r="Q5448" i="1"/>
  <c r="O5447" i="1"/>
  <c r="Q5447" i="1"/>
  <c r="O5446" i="1"/>
  <c r="Q5446" i="1"/>
  <c r="O5445" i="1"/>
  <c r="Q5445" i="1"/>
  <c r="O5444" i="1"/>
  <c r="Q5444" i="1"/>
  <c r="O5443" i="1"/>
  <c r="Q5443" i="1"/>
  <c r="O5442" i="1"/>
  <c r="Q5442" i="1"/>
  <c r="O5441" i="1"/>
  <c r="Q5441" i="1"/>
  <c r="O5440" i="1"/>
  <c r="Q5440" i="1"/>
  <c r="O5439" i="1"/>
  <c r="Q5439" i="1"/>
  <c r="O5438" i="1"/>
  <c r="Q5438" i="1"/>
  <c r="O5437" i="1"/>
  <c r="Q5437" i="1"/>
  <c r="O5436" i="1"/>
  <c r="Q5436" i="1"/>
  <c r="O5435" i="1"/>
  <c r="Q5435" i="1"/>
  <c r="O5434" i="1"/>
  <c r="Q5434" i="1"/>
  <c r="O5433" i="1"/>
  <c r="Q5433" i="1"/>
  <c r="O5429" i="1"/>
  <c r="Q5429" i="1"/>
  <c r="O5428" i="1"/>
  <c r="Q5428" i="1"/>
  <c r="O5427" i="1"/>
  <c r="Q5427" i="1"/>
  <c r="O5426" i="1"/>
  <c r="Q5426" i="1"/>
  <c r="O5425" i="1"/>
  <c r="Q5425" i="1"/>
  <c r="O5423" i="1"/>
  <c r="Q5423" i="1"/>
  <c r="O5421" i="1"/>
  <c r="Q5421" i="1"/>
  <c r="O5420" i="1"/>
  <c r="Q5420" i="1"/>
  <c r="O5419" i="1"/>
  <c r="Q5419" i="1"/>
  <c r="O5418" i="1"/>
  <c r="Q5418" i="1"/>
  <c r="O5416" i="1"/>
  <c r="Q5416" i="1"/>
  <c r="O5414" i="1"/>
  <c r="Q5414" i="1"/>
  <c r="O5411" i="1"/>
  <c r="Q5411" i="1"/>
  <c r="O5410" i="1"/>
  <c r="Q5410" i="1"/>
  <c r="O5408" i="1"/>
  <c r="Q5408" i="1"/>
  <c r="O5406" i="1"/>
  <c r="Q5406" i="1"/>
  <c r="O5404" i="1"/>
  <c r="Q5404" i="1"/>
  <c r="O5403" i="1"/>
  <c r="Q5403" i="1"/>
  <c r="O5402" i="1"/>
  <c r="Q5402" i="1"/>
  <c r="O5401" i="1"/>
  <c r="Q5401" i="1"/>
  <c r="O5400" i="1"/>
  <c r="Q5400" i="1"/>
  <c r="O5399" i="1"/>
  <c r="Q5399" i="1"/>
  <c r="O5398" i="1"/>
  <c r="Q5398" i="1"/>
  <c r="O5397" i="1"/>
  <c r="Q5397" i="1"/>
  <c r="O5396" i="1"/>
  <c r="Q5396" i="1"/>
  <c r="O5395" i="1"/>
  <c r="Q5395" i="1"/>
  <c r="O5394" i="1"/>
  <c r="Q5394" i="1"/>
  <c r="O5393" i="1"/>
  <c r="Q5393" i="1"/>
  <c r="O5392" i="1"/>
  <c r="Q5392" i="1"/>
  <c r="O5391" i="1"/>
  <c r="Q5391" i="1"/>
  <c r="O5390" i="1"/>
  <c r="Q5390" i="1"/>
  <c r="O5389" i="1"/>
  <c r="Q5389" i="1"/>
  <c r="O5388" i="1"/>
  <c r="Q5388" i="1"/>
  <c r="O5387" i="1"/>
  <c r="Q5387" i="1"/>
  <c r="O5386" i="1"/>
  <c r="Q5386" i="1"/>
  <c r="O5385" i="1"/>
  <c r="Q5385" i="1"/>
  <c r="O5384" i="1"/>
  <c r="Q5384" i="1"/>
  <c r="O5383" i="1"/>
  <c r="Q5383" i="1"/>
  <c r="O5382" i="1"/>
  <c r="Q5382" i="1"/>
  <c r="O5381" i="1"/>
  <c r="Q5381" i="1"/>
  <c r="O5380" i="1"/>
  <c r="Q5380" i="1"/>
  <c r="O5379" i="1"/>
  <c r="Q5379" i="1"/>
  <c r="O5377" i="1"/>
  <c r="Q5377" i="1"/>
  <c r="O5372" i="1"/>
  <c r="Q5372" i="1"/>
  <c r="O5371" i="1"/>
  <c r="Q5371" i="1"/>
  <c r="O5370" i="1"/>
  <c r="Q5370" i="1"/>
  <c r="O5369" i="1"/>
  <c r="Q5369" i="1"/>
  <c r="O5368" i="1"/>
  <c r="Q5368" i="1"/>
  <c r="O5366" i="1"/>
  <c r="Q5366" i="1"/>
  <c r="O5365" i="1"/>
  <c r="Q5365" i="1"/>
  <c r="O5364" i="1"/>
  <c r="Q5364" i="1"/>
  <c r="O5362" i="1"/>
  <c r="Q5362" i="1"/>
  <c r="O5361" i="1"/>
  <c r="Q5361" i="1"/>
  <c r="O5360" i="1"/>
  <c r="Q5360" i="1"/>
  <c r="O5359" i="1"/>
  <c r="Q5359" i="1"/>
  <c r="O5357" i="1"/>
  <c r="Q5357" i="1"/>
  <c r="O5355" i="1"/>
  <c r="Q5355" i="1"/>
  <c r="Q5354" i="1"/>
  <c r="O5352" i="1"/>
  <c r="Q5352" i="1"/>
  <c r="O5351" i="1"/>
  <c r="Q5350" i="1"/>
  <c r="O5349" i="1"/>
  <c r="Q5349" i="1"/>
  <c r="O5348" i="1"/>
  <c r="Q5348" i="1"/>
  <c r="O5347" i="1"/>
  <c r="Q5347" i="1"/>
  <c r="O5346" i="1"/>
  <c r="Q5346" i="1"/>
  <c r="O5345" i="1"/>
  <c r="Q5345" i="1"/>
  <c r="O5344" i="1"/>
  <c r="Q5344" i="1"/>
  <c r="O5342" i="1"/>
  <c r="Q5342" i="1"/>
  <c r="O5341" i="1"/>
  <c r="Q5341" i="1"/>
  <c r="O5340" i="1"/>
  <c r="Q5340" i="1"/>
  <c r="O5339" i="1"/>
  <c r="Q5339" i="1"/>
  <c r="O5337" i="1"/>
  <c r="Q5337" i="1"/>
  <c r="O5336" i="1"/>
  <c r="Q5336" i="1"/>
  <c r="O5335" i="1"/>
  <c r="O5333" i="1"/>
  <c r="Q5333" i="1"/>
  <c r="O5332" i="1"/>
  <c r="Q5332" i="1"/>
  <c r="O5331" i="1"/>
  <c r="Q5331" i="1"/>
  <c r="O5329" i="1"/>
  <c r="Q5329" i="1"/>
  <c r="O5327" i="1"/>
  <c r="Q5327" i="1"/>
  <c r="O5326" i="1"/>
  <c r="Q5326" i="1"/>
  <c r="O5325" i="1"/>
  <c r="Q5325" i="1"/>
  <c r="O5324" i="1"/>
  <c r="Q5324" i="1"/>
  <c r="O5322" i="1"/>
  <c r="Q5322" i="1"/>
  <c r="O5321" i="1"/>
  <c r="Q5321" i="1"/>
  <c r="O5320" i="1"/>
  <c r="Q5320" i="1"/>
  <c r="O5319" i="1"/>
  <c r="Q5319" i="1"/>
  <c r="O5318" i="1"/>
  <c r="Q5318" i="1"/>
  <c r="O5317" i="1"/>
  <c r="Q5317" i="1"/>
  <c r="O5316" i="1"/>
  <c r="Q5316" i="1"/>
  <c r="O5315" i="1"/>
  <c r="Q5315" i="1"/>
  <c r="O5313" i="1"/>
  <c r="Q5313" i="1"/>
  <c r="O5312" i="1"/>
  <c r="Q5312" i="1"/>
  <c r="O5311" i="1"/>
  <c r="Q5311" i="1"/>
  <c r="O5310" i="1"/>
  <c r="Q5310" i="1"/>
  <c r="O5309" i="1"/>
  <c r="Q5309" i="1"/>
  <c r="O5308" i="1"/>
  <c r="Q5308" i="1"/>
  <c r="O5307" i="1"/>
  <c r="Q5307" i="1"/>
  <c r="O5306" i="1"/>
  <c r="Q5306" i="1"/>
  <c r="O5305" i="1"/>
  <c r="Q5305" i="1"/>
  <c r="O5304" i="1"/>
  <c r="Q5304" i="1"/>
  <c r="O5303" i="1"/>
  <c r="Q5303" i="1"/>
  <c r="O5302" i="1"/>
  <c r="Q5302" i="1"/>
  <c r="O5296" i="1"/>
  <c r="Q5296" i="1"/>
  <c r="O5295" i="1"/>
  <c r="Q5295" i="1"/>
  <c r="O5291" i="1"/>
  <c r="Q5291" i="1"/>
  <c r="O5289" i="1"/>
  <c r="Q5289" i="1"/>
  <c r="Q5285" i="1"/>
  <c r="O5284" i="1"/>
  <c r="Q5284" i="1"/>
  <c r="O5283" i="1"/>
  <c r="Q5283" i="1"/>
  <c r="O5281" i="1"/>
  <c r="O5280" i="1"/>
  <c r="Q5280" i="1"/>
  <c r="O5279" i="1"/>
  <c r="O5277" i="1"/>
  <c r="Q5277" i="1"/>
  <c r="O5276" i="1"/>
  <c r="Q5276" i="1"/>
  <c r="O5275" i="1"/>
  <c r="Q5275" i="1"/>
  <c r="O5274" i="1"/>
  <c r="Q5274" i="1"/>
  <c r="O5273" i="1"/>
  <c r="Q5273" i="1"/>
  <c r="O5272" i="1"/>
  <c r="Q5272" i="1"/>
  <c r="O5271" i="1"/>
  <c r="Q5271" i="1"/>
  <c r="O5269" i="1"/>
  <c r="Q5269" i="1"/>
  <c r="O5268" i="1"/>
  <c r="Q5268" i="1"/>
  <c r="O5267" i="1"/>
  <c r="Q5267" i="1"/>
  <c r="O5266" i="1"/>
  <c r="Q5266" i="1"/>
  <c r="O5265" i="1"/>
  <c r="Q5265" i="1"/>
  <c r="O5264" i="1"/>
  <c r="Q5264" i="1"/>
  <c r="O5263" i="1"/>
  <c r="Q5263" i="1"/>
  <c r="O5262" i="1"/>
  <c r="Q5262" i="1"/>
  <c r="O5261" i="1"/>
  <c r="Q5261" i="1"/>
  <c r="O5260" i="1"/>
  <c r="Q5260" i="1"/>
  <c r="O5259" i="1"/>
  <c r="Q5259" i="1"/>
  <c r="O5257" i="1"/>
  <c r="Q5256" i="1"/>
  <c r="O5255" i="1"/>
  <c r="Q5255" i="1"/>
  <c r="O5252" i="1"/>
  <c r="Q5252" i="1"/>
  <c r="O5250" i="1"/>
  <c r="Q5250" i="1"/>
  <c r="O5248" i="1"/>
  <c r="Q5248" i="1"/>
  <c r="O5247" i="1"/>
  <c r="Q5247" i="1"/>
  <c r="O5246" i="1"/>
  <c r="Q5246" i="1"/>
  <c r="O5245" i="1"/>
  <c r="Q5245" i="1"/>
  <c r="O5244" i="1"/>
  <c r="Q5244" i="1"/>
  <c r="O5243" i="1"/>
  <c r="Q5243" i="1"/>
  <c r="O5241" i="1"/>
  <c r="Q5241" i="1"/>
  <c r="O5238" i="1"/>
  <c r="Q5238" i="1"/>
  <c r="O5237" i="1"/>
  <c r="Q5237" i="1"/>
  <c r="O5236" i="1"/>
  <c r="Q5236" i="1"/>
  <c r="O5235" i="1"/>
  <c r="Q5235" i="1"/>
  <c r="O5234" i="1"/>
  <c r="Q5234" i="1"/>
  <c r="Q5233" i="1"/>
  <c r="O5233" i="1"/>
  <c r="O5232" i="1"/>
  <c r="Q5232" i="1"/>
  <c r="O5231" i="1"/>
  <c r="Q5231" i="1"/>
  <c r="O5229" i="1"/>
  <c r="Q5229" i="1"/>
  <c r="O5227" i="1"/>
  <c r="Q5227" i="1"/>
  <c r="O5226" i="1"/>
  <c r="Q5226" i="1"/>
  <c r="O5225" i="1"/>
  <c r="Q5225" i="1"/>
  <c r="O5224" i="1"/>
  <c r="Q5224" i="1"/>
  <c r="O5223" i="1"/>
  <c r="Q5223" i="1"/>
  <c r="O5222" i="1"/>
  <c r="Q5222" i="1"/>
  <c r="O5221" i="1"/>
  <c r="Q5221" i="1"/>
  <c r="O5220" i="1"/>
  <c r="Q5220" i="1"/>
  <c r="O5219" i="1"/>
  <c r="Q5219" i="1"/>
  <c r="O5218" i="1"/>
  <c r="Q5218" i="1"/>
  <c r="O5217" i="1"/>
  <c r="Q5217" i="1"/>
  <c r="O5216" i="1"/>
  <c r="Q5216" i="1"/>
  <c r="O5215" i="1"/>
  <c r="Q5215" i="1"/>
  <c r="O5214" i="1"/>
  <c r="Q5214" i="1"/>
  <c r="O5213" i="1"/>
  <c r="Q5213" i="1"/>
  <c r="O5212" i="1"/>
  <c r="Q5212" i="1"/>
  <c r="O5211" i="1"/>
  <c r="Q5211" i="1"/>
  <c r="O5210" i="1"/>
  <c r="Q5210" i="1"/>
  <c r="O5209" i="1"/>
  <c r="Q5209" i="1"/>
  <c r="O5208" i="1"/>
  <c r="Q5208" i="1"/>
  <c r="O5206" i="1"/>
  <c r="Q5206" i="1"/>
  <c r="O5205" i="1"/>
  <c r="Q5205" i="1"/>
  <c r="O5204" i="1"/>
  <c r="Q5204" i="1"/>
  <c r="O5203" i="1"/>
  <c r="Q5203" i="1"/>
  <c r="O5202" i="1"/>
  <c r="Q5202" i="1"/>
  <c r="O5201" i="1"/>
  <c r="Q5201" i="1"/>
  <c r="O5200" i="1"/>
  <c r="Q5200" i="1"/>
  <c r="O5199" i="1"/>
  <c r="Q5199" i="1"/>
  <c r="O5198" i="1"/>
  <c r="Q5198" i="1"/>
  <c r="O5197" i="1"/>
  <c r="Q5197" i="1"/>
  <c r="O5196" i="1"/>
  <c r="Q5196" i="1"/>
  <c r="O5195" i="1"/>
  <c r="Q5195" i="1"/>
  <c r="O5194" i="1"/>
  <c r="Q5194" i="1"/>
  <c r="O5193" i="1"/>
  <c r="Q5193" i="1"/>
  <c r="O5192" i="1"/>
  <c r="Q5192" i="1"/>
  <c r="O5191" i="1"/>
  <c r="Q5191" i="1"/>
  <c r="O5190" i="1"/>
  <c r="O5188" i="1"/>
  <c r="O5187" i="1"/>
  <c r="Q5187" i="1"/>
  <c r="O5186" i="1"/>
  <c r="Q5186" i="1"/>
  <c r="O5185" i="1"/>
  <c r="Q5185" i="1"/>
  <c r="O5184" i="1"/>
  <c r="Q5184" i="1"/>
  <c r="O5182" i="1"/>
  <c r="Q5182" i="1"/>
  <c r="O5181" i="1"/>
  <c r="Q5181" i="1"/>
  <c r="Q5180" i="1"/>
  <c r="O5179" i="1"/>
  <c r="Q5179" i="1"/>
  <c r="O5178" i="1"/>
  <c r="O5177" i="1"/>
  <c r="Q5177" i="1"/>
  <c r="O5175" i="1"/>
  <c r="Q5175" i="1"/>
  <c r="O5173" i="1"/>
  <c r="Q5173" i="1"/>
  <c r="O5172" i="1"/>
  <c r="O5171" i="1"/>
  <c r="O5170" i="1"/>
  <c r="Q5170" i="1"/>
  <c r="O5169" i="1"/>
  <c r="Q5169" i="1"/>
  <c r="O5167" i="1"/>
  <c r="Q5167" i="1"/>
  <c r="O5166" i="1"/>
  <c r="Q5166" i="1"/>
  <c r="O5164" i="1"/>
  <c r="Q5164" i="1"/>
  <c r="O5163" i="1"/>
  <c r="Q5163" i="1"/>
  <c r="O5161" i="1"/>
  <c r="Q5161" i="1"/>
  <c r="O5160" i="1"/>
  <c r="Q5160" i="1"/>
  <c r="O5159" i="1"/>
  <c r="Q5159" i="1"/>
  <c r="O5157" i="1"/>
  <c r="Q5157" i="1"/>
  <c r="O5156" i="1"/>
  <c r="Q5156" i="1"/>
  <c r="O5155" i="1"/>
  <c r="Q5155" i="1"/>
  <c r="O5154" i="1"/>
  <c r="Q5154" i="1"/>
  <c r="O5153" i="1"/>
  <c r="Q5153" i="1"/>
  <c r="O5152" i="1"/>
  <c r="Q5152" i="1"/>
  <c r="O5151" i="1"/>
  <c r="O5149" i="1"/>
  <c r="Q5149" i="1"/>
  <c r="O5148" i="1"/>
  <c r="Q5148" i="1"/>
  <c r="O5147" i="1"/>
  <c r="Q5147" i="1"/>
  <c r="O5146" i="1"/>
  <c r="Q5146" i="1"/>
  <c r="O5145" i="1"/>
  <c r="Q5145" i="1"/>
  <c r="O5144" i="1"/>
  <c r="Q5144" i="1"/>
  <c r="O5139" i="1"/>
  <c r="Q5139" i="1"/>
  <c r="Q5137" i="1"/>
  <c r="O5136" i="1"/>
  <c r="Q5136" i="1"/>
  <c r="O5135" i="1"/>
  <c r="Q5135" i="1"/>
  <c r="O5133" i="1"/>
  <c r="Q5133" i="1"/>
  <c r="O5132" i="1"/>
  <c r="Q5132" i="1"/>
  <c r="O5131" i="1"/>
  <c r="Q5131" i="1"/>
  <c r="O5130" i="1"/>
  <c r="Q5130" i="1"/>
  <c r="O5129" i="1"/>
  <c r="Q5129" i="1"/>
  <c r="O5127" i="1"/>
  <c r="Q5127" i="1"/>
  <c r="O5126" i="1"/>
  <c r="Q5126" i="1"/>
  <c r="O5125" i="1"/>
  <c r="Q5125" i="1"/>
  <c r="O5124" i="1"/>
  <c r="Q5124" i="1"/>
  <c r="O5121" i="1"/>
  <c r="Q5121" i="1"/>
  <c r="O5120" i="1"/>
  <c r="Q5120" i="1"/>
  <c r="O5119" i="1"/>
  <c r="Q5119" i="1"/>
  <c r="O5118" i="1"/>
  <c r="Q5118" i="1"/>
  <c r="O5117" i="1"/>
  <c r="Q5117" i="1"/>
  <c r="O5116" i="1"/>
  <c r="Q5116" i="1"/>
  <c r="O5114" i="1"/>
  <c r="Q5114" i="1"/>
  <c r="O5111" i="1"/>
  <c r="Q5111" i="1"/>
  <c r="O5106" i="1"/>
  <c r="Q5106" i="1"/>
  <c r="O5105" i="1"/>
  <c r="Q5105" i="1"/>
  <c r="O5104" i="1"/>
  <c r="Q5104" i="1"/>
  <c r="O5103" i="1"/>
  <c r="Q5103" i="1"/>
  <c r="O5102" i="1"/>
  <c r="Q5102" i="1"/>
  <c r="O5101" i="1"/>
  <c r="Q5101" i="1"/>
  <c r="O5097" i="1"/>
  <c r="Q5097" i="1"/>
  <c r="O5096" i="1"/>
  <c r="Q5096" i="1"/>
  <c r="Q5094" i="1"/>
  <c r="O5088" i="1"/>
  <c r="Q5088" i="1"/>
  <c r="O5087" i="1"/>
  <c r="O5085" i="1"/>
  <c r="Q5085" i="1"/>
  <c r="O5083" i="1"/>
  <c r="Q5083" i="1"/>
  <c r="O5080" i="1"/>
  <c r="Q5080" i="1"/>
  <c r="O5079" i="1"/>
  <c r="Q5079" i="1"/>
  <c r="Q5078" i="1"/>
  <c r="O5078" i="1"/>
  <c r="Q5077" i="1"/>
  <c r="O5077" i="1"/>
  <c r="Q5073" i="1"/>
  <c r="O5073" i="1"/>
  <c r="Q5071" i="1"/>
  <c r="O5071" i="1"/>
  <c r="Q5069" i="1"/>
  <c r="O5069" i="1"/>
  <c r="O5068" i="1"/>
  <c r="Q5068" i="1"/>
  <c r="Q5066" i="1"/>
  <c r="O5066" i="1"/>
  <c r="Q5065" i="1"/>
  <c r="O5065" i="1"/>
  <c r="Q5064" i="1"/>
  <c r="O5064" i="1"/>
  <c r="O5063" i="1"/>
  <c r="Q5063" i="1"/>
  <c r="Q5062" i="1"/>
  <c r="O5062" i="1"/>
  <c r="Q5061" i="1"/>
  <c r="O5061" i="1"/>
  <c r="O5060" i="1"/>
  <c r="Q5060" i="1"/>
  <c r="Q5058" i="1"/>
  <c r="O5058" i="1"/>
  <c r="Q5057" i="1"/>
  <c r="O5057" i="1"/>
  <c r="Q5056" i="1"/>
  <c r="O5054" i="1"/>
  <c r="Q5053" i="1"/>
  <c r="O5053" i="1"/>
  <c r="O5052" i="1"/>
  <c r="Q5052" i="1"/>
  <c r="Q5051" i="1"/>
  <c r="O5050" i="1"/>
  <c r="Q5050" i="1"/>
  <c r="O5049" i="1"/>
  <c r="Q5049" i="1"/>
  <c r="O5048" i="1"/>
  <c r="Q5048" i="1"/>
  <c r="O5045" i="1"/>
  <c r="Q5045" i="1"/>
  <c r="O5044" i="1"/>
  <c r="Q5044" i="1"/>
  <c r="Q5042" i="1"/>
  <c r="O5041" i="1"/>
  <c r="Q5041" i="1"/>
  <c r="O5040" i="1"/>
  <c r="Q5040" i="1"/>
  <c r="O5039" i="1"/>
  <c r="Q5039" i="1"/>
  <c r="Q5038" i="1"/>
  <c r="O5036" i="1"/>
  <c r="Q5036" i="1"/>
  <c r="O5035" i="1"/>
  <c r="Q5035" i="1"/>
  <c r="O5034" i="1"/>
  <c r="Q5034" i="1"/>
  <c r="O5033" i="1"/>
  <c r="Q5033" i="1"/>
  <c r="O5032" i="1"/>
  <c r="Q5032" i="1"/>
  <c r="O5031" i="1"/>
  <c r="Q5031" i="1"/>
  <c r="O5030" i="1"/>
  <c r="Q5030" i="1"/>
  <c r="Q5027" i="1"/>
  <c r="O5027" i="1"/>
  <c r="Q5026" i="1"/>
  <c r="O5026" i="1"/>
  <c r="O5025" i="1"/>
  <c r="Q5025" i="1"/>
  <c r="O5024" i="1"/>
  <c r="Q5024" i="1"/>
  <c r="O5023" i="1"/>
  <c r="Q5023" i="1"/>
  <c r="Q5022" i="1"/>
  <c r="O5022" i="1"/>
  <c r="Q5021" i="1"/>
  <c r="O5021" i="1"/>
  <c r="Q5020" i="1"/>
  <c r="O5020" i="1"/>
  <c r="O5019" i="1"/>
  <c r="Q5019" i="1"/>
  <c r="Q5018" i="1"/>
  <c r="O5018" i="1"/>
  <c r="Q5017" i="1"/>
  <c r="O5017" i="1"/>
  <c r="Q5016" i="1"/>
  <c r="O5016" i="1"/>
  <c r="O5015" i="1"/>
  <c r="Q5015" i="1"/>
  <c r="Q5014" i="1"/>
  <c r="O5014" i="1"/>
  <c r="O5013" i="1"/>
  <c r="Q5013" i="1"/>
  <c r="O5012" i="1"/>
  <c r="Q5012" i="1"/>
  <c r="Q5011" i="1"/>
  <c r="O5011" i="1"/>
  <c r="Q5010" i="1"/>
  <c r="O5010" i="1"/>
  <c r="O5009" i="1"/>
  <c r="Q5009" i="1"/>
  <c r="Q5008" i="1"/>
  <c r="O5008" i="1"/>
  <c r="Q5007" i="1"/>
  <c r="O5007" i="1"/>
  <c r="Q5006" i="1"/>
  <c r="O5006" i="1"/>
  <c r="Q5005" i="1"/>
  <c r="O5005" i="1"/>
  <c r="Q5004" i="1"/>
  <c r="O5004" i="1"/>
  <c r="Q5003" i="1"/>
  <c r="O5003" i="1"/>
  <c r="Q5002" i="1"/>
  <c r="O5002" i="1"/>
  <c r="Q5001" i="1"/>
  <c r="O5001" i="1"/>
  <c r="O5000" i="1"/>
  <c r="Q5000" i="1"/>
  <c r="O4999" i="1"/>
  <c r="Q4999" i="1"/>
  <c r="Q4998" i="1"/>
  <c r="O4998" i="1"/>
  <c r="O4997" i="1"/>
  <c r="Q4997" i="1"/>
  <c r="O4996" i="1"/>
  <c r="Q4996" i="1"/>
  <c r="Q4995" i="1"/>
  <c r="O4995" i="1"/>
  <c r="Q4994" i="1"/>
  <c r="O4994" i="1"/>
  <c r="O4993" i="1"/>
  <c r="Q4993" i="1"/>
  <c r="Q4992" i="1"/>
  <c r="O4992" i="1"/>
  <c r="O4991" i="1"/>
  <c r="Q4991" i="1"/>
  <c r="O4990" i="1"/>
  <c r="Q4990" i="1"/>
  <c r="O4989" i="1"/>
  <c r="Q4989" i="1"/>
  <c r="O4988" i="1"/>
  <c r="Q4988" i="1"/>
  <c r="O4987" i="1"/>
  <c r="Q4987" i="1"/>
  <c r="Q4986" i="1"/>
  <c r="O4986" i="1"/>
  <c r="O4985" i="1"/>
  <c r="Q4985" i="1"/>
  <c r="O4984" i="1"/>
  <c r="Q4984" i="1"/>
  <c r="O4983" i="1"/>
  <c r="Q4983" i="1"/>
  <c r="Q4982" i="1"/>
  <c r="O4982" i="1"/>
  <c r="Q4981" i="1"/>
  <c r="O4981" i="1"/>
  <c r="O4980" i="1"/>
  <c r="Q4980" i="1"/>
  <c r="Q4979" i="1"/>
  <c r="O4979" i="1"/>
  <c r="Q4975" i="1"/>
  <c r="O4975" i="1"/>
  <c r="Q4974" i="1"/>
  <c r="O4974" i="1"/>
  <c r="Q4973" i="1"/>
  <c r="O4973" i="1"/>
  <c r="Q4971" i="1"/>
  <c r="O4971" i="1"/>
  <c r="Q4970" i="1"/>
  <c r="O4970" i="1"/>
  <c r="O4969" i="1"/>
  <c r="Q4969" i="1"/>
  <c r="Q4968" i="1"/>
  <c r="O4968" i="1"/>
  <c r="Q4967" i="1"/>
  <c r="O4967" i="1"/>
  <c r="O4966" i="1"/>
  <c r="Q4966" i="1"/>
  <c r="Q4965" i="1"/>
  <c r="O4965" i="1"/>
  <c r="R4965" i="1" s="1"/>
  <c r="Q4964" i="1"/>
  <c r="O4964" i="1"/>
  <c r="Q4963" i="1"/>
  <c r="O4963" i="1"/>
  <c r="O4962" i="1"/>
  <c r="Q4962" i="1"/>
  <c r="Q4961" i="1"/>
  <c r="O4961" i="1"/>
  <c r="O4960" i="1"/>
  <c r="Q4960" i="1"/>
  <c r="O4959" i="1"/>
  <c r="Q4959" i="1"/>
  <c r="O4958" i="1"/>
  <c r="Q4958" i="1"/>
  <c r="Q4957" i="1"/>
  <c r="O4957" i="1"/>
  <c r="Q4956" i="1"/>
  <c r="O4956" i="1"/>
  <c r="Q4955" i="1"/>
  <c r="O4955" i="1"/>
  <c r="O4954" i="1"/>
  <c r="Q4954" i="1"/>
  <c r="O4953" i="1"/>
  <c r="Q4953" i="1"/>
  <c r="O4952" i="1"/>
  <c r="Q4952" i="1"/>
  <c r="O4951" i="1"/>
  <c r="Q4951" i="1"/>
  <c r="O4950" i="1"/>
  <c r="Q4950" i="1"/>
  <c r="O4949" i="1"/>
  <c r="Q4949" i="1"/>
  <c r="O4948" i="1"/>
  <c r="Q4948" i="1"/>
  <c r="O4947" i="1"/>
  <c r="Q4947" i="1"/>
  <c r="Q4946" i="1"/>
  <c r="O4946" i="1"/>
  <c r="Q4945" i="1"/>
  <c r="O4945" i="1"/>
  <c r="O4944" i="1"/>
  <c r="Q4944" i="1"/>
  <c r="Q4943" i="1"/>
  <c r="O4943" i="1"/>
  <c r="Q4942" i="1"/>
  <c r="O4942" i="1"/>
  <c r="O4941" i="1"/>
  <c r="Q4941" i="1"/>
  <c r="Q4940" i="1"/>
  <c r="O4940" i="1"/>
  <c r="O4939" i="1"/>
  <c r="Q4939" i="1"/>
  <c r="Q4938" i="1"/>
  <c r="O4938" i="1"/>
  <c r="Q4937" i="1"/>
  <c r="O4937" i="1"/>
  <c r="O4936" i="1"/>
  <c r="Q4936" i="1"/>
  <c r="Q4935" i="1"/>
  <c r="O4935" i="1"/>
  <c r="R4935" i="1" s="1"/>
  <c r="O4934" i="1"/>
  <c r="Q4934" i="1"/>
  <c r="O4933" i="1"/>
  <c r="Q4933" i="1"/>
  <c r="O4932" i="1"/>
  <c r="Q4932" i="1"/>
  <c r="O4931" i="1"/>
  <c r="Q4931" i="1"/>
  <c r="O4930" i="1"/>
  <c r="Q4930" i="1"/>
  <c r="O4929" i="1"/>
  <c r="Q4929" i="1"/>
  <c r="O4928" i="1"/>
  <c r="Q4928" i="1"/>
  <c r="O4927" i="1"/>
  <c r="Q4927" i="1"/>
  <c r="Q4926" i="1"/>
  <c r="O4926" i="1"/>
  <c r="Q4925" i="1"/>
  <c r="O4925" i="1"/>
  <c r="O4924" i="1"/>
  <c r="Q4924" i="1"/>
  <c r="O4923" i="1"/>
  <c r="Q4923" i="1"/>
  <c r="O4922" i="1"/>
  <c r="Q4922" i="1"/>
  <c r="Q4921" i="1"/>
  <c r="O4921" i="1"/>
  <c r="O4920" i="1"/>
  <c r="Q4920" i="1"/>
  <c r="Q4919" i="1"/>
  <c r="O4919" i="1"/>
  <c r="Q4918" i="1"/>
  <c r="O4918" i="1"/>
  <c r="Q4917" i="1"/>
  <c r="O4917" i="1"/>
  <c r="R4917" i="1" s="1"/>
  <c r="O4916" i="1"/>
  <c r="Q4916" i="1"/>
  <c r="O4915" i="1"/>
  <c r="Q4915" i="1"/>
  <c r="O4914" i="1"/>
  <c r="Q4914" i="1"/>
  <c r="O4913" i="1"/>
  <c r="Q4913" i="1"/>
  <c r="O4912" i="1"/>
  <c r="Q4912" i="1"/>
  <c r="O4911" i="1"/>
  <c r="Q4911" i="1"/>
  <c r="O4910" i="1"/>
  <c r="Q4910" i="1"/>
  <c r="O4908" i="1"/>
  <c r="Q4908" i="1"/>
  <c r="O4907" i="1"/>
  <c r="Q4907" i="1"/>
  <c r="Q4906" i="1"/>
  <c r="O4906" i="1"/>
  <c r="O4905" i="1"/>
  <c r="Q4905" i="1"/>
  <c r="O4904" i="1"/>
  <c r="Q4904" i="1"/>
  <c r="Q4903" i="1"/>
  <c r="O4903" i="1"/>
  <c r="Q4902" i="1"/>
  <c r="O4902" i="1"/>
  <c r="O4901" i="1"/>
  <c r="Q4901" i="1"/>
  <c r="O4900" i="1"/>
  <c r="Q4900" i="1"/>
  <c r="O4899" i="1"/>
  <c r="R4899" i="1" s="1"/>
  <c r="Q4899" i="1"/>
  <c r="Q4898" i="1"/>
  <c r="O4898" i="1"/>
  <c r="R4898" i="1" s="1"/>
  <c r="O4897" i="1"/>
  <c r="Q4897" i="1"/>
  <c r="O4896" i="1"/>
  <c r="Q4896" i="1"/>
  <c r="O4895" i="1"/>
  <c r="Q4895" i="1"/>
  <c r="Q4894" i="1"/>
  <c r="O4894" i="1"/>
  <c r="O4893" i="1"/>
  <c r="R4893" i="1" s="1"/>
  <c r="Q4893" i="1"/>
  <c r="O4892" i="1"/>
  <c r="Q4892" i="1"/>
  <c r="O4891" i="1"/>
  <c r="Q4891" i="1"/>
  <c r="Q4890" i="1"/>
  <c r="O4890" i="1"/>
  <c r="O4889" i="1"/>
  <c r="R4889" i="1" s="1"/>
  <c r="Q4889" i="1"/>
  <c r="O4888" i="1"/>
  <c r="Q4888" i="1"/>
  <c r="O4887" i="1"/>
  <c r="R4887" i="1" s="1"/>
  <c r="Q4887" i="1"/>
  <c r="O4885" i="1"/>
  <c r="Q4885" i="1"/>
  <c r="Q4884" i="1"/>
  <c r="O4884" i="1"/>
  <c r="O4883" i="1"/>
  <c r="Q4883" i="1"/>
  <c r="O4882" i="1"/>
  <c r="R4882" i="1" s="1"/>
  <c r="Q4882" i="1"/>
  <c r="Q4881" i="1"/>
  <c r="O4881" i="1"/>
  <c r="Q4880" i="1"/>
  <c r="O4880" i="1"/>
  <c r="O4879" i="1"/>
  <c r="Q4879" i="1"/>
  <c r="Q4878" i="1"/>
  <c r="O4878" i="1"/>
  <c r="Q4877" i="1"/>
  <c r="O4877" i="1"/>
  <c r="O4876" i="1"/>
  <c r="R4876" i="1" s="1"/>
  <c r="Q4876" i="1"/>
  <c r="O4875" i="1"/>
  <c r="Q4875" i="1"/>
  <c r="O4874" i="1"/>
  <c r="R4874" i="1" s="1"/>
  <c r="Q4874" i="1"/>
  <c r="O4873" i="1"/>
  <c r="Q4873" i="1"/>
  <c r="O4872" i="1"/>
  <c r="Q4872" i="1"/>
  <c r="Q4871" i="1"/>
  <c r="O4871" i="1"/>
  <c r="O4870" i="1"/>
  <c r="R4870" i="1" s="1"/>
  <c r="Q4870" i="1"/>
  <c r="Q4869" i="1"/>
  <c r="O4869" i="1"/>
  <c r="O4868" i="1"/>
  <c r="R4868" i="1" s="1"/>
  <c r="Q4868" i="1"/>
  <c r="Q4867" i="1"/>
  <c r="O4867" i="1"/>
  <c r="Q4866" i="1"/>
  <c r="O4866" i="1"/>
  <c r="O4865" i="1"/>
  <c r="Q4865" i="1"/>
  <c r="O4864" i="1"/>
  <c r="R4864" i="1" s="1"/>
  <c r="Q4864" i="1"/>
  <c r="Q4863" i="1"/>
  <c r="O4863" i="1"/>
  <c r="Q4862" i="1"/>
  <c r="O4862" i="1"/>
  <c r="Q4861" i="1"/>
  <c r="O4861" i="1"/>
  <c r="O4860" i="1"/>
  <c r="Q4860" i="1"/>
  <c r="O4859" i="1"/>
  <c r="Q4859" i="1"/>
  <c r="Q4858" i="1"/>
  <c r="O4858" i="1"/>
  <c r="O4857" i="1"/>
  <c r="Q4857" i="1"/>
  <c r="O4856" i="1"/>
  <c r="R4856" i="1" s="1"/>
  <c r="Q4856" i="1"/>
  <c r="Q4855" i="1"/>
  <c r="O4855" i="1"/>
  <c r="R4855" i="1" s="1"/>
  <c r="Q4854" i="1"/>
  <c r="O4854" i="1"/>
  <c r="Q4853" i="1"/>
  <c r="O4853" i="1"/>
  <c r="O4852" i="1"/>
  <c r="R4852" i="1" s="1"/>
  <c r="Q4852" i="1"/>
  <c r="Q4851" i="1"/>
  <c r="O4851" i="1"/>
  <c r="O4850" i="1"/>
  <c r="R4850" i="1" s="1"/>
  <c r="Q4850" i="1"/>
  <c r="O4849" i="1"/>
  <c r="Q4849" i="1"/>
  <c r="O4848" i="1"/>
  <c r="Q4848" i="1"/>
  <c r="O4847" i="1"/>
  <c r="Q4847" i="1"/>
  <c r="Q4846" i="1"/>
  <c r="O4846" i="1"/>
  <c r="Q4845" i="1"/>
  <c r="O4845" i="1"/>
  <c r="O4844" i="1"/>
  <c r="R4844" i="1" s="1"/>
  <c r="Q4844" i="1"/>
  <c r="O4843" i="1"/>
  <c r="Q4843" i="1"/>
  <c r="O4842" i="1"/>
  <c r="Q4842" i="1"/>
  <c r="O4841" i="1"/>
  <c r="Q4841" i="1"/>
  <c r="Q4840" i="1"/>
  <c r="O4840" i="1"/>
  <c r="Q4839" i="1"/>
  <c r="O4839" i="1"/>
  <c r="O4838" i="1"/>
  <c r="R4838" i="1" s="1"/>
  <c r="Q4838" i="1"/>
  <c r="Q4837" i="1"/>
  <c r="O4837" i="1"/>
  <c r="O4836" i="1"/>
  <c r="Q4836" i="1"/>
  <c r="O4835" i="1"/>
  <c r="Q4835" i="1"/>
  <c r="O4834" i="1"/>
  <c r="R4834" i="1" s="1"/>
  <c r="Q4834" i="1"/>
  <c r="Q4833" i="1"/>
  <c r="O4833" i="1"/>
  <c r="O4832" i="1"/>
  <c r="R4832" i="1" s="1"/>
  <c r="Q4832" i="1"/>
  <c r="Q4831" i="1"/>
  <c r="O4831" i="1"/>
  <c r="R4831" i="1" s="1"/>
  <c r="O4830" i="1"/>
  <c r="Q4830" i="1"/>
  <c r="Q4829" i="1"/>
  <c r="O4829" i="1"/>
  <c r="O4828" i="1"/>
  <c r="R4828" i="1" s="1"/>
  <c r="Q4828" i="1"/>
  <c r="O4827" i="1"/>
  <c r="Q4827" i="1"/>
  <c r="Q4826" i="1"/>
  <c r="O4826" i="1"/>
  <c r="Q4825" i="1"/>
  <c r="O4825" i="1"/>
  <c r="R4825" i="1" s="1"/>
  <c r="Q4824" i="1"/>
  <c r="O4824" i="1"/>
  <c r="O4823" i="1"/>
  <c r="Q4823" i="1"/>
  <c r="O4822" i="1"/>
  <c r="R4822" i="1" s="1"/>
  <c r="Q4822" i="1"/>
  <c r="O4821" i="1"/>
  <c r="Q4821" i="1"/>
  <c r="O4820" i="1"/>
  <c r="R4820" i="1" s="1"/>
  <c r="Q4820" i="1"/>
  <c r="Q4819" i="1"/>
  <c r="O4819" i="1"/>
  <c r="R4819" i="1" s="1"/>
  <c r="Q4818" i="1"/>
  <c r="O4818" i="1"/>
  <c r="O4817" i="1"/>
  <c r="Q4817" i="1"/>
  <c r="O4816" i="1"/>
  <c r="R4816" i="1" s="1"/>
  <c r="Q4816" i="1"/>
  <c r="O4815" i="1"/>
  <c r="Q4815" i="1"/>
  <c r="O4814" i="1"/>
  <c r="R4814" i="1" s="1"/>
  <c r="Q4814" i="1"/>
  <c r="Q4813" i="1"/>
  <c r="O4813" i="1"/>
  <c r="R4813" i="1" s="1"/>
  <c r="Q4812" i="1"/>
  <c r="O4812" i="1"/>
  <c r="Q4811" i="1"/>
  <c r="O4811" i="1"/>
  <c r="O4810" i="1"/>
  <c r="R4810" i="1" s="1"/>
  <c r="Q4810" i="1"/>
  <c r="O4809" i="1"/>
  <c r="Q4809" i="1"/>
  <c r="Q4808" i="1"/>
  <c r="O4808" i="1"/>
  <c r="Q4807" i="1"/>
  <c r="O4807" i="1"/>
  <c r="R4807" i="1" s="1"/>
  <c r="O4806" i="1"/>
  <c r="Q4806" i="1"/>
  <c r="Q4805" i="1"/>
  <c r="O4805" i="1"/>
  <c r="Q4804" i="1"/>
  <c r="O4804" i="1"/>
  <c r="Q4803" i="1"/>
  <c r="O4803" i="1"/>
  <c r="O4802" i="1"/>
  <c r="O4801" i="1"/>
  <c r="Q4801" i="1"/>
  <c r="Q4800" i="1"/>
  <c r="O4800" i="1"/>
  <c r="O4799" i="1"/>
  <c r="R4799" i="1" s="1"/>
  <c r="Q4799" i="1"/>
  <c r="Q4798" i="1"/>
  <c r="O4798" i="1"/>
  <c r="Q4797" i="1"/>
  <c r="O4797" i="1"/>
  <c r="O4796" i="1"/>
  <c r="Q4796" i="1"/>
  <c r="Q4795" i="1"/>
  <c r="O4795" i="1"/>
  <c r="R4795" i="1" s="1"/>
  <c r="O4794" i="1"/>
  <c r="Q4794" i="1"/>
  <c r="O4793" i="1"/>
  <c r="R4793" i="1" s="1"/>
  <c r="Q4793" i="1"/>
  <c r="O4792" i="1"/>
  <c r="R4792" i="1" s="1"/>
  <c r="Q4792" i="1"/>
  <c r="O4791" i="1"/>
  <c r="Q4791" i="1"/>
  <c r="O4790" i="1"/>
  <c r="R4790" i="1" s="1"/>
  <c r="Q4790" i="1"/>
  <c r="O4789" i="1"/>
  <c r="Q4789" i="1"/>
  <c r="O4788" i="1"/>
  <c r="Q4788" i="1"/>
  <c r="O4787" i="1"/>
  <c r="R4787" i="1" s="1"/>
  <c r="Q4787" i="1"/>
  <c r="O4786" i="1"/>
  <c r="R4786" i="1" s="1"/>
  <c r="Q4786" i="1"/>
  <c r="O4785" i="1"/>
  <c r="Q4785" i="1"/>
  <c r="Q4784" i="1"/>
  <c r="O4784" i="1"/>
  <c r="O4783" i="1"/>
  <c r="Q4783" i="1"/>
  <c r="Q4782" i="1"/>
  <c r="O4782" i="1"/>
  <c r="Q4781" i="1"/>
  <c r="O4781" i="1"/>
  <c r="Q4780" i="1"/>
  <c r="O4780" i="1"/>
  <c r="Q4779" i="1"/>
  <c r="O4779" i="1"/>
  <c r="O4778" i="1"/>
  <c r="R4778" i="1" s="1"/>
  <c r="Q4778" i="1"/>
  <c r="Q4777" i="1"/>
  <c r="O4777" i="1"/>
  <c r="R4777" i="1" s="1"/>
  <c r="Q4776" i="1"/>
  <c r="O4776" i="1"/>
  <c r="O4775" i="1"/>
  <c r="R4775" i="1" s="1"/>
  <c r="Q4775" i="1"/>
  <c r="O4774" i="1"/>
  <c r="R4774" i="1" s="1"/>
  <c r="Q4774" i="1"/>
  <c r="O4773" i="1"/>
  <c r="Q4773" i="1"/>
  <c r="O4772" i="1"/>
  <c r="R4772" i="1" s="1"/>
  <c r="Q4772" i="1"/>
  <c r="Q4771" i="1"/>
  <c r="O4771" i="1"/>
  <c r="R4771" i="1" s="1"/>
  <c r="O4770" i="1"/>
  <c r="Q4770" i="1"/>
  <c r="Q4769" i="1"/>
  <c r="O4769" i="1"/>
  <c r="Q4768" i="1"/>
  <c r="O4768" i="1"/>
  <c r="Q4767" i="1"/>
  <c r="O4767" i="1"/>
  <c r="O4761" i="1"/>
  <c r="R4761" i="1" s="1"/>
  <c r="Q4761" i="1"/>
  <c r="Q4760" i="1"/>
  <c r="O4760" i="1"/>
  <c r="R4760" i="1" s="1"/>
  <c r="O4759" i="1"/>
  <c r="Q4759" i="1"/>
  <c r="O4758" i="1"/>
  <c r="R4758" i="1" s="1"/>
  <c r="Q4758" i="1"/>
  <c r="Q4757" i="1"/>
  <c r="O4757" i="1"/>
  <c r="O4756" i="1"/>
  <c r="Q4756" i="1"/>
  <c r="O4755" i="1"/>
  <c r="R4755" i="1" s="1"/>
  <c r="Q4755" i="1"/>
  <c r="Q4754" i="1"/>
  <c r="O4754" i="1"/>
  <c r="R4754" i="1" s="1"/>
  <c r="O4753" i="1"/>
  <c r="Q4753" i="1"/>
  <c r="O4752" i="1"/>
  <c r="R4752" i="1" s="1"/>
  <c r="Q4752" i="1"/>
  <c r="O4751" i="1"/>
  <c r="R4751" i="1" s="1"/>
  <c r="Q4751" i="1"/>
  <c r="Q4750" i="1"/>
  <c r="O4750" i="1"/>
  <c r="Q4749" i="1"/>
  <c r="O4749" i="1"/>
  <c r="Q4748" i="1"/>
  <c r="O4748" i="1"/>
  <c r="R4748" i="1" s="1"/>
  <c r="O4747" i="1"/>
  <c r="Q4747" i="1"/>
  <c r="Q4746" i="1"/>
  <c r="O4746" i="1"/>
  <c r="O4745" i="1"/>
  <c r="R4745" i="1" s="1"/>
  <c r="Q4745" i="1"/>
  <c r="Q4744" i="1"/>
  <c r="O4744" i="1"/>
  <c r="Q4743" i="1"/>
  <c r="O4743" i="1"/>
  <c r="Q4742" i="1"/>
  <c r="O4742" i="1"/>
  <c r="R4742" i="1" s="1"/>
  <c r="O4741" i="1"/>
  <c r="Q4741" i="1"/>
  <c r="O4740" i="1"/>
  <c r="R4740" i="1" s="1"/>
  <c r="Q4740" i="1"/>
  <c r="Q4739" i="1"/>
  <c r="O4739" i="1"/>
  <c r="Q4738" i="1"/>
  <c r="O4738" i="1"/>
  <c r="Q4737" i="1"/>
  <c r="O4737" i="1"/>
  <c r="Q4736" i="1"/>
  <c r="O4736" i="1"/>
  <c r="R4736" i="1" s="1"/>
  <c r="Q4735" i="1"/>
  <c r="O4735" i="1"/>
  <c r="O4734" i="1"/>
  <c r="R4734" i="1" s="1"/>
  <c r="Q4734" i="1"/>
  <c r="Q4733" i="1"/>
  <c r="O4733" i="1"/>
  <c r="Q4732" i="1"/>
  <c r="O4732" i="1"/>
  <c r="Q4731" i="1"/>
  <c r="O4731" i="1"/>
  <c r="Q4730" i="1"/>
  <c r="O4730" i="1"/>
  <c r="R4730" i="1" s="1"/>
  <c r="Q4729" i="1"/>
  <c r="O4729" i="1"/>
  <c r="O4728" i="1"/>
  <c r="R4728" i="1" s="1"/>
  <c r="Q4728" i="1"/>
  <c r="Q4727" i="1"/>
  <c r="O4727" i="1"/>
  <c r="O4726" i="1"/>
  <c r="Q4726" i="1"/>
  <c r="Q4725" i="1"/>
  <c r="O4725" i="1"/>
  <c r="O4724" i="1"/>
  <c r="Q4724" i="1"/>
  <c r="Q4723" i="1"/>
  <c r="O4723" i="1"/>
  <c r="O4722" i="1"/>
  <c r="R4722" i="1" s="1"/>
  <c r="Q4722" i="1"/>
  <c r="O4721" i="1"/>
  <c r="Q4721" i="1"/>
  <c r="Q4720" i="1"/>
  <c r="O4720" i="1"/>
  <c r="O4719" i="1"/>
  <c r="Q4719" i="1"/>
  <c r="O4718" i="1"/>
  <c r="Q4718" i="1"/>
  <c r="O4717" i="1"/>
  <c r="Q4717" i="1"/>
  <c r="Q4716" i="1"/>
  <c r="O4716" i="1"/>
  <c r="O4715" i="1"/>
  <c r="R4715" i="1" s="1"/>
  <c r="Q4715" i="1"/>
  <c r="Q4714" i="1"/>
  <c r="O4714" i="1"/>
  <c r="Q4713" i="1"/>
  <c r="O4713" i="1"/>
  <c r="Q4712" i="1"/>
  <c r="O4712" i="1"/>
  <c r="R4712" i="1" s="1"/>
  <c r="Q4711" i="1"/>
  <c r="O4711" i="1"/>
  <c r="Q4710" i="1"/>
  <c r="O4710" i="1"/>
  <c r="Q4708" i="1"/>
  <c r="O4708" i="1"/>
  <c r="Q4707" i="1"/>
  <c r="O4707" i="1"/>
  <c r="Q4706" i="1"/>
  <c r="O4706" i="1"/>
  <c r="O4705" i="1"/>
  <c r="Q4705" i="1"/>
  <c r="O4704" i="1"/>
  <c r="Q4704" i="1"/>
  <c r="O4703" i="1"/>
  <c r="R4703" i="1" s="1"/>
  <c r="Q4703" i="1"/>
  <c r="O4702" i="1"/>
  <c r="R4702" i="1" s="1"/>
  <c r="Q4702" i="1"/>
  <c r="Q4701" i="1"/>
  <c r="O4701" i="1"/>
  <c r="Q4700" i="1"/>
  <c r="O4700" i="1"/>
  <c r="O4699" i="1"/>
  <c r="Q4699" i="1"/>
  <c r="Q4698" i="1"/>
  <c r="O4698" i="1"/>
  <c r="Q4697" i="1"/>
  <c r="O4697" i="1"/>
  <c r="O4696" i="1"/>
  <c r="R4696" i="1" s="1"/>
  <c r="Q4696" i="1"/>
  <c r="Q4695" i="1"/>
  <c r="M4695" i="1"/>
  <c r="O4695" i="1" s="1"/>
  <c r="O4694" i="1"/>
  <c r="Q4694" i="1"/>
  <c r="Q4693" i="1"/>
  <c r="O4693" i="1"/>
  <c r="R4693" i="1" s="1"/>
  <c r="Q4692" i="1"/>
  <c r="O4692" i="1"/>
  <c r="O4691" i="1"/>
  <c r="Q4691" i="1"/>
  <c r="Q4690" i="1"/>
  <c r="O4690" i="1"/>
  <c r="Q4689" i="1"/>
  <c r="O4689" i="1"/>
  <c r="Q4688" i="1"/>
  <c r="O4688" i="1"/>
  <c r="O4687" i="1"/>
  <c r="Q4687" i="1"/>
  <c r="O4686" i="1"/>
  <c r="Q4686" i="1"/>
  <c r="Q4685" i="1"/>
  <c r="O4685" i="1"/>
  <c r="Q4684" i="1"/>
  <c r="O4684" i="1"/>
  <c r="Q4683" i="1"/>
  <c r="O4683" i="1"/>
  <c r="O4682" i="1"/>
  <c r="Q4682" i="1"/>
  <c r="Q4681" i="1"/>
  <c r="O4681" i="1"/>
  <c r="R4681" i="1" s="1"/>
  <c r="Q4680" i="1"/>
  <c r="O4680" i="1"/>
  <c r="R4680" i="1" s="1"/>
  <c r="Q4679" i="1"/>
  <c r="O4679" i="1"/>
  <c r="O4678" i="1"/>
  <c r="R4678" i="1" s="1"/>
  <c r="Q4678" i="1"/>
  <c r="O4677" i="1"/>
  <c r="Q4677" i="1"/>
  <c r="Q4676" i="1"/>
  <c r="O4676" i="1"/>
  <c r="O4675" i="1"/>
  <c r="Q4675" i="1"/>
  <c r="Q4674" i="1"/>
  <c r="O4674" i="1"/>
  <c r="R4674" i="1" s="1"/>
  <c r="Q4673" i="1"/>
  <c r="O4673" i="1"/>
  <c r="Q4672" i="1"/>
  <c r="O4672" i="1"/>
  <c r="Q4671" i="1"/>
  <c r="O4671" i="1"/>
  <c r="Q4670" i="1"/>
  <c r="O4670" i="1"/>
  <c r="Q4669" i="1"/>
  <c r="O4669" i="1"/>
  <c r="R4669" i="1" s="1"/>
  <c r="Q4668" i="1"/>
  <c r="O4668" i="1"/>
  <c r="R4668" i="1" s="1"/>
  <c r="O4667" i="1"/>
  <c r="Q4667" i="1"/>
  <c r="O4666" i="1"/>
  <c r="R4666" i="1" s="1"/>
  <c r="Q4666" i="1"/>
  <c r="Q4665" i="1"/>
  <c r="O4665" i="1"/>
  <c r="O4664" i="1"/>
  <c r="Q4664" i="1"/>
  <c r="O4663" i="1"/>
  <c r="Q4663" i="1"/>
  <c r="O4662" i="1"/>
  <c r="Q4662" i="1"/>
  <c r="O4661" i="1"/>
  <c r="Q4661" i="1"/>
  <c r="Q4660" i="1"/>
  <c r="O4660" i="1"/>
  <c r="O4659" i="1"/>
  <c r="Q4659" i="1"/>
  <c r="O4658" i="1"/>
  <c r="Q4658" i="1"/>
  <c r="Q4657" i="1"/>
  <c r="O4657" i="1"/>
  <c r="R4657" i="1" s="1"/>
  <c r="O4656" i="1"/>
  <c r="Q4656" i="1"/>
  <c r="Q4655" i="1"/>
  <c r="O4655" i="1"/>
  <c r="Q4654" i="1"/>
  <c r="O4654" i="1"/>
  <c r="O4653" i="1"/>
  <c r="Q4653" i="1"/>
  <c r="Q4652" i="1"/>
  <c r="O4652" i="1"/>
  <c r="Q4651" i="1"/>
  <c r="O4651" i="1"/>
  <c r="R4651" i="1" s="1"/>
  <c r="O4650" i="1"/>
  <c r="Q4650" i="1"/>
  <c r="O4649" i="1"/>
  <c r="Q4649" i="1"/>
  <c r="Q4648" i="1"/>
  <c r="O4648" i="1"/>
  <c r="Q4647" i="1"/>
  <c r="O4647" i="1"/>
  <c r="O4646" i="1"/>
  <c r="Q4646" i="1"/>
  <c r="O4645" i="1"/>
  <c r="Q4645" i="1"/>
  <c r="Q4644" i="1"/>
  <c r="O4644" i="1"/>
  <c r="R4644" i="1" s="1"/>
  <c r="Q4643" i="1"/>
  <c r="O4643" i="1"/>
  <c r="O4642" i="1"/>
  <c r="R4642" i="1" s="1"/>
  <c r="Q4642" i="1"/>
  <c r="O4641" i="1"/>
  <c r="Q4641" i="1"/>
  <c r="Q4640" i="1"/>
  <c r="O4640" i="1"/>
  <c r="Q4639" i="1"/>
  <c r="O4639" i="1"/>
  <c r="R4639" i="1" s="1"/>
  <c r="O4638" i="1"/>
  <c r="Q4638" i="1"/>
  <c r="Q4637" i="1"/>
  <c r="O4637" i="1"/>
  <c r="O4636" i="1"/>
  <c r="R4636" i="1" s="1"/>
  <c r="Q4636" i="1"/>
  <c r="O4635" i="1"/>
  <c r="Q4635" i="1"/>
  <c r="Q4634" i="1"/>
  <c r="O4634" i="1"/>
  <c r="O4633" i="1"/>
  <c r="Q4633" i="1"/>
  <c r="Q4632" i="1"/>
  <c r="O4632" i="1"/>
  <c r="R4632" i="1" s="1"/>
  <c r="O4631" i="1"/>
  <c r="Q4631" i="1"/>
  <c r="Q4630" i="1"/>
  <c r="Q4629" i="1"/>
  <c r="O4629" i="1"/>
  <c r="Q4628" i="1"/>
  <c r="O4628" i="1"/>
  <c r="O4627" i="1"/>
  <c r="Q4627" i="1"/>
  <c r="Q4626" i="1"/>
  <c r="O4626" i="1"/>
  <c r="R4626" i="1" s="1"/>
  <c r="O4625" i="1"/>
  <c r="Q4625" i="1"/>
  <c r="Q4624" i="1"/>
  <c r="O4624" i="1"/>
  <c r="Q4623" i="1"/>
  <c r="O4623" i="1"/>
  <c r="Q4622" i="1"/>
  <c r="O4622" i="1"/>
  <c r="Q4621" i="1"/>
  <c r="O4621" i="1"/>
  <c r="R4621" i="1" s="1"/>
  <c r="O4620" i="1"/>
  <c r="Q4620" i="1"/>
  <c r="Q4619" i="1"/>
  <c r="O4619" i="1"/>
  <c r="Q4618" i="1"/>
  <c r="O4618" i="1"/>
  <c r="Q4617" i="1"/>
  <c r="O4617" i="1"/>
  <c r="O4616" i="1"/>
  <c r="Q4616" i="1"/>
  <c r="O4615" i="1"/>
  <c r="Q4615" i="1"/>
  <c r="Q4613" i="1"/>
  <c r="O4613" i="1"/>
  <c r="Q4612" i="1"/>
  <c r="O4612" i="1"/>
  <c r="O4611" i="1"/>
  <c r="R4611" i="1" s="1"/>
  <c r="Q4611" i="1"/>
  <c r="Q4610" i="1"/>
  <c r="O4610" i="1"/>
  <c r="Q4609" i="1"/>
  <c r="O4609" i="1"/>
  <c r="O4608" i="1"/>
  <c r="Q4608" i="1"/>
  <c r="Q4607" i="1"/>
  <c r="O4607" i="1"/>
  <c r="R4607" i="1" s="1"/>
  <c r="O4606" i="1"/>
  <c r="Q4606" i="1"/>
  <c r="Q4605" i="1"/>
  <c r="O4605" i="1"/>
  <c r="Q4604" i="1"/>
  <c r="O4604" i="1"/>
  <c r="Q4603" i="1"/>
  <c r="O4603" i="1"/>
  <c r="Q4602" i="1"/>
  <c r="O4602" i="1"/>
  <c r="R4602" i="1" s="1"/>
  <c r="Q4601" i="1"/>
  <c r="O4601" i="1"/>
  <c r="R4601" i="1" s="1"/>
  <c r="Q4600" i="1"/>
  <c r="O4600" i="1"/>
  <c r="Q4599" i="1"/>
  <c r="O4599" i="1"/>
  <c r="Q4598" i="1"/>
  <c r="O4598" i="1"/>
  <c r="Q4597" i="1"/>
  <c r="O4597" i="1"/>
  <c r="Q4596" i="1"/>
  <c r="O4596" i="1"/>
  <c r="R4596" i="1" s="1"/>
  <c r="Q4595" i="1"/>
  <c r="O4595" i="1"/>
  <c r="R4595" i="1" s="1"/>
  <c r="Q4594" i="1"/>
  <c r="O4594" i="1"/>
  <c r="Q4593" i="1"/>
  <c r="O4593" i="1"/>
  <c r="Q4592" i="1"/>
  <c r="O4592" i="1"/>
  <c r="Q4591" i="1"/>
  <c r="O4591" i="1"/>
  <c r="Q4590" i="1"/>
  <c r="O4590" i="1"/>
  <c r="R4590" i="1" s="1"/>
  <c r="O4589" i="1"/>
  <c r="Q4589" i="1"/>
  <c r="Q4587" i="1"/>
  <c r="O4587" i="1"/>
  <c r="Q4586" i="1"/>
  <c r="O4586" i="1"/>
  <c r="Q4585" i="1"/>
  <c r="O4585" i="1"/>
  <c r="Q4584" i="1"/>
  <c r="O4584" i="1"/>
  <c r="O4583" i="1"/>
  <c r="Q4583" i="1"/>
  <c r="O4582" i="1"/>
  <c r="Q4582" i="1"/>
  <c r="O4581" i="1"/>
  <c r="Q4581" i="1"/>
  <c r="O4580" i="1"/>
  <c r="R4580" i="1" s="1"/>
  <c r="Q4580" i="1"/>
  <c r="Q4579" i="1"/>
  <c r="O4579" i="1"/>
  <c r="O4578" i="1"/>
  <c r="Q4578" i="1"/>
  <c r="O4577" i="1"/>
  <c r="Q4577" i="1"/>
  <c r="Q4576" i="1"/>
  <c r="O4576" i="1"/>
  <c r="R4576" i="1" s="1"/>
  <c r="Q4575" i="1"/>
  <c r="O4575" i="1"/>
  <c r="O4574" i="1"/>
  <c r="R4574" i="1" s="1"/>
  <c r="Q4574" i="1"/>
  <c r="O4573" i="1"/>
  <c r="Q4573" i="1"/>
  <c r="O4571" i="1"/>
  <c r="Q4571" i="1"/>
  <c r="O4570" i="1"/>
  <c r="Q4570" i="1"/>
  <c r="Q4569" i="1"/>
  <c r="O4569" i="1"/>
  <c r="R4569" i="1" s="1"/>
  <c r="Q4568" i="1"/>
  <c r="O4568" i="1"/>
  <c r="Q4567" i="1"/>
  <c r="O4567" i="1"/>
  <c r="O4566" i="1"/>
  <c r="Q4566" i="1"/>
  <c r="O4565" i="1"/>
  <c r="Q4565" i="1"/>
  <c r="Q4564" i="1"/>
  <c r="O4564" i="1"/>
  <c r="R4564" i="1" s="1"/>
  <c r="Q4563" i="1"/>
  <c r="O4563" i="1"/>
  <c r="R4563" i="1" s="1"/>
  <c r="O4562" i="1"/>
  <c r="Q4562" i="1"/>
  <c r="Q4561" i="1"/>
  <c r="O4561" i="1"/>
  <c r="O4560" i="1"/>
  <c r="Q4560" i="1"/>
  <c r="Q4559" i="1"/>
  <c r="O4559" i="1"/>
  <c r="Q4558" i="1"/>
  <c r="O4558" i="1"/>
  <c r="R4558" i="1" s="1"/>
  <c r="Q4557" i="1"/>
  <c r="O4557" i="1"/>
  <c r="R4557" i="1" s="1"/>
  <c r="O4556" i="1"/>
  <c r="Q4556" i="1"/>
  <c r="O4555" i="1"/>
  <c r="R4555" i="1" s="1"/>
  <c r="Q4555" i="1"/>
  <c r="O4554" i="1"/>
  <c r="O4553" i="1"/>
  <c r="Q4553" i="1"/>
  <c r="Q4552" i="1"/>
  <c r="O4552" i="1"/>
  <c r="Q4550" i="1"/>
  <c r="O4550" i="1"/>
  <c r="R4550" i="1" s="1"/>
  <c r="Q4549" i="1"/>
  <c r="O4549" i="1"/>
  <c r="Q4548" i="1"/>
  <c r="O4548" i="1"/>
  <c r="O4547" i="1"/>
  <c r="Q4547" i="1"/>
  <c r="O4546" i="1"/>
  <c r="Q4546" i="1"/>
  <c r="O4545" i="1"/>
  <c r="Q4545" i="1"/>
  <c r="O4544" i="1"/>
  <c r="Q4544" i="1"/>
  <c r="O4543" i="1"/>
  <c r="Q4543" i="1"/>
  <c r="O4539" i="1"/>
  <c r="Q4539" i="1"/>
  <c r="O4538" i="1"/>
  <c r="Q4538" i="1"/>
  <c r="O4537" i="1"/>
  <c r="Q4537" i="1"/>
  <c r="O4536" i="1"/>
  <c r="Q4536" i="1"/>
  <c r="O4535" i="1"/>
  <c r="Q4535" i="1"/>
  <c r="O4534" i="1"/>
  <c r="Q4534" i="1"/>
  <c r="O4533" i="1"/>
  <c r="Q4533" i="1"/>
  <c r="O4532" i="1"/>
  <c r="Q4532" i="1"/>
  <c r="O4531" i="1"/>
  <c r="Q4531" i="1"/>
  <c r="O4530" i="1"/>
  <c r="Q4530" i="1"/>
  <c r="O4529" i="1"/>
  <c r="Q4529" i="1"/>
  <c r="O4528" i="1"/>
  <c r="Q4528" i="1"/>
  <c r="O4527" i="1"/>
  <c r="Q4527" i="1"/>
  <c r="O4526" i="1"/>
  <c r="Q4526" i="1"/>
  <c r="O4525" i="1"/>
  <c r="Q4525" i="1"/>
  <c r="O4524" i="1"/>
  <c r="Q4524" i="1"/>
  <c r="M4523" i="1"/>
  <c r="O4523" i="1"/>
  <c r="Q4523" i="1"/>
  <c r="O4522" i="1"/>
  <c r="Q4522" i="1"/>
  <c r="O4521" i="1"/>
  <c r="Q4521" i="1"/>
  <c r="O4520" i="1"/>
  <c r="Q4520" i="1"/>
  <c r="O4519" i="1"/>
  <c r="Q4519" i="1"/>
  <c r="O4518" i="1"/>
  <c r="Q4518" i="1"/>
  <c r="O4517" i="1"/>
  <c r="Q4517" i="1"/>
  <c r="O4516" i="1"/>
  <c r="Q4516" i="1"/>
  <c r="O4515" i="1"/>
  <c r="Q4515" i="1"/>
  <c r="O4514" i="1"/>
  <c r="Q4514" i="1"/>
  <c r="O4513" i="1"/>
  <c r="Q4513" i="1"/>
  <c r="O4512" i="1"/>
  <c r="Q4512" i="1"/>
  <c r="O4511" i="1"/>
  <c r="Q4511" i="1"/>
  <c r="O4510" i="1"/>
  <c r="Q4510" i="1"/>
  <c r="O4509" i="1"/>
  <c r="Q4509" i="1"/>
  <c r="O4508" i="1"/>
  <c r="Q4508" i="1"/>
  <c r="O4507" i="1"/>
  <c r="Q4507" i="1"/>
  <c r="O4506" i="1"/>
  <c r="Q4506" i="1"/>
  <c r="O4505" i="1"/>
  <c r="Q4505" i="1"/>
  <c r="O4504" i="1"/>
  <c r="Q4504" i="1"/>
  <c r="O4503" i="1"/>
  <c r="Q4503" i="1"/>
  <c r="O4502" i="1"/>
  <c r="Q4502" i="1"/>
  <c r="O4501" i="1"/>
  <c r="Q4501" i="1"/>
  <c r="O4500" i="1"/>
  <c r="Q4500" i="1"/>
  <c r="O4499" i="1"/>
  <c r="Q4499" i="1"/>
  <c r="O4498" i="1"/>
  <c r="Q4498" i="1"/>
  <c r="O4497" i="1"/>
  <c r="Q4497" i="1"/>
  <c r="O4495" i="1"/>
  <c r="Q4495" i="1"/>
  <c r="O4494" i="1"/>
  <c r="Q4494" i="1"/>
  <c r="O4493" i="1"/>
  <c r="Q4493" i="1"/>
  <c r="O4492" i="1"/>
  <c r="Q4492" i="1"/>
  <c r="O4491" i="1"/>
  <c r="Q4491" i="1"/>
  <c r="O4490" i="1"/>
  <c r="Q4490" i="1"/>
  <c r="O4489" i="1"/>
  <c r="Q4489" i="1"/>
  <c r="O4488" i="1"/>
  <c r="Q4488" i="1"/>
  <c r="O4487" i="1"/>
  <c r="Q4487" i="1"/>
  <c r="O4486" i="1"/>
  <c r="Q4486" i="1"/>
  <c r="O4484" i="1"/>
  <c r="Q4484" i="1"/>
  <c r="O4483" i="1"/>
  <c r="Q4483" i="1"/>
  <c r="O4482" i="1"/>
  <c r="Q4482" i="1"/>
  <c r="O4481" i="1"/>
  <c r="Q4481" i="1"/>
  <c r="O4480" i="1"/>
  <c r="Q4480" i="1"/>
  <c r="O4479" i="1"/>
  <c r="Q4479" i="1"/>
  <c r="O4478" i="1"/>
  <c r="Q4478" i="1"/>
  <c r="O4477" i="1"/>
  <c r="Q4477" i="1"/>
  <c r="O4476" i="1"/>
  <c r="Q4476" i="1"/>
  <c r="O4474" i="1"/>
  <c r="Q4474" i="1"/>
  <c r="O4473" i="1"/>
  <c r="Q4473" i="1"/>
  <c r="O4472" i="1"/>
  <c r="Q4472" i="1"/>
  <c r="O4471" i="1"/>
  <c r="Q4471" i="1"/>
  <c r="O4470" i="1"/>
  <c r="Q4470" i="1"/>
  <c r="O4469" i="1"/>
  <c r="Q4469" i="1"/>
  <c r="O4468" i="1"/>
  <c r="Q4468" i="1"/>
  <c r="O4467" i="1"/>
  <c r="Q4467" i="1"/>
  <c r="O4466" i="1"/>
  <c r="Q4466" i="1"/>
  <c r="O4465" i="1"/>
  <c r="Q4465" i="1"/>
  <c r="O4464" i="1"/>
  <c r="Q4464" i="1"/>
  <c r="O4463" i="1"/>
  <c r="Q4463" i="1"/>
  <c r="O4462" i="1"/>
  <c r="Q4462" i="1"/>
  <c r="O4461" i="1"/>
  <c r="Q4461" i="1"/>
  <c r="O4460" i="1"/>
  <c r="Q4460" i="1"/>
  <c r="O4459" i="1"/>
  <c r="Q4459" i="1"/>
  <c r="O4458" i="1"/>
  <c r="Q4458" i="1"/>
  <c r="O4455" i="1"/>
  <c r="Q4455" i="1"/>
  <c r="O4453" i="1"/>
  <c r="Q4453" i="1"/>
  <c r="O4452" i="1"/>
  <c r="Q4452" i="1"/>
  <c r="O4451" i="1"/>
  <c r="Q4451" i="1"/>
  <c r="O4448" i="1"/>
  <c r="Q4448" i="1"/>
  <c r="O4447" i="1"/>
  <c r="Q4447" i="1"/>
  <c r="O4446" i="1"/>
  <c r="Q4446" i="1"/>
  <c r="O4445" i="1"/>
  <c r="Q4445" i="1"/>
  <c r="O4444" i="1"/>
  <c r="Q4444" i="1"/>
  <c r="O4443" i="1"/>
  <c r="Q4443" i="1"/>
  <c r="O4442" i="1"/>
  <c r="Q4442" i="1"/>
  <c r="O4441" i="1"/>
  <c r="Q4441" i="1"/>
  <c r="O4440" i="1"/>
  <c r="Q4440" i="1"/>
  <c r="O4439" i="1"/>
  <c r="Q4439" i="1"/>
  <c r="O4438" i="1"/>
  <c r="Q4438" i="1"/>
  <c r="O4437" i="1"/>
  <c r="Q4437" i="1"/>
  <c r="O4436" i="1"/>
  <c r="Q4436" i="1"/>
  <c r="O4435" i="1"/>
  <c r="Q4435" i="1"/>
  <c r="O4434" i="1"/>
  <c r="Q4434" i="1"/>
  <c r="O4433" i="1"/>
  <c r="Q4433" i="1"/>
  <c r="O4431" i="1"/>
  <c r="Q4431" i="1"/>
  <c r="O4430" i="1"/>
  <c r="Q4430" i="1"/>
  <c r="O4429" i="1"/>
  <c r="Q4429" i="1"/>
  <c r="O4428" i="1"/>
  <c r="Q4428" i="1"/>
  <c r="O4427" i="1"/>
  <c r="Q4427" i="1"/>
  <c r="O4426" i="1"/>
  <c r="Q4426" i="1"/>
  <c r="O4425" i="1"/>
  <c r="Q4425" i="1"/>
  <c r="O4424" i="1"/>
  <c r="Q4424" i="1"/>
  <c r="O4423" i="1"/>
  <c r="Q4423" i="1"/>
  <c r="O4422" i="1"/>
  <c r="Q4422" i="1"/>
  <c r="O4421" i="1"/>
  <c r="Q4421" i="1"/>
  <c r="O4420" i="1"/>
  <c r="Q4420" i="1"/>
  <c r="O4419" i="1"/>
  <c r="Q4419" i="1"/>
  <c r="O4418" i="1"/>
  <c r="Q4418" i="1"/>
  <c r="O4417" i="1"/>
  <c r="Q4417" i="1"/>
  <c r="O4416" i="1"/>
  <c r="Q4416" i="1"/>
  <c r="O4415" i="1"/>
  <c r="Q4415" i="1"/>
  <c r="O4414" i="1"/>
  <c r="Q4414" i="1"/>
  <c r="O4413" i="1"/>
  <c r="Q4413" i="1"/>
  <c r="O4412" i="1"/>
  <c r="Q4412" i="1"/>
  <c r="O4411" i="1"/>
  <c r="Q4411" i="1"/>
  <c r="O4410" i="1"/>
  <c r="Q4410" i="1"/>
  <c r="O4409" i="1"/>
  <c r="Q4409" i="1"/>
  <c r="O4408" i="1"/>
  <c r="Q4408" i="1"/>
  <c r="O4407" i="1"/>
  <c r="Q4407" i="1"/>
  <c r="O4406" i="1"/>
  <c r="Q4406" i="1"/>
  <c r="O4405" i="1"/>
  <c r="Q4405" i="1"/>
  <c r="O4404" i="1"/>
  <c r="Q4404" i="1"/>
  <c r="O4403" i="1"/>
  <c r="Q4403" i="1"/>
  <c r="O4402" i="1"/>
  <c r="Q4402" i="1"/>
  <c r="O4401" i="1"/>
  <c r="Q4401" i="1"/>
  <c r="O4400" i="1"/>
  <c r="Q4400" i="1"/>
  <c r="O4399" i="1"/>
  <c r="Q4399" i="1"/>
  <c r="O4398" i="1"/>
  <c r="Q4398" i="1"/>
  <c r="O4397" i="1"/>
  <c r="Q4397" i="1"/>
  <c r="O4396" i="1"/>
  <c r="Q4396" i="1"/>
  <c r="O4395" i="1"/>
  <c r="Q4395" i="1"/>
  <c r="O4394" i="1"/>
  <c r="Q4394" i="1"/>
  <c r="O4393" i="1"/>
  <c r="Q4393" i="1"/>
  <c r="O4392" i="1"/>
  <c r="Q4392" i="1"/>
  <c r="O4391" i="1"/>
  <c r="Q4391" i="1"/>
  <c r="O4390" i="1"/>
  <c r="Q4390" i="1"/>
  <c r="O4389" i="1"/>
  <c r="Q4389" i="1"/>
  <c r="O4388" i="1"/>
  <c r="Q4388" i="1"/>
  <c r="O4387" i="1"/>
  <c r="Q4387" i="1"/>
  <c r="O4386" i="1"/>
  <c r="Q4386" i="1"/>
  <c r="O4385" i="1"/>
  <c r="Q4385" i="1"/>
  <c r="O4384" i="1"/>
  <c r="Q4384" i="1"/>
  <c r="O4383" i="1"/>
  <c r="Q4383" i="1"/>
  <c r="O4382" i="1"/>
  <c r="Q4382" i="1"/>
  <c r="O4381" i="1"/>
  <c r="Q4381" i="1"/>
  <c r="O4380" i="1"/>
  <c r="Q4380" i="1"/>
  <c r="O4379" i="1"/>
  <c r="Q4379" i="1"/>
  <c r="O4378" i="1"/>
  <c r="Q4378" i="1"/>
  <c r="O4377" i="1"/>
  <c r="Q4377" i="1"/>
  <c r="O4376" i="1"/>
  <c r="Q4376" i="1"/>
  <c r="O4375" i="1"/>
  <c r="Q4375" i="1"/>
  <c r="O4374" i="1"/>
  <c r="Q4374" i="1"/>
  <c r="O4373" i="1"/>
  <c r="Q4373" i="1"/>
  <c r="O4372" i="1"/>
  <c r="Q4372" i="1"/>
  <c r="O4371" i="1"/>
  <c r="Q4371" i="1"/>
  <c r="O4370" i="1"/>
  <c r="Q4370" i="1"/>
  <c r="O4369" i="1"/>
  <c r="Q4369" i="1"/>
  <c r="O4368" i="1"/>
  <c r="Q4368" i="1"/>
  <c r="O4367" i="1"/>
  <c r="Q4367" i="1"/>
  <c r="O4366" i="1"/>
  <c r="Q4366" i="1"/>
  <c r="O4365" i="1"/>
  <c r="Q4365" i="1"/>
  <c r="O4364" i="1"/>
  <c r="Q4364" i="1"/>
  <c r="O4363" i="1"/>
  <c r="Q4363" i="1"/>
  <c r="O4362" i="1"/>
  <c r="Q4362" i="1"/>
  <c r="O4361" i="1"/>
  <c r="Q4361" i="1"/>
  <c r="O4360" i="1"/>
  <c r="Q4360" i="1"/>
  <c r="O4359" i="1"/>
  <c r="Q4359" i="1"/>
  <c r="O4358" i="1"/>
  <c r="Q4358" i="1"/>
  <c r="O4357" i="1"/>
  <c r="Q4357" i="1"/>
  <c r="O4356" i="1"/>
  <c r="Q4356" i="1"/>
  <c r="O4355" i="1"/>
  <c r="Q4355" i="1"/>
  <c r="O4354" i="1"/>
  <c r="Q4354" i="1"/>
  <c r="O4353" i="1"/>
  <c r="Q4353" i="1"/>
  <c r="O4352" i="1"/>
  <c r="Q4352" i="1"/>
  <c r="O4351" i="1"/>
  <c r="Q4351" i="1"/>
  <c r="O4350" i="1"/>
  <c r="Q4350" i="1"/>
  <c r="O4349" i="1"/>
  <c r="Q4349" i="1"/>
  <c r="O4348" i="1"/>
  <c r="Q4348" i="1"/>
  <c r="O4347" i="1"/>
  <c r="Q4347" i="1"/>
  <c r="O4346" i="1"/>
  <c r="Q4346" i="1"/>
  <c r="O4345" i="1"/>
  <c r="Q4345" i="1"/>
  <c r="O4342" i="1"/>
  <c r="Q4342" i="1"/>
  <c r="O4341" i="1"/>
  <c r="Q4341" i="1"/>
  <c r="O4340" i="1"/>
  <c r="Q4340" i="1"/>
  <c r="O4339" i="1"/>
  <c r="Q4339" i="1"/>
  <c r="O4338" i="1"/>
  <c r="Q4338" i="1"/>
  <c r="O4337" i="1"/>
  <c r="Q4337" i="1"/>
  <c r="O4336" i="1"/>
  <c r="Q4336" i="1"/>
  <c r="O4335" i="1"/>
  <c r="Q4335" i="1"/>
  <c r="O4334" i="1"/>
  <c r="Q4334" i="1"/>
  <c r="O4332" i="1"/>
  <c r="Q4332" i="1"/>
  <c r="O4329" i="1"/>
  <c r="Q4329" i="1"/>
  <c r="O4328" i="1"/>
  <c r="Q4328" i="1"/>
  <c r="O4327" i="1"/>
  <c r="Q4327" i="1"/>
  <c r="O4326" i="1"/>
  <c r="Q4326" i="1"/>
  <c r="O4325" i="1"/>
  <c r="Q4325" i="1"/>
  <c r="O4324" i="1"/>
  <c r="Q4324" i="1"/>
  <c r="O4323" i="1"/>
  <c r="Q4323" i="1"/>
  <c r="O4322" i="1"/>
  <c r="Q4322" i="1"/>
  <c r="O4321" i="1"/>
  <c r="Q4321" i="1"/>
  <c r="O4320" i="1"/>
  <c r="Q4320" i="1"/>
  <c r="O4318" i="1"/>
  <c r="Q4318" i="1"/>
  <c r="O4317" i="1"/>
  <c r="Q4317" i="1"/>
  <c r="O4316" i="1"/>
  <c r="Q4316" i="1"/>
  <c r="O4315" i="1"/>
  <c r="Q4315" i="1"/>
  <c r="O4314" i="1"/>
  <c r="Q4314" i="1"/>
  <c r="O4313" i="1"/>
  <c r="Q4313" i="1"/>
  <c r="O4312" i="1"/>
  <c r="Q4312" i="1"/>
  <c r="O4311" i="1"/>
  <c r="Q4311" i="1"/>
  <c r="O4310" i="1"/>
  <c r="Q4310" i="1"/>
  <c r="O4309" i="1"/>
  <c r="Q4309" i="1"/>
  <c r="O4308" i="1"/>
  <c r="Q4308" i="1"/>
  <c r="O4307" i="1"/>
  <c r="Q4307" i="1"/>
  <c r="O4306" i="1"/>
  <c r="Q4306" i="1"/>
  <c r="O4305" i="1"/>
  <c r="Q4305" i="1"/>
  <c r="O4304" i="1"/>
  <c r="Q4304" i="1"/>
  <c r="O4303" i="1"/>
  <c r="Q4303" i="1"/>
  <c r="O4302" i="1"/>
  <c r="Q4302" i="1"/>
  <c r="O4301" i="1"/>
  <c r="Q4301" i="1"/>
  <c r="O4300" i="1"/>
  <c r="Q4300" i="1"/>
  <c r="O4299" i="1"/>
  <c r="Q4299" i="1"/>
  <c r="O4298" i="1"/>
  <c r="Q4298" i="1"/>
  <c r="O4297" i="1"/>
  <c r="Q4297" i="1"/>
  <c r="O4296" i="1"/>
  <c r="Q4296" i="1"/>
  <c r="O4295" i="1"/>
  <c r="Q4295" i="1"/>
  <c r="O4294" i="1"/>
  <c r="Q4294" i="1"/>
  <c r="O4293" i="1"/>
  <c r="Q4293" i="1"/>
  <c r="O4291" i="1"/>
  <c r="Q4291" i="1"/>
  <c r="O4289" i="1"/>
  <c r="Q4289" i="1"/>
  <c r="O4288" i="1"/>
  <c r="Q4288" i="1"/>
  <c r="O4287" i="1"/>
  <c r="Q4287" i="1"/>
  <c r="O4286" i="1"/>
  <c r="Q4286" i="1"/>
  <c r="O4283" i="1"/>
  <c r="Q4283" i="1"/>
  <c r="O4282" i="1"/>
  <c r="Q4282" i="1"/>
  <c r="O4281" i="1"/>
  <c r="Q4281" i="1"/>
  <c r="O4280" i="1"/>
  <c r="Q4280" i="1"/>
  <c r="O4279" i="1"/>
  <c r="Q4279" i="1"/>
  <c r="O4278" i="1"/>
  <c r="Q4278" i="1"/>
  <c r="O4277" i="1"/>
  <c r="Q4277" i="1"/>
  <c r="O4276" i="1"/>
  <c r="Q4276" i="1"/>
  <c r="O4275" i="1"/>
  <c r="Q4275" i="1"/>
  <c r="O4274" i="1"/>
  <c r="Q4274" i="1"/>
  <c r="O4273" i="1"/>
  <c r="Q4273" i="1"/>
  <c r="O4272" i="1"/>
  <c r="Q4272" i="1"/>
  <c r="O4271" i="1"/>
  <c r="Q4271" i="1"/>
  <c r="O4270" i="1"/>
  <c r="Q4270" i="1"/>
  <c r="O4269" i="1"/>
  <c r="Q4269" i="1"/>
  <c r="O4268" i="1"/>
  <c r="Q4268" i="1"/>
  <c r="O4267" i="1"/>
  <c r="Q4267" i="1"/>
  <c r="O4266" i="1"/>
  <c r="Q4266" i="1"/>
  <c r="O4265" i="1"/>
  <c r="Q4265" i="1"/>
  <c r="O4263" i="1"/>
  <c r="Q4263" i="1"/>
  <c r="O4262" i="1"/>
  <c r="Q4262" i="1"/>
  <c r="O4260" i="1"/>
  <c r="Q4260" i="1"/>
  <c r="O4259" i="1"/>
  <c r="Q4259" i="1"/>
  <c r="O4258" i="1"/>
  <c r="Q4258" i="1"/>
  <c r="O4257" i="1"/>
  <c r="Q4257" i="1"/>
  <c r="O4256" i="1"/>
  <c r="Q4256" i="1"/>
  <c r="O4255" i="1"/>
  <c r="Q4255" i="1"/>
  <c r="O4254" i="1"/>
  <c r="Q4254" i="1"/>
  <c r="O4253" i="1"/>
  <c r="Q4253" i="1"/>
  <c r="O4252" i="1"/>
  <c r="Q4252" i="1"/>
  <c r="O4251" i="1"/>
  <c r="Q4251" i="1"/>
  <c r="O4250" i="1"/>
  <c r="Q4250" i="1"/>
  <c r="O4249" i="1"/>
  <c r="Q4249" i="1"/>
  <c r="O4248" i="1"/>
  <c r="Q4248" i="1"/>
  <c r="O4246" i="1"/>
  <c r="Q4246" i="1"/>
  <c r="O4245" i="1"/>
  <c r="Q4245" i="1"/>
  <c r="O4244" i="1"/>
  <c r="Q4244" i="1"/>
  <c r="O4243" i="1"/>
  <c r="Q4243" i="1"/>
  <c r="O4242" i="1"/>
  <c r="Q4242" i="1"/>
  <c r="O4241" i="1"/>
  <c r="Q4241" i="1"/>
  <c r="O4240" i="1"/>
  <c r="Q4240" i="1"/>
  <c r="O4239" i="1"/>
  <c r="Q4239" i="1"/>
  <c r="O4238" i="1"/>
  <c r="Q4238" i="1"/>
  <c r="O4237" i="1"/>
  <c r="Q4237" i="1"/>
  <c r="O4236" i="1"/>
  <c r="Q4236" i="1"/>
  <c r="O4235" i="1"/>
  <c r="Q4235" i="1"/>
  <c r="O4234" i="1"/>
  <c r="Q4234" i="1"/>
  <c r="O4233" i="1"/>
  <c r="Q4233" i="1"/>
  <c r="O4232" i="1"/>
  <c r="Q4232" i="1"/>
  <c r="O4231" i="1"/>
  <c r="Q4231" i="1"/>
  <c r="O4230" i="1"/>
  <c r="Q4230" i="1"/>
  <c r="O4229" i="1"/>
  <c r="Q4229" i="1"/>
  <c r="O4228" i="1"/>
  <c r="Q4228" i="1"/>
  <c r="O4227" i="1"/>
  <c r="Q4227" i="1"/>
  <c r="O4226" i="1"/>
  <c r="Q4226" i="1"/>
  <c r="O4225" i="1"/>
  <c r="Q4225" i="1"/>
  <c r="O4224" i="1"/>
  <c r="Q4224" i="1"/>
  <c r="O4223" i="1"/>
  <c r="Q4223" i="1"/>
  <c r="O4222" i="1"/>
  <c r="Q4222" i="1"/>
  <c r="O4220" i="1"/>
  <c r="Q4220" i="1"/>
  <c r="O4219" i="1"/>
  <c r="Q4219" i="1"/>
  <c r="O4218" i="1"/>
  <c r="Q4218" i="1"/>
  <c r="O4217" i="1"/>
  <c r="Q4217" i="1"/>
  <c r="O4216" i="1"/>
  <c r="Q4216" i="1"/>
  <c r="O4215" i="1"/>
  <c r="Q4215" i="1"/>
  <c r="O4214" i="1"/>
  <c r="Q4214" i="1"/>
  <c r="O4213" i="1"/>
  <c r="Q4213" i="1"/>
  <c r="O4212" i="1"/>
  <c r="Q4212" i="1"/>
  <c r="O4211" i="1"/>
  <c r="Q4211" i="1"/>
  <c r="O4210" i="1"/>
  <c r="Q4210" i="1"/>
  <c r="O4209" i="1"/>
  <c r="Q4209" i="1"/>
  <c r="O4208" i="1"/>
  <c r="Q4208" i="1"/>
  <c r="O4207" i="1"/>
  <c r="Q4207" i="1"/>
  <c r="O4206" i="1"/>
  <c r="Q4206" i="1"/>
  <c r="O4205" i="1"/>
  <c r="Q4205" i="1"/>
  <c r="O4204" i="1"/>
  <c r="Q4204" i="1"/>
  <c r="O4203" i="1"/>
  <c r="Q4203" i="1"/>
  <c r="O4202" i="1"/>
  <c r="Q4202" i="1"/>
  <c r="O4201" i="1"/>
  <c r="Q4201" i="1"/>
  <c r="O4200" i="1"/>
  <c r="Q4200" i="1"/>
  <c r="O4199" i="1"/>
  <c r="Q4199" i="1"/>
  <c r="O4198" i="1"/>
  <c r="Q4198" i="1"/>
  <c r="O4197" i="1"/>
  <c r="Q4197" i="1"/>
  <c r="O4196" i="1"/>
  <c r="Q4196" i="1"/>
  <c r="O4195" i="1"/>
  <c r="Q4195" i="1"/>
  <c r="O4194" i="1"/>
  <c r="Q4194" i="1"/>
  <c r="O4193" i="1"/>
  <c r="Q4193" i="1"/>
  <c r="O4192" i="1"/>
  <c r="Q4192" i="1"/>
  <c r="O4191" i="1"/>
  <c r="Q4191" i="1"/>
  <c r="O4190" i="1"/>
  <c r="Q4190" i="1"/>
  <c r="O4189" i="1"/>
  <c r="Q4189" i="1"/>
  <c r="O4188" i="1"/>
  <c r="Q4188" i="1"/>
  <c r="O4187" i="1"/>
  <c r="Q4187" i="1"/>
  <c r="O4186" i="1"/>
  <c r="Q4186" i="1"/>
  <c r="O4185" i="1"/>
  <c r="Q4185" i="1"/>
  <c r="O4184" i="1"/>
  <c r="Q4184" i="1"/>
  <c r="O4183" i="1"/>
  <c r="Q4183" i="1"/>
  <c r="O4182" i="1"/>
  <c r="Q4182" i="1"/>
  <c r="O4181" i="1"/>
  <c r="Q4181" i="1"/>
  <c r="O4179" i="1"/>
  <c r="Q4179" i="1"/>
  <c r="O4178" i="1"/>
  <c r="Q4178" i="1"/>
  <c r="O4177" i="1"/>
  <c r="Q4177" i="1"/>
  <c r="O4176" i="1"/>
  <c r="Q4176" i="1"/>
  <c r="O4175" i="1"/>
  <c r="Q4175" i="1"/>
  <c r="O4174" i="1"/>
  <c r="Q4174" i="1"/>
  <c r="O4173" i="1"/>
  <c r="Q4173" i="1"/>
  <c r="O4172" i="1"/>
  <c r="Q4172" i="1"/>
  <c r="O4171" i="1"/>
  <c r="Q4171" i="1"/>
  <c r="O4170" i="1"/>
  <c r="Q4170" i="1"/>
  <c r="O4169" i="1"/>
  <c r="Q4169" i="1"/>
  <c r="O4168" i="1"/>
  <c r="Q4168" i="1"/>
  <c r="O4167" i="1"/>
  <c r="Q4167" i="1"/>
  <c r="O4166" i="1"/>
  <c r="Q4166" i="1"/>
  <c r="O4164" i="1"/>
  <c r="Q4164" i="1"/>
  <c r="O4163" i="1"/>
  <c r="Q4163" i="1"/>
  <c r="O4162" i="1"/>
  <c r="Q4162" i="1"/>
  <c r="O4161" i="1"/>
  <c r="Q4161" i="1"/>
  <c r="O4160" i="1"/>
  <c r="Q4160" i="1"/>
  <c r="O4159" i="1"/>
  <c r="Q4159" i="1"/>
  <c r="O4158" i="1"/>
  <c r="Q4158" i="1"/>
  <c r="O4157" i="1"/>
  <c r="Q4157" i="1"/>
  <c r="O4156" i="1"/>
  <c r="Q4156" i="1"/>
  <c r="O4155" i="1"/>
  <c r="Q4155" i="1"/>
  <c r="O4154" i="1"/>
  <c r="Q4154" i="1"/>
  <c r="O4153" i="1"/>
  <c r="Q4153" i="1"/>
  <c r="O4152" i="1"/>
  <c r="Q4152" i="1"/>
  <c r="O4151" i="1"/>
  <c r="Q4151" i="1"/>
  <c r="O4150" i="1"/>
  <c r="Q4150" i="1"/>
  <c r="O4149" i="1"/>
  <c r="Q4149" i="1"/>
  <c r="O4148" i="1"/>
  <c r="Q4148" i="1"/>
  <c r="O4147" i="1"/>
  <c r="Q4147" i="1"/>
  <c r="O4146" i="1"/>
  <c r="Q4146" i="1"/>
  <c r="O4145" i="1"/>
  <c r="Q4145" i="1"/>
  <c r="O4143" i="1"/>
  <c r="Q4143" i="1"/>
  <c r="O4142" i="1"/>
  <c r="Q4142" i="1"/>
  <c r="O4141" i="1"/>
  <c r="Q4141" i="1"/>
  <c r="O4140" i="1"/>
  <c r="Q4140" i="1"/>
  <c r="O4139" i="1"/>
  <c r="Q4139" i="1"/>
  <c r="O4138" i="1"/>
  <c r="Q4138" i="1"/>
  <c r="O4137" i="1"/>
  <c r="Q4137" i="1"/>
  <c r="O4136" i="1"/>
  <c r="Q4136" i="1"/>
  <c r="O4135" i="1"/>
  <c r="Q4135" i="1"/>
  <c r="O4134" i="1"/>
  <c r="Q4134" i="1"/>
  <c r="O4133" i="1"/>
  <c r="Q4133" i="1"/>
  <c r="O4132" i="1"/>
  <c r="Q4132" i="1"/>
  <c r="O4131" i="1"/>
  <c r="Q4131" i="1"/>
  <c r="O4130" i="1"/>
  <c r="Q4130" i="1"/>
  <c r="O4129" i="1"/>
  <c r="Q4129" i="1"/>
  <c r="O4128" i="1"/>
  <c r="Q4128" i="1"/>
  <c r="O4127" i="1"/>
  <c r="Q4127" i="1"/>
  <c r="O4126" i="1"/>
  <c r="Q4126" i="1"/>
  <c r="O4125" i="1"/>
  <c r="Q4125" i="1"/>
  <c r="O4124" i="1"/>
  <c r="Q4124" i="1"/>
  <c r="O4123" i="1"/>
  <c r="Q4123" i="1"/>
  <c r="O4122" i="1"/>
  <c r="Q4122" i="1"/>
  <c r="O4121" i="1"/>
  <c r="Q4121" i="1"/>
  <c r="O4120" i="1"/>
  <c r="Q4120" i="1"/>
  <c r="O4119" i="1"/>
  <c r="Q4119" i="1"/>
  <c r="O4118" i="1"/>
  <c r="Q4118" i="1"/>
  <c r="O4117" i="1"/>
  <c r="Q4117" i="1"/>
  <c r="O4116" i="1"/>
  <c r="Q4116" i="1"/>
  <c r="O4115" i="1"/>
  <c r="Q4115" i="1"/>
  <c r="O4114" i="1"/>
  <c r="Q4114" i="1"/>
  <c r="O4113" i="1"/>
  <c r="Q4113" i="1"/>
  <c r="O4112" i="1"/>
  <c r="Q4112" i="1"/>
  <c r="O4111" i="1"/>
  <c r="Q4111" i="1"/>
  <c r="O4110" i="1"/>
  <c r="Q4110" i="1"/>
  <c r="O4109" i="1"/>
  <c r="Q4109" i="1"/>
  <c r="O4108" i="1"/>
  <c r="Q4108" i="1"/>
  <c r="O4107" i="1"/>
  <c r="Q4107" i="1"/>
  <c r="O4106" i="1"/>
  <c r="Q4106" i="1"/>
  <c r="O4105" i="1"/>
  <c r="Q4105" i="1"/>
  <c r="O4104" i="1"/>
  <c r="Q4104" i="1"/>
  <c r="O4100" i="1"/>
  <c r="Q4100" i="1"/>
  <c r="O4099" i="1"/>
  <c r="Q4099" i="1"/>
  <c r="O4098" i="1"/>
  <c r="Q4098" i="1"/>
  <c r="O4097" i="1"/>
  <c r="Q4097" i="1"/>
  <c r="O4096" i="1"/>
  <c r="Q4096" i="1"/>
  <c r="O4095" i="1"/>
  <c r="Q4095" i="1"/>
  <c r="Q4094" i="1"/>
  <c r="O4094" i="1"/>
  <c r="O4093" i="1"/>
  <c r="Q4093" i="1"/>
  <c r="O4092" i="1"/>
  <c r="Q4092" i="1"/>
  <c r="O4091" i="1"/>
  <c r="Q4091" i="1"/>
  <c r="O4090" i="1"/>
  <c r="Q4090" i="1"/>
  <c r="O4089" i="1"/>
  <c r="Q4089" i="1"/>
  <c r="O4088" i="1"/>
  <c r="Q4088" i="1"/>
  <c r="O4087" i="1"/>
  <c r="Q4087" i="1"/>
  <c r="O4086" i="1"/>
  <c r="Q4086" i="1"/>
  <c r="O4085" i="1"/>
  <c r="Q4085" i="1"/>
  <c r="O4084" i="1"/>
  <c r="Q4084" i="1"/>
  <c r="O4083" i="1"/>
  <c r="Q4083" i="1"/>
  <c r="O4082" i="1"/>
  <c r="Q4082" i="1"/>
  <c r="O4081" i="1"/>
  <c r="Q4081" i="1"/>
  <c r="O4080" i="1"/>
  <c r="Q4080" i="1"/>
  <c r="O4079" i="1"/>
  <c r="Q4079" i="1"/>
  <c r="O4078" i="1"/>
  <c r="Q4078" i="1"/>
  <c r="O4077" i="1"/>
  <c r="Q4077" i="1"/>
  <c r="O4076" i="1"/>
  <c r="Q4076" i="1"/>
  <c r="O4075" i="1"/>
  <c r="Q4075" i="1"/>
  <c r="O4074" i="1"/>
  <c r="Q4074" i="1"/>
  <c r="O4073" i="1"/>
  <c r="Q4073" i="1"/>
  <c r="O4072" i="1"/>
  <c r="Q4072" i="1"/>
  <c r="O4071" i="1"/>
  <c r="Q4071" i="1"/>
  <c r="O4070" i="1"/>
  <c r="Q4070" i="1"/>
  <c r="O4069" i="1"/>
  <c r="Q4069" i="1"/>
  <c r="O4068" i="1"/>
  <c r="Q4068" i="1"/>
  <c r="O4067" i="1"/>
  <c r="Q4067" i="1"/>
  <c r="O4066" i="1"/>
  <c r="Q4066" i="1"/>
  <c r="O4065" i="1"/>
  <c r="Q4065" i="1"/>
  <c r="O4064" i="1"/>
  <c r="Q4064" i="1"/>
  <c r="O4063" i="1"/>
  <c r="Q4063" i="1"/>
  <c r="O4061" i="1"/>
  <c r="Q4061" i="1"/>
  <c r="O4060" i="1"/>
  <c r="Q4060" i="1"/>
  <c r="O4058" i="1"/>
  <c r="Q4058" i="1"/>
  <c r="O4057" i="1"/>
  <c r="Q4057" i="1"/>
  <c r="O4056" i="1"/>
  <c r="Q4056" i="1"/>
  <c r="O4054" i="1"/>
  <c r="Q4054" i="1"/>
  <c r="O4053" i="1"/>
  <c r="Q4053" i="1"/>
  <c r="O4052" i="1"/>
  <c r="Q4052" i="1"/>
  <c r="O4051" i="1"/>
  <c r="Q4051" i="1"/>
  <c r="O4050" i="1"/>
  <c r="Q4050" i="1"/>
  <c r="O4049" i="1"/>
  <c r="Q4049" i="1"/>
  <c r="O4048" i="1"/>
  <c r="Q4048" i="1"/>
  <c r="O4047" i="1"/>
  <c r="Q4047" i="1"/>
  <c r="O4046" i="1"/>
  <c r="Q4046" i="1"/>
  <c r="O4045" i="1"/>
  <c r="Q4045" i="1"/>
  <c r="O4044" i="1"/>
  <c r="Q4044" i="1"/>
  <c r="O4043" i="1"/>
  <c r="Q4043" i="1"/>
  <c r="O4042" i="1"/>
  <c r="Q4042" i="1"/>
  <c r="O4041" i="1"/>
  <c r="Q4041" i="1"/>
  <c r="O4040" i="1"/>
  <c r="Q4040" i="1"/>
  <c r="O4039" i="1"/>
  <c r="Q4039" i="1"/>
  <c r="O4038" i="1"/>
  <c r="Q4038" i="1"/>
  <c r="O4037" i="1"/>
  <c r="Q4037" i="1"/>
  <c r="O4035" i="1"/>
  <c r="Q4035" i="1"/>
  <c r="O4034" i="1"/>
  <c r="Q4034" i="1"/>
  <c r="O4033" i="1"/>
  <c r="Q4033" i="1"/>
  <c r="O4032" i="1"/>
  <c r="Q4032" i="1"/>
  <c r="O4031" i="1"/>
  <c r="Q4031" i="1"/>
  <c r="O4029" i="1"/>
  <c r="Q4029" i="1"/>
  <c r="O4028" i="1"/>
  <c r="Q4028" i="1"/>
  <c r="O4027" i="1"/>
  <c r="Q4027" i="1"/>
  <c r="O4026" i="1"/>
  <c r="Q4026" i="1"/>
  <c r="O4025" i="1"/>
  <c r="Q4025" i="1"/>
  <c r="O4024" i="1"/>
  <c r="Q4024" i="1"/>
  <c r="O4023" i="1"/>
  <c r="Q4023" i="1"/>
  <c r="O4022" i="1"/>
  <c r="Q4022" i="1"/>
  <c r="O4021" i="1"/>
  <c r="Q4021" i="1"/>
  <c r="O4020" i="1"/>
  <c r="Q4020" i="1"/>
  <c r="O4019" i="1"/>
  <c r="Q4019" i="1"/>
  <c r="O4016" i="1"/>
  <c r="Q4016" i="1"/>
  <c r="O4015" i="1"/>
  <c r="Q4015" i="1"/>
  <c r="O4014" i="1"/>
  <c r="Q4014" i="1"/>
  <c r="O4013" i="1"/>
  <c r="Q4013" i="1"/>
  <c r="O4012" i="1"/>
  <c r="Q4012" i="1"/>
  <c r="O4011" i="1"/>
  <c r="Q4011" i="1"/>
  <c r="O4010" i="1"/>
  <c r="Q4010" i="1"/>
  <c r="O4009" i="1"/>
  <c r="Q4009" i="1"/>
  <c r="O4008" i="1"/>
  <c r="Q4008" i="1"/>
  <c r="O4007" i="1"/>
  <c r="Q4007" i="1"/>
  <c r="O4006" i="1"/>
  <c r="Q4006" i="1"/>
  <c r="O4005" i="1"/>
  <c r="Q4005" i="1"/>
  <c r="O4004" i="1"/>
  <c r="Q4004" i="1"/>
  <c r="O4003" i="1"/>
  <c r="Q4003" i="1"/>
  <c r="O4002" i="1"/>
  <c r="Q4002" i="1"/>
  <c r="O4001" i="1"/>
  <c r="Q4001" i="1"/>
  <c r="O4000" i="1"/>
  <c r="Q4000" i="1"/>
  <c r="O3999" i="1"/>
  <c r="Q3999" i="1"/>
  <c r="O3998" i="1"/>
  <c r="Q3998" i="1"/>
  <c r="O3997" i="1"/>
  <c r="Q3997" i="1"/>
  <c r="O3996" i="1"/>
  <c r="Q3996" i="1"/>
  <c r="O3995" i="1"/>
  <c r="Q3995" i="1"/>
  <c r="O3994" i="1"/>
  <c r="Q3994" i="1"/>
  <c r="O3993" i="1"/>
  <c r="Q3993" i="1"/>
  <c r="O3992" i="1"/>
  <c r="Q3992" i="1"/>
  <c r="O3991" i="1"/>
  <c r="Q3991" i="1"/>
  <c r="O3990" i="1"/>
  <c r="Q3990" i="1"/>
  <c r="O3988" i="1"/>
  <c r="Q3988" i="1"/>
  <c r="O3987" i="1"/>
  <c r="Q3987" i="1"/>
  <c r="O3986" i="1"/>
  <c r="Q3986" i="1"/>
  <c r="O3985" i="1"/>
  <c r="Q3985" i="1"/>
  <c r="O3984" i="1"/>
  <c r="Q3984" i="1"/>
  <c r="O3983" i="1"/>
  <c r="Q3983" i="1"/>
  <c r="O3982" i="1"/>
  <c r="Q3982" i="1"/>
  <c r="O3981" i="1"/>
  <c r="Q3981" i="1"/>
  <c r="O3980" i="1"/>
  <c r="Q3980" i="1"/>
  <c r="O3979" i="1"/>
  <c r="Q3979" i="1"/>
  <c r="O3978" i="1"/>
  <c r="Q3978" i="1"/>
  <c r="O3977" i="1"/>
  <c r="Q3977" i="1"/>
  <c r="Q3976" i="1"/>
  <c r="O3975" i="1"/>
  <c r="Q3975" i="1"/>
  <c r="O3974" i="1"/>
  <c r="Q3974" i="1"/>
  <c r="O3973" i="1"/>
  <c r="Q3973" i="1"/>
  <c r="O3972" i="1"/>
  <c r="Q3972" i="1"/>
  <c r="O3971" i="1"/>
  <c r="Q3971" i="1"/>
  <c r="O3970" i="1"/>
  <c r="Q3970" i="1"/>
  <c r="O3969" i="1"/>
  <c r="Q3969" i="1"/>
  <c r="O3968" i="1"/>
  <c r="Q3968" i="1"/>
  <c r="O3967" i="1"/>
  <c r="Q3967" i="1"/>
  <c r="O3966" i="1"/>
  <c r="Q3966" i="1"/>
  <c r="O3964" i="1"/>
  <c r="Q3964" i="1"/>
  <c r="O3963" i="1"/>
  <c r="Q3963" i="1"/>
  <c r="O3962" i="1"/>
  <c r="Q3962" i="1"/>
  <c r="O3961" i="1"/>
  <c r="Q3961" i="1"/>
  <c r="O3960" i="1"/>
  <c r="Q3960" i="1"/>
  <c r="O3959" i="1"/>
  <c r="Q3959" i="1"/>
  <c r="O3958" i="1"/>
  <c r="Q3958" i="1"/>
  <c r="O3957" i="1"/>
  <c r="Q3957" i="1"/>
  <c r="O3956" i="1"/>
  <c r="Q3956" i="1"/>
  <c r="O3955" i="1"/>
  <c r="Q3955" i="1"/>
  <c r="O3954" i="1"/>
  <c r="Q3954" i="1"/>
  <c r="O3953" i="1"/>
  <c r="Q3953" i="1"/>
  <c r="O3952" i="1"/>
  <c r="Q3952" i="1"/>
  <c r="O3951" i="1"/>
  <c r="Q3951" i="1"/>
  <c r="O3950" i="1"/>
  <c r="Q3950" i="1"/>
  <c r="O3949" i="1"/>
  <c r="Q3949" i="1"/>
  <c r="O3948" i="1"/>
  <c r="Q3948" i="1"/>
  <c r="O3947" i="1"/>
  <c r="Q3947" i="1"/>
  <c r="O3946" i="1"/>
  <c r="Q3946" i="1"/>
  <c r="O3945" i="1"/>
  <c r="Q3945" i="1"/>
  <c r="O3944" i="1"/>
  <c r="Q3944" i="1"/>
  <c r="O3943" i="1"/>
  <c r="Q3943" i="1"/>
  <c r="O3942" i="1"/>
  <c r="Q3942" i="1"/>
  <c r="O3941" i="1"/>
  <c r="Q3941" i="1"/>
  <c r="O3940" i="1"/>
  <c r="Q3940" i="1"/>
  <c r="O3939" i="1"/>
  <c r="Q3939" i="1"/>
  <c r="O3938" i="1"/>
  <c r="Q3938" i="1"/>
  <c r="O3937" i="1"/>
  <c r="Q3937" i="1"/>
  <c r="O3936" i="1"/>
  <c r="Q3936" i="1"/>
  <c r="O3935" i="1"/>
  <c r="Q3935" i="1"/>
  <c r="O3934" i="1"/>
  <c r="Q3934" i="1"/>
  <c r="Q3933" i="1"/>
  <c r="O3933" i="1"/>
  <c r="R3933" i="1" s="1"/>
  <c r="O3932" i="1"/>
  <c r="Q3932" i="1"/>
  <c r="Q3931" i="1"/>
  <c r="O3931" i="1"/>
  <c r="O3930" i="1"/>
  <c r="Q3930" i="1"/>
  <c r="O3929" i="1"/>
  <c r="Q3929" i="1"/>
  <c r="O3928" i="1"/>
  <c r="Q3928" i="1"/>
  <c r="O3927" i="1"/>
  <c r="Q3927" i="1"/>
  <c r="O3926" i="1"/>
  <c r="Q3926" i="1"/>
  <c r="O3925" i="1"/>
  <c r="Q3925" i="1"/>
  <c r="O3924" i="1"/>
  <c r="Q3924" i="1"/>
  <c r="O3923" i="1"/>
  <c r="Q3923" i="1"/>
  <c r="O3922" i="1"/>
  <c r="Q3922" i="1"/>
  <c r="O3921" i="1"/>
  <c r="Q3921" i="1"/>
  <c r="M3920" i="1"/>
  <c r="O3920" i="1" s="1"/>
  <c r="Q3920" i="1"/>
  <c r="M3919" i="1"/>
  <c r="O3919" i="1" s="1"/>
  <c r="Q3919" i="1"/>
  <c r="O3918" i="1"/>
  <c r="Q3918" i="1"/>
  <c r="O3917" i="1"/>
  <c r="Q3917" i="1"/>
  <c r="O3916" i="1"/>
  <c r="Q3916" i="1"/>
  <c r="O3915" i="1"/>
  <c r="Q3915" i="1"/>
  <c r="O3914" i="1"/>
  <c r="Q3914" i="1"/>
  <c r="O3913" i="1"/>
  <c r="Q3913" i="1"/>
  <c r="O3912" i="1"/>
  <c r="Q3912" i="1"/>
  <c r="O3911" i="1"/>
  <c r="Q3911" i="1"/>
  <c r="O3910" i="1"/>
  <c r="Q3910" i="1"/>
  <c r="O3909" i="1"/>
  <c r="Q3909" i="1"/>
  <c r="O3908" i="1"/>
  <c r="Q3908" i="1"/>
  <c r="O3907" i="1"/>
  <c r="Q3907" i="1"/>
  <c r="O3906" i="1"/>
  <c r="Q3906" i="1"/>
  <c r="O3905" i="1"/>
  <c r="Q3905" i="1"/>
  <c r="O3904" i="1"/>
  <c r="Q3904" i="1"/>
  <c r="O3903" i="1"/>
  <c r="Q3903" i="1"/>
  <c r="O3902" i="1"/>
  <c r="Q3902" i="1"/>
  <c r="O3901" i="1"/>
  <c r="Q3901" i="1"/>
  <c r="O3900" i="1"/>
  <c r="Q3900" i="1"/>
  <c r="O3899" i="1"/>
  <c r="Q3899" i="1"/>
  <c r="O3898" i="1"/>
  <c r="Q3898" i="1"/>
  <c r="O3897" i="1"/>
  <c r="Q3897" i="1"/>
  <c r="O3896" i="1"/>
  <c r="Q3896" i="1"/>
  <c r="O3895" i="1"/>
  <c r="Q3895" i="1"/>
  <c r="O3894" i="1"/>
  <c r="Q3894" i="1"/>
  <c r="O3893" i="1"/>
  <c r="Q3893" i="1"/>
  <c r="O3892" i="1"/>
  <c r="Q3892" i="1"/>
  <c r="O3891" i="1"/>
  <c r="Q3891" i="1"/>
  <c r="O3890" i="1"/>
  <c r="Q3890" i="1"/>
  <c r="O3888" i="1"/>
  <c r="Q3888" i="1"/>
  <c r="O3886" i="1"/>
  <c r="Q3886" i="1"/>
  <c r="O3885" i="1"/>
  <c r="Q3885" i="1"/>
  <c r="O3883" i="1"/>
  <c r="Q3883" i="1"/>
  <c r="O3882" i="1"/>
  <c r="Q3882" i="1"/>
  <c r="O3881" i="1"/>
  <c r="Q3881" i="1"/>
  <c r="O3880" i="1"/>
  <c r="Q3880" i="1"/>
  <c r="O3879" i="1"/>
  <c r="Q3879" i="1"/>
  <c r="O3878" i="1"/>
  <c r="Q3878" i="1"/>
  <c r="O3876" i="1"/>
  <c r="Q3876" i="1"/>
  <c r="O3875" i="1"/>
  <c r="Q3875" i="1"/>
  <c r="O3874" i="1"/>
  <c r="Q3874" i="1"/>
  <c r="O3873" i="1"/>
  <c r="Q3873" i="1"/>
  <c r="O3872" i="1"/>
  <c r="Q3872" i="1"/>
  <c r="O3871" i="1"/>
  <c r="Q3871" i="1"/>
  <c r="O3870" i="1"/>
  <c r="Q3870" i="1"/>
  <c r="O3869" i="1"/>
  <c r="Q3869" i="1"/>
  <c r="O3868" i="1"/>
  <c r="Q3868" i="1"/>
  <c r="O3867" i="1"/>
  <c r="Q3867" i="1"/>
  <c r="O3866" i="1"/>
  <c r="Q3866" i="1"/>
  <c r="O3865" i="1"/>
  <c r="Q3865" i="1"/>
  <c r="O3864" i="1"/>
  <c r="Q3864" i="1"/>
  <c r="O3863" i="1"/>
  <c r="Q3863" i="1"/>
  <c r="O3862" i="1"/>
  <c r="Q3862" i="1"/>
  <c r="O3861" i="1"/>
  <c r="Q3861" i="1"/>
  <c r="O3859" i="1"/>
  <c r="Q3859" i="1"/>
  <c r="O3858" i="1"/>
  <c r="Q3858" i="1"/>
  <c r="O3857" i="1"/>
  <c r="Q3857" i="1"/>
  <c r="O3856" i="1"/>
  <c r="Q3856" i="1"/>
  <c r="O3855" i="1"/>
  <c r="Q3855" i="1"/>
  <c r="O3854" i="1"/>
  <c r="Q3854" i="1"/>
  <c r="O3853" i="1"/>
  <c r="Q3853" i="1"/>
  <c r="O3852" i="1"/>
  <c r="Q3852" i="1"/>
  <c r="O3851" i="1"/>
  <c r="Q3851" i="1"/>
  <c r="O3850" i="1"/>
  <c r="Q3850" i="1"/>
  <c r="O3849" i="1"/>
  <c r="Q3849" i="1"/>
  <c r="O3848" i="1"/>
  <c r="Q3848" i="1"/>
  <c r="O3847" i="1"/>
  <c r="Q3847" i="1"/>
  <c r="O3846" i="1"/>
  <c r="Q3846" i="1"/>
  <c r="O3845" i="1"/>
  <c r="Q3845" i="1"/>
  <c r="O3844" i="1"/>
  <c r="Q3844" i="1"/>
  <c r="O3843" i="1"/>
  <c r="Q3843" i="1"/>
  <c r="O3842" i="1"/>
  <c r="Q3842" i="1"/>
  <c r="O3841" i="1"/>
  <c r="Q3841" i="1"/>
  <c r="O3840" i="1"/>
  <c r="Q3840" i="1"/>
  <c r="O3839" i="1"/>
  <c r="Q3839" i="1"/>
  <c r="O3838" i="1"/>
  <c r="Q3838" i="1"/>
  <c r="O3837" i="1"/>
  <c r="Q3837" i="1"/>
  <c r="O3836" i="1"/>
  <c r="Q3836" i="1"/>
  <c r="O3835" i="1"/>
  <c r="Q3835" i="1"/>
  <c r="O3834" i="1"/>
  <c r="Q3834" i="1"/>
  <c r="O3833" i="1"/>
  <c r="Q3833" i="1"/>
  <c r="O3832" i="1"/>
  <c r="Q3832" i="1"/>
  <c r="O3831" i="1"/>
  <c r="Q3831" i="1"/>
  <c r="O3830" i="1"/>
  <c r="Q3830" i="1"/>
  <c r="O3829" i="1"/>
  <c r="Q3829" i="1"/>
  <c r="O3828" i="1"/>
  <c r="Q3828" i="1"/>
  <c r="O3827" i="1"/>
  <c r="Q3827" i="1"/>
  <c r="O3826" i="1"/>
  <c r="Q3826" i="1"/>
  <c r="O3825" i="1"/>
  <c r="Q3825" i="1"/>
  <c r="O3824" i="1"/>
  <c r="Q3824" i="1"/>
  <c r="O3823" i="1"/>
  <c r="Q3823" i="1"/>
  <c r="O3822" i="1"/>
  <c r="Q3822" i="1"/>
  <c r="O3821" i="1"/>
  <c r="Q3821" i="1"/>
  <c r="O3820" i="1"/>
  <c r="Q3820" i="1"/>
  <c r="O3819" i="1"/>
  <c r="Q3819" i="1"/>
  <c r="O3818" i="1"/>
  <c r="Q3818" i="1"/>
  <c r="O3817" i="1"/>
  <c r="Q3817" i="1"/>
  <c r="O3816" i="1"/>
  <c r="Q3816" i="1"/>
  <c r="O3815" i="1"/>
  <c r="Q3815" i="1"/>
  <c r="O3814" i="1"/>
  <c r="Q3814" i="1"/>
  <c r="O3813" i="1"/>
  <c r="Q3813" i="1"/>
  <c r="O3812" i="1"/>
  <c r="Q3812" i="1"/>
  <c r="O3811" i="1"/>
  <c r="Q3811" i="1"/>
  <c r="O3810" i="1"/>
  <c r="Q3810" i="1"/>
  <c r="O3809" i="1"/>
  <c r="Q3809" i="1"/>
  <c r="O3808" i="1"/>
  <c r="Q3808" i="1"/>
  <c r="O3807" i="1"/>
  <c r="Q3807" i="1"/>
  <c r="O3806" i="1"/>
  <c r="Q3806" i="1"/>
  <c r="O3805" i="1"/>
  <c r="Q3805" i="1"/>
  <c r="O3804" i="1"/>
  <c r="Q3804" i="1"/>
  <c r="O3803" i="1"/>
  <c r="Q3803" i="1"/>
  <c r="O3801" i="1"/>
  <c r="Q3801" i="1"/>
  <c r="O3800" i="1"/>
  <c r="Q3800" i="1"/>
  <c r="O3799" i="1"/>
  <c r="Q3799" i="1"/>
  <c r="O3798" i="1"/>
  <c r="Q3798" i="1"/>
  <c r="O3797" i="1"/>
  <c r="Q3797" i="1"/>
  <c r="O3796" i="1"/>
  <c r="Q3796" i="1"/>
  <c r="O3795" i="1"/>
  <c r="Q3795" i="1"/>
  <c r="O3794" i="1"/>
  <c r="Q3794" i="1"/>
  <c r="O3793" i="1"/>
  <c r="Q3793" i="1"/>
  <c r="O3792" i="1"/>
  <c r="Q3792" i="1"/>
  <c r="O3791" i="1"/>
  <c r="Q3791" i="1"/>
  <c r="O3790" i="1"/>
  <c r="Q3790" i="1"/>
  <c r="O3789" i="1"/>
  <c r="Q3789" i="1"/>
  <c r="O3788" i="1"/>
  <c r="Q3788" i="1"/>
  <c r="O3787" i="1"/>
  <c r="Q3787" i="1"/>
  <c r="O3786" i="1"/>
  <c r="Q3786" i="1"/>
  <c r="O3785" i="1"/>
  <c r="Q3785" i="1"/>
  <c r="O3784" i="1"/>
  <c r="Q3784" i="1"/>
  <c r="O3783" i="1"/>
  <c r="Q3783" i="1"/>
  <c r="O3782" i="1"/>
  <c r="Q3782" i="1"/>
  <c r="O3781" i="1"/>
  <c r="Q3781" i="1"/>
  <c r="O3780" i="1"/>
  <c r="Q3780" i="1"/>
  <c r="O3779" i="1"/>
  <c r="Q3779" i="1"/>
  <c r="O3778" i="1"/>
  <c r="Q3778" i="1"/>
  <c r="O3777" i="1"/>
  <c r="Q3777" i="1"/>
  <c r="O3776" i="1"/>
  <c r="Q3776" i="1"/>
  <c r="O3775" i="1"/>
  <c r="Q3775" i="1"/>
  <c r="O3774" i="1"/>
  <c r="Q3774" i="1"/>
  <c r="O3773" i="1"/>
  <c r="Q3773" i="1"/>
  <c r="O3772" i="1"/>
  <c r="Q3772" i="1"/>
  <c r="O3771" i="1"/>
  <c r="Q3771" i="1"/>
  <c r="O3770" i="1"/>
  <c r="Q3770" i="1"/>
  <c r="O3769" i="1"/>
  <c r="Q3769" i="1"/>
  <c r="O3768" i="1"/>
  <c r="Q3768" i="1"/>
  <c r="O3767" i="1"/>
  <c r="Q3767" i="1"/>
  <c r="O3766" i="1"/>
  <c r="Q3766" i="1"/>
  <c r="O3765" i="1"/>
  <c r="Q3765" i="1"/>
  <c r="O3764" i="1"/>
  <c r="Q3764" i="1"/>
  <c r="O3763" i="1"/>
  <c r="Q3763" i="1"/>
  <c r="O3762" i="1"/>
  <c r="Q3762" i="1"/>
  <c r="O3761" i="1"/>
  <c r="Q3761" i="1"/>
  <c r="O3760" i="1"/>
  <c r="Q3760" i="1"/>
  <c r="O3759" i="1"/>
  <c r="Q3759" i="1"/>
  <c r="O3758" i="1"/>
  <c r="Q3758" i="1"/>
  <c r="O3757" i="1"/>
  <c r="Q3757" i="1"/>
  <c r="O3756" i="1"/>
  <c r="Q3756" i="1"/>
  <c r="O3755" i="1"/>
  <c r="Q3755" i="1"/>
  <c r="O3754" i="1"/>
  <c r="Q3754" i="1"/>
  <c r="O3753" i="1"/>
  <c r="Q3753" i="1"/>
  <c r="O3752" i="1"/>
  <c r="Q3752" i="1"/>
  <c r="O3751" i="1"/>
  <c r="Q3751" i="1"/>
  <c r="O3750" i="1"/>
  <c r="Q3750" i="1"/>
  <c r="O3749" i="1"/>
  <c r="Q3749" i="1"/>
  <c r="O3748" i="1"/>
  <c r="Q3748" i="1"/>
  <c r="O3747" i="1"/>
  <c r="Q3747" i="1"/>
  <c r="O3746" i="1"/>
  <c r="Q3746" i="1"/>
  <c r="O3745" i="1"/>
  <c r="Q3745" i="1"/>
  <c r="O3744" i="1"/>
  <c r="Q3744" i="1"/>
  <c r="O3743" i="1"/>
  <c r="Q3743" i="1"/>
  <c r="O3742" i="1"/>
  <c r="Q3742" i="1"/>
  <c r="O3741" i="1"/>
  <c r="Q3741" i="1"/>
  <c r="O3740" i="1"/>
  <c r="Q3740" i="1"/>
  <c r="O3739" i="1"/>
  <c r="Q3739" i="1"/>
  <c r="O3737" i="1"/>
  <c r="Q3737" i="1"/>
  <c r="O3736" i="1"/>
  <c r="Q3736" i="1"/>
  <c r="O3735" i="1"/>
  <c r="Q3735" i="1"/>
  <c r="O3734" i="1"/>
  <c r="Q3734" i="1"/>
  <c r="O3733" i="1"/>
  <c r="Q3733" i="1"/>
  <c r="O3732" i="1"/>
  <c r="Q3732" i="1"/>
  <c r="O3731" i="1"/>
  <c r="Q3731" i="1"/>
  <c r="O3730" i="1"/>
  <c r="Q3730" i="1"/>
  <c r="O3729" i="1"/>
  <c r="Q3729" i="1"/>
  <c r="O3728" i="1"/>
  <c r="Q3728" i="1"/>
  <c r="O3727" i="1"/>
  <c r="Q3727" i="1"/>
  <c r="O3726" i="1"/>
  <c r="Q3726" i="1"/>
  <c r="O3725" i="1"/>
  <c r="Q3725" i="1"/>
  <c r="O3724" i="1"/>
  <c r="Q3724" i="1"/>
  <c r="O3723" i="1"/>
  <c r="Q3723" i="1"/>
  <c r="O3722" i="1"/>
  <c r="Q3722" i="1"/>
  <c r="O3721" i="1"/>
  <c r="Q3721" i="1"/>
  <c r="O3720" i="1"/>
  <c r="Q3720" i="1"/>
  <c r="O3719" i="1"/>
  <c r="Q3719" i="1"/>
  <c r="O3718" i="1"/>
  <c r="Q3718" i="1"/>
  <c r="O3717" i="1"/>
  <c r="Q3717" i="1"/>
  <c r="O3716" i="1"/>
  <c r="Q3716" i="1"/>
  <c r="O3715" i="1"/>
  <c r="Q3715" i="1"/>
  <c r="O3714" i="1"/>
  <c r="Q3714" i="1"/>
  <c r="O3713" i="1"/>
  <c r="Q3713" i="1"/>
  <c r="O3712" i="1"/>
  <c r="Q3712" i="1"/>
  <c r="O3711" i="1"/>
  <c r="Q3711" i="1"/>
  <c r="O3710" i="1"/>
  <c r="Q3710" i="1"/>
  <c r="O3709" i="1"/>
  <c r="Q3709" i="1"/>
  <c r="O3708" i="1"/>
  <c r="Q3708" i="1"/>
  <c r="O3707" i="1"/>
  <c r="Q3707" i="1"/>
  <c r="O3706" i="1"/>
  <c r="Q3706" i="1"/>
  <c r="O3705" i="1"/>
  <c r="Q3705" i="1"/>
  <c r="O3704" i="1"/>
  <c r="Q3704" i="1"/>
  <c r="O3703" i="1"/>
  <c r="Q3703" i="1"/>
  <c r="O3702" i="1"/>
  <c r="Q3702" i="1"/>
  <c r="O3696" i="1"/>
  <c r="Q3696" i="1"/>
  <c r="O3695" i="1"/>
  <c r="Q3695" i="1"/>
  <c r="O3694" i="1"/>
  <c r="Q3694" i="1"/>
  <c r="O3693" i="1"/>
  <c r="Q3693" i="1"/>
  <c r="O3692" i="1"/>
  <c r="Q3692" i="1"/>
  <c r="O3691" i="1"/>
  <c r="Q3691" i="1"/>
  <c r="O3690" i="1"/>
  <c r="Q3690" i="1"/>
  <c r="O3689" i="1"/>
  <c r="Q3689" i="1"/>
  <c r="O3688" i="1"/>
  <c r="Q3688" i="1"/>
  <c r="O3687" i="1"/>
  <c r="Q3687" i="1"/>
  <c r="O3686" i="1"/>
  <c r="Q3686" i="1"/>
  <c r="O3685" i="1"/>
  <c r="Q3685" i="1"/>
  <c r="O3684" i="1"/>
  <c r="Q3684" i="1"/>
  <c r="O3683" i="1"/>
  <c r="Q3683" i="1"/>
  <c r="O3682" i="1"/>
  <c r="Q3682" i="1"/>
  <c r="O3681" i="1"/>
  <c r="Q3681" i="1"/>
  <c r="O3680" i="1"/>
  <c r="Q3680" i="1"/>
  <c r="O3679" i="1"/>
  <c r="Q3679" i="1"/>
  <c r="O3678" i="1"/>
  <c r="Q3678" i="1"/>
  <c r="O3677" i="1"/>
  <c r="Q3677" i="1"/>
  <c r="O3676" i="1"/>
  <c r="Q3676" i="1"/>
  <c r="O3675" i="1"/>
  <c r="Q3675" i="1"/>
  <c r="O3674" i="1"/>
  <c r="Q3674" i="1"/>
  <c r="O3673" i="1"/>
  <c r="Q3673" i="1"/>
  <c r="O3672" i="1"/>
  <c r="Q3672" i="1"/>
  <c r="O3671" i="1"/>
  <c r="Q3671" i="1"/>
  <c r="O3670" i="1"/>
  <c r="Q3670" i="1"/>
  <c r="O3669" i="1"/>
  <c r="Q3669" i="1"/>
  <c r="O3668" i="1"/>
  <c r="Q3668" i="1"/>
  <c r="O3667" i="1"/>
  <c r="Q3667" i="1"/>
  <c r="O3666" i="1"/>
  <c r="Q3666" i="1"/>
  <c r="O3665" i="1"/>
  <c r="Q3665" i="1"/>
  <c r="O3664" i="1"/>
  <c r="Q3664" i="1"/>
  <c r="O3663" i="1"/>
  <c r="Q3663" i="1"/>
  <c r="O3662" i="1"/>
  <c r="Q3662" i="1"/>
  <c r="O3661" i="1"/>
  <c r="Q3661" i="1"/>
  <c r="O3660" i="1"/>
  <c r="Q3660" i="1"/>
  <c r="N3659" i="1"/>
  <c r="O3659" i="1" s="1"/>
  <c r="Q3659" i="1"/>
  <c r="O3658" i="1"/>
  <c r="Q3658" i="1"/>
  <c r="O3657" i="1"/>
  <c r="Q3657" i="1"/>
  <c r="O3656" i="1"/>
  <c r="Q3656" i="1"/>
  <c r="O3655" i="1"/>
  <c r="Q3655" i="1"/>
  <c r="O3654" i="1"/>
  <c r="Q3654" i="1"/>
  <c r="O3653" i="1"/>
  <c r="Q3653" i="1"/>
  <c r="O3652" i="1"/>
  <c r="Q3652" i="1"/>
  <c r="O3651" i="1"/>
  <c r="Q3651" i="1"/>
  <c r="O3649" i="1"/>
  <c r="Q3649" i="1"/>
  <c r="O3648" i="1"/>
  <c r="Q3648" i="1"/>
  <c r="O3647" i="1"/>
  <c r="Q3647" i="1"/>
  <c r="N3646" i="1"/>
  <c r="O3646" i="1" s="1"/>
  <c r="Q3646" i="1"/>
  <c r="O3645" i="1"/>
  <c r="Q3645" i="1"/>
  <c r="O3644" i="1"/>
  <c r="Q3644" i="1"/>
  <c r="O3642" i="1"/>
  <c r="Q3642" i="1"/>
  <c r="O3641" i="1"/>
  <c r="Q3641" i="1"/>
  <c r="O3640" i="1"/>
  <c r="Q3640" i="1"/>
  <c r="O3639" i="1"/>
  <c r="Q3639" i="1"/>
  <c r="O3638" i="1"/>
  <c r="Q3638" i="1"/>
  <c r="O3637" i="1"/>
  <c r="Q3637" i="1"/>
  <c r="O3636" i="1"/>
  <c r="Q3636" i="1"/>
  <c r="O3635" i="1"/>
  <c r="Q3635" i="1"/>
  <c r="O3633" i="1"/>
  <c r="Q3633" i="1"/>
  <c r="O3632" i="1"/>
  <c r="Q3632" i="1"/>
  <c r="O3631" i="1"/>
  <c r="Q3631" i="1"/>
  <c r="O3630" i="1"/>
  <c r="Q3630" i="1"/>
  <c r="O3629" i="1"/>
  <c r="Q3629" i="1"/>
  <c r="O3628" i="1"/>
  <c r="Q3628" i="1"/>
  <c r="O3627" i="1"/>
  <c r="Q3627" i="1"/>
  <c r="O3626" i="1"/>
  <c r="Q3626" i="1"/>
  <c r="O3625" i="1"/>
  <c r="Q3625" i="1"/>
  <c r="O3624" i="1"/>
  <c r="Q3624" i="1"/>
  <c r="O3623" i="1"/>
  <c r="Q3623" i="1"/>
  <c r="O3622" i="1"/>
  <c r="Q3622" i="1"/>
  <c r="O3621" i="1"/>
  <c r="Q3621" i="1"/>
  <c r="O3620" i="1"/>
  <c r="Q3620" i="1"/>
  <c r="O3619" i="1"/>
  <c r="Q3619" i="1"/>
  <c r="O3618" i="1"/>
  <c r="Q3618" i="1"/>
  <c r="O3617" i="1"/>
  <c r="Q3617" i="1"/>
  <c r="O3613" i="1"/>
  <c r="Q3613" i="1"/>
  <c r="O3612" i="1"/>
  <c r="Q3612" i="1"/>
  <c r="O3605" i="1"/>
  <c r="Q3605" i="1"/>
  <c r="O3604" i="1"/>
  <c r="Q3604" i="1"/>
  <c r="O3602" i="1"/>
  <c r="Q3602" i="1"/>
  <c r="O3601" i="1"/>
  <c r="Q3601" i="1"/>
  <c r="O3600" i="1"/>
  <c r="Q3600" i="1"/>
  <c r="O3599" i="1"/>
  <c r="Q3599" i="1"/>
  <c r="O3598" i="1"/>
  <c r="Q3598" i="1"/>
  <c r="O3597" i="1"/>
  <c r="Q3597" i="1"/>
  <c r="O3595" i="1"/>
  <c r="Q3595" i="1"/>
  <c r="O3594" i="1"/>
  <c r="Q3594" i="1"/>
  <c r="Q3593" i="1"/>
  <c r="O3593" i="1"/>
  <c r="O3592" i="1"/>
  <c r="Q3592" i="1"/>
  <c r="Q3591" i="1"/>
  <c r="O3591" i="1"/>
  <c r="O3590" i="1"/>
  <c r="Q3590" i="1"/>
  <c r="Q3589" i="1"/>
  <c r="O3589" i="1"/>
  <c r="Q3587" i="1"/>
  <c r="O3587" i="1"/>
  <c r="O3586" i="1"/>
  <c r="Q3586" i="1"/>
  <c r="O3585" i="1"/>
  <c r="Q3585" i="1"/>
  <c r="O3584" i="1"/>
  <c r="Q3584" i="1"/>
  <c r="O3583" i="1"/>
  <c r="Q3583" i="1"/>
  <c r="O3582" i="1"/>
  <c r="Q3582" i="1"/>
  <c r="O3581" i="1"/>
  <c r="Q3581" i="1"/>
  <c r="O3580" i="1"/>
  <c r="Q3580" i="1"/>
  <c r="O3579" i="1"/>
  <c r="Q3579" i="1"/>
  <c r="Q3578" i="1"/>
  <c r="O3578" i="1"/>
  <c r="O3577" i="1"/>
  <c r="Q3577" i="1"/>
  <c r="Q3576" i="1"/>
  <c r="O3576" i="1"/>
  <c r="Q3575" i="1"/>
  <c r="O3575" i="1"/>
  <c r="Q3574" i="1"/>
  <c r="O3574" i="1"/>
  <c r="O3573" i="1"/>
  <c r="Q3573" i="1"/>
  <c r="O3572" i="1"/>
  <c r="Q3572" i="1"/>
  <c r="O3571" i="1"/>
  <c r="Q3571" i="1"/>
  <c r="O3570" i="1"/>
  <c r="Q3570" i="1"/>
  <c r="O3569" i="1"/>
  <c r="Q3569" i="1"/>
  <c r="Q3568" i="1"/>
  <c r="O3568" i="1"/>
  <c r="O3567" i="1"/>
  <c r="Q3567" i="1"/>
  <c r="O3566" i="1"/>
  <c r="Q3566" i="1"/>
  <c r="Q3565" i="1"/>
  <c r="O3565" i="1"/>
  <c r="O3564" i="1"/>
  <c r="Q3564" i="1"/>
  <c r="Q3560" i="1"/>
  <c r="O3560" i="1"/>
  <c r="O3559" i="1"/>
  <c r="Q3559" i="1"/>
  <c r="Q3558" i="1"/>
  <c r="O3558" i="1"/>
  <c r="R3558" i="1" s="1"/>
  <c r="O3557" i="1"/>
  <c r="Q3557" i="1"/>
  <c r="Q3556" i="1"/>
  <c r="O3556" i="1"/>
  <c r="Q3555" i="1"/>
  <c r="O3555" i="1"/>
  <c r="Q3554" i="1"/>
  <c r="O3554" i="1"/>
  <c r="O3553" i="1"/>
  <c r="Q3553" i="1"/>
  <c r="Q3552" i="1"/>
  <c r="O3552" i="1"/>
  <c r="R3552" i="1" s="1"/>
  <c r="O3551" i="1"/>
  <c r="Q3551" i="1"/>
  <c r="O3550" i="1"/>
  <c r="Q3550" i="1"/>
  <c r="O3549" i="1"/>
  <c r="Q3549" i="1"/>
  <c r="O3548" i="1"/>
  <c r="Q3548" i="1"/>
  <c r="Q3547" i="1"/>
  <c r="O3547" i="1"/>
  <c r="Q3544" i="1"/>
  <c r="O3544" i="1"/>
  <c r="R3544" i="1" s="1"/>
  <c r="O3543" i="1"/>
  <c r="Q3543" i="1"/>
  <c r="O3542" i="1"/>
  <c r="Q3542" i="1"/>
  <c r="Q3541" i="1"/>
  <c r="O3541" i="1"/>
  <c r="Q3539" i="1"/>
  <c r="O3539" i="1"/>
  <c r="Q3538" i="1"/>
  <c r="O3538" i="1"/>
  <c r="O3537" i="1"/>
  <c r="Q3537" i="1"/>
  <c r="O3536" i="1"/>
  <c r="Q3536" i="1"/>
  <c r="O3535" i="1"/>
  <c r="Q3535" i="1"/>
  <c r="O3534" i="1"/>
  <c r="Q3534" i="1"/>
  <c r="O3533" i="1"/>
  <c r="Q3533" i="1"/>
  <c r="Q3532" i="1"/>
  <c r="O3532" i="1"/>
  <c r="Q3531" i="1"/>
  <c r="M3531" i="1"/>
  <c r="O3531" i="1" s="1"/>
  <c r="R3531" i="1" s="1"/>
  <c r="Q3530" i="1"/>
  <c r="M3530" i="1"/>
  <c r="O3530" i="1" s="1"/>
  <c r="N3529" i="1"/>
  <c r="O3529" i="1" s="1"/>
  <c r="Q3529" i="1"/>
  <c r="Q3528" i="1"/>
  <c r="O3528" i="1"/>
  <c r="Q3527" i="1"/>
  <c r="O3527" i="1"/>
  <c r="Q3526" i="1"/>
  <c r="O3526" i="1"/>
  <c r="O3525" i="1"/>
  <c r="Q3525" i="1"/>
  <c r="Q3524" i="1"/>
  <c r="O3524" i="1"/>
  <c r="O3523" i="1"/>
  <c r="Q3523" i="1"/>
  <c r="Q3522" i="1"/>
  <c r="O3522" i="1"/>
  <c r="O3519" i="1"/>
  <c r="Q3519" i="1"/>
  <c r="O3518" i="1"/>
  <c r="Q3518" i="1"/>
  <c r="O3517" i="1"/>
  <c r="Q3517" i="1"/>
  <c r="O3515" i="1"/>
  <c r="Q3515" i="1"/>
  <c r="O3514" i="1"/>
  <c r="Q3514" i="1"/>
  <c r="O3513" i="1"/>
  <c r="Q3513" i="1"/>
  <c r="O3512" i="1"/>
  <c r="Q3512" i="1"/>
  <c r="O3511" i="1"/>
  <c r="Q3511" i="1"/>
  <c r="Q3510" i="1"/>
  <c r="O3510" i="1"/>
  <c r="R3510" i="1" s="1"/>
  <c r="O3509" i="1"/>
  <c r="Q3509" i="1"/>
  <c r="Q3508" i="1"/>
  <c r="O3508" i="1"/>
  <c r="O3507" i="1"/>
  <c r="Q3507" i="1"/>
  <c r="M3506" i="1"/>
  <c r="O3506" i="1" s="1"/>
  <c r="Q3506" i="1"/>
  <c r="O3505" i="1"/>
  <c r="Q3505" i="1"/>
  <c r="O3504" i="1"/>
  <c r="Q3504" i="1"/>
  <c r="Q3503" i="1"/>
  <c r="O3503" i="1"/>
  <c r="Q3502" i="1"/>
  <c r="O3502" i="1"/>
  <c r="O3501" i="1"/>
  <c r="Q3501" i="1"/>
  <c r="Q3500" i="1"/>
  <c r="O3500" i="1"/>
  <c r="O3497" i="1"/>
  <c r="Q3497" i="1"/>
  <c r="Q3495" i="1"/>
  <c r="O3495" i="1"/>
  <c r="O3494" i="1"/>
  <c r="Q3494" i="1"/>
  <c r="O3493" i="1"/>
  <c r="Q3493" i="1"/>
  <c r="O3492" i="1"/>
  <c r="Q3492" i="1"/>
  <c r="Q3491" i="1"/>
  <c r="O3491" i="1"/>
  <c r="O3490" i="1"/>
  <c r="Q3490" i="1"/>
  <c r="O3489" i="1"/>
  <c r="Q3489" i="1"/>
  <c r="O3488" i="1"/>
  <c r="Q3488" i="1"/>
  <c r="Q3487" i="1"/>
  <c r="O3487" i="1"/>
  <c r="O3486" i="1"/>
  <c r="Q3486" i="1"/>
  <c r="O3484" i="1"/>
  <c r="Q3484" i="1"/>
  <c r="O3483" i="1"/>
  <c r="Q3483" i="1"/>
  <c r="O3482" i="1"/>
  <c r="Q3482" i="1"/>
  <c r="Q3481" i="1"/>
  <c r="O3481" i="1"/>
  <c r="O3480" i="1"/>
  <c r="Q3480" i="1"/>
  <c r="Q3479" i="1"/>
  <c r="O3479" i="1"/>
  <c r="O3477" i="1"/>
  <c r="Q3477" i="1"/>
  <c r="O3476" i="1"/>
  <c r="Q3476" i="1"/>
  <c r="Q3475" i="1"/>
  <c r="O3475" i="1"/>
  <c r="O3474" i="1"/>
  <c r="Q3474" i="1"/>
  <c r="O3473" i="1"/>
  <c r="Q3473" i="1"/>
  <c r="O3472" i="1"/>
  <c r="Q3472" i="1"/>
  <c r="O3471" i="1"/>
  <c r="Q3471" i="1"/>
  <c r="O3470" i="1"/>
  <c r="Q3470" i="1"/>
  <c r="O3469" i="1"/>
  <c r="Q3469" i="1"/>
  <c r="O3468" i="1"/>
  <c r="Q3468" i="1"/>
  <c r="Q3467" i="1"/>
  <c r="O3467" i="1"/>
  <c r="Q3466" i="1"/>
  <c r="O3466" i="1"/>
  <c r="O3465" i="1"/>
  <c r="Q3465" i="1"/>
  <c r="O3463" i="1"/>
  <c r="Q3463" i="1"/>
  <c r="Q3462" i="1"/>
  <c r="O3462" i="1"/>
  <c r="Q3461" i="1"/>
  <c r="O3461" i="1"/>
  <c r="O3460" i="1"/>
  <c r="Q3460" i="1"/>
  <c r="O3459" i="1"/>
  <c r="Q3459" i="1"/>
  <c r="Q3458" i="1"/>
  <c r="O3458" i="1"/>
  <c r="O3457" i="1"/>
  <c r="Q3457" i="1"/>
  <c r="O3456" i="1"/>
  <c r="Q3456" i="1"/>
  <c r="O3455" i="1"/>
  <c r="Q3455" i="1"/>
  <c r="O3454" i="1"/>
  <c r="Q3454" i="1"/>
  <c r="O3453" i="1"/>
  <c r="Q3453" i="1"/>
  <c r="O3452" i="1"/>
  <c r="Q3452" i="1"/>
  <c r="O3451" i="1"/>
  <c r="Q3451" i="1"/>
  <c r="O3450" i="1"/>
  <c r="Q3450" i="1"/>
  <c r="Q3449" i="1"/>
  <c r="O3449" i="1"/>
  <c r="O3448" i="1"/>
  <c r="Q3448" i="1"/>
  <c r="Q3447" i="1"/>
  <c r="O3447" i="1"/>
  <c r="O3446" i="1"/>
  <c r="Q3446" i="1"/>
  <c r="O3445" i="1"/>
  <c r="Q3445" i="1"/>
  <c r="N3444" i="1"/>
  <c r="O3444" i="1" s="1"/>
  <c r="Q3444" i="1"/>
  <c r="Q3443" i="1"/>
  <c r="O3443" i="1"/>
  <c r="O3442" i="1"/>
  <c r="Q3442" i="1"/>
  <c r="O3441" i="1"/>
  <c r="Q3441" i="1"/>
  <c r="Q3440" i="1"/>
  <c r="O3440" i="1"/>
  <c r="O3439" i="1"/>
  <c r="Q3439" i="1"/>
  <c r="Q3438" i="1"/>
  <c r="O3438" i="1"/>
  <c r="O3437" i="1"/>
  <c r="Q3437" i="1"/>
  <c r="Q3436" i="1"/>
  <c r="O3436" i="1"/>
  <c r="O3435" i="1"/>
  <c r="Q3435" i="1"/>
  <c r="O3434" i="1"/>
  <c r="Q3434" i="1"/>
  <c r="O3433" i="1"/>
  <c r="Q3433" i="1"/>
  <c r="O3432" i="1"/>
  <c r="Q3432" i="1"/>
  <c r="O3431" i="1"/>
  <c r="Q3431" i="1"/>
  <c r="O3430" i="1"/>
  <c r="Q3430" i="1"/>
  <c r="O3429" i="1"/>
  <c r="Q3429" i="1"/>
  <c r="O3427" i="1"/>
  <c r="Q3427" i="1"/>
  <c r="Q3426" i="1"/>
  <c r="O3426" i="1"/>
  <c r="O3425" i="1"/>
  <c r="Q3425" i="1"/>
  <c r="O3424" i="1"/>
  <c r="Q3424" i="1"/>
  <c r="O3423" i="1"/>
  <c r="Q3423" i="1"/>
  <c r="O3422" i="1"/>
  <c r="Q3422" i="1"/>
  <c r="O3421" i="1"/>
  <c r="Q3421" i="1"/>
  <c r="Q3419" i="1"/>
  <c r="O3419" i="1"/>
  <c r="Q3418" i="1"/>
  <c r="O3418" i="1"/>
  <c r="Q3417" i="1"/>
  <c r="O3417" i="1"/>
  <c r="Q3416" i="1"/>
  <c r="O3416" i="1"/>
  <c r="Q3415" i="1"/>
  <c r="O3415" i="1"/>
  <c r="Q3414" i="1"/>
  <c r="O3414" i="1"/>
  <c r="O3413" i="1"/>
  <c r="Q3413" i="1"/>
  <c r="Q3412" i="1"/>
  <c r="O3412" i="1"/>
  <c r="O3411" i="1"/>
  <c r="Q3411" i="1"/>
  <c r="O3410" i="1"/>
  <c r="Q3410" i="1"/>
  <c r="O3409" i="1"/>
  <c r="Q3409" i="1"/>
  <c r="M3408" i="1"/>
  <c r="O3408" i="1" s="1"/>
  <c r="Q3408" i="1"/>
  <c r="Q3407" i="1"/>
  <c r="O3407" i="1"/>
  <c r="O3405" i="1"/>
  <c r="Q3405" i="1"/>
  <c r="Q3404" i="1"/>
  <c r="O3404" i="1"/>
  <c r="R3404" i="1" s="1"/>
  <c r="Q3403" i="1"/>
  <c r="O3403" i="1"/>
  <c r="Q3402" i="1"/>
  <c r="O3402" i="1"/>
  <c r="O3401" i="1"/>
  <c r="Q3401" i="1"/>
  <c r="Q3400" i="1"/>
  <c r="O3400" i="1"/>
  <c r="O3399" i="1"/>
  <c r="Q3399" i="1"/>
  <c r="O3398" i="1"/>
  <c r="Q3398" i="1"/>
  <c r="Q3397" i="1"/>
  <c r="O3397" i="1"/>
  <c r="O3396" i="1"/>
  <c r="Q3396" i="1"/>
  <c r="O3395" i="1"/>
  <c r="Q3395" i="1"/>
  <c r="Q3394" i="1"/>
  <c r="O3394" i="1"/>
  <c r="O3393" i="1"/>
  <c r="Q3393" i="1"/>
  <c r="O3392" i="1"/>
  <c r="Q3392" i="1"/>
  <c r="O3391" i="1"/>
  <c r="Q3391" i="1"/>
  <c r="O3390" i="1"/>
  <c r="Q3390" i="1"/>
  <c r="O3389" i="1"/>
  <c r="Q3389" i="1"/>
  <c r="Q3388" i="1"/>
  <c r="O3388" i="1"/>
  <c r="Q3387" i="1"/>
  <c r="O3387" i="1"/>
  <c r="O3386" i="1"/>
  <c r="Q3386" i="1"/>
  <c r="Q3385" i="1"/>
  <c r="O3385" i="1"/>
  <c r="Q3384" i="1"/>
  <c r="O3384" i="1"/>
  <c r="O3383" i="1"/>
  <c r="Q3383" i="1"/>
  <c r="Q3382" i="1"/>
  <c r="O3382" i="1"/>
  <c r="O3381" i="1"/>
  <c r="Q3381" i="1"/>
  <c r="O3380" i="1"/>
  <c r="Q3380" i="1"/>
  <c r="Q3379" i="1"/>
  <c r="O3379" i="1"/>
  <c r="O3378" i="1"/>
  <c r="Q3378" i="1"/>
  <c r="O3377" i="1"/>
  <c r="Q3377" i="1"/>
  <c r="O3376" i="1"/>
  <c r="Q3376" i="1"/>
  <c r="Q3375" i="1"/>
  <c r="O3375" i="1"/>
  <c r="O3374" i="1"/>
  <c r="Q3374" i="1"/>
  <c r="O3373" i="1"/>
  <c r="Q3373" i="1"/>
  <c r="Q3372" i="1"/>
  <c r="O3372" i="1"/>
  <c r="Q3371" i="1"/>
  <c r="O3371" i="1"/>
  <c r="Q3370" i="1"/>
  <c r="O3370" i="1"/>
  <c r="O3369" i="1"/>
  <c r="Q3369" i="1"/>
  <c r="Q3368" i="1"/>
  <c r="O3368" i="1"/>
  <c r="O3367" i="1"/>
  <c r="Q3367" i="1"/>
  <c r="O3366" i="1"/>
  <c r="Q3366" i="1"/>
  <c r="O3365" i="1"/>
  <c r="Q3365" i="1"/>
  <c r="Q3364" i="1"/>
  <c r="O3364" i="1"/>
  <c r="O3363" i="1"/>
  <c r="Q3363" i="1"/>
  <c r="Q3362" i="1"/>
  <c r="O3362" i="1"/>
  <c r="R3362" i="1" s="1"/>
  <c r="Q3361" i="1"/>
  <c r="O3361" i="1"/>
  <c r="Q3360" i="1"/>
  <c r="O3360" i="1"/>
  <c r="O3359" i="1"/>
  <c r="Q3359" i="1"/>
  <c r="O3358" i="1"/>
  <c r="Q3358" i="1"/>
  <c r="Q3357" i="1"/>
  <c r="O3357" i="1"/>
  <c r="O3356" i="1"/>
  <c r="Q3356" i="1"/>
  <c r="Q3355" i="1"/>
  <c r="O3355" i="1"/>
  <c r="Q3354" i="1"/>
  <c r="O3354" i="1"/>
  <c r="O3353" i="1"/>
  <c r="Q3353" i="1"/>
  <c r="Q3352" i="1"/>
  <c r="O3352" i="1"/>
  <c r="Q3351" i="1"/>
  <c r="O3351" i="1"/>
  <c r="O3350" i="1"/>
  <c r="Q3350" i="1"/>
  <c r="Q3349" i="1"/>
  <c r="O3349" i="1"/>
  <c r="O3348" i="1"/>
  <c r="Q3348" i="1"/>
  <c r="Q3347" i="1"/>
  <c r="O3347" i="1"/>
  <c r="O3346" i="1"/>
  <c r="Q3346" i="1"/>
  <c r="O3345" i="1"/>
  <c r="Q3345" i="1"/>
  <c r="Q3343" i="1"/>
  <c r="O3343" i="1"/>
  <c r="R3343" i="1" s="1"/>
  <c r="O3342" i="1"/>
  <c r="Q3342" i="1"/>
  <c r="O3341" i="1"/>
  <c r="Q3341" i="1"/>
  <c r="O3340" i="1"/>
  <c r="Q3340" i="1"/>
  <c r="O3339" i="1"/>
  <c r="Q3339" i="1"/>
  <c r="Q3338" i="1"/>
  <c r="O3338" i="1"/>
  <c r="O3336" i="1"/>
  <c r="Q3336" i="1"/>
  <c r="O3335" i="1"/>
  <c r="Q3335" i="1"/>
  <c r="O3334" i="1"/>
  <c r="Q3334" i="1"/>
  <c r="O3333" i="1"/>
  <c r="Q3333" i="1"/>
  <c r="O3332" i="1"/>
  <c r="Q3332" i="1"/>
  <c r="Q3331" i="1"/>
  <c r="O3331" i="1"/>
  <c r="O3330" i="1"/>
  <c r="Q3330" i="1"/>
  <c r="Q3329" i="1"/>
  <c r="O3329" i="1"/>
  <c r="O3328" i="1"/>
  <c r="Q3328" i="1"/>
  <c r="Q3327" i="1"/>
  <c r="O3327" i="1"/>
  <c r="O3326" i="1"/>
  <c r="Q3326" i="1"/>
  <c r="O3324" i="1"/>
  <c r="Q3324" i="1"/>
  <c r="O3323" i="1"/>
  <c r="Q3323" i="1"/>
  <c r="O3322" i="1"/>
  <c r="Q3322" i="1"/>
  <c r="Q3321" i="1"/>
  <c r="O3321" i="1"/>
  <c r="Q3320" i="1"/>
  <c r="O3320" i="1"/>
  <c r="O3319" i="1"/>
  <c r="Q3319" i="1"/>
  <c r="O3318" i="1"/>
  <c r="Q3318" i="1"/>
  <c r="Q3317" i="1"/>
  <c r="O3317" i="1"/>
  <c r="R3317" i="1" s="1"/>
  <c r="O3316" i="1"/>
  <c r="Q3316" i="1"/>
  <c r="O3315" i="1"/>
  <c r="Q3315" i="1"/>
  <c r="O3314" i="1"/>
  <c r="Q3314" i="1"/>
  <c r="O3313" i="1"/>
  <c r="Q3313" i="1"/>
  <c r="Q3312" i="1"/>
  <c r="O3312" i="1"/>
  <c r="Q3311" i="1"/>
  <c r="O3311" i="1"/>
  <c r="R3311" i="1" s="1"/>
  <c r="O3310" i="1"/>
  <c r="Q3310" i="1"/>
  <c r="Q3309" i="1"/>
  <c r="O3309" i="1"/>
  <c r="Q3308" i="1"/>
  <c r="O3308" i="1"/>
  <c r="Q3307" i="1"/>
  <c r="O3307" i="1"/>
  <c r="Q3306" i="1"/>
  <c r="O3306" i="1"/>
  <c r="O3305" i="1"/>
  <c r="Q3305" i="1"/>
  <c r="O3304" i="1"/>
  <c r="Q3304" i="1"/>
  <c r="Q3303" i="1"/>
  <c r="O3303" i="1"/>
  <c r="Q3302" i="1"/>
  <c r="O3302" i="1"/>
  <c r="O3301" i="1"/>
  <c r="Q3301" i="1"/>
  <c r="O3300" i="1"/>
  <c r="Q3300" i="1"/>
  <c r="Q3299" i="1"/>
  <c r="O3299" i="1"/>
  <c r="R3299" i="1" s="1"/>
  <c r="Q3298" i="1"/>
  <c r="O3298" i="1"/>
  <c r="Q3297" i="1"/>
  <c r="O3297" i="1"/>
  <c r="Q3296" i="1"/>
  <c r="O3296" i="1"/>
  <c r="Q3295" i="1"/>
  <c r="O3295" i="1"/>
  <c r="Q3294" i="1"/>
  <c r="O3294" i="1"/>
  <c r="O3293" i="1"/>
  <c r="Q3293" i="1"/>
  <c r="Q3292" i="1"/>
  <c r="O3292" i="1"/>
  <c r="Q3291" i="1"/>
  <c r="O3291" i="1"/>
  <c r="Q3290" i="1"/>
  <c r="O3290" i="1"/>
  <c r="Q3289" i="1"/>
  <c r="O3289" i="1"/>
  <c r="Q3288" i="1"/>
  <c r="O3288" i="1"/>
  <c r="Q3287" i="1"/>
  <c r="O3287" i="1"/>
  <c r="R3287" i="1" s="1"/>
  <c r="Q3284" i="1"/>
  <c r="O3284" i="1"/>
  <c r="Q3283" i="1"/>
  <c r="O3283" i="1"/>
  <c r="Q3282" i="1"/>
  <c r="O3282" i="1"/>
  <c r="O3281" i="1"/>
  <c r="Q3281" i="1"/>
  <c r="Q3280" i="1"/>
  <c r="O3280" i="1"/>
  <c r="Q3279" i="1"/>
  <c r="O3279" i="1"/>
  <c r="R3279" i="1" s="1"/>
  <c r="O3278" i="1"/>
  <c r="Q3278" i="1"/>
  <c r="Q3277" i="1"/>
  <c r="O3277" i="1"/>
  <c r="O3276" i="1"/>
  <c r="Q3276" i="1"/>
  <c r="O3275" i="1"/>
  <c r="Q3275" i="1"/>
  <c r="Q3274" i="1"/>
  <c r="O3274" i="1"/>
  <c r="Q3273" i="1"/>
  <c r="O3273" i="1"/>
  <c r="R3273" i="1" s="1"/>
  <c r="Q3272" i="1"/>
  <c r="O3272" i="1"/>
  <c r="O3271" i="1"/>
  <c r="Q3271" i="1"/>
  <c r="Q3270" i="1"/>
  <c r="O3270" i="1"/>
  <c r="Q3269" i="1"/>
  <c r="O3269" i="1"/>
  <c r="Q3268" i="1"/>
  <c r="O3268" i="1"/>
  <c r="O3267" i="1"/>
  <c r="Q3267" i="1"/>
  <c r="O3266" i="1"/>
  <c r="Q3266" i="1"/>
  <c r="Q3265" i="1"/>
  <c r="O3265" i="1"/>
  <c r="Q3264" i="1"/>
  <c r="O3264" i="1"/>
  <c r="Q3263" i="1"/>
  <c r="O3263" i="1"/>
  <c r="Q3262" i="1"/>
  <c r="O3262" i="1"/>
  <c r="O3261" i="1"/>
  <c r="Q3261" i="1"/>
  <c r="Q3260" i="1"/>
  <c r="O3260" i="1"/>
  <c r="Q3259" i="1"/>
  <c r="O3259" i="1"/>
  <c r="O3258" i="1"/>
  <c r="Q3258" i="1"/>
  <c r="O3257" i="1"/>
  <c r="Q3257" i="1"/>
  <c r="O3256" i="1"/>
  <c r="Q3256" i="1"/>
  <c r="O3255" i="1"/>
  <c r="Q3255" i="1"/>
  <c r="Q3254" i="1"/>
  <c r="O3254" i="1"/>
  <c r="Q3253" i="1"/>
  <c r="O3253" i="1"/>
  <c r="O3252" i="1"/>
  <c r="Q3252" i="1"/>
  <c r="O3251" i="1"/>
  <c r="Q3251" i="1"/>
  <c r="Q3250" i="1"/>
  <c r="O3250" i="1"/>
  <c r="Q3249" i="1"/>
  <c r="O3249" i="1"/>
  <c r="R3249" i="1" s="1"/>
  <c r="Q3248" i="1"/>
  <c r="O3248" i="1"/>
  <c r="Q3247" i="1"/>
  <c r="O3247" i="1"/>
  <c r="Q3246" i="1"/>
  <c r="O3246" i="1"/>
  <c r="Q3245" i="1"/>
  <c r="O3245" i="1"/>
  <c r="Q3244" i="1"/>
  <c r="O3244" i="1"/>
  <c r="Q3243" i="1"/>
  <c r="O3243" i="1"/>
  <c r="R3243" i="1" s="1"/>
  <c r="Q3242" i="1"/>
  <c r="O3242" i="1"/>
  <c r="Q3241" i="1"/>
  <c r="O3241" i="1"/>
  <c r="Q3240" i="1"/>
  <c r="O3240" i="1"/>
  <c r="Q3239" i="1"/>
  <c r="O3239" i="1"/>
  <c r="O3238" i="1"/>
  <c r="Q3238" i="1"/>
  <c r="Q3237" i="1"/>
  <c r="O3237" i="1"/>
  <c r="R3237" i="1" s="1"/>
  <c r="O3236" i="1"/>
  <c r="Q3236" i="1"/>
  <c r="Q3235" i="1"/>
  <c r="O3235" i="1"/>
  <c r="Q3234" i="1"/>
  <c r="O3234" i="1"/>
  <c r="Q3229" i="1"/>
  <c r="O3229" i="1"/>
  <c r="Q3228" i="1"/>
  <c r="O3228" i="1"/>
  <c r="Q3227" i="1"/>
  <c r="O3227" i="1"/>
  <c r="R3227" i="1" s="1"/>
  <c r="Q3226" i="1"/>
  <c r="O3226" i="1"/>
  <c r="Q3225" i="1"/>
  <c r="O3225" i="1"/>
  <c r="O3223" i="1"/>
  <c r="Q3223" i="1"/>
  <c r="Q3222" i="1"/>
  <c r="O3222" i="1"/>
  <c r="O3221" i="1"/>
  <c r="Q3221" i="1"/>
  <c r="O3220" i="1"/>
  <c r="Q3220" i="1"/>
  <c r="Q3219" i="1"/>
  <c r="O3219" i="1"/>
  <c r="O3218" i="1"/>
  <c r="Q3218" i="1"/>
  <c r="Q3213" i="1"/>
  <c r="O3213" i="1"/>
  <c r="Q3212" i="1"/>
  <c r="O3212" i="1"/>
  <c r="O3211" i="1"/>
  <c r="Q3211" i="1"/>
  <c r="Q3210" i="1"/>
  <c r="O3210" i="1"/>
  <c r="R3210" i="1" s="1"/>
  <c r="Q3209" i="1"/>
  <c r="O3209" i="1"/>
  <c r="Q3208" i="1"/>
  <c r="O3208" i="1"/>
  <c r="O3207" i="1"/>
  <c r="Q3207" i="1"/>
  <c r="Q3206" i="1"/>
  <c r="O3206" i="1"/>
  <c r="Q3205" i="1"/>
  <c r="O3205" i="1"/>
  <c r="Q3204" i="1"/>
  <c r="O3204" i="1"/>
  <c r="R3204" i="1" s="1"/>
  <c r="Q3203" i="1"/>
  <c r="O3203" i="1"/>
  <c r="O3202" i="1"/>
  <c r="Q3202" i="1"/>
  <c r="O3201" i="1"/>
  <c r="Q3201" i="1"/>
  <c r="O3200" i="1"/>
  <c r="Q3200" i="1"/>
  <c r="Q3199" i="1"/>
  <c r="O3199" i="1"/>
  <c r="Q3198" i="1"/>
  <c r="O3198" i="1"/>
  <c r="R3198" i="1" s="1"/>
  <c r="Q3197" i="1"/>
  <c r="O3197" i="1"/>
  <c r="O3196" i="1"/>
  <c r="Q3196" i="1"/>
  <c r="Q3195" i="1"/>
  <c r="O3195" i="1"/>
  <c r="Q3194" i="1"/>
  <c r="O3194" i="1"/>
  <c r="Q3193" i="1"/>
  <c r="O3193" i="1"/>
  <c r="O3192" i="1"/>
  <c r="Q3192" i="1"/>
  <c r="O3191" i="1"/>
  <c r="Q3191" i="1"/>
  <c r="Q3190" i="1"/>
  <c r="O3190" i="1"/>
  <c r="Q3189" i="1"/>
  <c r="O3189" i="1"/>
  <c r="Q3188" i="1"/>
  <c r="O3188" i="1"/>
  <c r="O3187" i="1"/>
  <c r="Q3187" i="1"/>
  <c r="Q3186" i="1"/>
  <c r="O3186" i="1"/>
  <c r="R3186" i="1" s="1"/>
  <c r="O3185" i="1"/>
  <c r="Q3185" i="1"/>
  <c r="O3184" i="1"/>
  <c r="Q3184" i="1"/>
  <c r="O3183" i="1"/>
  <c r="Q3183" i="1"/>
  <c r="Q3182" i="1"/>
  <c r="O3182" i="1"/>
  <c r="O3181" i="1"/>
  <c r="Q3181" i="1"/>
  <c r="Q3180" i="1"/>
  <c r="O3180" i="1"/>
  <c r="R3180" i="1" s="1"/>
  <c r="Q3179" i="1"/>
  <c r="O3179" i="1"/>
  <c r="Q3178" i="1"/>
  <c r="O3178" i="1"/>
  <c r="O3177" i="1"/>
  <c r="Q3177" i="1"/>
  <c r="Q3176" i="1"/>
  <c r="O3176" i="1"/>
  <c r="O3175" i="1"/>
  <c r="Q3175" i="1"/>
  <c r="Q3174" i="1"/>
  <c r="O3174" i="1"/>
  <c r="R3174" i="1" s="1"/>
  <c r="Q3173" i="1"/>
  <c r="O3173" i="1"/>
  <c r="Q3172" i="1"/>
  <c r="O3172" i="1"/>
  <c r="Q3171" i="1"/>
  <c r="O3171" i="1"/>
  <c r="Q3166" i="1"/>
  <c r="O3166" i="1"/>
  <c r="Q3165" i="1"/>
  <c r="O3165" i="1"/>
  <c r="Q3164" i="1"/>
  <c r="O3164" i="1"/>
  <c r="R3164" i="1" s="1"/>
  <c r="Q3163" i="1"/>
  <c r="O3163" i="1"/>
  <c r="O3162" i="1"/>
  <c r="Q3162" i="1"/>
  <c r="Q3161" i="1"/>
  <c r="O3161" i="1"/>
  <c r="Q3160" i="1"/>
  <c r="O3160" i="1"/>
  <c r="Q3155" i="1"/>
  <c r="O3155" i="1"/>
  <c r="Q3154" i="1"/>
  <c r="O3154" i="1"/>
  <c r="R3154" i="1" s="1"/>
  <c r="Q3153" i="1"/>
  <c r="O3153" i="1"/>
  <c r="Q3152" i="1"/>
  <c r="O3152" i="1"/>
  <c r="Q3151" i="1"/>
  <c r="O3151" i="1"/>
  <c r="O3150" i="1"/>
  <c r="Q3150" i="1"/>
  <c r="Q3149" i="1"/>
  <c r="O3149" i="1"/>
  <c r="Q3148" i="1"/>
  <c r="O3148" i="1"/>
  <c r="R3148" i="1" s="1"/>
  <c r="Q3147" i="1"/>
  <c r="O3147" i="1"/>
  <c r="O3146" i="1"/>
  <c r="Q3146" i="1"/>
  <c r="Q3145" i="1"/>
  <c r="O3145" i="1"/>
  <c r="O3144" i="1"/>
  <c r="Q3144" i="1"/>
  <c r="Q3143" i="1"/>
  <c r="O3143" i="1"/>
  <c r="Q3142" i="1"/>
  <c r="O3142" i="1"/>
  <c r="R3142" i="1" s="1"/>
  <c r="Q3141" i="1"/>
  <c r="O3141" i="1"/>
  <c r="Q3140" i="1"/>
  <c r="O3140" i="1"/>
  <c r="Q3139" i="1"/>
  <c r="O3139" i="1"/>
  <c r="O3138" i="1"/>
  <c r="Q3138" i="1"/>
  <c r="O3137" i="1"/>
  <c r="Q3137" i="1"/>
  <c r="Q3136" i="1"/>
  <c r="O3136" i="1"/>
  <c r="R3136" i="1" s="1"/>
  <c r="O3135" i="1"/>
  <c r="Q3135" i="1"/>
  <c r="Q3134" i="1"/>
  <c r="O3134" i="1"/>
  <c r="Q3133" i="1"/>
  <c r="O3133" i="1"/>
  <c r="O3132" i="1"/>
  <c r="Q3132" i="1"/>
  <c r="O3131" i="1"/>
  <c r="Q3131" i="1"/>
  <c r="Q3130" i="1"/>
  <c r="O3130" i="1"/>
  <c r="R3130" i="1" s="1"/>
  <c r="Q3129" i="1"/>
  <c r="O3129" i="1"/>
  <c r="Q3128" i="1"/>
  <c r="O3128" i="1"/>
  <c r="O3127" i="1"/>
  <c r="Q3127" i="1"/>
  <c r="Q3126" i="1"/>
  <c r="O3126" i="1"/>
  <c r="Q3125" i="1"/>
  <c r="O3125" i="1"/>
  <c r="Q3124" i="1"/>
  <c r="O3124" i="1"/>
  <c r="Q3123" i="1"/>
  <c r="O3123" i="1"/>
  <c r="Q3122" i="1"/>
  <c r="O3122" i="1"/>
  <c r="Q3121" i="1"/>
  <c r="O3121" i="1"/>
  <c r="Q3120" i="1"/>
  <c r="O3120" i="1"/>
  <c r="Q3119" i="1"/>
  <c r="O3119" i="1"/>
  <c r="Q3118" i="1"/>
  <c r="O3118" i="1"/>
  <c r="Q3117" i="1"/>
  <c r="O3117" i="1"/>
  <c r="Q3116" i="1"/>
  <c r="O3116" i="1"/>
  <c r="Q3115" i="1"/>
  <c r="O3115" i="1"/>
  <c r="Q3114" i="1"/>
  <c r="O3114" i="1"/>
  <c r="Q3113" i="1"/>
  <c r="O3113" i="1"/>
  <c r="Q3112" i="1"/>
  <c r="O3112" i="1"/>
  <c r="Q3111" i="1"/>
  <c r="O3111" i="1"/>
  <c r="Q3110" i="1"/>
  <c r="O3110" i="1"/>
  <c r="Q3109" i="1"/>
  <c r="O3109" i="1"/>
  <c r="Q3106" i="1"/>
  <c r="O3106" i="1"/>
  <c r="O3105" i="1"/>
  <c r="Q3105" i="1"/>
  <c r="O3104" i="1"/>
  <c r="Q3104" i="1"/>
  <c r="Q3102" i="1"/>
  <c r="O3102" i="1"/>
  <c r="O3099" i="1"/>
  <c r="Q3099" i="1"/>
  <c r="Q3098" i="1"/>
  <c r="O3098" i="1"/>
  <c r="Q3097" i="1"/>
  <c r="O3097" i="1"/>
  <c r="Q3096" i="1"/>
  <c r="O3096" i="1"/>
  <c r="Q3095" i="1"/>
  <c r="O3095" i="1"/>
  <c r="Q3094" i="1"/>
  <c r="O3094" i="1"/>
  <c r="Q3093" i="1"/>
  <c r="O3093" i="1"/>
  <c r="O3092" i="1"/>
  <c r="Q3092" i="1"/>
  <c r="O3090" i="1"/>
  <c r="Q3090" i="1"/>
  <c r="Q3089" i="1"/>
  <c r="O3089" i="1"/>
  <c r="Q3088" i="1"/>
  <c r="O3088" i="1"/>
  <c r="Q3087" i="1"/>
  <c r="O3087" i="1"/>
  <c r="O3086" i="1"/>
  <c r="Q3086" i="1"/>
  <c r="Q3084" i="1"/>
  <c r="O3084" i="1"/>
  <c r="Q3083" i="1"/>
  <c r="O3083" i="1"/>
  <c r="Q3082" i="1"/>
  <c r="O3082" i="1"/>
  <c r="Q3081" i="1"/>
  <c r="O3081" i="1"/>
  <c r="Q3080" i="1"/>
  <c r="O3080" i="1"/>
  <c r="Q3078" i="1"/>
  <c r="O3078" i="1"/>
  <c r="Q3077" i="1"/>
  <c r="O3077" i="1"/>
  <c r="Q3076" i="1"/>
  <c r="O3076" i="1"/>
  <c r="Q3075" i="1"/>
  <c r="O3075" i="1"/>
  <c r="O3074" i="1"/>
  <c r="Q3074" i="1"/>
  <c r="Q3073" i="1"/>
  <c r="O3073" i="1"/>
  <c r="Q3072" i="1"/>
  <c r="O3072" i="1"/>
  <c r="Q3069" i="1"/>
  <c r="O3069" i="1"/>
  <c r="Q3068" i="1"/>
  <c r="O3068" i="1"/>
  <c r="O3067" i="1"/>
  <c r="Q3067" i="1"/>
  <c r="Q3066" i="1"/>
  <c r="O3066" i="1"/>
  <c r="Q3065" i="1"/>
  <c r="O3065" i="1"/>
  <c r="O3064" i="1"/>
  <c r="Q3064" i="1"/>
  <c r="O3063" i="1"/>
  <c r="Q3063" i="1"/>
  <c r="Q3062" i="1"/>
  <c r="O3062" i="1"/>
  <c r="Q3061" i="1"/>
  <c r="O3061" i="1"/>
  <c r="Q3060" i="1"/>
  <c r="O3060" i="1"/>
  <c r="O3059" i="1"/>
  <c r="Q3059" i="1"/>
  <c r="O3058" i="1"/>
  <c r="Q3058" i="1"/>
  <c r="Q3057" i="1"/>
  <c r="O3057" i="1"/>
  <c r="Q3056" i="1"/>
  <c r="O3056" i="1"/>
  <c r="Q3055" i="1"/>
  <c r="O3055" i="1"/>
  <c r="O3054" i="1"/>
  <c r="Q3054" i="1"/>
  <c r="O3053" i="1"/>
  <c r="Q3053" i="1"/>
  <c r="Q3052" i="1"/>
  <c r="O3052" i="1"/>
  <c r="Q3051" i="1"/>
  <c r="O3051" i="1"/>
  <c r="Q3048" i="1"/>
  <c r="O3048" i="1"/>
  <c r="Q3047" i="1"/>
  <c r="O3047" i="1"/>
  <c r="O3046" i="1"/>
  <c r="Q3046" i="1"/>
  <c r="Q3045" i="1"/>
  <c r="O3045" i="1"/>
  <c r="O3044" i="1"/>
  <c r="Q3044" i="1"/>
  <c r="Q3043" i="1"/>
  <c r="O3043" i="1"/>
  <c r="Q3042" i="1"/>
  <c r="O3042" i="1"/>
  <c r="R3042" i="1" s="1"/>
  <c r="Q3041" i="1"/>
  <c r="O3041" i="1"/>
  <c r="Q3040" i="1"/>
  <c r="O3040" i="1"/>
  <c r="Q3038" i="1"/>
  <c r="O3038" i="1"/>
  <c r="Q3037" i="1"/>
  <c r="O3037" i="1"/>
  <c r="Q3036" i="1"/>
  <c r="O3036" i="1"/>
  <c r="Q3035" i="1"/>
  <c r="O3035" i="1"/>
  <c r="R3035" i="1" s="1"/>
  <c r="O3034" i="1"/>
  <c r="Q3034" i="1"/>
  <c r="Q3033" i="1"/>
  <c r="O3033" i="1"/>
  <c r="Q3032" i="1"/>
  <c r="O3032" i="1"/>
  <c r="O3031" i="1"/>
  <c r="Q3031" i="1"/>
  <c r="O3029" i="1"/>
  <c r="Q3029" i="1"/>
  <c r="Q3028" i="1"/>
  <c r="O3028" i="1"/>
  <c r="R3028" i="1" s="1"/>
  <c r="Q3027" i="1"/>
  <c r="O3027" i="1"/>
  <c r="Q3026" i="1"/>
  <c r="O3026" i="1"/>
  <c r="Q3025" i="1"/>
  <c r="O3025" i="1"/>
  <c r="O3024" i="1"/>
  <c r="Q3024" i="1"/>
  <c r="Q3023" i="1"/>
  <c r="O3023" i="1"/>
  <c r="O3022" i="1"/>
  <c r="Q3022" i="1"/>
  <c r="O3021" i="1"/>
  <c r="Q3021" i="1"/>
  <c r="Q3020" i="1"/>
  <c r="O3020" i="1"/>
  <c r="O3019" i="1"/>
  <c r="Q3019" i="1"/>
  <c r="O3018" i="1"/>
  <c r="Q3018" i="1"/>
  <c r="O3017" i="1"/>
  <c r="Q3017" i="1"/>
  <c r="O3016" i="1"/>
  <c r="Q3016" i="1"/>
  <c r="Q3015" i="1"/>
  <c r="O3015" i="1"/>
  <c r="O3014" i="1"/>
  <c r="Q3014" i="1"/>
  <c r="Q3013" i="1"/>
  <c r="O3013" i="1"/>
  <c r="O3012" i="1"/>
  <c r="Q3012" i="1"/>
  <c r="Q3011" i="1"/>
  <c r="O3011" i="1"/>
  <c r="Q3010" i="1"/>
  <c r="O3010" i="1"/>
  <c r="R3010" i="1" s="1"/>
  <c r="Q3009" i="1"/>
  <c r="O3009" i="1"/>
  <c r="Q3008" i="1"/>
  <c r="O3008" i="1"/>
  <c r="Q3007" i="1"/>
  <c r="O3007" i="1"/>
  <c r="Q3006" i="1"/>
  <c r="O3006" i="1"/>
  <c r="Q3005" i="1"/>
  <c r="O3005" i="1"/>
  <c r="O3004" i="1"/>
  <c r="Q3004" i="1"/>
  <c r="Q3003" i="1"/>
  <c r="O3003" i="1"/>
  <c r="Q3002" i="1"/>
  <c r="O3002" i="1"/>
  <c r="Q3001" i="1"/>
  <c r="O3001" i="1"/>
  <c r="O3000" i="1"/>
  <c r="Q3000" i="1"/>
  <c r="Q2999" i="1"/>
  <c r="O2999" i="1"/>
  <c r="Q2998" i="1"/>
  <c r="O2998" i="1"/>
  <c r="R2998" i="1" s="1"/>
  <c r="Q2997" i="1"/>
  <c r="O2997" i="1"/>
  <c r="Q2996" i="1"/>
  <c r="O2996" i="1"/>
  <c r="Q2995" i="1"/>
  <c r="O2995" i="1"/>
  <c r="Q2994" i="1"/>
  <c r="O2994" i="1"/>
  <c r="O2991" i="1"/>
  <c r="Q2991" i="1"/>
  <c r="Q2990" i="1"/>
  <c r="O2990" i="1"/>
  <c r="R2990" i="1" s="1"/>
  <c r="O2989" i="1"/>
  <c r="Q2989" i="1"/>
  <c r="Q2988" i="1"/>
  <c r="O2988" i="1"/>
  <c r="Q2987" i="1"/>
  <c r="O2987" i="1"/>
  <c r="O2986" i="1"/>
  <c r="Q2986" i="1"/>
  <c r="O2985" i="1"/>
  <c r="Q2985" i="1"/>
  <c r="Q2984" i="1"/>
  <c r="O2984" i="1"/>
  <c r="R2984" i="1" s="1"/>
  <c r="Q2983" i="1"/>
  <c r="O2983" i="1"/>
  <c r="Q2982" i="1"/>
  <c r="O2982" i="1"/>
  <c r="Q2981" i="1"/>
  <c r="O2981" i="1"/>
  <c r="O2979" i="1"/>
  <c r="Q2979" i="1"/>
  <c r="Q2978" i="1"/>
  <c r="O2978" i="1"/>
  <c r="Q2977" i="1"/>
  <c r="O2977" i="1"/>
  <c r="R2977" i="1" s="1"/>
  <c r="Q2976" i="1"/>
  <c r="O2976" i="1"/>
  <c r="O2975" i="1"/>
  <c r="Q2975" i="1"/>
  <c r="Q2974" i="1"/>
  <c r="O2974" i="1"/>
  <c r="Q2973" i="1"/>
  <c r="O2973" i="1"/>
  <c r="O2972" i="1"/>
  <c r="Q2972" i="1"/>
  <c r="Q2971" i="1"/>
  <c r="O2971" i="1"/>
  <c r="R2971" i="1" s="1"/>
  <c r="Q2970" i="1"/>
  <c r="O2970" i="1"/>
  <c r="Q2969" i="1"/>
  <c r="O2969" i="1"/>
  <c r="Q2968" i="1"/>
  <c r="O2968" i="1"/>
  <c r="O2967" i="1"/>
  <c r="Q2967" i="1"/>
  <c r="O2966" i="1"/>
  <c r="Q2966" i="1"/>
  <c r="Q2965" i="1"/>
  <c r="O2965" i="1"/>
  <c r="R2965" i="1" s="1"/>
  <c r="O2964" i="1"/>
  <c r="Q2964" i="1"/>
  <c r="O2963" i="1"/>
  <c r="Q2963" i="1"/>
  <c r="O2962" i="1"/>
  <c r="Q2962" i="1"/>
  <c r="O2961" i="1"/>
  <c r="Q2961" i="1"/>
  <c r="O2960" i="1"/>
  <c r="Q2960" i="1"/>
  <c r="O2959" i="1"/>
  <c r="Q2959" i="1"/>
  <c r="O2957" i="1"/>
  <c r="Q2957" i="1"/>
  <c r="O2952" i="1"/>
  <c r="Q2952" i="1"/>
  <c r="O2951" i="1"/>
  <c r="Q2951" i="1"/>
  <c r="O2950" i="1"/>
  <c r="Q2950" i="1"/>
  <c r="O2949" i="1"/>
  <c r="Q2949" i="1"/>
  <c r="O2948" i="1"/>
  <c r="Q2948" i="1"/>
  <c r="O2947" i="1"/>
  <c r="Q2947" i="1"/>
  <c r="O2944" i="1"/>
  <c r="Q2944" i="1"/>
  <c r="O2943" i="1"/>
  <c r="Q2943" i="1"/>
  <c r="O2942" i="1"/>
  <c r="Q2942" i="1"/>
  <c r="O2941" i="1"/>
  <c r="Q2941" i="1"/>
  <c r="O2940" i="1"/>
  <c r="Q2940" i="1"/>
  <c r="O2939" i="1"/>
  <c r="Q2939" i="1"/>
  <c r="O2938" i="1"/>
  <c r="Q2938" i="1"/>
  <c r="O2937" i="1"/>
  <c r="Q2937" i="1"/>
  <c r="O2936" i="1"/>
  <c r="Q2936" i="1"/>
  <c r="O2935" i="1"/>
  <c r="Q2935" i="1"/>
  <c r="O2934" i="1"/>
  <c r="Q2934" i="1"/>
  <c r="O2933" i="1"/>
  <c r="Q2933" i="1"/>
  <c r="O2931" i="1"/>
  <c r="Q2931" i="1"/>
  <c r="O2929" i="1"/>
  <c r="Q2929" i="1"/>
  <c r="O2928" i="1"/>
  <c r="Q2928" i="1"/>
  <c r="O2925" i="1"/>
  <c r="Q2925" i="1"/>
  <c r="O2924" i="1"/>
  <c r="Q2924" i="1"/>
  <c r="O2922" i="1"/>
  <c r="Q2922" i="1"/>
  <c r="O2921" i="1"/>
  <c r="Q2921" i="1"/>
  <c r="O2920" i="1"/>
  <c r="Q2920" i="1"/>
  <c r="O2919" i="1"/>
  <c r="Q2919" i="1"/>
  <c r="O2918" i="1"/>
  <c r="Q2918" i="1"/>
  <c r="O2917" i="1"/>
  <c r="Q2917" i="1"/>
  <c r="O2916" i="1"/>
  <c r="Q2916" i="1"/>
  <c r="O2915" i="1"/>
  <c r="Q2915" i="1"/>
  <c r="O2914" i="1"/>
  <c r="Q2914" i="1"/>
  <c r="O2913" i="1"/>
  <c r="Q2913" i="1"/>
  <c r="O2912" i="1"/>
  <c r="Q2912" i="1"/>
  <c r="O2911" i="1"/>
  <c r="Q2911" i="1"/>
  <c r="O2910" i="1"/>
  <c r="Q2910" i="1"/>
  <c r="O2909" i="1"/>
  <c r="Q2909" i="1"/>
  <c r="O2908" i="1"/>
  <c r="Q2908" i="1"/>
  <c r="O2906" i="1"/>
  <c r="Q2906" i="1"/>
  <c r="O2902" i="1"/>
  <c r="Q2902" i="1"/>
  <c r="O2901" i="1"/>
  <c r="Q2901" i="1"/>
  <c r="O2900" i="1"/>
  <c r="Q2900" i="1"/>
  <c r="O2899" i="1"/>
  <c r="Q2899" i="1"/>
  <c r="O2898" i="1"/>
  <c r="Q2898" i="1"/>
  <c r="O2897" i="1"/>
  <c r="Q2897" i="1"/>
  <c r="O2896" i="1"/>
  <c r="Q2896" i="1"/>
  <c r="O2895" i="1"/>
  <c r="Q2895" i="1"/>
  <c r="O2894" i="1"/>
  <c r="Q2894" i="1"/>
  <c r="O2893" i="1"/>
  <c r="Q2893" i="1"/>
  <c r="O2892" i="1"/>
  <c r="Q2892" i="1"/>
  <c r="O2889" i="1"/>
  <c r="Q2889" i="1"/>
  <c r="O2888" i="1"/>
  <c r="Q2888" i="1"/>
  <c r="O2887" i="1"/>
  <c r="Q2887" i="1"/>
  <c r="O2886" i="1"/>
  <c r="Q2886" i="1"/>
  <c r="O2885" i="1"/>
  <c r="Q2885" i="1"/>
  <c r="O2884" i="1"/>
  <c r="Q2884" i="1"/>
  <c r="O2883" i="1"/>
  <c r="Q2883" i="1"/>
  <c r="O2882" i="1"/>
  <c r="Q2882" i="1"/>
  <c r="O2881" i="1"/>
  <c r="Q2881" i="1"/>
  <c r="O2880" i="1"/>
  <c r="Q2880" i="1"/>
  <c r="O2879" i="1"/>
  <c r="Q2879" i="1"/>
  <c r="O2878" i="1"/>
  <c r="Q2878" i="1"/>
  <c r="O2877" i="1"/>
  <c r="Q2877" i="1"/>
  <c r="O2876" i="1"/>
  <c r="Q2876" i="1"/>
  <c r="O2871" i="1"/>
  <c r="Q2871" i="1"/>
  <c r="O2870" i="1"/>
  <c r="Q2870" i="1"/>
  <c r="O2869" i="1"/>
  <c r="Q2869" i="1"/>
  <c r="O2868" i="1"/>
  <c r="Q2868" i="1"/>
  <c r="O2867" i="1"/>
  <c r="Q2867" i="1"/>
  <c r="O2866" i="1"/>
  <c r="Q2866" i="1"/>
  <c r="O2865" i="1"/>
  <c r="Q2865" i="1"/>
  <c r="O2864" i="1"/>
  <c r="Q2864" i="1"/>
  <c r="O2863" i="1"/>
  <c r="Q2863" i="1"/>
  <c r="O2862" i="1"/>
  <c r="Q2862" i="1"/>
  <c r="O2861" i="1"/>
  <c r="Q2861" i="1"/>
  <c r="O2860" i="1"/>
  <c r="Q2860" i="1"/>
  <c r="O2855" i="1"/>
  <c r="Q2855" i="1"/>
  <c r="O2854" i="1"/>
  <c r="Q2854" i="1"/>
  <c r="O2853" i="1"/>
  <c r="Q2853" i="1"/>
  <c r="O2852" i="1"/>
  <c r="Q2852" i="1"/>
  <c r="O2851" i="1"/>
  <c r="Q2851" i="1"/>
  <c r="O2850" i="1"/>
  <c r="Q2850" i="1"/>
  <c r="O2849" i="1"/>
  <c r="Q2849" i="1"/>
  <c r="O2848" i="1"/>
  <c r="Q2848" i="1"/>
  <c r="O2847" i="1"/>
  <c r="Q2847" i="1"/>
  <c r="O2846" i="1"/>
  <c r="Q2846" i="1"/>
  <c r="Q2845" i="1"/>
  <c r="O2845" i="1"/>
  <c r="O2844" i="1"/>
  <c r="Q2844" i="1"/>
  <c r="O2843" i="1"/>
  <c r="Q2843" i="1"/>
  <c r="O2841" i="1"/>
  <c r="Q2841" i="1"/>
  <c r="O2840" i="1"/>
  <c r="Q2840" i="1"/>
  <c r="O2839" i="1"/>
  <c r="Q2839" i="1"/>
  <c r="O2838" i="1"/>
  <c r="Q2838" i="1"/>
  <c r="Q2837" i="1"/>
  <c r="O2837" i="1"/>
  <c r="O2836" i="1"/>
  <c r="Q2836" i="1"/>
  <c r="O2835" i="1"/>
  <c r="Q2835" i="1"/>
  <c r="O2834" i="1"/>
  <c r="Q2834" i="1"/>
  <c r="O2833" i="1"/>
  <c r="Q2833" i="1"/>
  <c r="O2832" i="1"/>
  <c r="Q2832" i="1"/>
  <c r="O2831" i="1"/>
  <c r="Q2831" i="1"/>
  <c r="O2830" i="1"/>
  <c r="Q2830" i="1"/>
  <c r="O2829" i="1"/>
  <c r="Q2829" i="1"/>
  <c r="O2828" i="1"/>
  <c r="Q2828" i="1"/>
  <c r="O2827" i="1"/>
  <c r="Q2827" i="1"/>
  <c r="O2826" i="1"/>
  <c r="Q2826" i="1"/>
  <c r="O2825" i="1"/>
  <c r="Q2825" i="1"/>
  <c r="O2824" i="1"/>
  <c r="Q2824" i="1"/>
  <c r="O2823" i="1"/>
  <c r="Q2823" i="1"/>
  <c r="O2822" i="1"/>
  <c r="Q2822" i="1"/>
  <c r="O2821" i="1"/>
  <c r="Q2821" i="1"/>
  <c r="O2820" i="1"/>
  <c r="Q2820" i="1"/>
  <c r="O2817" i="1"/>
  <c r="Q2817" i="1"/>
  <c r="O2816" i="1"/>
  <c r="Q2816" i="1"/>
  <c r="O2815" i="1"/>
  <c r="Q2815" i="1"/>
  <c r="O2814" i="1"/>
  <c r="Q2814" i="1"/>
  <c r="O2813" i="1"/>
  <c r="Q2813" i="1"/>
  <c r="O2809" i="1"/>
  <c r="Q2809" i="1"/>
  <c r="Q2808" i="1"/>
  <c r="O2808" i="1"/>
  <c r="Q2807" i="1"/>
  <c r="O2807" i="1"/>
  <c r="R2807" i="1" s="1"/>
  <c r="O2806" i="1"/>
  <c r="Q2806" i="1"/>
  <c r="O2805" i="1"/>
  <c r="Q2805" i="1"/>
  <c r="O2804" i="1"/>
  <c r="Q2804" i="1"/>
  <c r="O2803" i="1"/>
  <c r="Q2803" i="1"/>
  <c r="O2802" i="1"/>
  <c r="Q2802" i="1"/>
  <c r="O2801" i="1"/>
  <c r="Q2801" i="1"/>
  <c r="O2800" i="1"/>
  <c r="Q2800" i="1"/>
  <c r="O2799" i="1"/>
  <c r="Q2799" i="1"/>
  <c r="O2798" i="1"/>
  <c r="Q2798" i="1"/>
  <c r="O2797" i="1"/>
  <c r="Q2797" i="1"/>
  <c r="O2796" i="1"/>
  <c r="Q2796" i="1"/>
  <c r="O2795" i="1"/>
  <c r="Q2795" i="1"/>
  <c r="O2794" i="1"/>
  <c r="Q2794" i="1"/>
  <c r="O2793" i="1"/>
  <c r="Q2793" i="1"/>
  <c r="O2792" i="1"/>
  <c r="Q2792" i="1"/>
  <c r="O2791" i="1"/>
  <c r="Q2791" i="1"/>
  <c r="O2790" i="1"/>
  <c r="Q2790" i="1"/>
  <c r="O2789" i="1"/>
  <c r="Q2789" i="1"/>
  <c r="O2788" i="1"/>
  <c r="Q2788" i="1"/>
  <c r="O2787" i="1"/>
  <c r="Q2787" i="1"/>
  <c r="O2786" i="1"/>
  <c r="Q2786" i="1"/>
  <c r="O2785" i="1"/>
  <c r="Q2785" i="1"/>
  <c r="O2784" i="1"/>
  <c r="Q2784" i="1"/>
  <c r="O2783" i="1"/>
  <c r="Q2783" i="1"/>
  <c r="O2782" i="1"/>
  <c r="Q2782" i="1"/>
  <c r="O2781" i="1"/>
  <c r="Q2781" i="1"/>
  <c r="O2780" i="1"/>
  <c r="Q2780" i="1"/>
  <c r="O2779" i="1"/>
  <c r="Q2779" i="1"/>
  <c r="O2778" i="1"/>
  <c r="Q2778" i="1"/>
  <c r="Q2777" i="1"/>
  <c r="O2777" i="1"/>
  <c r="R2777" i="1" s="1"/>
  <c r="O2776" i="1"/>
  <c r="Q2776" i="1"/>
  <c r="O2775" i="1"/>
  <c r="Q2775" i="1"/>
  <c r="O2774" i="1"/>
  <c r="Q2774" i="1"/>
  <c r="Q2772" i="1"/>
  <c r="O2772" i="1"/>
  <c r="O2771" i="1"/>
  <c r="Q2771" i="1"/>
  <c r="O2770" i="1"/>
  <c r="Q2770" i="1"/>
  <c r="O2769" i="1"/>
  <c r="Q2769" i="1"/>
  <c r="O2764" i="1"/>
  <c r="Q2764" i="1"/>
  <c r="O2763" i="1"/>
  <c r="Q2763" i="1"/>
  <c r="O2762" i="1"/>
  <c r="Q2762" i="1"/>
  <c r="O2761" i="1"/>
  <c r="Q2761" i="1"/>
  <c r="O2758" i="1"/>
  <c r="Q2758" i="1"/>
  <c r="O2757" i="1"/>
  <c r="Q2757" i="1"/>
  <c r="O2756" i="1"/>
  <c r="Q2756" i="1"/>
  <c r="O2755" i="1"/>
  <c r="Q2755" i="1"/>
  <c r="N2754" i="1"/>
  <c r="O2754" i="1" s="1"/>
  <c r="Q2754" i="1"/>
  <c r="N2753" i="1"/>
  <c r="O2753" i="1" s="1"/>
  <c r="Q2753" i="1"/>
  <c r="O2751" i="1"/>
  <c r="Q2751" i="1"/>
  <c r="O2750" i="1"/>
  <c r="Q2750" i="1"/>
  <c r="O2749" i="1"/>
  <c r="Q2749" i="1"/>
  <c r="O2748" i="1"/>
  <c r="Q2748" i="1"/>
  <c r="O2747" i="1"/>
  <c r="Q2747" i="1"/>
  <c r="O2746" i="1"/>
  <c r="Q2746" i="1"/>
  <c r="O2745" i="1"/>
  <c r="Q2745" i="1"/>
  <c r="O2744" i="1"/>
  <c r="Q2744" i="1"/>
  <c r="O2742" i="1"/>
  <c r="Q2742" i="1"/>
  <c r="O2741" i="1"/>
  <c r="Q2741" i="1"/>
  <c r="O2740" i="1"/>
  <c r="Q2740" i="1"/>
  <c r="O2739" i="1"/>
  <c r="Q2739" i="1"/>
  <c r="O2738" i="1"/>
  <c r="Q2738" i="1"/>
  <c r="O2737" i="1"/>
  <c r="Q2737" i="1"/>
  <c r="O2736" i="1"/>
  <c r="Q2736" i="1"/>
  <c r="O2735" i="1"/>
  <c r="Q2735" i="1"/>
  <c r="O2734" i="1"/>
  <c r="Q2734" i="1"/>
  <c r="O2732" i="1"/>
  <c r="Q2732" i="1"/>
  <c r="O2731" i="1"/>
  <c r="Q2731" i="1"/>
  <c r="O2730" i="1"/>
  <c r="Q2730" i="1"/>
  <c r="O2729" i="1"/>
  <c r="Q2729" i="1"/>
  <c r="O2728" i="1"/>
  <c r="Q2728" i="1"/>
  <c r="O2727" i="1"/>
  <c r="Q2727" i="1"/>
  <c r="O2726" i="1"/>
  <c r="Q2726" i="1"/>
  <c r="O2725" i="1"/>
  <c r="Q2725" i="1"/>
  <c r="O2724" i="1"/>
  <c r="Q2724" i="1"/>
  <c r="O2723" i="1"/>
  <c r="Q2723" i="1"/>
  <c r="O2722" i="1"/>
  <c r="Q2722" i="1"/>
  <c r="O2721" i="1"/>
  <c r="Q2721" i="1"/>
  <c r="O2720" i="1"/>
  <c r="Q2720" i="1"/>
  <c r="O2719" i="1"/>
  <c r="Q2719" i="1"/>
  <c r="O2718" i="1"/>
  <c r="Q2718" i="1"/>
  <c r="O2716" i="1"/>
  <c r="Q2716" i="1"/>
  <c r="O2715" i="1"/>
  <c r="Q2715" i="1"/>
  <c r="O2712" i="1"/>
  <c r="Q2712" i="1"/>
  <c r="O2711" i="1"/>
  <c r="Q2711" i="1"/>
  <c r="O2710" i="1"/>
  <c r="Q2710" i="1"/>
  <c r="O2709" i="1"/>
  <c r="Q2709" i="1"/>
  <c r="O2708" i="1"/>
  <c r="Q2708" i="1"/>
  <c r="O2705" i="1"/>
  <c r="Q2705" i="1"/>
  <c r="O2700" i="1"/>
  <c r="Q2700" i="1"/>
  <c r="O2699" i="1"/>
  <c r="Q2699" i="1"/>
  <c r="O2698" i="1"/>
  <c r="Q2698" i="1"/>
  <c r="O2697" i="1"/>
  <c r="Q2697" i="1"/>
  <c r="O2696" i="1"/>
  <c r="Q2696" i="1"/>
  <c r="O2694" i="1"/>
  <c r="Q2694" i="1"/>
  <c r="O2693" i="1"/>
  <c r="Q2693" i="1"/>
  <c r="O2692" i="1"/>
  <c r="Q2692" i="1"/>
  <c r="O2691" i="1"/>
  <c r="Q2691" i="1"/>
  <c r="O2690" i="1"/>
  <c r="Q2690" i="1"/>
  <c r="O2689" i="1"/>
  <c r="Q2689" i="1"/>
  <c r="O2685" i="1"/>
  <c r="Q2685" i="1"/>
  <c r="O2684" i="1"/>
  <c r="Q2684" i="1"/>
  <c r="O2683" i="1"/>
  <c r="Q2683" i="1"/>
  <c r="O2682" i="1"/>
  <c r="Q2682" i="1"/>
  <c r="O2680" i="1"/>
  <c r="Q2680" i="1"/>
  <c r="O2679" i="1"/>
  <c r="Q2679" i="1"/>
  <c r="O2678" i="1"/>
  <c r="Q2678" i="1"/>
  <c r="O2677" i="1"/>
  <c r="Q2677" i="1"/>
  <c r="O2676" i="1"/>
  <c r="Q2676" i="1"/>
  <c r="O2675" i="1"/>
  <c r="Q2675" i="1"/>
  <c r="O2674" i="1"/>
  <c r="Q2674" i="1"/>
  <c r="O2673" i="1"/>
  <c r="Q2673" i="1"/>
  <c r="O2672" i="1"/>
  <c r="Q2672" i="1"/>
  <c r="O2671" i="1"/>
  <c r="Q2671" i="1"/>
  <c r="O2670" i="1"/>
  <c r="Q2670" i="1"/>
  <c r="O2669" i="1"/>
  <c r="Q2669" i="1"/>
  <c r="O2668" i="1"/>
  <c r="Q2668" i="1"/>
  <c r="O2667" i="1"/>
  <c r="Q2667" i="1"/>
  <c r="O2666" i="1"/>
  <c r="Q2666" i="1"/>
  <c r="O2665" i="1"/>
  <c r="Q2665" i="1"/>
  <c r="O2664" i="1"/>
  <c r="Q2664" i="1"/>
  <c r="O2662" i="1"/>
  <c r="Q2662" i="1"/>
  <c r="O2661" i="1"/>
  <c r="Q2661" i="1"/>
  <c r="O2660" i="1"/>
  <c r="Q2660" i="1"/>
  <c r="O2659" i="1"/>
  <c r="Q2659" i="1"/>
  <c r="O2658" i="1"/>
  <c r="Q2658" i="1"/>
  <c r="O2657" i="1"/>
  <c r="Q2657" i="1"/>
  <c r="O2656" i="1"/>
  <c r="Q2656" i="1"/>
  <c r="O2655" i="1"/>
  <c r="Q2655" i="1"/>
  <c r="O2654" i="1"/>
  <c r="Q2654" i="1"/>
  <c r="O2653" i="1"/>
  <c r="Q2653" i="1"/>
  <c r="O2652" i="1"/>
  <c r="Q2652" i="1"/>
  <c r="O2651" i="1"/>
  <c r="Q2651" i="1"/>
  <c r="O2650" i="1"/>
  <c r="Q2650" i="1"/>
  <c r="O2649" i="1"/>
  <c r="Q2649" i="1"/>
  <c r="O2648" i="1"/>
  <c r="Q2648" i="1"/>
  <c r="O2646" i="1"/>
  <c r="Q2646" i="1"/>
  <c r="O2645" i="1"/>
  <c r="Q2645" i="1"/>
  <c r="O2642" i="1"/>
  <c r="Q2642" i="1"/>
  <c r="O2641" i="1"/>
  <c r="Q2641" i="1"/>
  <c r="O2640" i="1"/>
  <c r="Q2640" i="1"/>
  <c r="O2637" i="1"/>
  <c r="Q2637" i="1"/>
  <c r="O2636" i="1"/>
  <c r="Q2636" i="1"/>
  <c r="O2634" i="1"/>
  <c r="Q2634" i="1"/>
  <c r="O2632" i="1"/>
  <c r="Q2632" i="1"/>
  <c r="O2631" i="1"/>
  <c r="Q2631" i="1"/>
  <c r="O2620" i="1"/>
  <c r="Q2620" i="1"/>
  <c r="O2619" i="1"/>
  <c r="Q2619" i="1"/>
  <c r="O2618" i="1"/>
  <c r="Q2618" i="1"/>
  <c r="O2617" i="1"/>
  <c r="Q2617" i="1"/>
  <c r="O2616" i="1"/>
  <c r="Q2616" i="1"/>
  <c r="O2615" i="1"/>
  <c r="Q2615" i="1"/>
  <c r="O2614" i="1"/>
  <c r="Q2614" i="1"/>
  <c r="O2613" i="1"/>
  <c r="Q2613" i="1"/>
  <c r="O2612" i="1"/>
  <c r="Q2612" i="1"/>
  <c r="O2611" i="1"/>
  <c r="Q2611" i="1"/>
  <c r="O2610" i="1"/>
  <c r="Q2610" i="1"/>
  <c r="O2609" i="1"/>
  <c r="Q2609" i="1"/>
  <c r="O2606" i="1"/>
  <c r="Q2606" i="1"/>
  <c r="O2605" i="1"/>
  <c r="Q2605" i="1"/>
  <c r="O2604" i="1"/>
  <c r="Q2604" i="1"/>
  <c r="O2603" i="1"/>
  <c r="Q2603" i="1"/>
  <c r="O2602" i="1"/>
  <c r="Q2602" i="1"/>
  <c r="O2601" i="1"/>
  <c r="Q2601" i="1"/>
  <c r="O2600" i="1"/>
  <c r="Q2600" i="1"/>
  <c r="Q2599" i="1"/>
  <c r="O2599" i="1"/>
  <c r="O2598" i="1"/>
  <c r="Q2598" i="1"/>
  <c r="O2597" i="1"/>
  <c r="Q2597" i="1"/>
  <c r="O2596" i="1"/>
  <c r="Q2596" i="1"/>
  <c r="O2595" i="1"/>
  <c r="Q2595" i="1"/>
  <c r="O2594" i="1"/>
  <c r="Q2594" i="1"/>
  <c r="O2593" i="1"/>
  <c r="Q2593" i="1"/>
  <c r="O2592" i="1"/>
  <c r="Q2592" i="1"/>
  <c r="O2591" i="1"/>
  <c r="Q2591" i="1"/>
  <c r="O2590" i="1"/>
  <c r="Q2590" i="1"/>
  <c r="O2589" i="1"/>
  <c r="Q2589" i="1"/>
  <c r="O2588" i="1"/>
  <c r="Q2588" i="1"/>
  <c r="O2587" i="1"/>
  <c r="Q2587" i="1"/>
  <c r="O2586" i="1"/>
  <c r="Q2586" i="1"/>
  <c r="O2585" i="1"/>
  <c r="Q2585" i="1"/>
  <c r="O2584" i="1"/>
  <c r="Q2584" i="1"/>
  <c r="O2583" i="1"/>
  <c r="Q2583" i="1"/>
  <c r="O2582" i="1"/>
  <c r="Q2582" i="1"/>
  <c r="O2581" i="1"/>
  <c r="Q2581" i="1"/>
  <c r="O2580" i="1"/>
  <c r="Q2580" i="1"/>
  <c r="O2579" i="1"/>
  <c r="Q2579" i="1"/>
  <c r="O2578" i="1"/>
  <c r="Q2578" i="1"/>
  <c r="O2576" i="1"/>
  <c r="Q2576" i="1"/>
  <c r="O2575" i="1"/>
  <c r="Q2575" i="1"/>
  <c r="O2574" i="1"/>
  <c r="Q2574" i="1"/>
  <c r="O2573" i="1"/>
  <c r="Q2573" i="1"/>
  <c r="O2572" i="1"/>
  <c r="Q2572" i="1"/>
  <c r="O2571" i="1"/>
  <c r="Q2571" i="1"/>
  <c r="O2570" i="1"/>
  <c r="Q2570" i="1"/>
  <c r="O2569" i="1"/>
  <c r="Q2569" i="1"/>
  <c r="O2568" i="1"/>
  <c r="Q2568" i="1"/>
  <c r="O2567" i="1"/>
  <c r="Q2567" i="1"/>
  <c r="O2566" i="1"/>
  <c r="Q2566" i="1"/>
  <c r="O2565" i="1"/>
  <c r="Q2565" i="1"/>
  <c r="O2564" i="1"/>
  <c r="Q2564" i="1"/>
  <c r="O2563" i="1"/>
  <c r="Q2563" i="1"/>
  <c r="O2562" i="1"/>
  <c r="Q2562" i="1"/>
  <c r="O2561" i="1"/>
  <c r="Q2561" i="1"/>
  <c r="O2560" i="1"/>
  <c r="Q2560" i="1"/>
  <c r="O2559" i="1"/>
  <c r="Q2559" i="1"/>
  <c r="O2557" i="1"/>
  <c r="Q2557" i="1"/>
  <c r="O2556" i="1"/>
  <c r="Q2556" i="1"/>
  <c r="O2555" i="1"/>
  <c r="Q2555" i="1"/>
  <c r="O2554" i="1"/>
  <c r="Q2554" i="1"/>
  <c r="O2553" i="1"/>
  <c r="Q2553" i="1"/>
  <c r="O2552" i="1"/>
  <c r="Q2552" i="1"/>
  <c r="O2551" i="1"/>
  <c r="Q2551" i="1"/>
  <c r="O2550" i="1"/>
  <c r="Q2550" i="1"/>
  <c r="O2549" i="1"/>
  <c r="Q2549" i="1"/>
  <c r="O2548" i="1"/>
  <c r="Q2548" i="1"/>
  <c r="O2547" i="1"/>
  <c r="Q2547" i="1"/>
  <c r="O2546" i="1"/>
  <c r="Q2546" i="1"/>
  <c r="O2545" i="1"/>
  <c r="Q2545" i="1"/>
  <c r="O2542" i="1"/>
  <c r="Q2542" i="1"/>
  <c r="O2541" i="1"/>
  <c r="Q2541" i="1"/>
  <c r="O2540" i="1"/>
  <c r="Q2540" i="1"/>
  <c r="Q2539" i="1"/>
  <c r="O2539" i="1"/>
  <c r="O2538" i="1"/>
  <c r="Q2538" i="1"/>
  <c r="O2537" i="1"/>
  <c r="Q2537" i="1"/>
  <c r="O2536" i="1"/>
  <c r="Q2536" i="1"/>
  <c r="O2535" i="1"/>
  <c r="Q2535" i="1"/>
  <c r="O2534" i="1"/>
  <c r="Q2534" i="1"/>
  <c r="O2533" i="1"/>
  <c r="Q2533" i="1"/>
  <c r="O2532" i="1"/>
  <c r="Q2532" i="1"/>
  <c r="O2531" i="1"/>
  <c r="Q2531" i="1"/>
  <c r="O2530" i="1"/>
  <c r="Q2530" i="1"/>
  <c r="O2529" i="1"/>
  <c r="Q2529" i="1"/>
  <c r="O2528" i="1"/>
  <c r="Q2528" i="1"/>
  <c r="O2527" i="1"/>
  <c r="Q2527" i="1"/>
  <c r="O2526" i="1"/>
  <c r="Q2526" i="1"/>
  <c r="O2525" i="1"/>
  <c r="Q2525" i="1"/>
  <c r="O2524" i="1"/>
  <c r="Q2524" i="1"/>
  <c r="O2523" i="1"/>
  <c r="Q2523" i="1"/>
  <c r="O2518" i="1"/>
  <c r="Q2518" i="1"/>
  <c r="O2517" i="1"/>
  <c r="Q2517" i="1"/>
  <c r="O2516" i="1"/>
  <c r="Q2516" i="1"/>
  <c r="O2515" i="1"/>
  <c r="Q2515" i="1"/>
  <c r="O2514" i="1"/>
  <c r="Q2514" i="1"/>
  <c r="O2513" i="1"/>
  <c r="Q2513" i="1"/>
  <c r="O2512" i="1"/>
  <c r="Q2512" i="1"/>
  <c r="O2511" i="1"/>
  <c r="Q2511" i="1"/>
  <c r="O2510" i="1"/>
  <c r="Q2510" i="1"/>
  <c r="O2509" i="1"/>
  <c r="Q2509" i="1"/>
  <c r="O2508" i="1"/>
  <c r="Q2508" i="1"/>
  <c r="O2507" i="1"/>
  <c r="Q2507" i="1"/>
  <c r="O2506" i="1"/>
  <c r="Q2506" i="1"/>
  <c r="O2505" i="1"/>
  <c r="Q2505" i="1"/>
  <c r="O2504" i="1"/>
  <c r="Q2504" i="1"/>
  <c r="O2503" i="1"/>
  <c r="Q2503" i="1"/>
  <c r="O2502" i="1"/>
  <c r="Q2502" i="1"/>
  <c r="O2501" i="1"/>
  <c r="Q2501" i="1"/>
  <c r="O2500" i="1"/>
  <c r="Q2500" i="1"/>
  <c r="O2498" i="1"/>
  <c r="Q2498" i="1"/>
  <c r="O2497" i="1"/>
  <c r="Q2497" i="1"/>
  <c r="O2496" i="1"/>
  <c r="Q2496" i="1"/>
  <c r="O2495" i="1"/>
  <c r="Q2495" i="1"/>
  <c r="O2494" i="1"/>
  <c r="Q2494" i="1"/>
  <c r="O2493" i="1"/>
  <c r="Q2493" i="1"/>
  <c r="O2492" i="1"/>
  <c r="Q2492" i="1"/>
  <c r="O2491" i="1"/>
  <c r="Q2491" i="1"/>
  <c r="O2490" i="1"/>
  <c r="Q2490" i="1"/>
  <c r="O2489" i="1"/>
  <c r="Q2489" i="1"/>
  <c r="O2488" i="1"/>
  <c r="Q2488" i="1"/>
  <c r="O2487" i="1"/>
  <c r="Q2487" i="1"/>
  <c r="O2486" i="1"/>
  <c r="Q2486" i="1"/>
  <c r="O2485" i="1"/>
  <c r="Q2485" i="1"/>
  <c r="O2484" i="1"/>
  <c r="Q2484" i="1"/>
  <c r="O2483" i="1"/>
  <c r="Q2483" i="1"/>
  <c r="O2482" i="1"/>
  <c r="Q2482" i="1"/>
  <c r="O2479" i="1"/>
  <c r="Q2479" i="1"/>
  <c r="O2478" i="1"/>
  <c r="Q2478" i="1"/>
  <c r="O2477" i="1"/>
  <c r="Q2477" i="1"/>
  <c r="O2475" i="1"/>
  <c r="Q2475" i="1"/>
  <c r="O2474" i="1"/>
  <c r="Q2474" i="1"/>
  <c r="O2473" i="1"/>
  <c r="Q2473" i="1"/>
  <c r="O2472" i="1"/>
  <c r="Q2472" i="1"/>
  <c r="O2471" i="1"/>
  <c r="Q2471" i="1"/>
  <c r="O2470" i="1"/>
  <c r="Q2470" i="1"/>
  <c r="Q2469" i="1"/>
  <c r="O2469" i="1"/>
  <c r="O2468" i="1"/>
  <c r="Q2468" i="1"/>
  <c r="O2467" i="1"/>
  <c r="Q2467" i="1"/>
  <c r="O2466" i="1"/>
  <c r="Q2466" i="1"/>
  <c r="O2465" i="1"/>
  <c r="Q2465" i="1"/>
  <c r="O2464" i="1"/>
  <c r="Q2464" i="1"/>
  <c r="O2462" i="1"/>
  <c r="Q2462" i="1"/>
  <c r="O2461" i="1"/>
  <c r="Q2461" i="1"/>
  <c r="O2460" i="1"/>
  <c r="Q2460" i="1"/>
  <c r="O2459" i="1"/>
  <c r="Q2459" i="1"/>
  <c r="O2457" i="1"/>
  <c r="Q2457" i="1"/>
  <c r="O2456" i="1"/>
  <c r="Q2456" i="1"/>
  <c r="O2455" i="1"/>
  <c r="Q2455" i="1"/>
  <c r="O2454" i="1"/>
  <c r="Q2454" i="1"/>
  <c r="O2453" i="1"/>
  <c r="Q2453" i="1"/>
  <c r="O2452" i="1"/>
  <c r="Q2452" i="1"/>
  <c r="O2451" i="1"/>
  <c r="Q2451" i="1"/>
  <c r="O2450" i="1"/>
  <c r="Q2450" i="1"/>
  <c r="O2449" i="1"/>
  <c r="Q2449" i="1"/>
  <c r="O2448" i="1"/>
  <c r="Q2448" i="1"/>
  <c r="O2447" i="1"/>
  <c r="Q2447" i="1"/>
  <c r="O2446" i="1"/>
  <c r="Q2446" i="1"/>
  <c r="O2445" i="1"/>
  <c r="Q2445" i="1"/>
  <c r="O2444" i="1"/>
  <c r="Q2444" i="1"/>
  <c r="O2443" i="1"/>
  <c r="Q2443" i="1"/>
  <c r="O2442" i="1"/>
  <c r="Q2442" i="1"/>
  <c r="O2440" i="1"/>
  <c r="Q2440" i="1"/>
  <c r="O2439" i="1"/>
  <c r="Q2439" i="1"/>
  <c r="O2437" i="1"/>
  <c r="Q2437" i="1"/>
  <c r="O2436" i="1"/>
  <c r="Q2436" i="1"/>
  <c r="O2435" i="1"/>
  <c r="Q2435" i="1"/>
  <c r="Q2432" i="1"/>
  <c r="O2432" i="1"/>
  <c r="O2431" i="1"/>
  <c r="Q2431" i="1"/>
  <c r="O2430" i="1"/>
  <c r="Q2430" i="1"/>
  <c r="O2429" i="1"/>
  <c r="Q2429" i="1"/>
  <c r="Q2428" i="1"/>
  <c r="O2428" i="1"/>
  <c r="O2427" i="1"/>
  <c r="Q2427" i="1"/>
  <c r="O2426" i="1"/>
  <c r="Q2426" i="1"/>
  <c r="Q2425" i="1"/>
  <c r="O2425" i="1"/>
  <c r="O2424" i="1"/>
  <c r="Q2424" i="1"/>
  <c r="O2423" i="1"/>
  <c r="Q2423" i="1"/>
  <c r="O2422" i="1"/>
  <c r="Q2422" i="1"/>
  <c r="O2421" i="1"/>
  <c r="Q2421" i="1"/>
  <c r="O2420" i="1"/>
  <c r="Q2420" i="1"/>
  <c r="O2419" i="1"/>
  <c r="Q2419" i="1"/>
  <c r="O2418" i="1"/>
  <c r="Q2418" i="1"/>
  <c r="O2417" i="1"/>
  <c r="Q2417" i="1"/>
  <c r="O2415" i="1"/>
  <c r="Q2415" i="1"/>
  <c r="O2414" i="1"/>
  <c r="Q2414" i="1"/>
  <c r="O2413" i="1"/>
  <c r="Q2413" i="1"/>
  <c r="O2412" i="1"/>
  <c r="Q2412" i="1"/>
  <c r="O2411" i="1"/>
  <c r="Q2411" i="1"/>
  <c r="O2410" i="1"/>
  <c r="Q2410" i="1"/>
  <c r="O2409" i="1"/>
  <c r="Q2409" i="1"/>
  <c r="O2408" i="1"/>
  <c r="Q2408" i="1"/>
  <c r="O2407" i="1"/>
  <c r="Q2407" i="1"/>
  <c r="O2406" i="1"/>
  <c r="Q2406" i="1"/>
  <c r="O2405" i="1"/>
  <c r="Q2405" i="1"/>
  <c r="O2404" i="1"/>
  <c r="Q2404" i="1"/>
  <c r="O2403" i="1"/>
  <c r="Q2403" i="1"/>
  <c r="O2402" i="1"/>
  <c r="Q2402" i="1"/>
  <c r="O2401" i="1"/>
  <c r="Q2401" i="1"/>
  <c r="O2400" i="1"/>
  <c r="Q2400" i="1"/>
  <c r="O2399" i="1"/>
  <c r="Q2399" i="1"/>
  <c r="O2398" i="1"/>
  <c r="Q2398" i="1"/>
  <c r="O2397" i="1"/>
  <c r="Q2397" i="1"/>
  <c r="O2396" i="1"/>
  <c r="Q2396" i="1"/>
  <c r="O2395" i="1"/>
  <c r="Q2395" i="1"/>
  <c r="O2394" i="1"/>
  <c r="Q2394" i="1"/>
  <c r="O2393" i="1"/>
  <c r="Q2393" i="1"/>
  <c r="O2392" i="1"/>
  <c r="Q2392" i="1"/>
  <c r="O2391" i="1"/>
  <c r="Q2391" i="1"/>
  <c r="O2390" i="1"/>
  <c r="Q2390" i="1"/>
  <c r="O2386" i="1"/>
  <c r="Q2386" i="1"/>
  <c r="O2385" i="1"/>
  <c r="Q2385" i="1"/>
  <c r="O2384" i="1"/>
  <c r="Q2384" i="1"/>
  <c r="O2383" i="1"/>
  <c r="Q2383" i="1"/>
  <c r="O2382" i="1"/>
  <c r="Q2382" i="1"/>
  <c r="O2381" i="1"/>
  <c r="Q2381" i="1"/>
  <c r="O2380" i="1"/>
  <c r="Q2380" i="1"/>
  <c r="O2379" i="1"/>
  <c r="Q2379" i="1"/>
  <c r="O2378" i="1"/>
  <c r="Q2378" i="1"/>
  <c r="O2377" i="1"/>
  <c r="Q2377" i="1"/>
  <c r="O2376" i="1"/>
  <c r="Q2376" i="1"/>
  <c r="O2375" i="1"/>
  <c r="Q2375" i="1"/>
  <c r="O2374" i="1"/>
  <c r="Q2374" i="1"/>
  <c r="O2373" i="1"/>
  <c r="Q2373" i="1"/>
  <c r="O2372" i="1"/>
  <c r="Q2372" i="1"/>
  <c r="O2371" i="1"/>
  <c r="Q2371" i="1"/>
  <c r="O2370" i="1"/>
  <c r="Q2370" i="1"/>
  <c r="O2369" i="1"/>
  <c r="Q2369" i="1"/>
  <c r="O2368" i="1"/>
  <c r="Q2368" i="1"/>
  <c r="O2367" i="1"/>
  <c r="Q2367" i="1"/>
  <c r="O2365" i="1"/>
  <c r="Q2365" i="1"/>
  <c r="O2364" i="1"/>
  <c r="Q2364" i="1"/>
  <c r="Q2363" i="1"/>
  <c r="O2363" i="1"/>
  <c r="R2363" i="1" s="1"/>
  <c r="O2362" i="1"/>
  <c r="Q2362" i="1"/>
  <c r="O2361" i="1"/>
  <c r="Q2361" i="1"/>
  <c r="O2360" i="1"/>
  <c r="Q2360" i="1"/>
  <c r="O2359" i="1"/>
  <c r="Q2359" i="1"/>
  <c r="O2358" i="1"/>
  <c r="Q2358" i="1"/>
  <c r="O2357" i="1"/>
  <c r="Q2357" i="1"/>
  <c r="O2356" i="1"/>
  <c r="Q2356" i="1"/>
  <c r="O2355" i="1"/>
  <c r="Q2355" i="1"/>
  <c r="O2353" i="1"/>
  <c r="Q2353" i="1"/>
  <c r="O2352" i="1"/>
  <c r="Q2352" i="1"/>
  <c r="O2351" i="1"/>
  <c r="Q2351" i="1"/>
  <c r="O2349" i="1"/>
  <c r="Q2349" i="1"/>
  <c r="O2348" i="1"/>
  <c r="Q2348" i="1"/>
  <c r="O2347" i="1"/>
  <c r="Q2347" i="1"/>
  <c r="O2346" i="1"/>
  <c r="Q2346" i="1"/>
  <c r="O2345" i="1"/>
  <c r="Q2345" i="1"/>
  <c r="O2344" i="1"/>
  <c r="Q2344" i="1"/>
  <c r="O2343" i="1"/>
  <c r="Q2343" i="1"/>
  <c r="O2342" i="1"/>
  <c r="Q2342" i="1"/>
  <c r="O2341" i="1"/>
  <c r="Q2341" i="1"/>
  <c r="O2340" i="1"/>
  <c r="Q2340" i="1"/>
  <c r="O2339" i="1"/>
  <c r="Q2339" i="1"/>
  <c r="O2338" i="1"/>
  <c r="Q2338" i="1"/>
  <c r="O2337" i="1"/>
  <c r="Q2337" i="1"/>
  <c r="O2336" i="1"/>
  <c r="Q2336" i="1"/>
  <c r="O2335" i="1"/>
  <c r="Q2335" i="1"/>
  <c r="O2334" i="1"/>
  <c r="Q2334" i="1"/>
  <c r="O2333" i="1"/>
  <c r="Q2333" i="1"/>
  <c r="O2332" i="1"/>
  <c r="Q2332" i="1"/>
  <c r="O2331" i="1"/>
  <c r="Q2331" i="1"/>
  <c r="O2330" i="1"/>
  <c r="Q2330" i="1"/>
  <c r="O2329" i="1"/>
  <c r="Q2329" i="1"/>
  <c r="O2328" i="1"/>
  <c r="Q2328" i="1"/>
  <c r="O2327" i="1"/>
  <c r="Q2327" i="1"/>
  <c r="O2326" i="1"/>
  <c r="Q2326" i="1"/>
  <c r="O2325" i="1"/>
  <c r="Q2325" i="1"/>
  <c r="O2324" i="1"/>
  <c r="Q2324" i="1"/>
  <c r="O2323" i="1"/>
  <c r="Q2323" i="1"/>
  <c r="O2322" i="1"/>
  <c r="Q2322" i="1"/>
  <c r="O2320" i="1"/>
  <c r="Q2320" i="1"/>
  <c r="O2319" i="1"/>
  <c r="Q2319" i="1"/>
  <c r="O2318" i="1"/>
  <c r="Q2318" i="1"/>
  <c r="Q2317" i="1"/>
  <c r="O2317" i="1"/>
  <c r="O2316" i="1"/>
  <c r="Q2316" i="1"/>
  <c r="O2315" i="1"/>
  <c r="Q2315" i="1"/>
  <c r="O2314" i="1"/>
  <c r="Q2314" i="1"/>
  <c r="O2313" i="1"/>
  <c r="Q2313" i="1"/>
  <c r="O2311" i="1"/>
  <c r="Q2311" i="1"/>
  <c r="O2310" i="1"/>
  <c r="Q2310" i="1"/>
  <c r="O2308" i="1"/>
  <c r="Q2308" i="1"/>
  <c r="O2307" i="1"/>
  <c r="Q2307" i="1"/>
  <c r="Q2303" i="1"/>
  <c r="O2303" i="1"/>
  <c r="O2301" i="1"/>
  <c r="Q2301" i="1"/>
  <c r="O2300" i="1"/>
  <c r="Q2300" i="1"/>
  <c r="O2299" i="1"/>
  <c r="Q2299" i="1"/>
  <c r="O2298" i="1"/>
  <c r="Q2298" i="1"/>
  <c r="O2297" i="1"/>
  <c r="Q2297" i="1"/>
  <c r="O2296" i="1"/>
  <c r="Q2296" i="1"/>
  <c r="O2295" i="1"/>
  <c r="Q2295" i="1"/>
  <c r="O2294" i="1"/>
  <c r="Q2294" i="1"/>
  <c r="O2293" i="1"/>
  <c r="Q2293" i="1"/>
  <c r="O2292" i="1"/>
  <c r="Q2292" i="1"/>
  <c r="O2291" i="1"/>
  <c r="Q2291" i="1"/>
  <c r="O2290" i="1"/>
  <c r="Q2290" i="1"/>
  <c r="O2289" i="1"/>
  <c r="Q2289" i="1"/>
  <c r="O2288" i="1"/>
  <c r="Q2288" i="1"/>
  <c r="O2286" i="1"/>
  <c r="Q2286" i="1"/>
  <c r="O2285" i="1"/>
  <c r="Q2285" i="1"/>
  <c r="O2284" i="1"/>
  <c r="Q2284" i="1"/>
  <c r="O2283" i="1"/>
  <c r="Q2283" i="1"/>
  <c r="O2282" i="1"/>
  <c r="Q2282" i="1"/>
  <c r="O2281" i="1"/>
  <c r="Q2281" i="1"/>
  <c r="O2280" i="1"/>
  <c r="Q2280" i="1"/>
  <c r="O2279" i="1"/>
  <c r="Q2279" i="1"/>
  <c r="O2278" i="1"/>
  <c r="Q2278" i="1"/>
  <c r="O2277" i="1"/>
  <c r="Q2277" i="1"/>
  <c r="O2276" i="1"/>
  <c r="Q2276" i="1"/>
  <c r="O2275" i="1"/>
  <c r="Q2275" i="1"/>
  <c r="O2274" i="1"/>
  <c r="Q2274" i="1"/>
  <c r="O2273" i="1"/>
  <c r="Q2273" i="1"/>
  <c r="O2271" i="1"/>
  <c r="Q2271" i="1"/>
  <c r="O2270" i="1"/>
  <c r="Q2270" i="1"/>
  <c r="O2269" i="1"/>
  <c r="Q2269" i="1"/>
  <c r="O2268" i="1"/>
  <c r="Q2268" i="1"/>
  <c r="O2267" i="1"/>
  <c r="Q2267" i="1"/>
  <c r="O2266" i="1"/>
  <c r="Q2266" i="1"/>
  <c r="Q2265" i="1"/>
  <c r="O2265" i="1"/>
  <c r="O2264" i="1"/>
  <c r="Q2264" i="1"/>
  <c r="O2260" i="1"/>
  <c r="Q2260" i="1"/>
  <c r="O2259" i="1"/>
  <c r="Q2259" i="1"/>
  <c r="O2258" i="1"/>
  <c r="Q2258" i="1"/>
  <c r="O2257" i="1"/>
  <c r="Q2257" i="1"/>
  <c r="O2256" i="1"/>
  <c r="Q2256" i="1"/>
  <c r="O2255" i="1"/>
  <c r="Q2255" i="1"/>
  <c r="O2254" i="1"/>
  <c r="Q2254" i="1"/>
  <c r="O2253" i="1"/>
  <c r="Q2253" i="1"/>
  <c r="O2252" i="1"/>
  <c r="Q2252" i="1"/>
  <c r="O2251" i="1"/>
  <c r="Q2251" i="1"/>
  <c r="O2250" i="1"/>
  <c r="Q2250" i="1"/>
  <c r="O2249" i="1"/>
  <c r="Q2249" i="1"/>
  <c r="O2248" i="1"/>
  <c r="Q2248" i="1"/>
  <c r="O2246" i="1"/>
  <c r="Q2246" i="1"/>
  <c r="O2245" i="1"/>
  <c r="Q2245" i="1"/>
  <c r="O2243" i="1"/>
  <c r="Q2243" i="1"/>
  <c r="O2242" i="1"/>
  <c r="Q2242" i="1"/>
  <c r="O2241" i="1"/>
  <c r="Q2241" i="1"/>
  <c r="O2240" i="1"/>
  <c r="Q2240" i="1"/>
  <c r="O2239" i="1"/>
  <c r="Q2239" i="1"/>
  <c r="O2238" i="1"/>
  <c r="Q2238" i="1"/>
  <c r="O2237" i="1"/>
  <c r="Q2237" i="1"/>
  <c r="O2234" i="1"/>
  <c r="Q2234" i="1"/>
  <c r="O2233" i="1"/>
  <c r="Q2233" i="1"/>
  <c r="O2231" i="1"/>
  <c r="Q2231" i="1"/>
  <c r="O2230" i="1"/>
  <c r="Q2230" i="1"/>
  <c r="O2225" i="1"/>
  <c r="Q2225" i="1"/>
  <c r="O2222" i="1"/>
  <c r="Q2222" i="1"/>
  <c r="O2221" i="1"/>
  <c r="Q2221" i="1"/>
  <c r="O2220" i="1"/>
  <c r="Q2220" i="1"/>
  <c r="O2219" i="1"/>
  <c r="Q2219" i="1"/>
  <c r="O2218" i="1"/>
  <c r="Q2218" i="1"/>
  <c r="O2216" i="1"/>
  <c r="Q2216" i="1"/>
  <c r="O2215" i="1"/>
  <c r="Q2215" i="1"/>
  <c r="O2214" i="1"/>
  <c r="Q2214" i="1"/>
  <c r="O2213" i="1"/>
  <c r="Q2213" i="1"/>
  <c r="O2211" i="1"/>
  <c r="Q2211" i="1"/>
  <c r="O2208" i="1"/>
  <c r="Q2208" i="1"/>
  <c r="O2207" i="1"/>
  <c r="Q2207" i="1"/>
  <c r="O2205" i="1"/>
  <c r="Q2205" i="1"/>
  <c r="O2204" i="1"/>
  <c r="Q2204" i="1"/>
  <c r="O2203" i="1"/>
  <c r="Q2203" i="1"/>
  <c r="O2202" i="1"/>
  <c r="Q2202" i="1"/>
  <c r="O2201" i="1"/>
  <c r="Q2201" i="1"/>
  <c r="O2200" i="1"/>
  <c r="Q2200" i="1"/>
  <c r="O2199" i="1"/>
  <c r="Q2199" i="1"/>
  <c r="O2198" i="1"/>
  <c r="Q2198" i="1"/>
  <c r="O2197" i="1"/>
  <c r="Q2197" i="1"/>
  <c r="O2193" i="1"/>
  <c r="Q2193" i="1"/>
  <c r="O2192" i="1"/>
  <c r="Q2192" i="1"/>
  <c r="O2191" i="1"/>
  <c r="Q2191" i="1"/>
  <c r="O2190" i="1"/>
  <c r="Q2190" i="1"/>
  <c r="O2189" i="1"/>
  <c r="Q2189" i="1"/>
  <c r="O2188" i="1"/>
  <c r="Q2188" i="1"/>
  <c r="O2187" i="1"/>
  <c r="Q2187" i="1"/>
  <c r="O2186" i="1"/>
  <c r="Q2186" i="1"/>
  <c r="O2185" i="1"/>
  <c r="Q2185" i="1"/>
  <c r="O2183" i="1"/>
  <c r="Q2183" i="1"/>
  <c r="O2182" i="1"/>
  <c r="Q2182" i="1"/>
  <c r="O2181" i="1"/>
  <c r="Q2181" i="1"/>
  <c r="O2179" i="1"/>
  <c r="Q2179" i="1"/>
  <c r="O2177" i="1"/>
  <c r="Q2177" i="1"/>
  <c r="O2176" i="1"/>
  <c r="Q2176" i="1"/>
  <c r="O2175" i="1"/>
  <c r="Q2175" i="1"/>
  <c r="O2174" i="1"/>
  <c r="Q2174" i="1"/>
  <c r="O2173" i="1"/>
  <c r="Q2173" i="1"/>
  <c r="O2172" i="1"/>
  <c r="Q2172" i="1"/>
  <c r="O2171" i="1"/>
  <c r="Q2171" i="1"/>
  <c r="O2170" i="1"/>
  <c r="Q2170" i="1"/>
  <c r="O2169" i="1"/>
  <c r="Q2169" i="1"/>
  <c r="O2168" i="1"/>
  <c r="Q2168" i="1"/>
  <c r="O2167" i="1"/>
  <c r="Q2167" i="1"/>
  <c r="O2166" i="1"/>
  <c r="Q2166" i="1"/>
  <c r="O2165" i="1"/>
  <c r="Q2165" i="1"/>
  <c r="O2164" i="1"/>
  <c r="Q2164" i="1"/>
  <c r="O2162" i="1"/>
  <c r="Q2162" i="1"/>
  <c r="O2159" i="1"/>
  <c r="Q2159" i="1"/>
  <c r="O2158" i="1"/>
  <c r="Q2158" i="1"/>
  <c r="O2157" i="1"/>
  <c r="Q2157" i="1"/>
  <c r="O2156" i="1"/>
  <c r="Q2156" i="1"/>
  <c r="O2155" i="1"/>
  <c r="Q2155" i="1"/>
  <c r="O2154" i="1"/>
  <c r="Q2154" i="1"/>
  <c r="O2152" i="1"/>
  <c r="Q2152" i="1"/>
  <c r="O2145" i="1"/>
  <c r="Q2145" i="1"/>
  <c r="O2143" i="1"/>
  <c r="Q2143" i="1"/>
  <c r="O2137" i="1"/>
  <c r="Q2137" i="1"/>
  <c r="O2135" i="1"/>
  <c r="Q2135" i="1"/>
  <c r="O2133" i="1"/>
  <c r="Q2133" i="1"/>
  <c r="O2127" i="1"/>
  <c r="Q2127" i="1"/>
  <c r="O2126" i="1"/>
  <c r="Q2126" i="1"/>
  <c r="O2125" i="1"/>
  <c r="Q2125" i="1"/>
  <c r="O2124" i="1"/>
  <c r="Q2124" i="1"/>
  <c r="O2123" i="1"/>
  <c r="Q2123" i="1"/>
  <c r="O2122" i="1"/>
  <c r="Q2122" i="1"/>
  <c r="O2121" i="1"/>
  <c r="Q2121" i="1"/>
  <c r="O2120" i="1"/>
  <c r="Q2120" i="1"/>
  <c r="O2119" i="1"/>
  <c r="Q2119" i="1"/>
  <c r="O2118" i="1"/>
  <c r="Q2118" i="1"/>
  <c r="O2117" i="1"/>
  <c r="Q2117" i="1"/>
  <c r="O2115" i="1"/>
  <c r="Q2115" i="1"/>
  <c r="O2114" i="1"/>
  <c r="Q2114" i="1"/>
  <c r="O2113" i="1"/>
  <c r="Q2113" i="1"/>
  <c r="O2112" i="1"/>
  <c r="Q2112" i="1"/>
  <c r="O2111" i="1"/>
  <c r="Q2111" i="1"/>
  <c r="O2108" i="1"/>
  <c r="Q2108" i="1"/>
  <c r="O2107" i="1"/>
  <c r="Q2107" i="1"/>
  <c r="O2106" i="1"/>
  <c r="Q2106" i="1"/>
  <c r="O2105" i="1"/>
  <c r="Q2105" i="1"/>
  <c r="O2104" i="1"/>
  <c r="Q2104" i="1"/>
  <c r="O2103" i="1"/>
  <c r="Q2103" i="1"/>
  <c r="O2102" i="1"/>
  <c r="Q2102" i="1"/>
  <c r="O2101" i="1"/>
  <c r="Q2101" i="1"/>
  <c r="O2100" i="1"/>
  <c r="Q2100" i="1"/>
  <c r="O2099" i="1"/>
  <c r="Q2099" i="1"/>
  <c r="O2098" i="1"/>
  <c r="Q2098" i="1"/>
  <c r="O2097" i="1"/>
  <c r="R2097" i="1" s="1"/>
  <c r="Q2097" i="1"/>
  <c r="O2096" i="1"/>
  <c r="Q2096" i="1"/>
  <c r="O2095" i="1"/>
  <c r="Q2095" i="1"/>
  <c r="O2094" i="1"/>
  <c r="Q2094" i="1"/>
  <c r="O2093" i="1"/>
  <c r="Q2093" i="1"/>
  <c r="O2092" i="1"/>
  <c r="Q2092" i="1"/>
  <c r="O2091" i="1"/>
  <c r="R2091" i="1" s="1"/>
  <c r="Q2091" i="1"/>
  <c r="O2090" i="1"/>
  <c r="Q2090" i="1"/>
  <c r="O2089" i="1"/>
  <c r="Q2089" i="1"/>
  <c r="O2088" i="1"/>
  <c r="Q2088" i="1"/>
  <c r="O2087" i="1"/>
  <c r="Q2087" i="1"/>
  <c r="O2086" i="1"/>
  <c r="Q2086" i="1"/>
  <c r="O2083" i="1"/>
  <c r="R2083" i="1" s="1"/>
  <c r="Q2083" i="1"/>
  <c r="O2082" i="1"/>
  <c r="Q2082" i="1"/>
  <c r="O2081" i="1"/>
  <c r="Q2081" i="1"/>
  <c r="O2079" i="1"/>
  <c r="Q2079" i="1"/>
  <c r="O2077" i="1"/>
  <c r="Q2077" i="1"/>
  <c r="O2073" i="1"/>
  <c r="Q2073" i="1"/>
  <c r="O2071" i="1"/>
  <c r="R2071" i="1" s="1"/>
  <c r="Q2071" i="1"/>
  <c r="O2070" i="1"/>
  <c r="Q2070" i="1"/>
  <c r="O2069" i="1"/>
  <c r="Q2069" i="1"/>
  <c r="O2068" i="1"/>
  <c r="Q2068" i="1"/>
  <c r="O2067" i="1"/>
  <c r="Q2067" i="1"/>
  <c r="O2066" i="1"/>
  <c r="Q2066" i="1"/>
  <c r="O2065" i="1"/>
  <c r="R2065" i="1" s="1"/>
  <c r="Q2065" i="1"/>
  <c r="O2064" i="1"/>
  <c r="Q2064" i="1"/>
  <c r="O2061" i="1"/>
  <c r="Q2061" i="1"/>
  <c r="O2060" i="1"/>
  <c r="Q2060" i="1"/>
  <c r="O2059" i="1"/>
  <c r="Q2059" i="1"/>
  <c r="O2058" i="1"/>
  <c r="Q2058" i="1"/>
  <c r="O2057" i="1"/>
  <c r="Q2057" i="1"/>
  <c r="O2055" i="1"/>
  <c r="Q2055" i="1"/>
  <c r="O2054" i="1"/>
  <c r="Q2054" i="1"/>
  <c r="O2052" i="1"/>
  <c r="Q2052" i="1"/>
  <c r="O2051" i="1"/>
  <c r="Q2051" i="1"/>
  <c r="O2050" i="1"/>
  <c r="Q2050" i="1"/>
  <c r="O2048" i="1"/>
  <c r="Q2048" i="1"/>
  <c r="O2047" i="1"/>
  <c r="Q2047" i="1"/>
  <c r="O2046" i="1"/>
  <c r="Q2046" i="1"/>
  <c r="O2044" i="1"/>
  <c r="Q2044" i="1"/>
  <c r="Q2043" i="1"/>
  <c r="O2043" i="1"/>
  <c r="R2043" i="1" s="1"/>
  <c r="Q2042" i="1"/>
  <c r="O2042" i="1"/>
  <c r="Q2041" i="1"/>
  <c r="O2041" i="1"/>
  <c r="O2040" i="1"/>
  <c r="Q2040" i="1"/>
  <c r="O2039" i="1"/>
  <c r="Q2039" i="1"/>
  <c r="O2038" i="1"/>
  <c r="Q2038" i="1"/>
  <c r="O2037" i="1"/>
  <c r="Q2037" i="1"/>
  <c r="O2036" i="1"/>
  <c r="Q2036" i="1"/>
  <c r="Q2035" i="1"/>
  <c r="O2035" i="1"/>
  <c r="O2034" i="1"/>
  <c r="Q2034" i="1"/>
  <c r="O2033" i="1"/>
  <c r="Q2033" i="1"/>
  <c r="O2032" i="1"/>
  <c r="Q2032" i="1"/>
  <c r="Q2031" i="1"/>
  <c r="O2031" i="1"/>
  <c r="R2031" i="1" s="1"/>
  <c r="O2030" i="1"/>
  <c r="Q2030" i="1"/>
  <c r="O2029" i="1"/>
  <c r="Q2029" i="1"/>
  <c r="O2027" i="1"/>
  <c r="Q2027" i="1"/>
  <c r="Q2026" i="1"/>
  <c r="O2026" i="1"/>
  <c r="O2025" i="1"/>
  <c r="Q2025" i="1"/>
  <c r="Q2024" i="1"/>
  <c r="O2024" i="1"/>
  <c r="R2024" i="1" s="1"/>
  <c r="O2023" i="1"/>
  <c r="Q2023" i="1"/>
  <c r="O2022" i="1"/>
  <c r="Q2022" i="1"/>
  <c r="Q2021" i="1"/>
  <c r="O2021" i="1"/>
  <c r="O2020" i="1"/>
  <c r="Q2020" i="1"/>
  <c r="O2019" i="1"/>
  <c r="Q2019" i="1"/>
  <c r="O2018" i="1"/>
  <c r="Q2018" i="1"/>
  <c r="O2016" i="1"/>
  <c r="Q2016" i="1"/>
  <c r="O2015" i="1"/>
  <c r="Q2015" i="1"/>
  <c r="O2012" i="1"/>
  <c r="Q2012" i="1"/>
  <c r="O2011" i="1"/>
  <c r="Q2011" i="1"/>
  <c r="O2010" i="1"/>
  <c r="Q2010" i="1"/>
  <c r="O2009" i="1"/>
  <c r="Q2009" i="1"/>
  <c r="O2008" i="1"/>
  <c r="Q2008" i="1"/>
  <c r="O2007" i="1"/>
  <c r="Q2007" i="1"/>
  <c r="O2004" i="1"/>
  <c r="Q2004" i="1"/>
  <c r="O2001" i="1"/>
  <c r="Q2001" i="1"/>
  <c r="Q2000" i="1"/>
  <c r="O2000" i="1"/>
  <c r="O1999" i="1"/>
  <c r="Q1999" i="1"/>
  <c r="Q1998" i="1"/>
  <c r="O1998" i="1"/>
  <c r="Q1997" i="1"/>
  <c r="O1997" i="1"/>
  <c r="O1996" i="1"/>
  <c r="Q1996" i="1"/>
  <c r="O1994" i="1"/>
  <c r="Q1994" i="1"/>
  <c r="O1991" i="1"/>
  <c r="Q1991" i="1"/>
  <c r="Q1990" i="1"/>
  <c r="O1990" i="1"/>
  <c r="R1990" i="1" s="1"/>
  <c r="O1988" i="1"/>
  <c r="Q1988" i="1"/>
  <c r="O1987" i="1"/>
  <c r="Q1987" i="1"/>
  <c r="O1985" i="1"/>
  <c r="Q1985" i="1"/>
  <c r="O1982" i="1"/>
  <c r="Q1982" i="1"/>
  <c r="Q1981" i="1"/>
  <c r="O1981" i="1"/>
  <c r="O1979" i="1"/>
  <c r="Q1979" i="1"/>
  <c r="Q1978" i="1"/>
  <c r="O1978" i="1"/>
  <c r="O1977" i="1"/>
  <c r="Q1977" i="1"/>
  <c r="Q1976" i="1"/>
  <c r="O1976" i="1"/>
  <c r="O1975" i="1"/>
  <c r="Q1975" i="1"/>
  <c r="O1973" i="1"/>
  <c r="Q1973" i="1"/>
  <c r="O1972" i="1"/>
  <c r="Q1972" i="1"/>
  <c r="O1970" i="1"/>
  <c r="Q1970" i="1"/>
  <c r="O1967" i="1"/>
  <c r="Q1967" i="1"/>
  <c r="O1966" i="1"/>
  <c r="Q1966" i="1"/>
  <c r="Q1965" i="1"/>
  <c r="O1965" i="1"/>
  <c r="O1964" i="1"/>
  <c r="Q1964" i="1"/>
  <c r="O1963" i="1"/>
  <c r="Q1963" i="1"/>
  <c r="O1959" i="1"/>
  <c r="Q1959" i="1"/>
  <c r="O1958" i="1"/>
  <c r="Q1958" i="1"/>
  <c r="Q1957" i="1"/>
  <c r="O1957" i="1"/>
  <c r="O1956" i="1"/>
  <c r="Q1956" i="1"/>
  <c r="O1955" i="1"/>
  <c r="Q1955" i="1"/>
  <c r="O1954" i="1"/>
  <c r="Q1954" i="1"/>
  <c r="Q1951" i="1"/>
  <c r="O1951" i="1"/>
  <c r="O1950" i="1"/>
  <c r="Q1950" i="1"/>
  <c r="Q1949" i="1"/>
  <c r="O1949" i="1"/>
  <c r="Q1948" i="1"/>
  <c r="O1948" i="1"/>
  <c r="O1946" i="1"/>
  <c r="Q1946" i="1"/>
  <c r="Q1945" i="1"/>
  <c r="O1945" i="1"/>
  <c r="R1945" i="1" s="1"/>
  <c r="O1944" i="1"/>
  <c r="Q1944" i="1"/>
  <c r="O1942" i="1"/>
  <c r="Q1942" i="1"/>
  <c r="O1941" i="1"/>
  <c r="Q1941" i="1"/>
  <c r="Q1940" i="1"/>
  <c r="O1940" i="1"/>
  <c r="O1939" i="1"/>
  <c r="Q1939" i="1"/>
  <c r="O1938" i="1"/>
  <c r="Q1938" i="1"/>
  <c r="Q1937" i="1"/>
  <c r="O1937" i="1"/>
  <c r="Q1936" i="1"/>
  <c r="O1936" i="1"/>
  <c r="Q1935" i="1"/>
  <c r="O1935" i="1"/>
  <c r="O1934" i="1"/>
  <c r="Q1934" i="1"/>
  <c r="Q1933" i="1"/>
  <c r="O1933" i="1"/>
  <c r="Q1931" i="1"/>
  <c r="O1931" i="1"/>
  <c r="R1931" i="1" s="1"/>
  <c r="Q1930" i="1"/>
  <c r="O1930" i="1"/>
  <c r="O1929" i="1"/>
  <c r="Q1929" i="1"/>
  <c r="Q1928" i="1"/>
  <c r="O1928" i="1"/>
  <c r="O1927" i="1"/>
  <c r="Q1927" i="1"/>
  <c r="Q1926" i="1"/>
  <c r="O1926" i="1"/>
  <c r="Q1925" i="1"/>
  <c r="O1925" i="1"/>
  <c r="R1925" i="1" s="1"/>
  <c r="Q1924" i="1"/>
  <c r="O1924" i="1"/>
  <c r="Q1923" i="1"/>
  <c r="O1923" i="1"/>
  <c r="O1922" i="1"/>
  <c r="Q1922" i="1"/>
  <c r="O1921" i="1"/>
  <c r="Q1921" i="1"/>
  <c r="O1920" i="1"/>
  <c r="Q1920" i="1"/>
  <c r="Q1919" i="1"/>
  <c r="O1919" i="1"/>
  <c r="R1919" i="1" s="1"/>
  <c r="Q1918" i="1"/>
  <c r="O1918" i="1"/>
  <c r="O1917" i="1"/>
  <c r="Q1917" i="1"/>
  <c r="Q1916" i="1"/>
  <c r="O1916" i="1"/>
  <c r="Q1915" i="1"/>
  <c r="O1915" i="1"/>
  <c r="Q1914" i="1"/>
  <c r="O1914" i="1"/>
  <c r="Q1912" i="1"/>
  <c r="O1912" i="1"/>
  <c r="R1912" i="1" s="1"/>
  <c r="Q1911" i="1"/>
  <c r="O1911" i="1"/>
  <c r="Q1910" i="1"/>
  <c r="O1910" i="1"/>
  <c r="O1909" i="1"/>
  <c r="Q1909" i="1"/>
  <c r="O1908" i="1"/>
  <c r="Q1908" i="1"/>
  <c r="Q1906" i="1"/>
  <c r="O1906" i="1"/>
  <c r="O1905" i="1"/>
  <c r="Q1905" i="1"/>
  <c r="Q1904" i="1"/>
  <c r="O1904" i="1"/>
  <c r="Q1903" i="1"/>
  <c r="O1903" i="1"/>
  <c r="O1902" i="1"/>
  <c r="Q1902" i="1"/>
  <c r="Q1901" i="1"/>
  <c r="O1901" i="1"/>
  <c r="Q1900" i="1"/>
  <c r="O1900" i="1"/>
  <c r="O1899" i="1"/>
  <c r="Q1899" i="1"/>
  <c r="O1898" i="1"/>
  <c r="Q1898" i="1"/>
  <c r="Q1897" i="1"/>
  <c r="O1897" i="1"/>
  <c r="O1896" i="1"/>
  <c r="Q1896" i="1"/>
  <c r="Q1893" i="1"/>
  <c r="O1893" i="1"/>
  <c r="Q1892" i="1"/>
  <c r="O1892" i="1"/>
  <c r="O1891" i="1"/>
  <c r="Q1891" i="1"/>
  <c r="O1890" i="1"/>
  <c r="Q1890" i="1"/>
  <c r="O1889" i="1"/>
  <c r="Q1889" i="1"/>
  <c r="O1887" i="1"/>
  <c r="Q1887" i="1"/>
  <c r="O1886" i="1"/>
  <c r="Q1886" i="1"/>
  <c r="Q1885" i="1"/>
  <c r="O1885" i="1"/>
  <c r="O1883" i="1"/>
  <c r="Q1883" i="1"/>
  <c r="Q1882" i="1"/>
  <c r="O1882" i="1"/>
  <c r="O1881" i="1"/>
  <c r="Q1881" i="1"/>
  <c r="Q1880" i="1"/>
  <c r="O1880" i="1"/>
  <c r="O1879" i="1"/>
  <c r="Q1879" i="1"/>
  <c r="O1878" i="1"/>
  <c r="Q1878" i="1"/>
  <c r="Q1877" i="1"/>
  <c r="O1877" i="1"/>
  <c r="R1877" i="1" s="1"/>
  <c r="O1876" i="1"/>
  <c r="Q1876" i="1"/>
  <c r="Q1875" i="1"/>
  <c r="O1875" i="1"/>
  <c r="O1874" i="1"/>
  <c r="Q1874" i="1"/>
  <c r="O1873" i="1"/>
  <c r="Q1873" i="1"/>
  <c r="O1872" i="1"/>
  <c r="Q1872" i="1"/>
  <c r="Q1871" i="1"/>
  <c r="O1871" i="1"/>
  <c r="R1871" i="1" s="1"/>
  <c r="Q1870" i="1"/>
  <c r="O1870" i="1"/>
  <c r="Q1868" i="1"/>
  <c r="O1868" i="1"/>
  <c r="O1866" i="1"/>
  <c r="Q1866" i="1"/>
  <c r="Q1865" i="1"/>
  <c r="O1865" i="1"/>
  <c r="Q1862" i="1"/>
  <c r="O1862" i="1"/>
  <c r="O1861" i="1"/>
  <c r="Q1861" i="1"/>
  <c r="O1860" i="1"/>
  <c r="Q1860" i="1"/>
  <c r="Q1859" i="1"/>
  <c r="O1859" i="1"/>
  <c r="Q1858" i="1"/>
  <c r="O1858" i="1"/>
  <c r="O1856" i="1"/>
  <c r="Q1856" i="1"/>
  <c r="Q1855" i="1"/>
  <c r="O1855" i="1"/>
  <c r="Q1854" i="1"/>
  <c r="O1854" i="1"/>
  <c r="R1854" i="1" s="1"/>
  <c r="O1853" i="1"/>
  <c r="Q1853" i="1"/>
  <c r="O1851" i="1"/>
  <c r="Q1851" i="1"/>
  <c r="Q1850" i="1"/>
  <c r="O1850" i="1"/>
  <c r="Q1849" i="1"/>
  <c r="O1849" i="1"/>
  <c r="O1846" i="1"/>
  <c r="Q1846" i="1"/>
  <c r="Q1845" i="1"/>
  <c r="O1845" i="1"/>
  <c r="R1845" i="1" s="1"/>
  <c r="O1843" i="1"/>
  <c r="Q1843" i="1"/>
  <c r="O1841" i="1"/>
  <c r="Q1841" i="1"/>
  <c r="Q1840" i="1"/>
  <c r="O1840" i="1"/>
  <c r="Q1839" i="1"/>
  <c r="O1839" i="1"/>
  <c r="O1837" i="1"/>
  <c r="Q1837" i="1"/>
  <c r="O1836" i="1"/>
  <c r="Q1836" i="1"/>
  <c r="O1835" i="1"/>
  <c r="Q1835" i="1"/>
  <c r="Q1834" i="1"/>
  <c r="O1834" i="1"/>
  <c r="Q1833" i="1"/>
  <c r="O1833" i="1"/>
  <c r="Q1832" i="1"/>
  <c r="O1832" i="1"/>
  <c r="O1831" i="1"/>
  <c r="Q1831" i="1"/>
  <c r="O1830" i="1"/>
  <c r="Q1830" i="1"/>
  <c r="O1829" i="1"/>
  <c r="Q1829" i="1"/>
  <c r="O1828" i="1"/>
  <c r="Q1828" i="1"/>
  <c r="O1826" i="1"/>
  <c r="Q1826" i="1"/>
  <c r="O1825" i="1"/>
  <c r="Q1825" i="1"/>
  <c r="O1824" i="1"/>
  <c r="Q1824" i="1"/>
  <c r="Q1822" i="1"/>
  <c r="O1822" i="1"/>
  <c r="O1821" i="1"/>
  <c r="Q1821" i="1"/>
  <c r="O1820" i="1"/>
  <c r="Q1820" i="1"/>
  <c r="O1819" i="1"/>
  <c r="Q1819" i="1"/>
  <c r="O1818" i="1"/>
  <c r="Q1818" i="1"/>
  <c r="O1817" i="1"/>
  <c r="Q1817" i="1"/>
  <c r="O1816" i="1"/>
  <c r="Q1816" i="1"/>
  <c r="O1815" i="1"/>
  <c r="Q1815" i="1"/>
  <c r="O1813" i="1"/>
  <c r="Q1813" i="1"/>
  <c r="O1812" i="1"/>
  <c r="Q1812" i="1"/>
  <c r="O1811" i="1"/>
  <c r="Q1811" i="1"/>
  <c r="O1810" i="1"/>
  <c r="Q1810" i="1"/>
  <c r="O1809" i="1"/>
  <c r="Q1809" i="1"/>
  <c r="Q1808" i="1"/>
  <c r="O1808" i="1"/>
  <c r="O1807" i="1"/>
  <c r="Q1807" i="1"/>
  <c r="Q1806" i="1"/>
  <c r="O1806" i="1"/>
  <c r="O1805" i="1"/>
  <c r="Q1805" i="1"/>
  <c r="Q1804" i="1"/>
  <c r="O1804" i="1"/>
  <c r="R1804" i="1" s="1"/>
  <c r="O1803" i="1"/>
  <c r="Q1803" i="1"/>
  <c r="O1802" i="1"/>
  <c r="Q1802" i="1"/>
  <c r="Q1801" i="1"/>
  <c r="O1801" i="1"/>
  <c r="O1800" i="1"/>
  <c r="Q1800" i="1"/>
  <c r="O1798" i="1"/>
  <c r="Q1798" i="1"/>
  <c r="O1797" i="1"/>
  <c r="Q1797" i="1"/>
  <c r="O1796" i="1"/>
  <c r="Q1796" i="1"/>
  <c r="Q1795" i="1"/>
  <c r="Q1793" i="1"/>
  <c r="O1793" i="1"/>
  <c r="O1792" i="1"/>
  <c r="Q1792" i="1"/>
  <c r="Q1791" i="1"/>
  <c r="O1791" i="1"/>
  <c r="R1791" i="1" s="1"/>
  <c r="O1790" i="1"/>
  <c r="Q1790" i="1"/>
  <c r="O1789" i="1"/>
  <c r="Q1789" i="1"/>
  <c r="O1787" i="1"/>
  <c r="Q1787" i="1"/>
  <c r="O1786" i="1"/>
  <c r="Q1786" i="1"/>
  <c r="O1785" i="1"/>
  <c r="Q1785" i="1"/>
  <c r="Q1784" i="1"/>
  <c r="O1784" i="1"/>
  <c r="R1784" i="1" s="1"/>
  <c r="O1782" i="1"/>
  <c r="Q1782" i="1"/>
  <c r="Q1780" i="1"/>
  <c r="O1780" i="1"/>
  <c r="Q1779" i="1"/>
  <c r="O1779" i="1"/>
  <c r="O1778" i="1"/>
  <c r="Q1778" i="1"/>
  <c r="O1777" i="1"/>
  <c r="Q1777" i="1"/>
  <c r="O1773" i="1"/>
  <c r="Q1773" i="1"/>
  <c r="Q1772" i="1"/>
  <c r="O1772" i="1"/>
  <c r="Q1771" i="1"/>
  <c r="O1771" i="1"/>
  <c r="Q1770" i="1"/>
  <c r="O1770" i="1"/>
  <c r="Q1769" i="1"/>
  <c r="O1769" i="1"/>
  <c r="Q1768" i="1"/>
  <c r="O1768" i="1"/>
  <c r="O1767" i="1"/>
  <c r="Q1767" i="1"/>
  <c r="Q1766" i="1"/>
  <c r="O1766" i="1"/>
  <c r="O1765" i="1"/>
  <c r="Q1765" i="1"/>
  <c r="O1764" i="1"/>
  <c r="Q1764" i="1"/>
  <c r="Q1763" i="1"/>
  <c r="O1763" i="1"/>
  <c r="Q1762" i="1"/>
  <c r="O1762" i="1"/>
  <c r="Q1761" i="1"/>
  <c r="O1761" i="1"/>
  <c r="R1761" i="1" s="1"/>
  <c r="Q1760" i="1"/>
  <c r="O1760" i="1"/>
  <c r="Q1759" i="1"/>
  <c r="O1759" i="1"/>
  <c r="Q1758" i="1"/>
  <c r="O1758" i="1"/>
  <c r="Q1756" i="1"/>
  <c r="O1756" i="1"/>
  <c r="Q1755" i="1"/>
  <c r="O1755" i="1"/>
  <c r="Q1754" i="1"/>
  <c r="O1754" i="1"/>
  <c r="R1754" i="1" s="1"/>
  <c r="Q1753" i="1"/>
  <c r="O1753" i="1"/>
  <c r="Q1752" i="1"/>
  <c r="O1752" i="1"/>
  <c r="Q1751" i="1"/>
  <c r="O1751" i="1"/>
  <c r="Q1750" i="1"/>
  <c r="O1750" i="1"/>
  <c r="Q1749" i="1"/>
  <c r="O1749" i="1"/>
  <c r="Q1748" i="1"/>
  <c r="O1748" i="1"/>
  <c r="R1748" i="1" s="1"/>
  <c r="Q1746" i="1"/>
  <c r="O1746" i="1"/>
  <c r="Q1745" i="1"/>
  <c r="O1745" i="1"/>
  <c r="Q1744" i="1"/>
  <c r="O1744" i="1"/>
  <c r="Q1743" i="1"/>
  <c r="O1743" i="1"/>
  <c r="Q1742" i="1"/>
  <c r="O1742" i="1"/>
  <c r="Q1741" i="1"/>
  <c r="O1741" i="1"/>
  <c r="R1741" i="1" s="1"/>
  <c r="O1739" i="1"/>
  <c r="Q1739" i="1"/>
  <c r="Q1737" i="1"/>
  <c r="O1737" i="1"/>
  <c r="O1736" i="1"/>
  <c r="Q1736" i="1"/>
  <c r="Q1735" i="1"/>
  <c r="O1735" i="1"/>
  <c r="O1734" i="1"/>
  <c r="Q1734" i="1"/>
  <c r="Q1733" i="1"/>
  <c r="O1733" i="1"/>
  <c r="R1733" i="1" s="1"/>
  <c r="O1732" i="1"/>
  <c r="Q1732" i="1"/>
  <c r="O1731" i="1"/>
  <c r="Q1731" i="1"/>
  <c r="O1730" i="1"/>
  <c r="Q1730" i="1"/>
  <c r="Q1729" i="1"/>
  <c r="O1729" i="1"/>
  <c r="Q1728" i="1"/>
  <c r="O1728" i="1"/>
  <c r="O1727" i="1"/>
  <c r="Q1727" i="1"/>
  <c r="Q1726" i="1"/>
  <c r="O1726" i="1"/>
  <c r="Q1725" i="1"/>
  <c r="O1725" i="1"/>
  <c r="Q1724" i="1"/>
  <c r="O1724" i="1"/>
  <c r="Q1722" i="1"/>
  <c r="O1722" i="1"/>
  <c r="Q1721" i="1"/>
  <c r="O1721" i="1"/>
  <c r="Q1720" i="1"/>
  <c r="O1720" i="1"/>
  <c r="R1720" i="1" s="1"/>
  <c r="Q1718" i="1"/>
  <c r="O1718" i="1"/>
  <c r="Q1717" i="1"/>
  <c r="O1717" i="1"/>
  <c r="Q1715" i="1"/>
  <c r="O1715" i="1"/>
  <c r="Q1711" i="1"/>
  <c r="O1710" i="1"/>
  <c r="Q1710" i="1"/>
  <c r="Q1709" i="1"/>
  <c r="O1709" i="1"/>
  <c r="Q1707" i="1"/>
  <c r="Q1706" i="1"/>
  <c r="O1706" i="1"/>
  <c r="Q1705" i="1"/>
  <c r="O1705" i="1"/>
  <c r="Q1701" i="1"/>
  <c r="O1701" i="1"/>
  <c r="Q1700" i="1"/>
  <c r="O1700" i="1"/>
  <c r="Q1697" i="1"/>
  <c r="O1697" i="1"/>
  <c r="Q1696" i="1"/>
  <c r="O1696" i="1"/>
  <c r="Q1693" i="1"/>
  <c r="O1693" i="1"/>
  <c r="Q1692" i="1"/>
  <c r="O1692" i="1"/>
  <c r="Q1691" i="1"/>
  <c r="O1691" i="1"/>
  <c r="Q1688" i="1"/>
  <c r="O1688" i="1"/>
  <c r="Q1686" i="1"/>
  <c r="O1686" i="1"/>
  <c r="Q1685" i="1"/>
  <c r="O1685" i="1"/>
  <c r="O1683" i="1"/>
  <c r="Q1683" i="1"/>
  <c r="Q1682" i="1"/>
  <c r="O1682" i="1"/>
  <c r="O1680" i="1"/>
  <c r="Q1680" i="1"/>
  <c r="O1679" i="1"/>
  <c r="Q1679" i="1"/>
  <c r="Q1678" i="1"/>
  <c r="O1678" i="1"/>
  <c r="Q1676" i="1"/>
  <c r="O1676" i="1"/>
  <c r="Q1674" i="1"/>
  <c r="O1674" i="1"/>
  <c r="O1673" i="1"/>
  <c r="Q1673" i="1"/>
  <c r="O1671" i="1"/>
  <c r="Q1671" i="1"/>
  <c r="O1668" i="1"/>
  <c r="Q1668" i="1"/>
  <c r="Q1667" i="1"/>
  <c r="O1667" i="1"/>
  <c r="Q1666" i="1"/>
  <c r="O1666" i="1"/>
  <c r="Q1665" i="1"/>
  <c r="O1665" i="1"/>
  <c r="O1663" i="1"/>
  <c r="Q1663" i="1"/>
  <c r="O1662" i="1"/>
  <c r="Q1662" i="1"/>
  <c r="Q1661" i="1"/>
  <c r="O1661" i="1"/>
  <c r="O1660" i="1"/>
  <c r="Q1660" i="1"/>
  <c r="Q1659" i="1"/>
  <c r="O1659" i="1"/>
  <c r="O1658" i="1"/>
  <c r="Q1658" i="1"/>
  <c r="Q1656" i="1"/>
  <c r="O1656" i="1"/>
  <c r="O1652" i="1"/>
  <c r="Q1652" i="1"/>
  <c r="O1650" i="1"/>
  <c r="Q1650" i="1"/>
  <c r="Q1648" i="1"/>
  <c r="O1648" i="1"/>
  <c r="Q1647" i="1"/>
  <c r="O1647" i="1"/>
  <c r="Q1646" i="1"/>
  <c r="O1646" i="1"/>
  <c r="O1645" i="1"/>
  <c r="Q1645" i="1"/>
  <c r="O1644" i="1"/>
  <c r="Q1644" i="1"/>
  <c r="O1641" i="1"/>
  <c r="Q1641" i="1"/>
  <c r="Q1640" i="1"/>
  <c r="O1640" i="1"/>
  <c r="Q1638" i="1"/>
  <c r="O1638" i="1"/>
  <c r="Q1636" i="1"/>
  <c r="O1636" i="1"/>
  <c r="Q1635" i="1"/>
  <c r="O1635" i="1"/>
  <c r="O1634" i="1"/>
  <c r="Q1634" i="1"/>
  <c r="Q1633" i="1"/>
  <c r="O1633" i="1"/>
  <c r="Q1628" i="1"/>
  <c r="O1628" i="1"/>
  <c r="O1627" i="1"/>
  <c r="Q1627" i="1"/>
  <c r="Q1626" i="1"/>
  <c r="O1626" i="1"/>
  <c r="Q1624" i="1"/>
  <c r="O1624" i="1"/>
  <c r="Q1623" i="1"/>
  <c r="O1623" i="1"/>
  <c r="O1622" i="1"/>
  <c r="Q1622" i="1"/>
  <c r="Q1621" i="1"/>
  <c r="O1621" i="1"/>
  <c r="Q1619" i="1"/>
  <c r="O1619" i="1"/>
  <c r="R1619" i="1" s="1"/>
  <c r="Q1615" i="1"/>
  <c r="O1615" i="1"/>
  <c r="Q1613" i="1"/>
  <c r="O1613" i="1"/>
  <c r="Q1612" i="1"/>
  <c r="O1612" i="1"/>
  <c r="Q1610" i="1"/>
  <c r="O1610" i="1"/>
  <c r="Q1609" i="1"/>
  <c r="O1609" i="1"/>
  <c r="Q1608" i="1"/>
  <c r="O1608" i="1"/>
  <c r="R1608" i="1" s="1"/>
  <c r="Q1606" i="1"/>
  <c r="O1606" i="1"/>
  <c r="Q1605" i="1"/>
  <c r="O1605" i="1"/>
  <c r="O1604" i="1"/>
  <c r="Q1604" i="1"/>
  <c r="Q1603" i="1"/>
  <c r="O1603" i="1"/>
  <c r="Q1599" i="1"/>
  <c r="O1599" i="1"/>
  <c r="Q1598" i="1"/>
  <c r="O1598" i="1"/>
  <c r="R1598" i="1" s="1"/>
  <c r="Q1597" i="1"/>
  <c r="O1597" i="1"/>
  <c r="Q1596" i="1"/>
  <c r="O1596" i="1"/>
  <c r="Q1594" i="1"/>
  <c r="O1594" i="1"/>
  <c r="Q1593" i="1"/>
  <c r="O1593" i="1"/>
  <c r="Q1592" i="1"/>
  <c r="O1592" i="1"/>
  <c r="Q1591" i="1"/>
  <c r="O1591" i="1"/>
  <c r="R1591" i="1" s="1"/>
  <c r="Q1589" i="1"/>
  <c r="O1589" i="1"/>
  <c r="Q1587" i="1"/>
  <c r="O1587" i="1"/>
  <c r="O1586" i="1"/>
  <c r="Q1586" i="1"/>
  <c r="O1585" i="1"/>
  <c r="Q1585" i="1"/>
  <c r="O1584" i="1"/>
  <c r="Q1584" i="1"/>
  <c r="Q1583" i="1"/>
  <c r="O1583" i="1"/>
  <c r="R1583" i="1" s="1"/>
  <c r="Q1582" i="1"/>
  <c r="O1582" i="1"/>
  <c r="Q1581" i="1"/>
  <c r="O1581" i="1"/>
  <c r="Q1580" i="1"/>
  <c r="O1580" i="1"/>
  <c r="Q1578" i="1"/>
  <c r="O1578" i="1"/>
  <c r="Q1576" i="1"/>
  <c r="O1576" i="1"/>
  <c r="Q1573" i="1"/>
  <c r="O1573" i="1"/>
  <c r="R1573" i="1" s="1"/>
  <c r="O1572" i="1"/>
  <c r="Q1572" i="1"/>
  <c r="O1571" i="1"/>
  <c r="Q1571" i="1"/>
  <c r="O1570" i="1"/>
  <c r="Q1570" i="1"/>
  <c r="O1569" i="1"/>
  <c r="Q1569" i="1"/>
  <c r="Q1567" i="1"/>
  <c r="O1567" i="1"/>
  <c r="Q1566" i="1"/>
  <c r="O1566" i="1"/>
  <c r="R1566" i="1" s="1"/>
  <c r="Q1565" i="1"/>
  <c r="O1565" i="1"/>
  <c r="Q1564" i="1"/>
  <c r="O1564" i="1"/>
  <c r="Q1563" i="1"/>
  <c r="O1563" i="1"/>
  <c r="Q1562" i="1"/>
  <c r="O1562" i="1"/>
  <c r="Q1561" i="1"/>
  <c r="O1561" i="1"/>
  <c r="O1560" i="1"/>
  <c r="Q1560" i="1"/>
  <c r="Q1559" i="1"/>
  <c r="O1559" i="1"/>
  <c r="Q1558" i="1"/>
  <c r="O1558" i="1"/>
  <c r="Q1557" i="1"/>
  <c r="O1557" i="1"/>
  <c r="Q1553" i="1"/>
  <c r="O1553" i="1"/>
  <c r="Q1551" i="1"/>
  <c r="O1551" i="1"/>
  <c r="O1549" i="1"/>
  <c r="Q1549" i="1"/>
  <c r="Q1548" i="1"/>
  <c r="O1548" i="1"/>
  <c r="Q1547" i="1"/>
  <c r="O1547" i="1"/>
  <c r="O1544" i="1"/>
  <c r="Q1544" i="1"/>
  <c r="O1543" i="1"/>
  <c r="Q1543" i="1"/>
  <c r="O1542" i="1"/>
  <c r="Q1542" i="1"/>
  <c r="Q1541" i="1"/>
  <c r="O1541" i="1"/>
  <c r="R1541" i="1" s="1"/>
  <c r="Q1539" i="1"/>
  <c r="O1539" i="1"/>
  <c r="Q1538" i="1"/>
  <c r="O1538" i="1"/>
  <c r="Q1537" i="1"/>
  <c r="O1537" i="1"/>
  <c r="Q1536" i="1"/>
  <c r="O1536" i="1"/>
  <c r="Q1535" i="1"/>
  <c r="O1535" i="1"/>
  <c r="Q1531" i="1"/>
  <c r="O1531" i="1"/>
  <c r="R1531" i="1" s="1"/>
  <c r="O1529" i="1"/>
  <c r="Q1529" i="1"/>
  <c r="O1528" i="1"/>
  <c r="Q1528" i="1"/>
  <c r="O1525" i="1"/>
  <c r="Q1525" i="1"/>
  <c r="Q1524" i="1"/>
  <c r="O1524" i="1"/>
  <c r="O1522" i="1"/>
  <c r="Q1522" i="1"/>
  <c r="Q1521" i="1"/>
  <c r="O1521" i="1"/>
  <c r="R1521" i="1" s="1"/>
  <c r="Q1520" i="1"/>
  <c r="O1520" i="1"/>
  <c r="Q1518" i="1"/>
  <c r="O1518" i="1"/>
  <c r="O1517" i="1"/>
  <c r="Q1517" i="1"/>
  <c r="O1514" i="1"/>
  <c r="Q1514" i="1"/>
  <c r="O1513" i="1"/>
  <c r="Q1513" i="1"/>
  <c r="O1512" i="1"/>
  <c r="Q1512" i="1"/>
  <c r="Q1508" i="1"/>
  <c r="O1508" i="1"/>
  <c r="Q1506" i="1"/>
  <c r="O1506" i="1"/>
  <c r="Q1505" i="1"/>
  <c r="O1505" i="1"/>
  <c r="Q1504" i="1"/>
  <c r="O1504" i="1"/>
  <c r="Q1503" i="1"/>
  <c r="O1503" i="1"/>
  <c r="Q1502" i="1"/>
  <c r="O1502" i="1"/>
  <c r="R1502" i="1" s="1"/>
  <c r="Q1501" i="1"/>
  <c r="O1501" i="1"/>
  <c r="O1500" i="1"/>
  <c r="Q1500" i="1"/>
  <c r="Q1499" i="1"/>
  <c r="O1499" i="1"/>
  <c r="Q1498" i="1"/>
  <c r="O1498" i="1"/>
  <c r="Q1497" i="1"/>
  <c r="O1497" i="1"/>
  <c r="Q1496" i="1"/>
  <c r="O1496" i="1"/>
  <c r="R1496" i="1" s="1"/>
  <c r="Q1494" i="1"/>
  <c r="O1494" i="1"/>
  <c r="Q1493" i="1"/>
  <c r="O1493" i="1"/>
  <c r="Q1491" i="1"/>
  <c r="O1491" i="1"/>
  <c r="Q1490" i="1"/>
  <c r="O1490" i="1"/>
  <c r="Q1489" i="1"/>
  <c r="O1489" i="1"/>
  <c r="O1488" i="1"/>
  <c r="Q1488" i="1"/>
  <c r="O1487" i="1"/>
  <c r="Q1487" i="1"/>
  <c r="O1486" i="1"/>
  <c r="Q1486" i="1"/>
  <c r="O1485" i="1"/>
  <c r="Q1485" i="1"/>
  <c r="Q1483" i="1"/>
  <c r="O1483" i="1"/>
  <c r="Q1481" i="1"/>
  <c r="O1481" i="1"/>
  <c r="Q1476" i="1"/>
  <c r="O1476" i="1"/>
  <c r="R1476" i="1" s="1"/>
  <c r="Q1475" i="1"/>
  <c r="O1475" i="1"/>
  <c r="Q1474" i="1"/>
  <c r="O1474" i="1"/>
  <c r="Q1473" i="1"/>
  <c r="O1473" i="1"/>
  <c r="O1472" i="1"/>
  <c r="Q1472" i="1"/>
  <c r="O1470" i="1"/>
  <c r="Q1470" i="1"/>
  <c r="Q1469" i="1"/>
  <c r="O1469" i="1"/>
  <c r="R1469" i="1" s="1"/>
  <c r="O1468" i="1"/>
  <c r="Q1468" i="1"/>
  <c r="O1467" i="1"/>
  <c r="Q1467" i="1"/>
  <c r="O1466" i="1"/>
  <c r="Q1466" i="1"/>
  <c r="Q1465" i="1"/>
  <c r="O1465" i="1"/>
  <c r="O1464" i="1"/>
  <c r="Q1464" i="1"/>
  <c r="Q1463" i="1"/>
  <c r="O1463" i="1"/>
  <c r="R1463" i="1" s="1"/>
  <c r="Q1462" i="1"/>
  <c r="O1462" i="1"/>
  <c r="O1460" i="1"/>
  <c r="Q1460" i="1"/>
  <c r="Q1458" i="1"/>
  <c r="O1458" i="1"/>
  <c r="Q1456" i="1"/>
  <c r="O1456" i="1"/>
  <c r="O1455" i="1"/>
  <c r="Q1455" i="1"/>
  <c r="Q1454" i="1"/>
  <c r="O1454" i="1"/>
  <c r="R1454" i="1" s="1"/>
  <c r="Q1453" i="1"/>
  <c r="O1453" i="1"/>
  <c r="Q1451" i="1"/>
  <c r="O1451" i="1"/>
  <c r="Q1450" i="1"/>
  <c r="O1450" i="1"/>
  <c r="Q1448" i="1"/>
  <c r="O1448" i="1"/>
  <c r="Q1447" i="1"/>
  <c r="O1447" i="1"/>
  <c r="Q1446" i="1"/>
  <c r="O1446" i="1"/>
  <c r="R1446" i="1" s="1"/>
  <c r="Q1444" i="1"/>
  <c r="O1444" i="1"/>
  <c r="O1443" i="1"/>
  <c r="Q1443" i="1"/>
  <c r="O1442" i="1"/>
  <c r="Q1442" i="1"/>
  <c r="Q1441" i="1"/>
  <c r="O1441" i="1"/>
  <c r="Q1439" i="1"/>
  <c r="O1439" i="1"/>
  <c r="Q1437" i="1"/>
  <c r="Q1436" i="1"/>
  <c r="O1436" i="1"/>
  <c r="Q1435" i="1"/>
  <c r="O1435" i="1"/>
  <c r="Q1434" i="1"/>
  <c r="O1434" i="1"/>
  <c r="O1433" i="1"/>
  <c r="Q1433" i="1"/>
  <c r="Q1430" i="1"/>
  <c r="O1430" i="1"/>
  <c r="Q1428" i="1"/>
  <c r="O1428" i="1"/>
  <c r="R1428" i="1" s="1"/>
  <c r="O1427" i="1"/>
  <c r="Q1427" i="1"/>
  <c r="Q1426" i="1"/>
  <c r="O1426" i="1"/>
  <c r="O1425" i="1"/>
  <c r="Q1425" i="1"/>
  <c r="Q1424" i="1"/>
  <c r="O1424" i="1"/>
  <c r="Q1422" i="1"/>
  <c r="O1422" i="1"/>
  <c r="Q1421" i="1"/>
  <c r="O1421" i="1"/>
  <c r="R1421" i="1" s="1"/>
  <c r="Q1418" i="1"/>
  <c r="O1418" i="1"/>
  <c r="O1417" i="1"/>
  <c r="Q1417" i="1"/>
  <c r="O1411" i="1"/>
  <c r="Q1411" i="1"/>
  <c r="O1410" i="1"/>
  <c r="Q1410" i="1"/>
  <c r="Q1409" i="1"/>
  <c r="O1409" i="1"/>
  <c r="R1409" i="1" s="1"/>
  <c r="O1408" i="1"/>
  <c r="Q1408" i="1"/>
  <c r="O1407" i="1"/>
  <c r="Q1407" i="1"/>
  <c r="O1406" i="1"/>
  <c r="Q1406" i="1"/>
  <c r="Q1405" i="1"/>
  <c r="O1405" i="1"/>
  <c r="O1401" i="1"/>
  <c r="Q1401" i="1"/>
  <c r="Q1400" i="1"/>
  <c r="O1400" i="1"/>
  <c r="R1400" i="1" s="1"/>
  <c r="Q1398" i="1"/>
  <c r="O1398" i="1"/>
  <c r="Q1397" i="1"/>
  <c r="O1397" i="1"/>
  <c r="Q1394" i="1"/>
  <c r="O1394" i="1"/>
  <c r="O1393" i="1"/>
  <c r="Q1393" i="1"/>
  <c r="O1390" i="1"/>
  <c r="Q1390" i="1"/>
  <c r="O1388" i="1"/>
  <c r="Q1388" i="1"/>
  <c r="O1387" i="1"/>
  <c r="Q1387" i="1"/>
  <c r="O1385" i="1"/>
  <c r="Q1385" i="1"/>
  <c r="O1384" i="1"/>
  <c r="Q1384" i="1"/>
  <c r="O1379" i="1"/>
  <c r="Q1379" i="1"/>
  <c r="O1378" i="1"/>
  <c r="Q1378" i="1"/>
  <c r="O1377" i="1"/>
  <c r="Q1377" i="1"/>
  <c r="O1376" i="1"/>
  <c r="Q1376" i="1"/>
  <c r="O1373" i="1"/>
  <c r="Q1373" i="1"/>
  <c r="O1372" i="1"/>
  <c r="Q1372" i="1"/>
  <c r="O1371" i="1"/>
  <c r="Q1371" i="1"/>
  <c r="O1369" i="1"/>
  <c r="Q1369" i="1"/>
  <c r="O1363" i="1"/>
  <c r="Q1363" i="1"/>
  <c r="O1361" i="1"/>
  <c r="Q1361" i="1"/>
  <c r="O1360" i="1"/>
  <c r="Q1360" i="1"/>
  <c r="O1358" i="1"/>
  <c r="Q1358" i="1"/>
  <c r="O1356" i="1"/>
  <c r="Q1356" i="1"/>
  <c r="O1354" i="1"/>
  <c r="Q1354" i="1"/>
  <c r="O1353" i="1"/>
  <c r="Q1353" i="1"/>
  <c r="O1350" i="1"/>
  <c r="Q1350" i="1"/>
  <c r="O1349" i="1"/>
  <c r="Q1349" i="1"/>
  <c r="O1347" i="1"/>
  <c r="Q1347" i="1"/>
  <c r="O1346" i="1"/>
  <c r="Q1346" i="1"/>
  <c r="O1339" i="1"/>
  <c r="Q1339" i="1"/>
  <c r="O1338" i="1"/>
  <c r="Q1338" i="1"/>
  <c r="O1328" i="1"/>
  <c r="Q1328" i="1"/>
  <c r="O1326" i="1"/>
  <c r="Q1326" i="1"/>
  <c r="O1324" i="1"/>
  <c r="Q1324" i="1"/>
  <c r="O1322" i="1"/>
  <c r="Q1322" i="1"/>
  <c r="O1321" i="1"/>
  <c r="Q1321" i="1"/>
  <c r="Q1318" i="1"/>
  <c r="O1318" i="1"/>
  <c r="R1318" i="1" s="1"/>
  <c r="O1317" i="1"/>
  <c r="Q1317" i="1"/>
  <c r="Q1316" i="1"/>
  <c r="O1316" i="1"/>
  <c r="Q1315" i="1"/>
  <c r="O1315" i="1"/>
  <c r="Q1314" i="1"/>
  <c r="O1314" i="1"/>
  <c r="O1313" i="1"/>
  <c r="Q1313" i="1"/>
  <c r="Q1312" i="1"/>
  <c r="O1312" i="1"/>
  <c r="R1312" i="1" s="1"/>
  <c r="Q1310" i="1"/>
  <c r="O1310" i="1"/>
  <c r="O1309" i="1"/>
  <c r="Q1309" i="1"/>
  <c r="Q1308" i="1"/>
  <c r="O1308" i="1"/>
  <c r="O1306" i="1"/>
  <c r="Q1306" i="1"/>
  <c r="O1305" i="1"/>
  <c r="Q1305" i="1"/>
  <c r="Q1303" i="1"/>
  <c r="O1303" i="1"/>
  <c r="R1303" i="1" s="1"/>
  <c r="Q1302" i="1"/>
  <c r="O1302" i="1"/>
  <c r="O1299" i="1"/>
  <c r="Q1299" i="1"/>
  <c r="Q1298" i="1"/>
  <c r="O1298" i="1"/>
  <c r="O1297" i="1"/>
  <c r="Q1297" i="1"/>
  <c r="Q1295" i="1"/>
  <c r="O1295" i="1"/>
  <c r="Q1294" i="1"/>
  <c r="O1294" i="1"/>
  <c r="R1294" i="1" s="1"/>
  <c r="O1293" i="1"/>
  <c r="Q1293" i="1"/>
  <c r="O1292" i="1"/>
  <c r="Q1292" i="1"/>
  <c r="O1290" i="1"/>
  <c r="Q1290" i="1"/>
  <c r="Q1289" i="1"/>
  <c r="O1289" i="1"/>
  <c r="Q1286" i="1"/>
  <c r="O1286" i="1"/>
  <c r="Q1283" i="1"/>
  <c r="O1283" i="1"/>
  <c r="R1283" i="1" s="1"/>
  <c r="Q1282" i="1"/>
  <c r="O1282" i="1"/>
  <c r="O1280" i="1"/>
  <c r="Q1280" i="1"/>
  <c r="O1278" i="1"/>
  <c r="Q1278" i="1"/>
  <c r="O1277" i="1"/>
  <c r="Q1277" i="1"/>
  <c r="O1276" i="1"/>
  <c r="Q1276" i="1"/>
  <c r="Q1274" i="1"/>
  <c r="O1274" i="1"/>
  <c r="R1274" i="1" s="1"/>
  <c r="Q1273" i="1"/>
  <c r="O1273" i="1"/>
  <c r="O1272" i="1"/>
  <c r="Q1272" i="1"/>
  <c r="O1270" i="1"/>
  <c r="Q1270" i="1"/>
  <c r="O1268" i="1"/>
  <c r="Q1268" i="1"/>
  <c r="Q1267" i="1"/>
  <c r="O1267" i="1"/>
  <c r="O1266" i="1"/>
  <c r="Q1266" i="1"/>
  <c r="Q1263" i="1"/>
  <c r="O1263" i="1"/>
  <c r="Q1262" i="1"/>
  <c r="O1262" i="1"/>
  <c r="Q1259" i="1"/>
  <c r="O1259" i="1"/>
  <c r="O1258" i="1"/>
  <c r="Q1258" i="1"/>
  <c r="Q1257" i="1"/>
  <c r="O1257" i="1"/>
  <c r="Q1255" i="1"/>
  <c r="O1255" i="1"/>
  <c r="R1255" i="1" s="1"/>
  <c r="Q1254" i="1"/>
  <c r="O1254" i="1"/>
  <c r="Q1253" i="1"/>
  <c r="O1253" i="1"/>
  <c r="Q1252" i="1"/>
  <c r="O1252" i="1"/>
  <c r="O1251" i="1"/>
  <c r="Q1251" i="1"/>
  <c r="O1249" i="1"/>
  <c r="Q1249" i="1"/>
  <c r="O1248" i="1"/>
  <c r="Q1248" i="1"/>
  <c r="Q1246" i="1"/>
  <c r="O1246" i="1"/>
  <c r="Q1245" i="1"/>
  <c r="O1245" i="1"/>
  <c r="Q1244" i="1"/>
  <c r="O1244" i="1"/>
  <c r="O1243" i="1"/>
  <c r="Q1243" i="1"/>
  <c r="Q1242" i="1"/>
  <c r="O1242" i="1"/>
  <c r="Q1241" i="1"/>
  <c r="O1241" i="1"/>
  <c r="R1241" i="1" s="1"/>
  <c r="Q1240" i="1"/>
  <c r="O1240" i="1"/>
  <c r="Q1239" i="1"/>
  <c r="O1239" i="1"/>
  <c r="Q1238" i="1"/>
  <c r="O1238" i="1"/>
  <c r="O1237" i="1"/>
  <c r="Q1237" i="1"/>
  <c r="Q1236" i="1"/>
  <c r="O1236" i="1"/>
  <c r="Q1235" i="1"/>
  <c r="O1235" i="1"/>
  <c r="R1235" i="1" s="1"/>
  <c r="Q1233" i="1"/>
  <c r="O1233" i="1"/>
  <c r="Q1231" i="1"/>
  <c r="O1231" i="1"/>
  <c r="Q1230" i="1"/>
  <c r="O1230" i="1"/>
  <c r="O1229" i="1"/>
  <c r="Q1229" i="1"/>
  <c r="Q1228" i="1"/>
  <c r="O1228" i="1"/>
  <c r="O1227" i="1"/>
  <c r="Q1227" i="1"/>
  <c r="Q1225" i="1"/>
  <c r="O1225" i="1"/>
  <c r="Q1224" i="1"/>
  <c r="O1224" i="1"/>
  <c r="Q1223" i="1"/>
  <c r="O1223" i="1"/>
  <c r="Q1222" i="1"/>
  <c r="O1222" i="1"/>
  <c r="O1221" i="1"/>
  <c r="Q1221" i="1"/>
  <c r="Q1219" i="1"/>
  <c r="O1219" i="1"/>
  <c r="R1219" i="1" s="1"/>
  <c r="Q1218" i="1"/>
  <c r="O1218" i="1"/>
  <c r="O1217" i="1"/>
  <c r="Q1217" i="1"/>
  <c r="Q1216" i="1"/>
  <c r="O1216" i="1"/>
  <c r="Q1215" i="1"/>
  <c r="O1215" i="1"/>
  <c r="Q1214" i="1"/>
  <c r="O1214" i="1"/>
  <c r="O1213" i="1"/>
  <c r="Q1213" i="1"/>
  <c r="O1210" i="1"/>
  <c r="Q1210" i="1"/>
  <c r="O1209" i="1"/>
  <c r="Q1209" i="1"/>
  <c r="O1208" i="1"/>
  <c r="Q1208" i="1"/>
  <c r="Q1207" i="1"/>
  <c r="O1207" i="1"/>
  <c r="Q1206" i="1"/>
  <c r="O1206" i="1"/>
  <c r="Q1203" i="1"/>
  <c r="O1203" i="1"/>
  <c r="R1203" i="1" s="1"/>
  <c r="O1202" i="1"/>
  <c r="Q1202" i="1"/>
  <c r="Q1200" i="1"/>
  <c r="O1200" i="1"/>
  <c r="Q1199" i="1"/>
  <c r="O1199" i="1"/>
  <c r="O1198" i="1"/>
  <c r="Q1198" i="1"/>
  <c r="Q1196" i="1"/>
  <c r="O1196" i="1"/>
  <c r="Q1195" i="1"/>
  <c r="O1195" i="1"/>
  <c r="R1195" i="1" s="1"/>
  <c r="Q1194" i="1"/>
  <c r="O1194" i="1"/>
  <c r="O1193" i="1"/>
  <c r="Q1193" i="1"/>
  <c r="Q1192" i="1"/>
  <c r="O1192" i="1"/>
  <c r="Q1191" i="1"/>
  <c r="O1191" i="1"/>
  <c r="Q1190" i="1"/>
  <c r="O1190" i="1"/>
  <c r="Q1189" i="1"/>
  <c r="O1189" i="1"/>
  <c r="R1189" i="1" s="1"/>
  <c r="Q1188" i="1"/>
  <c r="O1188" i="1"/>
  <c r="O1187" i="1"/>
  <c r="Q1187" i="1"/>
  <c r="Q1186" i="1"/>
  <c r="O1186" i="1"/>
  <c r="Q1185" i="1"/>
  <c r="O1185" i="1"/>
  <c r="O1184" i="1"/>
  <c r="Q1184" i="1"/>
  <c r="O1183" i="1"/>
  <c r="Q1183" i="1"/>
  <c r="O1182" i="1"/>
  <c r="Q1182" i="1"/>
  <c r="Q1181" i="1"/>
  <c r="O1181" i="1"/>
  <c r="O1180" i="1"/>
  <c r="Q1180" i="1"/>
  <c r="O1179" i="1"/>
  <c r="Q1179" i="1"/>
  <c r="O1178" i="1"/>
  <c r="Q1178" i="1"/>
  <c r="Q1177" i="1"/>
  <c r="O1177" i="1"/>
  <c r="R1177" i="1" s="1"/>
  <c r="Q1176" i="1"/>
  <c r="O1176" i="1"/>
  <c r="O1175" i="1"/>
  <c r="Q1175" i="1"/>
  <c r="Q1174" i="1"/>
  <c r="O1174" i="1"/>
  <c r="Q1173" i="1"/>
  <c r="O1173" i="1"/>
  <c r="Q1172" i="1"/>
  <c r="O1172" i="1"/>
  <c r="O1171" i="1"/>
  <c r="Q1171" i="1"/>
  <c r="Q1168" i="1"/>
  <c r="O1168" i="1"/>
  <c r="O1167" i="1"/>
  <c r="Q1167" i="1"/>
  <c r="Q1166" i="1"/>
  <c r="O1166" i="1"/>
  <c r="Q1165" i="1"/>
  <c r="O1165" i="1"/>
  <c r="Q1164" i="1"/>
  <c r="O1164" i="1"/>
  <c r="R1164" i="1" s="1"/>
  <c r="Q1161" i="1"/>
  <c r="O1161" i="1"/>
  <c r="R1161" i="1" s="1"/>
  <c r="O1160" i="1"/>
  <c r="Q1160" i="1"/>
  <c r="O1158" i="1"/>
  <c r="Q1158" i="1"/>
  <c r="Q1157" i="1"/>
  <c r="O1157" i="1"/>
  <c r="Q1154" i="1"/>
  <c r="O1154" i="1"/>
  <c r="O1152" i="1"/>
  <c r="Q1152" i="1"/>
  <c r="O1151" i="1"/>
  <c r="Q1151" i="1"/>
  <c r="O1150" i="1"/>
  <c r="Q1150" i="1"/>
  <c r="Q1149" i="1"/>
  <c r="O1149" i="1"/>
  <c r="Q1148" i="1"/>
  <c r="O1148" i="1"/>
  <c r="O1147" i="1"/>
  <c r="Q1147" i="1"/>
  <c r="Q1145" i="1"/>
  <c r="O1145" i="1"/>
  <c r="R1145" i="1" s="1"/>
  <c r="Q1144" i="1"/>
  <c r="O1144" i="1"/>
  <c r="R1144" i="1" s="1"/>
  <c r="O1143" i="1"/>
  <c r="Q1143" i="1"/>
  <c r="O1142" i="1"/>
  <c r="Q1142" i="1"/>
  <c r="Q1141" i="1"/>
  <c r="O1141" i="1"/>
  <c r="O1140" i="1"/>
  <c r="Q1140" i="1"/>
  <c r="Q1139" i="1"/>
  <c r="O1139" i="1"/>
  <c r="R1139" i="1" s="1"/>
  <c r="Q1138" i="1"/>
  <c r="O1138" i="1"/>
  <c r="R1138" i="1" s="1"/>
  <c r="O1137" i="1"/>
  <c r="Q1137" i="1"/>
  <c r="O1136" i="1"/>
  <c r="Q1136" i="1"/>
  <c r="Q1135" i="1"/>
  <c r="O1135" i="1"/>
  <c r="Q1134" i="1"/>
  <c r="O1134" i="1"/>
  <c r="Q1132" i="1"/>
  <c r="O1132" i="1"/>
  <c r="R1132" i="1" s="1"/>
  <c r="Q1131" i="1"/>
  <c r="O1131" i="1"/>
  <c r="R1131" i="1" s="1"/>
  <c r="Q1130" i="1"/>
  <c r="O1130" i="1"/>
  <c r="Q1129" i="1"/>
  <c r="O1129" i="1"/>
  <c r="Q1128" i="1"/>
  <c r="O1128" i="1"/>
  <c r="R1128" i="1" s="1"/>
  <c r="Q1127" i="1"/>
  <c r="O1127" i="1"/>
  <c r="Q1126" i="1"/>
  <c r="O1126" i="1"/>
  <c r="R1126" i="1" s="1"/>
  <c r="O1125" i="1"/>
  <c r="Q1125" i="1"/>
  <c r="Q1124" i="1"/>
  <c r="O1124" i="1"/>
  <c r="O1123" i="1"/>
  <c r="Q1123" i="1"/>
  <c r="O1122" i="1"/>
  <c r="Q1122" i="1"/>
  <c r="Q1121" i="1"/>
  <c r="O1121" i="1"/>
  <c r="O1120" i="1"/>
  <c r="Q1120" i="1"/>
  <c r="O1119" i="1"/>
  <c r="Q1119" i="1"/>
  <c r="Q1118" i="1"/>
  <c r="O1118" i="1"/>
  <c r="Q1117" i="1"/>
  <c r="O1117" i="1"/>
  <c r="O1116" i="1"/>
  <c r="Q1116" i="1"/>
  <c r="Q1115" i="1"/>
  <c r="O1115" i="1"/>
  <c r="Q1114" i="1"/>
  <c r="O1114" i="1"/>
  <c r="R1114" i="1" s="1"/>
  <c r="Q1113" i="1"/>
  <c r="O1113" i="1"/>
  <c r="R1113" i="1" s="1"/>
  <c r="O1112" i="1"/>
  <c r="Q1112" i="1"/>
  <c r="O1107" i="1"/>
  <c r="Q1107" i="1"/>
  <c r="O1105" i="1"/>
  <c r="Q1105" i="1"/>
  <c r="Q1099" i="1"/>
  <c r="O1099" i="1"/>
  <c r="Q1097" i="1"/>
  <c r="O1097" i="1"/>
  <c r="R1097" i="1" s="1"/>
  <c r="Q1096" i="1"/>
  <c r="O1096" i="1"/>
  <c r="R1096" i="1" s="1"/>
  <c r="Q1095" i="1"/>
  <c r="O1095" i="1"/>
  <c r="Q1094" i="1"/>
  <c r="O1094" i="1"/>
  <c r="Q1093" i="1"/>
  <c r="O1093" i="1"/>
  <c r="R1093" i="1" s="1"/>
  <c r="O1092" i="1"/>
  <c r="Q1092" i="1"/>
  <c r="O1091" i="1"/>
  <c r="Q1091" i="1"/>
  <c r="Q1090" i="1"/>
  <c r="O1090" i="1"/>
  <c r="R1090" i="1" s="1"/>
  <c r="Q1089" i="1"/>
  <c r="O1089" i="1"/>
  <c r="O1088" i="1"/>
  <c r="Q1088" i="1"/>
  <c r="Q1087" i="1"/>
  <c r="O1087" i="1"/>
  <c r="R1087" i="1" s="1"/>
  <c r="Q1086" i="1"/>
  <c r="O1086" i="1"/>
  <c r="Q1085" i="1"/>
  <c r="O1085" i="1"/>
  <c r="R1085" i="1" s="1"/>
  <c r="Q1084" i="1"/>
  <c r="O1084" i="1"/>
  <c r="R1084" i="1" s="1"/>
  <c r="Q1083" i="1"/>
  <c r="O1083" i="1"/>
  <c r="Q1082" i="1"/>
  <c r="O1082" i="1"/>
  <c r="Q1081" i="1"/>
  <c r="O1081" i="1"/>
  <c r="R1081" i="1" s="1"/>
  <c r="Q1080" i="1"/>
  <c r="O1080" i="1"/>
  <c r="Q1079" i="1"/>
  <c r="O1079" i="1"/>
  <c r="R1079" i="1" s="1"/>
  <c r="O1078" i="1"/>
  <c r="Q1078" i="1"/>
  <c r="Q1077" i="1"/>
  <c r="O1077" i="1"/>
  <c r="Q1075" i="1"/>
  <c r="O1075" i="1"/>
  <c r="O1074" i="1"/>
  <c r="Q1074" i="1"/>
  <c r="Q1073" i="1"/>
  <c r="O1073" i="1"/>
  <c r="Q1072" i="1"/>
  <c r="O1072" i="1"/>
  <c r="R1072" i="1" s="1"/>
  <c r="O1071" i="1"/>
  <c r="Q1071" i="1"/>
  <c r="Q1070" i="1"/>
  <c r="O1070" i="1"/>
  <c r="Q1069" i="1"/>
  <c r="O1069" i="1"/>
  <c r="Q1068" i="1"/>
  <c r="O1068" i="1"/>
  <c r="R1068" i="1" s="1"/>
  <c r="Q1067" i="1"/>
  <c r="O1067" i="1"/>
  <c r="Q1066" i="1"/>
  <c r="O1066" i="1"/>
  <c r="R1066" i="1" s="1"/>
  <c r="Q1065" i="1"/>
  <c r="O1065" i="1"/>
  <c r="R1065" i="1" s="1"/>
  <c r="Q1064" i="1"/>
  <c r="O1064" i="1"/>
  <c r="Q1063" i="1"/>
  <c r="O1063" i="1"/>
  <c r="O1062" i="1"/>
  <c r="Q1062" i="1"/>
  <c r="Q1061" i="1"/>
  <c r="O1061" i="1"/>
  <c r="O1059" i="1"/>
  <c r="Q1059" i="1"/>
  <c r="Q1058" i="1"/>
  <c r="O1058" i="1"/>
  <c r="R1058" i="1" s="1"/>
  <c r="O1057" i="1"/>
  <c r="Q1057" i="1"/>
  <c r="O1056" i="1"/>
  <c r="Q1056" i="1"/>
  <c r="O1055" i="1"/>
  <c r="Q1055" i="1"/>
  <c r="O1053" i="1"/>
  <c r="Q1053" i="1"/>
  <c r="Q1052" i="1"/>
  <c r="O1052" i="1"/>
  <c r="R1052" i="1" s="1"/>
  <c r="Q1051" i="1"/>
  <c r="O1051" i="1"/>
  <c r="R1051" i="1" s="1"/>
  <c r="O1050" i="1"/>
  <c r="Q1050" i="1"/>
  <c r="Q1049" i="1"/>
  <c r="O1049" i="1"/>
  <c r="Q1048" i="1"/>
  <c r="O1048" i="1"/>
  <c r="R1048" i="1" s="1"/>
  <c r="Q1047" i="1"/>
  <c r="O1047" i="1"/>
  <c r="Q1042" i="1"/>
  <c r="O1042" i="1"/>
  <c r="R1042" i="1" s="1"/>
  <c r="O1041" i="1"/>
  <c r="Q1041" i="1"/>
  <c r="O1040" i="1"/>
  <c r="Q1040" i="1"/>
  <c r="Q1039" i="1"/>
  <c r="O1039" i="1"/>
  <c r="O1038" i="1"/>
  <c r="Q1038" i="1"/>
  <c r="Q1037" i="1"/>
  <c r="O1037" i="1"/>
  <c r="Q1036" i="1"/>
  <c r="O1036" i="1"/>
  <c r="R1036" i="1" s="1"/>
  <c r="O1035" i="1"/>
  <c r="Q1035" i="1"/>
  <c r="O1034" i="1"/>
  <c r="Q1034" i="1"/>
  <c r="O1033" i="1"/>
  <c r="Q1033" i="1"/>
  <c r="Q1032" i="1"/>
  <c r="O1032" i="1"/>
  <c r="O1031" i="1"/>
  <c r="Q1031" i="1"/>
  <c r="Q1030" i="1"/>
  <c r="O1030" i="1"/>
  <c r="R1030" i="1" s="1"/>
  <c r="O1029" i="1"/>
  <c r="Q1029" i="1"/>
  <c r="O1025" i="1"/>
  <c r="Q1025" i="1"/>
  <c r="Q1024" i="1"/>
  <c r="O1024" i="1"/>
  <c r="O1023" i="1"/>
  <c r="Q1023" i="1"/>
  <c r="O1022" i="1"/>
  <c r="Q1022" i="1"/>
  <c r="Q1021" i="1"/>
  <c r="O1021" i="1"/>
  <c r="R1021" i="1" s="1"/>
  <c r="O1020" i="1"/>
  <c r="Q1020" i="1"/>
  <c r="O1018" i="1"/>
  <c r="Q1018" i="1"/>
  <c r="Q1017" i="1"/>
  <c r="O1017" i="1"/>
  <c r="Q1016" i="1"/>
  <c r="O1016" i="1"/>
  <c r="O1015" i="1"/>
  <c r="Q1015" i="1"/>
  <c r="O1014" i="1"/>
  <c r="Q1014" i="1"/>
  <c r="Q1011" i="1"/>
  <c r="O1011" i="1"/>
  <c r="Q1010" i="1"/>
  <c r="O1010" i="1"/>
  <c r="Q1009" i="1"/>
  <c r="O1009" i="1"/>
  <c r="Q1008" i="1"/>
  <c r="O1008" i="1"/>
  <c r="O1007" i="1"/>
  <c r="Q1007" i="1"/>
  <c r="Q1005" i="1"/>
  <c r="O1005" i="1"/>
  <c r="R1005" i="1" s="1"/>
  <c r="Q1004" i="1"/>
  <c r="O1004" i="1"/>
  <c r="Q1003" i="1"/>
  <c r="O1003" i="1"/>
  <c r="O1002" i="1"/>
  <c r="Q1002" i="1"/>
  <c r="O1000" i="1"/>
  <c r="Q1000" i="1"/>
  <c r="O998" i="1"/>
  <c r="Q998" i="1"/>
  <c r="O997" i="1"/>
  <c r="Q997" i="1"/>
  <c r="O996" i="1"/>
  <c r="Q996" i="1"/>
  <c r="O995" i="1"/>
  <c r="Q995" i="1"/>
  <c r="O994" i="1"/>
  <c r="Q994" i="1"/>
  <c r="O992" i="1"/>
  <c r="Q992" i="1"/>
  <c r="O990" i="1"/>
  <c r="Q990" i="1"/>
  <c r="O989" i="1"/>
  <c r="Q989" i="1"/>
  <c r="O988" i="1"/>
  <c r="Q988" i="1"/>
  <c r="O987" i="1"/>
  <c r="Q987" i="1"/>
  <c r="O981" i="1"/>
  <c r="Q981" i="1"/>
  <c r="O980" i="1"/>
  <c r="Q980" i="1"/>
  <c r="O979" i="1"/>
  <c r="Q979" i="1"/>
  <c r="O978" i="1"/>
  <c r="Q978" i="1"/>
  <c r="O977" i="1"/>
  <c r="Q977" i="1"/>
  <c r="O976" i="1"/>
  <c r="Q976" i="1"/>
  <c r="O972" i="1"/>
  <c r="Q972" i="1"/>
  <c r="O971" i="1"/>
  <c r="Q971" i="1"/>
  <c r="O968" i="1"/>
  <c r="Q968" i="1"/>
  <c r="O967" i="1"/>
  <c r="Q967" i="1"/>
  <c r="O966" i="1"/>
  <c r="Q966" i="1"/>
  <c r="O965" i="1"/>
  <c r="Q965" i="1"/>
  <c r="O963" i="1"/>
  <c r="Q963" i="1"/>
  <c r="O962" i="1"/>
  <c r="Q962" i="1"/>
  <c r="O961" i="1"/>
  <c r="Q961" i="1"/>
  <c r="O960" i="1"/>
  <c r="Q960" i="1"/>
  <c r="O959" i="1"/>
  <c r="Q959" i="1"/>
  <c r="O958" i="1"/>
  <c r="Q958" i="1"/>
  <c r="O957" i="1"/>
  <c r="Q957" i="1"/>
  <c r="O956" i="1"/>
  <c r="Q956" i="1"/>
  <c r="O955" i="1"/>
  <c r="Q955" i="1"/>
  <c r="O954" i="1"/>
  <c r="Q954" i="1"/>
  <c r="O951" i="1"/>
  <c r="Q951" i="1"/>
  <c r="O950" i="1"/>
  <c r="Q950" i="1"/>
  <c r="O949" i="1"/>
  <c r="Q949" i="1"/>
  <c r="O947" i="1"/>
  <c r="Q947" i="1"/>
  <c r="O946" i="1"/>
  <c r="Q946" i="1"/>
  <c r="O945" i="1"/>
  <c r="Q945" i="1"/>
  <c r="O944" i="1"/>
  <c r="Q944" i="1"/>
  <c r="O943" i="1"/>
  <c r="Q943" i="1"/>
  <c r="O942" i="1"/>
  <c r="Q942" i="1"/>
  <c r="O941" i="1"/>
  <c r="Q941" i="1"/>
  <c r="O940" i="1"/>
  <c r="Q940" i="1"/>
  <c r="O939" i="1"/>
  <c r="Q939" i="1"/>
  <c r="O938" i="1"/>
  <c r="Q938" i="1"/>
  <c r="O936" i="1"/>
  <c r="Q936" i="1"/>
  <c r="O935" i="1"/>
  <c r="Q935" i="1"/>
  <c r="O934" i="1"/>
  <c r="Q934" i="1"/>
  <c r="O933" i="1"/>
  <c r="Q933" i="1"/>
  <c r="O932" i="1"/>
  <c r="Q932" i="1"/>
  <c r="O931" i="1"/>
  <c r="Q931" i="1"/>
  <c r="O930" i="1"/>
  <c r="Q930" i="1"/>
  <c r="O928" i="1"/>
  <c r="Q928" i="1"/>
  <c r="O926" i="1"/>
  <c r="Q926" i="1"/>
  <c r="O925" i="1"/>
  <c r="Q925" i="1"/>
  <c r="O924" i="1"/>
  <c r="Q924" i="1"/>
  <c r="O923" i="1"/>
  <c r="Q923" i="1"/>
  <c r="O922" i="1"/>
  <c r="Q922" i="1"/>
  <c r="O921" i="1"/>
  <c r="Q921" i="1"/>
  <c r="O920" i="1"/>
  <c r="Q920" i="1"/>
  <c r="O919" i="1"/>
  <c r="Q919" i="1"/>
  <c r="O918" i="1"/>
  <c r="Q918" i="1"/>
  <c r="O917" i="1"/>
  <c r="Q917" i="1"/>
  <c r="O915" i="1"/>
  <c r="Q915" i="1"/>
  <c r="O914" i="1"/>
  <c r="Q914" i="1"/>
  <c r="O913" i="1"/>
  <c r="Q913" i="1"/>
  <c r="O912" i="1"/>
  <c r="Q912" i="1"/>
  <c r="O911" i="1"/>
  <c r="Q911" i="1"/>
  <c r="O910" i="1"/>
  <c r="Q910" i="1"/>
  <c r="O909" i="1"/>
  <c r="Q909" i="1"/>
  <c r="O908" i="1"/>
  <c r="Q908" i="1"/>
  <c r="O907" i="1"/>
  <c r="Q907" i="1"/>
  <c r="O906" i="1"/>
  <c r="Q906" i="1"/>
  <c r="O905" i="1"/>
  <c r="Q905" i="1"/>
  <c r="O904" i="1"/>
  <c r="Q904" i="1"/>
  <c r="O901" i="1"/>
  <c r="Q901" i="1"/>
  <c r="O900" i="1"/>
  <c r="Q900" i="1"/>
  <c r="O899" i="1"/>
  <c r="Q899" i="1"/>
  <c r="O897" i="1"/>
  <c r="Q897" i="1"/>
  <c r="O896" i="1"/>
  <c r="Q896" i="1"/>
  <c r="O895" i="1"/>
  <c r="Q895" i="1"/>
  <c r="O894" i="1"/>
  <c r="Q894" i="1"/>
  <c r="O890" i="1"/>
  <c r="Q890" i="1"/>
  <c r="O889" i="1"/>
  <c r="Q889" i="1"/>
  <c r="O888" i="1"/>
  <c r="Q888" i="1"/>
  <c r="O886" i="1"/>
  <c r="Q886" i="1"/>
  <c r="O885" i="1"/>
  <c r="Q885" i="1"/>
  <c r="O884" i="1"/>
  <c r="Q884" i="1"/>
  <c r="O883" i="1"/>
  <c r="Q883" i="1"/>
  <c r="O882" i="1"/>
  <c r="Q882" i="1"/>
  <c r="O881" i="1"/>
  <c r="Q881" i="1"/>
  <c r="O880" i="1"/>
  <c r="Q880" i="1"/>
  <c r="O878" i="1"/>
  <c r="Q878" i="1"/>
  <c r="O877" i="1"/>
  <c r="Q877" i="1"/>
  <c r="O875" i="1"/>
  <c r="Q875" i="1"/>
  <c r="O874" i="1"/>
  <c r="Q874" i="1"/>
  <c r="O872" i="1"/>
  <c r="Q872" i="1"/>
  <c r="Q871" i="1"/>
  <c r="O871" i="1"/>
  <c r="R871" i="1" s="1"/>
  <c r="Q869" i="1"/>
  <c r="O869" i="1"/>
  <c r="O868" i="1"/>
  <c r="Q868" i="1"/>
  <c r="O867" i="1"/>
  <c r="Q867" i="1"/>
  <c r="Q866" i="1"/>
  <c r="O866" i="1"/>
  <c r="O865" i="1"/>
  <c r="Q865" i="1"/>
  <c r="O864" i="1"/>
  <c r="Q864" i="1"/>
  <c r="O863" i="1"/>
  <c r="Q863" i="1"/>
  <c r="Q861" i="1"/>
  <c r="O861" i="1"/>
  <c r="Q860" i="1"/>
  <c r="O860" i="1"/>
  <c r="O859" i="1"/>
  <c r="Q859" i="1"/>
  <c r="Q858" i="1"/>
  <c r="O858" i="1"/>
  <c r="R858" i="1" s="1"/>
  <c r="O857" i="1"/>
  <c r="Q857" i="1"/>
  <c r="Q856" i="1"/>
  <c r="O856" i="1"/>
  <c r="O855" i="1"/>
  <c r="Q855" i="1"/>
  <c r="O854" i="1"/>
  <c r="Q854" i="1"/>
  <c r="O853" i="1"/>
  <c r="Q853" i="1"/>
  <c r="Q852" i="1"/>
  <c r="O852" i="1"/>
  <c r="R852" i="1" s="1"/>
  <c r="O851" i="1"/>
  <c r="Q851" i="1"/>
  <c r="Q850" i="1"/>
  <c r="O850" i="1"/>
  <c r="Q849" i="1"/>
  <c r="O849" i="1"/>
  <c r="O848" i="1"/>
  <c r="Q848" i="1"/>
  <c r="Q847" i="1"/>
  <c r="O847" i="1"/>
  <c r="Q846" i="1"/>
  <c r="O846" i="1"/>
  <c r="R846" i="1" s="1"/>
  <c r="Q845" i="1"/>
  <c r="O845" i="1"/>
  <c r="R845" i="1" s="1"/>
  <c r="Q844" i="1"/>
  <c r="O844" i="1"/>
  <c r="Q843" i="1"/>
  <c r="O843" i="1"/>
  <c r="O842" i="1"/>
  <c r="Q842" i="1"/>
  <c r="Q841" i="1"/>
  <c r="O841" i="1"/>
  <c r="O840" i="1"/>
  <c r="Q840" i="1"/>
  <c r="Q839" i="1"/>
  <c r="O839" i="1"/>
  <c r="R839" i="1" s="1"/>
  <c r="O838" i="1"/>
  <c r="Q838" i="1"/>
  <c r="O837" i="1"/>
  <c r="Q837" i="1"/>
  <c r="Q836" i="1"/>
  <c r="O836" i="1"/>
  <c r="O835" i="1"/>
  <c r="Q835" i="1"/>
  <c r="O833" i="1"/>
  <c r="Q833" i="1"/>
  <c r="Q831" i="1"/>
  <c r="O831" i="1"/>
  <c r="R831" i="1" s="1"/>
  <c r="Q830" i="1"/>
  <c r="O830" i="1"/>
  <c r="Q829" i="1"/>
  <c r="O829" i="1"/>
  <c r="O826" i="1"/>
  <c r="Q826" i="1"/>
  <c r="O825" i="1"/>
  <c r="Q825" i="1"/>
  <c r="O824" i="1"/>
  <c r="Q824" i="1"/>
  <c r="Q823" i="1"/>
  <c r="O823" i="1"/>
  <c r="R823" i="1" s="1"/>
  <c r="O822" i="1"/>
  <c r="Q822" i="1"/>
  <c r="Q821" i="1"/>
  <c r="O821" i="1"/>
  <c r="O820" i="1"/>
  <c r="Q820" i="1"/>
  <c r="Q818" i="1"/>
  <c r="O818" i="1"/>
  <c r="O817" i="1"/>
  <c r="Q817" i="1"/>
  <c r="Q816" i="1"/>
  <c r="O816" i="1"/>
  <c r="R816" i="1" s="1"/>
  <c r="O815" i="1"/>
  <c r="Q815" i="1"/>
  <c r="Q814" i="1"/>
  <c r="O814" i="1"/>
  <c r="Q812" i="1"/>
  <c r="O812" i="1"/>
  <c r="O811" i="1"/>
  <c r="Q811" i="1"/>
  <c r="O810" i="1"/>
  <c r="Q810" i="1"/>
  <c r="O809" i="1"/>
  <c r="Q809" i="1"/>
  <c r="Q808" i="1"/>
  <c r="O808" i="1"/>
  <c r="Q807" i="1"/>
  <c r="O807" i="1"/>
  <c r="Q806" i="1"/>
  <c r="O806" i="1"/>
  <c r="Q805" i="1"/>
  <c r="O805" i="1"/>
  <c r="Q804" i="1"/>
  <c r="O804" i="1"/>
  <c r="R804" i="1" s="1"/>
  <c r="O803" i="1"/>
  <c r="Q803" i="1"/>
  <c r="Q802" i="1"/>
  <c r="O802" i="1"/>
  <c r="O801" i="1"/>
  <c r="Q801" i="1"/>
  <c r="Q800" i="1"/>
  <c r="O800" i="1"/>
  <c r="Q799" i="1"/>
  <c r="O799" i="1"/>
  <c r="O797" i="1"/>
  <c r="Q797" i="1"/>
  <c r="O796" i="1"/>
  <c r="Q796" i="1"/>
  <c r="Q794" i="1"/>
  <c r="O794" i="1"/>
  <c r="Q792" i="1"/>
  <c r="O792" i="1"/>
  <c r="Q791" i="1"/>
  <c r="O791" i="1"/>
  <c r="O789" i="1"/>
  <c r="Q789" i="1"/>
  <c r="O787" i="1"/>
  <c r="Q787" i="1"/>
  <c r="Q784" i="1"/>
  <c r="O784" i="1"/>
  <c r="R784" i="1" s="1"/>
  <c r="Q783" i="1"/>
  <c r="O783" i="1"/>
  <c r="Q782" i="1"/>
  <c r="O782" i="1"/>
  <c r="Q780" i="1"/>
  <c r="O780" i="1"/>
  <c r="Q779" i="1"/>
  <c r="O779" i="1"/>
  <c r="O778" i="1"/>
  <c r="Q778" i="1"/>
  <c r="O777" i="1"/>
  <c r="Q777" i="1"/>
  <c r="O776" i="1"/>
  <c r="Q776" i="1"/>
  <c r="Q775" i="1"/>
  <c r="O775" i="1"/>
  <c r="Q774" i="1"/>
  <c r="O774" i="1"/>
  <c r="Q773" i="1"/>
  <c r="O773" i="1"/>
  <c r="Q772" i="1"/>
  <c r="O772" i="1"/>
  <c r="R772" i="1" s="1"/>
  <c r="Q771" i="1"/>
  <c r="O771" i="1"/>
  <c r="R771" i="1" s="1"/>
  <c r="Q770" i="1"/>
  <c r="O770" i="1"/>
  <c r="Q769" i="1"/>
  <c r="O769" i="1"/>
  <c r="Q768" i="1"/>
  <c r="O768" i="1"/>
  <c r="Q767" i="1"/>
  <c r="O767" i="1"/>
  <c r="Q766" i="1"/>
  <c r="O766" i="1"/>
  <c r="R766" i="1" s="1"/>
  <c r="Q765" i="1"/>
  <c r="O765" i="1"/>
  <c r="R765" i="1" s="1"/>
  <c r="Q764" i="1"/>
  <c r="O764" i="1"/>
  <c r="Q763" i="1"/>
  <c r="O763" i="1"/>
  <c r="O762" i="1"/>
  <c r="Q762" i="1"/>
  <c r="Q761" i="1"/>
  <c r="O761" i="1"/>
  <c r="Q760" i="1"/>
  <c r="O760" i="1"/>
  <c r="R760" i="1" s="1"/>
  <c r="Q759" i="1"/>
  <c r="O759" i="1"/>
  <c r="R759" i="1" s="1"/>
  <c r="Q758" i="1"/>
  <c r="O758" i="1"/>
  <c r="O757" i="1"/>
  <c r="Q757" i="1"/>
  <c r="O756" i="1"/>
  <c r="Q756" i="1"/>
  <c r="Q755" i="1"/>
  <c r="O755" i="1"/>
  <c r="O754" i="1"/>
  <c r="Q754" i="1"/>
  <c r="O753" i="1"/>
  <c r="Q753" i="1"/>
  <c r="Q751" i="1"/>
  <c r="O751" i="1"/>
  <c r="Q747" i="1"/>
  <c r="N747" i="1"/>
  <c r="O747" i="1" s="1"/>
  <c r="Q746" i="1"/>
  <c r="O746" i="1"/>
  <c r="Q745" i="1"/>
  <c r="O745" i="1"/>
  <c r="Q744" i="1"/>
  <c r="O744" i="1"/>
  <c r="R744" i="1" s="1"/>
  <c r="O743" i="1"/>
  <c r="Q743" i="1"/>
  <c r="O742" i="1"/>
  <c r="Q742" i="1"/>
  <c r="Q741" i="1"/>
  <c r="O741" i="1"/>
  <c r="Q740" i="1"/>
  <c r="O740" i="1"/>
  <c r="Q739" i="1"/>
  <c r="O739" i="1"/>
  <c r="O735" i="1"/>
  <c r="Q735" i="1"/>
  <c r="Q733" i="1"/>
  <c r="O733" i="1"/>
  <c r="R733" i="1" s="1"/>
  <c r="Q732" i="1"/>
  <c r="O732" i="1"/>
  <c r="O731" i="1"/>
  <c r="Q731" i="1"/>
  <c r="Q729" i="1"/>
  <c r="O729" i="1"/>
  <c r="O728" i="1"/>
  <c r="Q728" i="1"/>
  <c r="Q726" i="1"/>
  <c r="O726" i="1"/>
  <c r="R726" i="1" s="1"/>
  <c r="O725" i="1"/>
  <c r="Q725" i="1"/>
  <c r="O724" i="1"/>
  <c r="Q724" i="1"/>
  <c r="Q723" i="1"/>
  <c r="O723" i="1"/>
  <c r="Q722" i="1"/>
  <c r="O722" i="1"/>
  <c r="Q721" i="1"/>
  <c r="O721" i="1"/>
  <c r="Q720" i="1"/>
  <c r="O720" i="1"/>
  <c r="R720" i="1" s="1"/>
  <c r="Q719" i="1"/>
  <c r="O719" i="1"/>
  <c r="R719" i="1" s="1"/>
  <c r="Q718" i="1"/>
  <c r="O718" i="1"/>
  <c r="O717" i="1"/>
  <c r="Q717" i="1"/>
  <c r="Q716" i="1"/>
  <c r="O716" i="1"/>
  <c r="O715" i="1"/>
  <c r="Q715" i="1"/>
  <c r="O714" i="1"/>
  <c r="Q714" i="1"/>
  <c r="Q713" i="1"/>
  <c r="O713" i="1"/>
  <c r="R713" i="1" s="1"/>
  <c r="O712" i="1"/>
  <c r="Q712" i="1"/>
  <c r="Q711" i="1"/>
  <c r="O711" i="1"/>
  <c r="Q710" i="1"/>
  <c r="O710" i="1"/>
  <c r="Q709" i="1"/>
  <c r="O709" i="1"/>
  <c r="Q708" i="1"/>
  <c r="O708" i="1"/>
  <c r="R708" i="1" s="1"/>
  <c r="Q707" i="1"/>
  <c r="O707" i="1"/>
  <c r="R707" i="1" s="1"/>
  <c r="Q706" i="1"/>
  <c r="O706" i="1"/>
  <c r="O704" i="1"/>
  <c r="Q704" i="1"/>
  <c r="Q703" i="1"/>
  <c r="O703" i="1"/>
  <c r="Q702" i="1"/>
  <c r="O702" i="1"/>
  <c r="O701" i="1"/>
  <c r="Q701" i="1"/>
  <c r="Q700" i="1"/>
  <c r="O700" i="1"/>
  <c r="R700" i="1" s="1"/>
  <c r="Q698" i="1"/>
  <c r="O698" i="1"/>
  <c r="Q697" i="1"/>
  <c r="O697" i="1"/>
  <c r="O696" i="1"/>
  <c r="Q696" i="1"/>
  <c r="Q695" i="1"/>
  <c r="O695" i="1"/>
  <c r="Q694" i="1"/>
  <c r="O694" i="1"/>
  <c r="R694" i="1" s="1"/>
  <c r="O690" i="1"/>
  <c r="Q690" i="1"/>
  <c r="O689" i="1"/>
  <c r="Q689" i="1"/>
  <c r="Q688" i="1"/>
  <c r="O688" i="1"/>
  <c r="Q687" i="1"/>
  <c r="O687" i="1"/>
  <c r="Q686" i="1"/>
  <c r="O686" i="1"/>
  <c r="Q684" i="1"/>
  <c r="O684" i="1"/>
  <c r="R684" i="1" s="1"/>
  <c r="Q681" i="1"/>
  <c r="O681" i="1"/>
  <c r="R681" i="1" s="1"/>
  <c r="O680" i="1"/>
  <c r="Q680" i="1"/>
  <c r="O679" i="1"/>
  <c r="Q679" i="1"/>
  <c r="O678" i="1"/>
  <c r="Q678" i="1"/>
  <c r="O677" i="1"/>
  <c r="Q677" i="1"/>
  <c r="Q676" i="1"/>
  <c r="O676" i="1"/>
  <c r="R676" i="1" s="1"/>
  <c r="O675" i="1"/>
  <c r="Q675" i="1"/>
  <c r="O674" i="1"/>
  <c r="Q674" i="1"/>
  <c r="O673" i="1"/>
  <c r="Q673" i="1"/>
  <c r="Q672" i="1"/>
  <c r="O672" i="1"/>
  <c r="Q670" i="1"/>
  <c r="O670" i="1"/>
  <c r="Q668" i="1"/>
  <c r="O668" i="1"/>
  <c r="R668" i="1" s="1"/>
  <c r="O666" i="1"/>
  <c r="Q666" i="1"/>
  <c r="Q663" i="1"/>
  <c r="O663" i="1"/>
  <c r="Q662" i="1"/>
  <c r="O662" i="1"/>
  <c r="O661" i="1"/>
  <c r="Q661" i="1"/>
  <c r="O660" i="1"/>
  <c r="Q660" i="1"/>
  <c r="Q659" i="1"/>
  <c r="O659" i="1"/>
  <c r="R659" i="1" s="1"/>
  <c r="O658" i="1"/>
  <c r="Q658" i="1"/>
  <c r="Q657" i="1"/>
  <c r="O657" i="1"/>
  <c r="O655" i="1"/>
  <c r="Q655" i="1"/>
  <c r="Q654" i="1"/>
  <c r="O654" i="1"/>
  <c r="Q653" i="1"/>
  <c r="O653" i="1"/>
  <c r="Q650" i="1"/>
  <c r="O650" i="1"/>
  <c r="R650" i="1" s="1"/>
  <c r="Q649" i="1"/>
  <c r="O649" i="1"/>
  <c r="R649" i="1" s="1"/>
  <c r="Q648" i="1"/>
  <c r="O648" i="1"/>
  <c r="Q647" i="1"/>
  <c r="O647" i="1"/>
  <c r="Q646" i="1"/>
  <c r="O646" i="1"/>
  <c r="Q645" i="1"/>
  <c r="O645" i="1"/>
  <c r="O644" i="1"/>
  <c r="Q644" i="1"/>
  <c r="Q643" i="1"/>
  <c r="O643" i="1"/>
  <c r="R643" i="1" s="1"/>
  <c r="Q641" i="1"/>
  <c r="O641" i="1"/>
  <c r="Q640" i="1"/>
  <c r="O640" i="1"/>
  <c r="Q639" i="1"/>
  <c r="O639" i="1"/>
  <c r="Q638" i="1"/>
  <c r="O638" i="1"/>
  <c r="Q637" i="1"/>
  <c r="O637" i="1"/>
  <c r="R637" i="1" s="1"/>
  <c r="Q636" i="1"/>
  <c r="O636" i="1"/>
  <c r="R636" i="1" s="1"/>
  <c r="O635" i="1"/>
  <c r="Q635" i="1"/>
  <c r="O634" i="1"/>
  <c r="Q634" i="1"/>
  <c r="Q633" i="1"/>
  <c r="O633" i="1"/>
  <c r="Q631" i="1"/>
  <c r="O631" i="1"/>
  <c r="Q628" i="1"/>
  <c r="O628" i="1"/>
  <c r="R628" i="1" s="1"/>
  <c r="O627" i="1"/>
  <c r="Q627" i="1"/>
  <c r="Q626" i="1"/>
  <c r="O626" i="1"/>
  <c r="O625" i="1"/>
  <c r="Q625" i="1"/>
  <c r="O624" i="1"/>
  <c r="Q624" i="1"/>
  <c r="Q623" i="1"/>
  <c r="O623" i="1"/>
  <c r="O622" i="1"/>
  <c r="Q622" i="1"/>
  <c r="Q620" i="1"/>
  <c r="O620" i="1"/>
  <c r="R620" i="1" s="1"/>
  <c r="Q619" i="1"/>
  <c r="O619" i="1"/>
  <c r="Q618" i="1"/>
  <c r="O618" i="1"/>
  <c r="Q617" i="1"/>
  <c r="O617" i="1"/>
  <c r="Q615" i="1"/>
  <c r="O615" i="1"/>
  <c r="Q614" i="1"/>
  <c r="O614" i="1"/>
  <c r="R614" i="1" s="1"/>
  <c r="Q613" i="1"/>
  <c r="O613" i="1"/>
  <c r="R613" i="1" s="1"/>
  <c r="Q612" i="1"/>
  <c r="O612" i="1"/>
  <c r="O611" i="1"/>
  <c r="Q611" i="1"/>
  <c r="O610" i="1"/>
  <c r="Q610" i="1"/>
  <c r="O609" i="1"/>
  <c r="Q609" i="1"/>
  <c r="O608" i="1"/>
  <c r="Q608" i="1"/>
  <c r="O606" i="1"/>
  <c r="Q606" i="1"/>
  <c r="O602" i="1"/>
  <c r="Q602" i="1"/>
  <c r="O600" i="1"/>
  <c r="Q600" i="1"/>
  <c r="O599" i="1"/>
  <c r="Q599" i="1"/>
  <c r="O597" i="1"/>
  <c r="Q597" i="1"/>
  <c r="O595" i="1"/>
  <c r="Q595" i="1"/>
  <c r="O591" i="1"/>
  <c r="Q591" i="1"/>
  <c r="O588" i="1"/>
  <c r="Q588" i="1"/>
  <c r="O587" i="1"/>
  <c r="Q587" i="1"/>
  <c r="O585" i="1"/>
  <c r="Q585" i="1"/>
  <c r="O584" i="1"/>
  <c r="Q584" i="1"/>
  <c r="O583" i="1"/>
  <c r="Q583" i="1"/>
  <c r="O582" i="1"/>
  <c r="Q582" i="1"/>
  <c r="O581" i="1"/>
  <c r="Q581" i="1"/>
  <c r="O580" i="1"/>
  <c r="Q580" i="1"/>
  <c r="O579" i="1"/>
  <c r="Q579" i="1"/>
  <c r="O578" i="1"/>
  <c r="Q578" i="1"/>
  <c r="O577" i="1"/>
  <c r="Q577" i="1"/>
  <c r="O574" i="1"/>
  <c r="Q574" i="1"/>
  <c r="O571" i="1"/>
  <c r="Q571" i="1"/>
  <c r="O570" i="1"/>
  <c r="Q570" i="1"/>
  <c r="O568" i="1"/>
  <c r="Q568" i="1"/>
  <c r="O567" i="1"/>
  <c r="Q567" i="1"/>
  <c r="O564" i="1"/>
  <c r="Q564" i="1"/>
  <c r="Q562" i="1"/>
  <c r="O562" i="1"/>
  <c r="R562" i="1" s="1"/>
  <c r="O561" i="1"/>
  <c r="Q561" i="1"/>
  <c r="O560" i="1"/>
  <c r="Q560" i="1"/>
  <c r="O559" i="1"/>
  <c r="Q559" i="1"/>
  <c r="O558" i="1"/>
  <c r="Q558" i="1"/>
  <c r="O557" i="1"/>
  <c r="Q557" i="1"/>
  <c r="O556" i="1"/>
  <c r="Q556" i="1"/>
  <c r="O555" i="1"/>
  <c r="Q555" i="1"/>
  <c r="O554" i="1"/>
  <c r="Q554" i="1"/>
  <c r="O553" i="1"/>
  <c r="Q553" i="1"/>
  <c r="O552" i="1"/>
  <c r="Q552" i="1"/>
  <c r="O551" i="1"/>
  <c r="Q551" i="1"/>
  <c r="O549" i="1"/>
  <c r="Q549" i="1"/>
  <c r="O548" i="1"/>
  <c r="Q548" i="1"/>
  <c r="O547" i="1"/>
  <c r="Q547" i="1"/>
  <c r="O546" i="1"/>
  <c r="Q546" i="1"/>
  <c r="O545" i="1"/>
  <c r="Q545" i="1"/>
  <c r="O544" i="1"/>
  <c r="Q544" i="1"/>
  <c r="O543" i="1"/>
  <c r="Q543" i="1"/>
  <c r="O542" i="1"/>
  <c r="Q542" i="1"/>
  <c r="O539" i="1"/>
  <c r="Q539" i="1"/>
  <c r="O538" i="1"/>
  <c r="Q538" i="1"/>
  <c r="O537" i="1"/>
  <c r="Q537" i="1"/>
  <c r="O536" i="1"/>
  <c r="Q536" i="1"/>
  <c r="O535" i="1"/>
  <c r="Q535" i="1"/>
  <c r="O534" i="1"/>
  <c r="Q534" i="1"/>
  <c r="O533" i="1"/>
  <c r="Q533" i="1"/>
  <c r="O532" i="1"/>
  <c r="Q532" i="1"/>
  <c r="O529" i="1"/>
  <c r="Q529" i="1"/>
  <c r="O528" i="1"/>
  <c r="Q528" i="1"/>
  <c r="O527" i="1"/>
  <c r="Q527" i="1"/>
  <c r="O526" i="1"/>
  <c r="Q526" i="1"/>
  <c r="O524" i="1"/>
  <c r="Q524" i="1"/>
  <c r="O523" i="1"/>
  <c r="Q523" i="1"/>
  <c r="O522" i="1"/>
  <c r="Q522" i="1"/>
  <c r="O521" i="1"/>
  <c r="Q521" i="1"/>
  <c r="O520" i="1"/>
  <c r="Q520" i="1"/>
  <c r="O519" i="1"/>
  <c r="Q519" i="1"/>
  <c r="Q518" i="1"/>
  <c r="O518" i="1"/>
  <c r="O517" i="1"/>
  <c r="Q517" i="1"/>
  <c r="O514" i="1"/>
  <c r="Q514" i="1"/>
  <c r="O513" i="1"/>
  <c r="Q513" i="1"/>
  <c r="O512" i="1"/>
  <c r="Q512" i="1"/>
  <c r="O511" i="1"/>
  <c r="Q511" i="1"/>
  <c r="O510" i="1"/>
  <c r="Q510" i="1"/>
  <c r="O509" i="1"/>
  <c r="Q509" i="1"/>
  <c r="O508" i="1"/>
  <c r="Q508" i="1"/>
  <c r="O507" i="1"/>
  <c r="Q507" i="1"/>
  <c r="O505" i="1"/>
  <c r="Q505" i="1"/>
  <c r="O504" i="1"/>
  <c r="Q504" i="1"/>
  <c r="O503" i="1"/>
  <c r="Q503" i="1"/>
  <c r="O502" i="1"/>
  <c r="Q502" i="1"/>
  <c r="O500" i="1"/>
  <c r="Q500" i="1"/>
  <c r="O498" i="1"/>
  <c r="Q498" i="1"/>
  <c r="O497" i="1"/>
  <c r="Q497" i="1"/>
  <c r="O496" i="1"/>
  <c r="Q496" i="1"/>
  <c r="O495" i="1"/>
  <c r="Q495" i="1"/>
  <c r="O494" i="1"/>
  <c r="Q494" i="1"/>
  <c r="O493" i="1"/>
  <c r="Q493" i="1"/>
  <c r="O491" i="1"/>
  <c r="Q491" i="1"/>
  <c r="O490" i="1"/>
  <c r="Q490" i="1"/>
  <c r="O489" i="1"/>
  <c r="Q489" i="1"/>
  <c r="O488" i="1"/>
  <c r="Q488" i="1"/>
  <c r="O487" i="1"/>
  <c r="Q487" i="1"/>
  <c r="O486" i="1"/>
  <c r="Q486" i="1"/>
  <c r="O485" i="1"/>
  <c r="Q485" i="1"/>
  <c r="O483" i="1"/>
  <c r="Q483" i="1"/>
  <c r="O482" i="1"/>
  <c r="Q482" i="1"/>
  <c r="O480" i="1"/>
  <c r="Q480" i="1"/>
  <c r="O479" i="1"/>
  <c r="Q479" i="1"/>
  <c r="O478" i="1"/>
  <c r="Q478" i="1"/>
  <c r="O477" i="1"/>
  <c r="Q477" i="1"/>
  <c r="O476" i="1"/>
  <c r="Q476" i="1"/>
  <c r="O475" i="1"/>
  <c r="Q475" i="1"/>
  <c r="O474" i="1"/>
  <c r="Q474" i="1"/>
  <c r="O471" i="1"/>
  <c r="Q471" i="1"/>
  <c r="O470" i="1"/>
  <c r="Q470" i="1"/>
  <c r="O469" i="1"/>
  <c r="Q469" i="1"/>
  <c r="O468" i="1"/>
  <c r="Q468" i="1"/>
  <c r="O467" i="1"/>
  <c r="Q467" i="1"/>
  <c r="O466" i="1"/>
  <c r="Q466" i="1"/>
  <c r="O461" i="1"/>
  <c r="Q461" i="1"/>
  <c r="O460" i="1"/>
  <c r="Q460" i="1"/>
  <c r="O459" i="1"/>
  <c r="Q459" i="1"/>
  <c r="O457" i="1"/>
  <c r="Q457" i="1"/>
  <c r="O456" i="1"/>
  <c r="Q456" i="1"/>
  <c r="O455" i="1"/>
  <c r="Q455" i="1"/>
  <c r="O454" i="1"/>
  <c r="Q454" i="1"/>
  <c r="O452" i="1"/>
  <c r="Q452" i="1"/>
  <c r="Q451" i="1"/>
  <c r="O451" i="1"/>
  <c r="R451" i="1" s="1"/>
  <c r="Q450" i="1"/>
  <c r="O450" i="1"/>
  <c r="R450" i="1" s="1"/>
  <c r="Q449" i="1"/>
  <c r="O449" i="1"/>
  <c r="O448" i="1"/>
  <c r="Q448" i="1"/>
  <c r="O444" i="1"/>
  <c r="Q444" i="1"/>
  <c r="O443" i="1"/>
  <c r="Q443" i="1"/>
  <c r="O441" i="1"/>
  <c r="Q441" i="1"/>
  <c r="O440" i="1"/>
  <c r="Q440" i="1"/>
  <c r="O438" i="1"/>
  <c r="Q438" i="1"/>
  <c r="O436" i="1"/>
  <c r="Q436" i="1"/>
  <c r="O435" i="1"/>
  <c r="Q435" i="1"/>
  <c r="O434" i="1"/>
  <c r="Q434" i="1"/>
  <c r="O432" i="1"/>
  <c r="Q432" i="1"/>
  <c r="O431" i="1"/>
  <c r="Q431" i="1"/>
  <c r="O430" i="1"/>
  <c r="Q430" i="1"/>
  <c r="O429" i="1"/>
  <c r="Q429" i="1"/>
  <c r="O428" i="1"/>
  <c r="Q428" i="1"/>
  <c r="O427" i="1"/>
  <c r="Q427" i="1"/>
  <c r="O426" i="1"/>
  <c r="Q426" i="1"/>
  <c r="O425" i="1"/>
  <c r="Q425" i="1"/>
  <c r="O424" i="1"/>
  <c r="Q424" i="1"/>
  <c r="O423" i="1"/>
  <c r="Q423" i="1"/>
  <c r="O422" i="1"/>
  <c r="Q422" i="1"/>
  <c r="O421" i="1"/>
  <c r="Q421" i="1"/>
  <c r="O420" i="1"/>
  <c r="Q420" i="1"/>
  <c r="O419" i="1"/>
  <c r="Q419" i="1"/>
  <c r="O417" i="1"/>
  <c r="Q417" i="1"/>
  <c r="O416" i="1"/>
  <c r="Q416" i="1"/>
  <c r="O415" i="1"/>
  <c r="Q415" i="1"/>
  <c r="O414" i="1"/>
  <c r="Q414" i="1"/>
  <c r="O413" i="1"/>
  <c r="Q413" i="1"/>
  <c r="O412" i="1"/>
  <c r="Q412" i="1"/>
  <c r="O411" i="1"/>
  <c r="Q411" i="1"/>
  <c r="O410" i="1"/>
  <c r="Q410" i="1"/>
  <c r="O408" i="1"/>
  <c r="Q408" i="1"/>
  <c r="O407" i="1"/>
  <c r="Q407" i="1"/>
  <c r="O405" i="1"/>
  <c r="Q405" i="1"/>
  <c r="O404" i="1"/>
  <c r="Q404" i="1"/>
  <c r="O403" i="1"/>
  <c r="Q403" i="1"/>
  <c r="O401" i="1"/>
  <c r="Q401" i="1"/>
  <c r="Q400" i="1"/>
  <c r="O400" i="1"/>
  <c r="O399" i="1"/>
  <c r="Q399" i="1"/>
  <c r="O398" i="1"/>
  <c r="Q398" i="1"/>
  <c r="O397" i="1"/>
  <c r="Q397" i="1"/>
  <c r="O396" i="1"/>
  <c r="Q396" i="1"/>
  <c r="O395" i="1"/>
  <c r="Q395" i="1"/>
  <c r="O394" i="1"/>
  <c r="Q394" i="1"/>
  <c r="O393" i="1"/>
  <c r="Q393" i="1"/>
  <c r="O392" i="1"/>
  <c r="Q392" i="1"/>
  <c r="O389" i="1"/>
  <c r="Q389" i="1"/>
  <c r="O388" i="1"/>
  <c r="Q388" i="1"/>
  <c r="O387" i="1"/>
  <c r="Q387" i="1"/>
  <c r="O385" i="1"/>
  <c r="Q385" i="1"/>
  <c r="O383" i="1"/>
  <c r="Q383" i="1"/>
  <c r="O380" i="1"/>
  <c r="Q380" i="1"/>
  <c r="O379" i="1"/>
  <c r="Q379" i="1"/>
  <c r="O378" i="1"/>
  <c r="Q378" i="1"/>
  <c r="O376" i="1"/>
  <c r="Q376" i="1"/>
  <c r="O375" i="1"/>
  <c r="Q375" i="1"/>
  <c r="O374" i="1"/>
  <c r="Q374" i="1"/>
  <c r="O373" i="1"/>
  <c r="Q373" i="1"/>
  <c r="O371" i="1"/>
  <c r="Q371" i="1"/>
  <c r="O370" i="1"/>
  <c r="Q370" i="1"/>
  <c r="O369" i="1"/>
  <c r="Q369" i="1"/>
  <c r="O368" i="1"/>
  <c r="Q368" i="1"/>
  <c r="O367" i="1"/>
  <c r="Q367" i="1"/>
  <c r="Q366" i="1"/>
  <c r="O366" i="1"/>
  <c r="R366" i="1" s="1"/>
  <c r="O365" i="1"/>
  <c r="Q365" i="1"/>
  <c r="O364" i="1"/>
  <c r="Q364" i="1"/>
  <c r="O362" i="1"/>
  <c r="Q362" i="1"/>
  <c r="O360" i="1"/>
  <c r="Q360" i="1"/>
  <c r="O359" i="1"/>
  <c r="Q359" i="1"/>
  <c r="O358" i="1"/>
  <c r="Q358" i="1"/>
  <c r="O357" i="1"/>
  <c r="Q357" i="1"/>
  <c r="O350" i="1"/>
  <c r="Q350" i="1"/>
  <c r="O342" i="1"/>
  <c r="Q342" i="1"/>
  <c r="Q341" i="1"/>
  <c r="O341" i="1"/>
  <c r="O340" i="1"/>
  <c r="Q340" i="1"/>
  <c r="O338" i="1"/>
  <c r="Q338" i="1"/>
  <c r="O336" i="1"/>
  <c r="Q336" i="1"/>
  <c r="O334" i="1"/>
  <c r="Q334" i="1"/>
  <c r="O333" i="1"/>
  <c r="Q333" i="1"/>
  <c r="O332" i="1"/>
  <c r="Q332" i="1"/>
  <c r="O331" i="1"/>
  <c r="Q331" i="1"/>
  <c r="O330" i="1"/>
  <c r="Q330" i="1"/>
  <c r="Q329" i="1"/>
  <c r="O329" i="1"/>
  <c r="R329" i="1" s="1"/>
  <c r="O328" i="1"/>
  <c r="Q328" i="1"/>
  <c r="O327" i="1"/>
  <c r="Q327" i="1"/>
  <c r="O326" i="1"/>
  <c r="Q326" i="1"/>
  <c r="O325" i="1"/>
  <c r="Q325" i="1"/>
  <c r="O324" i="1"/>
  <c r="Q324" i="1"/>
  <c r="O323" i="1"/>
  <c r="Q323" i="1"/>
  <c r="O322" i="1"/>
  <c r="Q322" i="1"/>
  <c r="O319" i="1"/>
  <c r="Q319" i="1"/>
  <c r="O318" i="1"/>
  <c r="Q318" i="1"/>
  <c r="O317" i="1"/>
  <c r="Q317" i="1"/>
  <c r="O310" i="1"/>
  <c r="Q310" i="1"/>
  <c r="Q308" i="1"/>
  <c r="O308" i="1"/>
  <c r="R308" i="1" s="1"/>
  <c r="O307" i="1"/>
  <c r="Q307" i="1"/>
  <c r="O305" i="1"/>
  <c r="Q305" i="1"/>
  <c r="O302" i="1"/>
  <c r="Q302" i="1"/>
  <c r="Q301" i="1"/>
  <c r="O301" i="1"/>
  <c r="O300" i="1"/>
  <c r="Q300" i="1"/>
  <c r="O299" i="1"/>
  <c r="Q299" i="1"/>
  <c r="Q297" i="1"/>
  <c r="O297" i="1"/>
  <c r="O292" i="1"/>
  <c r="Q292" i="1"/>
  <c r="O291" i="1"/>
  <c r="Q291" i="1"/>
  <c r="O290" i="1"/>
  <c r="Q290" i="1"/>
  <c r="O289" i="1"/>
  <c r="Q289" i="1"/>
  <c r="O286" i="1"/>
  <c r="Q286" i="1"/>
  <c r="O285" i="1"/>
  <c r="Q285" i="1"/>
  <c r="O284" i="1"/>
  <c r="Q284" i="1"/>
  <c r="O280" i="1"/>
  <c r="Q280" i="1"/>
  <c r="O279" i="1"/>
  <c r="Q279" i="1"/>
  <c r="O278" i="1"/>
  <c r="Q278" i="1"/>
  <c r="O277" i="1"/>
  <c r="Q277" i="1"/>
  <c r="O276" i="1"/>
  <c r="Q276" i="1"/>
  <c r="O268" i="1"/>
  <c r="Q268" i="1"/>
  <c r="O267" i="1"/>
  <c r="Q267" i="1"/>
  <c r="O266" i="1"/>
  <c r="Q266" i="1"/>
  <c r="O264" i="1"/>
  <c r="Q264" i="1"/>
  <c r="O263" i="1"/>
  <c r="Q263" i="1"/>
  <c r="O261" i="1"/>
  <c r="Q261" i="1"/>
  <c r="O260" i="1"/>
  <c r="Q260" i="1"/>
  <c r="O259" i="1"/>
  <c r="Q259" i="1"/>
  <c r="O258" i="1"/>
  <c r="Q258" i="1"/>
  <c r="Q257" i="1"/>
  <c r="O257" i="1"/>
  <c r="R257" i="1" s="1"/>
  <c r="O256" i="1"/>
  <c r="Q256" i="1"/>
  <c r="O255" i="1"/>
  <c r="Q255" i="1"/>
  <c r="O254" i="1"/>
  <c r="Q254" i="1"/>
  <c r="O253" i="1"/>
  <c r="Q253" i="1"/>
  <c r="O251" i="1"/>
  <c r="Q251" i="1"/>
  <c r="O250" i="1"/>
  <c r="Q250" i="1"/>
  <c r="O249" i="1"/>
  <c r="Q249" i="1"/>
  <c r="O248" i="1"/>
  <c r="Q248" i="1"/>
  <c r="O247" i="1"/>
  <c r="Q247" i="1"/>
  <c r="O246" i="1"/>
  <c r="Q246" i="1"/>
  <c r="O245" i="1"/>
  <c r="Q245" i="1"/>
  <c r="O244" i="1"/>
  <c r="Q244" i="1"/>
  <c r="Q242" i="1"/>
  <c r="O242" i="1"/>
  <c r="R242" i="1" s="1"/>
  <c r="Q241" i="1"/>
  <c r="O241" i="1"/>
  <c r="O240" i="1"/>
  <c r="Q240" i="1"/>
  <c r="O239" i="1"/>
  <c r="Q239" i="1"/>
  <c r="O238" i="1"/>
  <c r="Q238" i="1"/>
  <c r="O237" i="1"/>
  <c r="Q237" i="1"/>
  <c r="O235" i="1"/>
  <c r="Q235" i="1"/>
  <c r="Q234" i="1"/>
  <c r="O234" i="1"/>
  <c r="Q233" i="1"/>
  <c r="O233" i="1"/>
  <c r="O230" i="1"/>
  <c r="Q230" i="1"/>
  <c r="O229" i="1"/>
  <c r="Q229" i="1"/>
  <c r="O227" i="1"/>
  <c r="Q227" i="1"/>
  <c r="O224" i="1"/>
  <c r="Q224" i="1"/>
  <c r="Q222" i="1"/>
  <c r="O222" i="1"/>
  <c r="O220" i="1"/>
  <c r="Q220" i="1"/>
  <c r="O219" i="1"/>
  <c r="Q219" i="1"/>
  <c r="O218" i="1"/>
  <c r="Q218" i="1"/>
  <c r="O216" i="1"/>
  <c r="Q216" i="1"/>
  <c r="O213" i="1"/>
  <c r="Q213" i="1"/>
  <c r="O212" i="1"/>
  <c r="Q212" i="1"/>
  <c r="O211" i="1"/>
  <c r="Q211" i="1"/>
  <c r="O210" i="1"/>
  <c r="Q210" i="1"/>
  <c r="O209" i="1"/>
  <c r="Q209" i="1"/>
  <c r="O208" i="1"/>
  <c r="Q208" i="1"/>
  <c r="O207" i="1"/>
  <c r="Q207" i="1"/>
  <c r="Q205" i="1"/>
  <c r="O205" i="1"/>
  <c r="Q203" i="1"/>
  <c r="O203" i="1"/>
  <c r="O202" i="1"/>
  <c r="Q202" i="1"/>
  <c r="O201" i="1"/>
  <c r="Q201" i="1"/>
  <c r="Q200" i="1"/>
  <c r="O200" i="1"/>
  <c r="R200" i="1" s="1"/>
  <c r="O199" i="1"/>
  <c r="Q199" i="1"/>
  <c r="O198" i="1"/>
  <c r="Q198" i="1"/>
  <c r="O197" i="1"/>
  <c r="Q197" i="1"/>
  <c r="O196" i="1"/>
  <c r="Q196" i="1"/>
  <c r="O194" i="1"/>
  <c r="Q194" i="1"/>
  <c r="O193" i="1"/>
  <c r="Q193" i="1"/>
  <c r="O192" i="1"/>
  <c r="Q192" i="1"/>
  <c r="O191" i="1"/>
  <c r="Q191" i="1"/>
  <c r="O190" i="1"/>
  <c r="Q190" i="1"/>
  <c r="O189" i="1"/>
  <c r="Q189" i="1"/>
  <c r="O188" i="1"/>
  <c r="Q188" i="1"/>
  <c r="Q187" i="1"/>
  <c r="O187" i="1"/>
  <c r="R187" i="1" s="1"/>
  <c r="O186" i="1"/>
  <c r="Q186" i="1"/>
  <c r="O185" i="1"/>
  <c r="Q185" i="1"/>
  <c r="O184" i="1"/>
  <c r="Q184" i="1"/>
  <c r="O183" i="1"/>
  <c r="Q183" i="1"/>
  <c r="O182" i="1"/>
  <c r="Q182" i="1"/>
  <c r="O181" i="1"/>
  <c r="Q181" i="1"/>
  <c r="O180" i="1"/>
  <c r="Q180" i="1"/>
  <c r="O179" i="1"/>
  <c r="Q179" i="1"/>
  <c r="O178" i="1"/>
  <c r="Q178" i="1"/>
  <c r="O177" i="1"/>
  <c r="Q177" i="1"/>
  <c r="O176" i="1"/>
  <c r="Q176" i="1"/>
  <c r="Q174" i="1"/>
  <c r="O174" i="1"/>
  <c r="R174" i="1" s="1"/>
  <c r="O173" i="1"/>
  <c r="Q173" i="1"/>
  <c r="O172" i="1"/>
  <c r="Q172" i="1"/>
  <c r="O171" i="1"/>
  <c r="Q171" i="1"/>
  <c r="O170" i="1"/>
  <c r="Q170" i="1"/>
  <c r="O169" i="1"/>
  <c r="Q169" i="1"/>
  <c r="O168" i="1"/>
  <c r="Q168" i="1"/>
  <c r="O167" i="1"/>
  <c r="Q167" i="1"/>
  <c r="O166" i="1"/>
  <c r="Q166" i="1"/>
  <c r="Q165" i="1"/>
  <c r="O165" i="1"/>
  <c r="O162" i="1"/>
  <c r="Q162" i="1"/>
  <c r="O161" i="1"/>
  <c r="Q161" i="1"/>
  <c r="O160" i="1"/>
  <c r="Q160" i="1"/>
  <c r="O159" i="1"/>
  <c r="Q159" i="1"/>
  <c r="O158" i="1"/>
  <c r="Q158" i="1"/>
  <c r="O157" i="1"/>
  <c r="Q157" i="1"/>
  <c r="O155" i="1"/>
  <c r="Q155" i="1"/>
  <c r="O154" i="1"/>
  <c r="Q154" i="1"/>
  <c r="O153" i="1"/>
  <c r="Q153" i="1"/>
  <c r="O151" i="1"/>
  <c r="Q151" i="1"/>
  <c r="O150" i="1"/>
  <c r="Q150" i="1"/>
  <c r="O149" i="1"/>
  <c r="Q149" i="1"/>
  <c r="O148" i="1"/>
  <c r="Q148" i="1"/>
  <c r="O147" i="1"/>
  <c r="Q147" i="1"/>
  <c r="O146" i="1"/>
  <c r="Q146" i="1"/>
  <c r="Q145" i="1"/>
  <c r="O145" i="1"/>
  <c r="R145" i="1" s="1"/>
  <c r="O142" i="1"/>
  <c r="Q142" i="1"/>
  <c r="Q141" i="1"/>
  <c r="O141" i="1"/>
  <c r="O139" i="1"/>
  <c r="Q139" i="1"/>
  <c r="O137" i="1"/>
  <c r="Q137" i="1"/>
  <c r="O136" i="1"/>
  <c r="Q136" i="1"/>
  <c r="O135" i="1"/>
  <c r="Q135" i="1"/>
  <c r="O134" i="1"/>
  <c r="Q134" i="1"/>
  <c r="O133" i="1"/>
  <c r="Q133" i="1"/>
  <c r="O131" i="1"/>
  <c r="Q131" i="1"/>
  <c r="Q130" i="1"/>
  <c r="O130" i="1"/>
  <c r="O129" i="1"/>
  <c r="Q129" i="1"/>
  <c r="O128" i="1"/>
  <c r="Q128" i="1"/>
  <c r="O127" i="1"/>
  <c r="Q127" i="1"/>
  <c r="O124" i="1"/>
  <c r="Q124" i="1"/>
  <c r="O123" i="1"/>
  <c r="Q123" i="1"/>
  <c r="O122" i="1"/>
  <c r="Q122" i="1"/>
  <c r="O121" i="1"/>
  <c r="Q121" i="1"/>
  <c r="O120" i="1"/>
  <c r="Q120" i="1"/>
  <c r="O119" i="1"/>
  <c r="Q119" i="1"/>
  <c r="Q118" i="1"/>
  <c r="O118" i="1"/>
  <c r="O117" i="1"/>
  <c r="Q117" i="1"/>
  <c r="O116" i="1"/>
  <c r="Q116" i="1"/>
  <c r="O115" i="1"/>
  <c r="Q115" i="1"/>
  <c r="O114" i="1"/>
  <c r="Q114" i="1"/>
  <c r="O112" i="1"/>
  <c r="Q112" i="1"/>
  <c r="O111" i="1"/>
  <c r="R111" i="1" s="1"/>
  <c r="Q111" i="1"/>
  <c r="O110" i="1"/>
  <c r="Q110" i="1"/>
  <c r="Q109" i="1"/>
  <c r="O109" i="1"/>
  <c r="O108" i="1"/>
  <c r="Q108" i="1"/>
  <c r="O107" i="1"/>
  <c r="Q107" i="1"/>
  <c r="O106" i="1"/>
  <c r="Q106" i="1"/>
  <c r="O105" i="1"/>
  <c r="Q105" i="1"/>
  <c r="Q104" i="1"/>
  <c r="O104" i="1"/>
  <c r="O103" i="1"/>
  <c r="Q103" i="1"/>
  <c r="Q102" i="1"/>
  <c r="O102" i="1"/>
  <c r="R102" i="1" s="1"/>
  <c r="O101" i="1"/>
  <c r="Q101" i="1"/>
  <c r="O100" i="1"/>
  <c r="Q100" i="1"/>
  <c r="O99" i="1"/>
  <c r="Q99" i="1"/>
  <c r="O98" i="1"/>
  <c r="Q98" i="1"/>
  <c r="Q97" i="1"/>
  <c r="O97" i="1"/>
  <c r="O96" i="1"/>
  <c r="Q96" i="1"/>
  <c r="O95" i="1"/>
  <c r="Q95" i="1"/>
  <c r="O94" i="1"/>
  <c r="Q94" i="1"/>
  <c r="O93" i="1"/>
  <c r="Q93" i="1"/>
  <c r="O92" i="1"/>
  <c r="Q92" i="1"/>
  <c r="O91" i="1"/>
  <c r="Q91" i="1"/>
  <c r="O90" i="1"/>
  <c r="Q90" i="1"/>
  <c r="O89" i="1"/>
  <c r="Q89" i="1"/>
  <c r="O88" i="1"/>
  <c r="Q88" i="1"/>
  <c r="O87" i="1"/>
  <c r="Q87" i="1"/>
  <c r="O86" i="1"/>
  <c r="Q86" i="1"/>
  <c r="O85" i="1"/>
  <c r="Q85" i="1"/>
  <c r="O84" i="1"/>
  <c r="Q84" i="1"/>
  <c r="O83" i="1"/>
  <c r="Q83" i="1"/>
  <c r="O82" i="1"/>
  <c r="Q82" i="1"/>
  <c r="O81" i="1"/>
  <c r="Q81" i="1"/>
  <c r="Q80" i="1"/>
  <c r="O80" i="1"/>
  <c r="O79" i="1"/>
  <c r="Q79" i="1"/>
  <c r="O78" i="1"/>
  <c r="Q78" i="1"/>
  <c r="O76" i="1"/>
  <c r="Q76" i="1"/>
  <c r="O75" i="1"/>
  <c r="Q75" i="1"/>
  <c r="O74" i="1"/>
  <c r="Q74" i="1"/>
  <c r="O73" i="1"/>
  <c r="Q73" i="1"/>
  <c r="O72" i="1"/>
  <c r="Q72" i="1"/>
  <c r="O71" i="1"/>
  <c r="Q71" i="1"/>
  <c r="O70" i="1"/>
  <c r="Q70" i="1"/>
  <c r="O69" i="1"/>
  <c r="Q69" i="1"/>
  <c r="O68" i="1"/>
  <c r="Q68" i="1"/>
  <c r="O67" i="1"/>
  <c r="Q67" i="1"/>
  <c r="O65" i="1"/>
  <c r="Q65" i="1"/>
  <c r="O64" i="1"/>
  <c r="Q64" i="1"/>
  <c r="Q63" i="1"/>
  <c r="O63" i="1"/>
  <c r="R63" i="1" s="1"/>
  <c r="O62" i="1"/>
  <c r="Q62" i="1"/>
  <c r="O61" i="1"/>
  <c r="Q61" i="1"/>
  <c r="O59" i="1"/>
  <c r="Q59" i="1"/>
  <c r="O58" i="1"/>
  <c r="Q58" i="1"/>
  <c r="O57" i="1"/>
  <c r="Q57" i="1"/>
  <c r="O56" i="1"/>
  <c r="Q56" i="1"/>
  <c r="Q55" i="1"/>
  <c r="O55" i="1"/>
  <c r="O54" i="1"/>
  <c r="Q54" i="1"/>
  <c r="O53" i="1"/>
  <c r="Q53" i="1"/>
  <c r="O52" i="1"/>
  <c r="Q52" i="1"/>
  <c r="O51" i="1"/>
  <c r="Q51" i="1"/>
  <c r="O50" i="1"/>
  <c r="Q50" i="1"/>
  <c r="O49" i="1"/>
  <c r="Q49" i="1"/>
  <c r="O48" i="1"/>
  <c r="Q48" i="1"/>
  <c r="O47" i="1"/>
  <c r="Q47" i="1"/>
  <c r="O46" i="1"/>
  <c r="Q46" i="1"/>
  <c r="O45" i="1"/>
  <c r="Q45" i="1"/>
  <c r="O44" i="1"/>
  <c r="Q44" i="1"/>
  <c r="O43" i="1"/>
  <c r="Q43" i="1"/>
  <c r="O42" i="1"/>
  <c r="Q42" i="1"/>
  <c r="O41" i="1"/>
  <c r="Q41" i="1"/>
  <c r="O40" i="1"/>
  <c r="Q40" i="1"/>
  <c r="O39" i="1"/>
  <c r="Q39" i="1"/>
  <c r="O38" i="1"/>
  <c r="Q38" i="1"/>
  <c r="O37" i="1"/>
  <c r="Q37" i="1"/>
  <c r="O36" i="1"/>
  <c r="Q36" i="1"/>
  <c r="O35" i="1"/>
  <c r="Q35" i="1"/>
  <c r="O34" i="1"/>
  <c r="Q34" i="1"/>
  <c r="O33" i="1"/>
  <c r="Q33" i="1"/>
  <c r="O32" i="1"/>
  <c r="Q32" i="1"/>
  <c r="O31" i="1"/>
  <c r="Q31" i="1"/>
  <c r="O30" i="1"/>
  <c r="Q30" i="1"/>
  <c r="O29" i="1"/>
  <c r="Q29" i="1"/>
  <c r="O28" i="1"/>
  <c r="Q28" i="1"/>
  <c r="O27" i="1"/>
  <c r="Q27" i="1"/>
  <c r="O26" i="1"/>
  <c r="Q26" i="1"/>
  <c r="O25" i="1"/>
  <c r="Q25" i="1"/>
  <c r="O24" i="1"/>
  <c r="Q24" i="1"/>
  <c r="O23" i="1"/>
  <c r="Q23" i="1"/>
  <c r="O22" i="1"/>
  <c r="Q22" i="1"/>
  <c r="O21" i="1"/>
  <c r="Q21" i="1"/>
  <c r="O20" i="1"/>
  <c r="Q20" i="1"/>
  <c r="O19" i="1"/>
  <c r="Q19" i="1"/>
  <c r="O18" i="1"/>
  <c r="Q18" i="1"/>
  <c r="O16" i="1"/>
  <c r="Q16" i="1"/>
  <c r="O15" i="1"/>
  <c r="Q15" i="1"/>
  <c r="O14" i="1"/>
  <c r="Q14" i="1"/>
  <c r="O13" i="1"/>
  <c r="Q13" i="1"/>
  <c r="O12" i="1"/>
  <c r="Q12" i="1"/>
  <c r="O11" i="1"/>
  <c r="Q11" i="1"/>
  <c r="O10" i="1"/>
  <c r="Q10" i="1"/>
  <c r="O9" i="1"/>
  <c r="Q9" i="1"/>
  <c r="O8" i="1"/>
  <c r="Q8" i="1"/>
  <c r="O7" i="1"/>
  <c r="Q7" i="1"/>
  <c r="O6" i="1"/>
  <c r="Q6" i="1"/>
  <c r="O5" i="1"/>
  <c r="Q5" i="1"/>
  <c r="O4" i="1"/>
  <c r="Q4" i="1"/>
  <c r="O3" i="1"/>
  <c r="Q3" i="1"/>
  <c r="Q2" i="1"/>
  <c r="O2" i="1"/>
  <c r="R2" i="1" s="1"/>
  <c r="O6068" i="1"/>
  <c r="R6068" i="1" s="1"/>
  <c r="O6064" i="1"/>
  <c r="R6064" i="1" s="1"/>
  <c r="O6060" i="1"/>
  <c r="O6056" i="1"/>
  <c r="R6056" i="1" s="1"/>
  <c r="O6055" i="1"/>
  <c r="R6055" i="1" s="1"/>
  <c r="O6054" i="1"/>
  <c r="R6054" i="1" s="1"/>
  <c r="O6052" i="1"/>
  <c r="R6052" i="1" s="1"/>
  <c r="O6023" i="1"/>
  <c r="R6023" i="1" s="1"/>
  <c r="O6020" i="1"/>
  <c r="R6020" i="1" s="1"/>
  <c r="O6014" i="1"/>
  <c r="R6014" i="1" s="1"/>
  <c r="O5963" i="1"/>
  <c r="R5963" i="1" s="1"/>
  <c r="O5936" i="1"/>
  <c r="R5936" i="1" s="1"/>
  <c r="O5896" i="1"/>
  <c r="R5896" i="1" s="1"/>
  <c r="O5886" i="1"/>
  <c r="R5886" i="1" s="1"/>
  <c r="O5862" i="1"/>
  <c r="R5862" i="1" s="1"/>
  <c r="O5743" i="1"/>
  <c r="R5743" i="1" s="1"/>
  <c r="O4101" i="1"/>
  <c r="R4101" i="1" s="1"/>
  <c r="R4062" i="1"/>
  <c r="O2049" i="1"/>
  <c r="R2049" i="1" s="1"/>
  <c r="Q1577" i="1"/>
  <c r="R1577" i="1" s="1"/>
  <c r="O1380" i="1"/>
  <c r="R1380" i="1" s="1"/>
  <c r="O1374" i="1"/>
  <c r="Q1368" i="1"/>
  <c r="R1368" i="1" s="1"/>
  <c r="Q1364" i="1"/>
  <c r="R1364" i="1" s="1"/>
  <c r="O1359" i="1"/>
  <c r="R1359" i="1" s="1"/>
  <c r="Q1352" i="1"/>
  <c r="R1352" i="1" s="1"/>
  <c r="O1300" i="1"/>
  <c r="R1300" i="1" s="1"/>
  <c r="O832" i="1"/>
  <c r="R832" i="1" s="1"/>
  <c r="Q748" i="1"/>
  <c r="R748" i="1" s="1"/>
  <c r="O737" i="1"/>
  <c r="R737" i="1" s="1"/>
  <c r="O5656" i="1"/>
  <c r="R5656" i="1" s="1"/>
  <c r="Q5616" i="1"/>
  <c r="R5616" i="1" s="1"/>
  <c r="Q5615" i="1"/>
  <c r="R5615" i="1" s="1"/>
  <c r="Q5614" i="1"/>
  <c r="R5614" i="1" s="1"/>
  <c r="O5613" i="1"/>
  <c r="R5613" i="1" s="1"/>
  <c r="O5586" i="1"/>
  <c r="R5586" i="1" s="1"/>
  <c r="O5580" i="1"/>
  <c r="R5580" i="1" s="1"/>
  <c r="O5569" i="1"/>
  <c r="R5569" i="1" s="1"/>
  <c r="O5565" i="1"/>
  <c r="R5565" i="1" s="1"/>
  <c r="O5563" i="1"/>
  <c r="R5563" i="1" s="1"/>
  <c r="O5527" i="1"/>
  <c r="R5527" i="1" s="1"/>
  <c r="O5511" i="1"/>
  <c r="R5511" i="1" s="1"/>
  <c r="Q5481" i="1"/>
  <c r="R5481" i="1" s="1"/>
  <c r="Q5477" i="1"/>
  <c r="O5477" i="1"/>
  <c r="R5477" i="1" s="1"/>
  <c r="O5476" i="1"/>
  <c r="R5476" i="1" s="1"/>
  <c r="O5464" i="1"/>
  <c r="R5464" i="1" s="1"/>
  <c r="O5415" i="1"/>
  <c r="R5415" i="1" s="1"/>
  <c r="O5413" i="1"/>
  <c r="R5413" i="1" s="1"/>
  <c r="O5409" i="1"/>
  <c r="R5409" i="1" s="1"/>
  <c r="O5376" i="1"/>
  <c r="R5376" i="1" s="1"/>
  <c r="O5375" i="1"/>
  <c r="R5375" i="1" s="1"/>
  <c r="O5374" i="1"/>
  <c r="R5374" i="1" s="1"/>
  <c r="O5373" i="1"/>
  <c r="R5373" i="1" s="1"/>
  <c r="Q5363" i="1"/>
  <c r="O5363" i="1"/>
  <c r="O5356" i="1"/>
  <c r="R5356" i="1" s="1"/>
  <c r="Q5338" i="1"/>
  <c r="R5338" i="1" s="1"/>
  <c r="O5330" i="1"/>
  <c r="R5330" i="1" s="1"/>
  <c r="R4055" i="1"/>
  <c r="O3643" i="1"/>
  <c r="R3643" i="1" s="1"/>
  <c r="O2028" i="1"/>
  <c r="R2028" i="1" s="1"/>
  <c r="O1575" i="1"/>
  <c r="R1575" i="1" s="1"/>
  <c r="O1546" i="1"/>
  <c r="R1546" i="1" s="1"/>
  <c r="O1457" i="1"/>
  <c r="Q1415" i="1"/>
  <c r="R1415" i="1" s="1"/>
  <c r="O1412" i="1"/>
  <c r="R1412" i="1" s="1"/>
  <c r="O1404" i="1"/>
  <c r="R1404" i="1" s="1"/>
  <c r="Q1382" i="1"/>
  <c r="R1382" i="1" s="1"/>
  <c r="Q1342" i="1"/>
  <c r="R1342" i="1" s="1"/>
  <c r="Q1336" i="1"/>
  <c r="Q1311" i="1"/>
  <c r="R1311" i="1" s="1"/>
  <c r="Q898" i="1"/>
  <c r="R898" i="1" s="1"/>
  <c r="Q891" i="1"/>
  <c r="R891" i="1" s="1"/>
  <c r="O621" i="1"/>
  <c r="R621" i="1" s="1"/>
  <c r="O5290" i="1"/>
  <c r="R5290" i="1" s="1"/>
  <c r="O5242" i="1"/>
  <c r="R5242" i="1" s="1"/>
  <c r="O5240" i="1"/>
  <c r="R5240" i="1" s="1"/>
  <c r="O5207" i="1"/>
  <c r="R5207" i="1" s="1"/>
  <c r="O5143" i="1"/>
  <c r="R5143" i="1" s="1"/>
  <c r="Q5128" i="1"/>
  <c r="R5128" i="1" s="1"/>
  <c r="Q5122" i="1"/>
  <c r="O5122" i="1"/>
  <c r="R5122" i="1" s="1"/>
  <c r="O5107" i="1"/>
  <c r="R5107" i="1" s="1"/>
  <c r="O5098" i="1"/>
  <c r="R5098" i="1" s="1"/>
  <c r="O5084" i="1"/>
  <c r="R5084" i="1" s="1"/>
  <c r="O5076" i="1"/>
  <c r="R5076" i="1" s="1"/>
  <c r="Q5075" i="1"/>
  <c r="R5075" i="1" s="1"/>
  <c r="O5072" i="1"/>
  <c r="R5072" i="1" s="1"/>
  <c r="O5047" i="1"/>
  <c r="R5047" i="1" s="1"/>
  <c r="Q5029" i="1"/>
  <c r="R5029" i="1" s="1"/>
  <c r="Q5028" i="1"/>
  <c r="R5028" i="1" s="1"/>
  <c r="R4978" i="1"/>
  <c r="O4977" i="1"/>
  <c r="R4977" i="1" s="1"/>
  <c r="O4976" i="1"/>
  <c r="R4976" i="1" s="1"/>
  <c r="Q4972" i="1"/>
  <c r="O4972" i="1"/>
  <c r="R4909" i="1"/>
  <c r="Q1429" i="1"/>
  <c r="Q1420" i="1"/>
  <c r="R1420" i="1" s="1"/>
  <c r="O1392" i="1"/>
  <c r="R1392" i="1" s="1"/>
  <c r="O1365" i="1"/>
  <c r="R1365" i="1" s="1"/>
  <c r="O1334" i="1"/>
  <c r="O876" i="1"/>
  <c r="R876" i="1" s="1"/>
  <c r="Q563" i="1"/>
  <c r="R563" i="1" s="1"/>
  <c r="O4886" i="1"/>
  <c r="R4886" i="1" s="1"/>
  <c r="R4766" i="1"/>
  <c r="O4765" i="1"/>
  <c r="R4765" i="1" s="1"/>
  <c r="O4764" i="1"/>
  <c r="R4764" i="1" s="1"/>
  <c r="O4763" i="1"/>
  <c r="R4763" i="1" s="1"/>
  <c r="R4762" i="1"/>
  <c r="O4709" i="1"/>
  <c r="R4709" i="1" s="1"/>
  <c r="Q4614" i="1"/>
  <c r="R4614" i="1" s="1"/>
  <c r="O4572" i="1"/>
  <c r="R4572" i="1" s="1"/>
  <c r="R4551" i="1"/>
  <c r="O4542" i="1"/>
  <c r="R4542" i="1" s="1"/>
  <c r="O4541" i="1"/>
  <c r="R4541" i="1" s="1"/>
  <c r="O4540" i="1"/>
  <c r="R4540" i="1" s="1"/>
  <c r="O4496" i="1"/>
  <c r="R4496" i="1" s="1"/>
  <c r="R4485" i="1"/>
  <c r="O4165" i="1"/>
  <c r="R4165" i="1" s="1"/>
  <c r="R4144" i="1"/>
  <c r="O4102" i="1"/>
  <c r="R4102" i="1" s="1"/>
  <c r="Q1550" i="1"/>
  <c r="R1550" i="1" s="1"/>
  <c r="O1545" i="1"/>
  <c r="R1545" i="1" s="1"/>
  <c r="O1507" i="1"/>
  <c r="R1507" i="1" s="1"/>
  <c r="O1386" i="1"/>
  <c r="R1386" i="1" s="1"/>
  <c r="O1357" i="1"/>
  <c r="R1357" i="1" s="1"/>
  <c r="Q1340" i="1"/>
  <c r="R1340" i="1" s="1"/>
  <c r="Q1329" i="1"/>
  <c r="O1323" i="1"/>
  <c r="R1323" i="1" s="1"/>
  <c r="Q1304" i="1"/>
  <c r="R1304" i="1" s="1"/>
  <c r="O834" i="1"/>
  <c r="R834" i="1" s="1"/>
  <c r="Q550" i="1"/>
  <c r="O4457" i="1"/>
  <c r="R4457" i="1" s="1"/>
  <c r="O4456" i="1"/>
  <c r="R4456" i="1" s="1"/>
  <c r="Q4454" i="1"/>
  <c r="R4454" i="1" s="1"/>
  <c r="O4450" i="1"/>
  <c r="R4450" i="1" s="1"/>
  <c r="O4449" i="1"/>
  <c r="R4449" i="1" s="1"/>
  <c r="Q4432" i="1"/>
  <c r="R4432" i="1" s="1"/>
  <c r="O4344" i="1"/>
  <c r="R4344" i="1" s="1"/>
  <c r="O4343" i="1"/>
  <c r="R4343" i="1" s="1"/>
  <c r="O4331" i="1"/>
  <c r="R4331" i="1" s="1"/>
  <c r="O4330" i="1"/>
  <c r="R4330" i="1" s="1"/>
  <c r="O4319" i="1"/>
  <c r="R4319" i="1" s="1"/>
  <c r="Q4292" i="1"/>
  <c r="R4292" i="1" s="1"/>
  <c r="Q4290" i="1"/>
  <c r="R4290" i="1" s="1"/>
  <c r="Q4285" i="1"/>
  <c r="R4285" i="1" s="1"/>
  <c r="Q4284" i="1"/>
  <c r="R4284" i="1" s="1"/>
  <c r="O4264" i="1"/>
  <c r="R4264" i="1" s="1"/>
  <c r="Q4261" i="1"/>
  <c r="R4261" i="1" s="1"/>
  <c r="O4247" i="1"/>
  <c r="R4247" i="1" s="1"/>
  <c r="O4221" i="1"/>
  <c r="R4221" i="1" s="1"/>
  <c r="R4059" i="1"/>
  <c r="O1568" i="1"/>
  <c r="R1568" i="1" s="1"/>
  <c r="O1492" i="1"/>
  <c r="R1492" i="1" s="1"/>
  <c r="O1482" i="1"/>
  <c r="Q1477" i="1"/>
  <c r="R1477" i="1" s="1"/>
  <c r="O1461" i="1"/>
  <c r="R1461" i="1" s="1"/>
  <c r="O1449" i="1"/>
  <c r="R1449" i="1" s="1"/>
  <c r="O1440" i="1"/>
  <c r="R1440" i="1" s="1"/>
  <c r="O1383" i="1"/>
  <c r="R1383" i="1" s="1"/>
  <c r="Q1374" i="1"/>
  <c r="Q1367" i="1"/>
  <c r="Q699" i="1"/>
  <c r="R699" i="1" s="1"/>
  <c r="Q671" i="1"/>
  <c r="R671" i="1" s="1"/>
  <c r="Q629" i="1"/>
  <c r="R629" i="1" s="1"/>
  <c r="O605" i="1"/>
  <c r="R605" i="1" s="1"/>
  <c r="Q598" i="1"/>
  <c r="R598" i="1" s="1"/>
  <c r="Q593" i="1"/>
  <c r="R593" i="1" s="1"/>
  <c r="O4018" i="1"/>
  <c r="R4018" i="1" s="1"/>
  <c r="O4017" i="1"/>
  <c r="R4017" i="1" s="1"/>
  <c r="O3965" i="1"/>
  <c r="R3965" i="1" s="1"/>
  <c r="O3889" i="1"/>
  <c r="R3889" i="1" s="1"/>
  <c r="O3884" i="1"/>
  <c r="R3884" i="1" s="1"/>
  <c r="O3877" i="1"/>
  <c r="R3877" i="1" s="1"/>
  <c r="Q3860" i="1"/>
  <c r="R3860" i="1" s="1"/>
  <c r="O3802" i="1"/>
  <c r="R3802" i="1" s="1"/>
  <c r="O3738" i="1"/>
  <c r="R3738" i="1" s="1"/>
  <c r="O3701" i="1"/>
  <c r="R3701" i="1" s="1"/>
  <c r="O3700" i="1"/>
  <c r="R3700" i="1" s="1"/>
  <c r="O3699" i="1"/>
  <c r="R3699" i="1" s="1"/>
  <c r="O3698" i="1"/>
  <c r="R3698" i="1" s="1"/>
  <c r="Q3650" i="1"/>
  <c r="R3650" i="1" s="1"/>
  <c r="Q1588" i="1"/>
  <c r="R1588" i="1" s="1"/>
  <c r="Q1556" i="1"/>
  <c r="R1556" i="1" s="1"/>
  <c r="O1534" i="1"/>
  <c r="R1534" i="1" s="1"/>
  <c r="Q1527" i="1"/>
  <c r="R1527" i="1" s="1"/>
  <c r="Q1523" i="1"/>
  <c r="R1523" i="1" s="1"/>
  <c r="O1515" i="1"/>
  <c r="O1510" i="1"/>
  <c r="R1510" i="1" s="1"/>
  <c r="Q1438" i="1"/>
  <c r="O1432" i="1"/>
  <c r="R1432" i="1" s="1"/>
  <c r="O1362" i="1"/>
  <c r="Q1327" i="1"/>
  <c r="R1327" i="1" s="1"/>
  <c r="Q790" i="1"/>
  <c r="R790" i="1" s="1"/>
  <c r="Q785" i="1"/>
  <c r="R785" i="1" s="1"/>
  <c r="Q667" i="1"/>
  <c r="R667" i="1" s="1"/>
  <c r="R642" i="1"/>
  <c r="Q525" i="1"/>
  <c r="R525" i="1" s="1"/>
  <c r="O3616" i="1"/>
  <c r="R3616" i="1" s="1"/>
  <c r="O3615" i="1"/>
  <c r="R3615" i="1" s="1"/>
  <c r="O3614" i="1"/>
  <c r="R3614" i="1" s="1"/>
  <c r="O3611" i="1"/>
  <c r="R3611" i="1" s="1"/>
  <c r="O3610" i="1"/>
  <c r="R3610" i="1" s="1"/>
  <c r="O3609" i="1"/>
  <c r="R3609" i="1" s="1"/>
  <c r="O3608" i="1"/>
  <c r="R3608" i="1" s="1"/>
  <c r="O3607" i="1"/>
  <c r="R3607" i="1" s="1"/>
  <c r="O3606" i="1"/>
  <c r="R3606" i="1" s="1"/>
  <c r="O3603" i="1"/>
  <c r="R3603" i="1" s="1"/>
  <c r="O3596" i="1"/>
  <c r="R3596" i="1" s="1"/>
  <c r="O3588" i="1"/>
  <c r="R3588" i="1" s="1"/>
  <c r="R3563" i="1"/>
  <c r="O3562" i="1"/>
  <c r="R3562" i="1" s="1"/>
  <c r="O3561" i="1"/>
  <c r="R3561" i="1" s="1"/>
  <c r="O3546" i="1"/>
  <c r="R3546" i="1" s="1"/>
  <c r="O3545" i="1"/>
  <c r="R3545" i="1" s="1"/>
  <c r="O3540" i="1"/>
  <c r="R3540" i="1" s="1"/>
  <c r="R3521" i="1"/>
  <c r="R3520" i="1"/>
  <c r="R3516" i="1"/>
  <c r="O3498" i="1"/>
  <c r="R3498" i="1" s="1"/>
  <c r="R3496" i="1"/>
  <c r="O3485" i="1"/>
  <c r="R3485" i="1" s="1"/>
  <c r="Q3478" i="1"/>
  <c r="R3478" i="1" s="1"/>
  <c r="R3464" i="1"/>
  <c r="Q3428" i="1"/>
  <c r="R3428" i="1" s="1"/>
  <c r="O3420" i="1"/>
  <c r="R3420" i="1" s="1"/>
  <c r="Q3406" i="1"/>
  <c r="R3406" i="1" s="1"/>
  <c r="O3337" i="1"/>
  <c r="R3337" i="1" s="1"/>
  <c r="O3325" i="1"/>
  <c r="R3325" i="1" s="1"/>
  <c r="R3286" i="1"/>
  <c r="O3285" i="1"/>
  <c r="R3285" i="1" s="1"/>
  <c r="O3233" i="1"/>
  <c r="R3233" i="1" s="1"/>
  <c r="O3232" i="1"/>
  <c r="R3232" i="1" s="1"/>
  <c r="O3231" i="1"/>
  <c r="R3231" i="1" s="1"/>
  <c r="O3230" i="1"/>
  <c r="R3230" i="1" s="1"/>
  <c r="O3224" i="1"/>
  <c r="R3224" i="1" s="1"/>
  <c r="O3217" i="1"/>
  <c r="R3217" i="1" s="1"/>
  <c r="O3216" i="1"/>
  <c r="R3216" i="1" s="1"/>
  <c r="O3215" i="1"/>
  <c r="R3215" i="1" s="1"/>
  <c r="Q1595" i="1"/>
  <c r="R1595" i="1" s="1"/>
  <c r="Q1579" i="1"/>
  <c r="R1579" i="1" s="1"/>
  <c r="O1530" i="1"/>
  <c r="Q1516" i="1"/>
  <c r="R1516" i="1" s="1"/>
  <c r="O1511" i="1"/>
  <c r="R1511" i="1" s="1"/>
  <c r="O1479" i="1"/>
  <c r="R1479" i="1" s="1"/>
  <c r="O1471" i="1"/>
  <c r="R1471" i="1" s="1"/>
  <c r="O1429" i="1"/>
  <c r="R1429" i="1" s="1"/>
  <c r="Q1345" i="1"/>
  <c r="R1345" i="1" s="1"/>
  <c r="O1341" i="1"/>
  <c r="R1341" i="1" s="1"/>
  <c r="O1336" i="1"/>
  <c r="Q1334" i="1"/>
  <c r="O1329" i="1"/>
  <c r="Q927" i="1"/>
  <c r="Q749" i="1"/>
  <c r="R749" i="1" s="1"/>
  <c r="Q736" i="1"/>
  <c r="R736" i="1" s="1"/>
  <c r="Q573" i="1"/>
  <c r="R573" i="1" s="1"/>
  <c r="O3170" i="1"/>
  <c r="R3170" i="1" s="1"/>
  <c r="R3169" i="1"/>
  <c r="O3168" i="1"/>
  <c r="R3168" i="1" s="1"/>
  <c r="O3167" i="1"/>
  <c r="R3167" i="1" s="1"/>
  <c r="O3158" i="1"/>
  <c r="R3158" i="1" s="1"/>
  <c r="O3157" i="1"/>
  <c r="R3157" i="1" s="1"/>
  <c r="O3156" i="1"/>
  <c r="R3156" i="1" s="1"/>
  <c r="O3108" i="1"/>
  <c r="R3108" i="1" s="1"/>
  <c r="O3107" i="1"/>
  <c r="R3107" i="1" s="1"/>
  <c r="O3103" i="1"/>
  <c r="R3103" i="1" s="1"/>
  <c r="O3101" i="1"/>
  <c r="R3101" i="1" s="1"/>
  <c r="Q3091" i="1"/>
  <c r="R3091" i="1" s="1"/>
  <c r="O3085" i="1"/>
  <c r="R3085" i="1" s="1"/>
  <c r="R3079" i="1"/>
  <c r="R3071" i="1"/>
  <c r="R3070" i="1"/>
  <c r="O3050" i="1"/>
  <c r="R3050" i="1" s="1"/>
  <c r="O3049" i="1"/>
  <c r="R3049" i="1" s="1"/>
  <c r="O3039" i="1"/>
  <c r="R3039" i="1" s="1"/>
  <c r="O3030" i="1"/>
  <c r="R3030" i="1" s="1"/>
  <c r="Q2993" i="1"/>
  <c r="R2993" i="1" s="1"/>
  <c r="Q2992" i="1"/>
  <c r="R2992" i="1" s="1"/>
  <c r="Q2958" i="1"/>
  <c r="R2958" i="1" s="1"/>
  <c r="O2956" i="1"/>
  <c r="R2956" i="1" s="1"/>
  <c r="O2955" i="1"/>
  <c r="R2955" i="1" s="1"/>
  <c r="O2954" i="1"/>
  <c r="R2954" i="1" s="1"/>
  <c r="O2953" i="1"/>
  <c r="R2953" i="1" s="1"/>
  <c r="Q2946" i="1"/>
  <c r="R2946" i="1" s="1"/>
  <c r="Q2945" i="1"/>
  <c r="R2945" i="1" s="1"/>
  <c r="O2932" i="1"/>
  <c r="R2932" i="1" s="1"/>
  <c r="Q2930" i="1"/>
  <c r="R2930" i="1" s="1"/>
  <c r="Q2927" i="1"/>
  <c r="R2927" i="1" s="1"/>
  <c r="O2926" i="1"/>
  <c r="R2926" i="1" s="1"/>
  <c r="O2923" i="1"/>
  <c r="R2923" i="1" s="1"/>
  <c r="O2907" i="1"/>
  <c r="R2907" i="1" s="1"/>
  <c r="O2905" i="1"/>
  <c r="R2905" i="1" s="1"/>
  <c r="O2904" i="1"/>
  <c r="R2904" i="1" s="1"/>
  <c r="O2903" i="1"/>
  <c r="R2903" i="1" s="1"/>
  <c r="O2891" i="1"/>
  <c r="R2891" i="1" s="1"/>
  <c r="O2890" i="1"/>
  <c r="R2890" i="1" s="1"/>
  <c r="Q2875" i="1"/>
  <c r="R2875" i="1" s="1"/>
  <c r="O2874" i="1"/>
  <c r="R2874" i="1" s="1"/>
  <c r="O2873" i="1"/>
  <c r="R2873" i="1" s="1"/>
  <c r="O2872" i="1"/>
  <c r="R2872" i="1" s="1"/>
  <c r="O2859" i="1"/>
  <c r="R2859" i="1" s="1"/>
  <c r="O2858" i="1"/>
  <c r="R2858" i="1" s="1"/>
  <c r="O2857" i="1"/>
  <c r="R2857" i="1" s="1"/>
  <c r="O2856" i="1"/>
  <c r="R2856" i="1" s="1"/>
  <c r="O2842" i="1"/>
  <c r="R2842" i="1" s="1"/>
  <c r="O2819" i="1"/>
  <c r="R2819" i="1" s="1"/>
  <c r="O2818" i="1"/>
  <c r="R2818" i="1" s="1"/>
  <c r="Q2063" i="1"/>
  <c r="R2063" i="1" s="1"/>
  <c r="O2062" i="1"/>
  <c r="R2062" i="1" s="1"/>
  <c r="O1402" i="1"/>
  <c r="R1402" i="1" s="1"/>
  <c r="O1389" i="1"/>
  <c r="R1389" i="1" s="1"/>
  <c r="O1335" i="1"/>
  <c r="Q1332" i="1"/>
  <c r="R1332" i="1" s="1"/>
  <c r="O927" i="1"/>
  <c r="Q916" i="1"/>
  <c r="R916" i="1" s="1"/>
  <c r="O879" i="1"/>
  <c r="R879" i="1" s="1"/>
  <c r="O586" i="1"/>
  <c r="R586" i="1" s="1"/>
  <c r="O550" i="1"/>
  <c r="R550" i="1" s="1"/>
  <c r="Q531" i="1"/>
  <c r="R531" i="1" s="1"/>
  <c r="O2773" i="1"/>
  <c r="R2773" i="1" s="1"/>
  <c r="Q2768" i="1"/>
  <c r="R2768" i="1" s="1"/>
  <c r="Q2767" i="1"/>
  <c r="R2767" i="1" s="1"/>
  <c r="O2766" i="1"/>
  <c r="R2766" i="1" s="1"/>
  <c r="O2760" i="1"/>
  <c r="R2760" i="1" s="1"/>
  <c r="O2759" i="1"/>
  <c r="R2759" i="1" s="1"/>
  <c r="O2752" i="1"/>
  <c r="R2752" i="1" s="1"/>
  <c r="O2743" i="1"/>
  <c r="R2743" i="1" s="1"/>
  <c r="O2717" i="1"/>
  <c r="R2717" i="1" s="1"/>
  <c r="O2714" i="1"/>
  <c r="R2714" i="1" s="1"/>
  <c r="O2713" i="1"/>
  <c r="R2713" i="1" s="1"/>
  <c r="O2707" i="1"/>
  <c r="R2707" i="1" s="1"/>
  <c r="O2706" i="1"/>
  <c r="R2706" i="1" s="1"/>
  <c r="O2704" i="1"/>
  <c r="R2704" i="1" s="1"/>
  <c r="O2703" i="1"/>
  <c r="R2703" i="1" s="1"/>
  <c r="O2702" i="1"/>
  <c r="R2702" i="1" s="1"/>
  <c r="O2701" i="1"/>
  <c r="R2701" i="1" s="1"/>
  <c r="O2695" i="1"/>
  <c r="R2695" i="1" s="1"/>
  <c r="O2688" i="1"/>
  <c r="R2688" i="1" s="1"/>
  <c r="O2687" i="1"/>
  <c r="R2687" i="1" s="1"/>
  <c r="O2686" i="1"/>
  <c r="R2686" i="1" s="1"/>
  <c r="Q2681" i="1"/>
  <c r="R2681" i="1" s="1"/>
  <c r="Q2663" i="1"/>
  <c r="R2663" i="1" s="1"/>
  <c r="R2644" i="1"/>
  <c r="O2643" i="1"/>
  <c r="R2643" i="1" s="1"/>
  <c r="O2639" i="1"/>
  <c r="R2639" i="1" s="1"/>
  <c r="O2638" i="1"/>
  <c r="R2638" i="1" s="1"/>
  <c r="Q2629" i="1"/>
  <c r="R2629" i="1" s="1"/>
  <c r="Q2628" i="1"/>
  <c r="R2628" i="1" s="1"/>
  <c r="Q2627" i="1"/>
  <c r="R2627" i="1" s="1"/>
  <c r="Q2626" i="1"/>
  <c r="R2626" i="1" s="1"/>
  <c r="Q2625" i="1"/>
  <c r="R2625" i="1" s="1"/>
  <c r="Q2623" i="1"/>
  <c r="R2623" i="1" s="1"/>
  <c r="Q2608" i="1"/>
  <c r="R2608" i="1" s="1"/>
  <c r="Q2607" i="1"/>
  <c r="R2607" i="1" s="1"/>
  <c r="O2577" i="1"/>
  <c r="R2577" i="1" s="1"/>
  <c r="O2558" i="1"/>
  <c r="R2558" i="1" s="1"/>
  <c r="O2544" i="1"/>
  <c r="R2544" i="1" s="1"/>
  <c r="O2543" i="1"/>
  <c r="R2543" i="1" s="1"/>
  <c r="O2522" i="1"/>
  <c r="R2522" i="1" s="1"/>
  <c r="O2521" i="1"/>
  <c r="R2521" i="1" s="1"/>
  <c r="O2520" i="1"/>
  <c r="R2520" i="1" s="1"/>
  <c r="O2519" i="1"/>
  <c r="R2519" i="1" s="1"/>
  <c r="Q2499" i="1"/>
  <c r="R2499" i="1" s="1"/>
  <c r="Q2481" i="1"/>
  <c r="R2481" i="1" s="1"/>
  <c r="O2480" i="1"/>
  <c r="R2480" i="1" s="1"/>
  <c r="Q2476" i="1"/>
  <c r="R2476" i="1" s="1"/>
  <c r="R2463" i="1"/>
  <c r="Q2458" i="1"/>
  <c r="Q2441" i="1"/>
  <c r="R2441" i="1" s="1"/>
  <c r="Q2438" i="1"/>
  <c r="R2438" i="1" s="1"/>
  <c r="O2433" i="1"/>
  <c r="R2433" i="1" s="1"/>
  <c r="Q2416" i="1"/>
  <c r="R2416" i="1" s="1"/>
  <c r="Q2017" i="1"/>
  <c r="R2017" i="1" s="1"/>
  <c r="O1574" i="1"/>
  <c r="R1574" i="1" s="1"/>
  <c r="O1552" i="1"/>
  <c r="R1552" i="1" s="1"/>
  <c r="Q1533" i="1"/>
  <c r="R1533" i="1" s="1"/>
  <c r="Q1515" i="1"/>
  <c r="Q1509" i="1"/>
  <c r="R1509" i="1" s="1"/>
  <c r="Q1403" i="1"/>
  <c r="O1381" i="1"/>
  <c r="R1381" i="1" s="1"/>
  <c r="O1367" i="1"/>
  <c r="O1355" i="1"/>
  <c r="R1355" i="1" s="1"/>
  <c r="Q1351" i="1"/>
  <c r="R1351" i="1" s="1"/>
  <c r="Q1331" i="1"/>
  <c r="R1331" i="1" s="1"/>
  <c r="Q1325" i="1"/>
  <c r="R1325" i="1" s="1"/>
  <c r="O1320" i="1"/>
  <c r="R1320" i="1" s="1"/>
  <c r="O738" i="1"/>
  <c r="R738" i="1" s="1"/>
  <c r="Q596" i="1"/>
  <c r="R596" i="1" s="1"/>
  <c r="Q590" i="1"/>
  <c r="R590" i="1" s="1"/>
  <c r="Q2389" i="1"/>
  <c r="R2389" i="1" s="1"/>
  <c r="Q2388" i="1"/>
  <c r="R2388" i="1" s="1"/>
  <c r="Q2387" i="1"/>
  <c r="R2387" i="1" s="1"/>
  <c r="Q2366" i="1"/>
  <c r="R2366" i="1" s="1"/>
  <c r="O2354" i="1"/>
  <c r="R2354" i="1" s="1"/>
  <c r="O2350" i="1"/>
  <c r="R2350" i="1" s="1"/>
  <c r="Q2321" i="1"/>
  <c r="R2321" i="1" s="1"/>
  <c r="O2312" i="1"/>
  <c r="R2312" i="1" s="1"/>
  <c r="R2309" i="1"/>
  <c r="O2305" i="1"/>
  <c r="R2305" i="1" s="1"/>
  <c r="O2304" i="1"/>
  <c r="R2304" i="1" s="1"/>
  <c r="O2302" i="1"/>
  <c r="R2302" i="1" s="1"/>
  <c r="O2287" i="1"/>
  <c r="R2287" i="1" s="1"/>
  <c r="Q2272" i="1"/>
  <c r="R2272" i="1" s="1"/>
  <c r="O2261" i="1"/>
  <c r="R2261" i="1" s="1"/>
  <c r="Q2247" i="1"/>
  <c r="R2247" i="1" s="1"/>
  <c r="Q2244" i="1"/>
  <c r="R2244" i="1" s="1"/>
  <c r="Q2236" i="1"/>
  <c r="R2236" i="1" s="1"/>
  <c r="Q2232" i="1"/>
  <c r="R2232" i="1" s="1"/>
  <c r="O2229" i="1"/>
  <c r="R2229" i="1" s="1"/>
  <c r="Q2228" i="1"/>
  <c r="R2228" i="1" s="1"/>
  <c r="O2226" i="1"/>
  <c r="R2226" i="1" s="1"/>
  <c r="O2224" i="1"/>
  <c r="R2224" i="1" s="1"/>
  <c r="Q2223" i="1"/>
  <c r="O2223" i="1"/>
  <c r="Q2217" i="1"/>
  <c r="R2217" i="1" s="1"/>
  <c r="O2212" i="1"/>
  <c r="R2212" i="1" s="1"/>
  <c r="O2210" i="1"/>
  <c r="R2210" i="1" s="1"/>
  <c r="Q2209" i="1"/>
  <c r="R2209" i="1" s="1"/>
  <c r="O2206" i="1"/>
  <c r="R2206" i="1" s="1"/>
  <c r="O2196" i="1"/>
  <c r="R2196" i="1" s="1"/>
  <c r="O2195" i="1"/>
  <c r="R2195" i="1" s="1"/>
  <c r="O2194" i="1"/>
  <c r="R2194" i="1" s="1"/>
  <c r="O2180" i="1"/>
  <c r="R2180" i="1" s="1"/>
  <c r="O2178" i="1"/>
  <c r="R2178" i="1" s="1"/>
  <c r="O2163" i="1"/>
  <c r="R2163" i="1" s="1"/>
  <c r="O2161" i="1"/>
  <c r="R2161" i="1" s="1"/>
  <c r="O2160" i="1"/>
  <c r="R2160" i="1" s="1"/>
  <c r="O2153" i="1"/>
  <c r="R2153" i="1" s="1"/>
  <c r="Q2151" i="1"/>
  <c r="R2151" i="1" s="1"/>
  <c r="O2150" i="1"/>
  <c r="R2150" i="1" s="1"/>
  <c r="Q2149" i="1"/>
  <c r="O2149" i="1"/>
  <c r="O2148" i="1"/>
  <c r="R2148" i="1" s="1"/>
  <c r="O2147" i="1"/>
  <c r="R2147" i="1" s="1"/>
  <c r="Q2146" i="1"/>
  <c r="O2146" i="1"/>
  <c r="O2144" i="1"/>
  <c r="R2144" i="1" s="1"/>
  <c r="Q2142" i="1"/>
  <c r="O2142" i="1"/>
  <c r="Q2141" i="1"/>
  <c r="R2141" i="1" s="1"/>
  <c r="Q2140" i="1"/>
  <c r="O2140" i="1"/>
  <c r="O2139" i="1"/>
  <c r="R2139" i="1" s="1"/>
  <c r="Q2138" i="1"/>
  <c r="R2138" i="1" s="1"/>
  <c r="O2136" i="1"/>
  <c r="R2136" i="1" s="1"/>
  <c r="Q2134" i="1"/>
  <c r="O2134" i="1"/>
  <c r="R2134" i="1" s="1"/>
  <c r="Q2132" i="1"/>
  <c r="O2132" i="1"/>
  <c r="R2132" i="1" s="1"/>
  <c r="Q2131" i="1"/>
  <c r="O2131" i="1"/>
  <c r="Q2130" i="1"/>
  <c r="O2130" i="1"/>
  <c r="O2129" i="1"/>
  <c r="R2129" i="1" s="1"/>
  <c r="O2128" i="1"/>
  <c r="R2128" i="1" s="1"/>
  <c r="O2116" i="1"/>
  <c r="R2116" i="1" s="1"/>
  <c r="Q2110" i="1"/>
  <c r="R2110" i="1" s="1"/>
  <c r="Q2109" i="1"/>
  <c r="R2109" i="1" s="1"/>
  <c r="O2085" i="1"/>
  <c r="R2085" i="1" s="1"/>
  <c r="O2084" i="1"/>
  <c r="R2084" i="1" s="1"/>
  <c r="Q2078" i="1"/>
  <c r="R2078" i="1" s="1"/>
  <c r="Q2076" i="1"/>
  <c r="R2076" i="1" s="1"/>
  <c r="Q2075" i="1"/>
  <c r="R2075" i="1" s="1"/>
  <c r="Q2074" i="1"/>
  <c r="R2074" i="1" s="1"/>
  <c r="Q2072" i="1"/>
  <c r="R2072" i="1" s="1"/>
  <c r="O1555" i="1"/>
  <c r="R1555" i="1" s="1"/>
  <c r="O1540" i="1"/>
  <c r="R1540" i="1" s="1"/>
  <c r="Q1478" i="1"/>
  <c r="R1478" i="1" s="1"/>
  <c r="O1459" i="1"/>
  <c r="R1459" i="1" s="1"/>
  <c r="O1438" i="1"/>
  <c r="O1431" i="1"/>
  <c r="R1431" i="1" s="1"/>
  <c r="O1391" i="1"/>
  <c r="R1391" i="1" s="1"/>
  <c r="O1370" i="1"/>
  <c r="R1370" i="1" s="1"/>
  <c r="Q1348" i="1"/>
  <c r="R1348" i="1" s="1"/>
  <c r="Q1330" i="1"/>
  <c r="R1330" i="1" s="1"/>
  <c r="O937" i="1"/>
  <c r="R937" i="1" s="1"/>
  <c r="Q828" i="1"/>
  <c r="R828" i="1" s="1"/>
  <c r="Q819" i="1"/>
  <c r="R819" i="1" s="1"/>
  <c r="Q752" i="1"/>
  <c r="R752" i="1" s="1"/>
  <c r="O691" i="1"/>
  <c r="R691" i="1" s="1"/>
  <c r="O607" i="1"/>
  <c r="R607" i="1" s="1"/>
  <c r="Q601" i="1"/>
  <c r="R601" i="1" s="1"/>
  <c r="O589" i="1"/>
  <c r="R589" i="1" s="1"/>
  <c r="Q2006" i="1"/>
  <c r="O2006" i="1"/>
  <c r="R2006" i="1" s="1"/>
  <c r="Q2005" i="1"/>
  <c r="R2005" i="1" s="1"/>
  <c r="O2002" i="1"/>
  <c r="R2002" i="1" s="1"/>
  <c r="O1995" i="1"/>
  <c r="R1995" i="1" s="1"/>
  <c r="R1993" i="1"/>
  <c r="Q1989" i="1"/>
  <c r="R1989" i="1" s="1"/>
  <c r="R1986" i="1"/>
  <c r="Q1984" i="1"/>
  <c r="R1984" i="1" s="1"/>
  <c r="R1980" i="1"/>
  <c r="R1971" i="1"/>
  <c r="O1968" i="1"/>
  <c r="R1968" i="1" s="1"/>
  <c r="O1962" i="1"/>
  <c r="R1962" i="1" s="1"/>
  <c r="R1960" i="1"/>
  <c r="Q1953" i="1"/>
  <c r="R1953" i="1" s="1"/>
  <c r="O1947" i="1"/>
  <c r="R1947" i="1" s="1"/>
  <c r="O1932" i="1"/>
  <c r="R1932" i="1" s="1"/>
  <c r="Q1907" i="1"/>
  <c r="R1907" i="1" s="1"/>
  <c r="O1895" i="1"/>
  <c r="R1895" i="1" s="1"/>
  <c r="R1894" i="1"/>
  <c r="O1888" i="1"/>
  <c r="R1888" i="1" s="1"/>
  <c r="O1884" i="1"/>
  <c r="R1884" i="1" s="1"/>
  <c r="O1869" i="1"/>
  <c r="R1869" i="1" s="1"/>
  <c r="Q1864" i="1"/>
  <c r="R1864" i="1" s="1"/>
  <c r="O1863" i="1"/>
  <c r="R1863" i="1" s="1"/>
  <c r="O1857" i="1"/>
  <c r="R1857" i="1" s="1"/>
  <c r="O1852" i="1"/>
  <c r="R1852" i="1" s="1"/>
  <c r="O1848" i="1"/>
  <c r="R1848" i="1" s="1"/>
  <c r="O1847" i="1"/>
  <c r="R1847" i="1" s="1"/>
  <c r="Q1844" i="1"/>
  <c r="R1844" i="1" s="1"/>
  <c r="O1827" i="1"/>
  <c r="R1827" i="1" s="1"/>
  <c r="O1823" i="1"/>
  <c r="R1823" i="1" s="1"/>
  <c r="R1814" i="1"/>
  <c r="R1794" i="1"/>
  <c r="R1788" i="1"/>
  <c r="R1783" i="1"/>
  <c r="O1781" i="1"/>
  <c r="R1781" i="1" s="1"/>
  <c r="O1776" i="1"/>
  <c r="R1776" i="1" s="1"/>
  <c r="R1775" i="1"/>
  <c r="O1774" i="1"/>
  <c r="R1774" i="1" s="1"/>
  <c r="O1740" i="1"/>
  <c r="R1740" i="1" s="1"/>
  <c r="O1738" i="1"/>
  <c r="R1738" i="1" s="1"/>
  <c r="O1723" i="1"/>
  <c r="R1723" i="1" s="1"/>
  <c r="O1719" i="1"/>
  <c r="R1719" i="1" s="1"/>
  <c r="O1712" i="1"/>
  <c r="R1712" i="1" s="1"/>
  <c r="O1708" i="1"/>
  <c r="R1708" i="1" s="1"/>
  <c r="O1704" i="1"/>
  <c r="R1704" i="1" s="1"/>
  <c r="O1702" i="1"/>
  <c r="R1702" i="1" s="1"/>
  <c r="O1698" i="1"/>
  <c r="R1698" i="1" s="1"/>
  <c r="R1695" i="1"/>
  <c r="O1694" i="1"/>
  <c r="R1694" i="1" s="1"/>
  <c r="Q1690" i="1"/>
  <c r="R1690" i="1" s="1"/>
  <c r="O1684" i="1"/>
  <c r="R1684" i="1" s="1"/>
  <c r="O1677" i="1"/>
  <c r="R1677" i="1" s="1"/>
  <c r="Q1675" i="1"/>
  <c r="R1675" i="1" s="1"/>
  <c r="Q1672" i="1"/>
  <c r="R1672" i="1" s="1"/>
  <c r="O1670" i="1"/>
  <c r="R1670" i="1" s="1"/>
  <c r="O1669" i="1"/>
  <c r="R1669" i="1" s="1"/>
  <c r="O1664" i="1"/>
  <c r="R1664" i="1" s="1"/>
  <c r="R1657" i="1"/>
  <c r="Q1655" i="1"/>
  <c r="R1655" i="1" s="1"/>
  <c r="Q1654" i="1"/>
  <c r="R1654" i="1" s="1"/>
  <c r="O1653" i="1"/>
  <c r="R1653" i="1" s="1"/>
  <c r="R1649" i="1"/>
  <c r="Q1643" i="1"/>
  <c r="R1643" i="1" s="1"/>
  <c r="O1642" i="1"/>
  <c r="R1642" i="1" s="1"/>
  <c r="O1639" i="1"/>
  <c r="R1639" i="1" s="1"/>
  <c r="O1637" i="1"/>
  <c r="R1637" i="1" s="1"/>
  <c r="R1631" i="1"/>
  <c r="O1620" i="1"/>
  <c r="R1620" i="1" s="1"/>
  <c r="Q1618" i="1"/>
  <c r="R1618" i="1" s="1"/>
  <c r="O1616" i="1"/>
  <c r="R1616" i="1" s="1"/>
  <c r="O1614" i="1"/>
  <c r="R1614" i="1" s="1"/>
  <c r="O1590" i="1"/>
  <c r="R1590" i="1" s="1"/>
  <c r="Q1530" i="1"/>
  <c r="Q1457" i="1"/>
  <c r="O1452" i="1"/>
  <c r="R1452" i="1" s="1"/>
  <c r="O1375" i="1"/>
  <c r="R1375" i="1" s="1"/>
  <c r="Q1362" i="1"/>
  <c r="Q781" i="1"/>
  <c r="R781" i="1" s="1"/>
  <c r="O692" i="1"/>
  <c r="R692" i="1" s="1"/>
  <c r="O665" i="1"/>
  <c r="R665" i="1" s="1"/>
  <c r="Q1629" i="1"/>
  <c r="R1629" i="1" s="1"/>
  <c r="Q1617" i="1"/>
  <c r="R1617" i="1" s="1"/>
  <c r="Q1532" i="1"/>
  <c r="R1532" i="1" s="1"/>
  <c r="Q1343" i="1"/>
  <c r="R1343" i="1" s="1"/>
  <c r="Q1333" i="1"/>
  <c r="R1333" i="1" s="1"/>
  <c r="Q892" i="1"/>
  <c r="R892" i="1" s="1"/>
  <c r="O887" i="1"/>
  <c r="R887" i="1" s="1"/>
  <c r="O870" i="1"/>
  <c r="R870" i="1" s="1"/>
  <c r="O813" i="1"/>
  <c r="R813" i="1" s="1"/>
  <c r="O669" i="1"/>
  <c r="R669" i="1" s="1"/>
  <c r="Q603" i="1"/>
  <c r="R603" i="1" s="1"/>
  <c r="O569" i="1"/>
  <c r="R569" i="1" s="1"/>
  <c r="Q541" i="1"/>
  <c r="R541" i="1" s="1"/>
  <c r="Q530" i="1"/>
  <c r="R530" i="1" s="1"/>
  <c r="Q1288" i="1"/>
  <c r="R1288" i="1" s="1"/>
  <c r="O1287" i="1"/>
  <c r="R1287" i="1" s="1"/>
  <c r="O1285" i="1"/>
  <c r="R1285" i="1" s="1"/>
  <c r="O1284" i="1"/>
  <c r="R1284" i="1" s="1"/>
  <c r="Q1281" i="1"/>
  <c r="R1281" i="1" s="1"/>
  <c r="R1279" i="1"/>
  <c r="Q1271" i="1"/>
  <c r="R1271" i="1" s="1"/>
  <c r="Q1269" i="1"/>
  <c r="O1269" i="1"/>
  <c r="O1264" i="1"/>
  <c r="R1264" i="1" s="1"/>
  <c r="Q1261" i="1"/>
  <c r="R1261" i="1" s="1"/>
  <c r="Q1260" i="1"/>
  <c r="R1260" i="1" s="1"/>
  <c r="Q1256" i="1"/>
  <c r="R1256" i="1" s="1"/>
  <c r="Q1247" i="1"/>
  <c r="R1247" i="1" s="1"/>
  <c r="R1232" i="1"/>
  <c r="R1226" i="1"/>
  <c r="O1220" i="1"/>
  <c r="R1220" i="1" s="1"/>
  <c r="O1212" i="1"/>
  <c r="R1212" i="1" s="1"/>
  <c r="O1211" i="1"/>
  <c r="R1211" i="1" s="1"/>
  <c r="O1205" i="1"/>
  <c r="R1205" i="1" s="1"/>
  <c r="O1204" i="1"/>
  <c r="R1204" i="1" s="1"/>
  <c r="O1201" i="1"/>
  <c r="R1201" i="1" s="1"/>
  <c r="O1197" i="1"/>
  <c r="R1197" i="1" s="1"/>
  <c r="Q1170" i="1"/>
  <c r="R1170" i="1" s="1"/>
  <c r="Q1169" i="1"/>
  <c r="R1169" i="1" s="1"/>
  <c r="Q1162" i="1"/>
  <c r="R1162" i="1" s="1"/>
  <c r="Q1159" i="1"/>
  <c r="R1159" i="1" s="1"/>
  <c r="Q1156" i="1"/>
  <c r="R1156" i="1" s="1"/>
  <c r="Q1155" i="1"/>
  <c r="R1155" i="1" s="1"/>
  <c r="Q1146" i="1"/>
  <c r="R1146" i="1" s="1"/>
  <c r="Q1133" i="1"/>
  <c r="R1133" i="1" s="1"/>
  <c r="Q1111" i="1"/>
  <c r="R1111" i="1" s="1"/>
  <c r="Q1110" i="1"/>
  <c r="R1110" i="1" s="1"/>
  <c r="Q1109" i="1"/>
  <c r="R1109" i="1" s="1"/>
  <c r="Q1106" i="1"/>
  <c r="R1106" i="1" s="1"/>
  <c r="Q1104" i="1"/>
  <c r="R1104" i="1" s="1"/>
  <c r="Q1076" i="1"/>
  <c r="R1076" i="1" s="1"/>
  <c r="Q1060" i="1"/>
  <c r="R1060" i="1" s="1"/>
  <c r="Q1046" i="1"/>
  <c r="R1046" i="1" s="1"/>
  <c r="Q1044" i="1"/>
  <c r="R1044" i="1" s="1"/>
  <c r="Q1043" i="1"/>
  <c r="R1043" i="1" s="1"/>
  <c r="O1028" i="1"/>
  <c r="R1028" i="1" s="1"/>
  <c r="O1019" i="1"/>
  <c r="R1019" i="1" s="1"/>
  <c r="O1013" i="1"/>
  <c r="R1013" i="1" s="1"/>
  <c r="O1012" i="1"/>
  <c r="R1012" i="1" s="1"/>
  <c r="O1001" i="1"/>
  <c r="R1001" i="1" s="1"/>
  <c r="O999" i="1"/>
  <c r="R999" i="1" s="1"/>
  <c r="Q993" i="1"/>
  <c r="O993" i="1"/>
  <c r="Q991" i="1"/>
  <c r="O991" i="1"/>
  <c r="R991" i="1" s="1"/>
  <c r="Q986" i="1"/>
  <c r="O986" i="1"/>
  <c r="Q985" i="1"/>
  <c r="R985" i="1" s="1"/>
  <c r="Q984" i="1"/>
  <c r="R984" i="1" s="1"/>
  <c r="Q983" i="1"/>
  <c r="O983" i="1"/>
  <c r="Q975" i="1"/>
  <c r="R975" i="1" s="1"/>
  <c r="Q969" i="1"/>
  <c r="R969" i="1" s="1"/>
  <c r="O964" i="1"/>
  <c r="R964" i="1" s="1"/>
  <c r="Q953" i="1"/>
  <c r="R953" i="1" s="1"/>
  <c r="Q952" i="1"/>
  <c r="R952" i="1" s="1"/>
  <c r="Q948" i="1"/>
  <c r="O948" i="1"/>
  <c r="Q929" i="1"/>
  <c r="R929" i="1" s="1"/>
  <c r="O664" i="1"/>
  <c r="R664" i="1" s="1"/>
  <c r="Q630" i="1"/>
  <c r="R630" i="1" s="1"/>
  <c r="O566" i="1"/>
  <c r="R566" i="1" s="1"/>
  <c r="O540" i="1"/>
  <c r="R540" i="1" s="1"/>
  <c r="Q515" i="1"/>
  <c r="R515" i="1" s="1"/>
  <c r="Q506" i="1"/>
  <c r="R506" i="1" s="1"/>
  <c r="Q501" i="1"/>
  <c r="R501" i="1" s="1"/>
  <c r="O499" i="1"/>
  <c r="R499" i="1" s="1"/>
  <c r="O492" i="1"/>
  <c r="R492" i="1" s="1"/>
  <c r="O484" i="1"/>
  <c r="R484" i="1" s="1"/>
  <c r="O481" i="1"/>
  <c r="R481" i="1" s="1"/>
  <c r="Q473" i="1"/>
  <c r="R473" i="1" s="1"/>
  <c r="O472" i="1"/>
  <c r="R472" i="1" s="1"/>
  <c r="Q465" i="1"/>
  <c r="R465" i="1" s="1"/>
  <c r="R464" i="1"/>
  <c r="O463" i="1"/>
  <c r="R463" i="1" s="1"/>
  <c r="Q462" i="1"/>
  <c r="R462" i="1" s="1"/>
  <c r="O458" i="1"/>
  <c r="R458" i="1" s="1"/>
  <c r="R453" i="1"/>
  <c r="R447" i="1"/>
  <c r="R446" i="1"/>
  <c r="R445" i="1"/>
  <c r="O439" i="1"/>
  <c r="R439" i="1" s="1"/>
  <c r="Q437" i="1"/>
  <c r="R437" i="1" s="1"/>
  <c r="Q433" i="1"/>
  <c r="R433" i="1" s="1"/>
  <c r="Q418" i="1"/>
  <c r="R418" i="1" s="1"/>
  <c r="O409" i="1"/>
  <c r="R409" i="1" s="1"/>
  <c r="O406" i="1"/>
  <c r="R406" i="1" s="1"/>
  <c r="Q402" i="1"/>
  <c r="R402" i="1" s="1"/>
  <c r="Q391" i="1"/>
  <c r="R391" i="1" s="1"/>
  <c r="Q390" i="1"/>
  <c r="R390" i="1" s="1"/>
  <c r="O386" i="1"/>
  <c r="R386" i="1" s="1"/>
  <c r="O384" i="1"/>
  <c r="R384" i="1" s="1"/>
  <c r="Q382" i="1"/>
  <c r="R382" i="1" s="1"/>
  <c r="R381" i="1"/>
  <c r="O377" i="1"/>
  <c r="R377" i="1" s="1"/>
  <c r="O372" i="1"/>
  <c r="R372" i="1" s="1"/>
  <c r="O363" i="1"/>
  <c r="R363" i="1" s="1"/>
  <c r="O361" i="1"/>
  <c r="R361" i="1" s="1"/>
  <c r="O356" i="1"/>
  <c r="R356" i="1" s="1"/>
  <c r="O355" i="1"/>
  <c r="R355" i="1" s="1"/>
  <c r="O354" i="1"/>
  <c r="R354" i="1" s="1"/>
  <c r="O353" i="1"/>
  <c r="R353" i="1" s="1"/>
  <c r="Q352" i="1"/>
  <c r="R352" i="1" s="1"/>
  <c r="Q351" i="1"/>
  <c r="O351" i="1"/>
  <c r="R351" i="1" s="1"/>
  <c r="O349" i="1"/>
  <c r="R349" i="1" s="1"/>
  <c r="Q348" i="1"/>
  <c r="O348" i="1"/>
  <c r="Q347" i="1"/>
  <c r="O347" i="1"/>
  <c r="R347" i="1" s="1"/>
  <c r="Q346" i="1"/>
  <c r="R346" i="1" s="1"/>
  <c r="Q345" i="1"/>
  <c r="O345" i="1"/>
  <c r="R345" i="1" s="1"/>
  <c r="Q344" i="1"/>
  <c r="O344" i="1"/>
  <c r="Q343" i="1"/>
  <c r="R343" i="1" s="1"/>
  <c r="Q339" i="1"/>
  <c r="R339" i="1" s="1"/>
  <c r="Q337" i="1"/>
  <c r="R337" i="1" s="1"/>
  <c r="Q335" i="1"/>
  <c r="R335" i="1" s="1"/>
  <c r="O321" i="1"/>
  <c r="R321" i="1" s="1"/>
  <c r="O320" i="1"/>
  <c r="R320" i="1" s="1"/>
  <c r="Q316" i="1"/>
  <c r="R316" i="1" s="1"/>
  <c r="Q315" i="1"/>
  <c r="R315" i="1" s="1"/>
  <c r="Q314" i="1"/>
  <c r="R314" i="1" s="1"/>
  <c r="Q313" i="1"/>
  <c r="R313" i="1" s="1"/>
  <c r="Q312" i="1"/>
  <c r="R312" i="1" s="1"/>
  <c r="Q311" i="1"/>
  <c r="R311" i="1" s="1"/>
  <c r="Q309" i="1"/>
  <c r="R309" i="1" s="1"/>
  <c r="Q306" i="1"/>
  <c r="R306" i="1" s="1"/>
  <c r="R304" i="1"/>
  <c r="Q303" i="1"/>
  <c r="R303" i="1" s="1"/>
  <c r="Q298" i="1"/>
  <c r="R298" i="1" s="1"/>
  <c r="Q296" i="1"/>
  <c r="R296" i="1" s="1"/>
  <c r="Q295" i="1"/>
  <c r="R295" i="1" s="1"/>
  <c r="Q294" i="1"/>
  <c r="R294" i="1" s="1"/>
  <c r="Q293" i="1"/>
  <c r="R293" i="1" s="1"/>
  <c r="Q288" i="1"/>
  <c r="R288" i="1" s="1"/>
  <c r="Q287" i="1"/>
  <c r="R287" i="1" s="1"/>
  <c r="O283" i="1"/>
  <c r="R283" i="1" s="1"/>
  <c r="O282" i="1"/>
  <c r="R282" i="1" s="1"/>
  <c r="Q281" i="1"/>
  <c r="R281" i="1" s="1"/>
  <c r="Q275" i="1"/>
  <c r="R275" i="1" s="1"/>
  <c r="Q274" i="1"/>
  <c r="R274" i="1" s="1"/>
  <c r="Q273" i="1"/>
  <c r="R273" i="1" s="1"/>
  <c r="Q272" i="1"/>
  <c r="R272" i="1" s="1"/>
  <c r="Q271" i="1"/>
  <c r="R271" i="1" s="1"/>
  <c r="Q270" i="1"/>
  <c r="R270" i="1" s="1"/>
  <c r="Q269" i="1"/>
  <c r="R269" i="1" s="1"/>
  <c r="Q265" i="1"/>
  <c r="R265" i="1" s="1"/>
  <c r="O262" i="1"/>
  <c r="R262" i="1" s="1"/>
  <c r="O252" i="1"/>
  <c r="R252" i="1" s="1"/>
  <c r="O236" i="1"/>
  <c r="R236" i="1" s="1"/>
  <c r="Q232" i="1"/>
  <c r="R232" i="1" s="1"/>
  <c r="Q231" i="1"/>
  <c r="R231" i="1" s="1"/>
  <c r="Q228" i="1"/>
  <c r="R228" i="1" s="1"/>
  <c r="O225" i="1"/>
  <c r="R225" i="1" s="1"/>
  <c r="Q223" i="1"/>
  <c r="R223" i="1" s="1"/>
  <c r="Q217" i="1"/>
  <c r="R217" i="1" s="1"/>
  <c r="Q215" i="1"/>
  <c r="R215" i="1" s="1"/>
  <c r="Q214" i="1"/>
  <c r="R214" i="1" s="1"/>
  <c r="Q206" i="1"/>
  <c r="R206" i="1" s="1"/>
  <c r="Q204" i="1"/>
  <c r="R204" i="1" s="1"/>
  <c r="O195" i="1"/>
  <c r="R195" i="1" s="1"/>
  <c r="O175" i="1"/>
  <c r="R175" i="1" s="1"/>
  <c r="Q164" i="1"/>
  <c r="R164" i="1" s="1"/>
  <c r="Q163" i="1"/>
  <c r="R163" i="1" s="1"/>
  <c r="Q156" i="1"/>
  <c r="R156" i="1" s="1"/>
  <c r="Q152" i="1"/>
  <c r="R152" i="1" s="1"/>
  <c r="O656" i="1"/>
  <c r="R656" i="1" s="1"/>
  <c r="O592" i="1"/>
  <c r="R592" i="1" s="1"/>
  <c r="O572" i="1"/>
  <c r="O565" i="1"/>
  <c r="R565" i="1" s="1"/>
  <c r="O144" i="1"/>
  <c r="R144" i="1" s="1"/>
  <c r="Q143" i="1"/>
  <c r="R143" i="1" s="1"/>
  <c r="Q140" i="1"/>
  <c r="O140" i="1"/>
  <c r="Q138" i="1"/>
  <c r="R138" i="1" s="1"/>
  <c r="O132" i="1"/>
  <c r="R132" i="1" s="1"/>
  <c r="O126" i="1"/>
  <c r="R126" i="1" s="1"/>
  <c r="O125" i="1"/>
  <c r="R125" i="1" s="1"/>
  <c r="O113" i="1"/>
  <c r="R113" i="1" s="1"/>
  <c r="O77" i="1"/>
  <c r="R77" i="1" s="1"/>
  <c r="O66" i="1"/>
  <c r="R66" i="1" s="1"/>
  <c r="O60" i="1"/>
  <c r="R60" i="1" s="1"/>
  <c r="Q17" i="1"/>
  <c r="R17" i="1" s="1"/>
  <c r="O6017" i="1"/>
  <c r="R6017" i="1" s="1"/>
  <c r="O5962" i="1"/>
  <c r="R5962" i="1" s="1"/>
  <c r="O5943" i="1"/>
  <c r="R5943" i="1" s="1"/>
  <c r="O5904" i="1"/>
  <c r="R5904" i="1" s="1"/>
  <c r="Q5903" i="1"/>
  <c r="R5903" i="1" s="1"/>
  <c r="O5835" i="1"/>
  <c r="R5835" i="1" s="1"/>
  <c r="Q5790" i="1"/>
  <c r="R5790" i="1" s="1"/>
  <c r="O4103" i="1"/>
  <c r="R4103" i="1" s="1"/>
  <c r="Q1482" i="1"/>
  <c r="Q1366" i="1"/>
  <c r="R1366" i="1" s="1"/>
  <c r="Q1344" i="1"/>
  <c r="R1344" i="1" s="1"/>
  <c r="Q1337" i="1"/>
  <c r="R1337" i="1" s="1"/>
  <c r="Q1335" i="1"/>
  <c r="Q616" i="1"/>
  <c r="R616" i="1" s="1"/>
  <c r="O604" i="1"/>
  <c r="R604" i="1" s="1"/>
  <c r="Q572" i="1"/>
  <c r="Q5108" i="1" l="1"/>
  <c r="O5165" i="1"/>
  <c r="O5251" i="1"/>
  <c r="O5405" i="1"/>
  <c r="O5848" i="1"/>
  <c r="Q5086" i="1"/>
  <c r="O6059" i="1"/>
  <c r="R6059" i="1" s="1"/>
  <c r="O1027" i="1"/>
  <c r="Q5452" i="1"/>
  <c r="O5115" i="1"/>
  <c r="Q5138" i="1"/>
  <c r="O5258" i="1"/>
  <c r="R5708" i="1"/>
  <c r="Q5828" i="1"/>
  <c r="Q5969" i="1"/>
  <c r="O5999" i="1"/>
  <c r="Q5278" i="1"/>
  <c r="O5430" i="1"/>
  <c r="Q5487" i="1"/>
  <c r="Q5978" i="1"/>
  <c r="Q5043" i="1"/>
  <c r="R5043" i="1" s="1"/>
  <c r="Q1416" i="1"/>
  <c r="R1416" i="1" s="1"/>
  <c r="O5140" i="1"/>
  <c r="Q5353" i="1"/>
  <c r="Q5431" i="1"/>
  <c r="O5697" i="1"/>
  <c r="Q5738" i="1"/>
  <c r="Q5814" i="1"/>
  <c r="O5880" i="1"/>
  <c r="Q5957" i="1"/>
  <c r="O5525" i="1"/>
  <c r="O5287" i="1"/>
  <c r="O6030" i="1"/>
  <c r="R6030" i="1" s="1"/>
  <c r="O5037" i="1"/>
  <c r="R5037" i="1" s="1"/>
  <c r="Q5458" i="1"/>
  <c r="O6063" i="1"/>
  <c r="R6063" i="1" s="1"/>
  <c r="Q5249" i="1"/>
  <c r="Q5700" i="1"/>
  <c r="R5700" i="1" s="1"/>
  <c r="Q5189" i="1"/>
  <c r="R5189" i="1" s="1"/>
  <c r="Q5298" i="1"/>
  <c r="O5849" i="1"/>
  <c r="Q5507" i="1"/>
  <c r="Q5993" i="1"/>
  <c r="Q5866" i="1"/>
  <c r="O6062" i="1"/>
  <c r="R3414" i="1"/>
  <c r="R3440" i="1"/>
  <c r="R3458" i="1"/>
  <c r="R3491" i="1"/>
  <c r="R3500" i="1"/>
  <c r="R4692" i="1"/>
  <c r="Q5693" i="1"/>
  <c r="Q6071" i="1"/>
  <c r="R1269" i="1"/>
  <c r="R2067" i="1"/>
  <c r="R2077" i="1"/>
  <c r="R2087" i="1"/>
  <c r="R2093" i="1"/>
  <c r="R2099" i="1"/>
  <c r="R3508" i="1"/>
  <c r="R3556" i="1"/>
  <c r="R3565" i="1"/>
  <c r="R4552" i="1"/>
  <c r="R2765" i="1"/>
  <c r="R1626" i="1"/>
  <c r="R1636" i="1"/>
  <c r="R1646" i="1"/>
  <c r="R1665" i="1"/>
  <c r="R1674" i="1"/>
  <c r="R1693" i="1"/>
  <c r="R1706" i="1"/>
  <c r="R4796" i="1"/>
  <c r="R348" i="1"/>
  <c r="R2130" i="1"/>
  <c r="O5735" i="1"/>
  <c r="R5735" i="1" s="1"/>
  <c r="O5800" i="1"/>
  <c r="Q5920" i="1"/>
  <c r="Q5930" i="1"/>
  <c r="Q6005" i="1"/>
  <c r="R6005" i="1" s="1"/>
  <c r="Q6036" i="1"/>
  <c r="R1396" i="1"/>
  <c r="R3048" i="1"/>
  <c r="R3056" i="1"/>
  <c r="R3062" i="1"/>
  <c r="R3068" i="1"/>
  <c r="R3076" i="1"/>
  <c r="R3083" i="1"/>
  <c r="R3097" i="1"/>
  <c r="R3106" i="1"/>
  <c r="R3114" i="1"/>
  <c r="R3120" i="1"/>
  <c r="R3126" i="1"/>
  <c r="R3160" i="1"/>
  <c r="R3166" i="1"/>
  <c r="R3176" i="1"/>
  <c r="R3182" i="1"/>
  <c r="R3188" i="1"/>
  <c r="R3194" i="1"/>
  <c r="R3206" i="1"/>
  <c r="R3212" i="1"/>
  <c r="R3222" i="1"/>
  <c r="R3229" i="1"/>
  <c r="R3239" i="1"/>
  <c r="R3245" i="1"/>
  <c r="R3263" i="1"/>
  <c r="R3269" i="1"/>
  <c r="R3289" i="1"/>
  <c r="R3295" i="1"/>
  <c r="R3307" i="1"/>
  <c r="R3352" i="1"/>
  <c r="R3364" i="1"/>
  <c r="R3370" i="1"/>
  <c r="R3382" i="1"/>
  <c r="R3388" i="1"/>
  <c r="R3394" i="1"/>
  <c r="R3400" i="1"/>
  <c r="R3407" i="1"/>
  <c r="Q5841" i="1"/>
  <c r="R5841" i="1" s="1"/>
  <c r="O5881" i="1"/>
  <c r="R2428" i="1"/>
  <c r="R3769" i="1"/>
  <c r="R3775" i="1"/>
  <c r="R4527" i="1"/>
  <c r="R4533" i="1"/>
  <c r="R4539" i="1"/>
  <c r="R4817" i="1"/>
  <c r="R4823" i="1"/>
  <c r="R4835" i="1"/>
  <c r="R4841" i="1"/>
  <c r="R4847" i="1"/>
  <c r="R4859" i="1"/>
  <c r="R4865" i="1"/>
  <c r="R4883" i="1"/>
  <c r="R4896" i="1"/>
  <c r="O5774" i="1"/>
  <c r="Q5923" i="1"/>
  <c r="O5941" i="1"/>
  <c r="Q683" i="1"/>
  <c r="R683" i="1" s="1"/>
  <c r="Q5378" i="1"/>
  <c r="R1137" i="1"/>
  <c r="R1143" i="1"/>
  <c r="R1150" i="1"/>
  <c r="R1293" i="1"/>
  <c r="R1317" i="1"/>
  <c r="R1328" i="1"/>
  <c r="R1350" i="1"/>
  <c r="R1361" i="1"/>
  <c r="Q2184" i="1"/>
  <c r="R3760" i="1"/>
  <c r="R3766" i="1"/>
  <c r="R3772" i="1"/>
  <c r="R3778" i="1"/>
  <c r="Q5059" i="1"/>
  <c r="Q5158" i="1"/>
  <c r="R5158" i="1" s="1"/>
  <c r="Q5176" i="1"/>
  <c r="Q5801" i="1"/>
  <c r="Q5882" i="1"/>
  <c r="Q5976" i="1"/>
  <c r="R5976" i="1" s="1"/>
  <c r="Q6007" i="1"/>
  <c r="Q5294" i="1"/>
  <c r="Q5524" i="1"/>
  <c r="R5524" i="1" s="1"/>
  <c r="Q5710" i="1"/>
  <c r="R5710" i="1" s="1"/>
  <c r="Q6009" i="1"/>
  <c r="Q6046" i="1"/>
  <c r="Q6072" i="1"/>
  <c r="R1913" i="1"/>
  <c r="R5363" i="1"/>
  <c r="O6075" i="1"/>
  <c r="R6075" i="1" s="1"/>
  <c r="R5077" i="1"/>
  <c r="O5270" i="1"/>
  <c r="R5270" i="1" s="1"/>
  <c r="Q6024" i="1"/>
  <c r="O5067" i="1"/>
  <c r="O5676" i="1"/>
  <c r="R5676" i="1" s="1"/>
  <c r="R5694" i="1"/>
  <c r="R5704" i="1"/>
  <c r="Q5734" i="1"/>
  <c r="R5734" i="1" s="1"/>
  <c r="Q5856" i="1"/>
  <c r="R1707" i="1"/>
  <c r="R4532" i="1"/>
  <c r="R4538" i="1"/>
  <c r="R4635" i="1"/>
  <c r="R4641" i="1"/>
  <c r="R4653" i="1"/>
  <c r="R4677" i="1"/>
  <c r="R4726" i="1"/>
  <c r="R4756" i="1"/>
  <c r="R4773" i="1"/>
  <c r="R4785" i="1"/>
  <c r="R4791" i="1"/>
  <c r="R4809" i="1"/>
  <c r="R4815" i="1"/>
  <c r="R4821" i="1"/>
  <c r="R4827" i="1"/>
  <c r="R4857" i="1"/>
  <c r="R4875" i="1"/>
  <c r="R4888" i="1"/>
  <c r="R4900" i="1"/>
  <c r="O5424" i="1"/>
  <c r="R5424" i="1" s="1"/>
  <c r="R5712" i="1"/>
  <c r="Q5871" i="1"/>
  <c r="R5871" i="1" s="1"/>
  <c r="Q5945" i="1"/>
  <c r="Q6074" i="1"/>
  <c r="R6074" i="1" s="1"/>
  <c r="R1367" i="1"/>
  <c r="Q5301" i="1"/>
  <c r="R5301" i="1" s="1"/>
  <c r="Q1799" i="1"/>
  <c r="Q1838" i="1"/>
  <c r="Q2733" i="1"/>
  <c r="R3931" i="1"/>
  <c r="R4548" i="1"/>
  <c r="R4561" i="1"/>
  <c r="R4926" i="1"/>
  <c r="R4938" i="1"/>
  <c r="R4956" i="1"/>
  <c r="R4968" i="1"/>
  <c r="R4975" i="1"/>
  <c r="R5002" i="1"/>
  <c r="R5008" i="1"/>
  <c r="R5014" i="1"/>
  <c r="R5020" i="1"/>
  <c r="O5109" i="1"/>
  <c r="Q5254" i="1"/>
  <c r="R5254" i="1" s="1"/>
  <c r="R5695" i="1"/>
  <c r="Q5713" i="1"/>
  <c r="R5713" i="1" s="1"/>
  <c r="Q5719" i="1"/>
  <c r="R5719" i="1" s="1"/>
  <c r="Q5964" i="1"/>
  <c r="O5980" i="1"/>
  <c r="R5980" i="1" s="1"/>
  <c r="Q5987" i="1"/>
  <c r="R5987" i="1" s="1"/>
  <c r="O6027" i="1"/>
  <c r="R6027" i="1" s="1"/>
  <c r="R2458" i="1"/>
  <c r="Q5110" i="1"/>
  <c r="R5110" i="1" s="1"/>
  <c r="Q5432" i="1"/>
  <c r="Q5696" i="1"/>
  <c r="Q5742" i="1"/>
  <c r="R5742" i="1" s="1"/>
  <c r="Q6076" i="1"/>
  <c r="R6076" i="1" s="1"/>
  <c r="R1403" i="1"/>
  <c r="R1270" i="1"/>
  <c r="R1278" i="1"/>
  <c r="R1290" i="1"/>
  <c r="R1324" i="1"/>
  <c r="R1347" i="1"/>
  <c r="R1358" i="1"/>
  <c r="R1372" i="1"/>
  <c r="R1384" i="1"/>
  <c r="R1406" i="1"/>
  <c r="R1425" i="1"/>
  <c r="R1442" i="1"/>
  <c r="R1466" i="1"/>
  <c r="R1485" i="1"/>
  <c r="R1517" i="1"/>
  <c r="R1525" i="1"/>
  <c r="R1544" i="1"/>
  <c r="R1570" i="1"/>
  <c r="R1586" i="1"/>
  <c r="O1714" i="1"/>
  <c r="R1714" i="1" s="1"/>
  <c r="Q2053" i="1"/>
  <c r="R3037" i="1"/>
  <c r="R3758" i="1"/>
  <c r="R3764" i="1"/>
  <c r="R3770" i="1"/>
  <c r="R3776" i="1"/>
  <c r="R3782" i="1"/>
  <c r="Q5089" i="1"/>
  <c r="R5089" i="1" s="1"/>
  <c r="O5134" i="1"/>
  <c r="R5134" i="1" s="1"/>
  <c r="Q5150" i="1"/>
  <c r="R5150" i="1" s="1"/>
  <c r="Q5162" i="1"/>
  <c r="Q5168" i="1"/>
  <c r="R5168" i="1" s="1"/>
  <c r="Q5174" i="1"/>
  <c r="O5562" i="1"/>
  <c r="R5690" i="1"/>
  <c r="Q5714" i="1"/>
  <c r="Q5947" i="1"/>
  <c r="Q2647" i="1"/>
  <c r="R2647" i="1" s="1"/>
  <c r="R3415" i="1"/>
  <c r="R3447" i="1"/>
  <c r="R3466" i="1"/>
  <c r="O5744" i="1"/>
  <c r="R5744" i="1" s="1"/>
  <c r="Q6078" i="1"/>
  <c r="Q5927" i="1"/>
  <c r="O5927" i="1"/>
  <c r="O5944" i="1"/>
  <c r="Q5944" i="1"/>
  <c r="R5944" i="1" s="1"/>
  <c r="O1716" i="1"/>
  <c r="Q1716" i="1"/>
  <c r="O5701" i="1"/>
  <c r="Q5701" i="1"/>
  <c r="O5776" i="1"/>
  <c r="Q5776" i="1"/>
  <c r="O5314" i="1"/>
  <c r="Q5314" i="1"/>
  <c r="O5123" i="1"/>
  <c r="Q5123" i="1"/>
  <c r="Q5230" i="1"/>
  <c r="O5230" i="1"/>
  <c r="R5230" i="1" s="1"/>
  <c r="O5282" i="1"/>
  <c r="Q5282" i="1"/>
  <c r="O5803" i="1"/>
  <c r="Q5803" i="1"/>
  <c r="Q5984" i="1"/>
  <c r="R5984" i="1" s="1"/>
  <c r="O5826" i="1"/>
  <c r="Q5826" i="1"/>
  <c r="R2223" i="1"/>
  <c r="R4972" i="1"/>
  <c r="Q5082" i="1"/>
  <c r="R5082" i="1" s="1"/>
  <c r="R97" i="1"/>
  <c r="R109" i="1"/>
  <c r="R130" i="1"/>
  <c r="R301" i="1"/>
  <c r="R615" i="1"/>
  <c r="R623" i="1"/>
  <c r="R631" i="1"/>
  <c r="R638" i="1"/>
  <c r="R645" i="1"/>
  <c r="R653" i="1"/>
  <c r="R670" i="1"/>
  <c r="R686" i="1"/>
  <c r="R695" i="1"/>
  <c r="R702" i="1"/>
  <c r="R709" i="1"/>
  <c r="R721" i="1"/>
  <c r="R739" i="1"/>
  <c r="R745" i="1"/>
  <c r="R755" i="1"/>
  <c r="R761" i="1"/>
  <c r="R767" i="1"/>
  <c r="R773" i="1"/>
  <c r="R779" i="1"/>
  <c r="R799" i="1"/>
  <c r="R805" i="1"/>
  <c r="R818" i="1"/>
  <c r="R841" i="1"/>
  <c r="R847" i="1"/>
  <c r="R866" i="1"/>
  <c r="R1008" i="1"/>
  <c r="R1016" i="1"/>
  <c r="R1037" i="1"/>
  <c r="R1047" i="1"/>
  <c r="R1061" i="1"/>
  <c r="R1067" i="1"/>
  <c r="R1073" i="1"/>
  <c r="R1080" i="1"/>
  <c r="R1086" i="1"/>
  <c r="R1099" i="1"/>
  <c r="R1115" i="1"/>
  <c r="R1121" i="1"/>
  <c r="R1127" i="1"/>
  <c r="O5821" i="1"/>
  <c r="Q5821" i="1"/>
  <c r="O5074" i="1"/>
  <c r="Q5074" i="1"/>
  <c r="O5928" i="1"/>
  <c r="Q5928" i="1"/>
  <c r="O5938" i="1"/>
  <c r="Q5938" i="1"/>
  <c r="R5938" i="1" s="1"/>
  <c r="O5787" i="1"/>
  <c r="Q5787" i="1"/>
  <c r="O5548" i="1"/>
  <c r="Q5548" i="1"/>
  <c r="Q1625" i="1"/>
  <c r="O1625" i="1"/>
  <c r="Q5093" i="1"/>
  <c r="O5093" i="1"/>
  <c r="Q5081" i="1"/>
  <c r="O5081" i="1"/>
  <c r="Q5095" i="1"/>
  <c r="R5095" i="1" s="1"/>
  <c r="R80" i="1"/>
  <c r="R104" i="1"/>
  <c r="R341" i="1"/>
  <c r="R400" i="1"/>
  <c r="R617" i="1"/>
  <c r="R633" i="1"/>
  <c r="R639" i="1"/>
  <c r="R646" i="1"/>
  <c r="R654" i="1"/>
  <c r="R672" i="1"/>
  <c r="R687" i="1"/>
  <c r="R703" i="1"/>
  <c r="R710" i="1"/>
  <c r="R716" i="1"/>
  <c r="R722" i="1"/>
  <c r="R740" i="1"/>
  <c r="R746" i="1"/>
  <c r="R768" i="1"/>
  <c r="R774" i="1"/>
  <c r="R780" i="1"/>
  <c r="R791" i="1"/>
  <c r="R800" i="1"/>
  <c r="R806" i="1"/>
  <c r="R812" i="1"/>
  <c r="O5070" i="1"/>
  <c r="Q5070" i="1"/>
  <c r="Q5055" i="1"/>
  <c r="O5055" i="1"/>
  <c r="R5055" i="1" s="1"/>
  <c r="O6058" i="1"/>
  <c r="Q6058" i="1"/>
  <c r="R6058" i="1" s="1"/>
  <c r="O5113" i="1"/>
  <c r="Q5113" i="1"/>
  <c r="R5113" i="1" s="1"/>
  <c r="O5818" i="1"/>
  <c r="Q5818" i="1"/>
  <c r="Q5286" i="1"/>
  <c r="O5286" i="1"/>
  <c r="O5579" i="1"/>
  <c r="Q5579" i="1"/>
  <c r="R986" i="1"/>
  <c r="R118" i="1"/>
  <c r="R141" i="1"/>
  <c r="R165" i="1"/>
  <c r="R203" i="1"/>
  <c r="R233" i="1"/>
  <c r="R518" i="1"/>
  <c r="R618" i="1"/>
  <c r="R640" i="1"/>
  <c r="R647" i="1"/>
  <c r="R662" i="1"/>
  <c r="R688" i="1"/>
  <c r="R697" i="1"/>
  <c r="R711" i="1"/>
  <c r="R723" i="1"/>
  <c r="R741" i="1"/>
  <c r="R747" i="1"/>
  <c r="R763" i="1"/>
  <c r="R769" i="1"/>
  <c r="O5300" i="1"/>
  <c r="Q5297" i="1"/>
  <c r="O5297" i="1"/>
  <c r="Q5293" i="1"/>
  <c r="O5293" i="1"/>
  <c r="O5253" i="1"/>
  <c r="Q5253" i="1"/>
  <c r="R5253" i="1" s="1"/>
  <c r="O6004" i="1"/>
  <c r="Q6004" i="1"/>
  <c r="R6004" i="1" s="1"/>
  <c r="R140" i="1"/>
  <c r="Q6006" i="1"/>
  <c r="R6006" i="1" s="1"/>
  <c r="Q5228" i="1"/>
  <c r="O5228" i="1"/>
  <c r="O4333" i="1"/>
  <c r="Q4333" i="1"/>
  <c r="R836" i="1"/>
  <c r="R860" i="1"/>
  <c r="R1009" i="1"/>
  <c r="R1017" i="1"/>
  <c r="R1024" i="1"/>
  <c r="R1032" i="1"/>
  <c r="R1105" i="1"/>
  <c r="R1721" i="1"/>
  <c r="R1728" i="1"/>
  <c r="R1742" i="1"/>
  <c r="R1749" i="1"/>
  <c r="R1755" i="1"/>
  <c r="R1762" i="1"/>
  <c r="R1768" i="1"/>
  <c r="R1832" i="1"/>
  <c r="R1855" i="1"/>
  <c r="R1862" i="1"/>
  <c r="R1885" i="1"/>
  <c r="R1892" i="1"/>
  <c r="R1900" i="1"/>
  <c r="R1906" i="1"/>
  <c r="R1914" i="1"/>
  <c r="R1926" i="1"/>
  <c r="R1933" i="1"/>
  <c r="R1981" i="1"/>
  <c r="R2539" i="1"/>
  <c r="R2808" i="1"/>
  <c r="R2837" i="1"/>
  <c r="R2978" i="1"/>
  <c r="R2999" i="1"/>
  <c r="R3005" i="1"/>
  <c r="R3011" i="1"/>
  <c r="R3023" i="1"/>
  <c r="R3036" i="1"/>
  <c r="R3043" i="1"/>
  <c r="R4708" i="1"/>
  <c r="R4727" i="1"/>
  <c r="R4733" i="1"/>
  <c r="R4739" i="1"/>
  <c r="R5026" i="1"/>
  <c r="R5061" i="1"/>
  <c r="R775" i="1"/>
  <c r="R782" i="1"/>
  <c r="R792" i="1"/>
  <c r="R807" i="1"/>
  <c r="R814" i="1"/>
  <c r="R821" i="1"/>
  <c r="R829" i="1"/>
  <c r="R843" i="1"/>
  <c r="R849" i="1"/>
  <c r="R861" i="1"/>
  <c r="R1003" i="1"/>
  <c r="R1010" i="1"/>
  <c r="R1039" i="1"/>
  <c r="R1049" i="1"/>
  <c r="R1063" i="1"/>
  <c r="R1069" i="1"/>
  <c r="R1075" i="1"/>
  <c r="R1082" i="1"/>
  <c r="R1094" i="1"/>
  <c r="R1117" i="1"/>
  <c r="R1129" i="1"/>
  <c r="R1149" i="1"/>
  <c r="R1181" i="1"/>
  <c r="R1200" i="1"/>
  <c r="R1224" i="1"/>
  <c r="R1231" i="1"/>
  <c r="R1239" i="1"/>
  <c r="R1245" i="1"/>
  <c r="R1253" i="1"/>
  <c r="R1262" i="1"/>
  <c r="R1316" i="1"/>
  <c r="R1397" i="1"/>
  <c r="R1426" i="1"/>
  <c r="R1435" i="1"/>
  <c r="R1451" i="1"/>
  <c r="R1474" i="1"/>
  <c r="R1493" i="1"/>
  <c r="R1506" i="1"/>
  <c r="R1518" i="1"/>
  <c r="R1538" i="1"/>
  <c r="R1547" i="1"/>
  <c r="R1558" i="1"/>
  <c r="R1564" i="1"/>
  <c r="R1581" i="1"/>
  <c r="R1587" i="1"/>
  <c r="R1596" i="1"/>
  <c r="R1605" i="1"/>
  <c r="R1613" i="1"/>
  <c r="R1624" i="1"/>
  <c r="R1691" i="1"/>
  <c r="R1701" i="1"/>
  <c r="R344" i="1"/>
  <c r="R2140" i="1"/>
  <c r="R55" i="1"/>
  <c r="R205" i="1"/>
  <c r="R222" i="1"/>
  <c r="R234" i="1"/>
  <c r="R241" i="1"/>
  <c r="R297" i="1"/>
  <c r="R449" i="1"/>
  <c r="R612" i="1"/>
  <c r="R619" i="1"/>
  <c r="R626" i="1"/>
  <c r="R641" i="1"/>
  <c r="R648" i="1"/>
  <c r="R657" i="1"/>
  <c r="R663" i="1"/>
  <c r="R698" i="1"/>
  <c r="R706" i="1"/>
  <c r="R718" i="1"/>
  <c r="R732" i="1"/>
  <c r="R751" i="1"/>
  <c r="R758" i="1"/>
  <c r="R764" i="1"/>
  <c r="R770" i="1"/>
  <c r="R783" i="1"/>
  <c r="R794" i="1"/>
  <c r="R802" i="1"/>
  <c r="R808" i="1"/>
  <c r="R830" i="1"/>
  <c r="R844" i="1"/>
  <c r="R850" i="1"/>
  <c r="R856" i="1"/>
  <c r="R869" i="1"/>
  <c r="R1004" i="1"/>
  <c r="R1011" i="1"/>
  <c r="R1027" i="1"/>
  <c r="R1070" i="1"/>
  <c r="R1077" i="1"/>
  <c r="R1083" i="1"/>
  <c r="R1089" i="1"/>
  <c r="R1095" i="1"/>
  <c r="R1118" i="1"/>
  <c r="R1124" i="1"/>
  <c r="R1130" i="1"/>
  <c r="R1168" i="1"/>
  <c r="R1176" i="1"/>
  <c r="R1188" i="1"/>
  <c r="R1194" i="1"/>
  <c r="R1218" i="1"/>
  <c r="R1225" i="1"/>
  <c r="R1233" i="1"/>
  <c r="R1240" i="1"/>
  <c r="R1246" i="1"/>
  <c r="R1254" i="1"/>
  <c r="R1263" i="1"/>
  <c r="R1273" i="1"/>
  <c r="R1282" i="1"/>
  <c r="R1302" i="1"/>
  <c r="R1398" i="1"/>
  <c r="R1418" i="1"/>
  <c r="R1436" i="1"/>
  <c r="R1444" i="1"/>
  <c r="R1453" i="1"/>
  <c r="R1462" i="1"/>
  <c r="R1475" i="1"/>
  <c r="R1494" i="1"/>
  <c r="R1501" i="1"/>
  <c r="R1508" i="1"/>
  <c r="R1520" i="1"/>
  <c r="R1539" i="1"/>
  <c r="R1548" i="1"/>
  <c r="R1559" i="1"/>
  <c r="R1565" i="1"/>
  <c r="R1582" i="1"/>
  <c r="R1589" i="1"/>
  <c r="R1597" i="1"/>
  <c r="R1606" i="1"/>
  <c r="R1615" i="1"/>
  <c r="R1635" i="1"/>
  <c r="R1656" i="1"/>
  <c r="R1682" i="1"/>
  <c r="R1692" i="1"/>
  <c r="R1705" i="1"/>
  <c r="O5469" i="1"/>
  <c r="R5469" i="1" s="1"/>
  <c r="R1329" i="1"/>
  <c r="R2131" i="1"/>
  <c r="R2142" i="1"/>
  <c r="R107" i="1"/>
  <c r="R114" i="1"/>
  <c r="O5367" i="1"/>
  <c r="Q5367" i="1"/>
  <c r="R2060" i="1"/>
  <c r="R2068" i="1"/>
  <c r="R2079" i="1"/>
  <c r="R2088" i="1"/>
  <c r="R2094" i="1"/>
  <c r="R2100" i="1"/>
  <c r="R2950" i="1"/>
  <c r="O5112" i="1"/>
  <c r="Q5112" i="1"/>
  <c r="O5288" i="1"/>
  <c r="Q5288" i="1"/>
  <c r="R1172" i="1"/>
  <c r="R1190" i="1"/>
  <c r="R1196" i="1"/>
  <c r="R1206" i="1"/>
  <c r="R1214" i="1"/>
  <c r="R1228" i="1"/>
  <c r="R1236" i="1"/>
  <c r="R1242" i="1"/>
  <c r="R1257" i="1"/>
  <c r="R1267" i="1"/>
  <c r="R1286" i="1"/>
  <c r="R1295" i="1"/>
  <c r="R1422" i="1"/>
  <c r="R1430" i="1"/>
  <c r="R1439" i="1"/>
  <c r="R1447" i="1"/>
  <c r="R1481" i="1"/>
  <c r="R1489" i="1"/>
  <c r="R1497" i="1"/>
  <c r="R1503" i="1"/>
  <c r="R1535" i="1"/>
  <c r="R1551" i="1"/>
  <c r="R1561" i="1"/>
  <c r="R1567" i="1"/>
  <c r="R1576" i="1"/>
  <c r="R1592" i="1"/>
  <c r="R1599" i="1"/>
  <c r="R1609" i="1"/>
  <c r="R1621" i="1"/>
  <c r="R1638" i="1"/>
  <c r="R1647" i="1"/>
  <c r="R1659" i="1"/>
  <c r="R1666" i="1"/>
  <c r="R1676" i="1"/>
  <c r="R1685" i="1"/>
  <c r="R1696" i="1"/>
  <c r="R1724" i="1"/>
  <c r="R1744" i="1"/>
  <c r="R1751" i="1"/>
  <c r="R1758" i="1"/>
  <c r="R1770" i="1"/>
  <c r="R1779" i="1"/>
  <c r="R1801" i="1"/>
  <c r="R1834" i="1"/>
  <c r="R1840" i="1"/>
  <c r="R1850" i="1"/>
  <c r="R1858" i="1"/>
  <c r="R1880" i="1"/>
  <c r="R1916" i="1"/>
  <c r="R1928" i="1"/>
  <c r="R1935" i="1"/>
  <c r="R1949" i="1"/>
  <c r="R1957" i="1"/>
  <c r="R1976" i="1"/>
  <c r="R2021" i="1"/>
  <c r="R2265" i="1"/>
  <c r="R2425" i="1"/>
  <c r="R2599" i="1"/>
  <c r="R2968" i="1"/>
  <c r="R2974" i="1"/>
  <c r="R2981" i="1"/>
  <c r="R2987" i="1"/>
  <c r="R2995" i="1"/>
  <c r="R3001" i="1"/>
  <c r="R3007" i="1"/>
  <c r="R3013" i="1"/>
  <c r="R3025" i="1"/>
  <c r="R3032" i="1"/>
  <c r="R3038" i="1"/>
  <c r="R3045" i="1"/>
  <c r="R3065" i="1"/>
  <c r="R3073" i="1"/>
  <c r="R3080" i="1"/>
  <c r="R3087" i="1"/>
  <c r="R3094" i="1"/>
  <c r="R3759" i="1"/>
  <c r="R3765" i="1"/>
  <c r="R3777" i="1"/>
  <c r="R3783" i="1"/>
  <c r="Q5658" i="1"/>
  <c r="R5658" i="1" s="1"/>
  <c r="R1134" i="1"/>
  <c r="R1154" i="1"/>
  <c r="R1165" i="1"/>
  <c r="R1173" i="1"/>
  <c r="R1185" i="1"/>
  <c r="R1191" i="1"/>
  <c r="R1207" i="1"/>
  <c r="R1215" i="1"/>
  <c r="R1222" i="1"/>
  <c r="R1289" i="1"/>
  <c r="R1314" i="1"/>
  <c r="R1405" i="1"/>
  <c r="R1424" i="1"/>
  <c r="R1441" i="1"/>
  <c r="R1448" i="1"/>
  <c r="R1456" i="1"/>
  <c r="R1465" i="1"/>
  <c r="R1483" i="1"/>
  <c r="R1490" i="1"/>
  <c r="R1498" i="1"/>
  <c r="R1504" i="1"/>
  <c r="R1524" i="1"/>
  <c r="R1536" i="1"/>
  <c r="R1553" i="1"/>
  <c r="R1562" i="1"/>
  <c r="R1578" i="1"/>
  <c r="R1593" i="1"/>
  <c r="R1603" i="1"/>
  <c r="R1610" i="1"/>
  <c r="R1628" i="1"/>
  <c r="R1640" i="1"/>
  <c r="R1648" i="1"/>
  <c r="R1667" i="1"/>
  <c r="R1678" i="1"/>
  <c r="R1686" i="1"/>
  <c r="R1697" i="1"/>
  <c r="R1709" i="1"/>
  <c r="R1725" i="1"/>
  <c r="R1737" i="1"/>
  <c r="R1745" i="1"/>
  <c r="R1752" i="1"/>
  <c r="R1759" i="1"/>
  <c r="R1771" i="1"/>
  <c r="R1780" i="1"/>
  <c r="R1808" i="1"/>
  <c r="R1859" i="1"/>
  <c r="R1868" i="1"/>
  <c r="R1875" i="1"/>
  <c r="R1897" i="1"/>
  <c r="R1903" i="1"/>
  <c r="R1910" i="1"/>
  <c r="R1923" i="1"/>
  <c r="R1936" i="1"/>
  <c r="R1997" i="1"/>
  <c r="R2035" i="1"/>
  <c r="R2041" i="1"/>
  <c r="R2432" i="1"/>
  <c r="R2969" i="1"/>
  <c r="R2982" i="1"/>
  <c r="R2988" i="1"/>
  <c r="R2996" i="1"/>
  <c r="R3002" i="1"/>
  <c r="R3008" i="1"/>
  <c r="R3020" i="1"/>
  <c r="R3026" i="1"/>
  <c r="R3033" i="1"/>
  <c r="R3040" i="1"/>
  <c r="R3060" i="1"/>
  <c r="R3066" i="1"/>
  <c r="R3081" i="1"/>
  <c r="R3088" i="1"/>
  <c r="R3095" i="1"/>
  <c r="R3112" i="1"/>
  <c r="R3118" i="1"/>
  <c r="R3124" i="1"/>
  <c r="O5422" i="1"/>
  <c r="Q5422" i="1"/>
  <c r="Q5417" i="1"/>
  <c r="O5417" i="1"/>
  <c r="R1135" i="1"/>
  <c r="R1141" i="1"/>
  <c r="R1148" i="1"/>
  <c r="R1157" i="1"/>
  <c r="R1166" i="1"/>
  <c r="R1174" i="1"/>
  <c r="R1186" i="1"/>
  <c r="R1192" i="1"/>
  <c r="R1199" i="1"/>
  <c r="R1216" i="1"/>
  <c r="R1223" i="1"/>
  <c r="R1230" i="1"/>
  <c r="R1238" i="1"/>
  <c r="O5142" i="1"/>
  <c r="R5142" i="1" s="1"/>
  <c r="O5869" i="1"/>
  <c r="R5869" i="1" s="1"/>
  <c r="O6038" i="1"/>
  <c r="Q6038" i="1"/>
  <c r="R6038" i="1" s="1"/>
  <c r="O5553" i="1"/>
  <c r="Q5553" i="1"/>
  <c r="O5967" i="1"/>
  <c r="R5967" i="1" s="1"/>
  <c r="Q5967" i="1"/>
  <c r="O5323" i="1"/>
  <c r="Q5323" i="1"/>
  <c r="R5323" i="1" s="1"/>
  <c r="O6069" i="1"/>
  <c r="Q6069" i="1"/>
  <c r="O5995" i="1"/>
  <c r="Q5995" i="1"/>
  <c r="O5955" i="1"/>
  <c r="Q5955" i="1"/>
  <c r="O5698" i="1"/>
  <c r="Q5698" i="1"/>
  <c r="O5412" i="1"/>
  <c r="R5412" i="1" s="1"/>
  <c r="Q5412" i="1"/>
  <c r="O5728" i="1"/>
  <c r="Q5728" i="1"/>
  <c r="Q5494" i="1"/>
  <c r="O5494" i="1"/>
  <c r="Q5299" i="1"/>
  <c r="O5299" i="1"/>
  <c r="Q5292" i="1"/>
  <c r="O5292" i="1"/>
  <c r="Q5343" i="1"/>
  <c r="O5343" i="1"/>
  <c r="R3368" i="1"/>
  <c r="R4549" i="1"/>
  <c r="R4568" i="1"/>
  <c r="R4575" i="1"/>
  <c r="R4587" i="1"/>
  <c r="R4594" i="1"/>
  <c r="R4600" i="1"/>
  <c r="R4612" i="1"/>
  <c r="R4619" i="1"/>
  <c r="R4637" i="1"/>
  <c r="R4643" i="1"/>
  <c r="R4655" i="1"/>
  <c r="R4673" i="1"/>
  <c r="R4679" i="1"/>
  <c r="R4685" i="1"/>
  <c r="O5772" i="1"/>
  <c r="Q6001" i="1"/>
  <c r="R6001" i="1" s="1"/>
  <c r="Q6037" i="1"/>
  <c r="R6037" i="1" s="1"/>
  <c r="R3417" i="1"/>
  <c r="R3443" i="1"/>
  <c r="R3449" i="1"/>
  <c r="R3461" i="1"/>
  <c r="R3481" i="1"/>
  <c r="R3503" i="1"/>
  <c r="R3412" i="1"/>
  <c r="R3418" i="1"/>
  <c r="R3438" i="1"/>
  <c r="R3462" i="1"/>
  <c r="R3475" i="1"/>
  <c r="R3495" i="1"/>
  <c r="R3761" i="1"/>
  <c r="R3767" i="1"/>
  <c r="R3773" i="1"/>
  <c r="R3779" i="1"/>
  <c r="R3785" i="1"/>
  <c r="R4704" i="1"/>
  <c r="R4717" i="1"/>
  <c r="R4741" i="1"/>
  <c r="R4747" i="1"/>
  <c r="R4753" i="1"/>
  <c r="R4759" i="1"/>
  <c r="R4770" i="1"/>
  <c r="R4788" i="1"/>
  <c r="R4806" i="1"/>
  <c r="R4830" i="1"/>
  <c r="R4836" i="1"/>
  <c r="R4842" i="1"/>
  <c r="R4848" i="1"/>
  <c r="R4860" i="1"/>
  <c r="R4872" i="1"/>
  <c r="R4891" i="1"/>
  <c r="R4897" i="1"/>
  <c r="Q5358" i="1"/>
  <c r="R5358" i="1" s="1"/>
  <c r="R5691" i="1"/>
  <c r="R5697" i="1"/>
  <c r="R5706" i="1"/>
  <c r="Q5812" i="1"/>
  <c r="R5812" i="1" s="1"/>
  <c r="Q5099" i="1"/>
  <c r="R5099" i="1" s="1"/>
  <c r="Q5183" i="1"/>
  <c r="R5183" i="1" s="1"/>
  <c r="O5846" i="1"/>
  <c r="R3762" i="1"/>
  <c r="R3768" i="1"/>
  <c r="R3774" i="1"/>
  <c r="R3780" i="1"/>
  <c r="R4699" i="1"/>
  <c r="R4705" i="1"/>
  <c r="R4783" i="1"/>
  <c r="R4843" i="1"/>
  <c r="R4849" i="1"/>
  <c r="R4873" i="1"/>
  <c r="R4879" i="1"/>
  <c r="R4885" i="1"/>
  <c r="R4892" i="1"/>
  <c r="Q5950" i="1"/>
  <c r="R5950" i="1" s="1"/>
  <c r="R1974" i="1"/>
  <c r="R3051" i="1"/>
  <c r="R3057" i="1"/>
  <c r="R3069" i="1"/>
  <c r="R3077" i="1"/>
  <c r="R3084" i="1"/>
  <c r="R3098" i="1"/>
  <c r="R3109" i="1"/>
  <c r="R3115" i="1"/>
  <c r="R3121" i="1"/>
  <c r="R3133" i="1"/>
  <c r="R3139" i="1"/>
  <c r="R3145" i="1"/>
  <c r="R3151" i="1"/>
  <c r="R3161" i="1"/>
  <c r="R3171" i="1"/>
  <c r="R3189" i="1"/>
  <c r="R3195" i="1"/>
  <c r="R3213" i="1"/>
  <c r="R3234" i="1"/>
  <c r="R3240" i="1"/>
  <c r="R3246" i="1"/>
  <c r="R3264" i="1"/>
  <c r="R3270" i="1"/>
  <c r="R3282" i="1"/>
  <c r="R3290" i="1"/>
  <c r="R3296" i="1"/>
  <c r="R3302" i="1"/>
  <c r="R3308" i="1"/>
  <c r="R3320" i="1"/>
  <c r="R3327" i="1"/>
  <c r="R3347" i="1"/>
  <c r="R3371" i="1"/>
  <c r="R3526" i="1"/>
  <c r="R3532" i="1"/>
  <c r="R3538" i="1"/>
  <c r="R3547" i="1"/>
  <c r="R3568" i="1"/>
  <c r="R3574" i="1"/>
  <c r="R4559" i="1"/>
  <c r="R4584" i="1"/>
  <c r="R4591" i="1"/>
  <c r="R4597" i="1"/>
  <c r="R4603" i="1"/>
  <c r="R4609" i="1"/>
  <c r="R4622" i="1"/>
  <c r="R4628" i="1"/>
  <c r="R4634" i="1"/>
  <c r="R4640" i="1"/>
  <c r="R4652" i="1"/>
  <c r="R4670" i="1"/>
  <c r="R4676" i="1"/>
  <c r="R4688" i="1"/>
  <c r="R4700" i="1"/>
  <c r="R4706" i="1"/>
  <c r="R4713" i="1"/>
  <c r="R4725" i="1"/>
  <c r="R4731" i="1"/>
  <c r="R4737" i="1"/>
  <c r="R4743" i="1"/>
  <c r="R4784" i="1"/>
  <c r="R4808" i="1"/>
  <c r="R4826" i="1"/>
  <c r="R4862" i="1"/>
  <c r="R4918" i="1"/>
  <c r="R4942" i="1"/>
  <c r="R4973" i="1"/>
  <c r="R4982" i="1"/>
  <c r="R4994" i="1"/>
  <c r="R5006" i="1"/>
  <c r="R5018" i="1"/>
  <c r="R5038" i="1"/>
  <c r="R5053" i="1"/>
  <c r="R5065" i="1"/>
  <c r="Q5988" i="1"/>
  <c r="R5988" i="1" s="1"/>
  <c r="Q6040" i="1"/>
  <c r="Q6047" i="1"/>
  <c r="R6047" i="1" s="1"/>
  <c r="Q5504" i="1"/>
  <c r="R5504" i="1" s="1"/>
  <c r="Q5990" i="1"/>
  <c r="R5990" i="1" s="1"/>
  <c r="Q6077" i="1"/>
  <c r="R6077" i="1" s="1"/>
  <c r="Q1713" i="1"/>
  <c r="N1713" i="1"/>
  <c r="O1713" i="1" s="1"/>
  <c r="R3052" i="1"/>
  <c r="R3072" i="1"/>
  <c r="R3078" i="1"/>
  <c r="R3093" i="1"/>
  <c r="R3110" i="1"/>
  <c r="R3116" i="1"/>
  <c r="R3122" i="1"/>
  <c r="R3128" i="1"/>
  <c r="R3134" i="1"/>
  <c r="R3140" i="1"/>
  <c r="R3152" i="1"/>
  <c r="R3172" i="1"/>
  <c r="R3178" i="1"/>
  <c r="R3190" i="1"/>
  <c r="R3208" i="1"/>
  <c r="R3225" i="1"/>
  <c r="R3235" i="1"/>
  <c r="R3241" i="1"/>
  <c r="R3247" i="1"/>
  <c r="R3253" i="1"/>
  <c r="R3259" i="1"/>
  <c r="R3265" i="1"/>
  <c r="R3277" i="1"/>
  <c r="R3283" i="1"/>
  <c r="R3291" i="1"/>
  <c r="R3297" i="1"/>
  <c r="R3303" i="1"/>
  <c r="R3309" i="1"/>
  <c r="R3321" i="1"/>
  <c r="R3354" i="1"/>
  <c r="R3360" i="1"/>
  <c r="R3372" i="1"/>
  <c r="R3384" i="1"/>
  <c r="R3527" i="1"/>
  <c r="R3539" i="1"/>
  <c r="R3554" i="1"/>
  <c r="R3560" i="1"/>
  <c r="R3575" i="1"/>
  <c r="R3587" i="1"/>
  <c r="R4579" i="1"/>
  <c r="R4585" i="1"/>
  <c r="R4592" i="1"/>
  <c r="R4598" i="1"/>
  <c r="R4604" i="1"/>
  <c r="R4610" i="1"/>
  <c r="R4617" i="1"/>
  <c r="R4623" i="1"/>
  <c r="R4665" i="1"/>
  <c r="R4671" i="1"/>
  <c r="R4695" i="1"/>
  <c r="R5715" i="1"/>
  <c r="O5840" i="1"/>
  <c r="R5840" i="1" s="1"/>
  <c r="Q6070" i="1"/>
  <c r="R6070" i="1" s="1"/>
  <c r="R1961" i="1"/>
  <c r="O6053" i="1"/>
  <c r="R6053" i="1" s="1"/>
  <c r="Q5488" i="1"/>
  <c r="R5488" i="1" s="1"/>
  <c r="O5046" i="1"/>
  <c r="R5046" i="1" s="1"/>
  <c r="R729" i="1"/>
  <c r="Q6003" i="1"/>
  <c r="R6003" i="1" s="1"/>
  <c r="Q6021" i="1"/>
  <c r="R6021" i="1" s="1"/>
  <c r="O6000" i="1"/>
  <c r="R6000" i="1" s="1"/>
  <c r="Q5581" i="1"/>
  <c r="R1711" i="1"/>
  <c r="Q5490" i="1"/>
  <c r="R5490" i="1" s="1"/>
  <c r="Q5703" i="1"/>
  <c r="R5703" i="1" s="1"/>
  <c r="Q5989" i="1"/>
  <c r="R5989" i="1" s="1"/>
  <c r="R5696" i="1"/>
  <c r="Q6033" i="1"/>
  <c r="R6033" i="1" s="1"/>
  <c r="R5071" i="1"/>
  <c r="Q5463" i="1"/>
  <c r="Q5884" i="1"/>
  <c r="R5884" i="1" s="1"/>
  <c r="Q6025" i="1"/>
  <c r="R6025" i="1" s="1"/>
  <c r="Q6065" i="1"/>
  <c r="R6065" i="1" s="1"/>
  <c r="Q6048" i="1"/>
  <c r="R6048" i="1" s="1"/>
  <c r="O6082" i="1"/>
  <c r="R6082" i="1" s="1"/>
  <c r="Q243" i="1"/>
  <c r="R243" i="1" s="1"/>
  <c r="R4554" i="1"/>
  <c r="Q5141" i="1"/>
  <c r="R5141" i="1" s="1"/>
  <c r="Q5239" i="1"/>
  <c r="Q5334" i="1"/>
  <c r="R5334" i="1" s="1"/>
  <c r="Q5407" i="1"/>
  <c r="Q5705" i="1"/>
  <c r="R5705" i="1" s="1"/>
  <c r="Q5764" i="1"/>
  <c r="R5764" i="1" s="1"/>
  <c r="Q5770" i="1"/>
  <c r="R5770" i="1" s="1"/>
  <c r="Q5879" i="1"/>
  <c r="R5879" i="1" s="1"/>
  <c r="Q6008" i="1"/>
  <c r="R6008" i="1" s="1"/>
  <c r="Q6067" i="1"/>
  <c r="R6067" i="1" s="1"/>
  <c r="Q5921" i="1"/>
  <c r="R5921" i="1" s="1"/>
  <c r="Q5933" i="1"/>
  <c r="R5933" i="1" s="1"/>
  <c r="Q6016" i="1"/>
  <c r="R6016" i="1" s="1"/>
  <c r="Q6043" i="1"/>
  <c r="R6043" i="1" s="1"/>
  <c r="R5067" i="1"/>
  <c r="Q5328" i="1"/>
  <c r="R5328" i="1" s="1"/>
  <c r="Q5893" i="1"/>
  <c r="R5893" i="1" s="1"/>
  <c r="Q5900" i="1"/>
  <c r="R5900" i="1" s="1"/>
  <c r="Q5949" i="1"/>
  <c r="R5949" i="1" s="1"/>
  <c r="Q5979" i="1"/>
  <c r="R5979" i="1" s="1"/>
  <c r="Q6018" i="1"/>
  <c r="R6018" i="1" s="1"/>
  <c r="R1335" i="1"/>
  <c r="R993" i="1"/>
  <c r="R1530" i="1"/>
  <c r="R609" i="1"/>
  <c r="R1092" i="1"/>
  <c r="R1140" i="1"/>
  <c r="R1147" i="1"/>
  <c r="R1179" i="1"/>
  <c r="R1198" i="1"/>
  <c r="R1229" i="1"/>
  <c r="R1237" i="1"/>
  <c r="R1243" i="1"/>
  <c r="R1251" i="1"/>
  <c r="R1258" i="1"/>
  <c r="R1268" i="1"/>
  <c r="R1277" i="1"/>
  <c r="R1297" i="1"/>
  <c r="R1306" i="1"/>
  <c r="R1322" i="1"/>
  <c r="R1346" i="1"/>
  <c r="R1356" i="1"/>
  <c r="R1371" i="1"/>
  <c r="R1379" i="1"/>
  <c r="R1393" i="1"/>
  <c r="R1411" i="1"/>
  <c r="R1433" i="1"/>
  <c r="R1472" i="1"/>
  <c r="R1514" i="1"/>
  <c r="R1543" i="1"/>
  <c r="R1569" i="1"/>
  <c r="R1585" i="1"/>
  <c r="R2064" i="1"/>
  <c r="R2070" i="1"/>
  <c r="R2082" i="1"/>
  <c r="R2090" i="1"/>
  <c r="R2096" i="1"/>
  <c r="R1244" i="1"/>
  <c r="R1252" i="1"/>
  <c r="R1259" i="1"/>
  <c r="R1298" i="1"/>
  <c r="R1308" i="1"/>
  <c r="R1315" i="1"/>
  <c r="R1394" i="1"/>
  <c r="R1434" i="1"/>
  <c r="R1450" i="1"/>
  <c r="R1458" i="1"/>
  <c r="R1473" i="1"/>
  <c r="R1491" i="1"/>
  <c r="R1499" i="1"/>
  <c r="R1505" i="1"/>
  <c r="R1537" i="1"/>
  <c r="R1557" i="1"/>
  <c r="R1563" i="1"/>
  <c r="R1580" i="1"/>
  <c r="R1594" i="1"/>
  <c r="R1612" i="1"/>
  <c r="R1623" i="1"/>
  <c r="R1633" i="1"/>
  <c r="R1661" i="1"/>
  <c r="R1688" i="1"/>
  <c r="R1700" i="1"/>
  <c r="R1718" i="1"/>
  <c r="R1726" i="1"/>
  <c r="R1746" i="1"/>
  <c r="R1753" i="1"/>
  <c r="R1760" i="1"/>
  <c r="R1766" i="1"/>
  <c r="R1772" i="1"/>
  <c r="R1822" i="1"/>
  <c r="R1870" i="1"/>
  <c r="R1882" i="1"/>
  <c r="R1904" i="1"/>
  <c r="R1911" i="1"/>
  <c r="R1918" i="1"/>
  <c r="R1924" i="1"/>
  <c r="R1930" i="1"/>
  <c r="R1937" i="1"/>
  <c r="R1951" i="1"/>
  <c r="R1978" i="1"/>
  <c r="R1998" i="1"/>
  <c r="R2042" i="1"/>
  <c r="R2317" i="1"/>
  <c r="R2469" i="1"/>
  <c r="R2970" i="1"/>
  <c r="R2976" i="1"/>
  <c r="R2983" i="1"/>
  <c r="R2997" i="1"/>
  <c r="R3003" i="1"/>
  <c r="R3009" i="1"/>
  <c r="R3015" i="1"/>
  <c r="R3027" i="1"/>
  <c r="R3041" i="1"/>
  <c r="R3047" i="1"/>
  <c r="R3055" i="1"/>
  <c r="R3061" i="1"/>
  <c r="R3075" i="1"/>
  <c r="R3082" i="1"/>
  <c r="R3089" i="1"/>
  <c r="R1362" i="1"/>
  <c r="R1074" i="1"/>
  <c r="R1116" i="1"/>
  <c r="R1122" i="1"/>
  <c r="R1180" i="1"/>
  <c r="R1208" i="1"/>
  <c r="R983" i="1"/>
  <c r="R1336" i="1"/>
  <c r="R1088" i="1"/>
  <c r="R1107" i="1"/>
  <c r="R1123" i="1"/>
  <c r="R1136" i="1"/>
  <c r="R1142" i="1"/>
  <c r="R1158" i="1"/>
  <c r="R1167" i="1"/>
  <c r="R1175" i="1"/>
  <c r="R1187" i="1"/>
  <c r="R1193" i="1"/>
  <c r="R1209" i="1"/>
  <c r="R1217" i="1"/>
  <c r="R1272" i="1"/>
  <c r="R1280" i="1"/>
  <c r="R1292" i="1"/>
  <c r="R1299" i="1"/>
  <c r="R1309" i="1"/>
  <c r="R1326" i="1"/>
  <c r="R1349" i="1"/>
  <c r="R1360" i="1"/>
  <c r="R1373" i="1"/>
  <c r="R1385" i="1"/>
  <c r="R1407" i="1"/>
  <c r="R1417" i="1"/>
  <c r="R1443" i="1"/>
  <c r="R1460" i="1"/>
  <c r="R1467" i="1"/>
  <c r="R1486" i="1"/>
  <c r="R1528" i="1"/>
  <c r="R1571" i="1"/>
  <c r="R2066" i="1"/>
  <c r="R2073" i="1"/>
  <c r="R2086" i="1"/>
  <c r="R2092" i="1"/>
  <c r="R3419" i="1"/>
  <c r="R3426" i="1"/>
  <c r="R1310" i="1"/>
  <c r="R2000" i="1"/>
  <c r="R2146" i="1"/>
  <c r="R1457" i="1"/>
  <c r="R1112" i="1"/>
  <c r="R1160" i="1"/>
  <c r="R1182" i="1"/>
  <c r="R1202" i="1"/>
  <c r="R1210" i="1"/>
  <c r="R1376" i="1"/>
  <c r="R1387" i="1"/>
  <c r="R1408" i="1"/>
  <c r="R1427" i="1"/>
  <c r="R1468" i="1"/>
  <c r="R1487" i="1"/>
  <c r="R1529" i="1"/>
  <c r="R1572" i="1"/>
  <c r="R1715" i="1"/>
  <c r="R1722" i="1"/>
  <c r="R1729" i="1"/>
  <c r="R1735" i="1"/>
  <c r="R1743" i="1"/>
  <c r="R1750" i="1"/>
  <c r="R1756" i="1"/>
  <c r="R1763" i="1"/>
  <c r="R1769" i="1"/>
  <c r="R1793" i="1"/>
  <c r="R1806" i="1"/>
  <c r="R1833" i="1"/>
  <c r="R1839" i="1"/>
  <c r="R1849" i="1"/>
  <c r="R1865" i="1"/>
  <c r="R1893" i="1"/>
  <c r="R1901" i="1"/>
  <c r="R1915" i="1"/>
  <c r="R1940" i="1"/>
  <c r="R1948" i="1"/>
  <c r="R1965" i="1"/>
  <c r="R2026" i="1"/>
  <c r="R2303" i="1"/>
  <c r="R2772" i="1"/>
  <c r="R2845" i="1"/>
  <c r="R2973" i="1"/>
  <c r="R2994" i="1"/>
  <c r="R3006" i="1"/>
  <c r="R115" i="1"/>
  <c r="R1071" i="1"/>
  <c r="R1078" i="1"/>
  <c r="R1119" i="1"/>
  <c r="R1125" i="1"/>
  <c r="R1151" i="1"/>
  <c r="R1171" i="1"/>
  <c r="R1183" i="1"/>
  <c r="R1213" i="1"/>
  <c r="R1227" i="1"/>
  <c r="R1248" i="1"/>
  <c r="R1266" i="1"/>
  <c r="R1338" i="1"/>
  <c r="R1353" i="1"/>
  <c r="R1363" i="1"/>
  <c r="R1377" i="1"/>
  <c r="R1388" i="1"/>
  <c r="R1488" i="1"/>
  <c r="R1512" i="1"/>
  <c r="R1549" i="1"/>
  <c r="R1560" i="1"/>
  <c r="R948" i="1"/>
  <c r="R927" i="1"/>
  <c r="R2149" i="1"/>
  <c r="R116" i="1"/>
  <c r="R1091" i="1"/>
  <c r="R1120" i="1"/>
  <c r="R1152" i="1"/>
  <c r="R1178" i="1"/>
  <c r="R1184" i="1"/>
  <c r="R1221" i="1"/>
  <c r="R1249" i="1"/>
  <c r="R1276" i="1"/>
  <c r="R1313" i="1"/>
  <c r="R1321" i="1"/>
  <c r="R1339" i="1"/>
  <c r="R1354" i="1"/>
  <c r="R1369" i="1"/>
  <c r="R1378" i="1"/>
  <c r="R1390" i="1"/>
  <c r="R1401" i="1"/>
  <c r="R1410" i="1"/>
  <c r="R1455" i="1"/>
  <c r="R1464" i="1"/>
  <c r="R1470" i="1"/>
  <c r="R1513" i="1"/>
  <c r="R1522" i="1"/>
  <c r="R1542" i="1"/>
  <c r="R1584" i="1"/>
  <c r="R2061" i="1"/>
  <c r="R2069" i="1"/>
  <c r="R2081" i="1"/>
  <c r="R2089" i="1"/>
  <c r="R3416" i="1"/>
  <c r="R3436" i="1"/>
  <c r="R3467" i="1"/>
  <c r="R3487" i="1"/>
  <c r="R3502" i="1"/>
  <c r="R4094" i="1"/>
  <c r="R4529" i="1"/>
  <c r="R4535" i="1"/>
  <c r="R4544" i="1"/>
  <c r="R4582" i="1"/>
  <c r="R4589" i="1"/>
  <c r="R4620" i="1"/>
  <c r="R4638" i="1"/>
  <c r="R4650" i="1"/>
  <c r="R4656" i="1"/>
  <c r="R4662" i="1"/>
  <c r="R4686" i="1"/>
  <c r="R4698" i="1"/>
  <c r="R4711" i="1"/>
  <c r="R4723" i="1"/>
  <c r="R4729" i="1"/>
  <c r="R4735" i="1"/>
  <c r="R4776" i="1"/>
  <c r="R4782" i="1"/>
  <c r="R4800" i="1"/>
  <c r="R4812" i="1"/>
  <c r="R4818" i="1"/>
  <c r="R4824" i="1"/>
  <c r="R4854" i="1"/>
  <c r="R4866" i="1"/>
  <c r="R4878" i="1"/>
  <c r="R4884" i="1"/>
  <c r="R4903" i="1"/>
  <c r="R4940" i="1"/>
  <c r="R4946" i="1"/>
  <c r="R4964" i="1"/>
  <c r="R4970" i="1"/>
  <c r="R4986" i="1"/>
  <c r="R4992" i="1"/>
  <c r="R4998" i="1"/>
  <c r="R5004" i="1"/>
  <c r="R5010" i="1"/>
  <c r="R5016" i="1"/>
  <c r="R5022" i="1"/>
  <c r="R5057" i="1"/>
  <c r="R5069" i="1"/>
  <c r="R5526" i="1"/>
  <c r="Q5919" i="1"/>
  <c r="R5919" i="1" s="1"/>
  <c r="R3593" i="1"/>
  <c r="R4530" i="1"/>
  <c r="R4536" i="1"/>
  <c r="R4545" i="1"/>
  <c r="R4570" i="1"/>
  <c r="R4577" i="1"/>
  <c r="R4583" i="1"/>
  <c r="R4608" i="1"/>
  <c r="R4615" i="1"/>
  <c r="R4627" i="1"/>
  <c r="R4633" i="1"/>
  <c r="R4645" i="1"/>
  <c r="R4663" i="1"/>
  <c r="R4675" i="1"/>
  <c r="R4687" i="1"/>
  <c r="R4837" i="1"/>
  <c r="R4861" i="1"/>
  <c r="R4867" i="1"/>
  <c r="R4971" i="1"/>
  <c r="R4981" i="1"/>
  <c r="R5005" i="1"/>
  <c r="R5011" i="1"/>
  <c r="R5017" i="1"/>
  <c r="R5058" i="1"/>
  <c r="R5064" i="1"/>
  <c r="R4718" i="1"/>
  <c r="R4724" i="1"/>
  <c r="R4789" i="1"/>
  <c r="R4801" i="1"/>
  <c r="Q6010" i="1"/>
  <c r="R6010" i="1" s="1"/>
  <c r="Q6051" i="1"/>
  <c r="R6051" i="1" s="1"/>
  <c r="Q6066" i="1"/>
  <c r="R6066" i="1" s="1"/>
  <c r="R3402" i="1"/>
  <c r="R4531" i="1"/>
  <c r="R4537" i="1"/>
  <c r="R4546" i="1"/>
  <c r="R4553" i="1"/>
  <c r="R4565" i="1"/>
  <c r="R4571" i="1"/>
  <c r="R4578" i="1"/>
  <c r="R4616" i="1"/>
  <c r="R4646" i="1"/>
  <c r="R4658" i="1"/>
  <c r="R4664" i="1"/>
  <c r="R4682" i="1"/>
  <c r="R4694" i="1"/>
  <c r="R4749" i="1"/>
  <c r="R4880" i="1"/>
  <c r="Q5702" i="1"/>
  <c r="R5702" i="1" s="1"/>
  <c r="Q5720" i="1"/>
  <c r="R5720" i="1" s="1"/>
  <c r="Q5845" i="1"/>
  <c r="Q5857" i="1"/>
  <c r="R5857" i="1" s="1"/>
  <c r="R1703" i="1"/>
  <c r="R3479" i="1"/>
  <c r="R4629" i="1"/>
  <c r="R4647" i="1"/>
  <c r="R4683" i="1"/>
  <c r="R4689" i="1"/>
  <c r="R4719" i="1"/>
  <c r="Q5968" i="1"/>
  <c r="R5968" i="1" s="1"/>
  <c r="Q5974" i="1"/>
  <c r="R5974" i="1" s="1"/>
  <c r="Q5991" i="1"/>
  <c r="R5991" i="1" s="1"/>
  <c r="Q6034" i="1"/>
  <c r="R6034" i="1" s="1"/>
  <c r="Q6057" i="1"/>
  <c r="R6057" i="1" s="1"/>
  <c r="R3102" i="1"/>
  <c r="R3111" i="1"/>
  <c r="R3117" i="1"/>
  <c r="R3123" i="1"/>
  <c r="R3129" i="1"/>
  <c r="R3141" i="1"/>
  <c r="R3147" i="1"/>
  <c r="R3153" i="1"/>
  <c r="R3163" i="1"/>
  <c r="R3173" i="1"/>
  <c r="R3179" i="1"/>
  <c r="R3197" i="1"/>
  <c r="R3203" i="1"/>
  <c r="R3209" i="1"/>
  <c r="R3219" i="1"/>
  <c r="R3226" i="1"/>
  <c r="R3242" i="1"/>
  <c r="R3248" i="1"/>
  <c r="R3254" i="1"/>
  <c r="R3260" i="1"/>
  <c r="R3272" i="1"/>
  <c r="R3284" i="1"/>
  <c r="R3292" i="1"/>
  <c r="R3298" i="1"/>
  <c r="R3329" i="1"/>
  <c r="R3349" i="1"/>
  <c r="R3355" i="1"/>
  <c r="R3361" i="1"/>
  <c r="R3379" i="1"/>
  <c r="R3385" i="1"/>
  <c r="R3397" i="1"/>
  <c r="R3403" i="1"/>
  <c r="R3522" i="1"/>
  <c r="R3528" i="1"/>
  <c r="R3541" i="1"/>
  <c r="R3555" i="1"/>
  <c r="R3576" i="1"/>
  <c r="R3589" i="1"/>
  <c r="R4547" i="1"/>
  <c r="R4560" i="1"/>
  <c r="R4566" i="1"/>
  <c r="R4573" i="1"/>
  <c r="R4659" i="1"/>
  <c r="R4701" i="1"/>
  <c r="R4707" i="1"/>
  <c r="R4714" i="1"/>
  <c r="R4720" i="1"/>
  <c r="R4732" i="1"/>
  <c r="R4738" i="1"/>
  <c r="R4744" i="1"/>
  <c r="R4750" i="1"/>
  <c r="R4767" i="1"/>
  <c r="R4779" i="1"/>
  <c r="R4797" i="1"/>
  <c r="R4803" i="1"/>
  <c r="R4833" i="1"/>
  <c r="R4839" i="1"/>
  <c r="R4845" i="1"/>
  <c r="R4851" i="1"/>
  <c r="R4863" i="1"/>
  <c r="R4869" i="1"/>
  <c r="R4881" i="1"/>
  <c r="R4894" i="1"/>
  <c r="R4906" i="1"/>
  <c r="R4919" i="1"/>
  <c r="R4925" i="1"/>
  <c r="R4937" i="1"/>
  <c r="R4943" i="1"/>
  <c r="R4955" i="1"/>
  <c r="R4961" i="1"/>
  <c r="R4967" i="1"/>
  <c r="R4974" i="1"/>
  <c r="R4995" i="1"/>
  <c r="R5001" i="1"/>
  <c r="R5007" i="1"/>
  <c r="R5054" i="1"/>
  <c r="R5066" i="1"/>
  <c r="R5073" i="1"/>
  <c r="R5233" i="1"/>
  <c r="R5618" i="1"/>
  <c r="R4567" i="1"/>
  <c r="R4586" i="1"/>
  <c r="R4593" i="1"/>
  <c r="R4599" i="1"/>
  <c r="R4605" i="1"/>
  <c r="R4618" i="1"/>
  <c r="R4624" i="1"/>
  <c r="R4630" i="1"/>
  <c r="R4648" i="1"/>
  <c r="R4654" i="1"/>
  <c r="R4660" i="1"/>
  <c r="R4672" i="1"/>
  <c r="R4684" i="1"/>
  <c r="R4690" i="1"/>
  <c r="Q6035" i="1"/>
  <c r="R6035" i="1" s="1"/>
  <c r="R4757" i="1"/>
  <c r="R4768" i="1"/>
  <c r="R4780" i="1"/>
  <c r="R4798" i="1"/>
  <c r="R4804" i="1"/>
  <c r="R4840" i="1"/>
  <c r="R4846" i="1"/>
  <c r="R4858" i="1"/>
  <c r="R4721" i="1"/>
  <c r="R4895" i="1"/>
  <c r="R3096" i="1"/>
  <c r="R3113" i="1"/>
  <c r="R3119" i="1"/>
  <c r="R3125" i="1"/>
  <c r="R3143" i="1"/>
  <c r="R3149" i="1"/>
  <c r="R3155" i="1"/>
  <c r="R3165" i="1"/>
  <c r="R3193" i="1"/>
  <c r="R3199" i="1"/>
  <c r="R3205" i="1"/>
  <c r="R3228" i="1"/>
  <c r="R3244" i="1"/>
  <c r="R3250" i="1"/>
  <c r="R3262" i="1"/>
  <c r="R3268" i="1"/>
  <c r="R3274" i="1"/>
  <c r="R3280" i="1"/>
  <c r="R3288" i="1"/>
  <c r="R3294" i="1"/>
  <c r="R3306" i="1"/>
  <c r="R3312" i="1"/>
  <c r="R3331" i="1"/>
  <c r="R3338" i="1"/>
  <c r="R3351" i="1"/>
  <c r="R3357" i="1"/>
  <c r="R3375" i="1"/>
  <c r="R3387" i="1"/>
  <c r="R3524" i="1"/>
  <c r="R3530" i="1"/>
  <c r="R3578" i="1"/>
  <c r="R3591" i="1"/>
  <c r="R4528" i="1"/>
  <c r="R4534" i="1"/>
  <c r="R4543" i="1"/>
  <c r="R4556" i="1"/>
  <c r="R4562" i="1"/>
  <c r="R4581" i="1"/>
  <c r="R4606" i="1"/>
  <c r="R4625" i="1"/>
  <c r="R4631" i="1"/>
  <c r="R4649" i="1"/>
  <c r="R4661" i="1"/>
  <c r="R4667" i="1"/>
  <c r="R4691" i="1"/>
  <c r="R4697" i="1"/>
  <c r="R4710" i="1"/>
  <c r="R4716" i="1"/>
  <c r="R4746" i="1"/>
  <c r="R4769" i="1"/>
  <c r="R4781" i="1"/>
  <c r="R4805" i="1"/>
  <c r="R4811" i="1"/>
  <c r="R4829" i="1"/>
  <c r="R4853" i="1"/>
  <c r="R4871" i="1"/>
  <c r="R4877" i="1"/>
  <c r="R4890" i="1"/>
  <c r="R4902" i="1"/>
  <c r="R4921" i="1"/>
  <c r="R4945" i="1"/>
  <c r="R4957" i="1"/>
  <c r="R4963" i="1"/>
  <c r="R4979" i="1"/>
  <c r="R5003" i="1"/>
  <c r="R5021" i="1"/>
  <c r="R5027" i="1"/>
  <c r="R5062" i="1"/>
  <c r="R5078" i="1"/>
  <c r="R5699" i="1"/>
  <c r="R5693" i="1"/>
  <c r="R5297" i="1"/>
  <c r="R4802" i="1"/>
  <c r="R4794" i="1"/>
  <c r="R6084" i="1"/>
  <c r="R6083" i="1"/>
  <c r="R6081" i="1"/>
  <c r="R6080" i="1"/>
  <c r="R6079" i="1"/>
  <c r="R6078" i="1"/>
  <c r="R6073" i="1"/>
  <c r="R6072" i="1"/>
  <c r="R6071" i="1"/>
  <c r="R6062" i="1"/>
  <c r="R6061" i="1"/>
  <c r="R6050" i="1"/>
  <c r="R6049" i="1"/>
  <c r="R6046" i="1"/>
  <c r="R6045" i="1"/>
  <c r="R6044" i="1"/>
  <c r="R6042" i="1"/>
  <c r="R6041" i="1"/>
  <c r="R6040" i="1"/>
  <c r="R6039" i="1"/>
  <c r="R6036" i="1"/>
  <c r="R6032" i="1"/>
  <c r="R6031" i="1"/>
  <c r="R6029" i="1"/>
  <c r="R6028" i="1"/>
  <c r="R6026" i="1"/>
  <c r="R6024" i="1"/>
  <c r="R6022" i="1"/>
  <c r="R6019" i="1"/>
  <c r="R6015" i="1"/>
  <c r="R6013" i="1"/>
  <c r="R6012" i="1"/>
  <c r="R6011" i="1"/>
  <c r="R6009" i="1"/>
  <c r="R6007" i="1"/>
  <c r="R6002" i="1"/>
  <c r="R5999" i="1"/>
  <c r="R5998" i="1"/>
  <c r="R5997" i="1"/>
  <c r="R5996" i="1"/>
  <c r="R5994" i="1"/>
  <c r="R5993" i="1"/>
  <c r="R5992" i="1"/>
  <c r="R5986" i="1"/>
  <c r="R5985" i="1"/>
  <c r="R5983" i="1"/>
  <c r="R5982" i="1"/>
  <c r="R5981" i="1"/>
  <c r="R5978" i="1"/>
  <c r="R5977" i="1"/>
  <c r="R5975" i="1"/>
  <c r="R5973" i="1"/>
  <c r="R5972" i="1"/>
  <c r="R5971" i="1"/>
  <c r="R5970" i="1"/>
  <c r="R5969" i="1"/>
  <c r="R5966" i="1"/>
  <c r="R5965" i="1"/>
  <c r="R5964" i="1"/>
  <c r="R5960" i="1"/>
  <c r="R5959" i="1"/>
  <c r="R5958" i="1"/>
  <c r="R5957" i="1"/>
  <c r="R5956" i="1"/>
  <c r="R5954" i="1"/>
  <c r="R5953" i="1"/>
  <c r="R5952" i="1"/>
  <c r="R5951" i="1"/>
  <c r="R5948" i="1"/>
  <c r="R5947" i="1"/>
  <c r="R5946" i="1"/>
  <c r="R5945" i="1"/>
  <c r="R5942" i="1"/>
  <c r="R5941" i="1"/>
  <c r="R5940" i="1"/>
  <c r="R5939" i="1"/>
  <c r="R5937" i="1"/>
  <c r="R5935" i="1"/>
  <c r="R5934" i="1"/>
  <c r="R5932" i="1"/>
  <c r="R5931" i="1"/>
  <c r="R5930" i="1"/>
  <c r="R5929" i="1"/>
  <c r="R5926" i="1"/>
  <c r="R5925" i="1"/>
  <c r="R5924" i="1"/>
  <c r="R5923" i="1"/>
  <c r="R5922" i="1"/>
  <c r="R5920" i="1"/>
  <c r="R5918" i="1"/>
  <c r="R5917" i="1"/>
  <c r="R5916" i="1"/>
  <c r="R5915" i="1"/>
  <c r="R5914" i="1"/>
  <c r="R5913" i="1"/>
  <c r="R5912" i="1"/>
  <c r="R5911" i="1"/>
  <c r="R5910" i="1"/>
  <c r="R5909" i="1"/>
  <c r="R5908" i="1"/>
  <c r="R5907" i="1"/>
  <c r="R5906" i="1"/>
  <c r="R5905" i="1"/>
  <c r="R5902" i="1"/>
  <c r="R5901" i="1"/>
  <c r="R5899" i="1"/>
  <c r="R5898" i="1"/>
  <c r="R5897" i="1"/>
  <c r="R5895" i="1"/>
  <c r="R5894" i="1"/>
  <c r="R5892" i="1"/>
  <c r="R5891" i="1"/>
  <c r="R5890" i="1"/>
  <c r="R5889" i="1"/>
  <c r="R5888" i="1"/>
  <c r="R5887" i="1"/>
  <c r="R5885" i="1"/>
  <c r="R5883" i="1"/>
  <c r="R5882" i="1"/>
  <c r="R5881" i="1"/>
  <c r="R5880" i="1"/>
  <c r="R5878" i="1"/>
  <c r="R5877" i="1"/>
  <c r="R5876" i="1"/>
  <c r="R5875" i="1"/>
  <c r="R5874" i="1"/>
  <c r="R5873" i="1"/>
  <c r="R5872" i="1"/>
  <c r="R5870" i="1"/>
  <c r="R5868" i="1"/>
  <c r="R5867" i="1"/>
  <c r="R5866" i="1"/>
  <c r="R5865" i="1"/>
  <c r="R5864" i="1"/>
  <c r="R5863" i="1"/>
  <c r="R5861" i="1"/>
  <c r="R5860" i="1"/>
  <c r="R5859" i="1"/>
  <c r="R5858" i="1"/>
  <c r="R5856" i="1"/>
  <c r="R5855" i="1"/>
  <c r="R5854" i="1"/>
  <c r="R5853" i="1"/>
  <c r="R5852" i="1"/>
  <c r="R5851" i="1"/>
  <c r="R5850" i="1"/>
  <c r="R5849" i="1"/>
  <c r="R5848" i="1"/>
  <c r="R5847" i="1"/>
  <c r="R5846" i="1"/>
  <c r="R5845" i="1"/>
  <c r="R5844" i="1"/>
  <c r="R5843" i="1"/>
  <c r="R5842" i="1"/>
  <c r="R5839" i="1"/>
  <c r="R5838" i="1"/>
  <c r="R5837" i="1"/>
  <c r="R5836" i="1"/>
  <c r="R5834" i="1"/>
  <c r="R5833" i="1"/>
  <c r="R5832" i="1"/>
  <c r="R5831" i="1"/>
  <c r="R5830" i="1"/>
  <c r="R5829" i="1"/>
  <c r="R5828" i="1"/>
  <c r="R5827" i="1"/>
  <c r="R5825" i="1"/>
  <c r="R5824" i="1"/>
  <c r="R5823" i="1"/>
  <c r="R5822" i="1"/>
  <c r="R5820" i="1"/>
  <c r="R5819" i="1"/>
  <c r="R5817" i="1"/>
  <c r="R5816" i="1"/>
  <c r="R5815" i="1"/>
  <c r="R5814" i="1"/>
  <c r="R5813" i="1"/>
  <c r="R5811" i="1"/>
  <c r="R5810" i="1"/>
  <c r="R5809" i="1"/>
  <c r="R5808" i="1"/>
  <c r="R5807" i="1"/>
  <c r="R5806" i="1"/>
  <c r="R5805" i="1"/>
  <c r="R5804" i="1"/>
  <c r="R5802" i="1"/>
  <c r="R5801" i="1"/>
  <c r="R5800" i="1"/>
  <c r="R5799" i="1"/>
  <c r="R5798" i="1"/>
  <c r="R5797" i="1"/>
  <c r="R5796" i="1"/>
  <c r="R5795" i="1"/>
  <c r="R5794" i="1"/>
  <c r="R5793" i="1"/>
  <c r="R5792" i="1"/>
  <c r="R5791" i="1"/>
  <c r="R5789" i="1"/>
  <c r="R5788" i="1"/>
  <c r="R5787" i="1"/>
  <c r="R5786" i="1"/>
  <c r="R5785" i="1"/>
  <c r="R5784" i="1"/>
  <c r="R5783" i="1"/>
  <c r="R5782" i="1"/>
  <c r="R5781" i="1"/>
  <c r="R5780" i="1"/>
  <c r="R5779" i="1"/>
  <c r="R5778" i="1"/>
  <c r="R5777" i="1"/>
  <c r="R5775" i="1"/>
  <c r="R5774" i="1"/>
  <c r="R5773" i="1"/>
  <c r="R5772" i="1"/>
  <c r="R5771" i="1"/>
  <c r="R5769" i="1"/>
  <c r="R5768" i="1"/>
  <c r="R5767" i="1"/>
  <c r="R5766" i="1"/>
  <c r="R5765" i="1"/>
  <c r="R5763" i="1"/>
  <c r="R5762" i="1"/>
  <c r="R5761" i="1"/>
  <c r="R5760" i="1"/>
  <c r="R5759" i="1"/>
  <c r="R5758" i="1"/>
  <c r="R5757" i="1"/>
  <c r="R5756" i="1"/>
  <c r="R5755" i="1"/>
  <c r="R5754" i="1"/>
  <c r="R5753" i="1"/>
  <c r="R5752" i="1"/>
  <c r="R5751" i="1"/>
  <c r="R5750" i="1"/>
  <c r="R5749" i="1"/>
  <c r="R5748" i="1"/>
  <c r="R5747" i="1"/>
  <c r="R5746" i="1"/>
  <c r="R5745" i="1"/>
  <c r="R5741" i="1"/>
  <c r="R5740" i="1"/>
  <c r="R5739" i="1"/>
  <c r="R5738" i="1"/>
  <c r="R5737" i="1"/>
  <c r="R5736" i="1"/>
  <c r="R5731" i="1"/>
  <c r="R5730" i="1"/>
  <c r="R5729" i="1"/>
  <c r="R5727" i="1"/>
  <c r="R5726" i="1"/>
  <c r="R5725" i="1"/>
  <c r="R5724" i="1"/>
  <c r="R5723" i="1"/>
  <c r="R5722" i="1"/>
  <c r="R5721" i="1"/>
  <c r="R5718" i="1"/>
  <c r="R5717" i="1"/>
  <c r="R5716" i="1"/>
  <c r="R5714" i="1"/>
  <c r="R5711" i="1"/>
  <c r="R5698" i="1"/>
  <c r="R5689" i="1"/>
  <c r="R5688" i="1"/>
  <c r="R5687" i="1"/>
  <c r="R5686" i="1"/>
  <c r="R5685" i="1"/>
  <c r="R5684" i="1"/>
  <c r="R5683" i="1"/>
  <c r="R5682" i="1"/>
  <c r="R5681" i="1"/>
  <c r="R5680" i="1"/>
  <c r="R5679" i="1"/>
  <c r="R5678" i="1"/>
  <c r="R5677" i="1"/>
  <c r="R5675" i="1"/>
  <c r="R5674" i="1"/>
  <c r="R5673" i="1"/>
  <c r="R5672" i="1"/>
  <c r="R5671" i="1"/>
  <c r="R5670" i="1"/>
  <c r="R5669" i="1"/>
  <c r="R5668" i="1"/>
  <c r="R5667" i="1"/>
  <c r="R5666" i="1"/>
  <c r="R5665" i="1"/>
  <c r="R5664" i="1"/>
  <c r="R5663" i="1"/>
  <c r="R5662" i="1"/>
  <c r="R5661" i="1"/>
  <c r="R5660" i="1"/>
  <c r="R5659" i="1"/>
  <c r="R5657" i="1"/>
  <c r="R5655" i="1"/>
  <c r="R5654" i="1"/>
  <c r="R5653" i="1"/>
  <c r="R5652" i="1"/>
  <c r="R5651" i="1"/>
  <c r="R5650" i="1"/>
  <c r="R5649" i="1"/>
  <c r="R5648" i="1"/>
  <c r="R5647" i="1"/>
  <c r="R5646" i="1"/>
  <c r="R5645" i="1"/>
  <c r="R5644" i="1"/>
  <c r="R5643" i="1"/>
  <c r="R5642" i="1"/>
  <c r="R5641" i="1"/>
  <c r="R5640" i="1"/>
  <c r="R5639" i="1"/>
  <c r="R5638" i="1"/>
  <c r="R5637" i="1"/>
  <c r="R5636" i="1"/>
  <c r="R5635" i="1"/>
  <c r="R5634" i="1"/>
  <c r="R5633" i="1"/>
  <c r="R5632" i="1"/>
  <c r="R5631" i="1"/>
  <c r="R5630" i="1"/>
  <c r="R5629" i="1"/>
  <c r="R5628" i="1"/>
  <c r="R5627" i="1"/>
  <c r="R5626" i="1"/>
  <c r="R5625" i="1"/>
  <c r="R5624" i="1"/>
  <c r="R5623" i="1"/>
  <c r="R5622" i="1"/>
  <c r="R5621" i="1"/>
  <c r="R5620" i="1"/>
  <c r="R5619" i="1"/>
  <c r="R5617" i="1"/>
  <c r="R5612" i="1"/>
  <c r="R5611" i="1"/>
  <c r="R5610" i="1"/>
  <c r="R5609" i="1"/>
  <c r="R5608" i="1"/>
  <c r="R5607" i="1"/>
  <c r="R5606" i="1"/>
  <c r="R5605" i="1"/>
  <c r="R5604" i="1"/>
  <c r="R5603" i="1"/>
  <c r="R5602" i="1"/>
  <c r="R5601" i="1"/>
  <c r="R5600" i="1"/>
  <c r="R5599" i="1"/>
  <c r="R5598" i="1"/>
  <c r="R5597" i="1"/>
  <c r="R5596" i="1"/>
  <c r="R5595" i="1"/>
  <c r="R5594" i="1"/>
  <c r="R5593" i="1"/>
  <c r="R5592" i="1"/>
  <c r="R5591" i="1"/>
  <c r="R5590" i="1"/>
  <c r="R5589" i="1"/>
  <c r="R5588" i="1"/>
  <c r="R5587" i="1"/>
  <c r="R5585" i="1"/>
  <c r="R5584" i="1"/>
  <c r="R5583" i="1"/>
  <c r="R5582" i="1"/>
  <c r="R5581" i="1"/>
  <c r="R5578" i="1"/>
  <c r="R5577" i="1"/>
  <c r="R5576" i="1"/>
  <c r="R5575" i="1"/>
  <c r="R5574" i="1"/>
  <c r="R5573" i="1"/>
  <c r="R5572" i="1"/>
  <c r="R5571" i="1"/>
  <c r="R5570" i="1"/>
  <c r="R5568" i="1"/>
  <c r="R5567" i="1"/>
  <c r="R5566" i="1"/>
  <c r="R5564" i="1"/>
  <c r="R5562" i="1"/>
  <c r="R5561" i="1"/>
  <c r="R5560" i="1"/>
  <c r="R5559" i="1"/>
  <c r="R5558" i="1"/>
  <c r="R5557" i="1"/>
  <c r="R5556" i="1"/>
  <c r="R5554" i="1"/>
  <c r="R5552" i="1"/>
  <c r="R5551" i="1"/>
  <c r="R5550" i="1"/>
  <c r="R5549" i="1"/>
  <c r="R5547" i="1"/>
  <c r="R5546" i="1"/>
  <c r="R5545" i="1"/>
  <c r="R5544" i="1"/>
  <c r="R5543" i="1"/>
  <c r="R5542" i="1"/>
  <c r="R5541" i="1"/>
  <c r="R5540" i="1"/>
  <c r="R5539" i="1"/>
  <c r="R5538" i="1"/>
  <c r="R5537" i="1"/>
  <c r="R5536" i="1"/>
  <c r="R5535" i="1"/>
  <c r="R5534" i="1"/>
  <c r="R5533" i="1"/>
  <c r="R5532" i="1"/>
  <c r="R5531" i="1"/>
  <c r="R5530" i="1"/>
  <c r="R5529" i="1"/>
  <c r="R5528" i="1"/>
  <c r="R5525" i="1"/>
  <c r="R5523" i="1"/>
  <c r="R5522" i="1"/>
  <c r="R5521" i="1"/>
  <c r="R5520" i="1"/>
  <c r="R5519" i="1"/>
  <c r="R5518" i="1"/>
  <c r="R5517" i="1"/>
  <c r="R5516" i="1"/>
  <c r="R5515" i="1"/>
  <c r="R5514" i="1"/>
  <c r="R5513" i="1"/>
  <c r="R5512" i="1"/>
  <c r="R5510" i="1"/>
  <c r="R5509" i="1"/>
  <c r="R5508" i="1"/>
  <c r="R5507" i="1"/>
  <c r="R5506" i="1"/>
  <c r="R5505" i="1"/>
  <c r="R5503" i="1"/>
  <c r="R5502" i="1"/>
  <c r="R5501" i="1"/>
  <c r="R5500" i="1"/>
  <c r="R5499" i="1"/>
  <c r="R5498" i="1"/>
  <c r="R5497" i="1"/>
  <c r="R5496" i="1"/>
  <c r="R5495" i="1"/>
  <c r="R5493" i="1"/>
  <c r="R5492" i="1"/>
  <c r="R5491" i="1"/>
  <c r="R5489" i="1"/>
  <c r="R5487" i="1"/>
  <c r="R5486" i="1"/>
  <c r="R5485" i="1"/>
  <c r="R5484" i="1"/>
  <c r="R5483" i="1"/>
  <c r="R5482" i="1"/>
  <c r="R5480" i="1"/>
  <c r="R5479" i="1"/>
  <c r="R5478" i="1"/>
  <c r="R5475" i="1"/>
  <c r="R5474" i="1"/>
  <c r="R5473" i="1"/>
  <c r="R5472" i="1"/>
  <c r="R5471" i="1"/>
  <c r="R5470" i="1"/>
  <c r="R5468" i="1"/>
  <c r="R5467" i="1"/>
  <c r="R5466" i="1"/>
  <c r="R5465" i="1"/>
  <c r="R5463" i="1"/>
  <c r="R5462" i="1"/>
  <c r="R5461" i="1"/>
  <c r="R5460" i="1"/>
  <c r="R5459" i="1"/>
  <c r="R5458" i="1"/>
  <c r="R5457" i="1"/>
  <c r="R5456" i="1"/>
  <c r="R5455" i="1"/>
  <c r="R5454" i="1"/>
  <c r="R5453" i="1"/>
  <c r="R5452" i="1"/>
  <c r="R5451" i="1"/>
  <c r="R5450" i="1"/>
  <c r="R5449" i="1"/>
  <c r="R5448" i="1"/>
  <c r="R5447" i="1"/>
  <c r="R5446" i="1"/>
  <c r="R5445" i="1"/>
  <c r="R5444" i="1"/>
  <c r="R5443" i="1"/>
  <c r="R5442" i="1"/>
  <c r="R5441" i="1"/>
  <c r="R5440" i="1"/>
  <c r="R5439" i="1"/>
  <c r="R5438" i="1"/>
  <c r="R5437" i="1"/>
  <c r="R5436" i="1"/>
  <c r="R5435" i="1"/>
  <c r="R5434" i="1"/>
  <c r="R5433" i="1"/>
  <c r="R5432" i="1"/>
  <c r="R5431" i="1"/>
  <c r="R5430" i="1"/>
  <c r="R5429" i="1"/>
  <c r="R5428" i="1"/>
  <c r="R5427" i="1"/>
  <c r="R5426" i="1"/>
  <c r="R5425" i="1"/>
  <c r="R5423" i="1"/>
  <c r="R5421" i="1"/>
  <c r="R5420" i="1"/>
  <c r="R5419" i="1"/>
  <c r="R5418" i="1"/>
  <c r="R5416" i="1"/>
  <c r="R5414" i="1"/>
  <c r="R5411" i="1"/>
  <c r="R5410" i="1"/>
  <c r="R5408" i="1"/>
  <c r="R5407" i="1"/>
  <c r="R5406" i="1"/>
  <c r="R5405" i="1"/>
  <c r="R5404" i="1"/>
  <c r="R5403" i="1"/>
  <c r="R5402" i="1"/>
  <c r="R5401" i="1"/>
  <c r="R5400" i="1"/>
  <c r="R5399" i="1"/>
  <c r="R5398" i="1"/>
  <c r="R5397" i="1"/>
  <c r="R5396" i="1"/>
  <c r="R5395" i="1"/>
  <c r="R5394" i="1"/>
  <c r="R5393" i="1"/>
  <c r="R5392" i="1"/>
  <c r="R5391" i="1"/>
  <c r="R5390" i="1"/>
  <c r="R5389" i="1"/>
  <c r="R5388" i="1"/>
  <c r="R5387" i="1"/>
  <c r="R5386" i="1"/>
  <c r="R5385" i="1"/>
  <c r="R5384" i="1"/>
  <c r="R5383" i="1"/>
  <c r="R5382" i="1"/>
  <c r="R5381" i="1"/>
  <c r="R5380" i="1"/>
  <c r="R5379" i="1"/>
  <c r="R5378" i="1"/>
  <c r="R5377" i="1"/>
  <c r="R5372" i="1"/>
  <c r="R5371" i="1"/>
  <c r="R5370" i="1"/>
  <c r="R5369" i="1"/>
  <c r="R5368" i="1"/>
  <c r="R5367" i="1"/>
  <c r="R5366" i="1"/>
  <c r="R5365" i="1"/>
  <c r="R5364" i="1"/>
  <c r="R5362" i="1"/>
  <c r="R5361" i="1"/>
  <c r="R5360" i="1"/>
  <c r="R5359" i="1"/>
  <c r="R5357" i="1"/>
  <c r="R5355" i="1"/>
  <c r="R5354" i="1"/>
  <c r="R5353" i="1"/>
  <c r="R5352" i="1"/>
  <c r="R5351" i="1"/>
  <c r="R5350" i="1"/>
  <c r="R5349" i="1"/>
  <c r="R5348" i="1"/>
  <c r="R5347" i="1"/>
  <c r="R5346" i="1"/>
  <c r="R5345" i="1"/>
  <c r="R5344" i="1"/>
  <c r="R5342" i="1"/>
  <c r="R5341" i="1"/>
  <c r="R5340" i="1"/>
  <c r="R5339" i="1"/>
  <c r="R5337" i="1"/>
  <c r="R5336" i="1"/>
  <c r="R5335" i="1"/>
  <c r="R5333" i="1"/>
  <c r="R5332" i="1"/>
  <c r="R5331" i="1"/>
  <c r="R5329" i="1"/>
  <c r="R5327" i="1"/>
  <c r="R5326" i="1"/>
  <c r="R5325" i="1"/>
  <c r="R5324" i="1"/>
  <c r="R5322" i="1"/>
  <c r="R5321" i="1"/>
  <c r="R5320" i="1"/>
  <c r="R5319" i="1"/>
  <c r="R5318" i="1"/>
  <c r="R5317" i="1"/>
  <c r="R5316" i="1"/>
  <c r="R5315" i="1"/>
  <c r="R5313" i="1"/>
  <c r="R5312" i="1"/>
  <c r="R5311" i="1"/>
  <c r="R5310" i="1"/>
  <c r="R5309" i="1"/>
  <c r="R5308" i="1"/>
  <c r="R5307" i="1"/>
  <c r="R5306" i="1"/>
  <c r="R5305" i="1"/>
  <c r="R5304" i="1"/>
  <c r="R5303" i="1"/>
  <c r="R5302" i="1"/>
  <c r="R5300" i="1"/>
  <c r="R5299" i="1"/>
  <c r="R5298" i="1"/>
  <c r="R5296" i="1"/>
  <c r="R5295" i="1"/>
  <c r="R5294" i="1"/>
  <c r="R5291" i="1"/>
  <c r="R5289" i="1"/>
  <c r="R5287" i="1"/>
  <c r="R5286" i="1"/>
  <c r="R5285" i="1"/>
  <c r="R5284" i="1"/>
  <c r="R5283" i="1"/>
  <c r="R5282" i="1"/>
  <c r="R5281" i="1"/>
  <c r="R5280" i="1"/>
  <c r="R5279" i="1"/>
  <c r="R5278" i="1"/>
  <c r="R5277" i="1"/>
  <c r="R5276" i="1"/>
  <c r="R5275" i="1"/>
  <c r="R5274" i="1"/>
  <c r="R5273" i="1"/>
  <c r="R5272" i="1"/>
  <c r="R5271" i="1"/>
  <c r="R5269" i="1"/>
  <c r="R5268" i="1"/>
  <c r="R5267" i="1"/>
  <c r="R5266" i="1"/>
  <c r="R5265" i="1"/>
  <c r="R5264" i="1"/>
  <c r="R5263" i="1"/>
  <c r="R5262" i="1"/>
  <c r="R5261" i="1"/>
  <c r="R5260" i="1"/>
  <c r="R5259" i="1"/>
  <c r="R5258" i="1"/>
  <c r="R5257" i="1"/>
  <c r="R5256" i="1"/>
  <c r="R5255" i="1"/>
  <c r="R5252" i="1"/>
  <c r="R5251" i="1"/>
  <c r="R5250" i="1"/>
  <c r="R5249" i="1"/>
  <c r="R5248" i="1"/>
  <c r="R5247" i="1"/>
  <c r="R5246" i="1"/>
  <c r="R5245" i="1"/>
  <c r="R5244" i="1"/>
  <c r="R5243" i="1"/>
  <c r="R5241" i="1"/>
  <c r="R5239" i="1"/>
  <c r="R5238" i="1"/>
  <c r="R5237" i="1"/>
  <c r="R5236" i="1"/>
  <c r="R5235" i="1"/>
  <c r="R5234" i="1"/>
  <c r="R5232" i="1"/>
  <c r="R5231" i="1"/>
  <c r="R5229" i="1"/>
  <c r="R5227" i="1"/>
  <c r="R5226" i="1"/>
  <c r="R5225" i="1"/>
  <c r="R5224" i="1"/>
  <c r="R5223" i="1"/>
  <c r="R5222" i="1"/>
  <c r="R5221" i="1"/>
  <c r="R5220" i="1"/>
  <c r="R5219" i="1"/>
  <c r="R5218" i="1"/>
  <c r="R5217" i="1"/>
  <c r="R5216" i="1"/>
  <c r="R5215" i="1"/>
  <c r="R5214" i="1"/>
  <c r="R5213" i="1"/>
  <c r="R5212" i="1"/>
  <c r="R5211" i="1"/>
  <c r="R5210" i="1"/>
  <c r="R5209" i="1"/>
  <c r="R5208" i="1"/>
  <c r="R5206" i="1"/>
  <c r="R5205" i="1"/>
  <c r="R5204" i="1"/>
  <c r="R5203" i="1"/>
  <c r="R5202" i="1"/>
  <c r="R5201" i="1"/>
  <c r="R5200" i="1"/>
  <c r="R5199" i="1"/>
  <c r="R5198" i="1"/>
  <c r="R5197" i="1"/>
  <c r="R5196" i="1"/>
  <c r="R5195" i="1"/>
  <c r="R5194" i="1"/>
  <c r="R5193" i="1"/>
  <c r="R5192" i="1"/>
  <c r="R5191" i="1"/>
  <c r="R5190" i="1"/>
  <c r="R5188" i="1"/>
  <c r="R5187" i="1"/>
  <c r="R5186" i="1"/>
  <c r="R5185" i="1"/>
  <c r="R5184" i="1"/>
  <c r="R5182" i="1"/>
  <c r="R5181" i="1"/>
  <c r="R5180" i="1"/>
  <c r="R5179" i="1"/>
  <c r="R5178" i="1"/>
  <c r="R5177" i="1"/>
  <c r="R5176" i="1"/>
  <c r="R5175" i="1"/>
  <c r="R5174" i="1"/>
  <c r="R5173" i="1"/>
  <c r="R5172" i="1"/>
  <c r="R5171" i="1"/>
  <c r="R5170" i="1"/>
  <c r="R5169" i="1"/>
  <c r="R5167" i="1"/>
  <c r="R5166" i="1"/>
  <c r="R5165" i="1"/>
  <c r="R5164" i="1"/>
  <c r="R5163" i="1"/>
  <c r="R5162" i="1"/>
  <c r="R5161" i="1"/>
  <c r="R5160" i="1"/>
  <c r="R5159" i="1"/>
  <c r="R5157" i="1"/>
  <c r="R5156" i="1"/>
  <c r="R5155" i="1"/>
  <c r="R5154" i="1"/>
  <c r="R5153" i="1"/>
  <c r="R5152" i="1"/>
  <c r="R5151" i="1"/>
  <c r="R5149" i="1"/>
  <c r="R5148" i="1"/>
  <c r="R5147" i="1"/>
  <c r="R5146" i="1"/>
  <c r="R5145" i="1"/>
  <c r="R5144" i="1"/>
  <c r="R5140" i="1"/>
  <c r="R5139" i="1"/>
  <c r="R5138" i="1"/>
  <c r="R5137" i="1"/>
  <c r="R5136" i="1"/>
  <c r="R5135" i="1"/>
  <c r="R5133" i="1"/>
  <c r="R5132" i="1"/>
  <c r="R5131" i="1"/>
  <c r="R5130" i="1"/>
  <c r="R5129" i="1"/>
  <c r="R5127" i="1"/>
  <c r="R5126" i="1"/>
  <c r="R5125" i="1"/>
  <c r="R5124" i="1"/>
  <c r="R5121" i="1"/>
  <c r="R5120" i="1"/>
  <c r="R5119" i="1"/>
  <c r="R5118" i="1"/>
  <c r="R5117" i="1"/>
  <c r="R5116" i="1"/>
  <c r="R5115" i="1"/>
  <c r="R5114" i="1"/>
  <c r="R5112" i="1"/>
  <c r="R5111" i="1"/>
  <c r="R5109" i="1"/>
  <c r="R5108" i="1"/>
  <c r="R5106" i="1"/>
  <c r="R5105" i="1"/>
  <c r="R5104" i="1"/>
  <c r="R5103" i="1"/>
  <c r="R5102" i="1"/>
  <c r="R5101" i="1"/>
  <c r="R5097" i="1"/>
  <c r="R5096" i="1"/>
  <c r="R5094" i="1"/>
  <c r="R5088" i="1"/>
  <c r="R5087" i="1"/>
  <c r="R5086" i="1"/>
  <c r="R5085" i="1"/>
  <c r="R5083" i="1"/>
  <c r="R5080" i="1"/>
  <c r="R5079" i="1"/>
  <c r="R5068" i="1"/>
  <c r="R5063" i="1"/>
  <c r="R5060" i="1"/>
  <c r="R5059" i="1"/>
  <c r="R5056" i="1"/>
  <c r="R5052" i="1"/>
  <c r="R5051" i="1"/>
  <c r="R5050" i="1"/>
  <c r="R5049" i="1"/>
  <c r="R5048" i="1"/>
  <c r="R5045" i="1"/>
  <c r="R5044" i="1"/>
  <c r="R5042" i="1"/>
  <c r="R5041" i="1"/>
  <c r="R5040" i="1"/>
  <c r="R5039" i="1"/>
  <c r="R5036" i="1"/>
  <c r="R5035" i="1"/>
  <c r="R5034" i="1"/>
  <c r="R5033" i="1"/>
  <c r="R5032" i="1"/>
  <c r="R5031" i="1"/>
  <c r="R5030" i="1"/>
  <c r="R5025" i="1"/>
  <c r="R5024" i="1"/>
  <c r="R5023" i="1"/>
  <c r="R5019" i="1"/>
  <c r="R5015" i="1"/>
  <c r="R5013" i="1"/>
  <c r="R5012" i="1"/>
  <c r="R5009" i="1"/>
  <c r="R5000" i="1"/>
  <c r="R4999" i="1"/>
  <c r="R4997" i="1"/>
  <c r="R4996" i="1"/>
  <c r="R4993" i="1"/>
  <c r="R4991" i="1"/>
  <c r="R4990" i="1"/>
  <c r="R4989" i="1"/>
  <c r="R4988" i="1"/>
  <c r="R4987" i="1"/>
  <c r="R4985" i="1"/>
  <c r="R4984" i="1"/>
  <c r="R4983" i="1"/>
  <c r="R4980" i="1"/>
  <c r="R4969" i="1"/>
  <c r="R4966" i="1"/>
  <c r="R4962" i="1"/>
  <c r="R4960" i="1"/>
  <c r="R4959" i="1"/>
  <c r="R4958" i="1"/>
  <c r="R4954" i="1"/>
  <c r="R4953" i="1"/>
  <c r="R4952" i="1"/>
  <c r="R4951" i="1"/>
  <c r="R4950" i="1"/>
  <c r="R4949" i="1"/>
  <c r="R4948" i="1"/>
  <c r="R4947" i="1"/>
  <c r="R4944" i="1"/>
  <c r="R4941" i="1"/>
  <c r="R4939" i="1"/>
  <c r="R4936" i="1"/>
  <c r="R4934" i="1"/>
  <c r="R4933" i="1"/>
  <c r="R4932" i="1"/>
  <c r="R4931" i="1"/>
  <c r="R4930" i="1"/>
  <c r="R4929" i="1"/>
  <c r="R4928" i="1"/>
  <c r="R4927" i="1"/>
  <c r="R4924" i="1"/>
  <c r="R4923" i="1"/>
  <c r="R4922" i="1"/>
  <c r="R4920" i="1"/>
  <c r="R4916" i="1"/>
  <c r="R4915" i="1"/>
  <c r="R4914" i="1"/>
  <c r="R4913" i="1"/>
  <c r="R4912" i="1"/>
  <c r="R4911" i="1"/>
  <c r="R4910" i="1"/>
  <c r="R4908" i="1"/>
  <c r="R4907" i="1"/>
  <c r="R4905" i="1"/>
  <c r="R4904" i="1"/>
  <c r="R4901" i="1"/>
  <c r="R4526" i="1"/>
  <c r="R4525" i="1"/>
  <c r="R4524" i="1"/>
  <c r="R4523" i="1"/>
  <c r="R4522" i="1"/>
  <c r="R4521" i="1"/>
  <c r="R4520" i="1"/>
  <c r="R4519" i="1"/>
  <c r="R4518" i="1"/>
  <c r="R4517" i="1"/>
  <c r="R4516" i="1"/>
  <c r="R4515" i="1"/>
  <c r="R4514" i="1"/>
  <c r="R4513" i="1"/>
  <c r="R4512" i="1"/>
  <c r="R4511" i="1"/>
  <c r="R4510" i="1"/>
  <c r="R4509" i="1"/>
  <c r="R4508" i="1"/>
  <c r="R4507" i="1"/>
  <c r="R4506" i="1"/>
  <c r="R4505" i="1"/>
  <c r="R4504" i="1"/>
  <c r="R4503" i="1"/>
  <c r="R4502" i="1"/>
  <c r="R4501" i="1"/>
  <c r="R4500" i="1"/>
  <c r="R4499" i="1"/>
  <c r="R4498" i="1"/>
  <c r="R4497" i="1"/>
  <c r="R4495" i="1"/>
  <c r="R4494" i="1"/>
  <c r="R4493" i="1"/>
  <c r="R4492" i="1"/>
  <c r="R4491" i="1"/>
  <c r="R4490" i="1"/>
  <c r="R4489" i="1"/>
  <c r="R4488" i="1"/>
  <c r="R4487" i="1"/>
  <c r="R4486" i="1"/>
  <c r="R4484" i="1"/>
  <c r="R4483" i="1"/>
  <c r="R4482" i="1"/>
  <c r="R4481" i="1"/>
  <c r="R4480" i="1"/>
  <c r="R4479" i="1"/>
  <c r="R4478" i="1"/>
  <c r="R4477" i="1"/>
  <c r="R4476" i="1"/>
  <c r="R4474" i="1"/>
  <c r="R4473" i="1"/>
  <c r="R4472" i="1"/>
  <c r="R4471" i="1"/>
  <c r="R4470" i="1"/>
  <c r="R4469" i="1"/>
  <c r="R4468" i="1"/>
  <c r="R4467" i="1"/>
  <c r="R4466" i="1"/>
  <c r="R4465" i="1"/>
  <c r="R4464" i="1"/>
  <c r="R4463" i="1"/>
  <c r="R4462" i="1"/>
  <c r="R4461" i="1"/>
  <c r="R4460" i="1"/>
  <c r="R4459" i="1"/>
  <c r="R4458" i="1"/>
  <c r="R4455" i="1"/>
  <c r="R4453" i="1"/>
  <c r="R4452" i="1"/>
  <c r="R4451" i="1"/>
  <c r="R4448" i="1"/>
  <c r="R4447" i="1"/>
  <c r="R4446" i="1"/>
  <c r="R4445" i="1"/>
  <c r="R4444" i="1"/>
  <c r="R4443" i="1"/>
  <c r="R4442" i="1"/>
  <c r="R4441" i="1"/>
  <c r="R4440" i="1"/>
  <c r="R4439" i="1"/>
  <c r="R4438" i="1"/>
  <c r="R4437" i="1"/>
  <c r="R4436" i="1"/>
  <c r="R4435" i="1"/>
  <c r="R4434" i="1"/>
  <c r="R4433" i="1"/>
  <c r="R4431" i="1"/>
  <c r="R4430" i="1"/>
  <c r="R4429" i="1"/>
  <c r="R4428" i="1"/>
  <c r="R4427" i="1"/>
  <c r="R4426" i="1"/>
  <c r="R4425" i="1"/>
  <c r="R4424" i="1"/>
  <c r="R4423" i="1"/>
  <c r="R4422" i="1"/>
  <c r="R4421" i="1"/>
  <c r="R4420" i="1"/>
  <c r="R4419" i="1"/>
  <c r="R4418" i="1"/>
  <c r="R4417" i="1"/>
  <c r="R4416" i="1"/>
  <c r="R4415" i="1"/>
  <c r="R4414" i="1"/>
  <c r="R4413" i="1"/>
  <c r="R4412" i="1"/>
  <c r="R4411" i="1"/>
  <c r="R4410" i="1"/>
  <c r="R4409" i="1"/>
  <c r="R4408" i="1"/>
  <c r="R4407" i="1"/>
  <c r="R4406" i="1"/>
  <c r="R4405" i="1"/>
  <c r="R4404" i="1"/>
  <c r="R4403" i="1"/>
  <c r="R4402" i="1"/>
  <c r="R4401" i="1"/>
  <c r="R4400" i="1"/>
  <c r="R4399" i="1"/>
  <c r="R4398" i="1"/>
  <c r="R4397" i="1"/>
  <c r="R4396" i="1"/>
  <c r="R4395" i="1"/>
  <c r="R4394" i="1"/>
  <c r="R4393" i="1"/>
  <c r="R4392" i="1"/>
  <c r="R4391" i="1"/>
  <c r="R4390" i="1"/>
  <c r="R4389" i="1"/>
  <c r="R4388" i="1"/>
  <c r="R4387" i="1"/>
  <c r="R4386" i="1"/>
  <c r="R4385" i="1"/>
  <c r="R4384" i="1"/>
  <c r="R4383" i="1"/>
  <c r="R4382" i="1"/>
  <c r="R4381" i="1"/>
  <c r="R4380" i="1"/>
  <c r="R4379" i="1"/>
  <c r="R4378" i="1"/>
  <c r="R4377" i="1"/>
  <c r="R4376" i="1"/>
  <c r="R4375" i="1"/>
  <c r="R4374" i="1"/>
  <c r="R4373" i="1"/>
  <c r="R4372" i="1"/>
  <c r="R4371" i="1"/>
  <c r="R4370" i="1"/>
  <c r="R4369" i="1"/>
  <c r="R4368" i="1"/>
  <c r="R4367" i="1"/>
  <c r="R4366" i="1"/>
  <c r="R4365" i="1"/>
  <c r="R4364" i="1"/>
  <c r="R4363" i="1"/>
  <c r="R4362" i="1"/>
  <c r="R4361" i="1"/>
  <c r="R4360" i="1"/>
  <c r="R4359" i="1"/>
  <c r="R4358" i="1"/>
  <c r="R4357" i="1"/>
  <c r="R4356" i="1"/>
  <c r="R4355" i="1"/>
  <c r="R4354" i="1"/>
  <c r="R4353" i="1"/>
  <c r="R4352" i="1"/>
  <c r="R4351" i="1"/>
  <c r="R4350" i="1"/>
  <c r="R4349" i="1"/>
  <c r="R4348" i="1"/>
  <c r="R4347" i="1"/>
  <c r="R4346" i="1"/>
  <c r="R4345" i="1"/>
  <c r="R4342" i="1"/>
  <c r="R4341" i="1"/>
  <c r="R4340" i="1"/>
  <c r="R4339" i="1"/>
  <c r="R4338" i="1"/>
  <c r="R4337" i="1"/>
  <c r="R4336" i="1"/>
  <c r="R4335" i="1"/>
  <c r="R4334" i="1"/>
  <c r="R4333" i="1"/>
  <c r="R4332" i="1"/>
  <c r="R4329" i="1"/>
  <c r="R4328" i="1"/>
  <c r="R4327" i="1"/>
  <c r="R4326" i="1"/>
  <c r="R4325" i="1"/>
  <c r="R4324" i="1"/>
  <c r="R4323" i="1"/>
  <c r="R4322" i="1"/>
  <c r="R4321" i="1"/>
  <c r="R4320" i="1"/>
  <c r="R4318" i="1"/>
  <c r="R4317" i="1"/>
  <c r="R4316" i="1"/>
  <c r="R4315" i="1"/>
  <c r="R4314" i="1"/>
  <c r="R4313" i="1"/>
  <c r="R4312" i="1"/>
  <c r="R4311" i="1"/>
  <c r="R4310" i="1"/>
  <c r="R4309" i="1"/>
  <c r="R4308" i="1"/>
  <c r="R4307" i="1"/>
  <c r="R4306" i="1"/>
  <c r="R4305" i="1"/>
  <c r="R4304" i="1"/>
  <c r="R4303" i="1"/>
  <c r="R4302" i="1"/>
  <c r="R4301" i="1"/>
  <c r="R4300" i="1"/>
  <c r="R4299" i="1"/>
  <c r="R4298" i="1"/>
  <c r="R4297" i="1"/>
  <c r="R4296" i="1"/>
  <c r="R4295" i="1"/>
  <c r="R4294" i="1"/>
  <c r="R4293" i="1"/>
  <c r="R4291" i="1"/>
  <c r="R4289" i="1"/>
  <c r="R4288" i="1"/>
  <c r="R4287" i="1"/>
  <c r="R4286" i="1"/>
  <c r="R4283" i="1"/>
  <c r="R4282" i="1"/>
  <c r="R4281" i="1"/>
  <c r="R4280" i="1"/>
  <c r="R4279" i="1"/>
  <c r="R4278" i="1"/>
  <c r="R4277" i="1"/>
  <c r="R4276" i="1"/>
  <c r="R4275" i="1"/>
  <c r="R4274" i="1"/>
  <c r="R4273" i="1"/>
  <c r="R4272" i="1"/>
  <c r="R4271" i="1"/>
  <c r="R4270" i="1"/>
  <c r="R4269" i="1"/>
  <c r="R4268" i="1"/>
  <c r="R4267" i="1"/>
  <c r="R4266" i="1"/>
  <c r="R4265" i="1"/>
  <c r="R4263" i="1"/>
  <c r="R4262" i="1"/>
  <c r="R4260" i="1"/>
  <c r="R4259" i="1"/>
  <c r="R4258" i="1"/>
  <c r="R4257" i="1"/>
  <c r="R4256" i="1"/>
  <c r="R4255" i="1"/>
  <c r="R4254" i="1"/>
  <c r="R4253" i="1"/>
  <c r="R4252" i="1"/>
  <c r="R4251" i="1"/>
  <c r="R4250" i="1"/>
  <c r="R4249" i="1"/>
  <c r="R4248" i="1"/>
  <c r="R4246" i="1"/>
  <c r="R4245" i="1"/>
  <c r="R4244" i="1"/>
  <c r="R4243" i="1"/>
  <c r="R4242" i="1"/>
  <c r="R4241" i="1"/>
  <c r="R4240" i="1"/>
  <c r="R4239" i="1"/>
  <c r="R4238" i="1"/>
  <c r="R4237" i="1"/>
  <c r="R4236" i="1"/>
  <c r="R4235" i="1"/>
  <c r="R4234" i="1"/>
  <c r="R4233" i="1"/>
  <c r="R4232" i="1"/>
  <c r="R4231" i="1"/>
  <c r="R4230" i="1"/>
  <c r="R4229" i="1"/>
  <c r="R4228" i="1"/>
  <c r="R4227" i="1"/>
  <c r="R4226" i="1"/>
  <c r="R4225" i="1"/>
  <c r="R4224" i="1"/>
  <c r="R4223" i="1"/>
  <c r="R4222" i="1"/>
  <c r="R4220" i="1"/>
  <c r="R4219" i="1"/>
  <c r="R4218" i="1"/>
  <c r="R4217" i="1"/>
  <c r="R4216" i="1"/>
  <c r="R4215" i="1"/>
  <c r="R4214" i="1"/>
  <c r="R4213" i="1"/>
  <c r="R4212" i="1"/>
  <c r="R4211" i="1"/>
  <c r="R4210" i="1"/>
  <c r="R4209" i="1"/>
  <c r="R4208" i="1"/>
  <c r="R4207" i="1"/>
  <c r="R4206" i="1"/>
  <c r="R4205" i="1"/>
  <c r="R4204" i="1"/>
  <c r="R4203" i="1"/>
  <c r="R4202" i="1"/>
  <c r="R4201" i="1"/>
  <c r="R4200" i="1"/>
  <c r="R4199" i="1"/>
  <c r="R4198" i="1"/>
  <c r="R4197" i="1"/>
  <c r="R4196" i="1"/>
  <c r="R4195" i="1"/>
  <c r="R4194" i="1"/>
  <c r="R4193" i="1"/>
  <c r="R4192" i="1"/>
  <c r="R4191" i="1"/>
  <c r="R4190" i="1"/>
  <c r="R4189" i="1"/>
  <c r="R4188" i="1"/>
  <c r="R4187" i="1"/>
  <c r="R4186" i="1"/>
  <c r="R4185" i="1"/>
  <c r="R4184" i="1"/>
  <c r="R4183" i="1"/>
  <c r="R4182" i="1"/>
  <c r="R4181" i="1"/>
  <c r="R4179" i="1"/>
  <c r="R4178" i="1"/>
  <c r="R4177" i="1"/>
  <c r="R4176" i="1"/>
  <c r="R4175" i="1"/>
  <c r="R4174" i="1"/>
  <c r="R4173" i="1"/>
  <c r="R4172" i="1"/>
  <c r="R4171" i="1"/>
  <c r="R4170" i="1"/>
  <c r="R4169" i="1"/>
  <c r="R4168" i="1"/>
  <c r="R4167" i="1"/>
  <c r="R4166" i="1"/>
  <c r="R4164" i="1"/>
  <c r="R4163" i="1"/>
  <c r="R4162" i="1"/>
  <c r="R4161" i="1"/>
  <c r="R4160" i="1"/>
  <c r="R4159" i="1"/>
  <c r="R4158" i="1"/>
  <c r="R4157" i="1"/>
  <c r="R4156" i="1"/>
  <c r="R4155" i="1"/>
  <c r="R4154" i="1"/>
  <c r="R4153" i="1"/>
  <c r="R4152" i="1"/>
  <c r="R4151" i="1"/>
  <c r="R4150" i="1"/>
  <c r="R4149" i="1"/>
  <c r="R4148" i="1"/>
  <c r="R4147" i="1"/>
  <c r="R4146" i="1"/>
  <c r="R4145" i="1"/>
  <c r="R4143" i="1"/>
  <c r="R4142" i="1"/>
  <c r="R4141" i="1"/>
  <c r="R4140" i="1"/>
  <c r="R4139" i="1"/>
  <c r="R4138" i="1"/>
  <c r="R4137" i="1"/>
  <c r="R4136" i="1"/>
  <c r="R4135" i="1"/>
  <c r="R4134" i="1"/>
  <c r="R4133" i="1"/>
  <c r="R4132" i="1"/>
  <c r="R4131" i="1"/>
  <c r="R4130" i="1"/>
  <c r="R4129" i="1"/>
  <c r="R4128" i="1"/>
  <c r="R4127" i="1"/>
  <c r="R4126" i="1"/>
  <c r="R4125" i="1"/>
  <c r="R4124" i="1"/>
  <c r="R4123" i="1"/>
  <c r="R4122" i="1"/>
  <c r="R4121" i="1"/>
  <c r="R4120" i="1"/>
  <c r="R4119" i="1"/>
  <c r="R4118" i="1"/>
  <c r="R4117" i="1"/>
  <c r="R4116" i="1"/>
  <c r="R4115" i="1"/>
  <c r="R4114" i="1"/>
  <c r="R4113" i="1"/>
  <c r="R4112" i="1"/>
  <c r="R4111" i="1"/>
  <c r="R4110" i="1"/>
  <c r="R4109" i="1"/>
  <c r="R4108" i="1"/>
  <c r="R4107" i="1"/>
  <c r="R4106" i="1"/>
  <c r="R4105" i="1"/>
  <c r="R4104" i="1"/>
  <c r="R4100" i="1"/>
  <c r="R4099" i="1"/>
  <c r="R4098" i="1"/>
  <c r="R4097" i="1"/>
  <c r="R4096" i="1"/>
  <c r="R4095" i="1"/>
  <c r="R4093" i="1"/>
  <c r="R4092" i="1"/>
  <c r="R4091" i="1"/>
  <c r="R4090" i="1"/>
  <c r="R4089" i="1"/>
  <c r="R4088" i="1"/>
  <c r="R4087" i="1"/>
  <c r="R4086" i="1"/>
  <c r="R4085" i="1"/>
  <c r="R4084" i="1"/>
  <c r="R4083" i="1"/>
  <c r="R4082" i="1"/>
  <c r="R4081" i="1"/>
  <c r="R4080" i="1"/>
  <c r="R4079" i="1"/>
  <c r="R4078" i="1"/>
  <c r="R4077" i="1"/>
  <c r="R4076" i="1"/>
  <c r="R4075" i="1"/>
  <c r="R4074" i="1"/>
  <c r="R4073" i="1"/>
  <c r="R4072" i="1"/>
  <c r="R4071" i="1"/>
  <c r="R4070" i="1"/>
  <c r="R4069" i="1"/>
  <c r="R4068" i="1"/>
  <c r="R4067" i="1"/>
  <c r="R4066" i="1"/>
  <c r="R4065" i="1"/>
  <c r="R4064" i="1"/>
  <c r="R4063" i="1"/>
  <c r="R4061" i="1"/>
  <c r="R4060" i="1"/>
  <c r="R4058" i="1"/>
  <c r="R4057" i="1"/>
  <c r="R4056" i="1"/>
  <c r="R4054" i="1"/>
  <c r="R4053" i="1"/>
  <c r="R4052" i="1"/>
  <c r="R4051" i="1"/>
  <c r="R4050" i="1"/>
  <c r="R4049" i="1"/>
  <c r="R4048" i="1"/>
  <c r="R4047" i="1"/>
  <c r="R4046" i="1"/>
  <c r="R4045" i="1"/>
  <c r="R4044" i="1"/>
  <c r="R4043" i="1"/>
  <c r="R4042" i="1"/>
  <c r="R4041" i="1"/>
  <c r="R4040" i="1"/>
  <c r="R4039" i="1"/>
  <c r="R4038" i="1"/>
  <c r="R4037" i="1"/>
  <c r="R4035" i="1"/>
  <c r="R4034" i="1"/>
  <c r="R4033" i="1"/>
  <c r="R4032" i="1"/>
  <c r="R4031" i="1"/>
  <c r="R4029" i="1"/>
  <c r="R4028" i="1"/>
  <c r="R4027" i="1"/>
  <c r="R4026" i="1"/>
  <c r="R4025" i="1"/>
  <c r="R4024" i="1"/>
  <c r="R4023" i="1"/>
  <c r="R4022" i="1"/>
  <c r="R4021" i="1"/>
  <c r="R4020" i="1"/>
  <c r="R4019" i="1"/>
  <c r="R4016" i="1"/>
  <c r="R4015" i="1"/>
  <c r="R4014" i="1"/>
  <c r="R4013" i="1"/>
  <c r="R4012" i="1"/>
  <c r="R4011" i="1"/>
  <c r="R4010" i="1"/>
  <c r="R4009" i="1"/>
  <c r="R4008" i="1"/>
  <c r="R4007" i="1"/>
  <c r="R4006" i="1"/>
  <c r="R4005" i="1"/>
  <c r="R4004" i="1"/>
  <c r="R4003" i="1"/>
  <c r="R4002" i="1"/>
  <c r="R4001" i="1"/>
  <c r="R4000" i="1"/>
  <c r="R3999" i="1"/>
  <c r="R3998" i="1"/>
  <c r="R3997" i="1"/>
  <c r="R3996" i="1"/>
  <c r="R3995" i="1"/>
  <c r="R3994" i="1"/>
  <c r="R3993" i="1"/>
  <c r="R3992" i="1"/>
  <c r="R3991" i="1"/>
  <c r="R3990" i="1"/>
  <c r="R3988" i="1"/>
  <c r="R3987" i="1"/>
  <c r="R3986" i="1"/>
  <c r="R3985" i="1"/>
  <c r="R3984" i="1"/>
  <c r="R3983" i="1"/>
  <c r="R3982" i="1"/>
  <c r="R3981" i="1"/>
  <c r="R3980" i="1"/>
  <c r="R3979" i="1"/>
  <c r="R3978" i="1"/>
  <c r="R3977" i="1"/>
  <c r="R3976" i="1"/>
  <c r="R3975" i="1"/>
  <c r="R3974" i="1"/>
  <c r="R3973" i="1"/>
  <c r="R3972" i="1"/>
  <c r="R3971" i="1"/>
  <c r="R3970" i="1"/>
  <c r="R3969" i="1"/>
  <c r="R3968" i="1"/>
  <c r="R3967" i="1"/>
  <c r="R3966" i="1"/>
  <c r="R3964" i="1"/>
  <c r="R3963" i="1"/>
  <c r="R3962" i="1"/>
  <c r="R3961" i="1"/>
  <c r="R3960" i="1"/>
  <c r="R3959" i="1"/>
  <c r="R3958" i="1"/>
  <c r="R3957" i="1"/>
  <c r="R3956" i="1"/>
  <c r="R3955" i="1"/>
  <c r="R3954" i="1"/>
  <c r="R3953" i="1"/>
  <c r="R3952" i="1"/>
  <c r="R3951" i="1"/>
  <c r="R3950" i="1"/>
  <c r="R3949" i="1"/>
  <c r="R3948" i="1"/>
  <c r="R3947" i="1"/>
  <c r="R3946" i="1"/>
  <c r="R3945" i="1"/>
  <c r="R3944" i="1"/>
  <c r="R3943" i="1"/>
  <c r="R3942" i="1"/>
  <c r="R3941" i="1"/>
  <c r="R3940" i="1"/>
  <c r="R3939" i="1"/>
  <c r="R3938" i="1"/>
  <c r="R3937" i="1"/>
  <c r="R3936" i="1"/>
  <c r="R3935" i="1"/>
  <c r="R3934" i="1"/>
  <c r="R3932" i="1"/>
  <c r="R3930" i="1"/>
  <c r="R3929" i="1"/>
  <c r="R3928" i="1"/>
  <c r="R3927" i="1"/>
  <c r="R3926" i="1"/>
  <c r="R3925" i="1"/>
  <c r="R3924" i="1"/>
  <c r="R3923" i="1"/>
  <c r="R3922" i="1"/>
  <c r="R3921" i="1"/>
  <c r="R3920" i="1"/>
  <c r="R3919" i="1"/>
  <c r="R3918" i="1"/>
  <c r="R3917" i="1"/>
  <c r="R3916" i="1"/>
  <c r="R3915" i="1"/>
  <c r="R3914" i="1"/>
  <c r="R3913" i="1"/>
  <c r="R3912" i="1"/>
  <c r="R3911" i="1"/>
  <c r="R3910" i="1"/>
  <c r="R3909" i="1"/>
  <c r="R3908" i="1"/>
  <c r="R3907" i="1"/>
  <c r="R3906" i="1"/>
  <c r="R3905" i="1"/>
  <c r="R3904" i="1"/>
  <c r="R3903" i="1"/>
  <c r="R3902" i="1"/>
  <c r="R3901" i="1"/>
  <c r="R3900" i="1"/>
  <c r="R3899" i="1"/>
  <c r="R3898" i="1"/>
  <c r="R3897" i="1"/>
  <c r="R3896" i="1"/>
  <c r="R3895" i="1"/>
  <c r="R3894" i="1"/>
  <c r="R3893" i="1"/>
  <c r="R3892" i="1"/>
  <c r="R3891" i="1"/>
  <c r="R3890" i="1"/>
  <c r="R3888" i="1"/>
  <c r="R3886" i="1"/>
  <c r="R3885" i="1"/>
  <c r="R3883" i="1"/>
  <c r="R3882" i="1"/>
  <c r="R3881" i="1"/>
  <c r="R3880" i="1"/>
  <c r="R3879" i="1"/>
  <c r="R3878" i="1"/>
  <c r="R3876" i="1"/>
  <c r="R3875" i="1"/>
  <c r="R3874" i="1"/>
  <c r="R3873" i="1"/>
  <c r="R3872" i="1"/>
  <c r="R3871" i="1"/>
  <c r="R3870" i="1"/>
  <c r="R3869" i="1"/>
  <c r="R3868" i="1"/>
  <c r="R3867" i="1"/>
  <c r="R3866" i="1"/>
  <c r="R3865" i="1"/>
  <c r="R3864" i="1"/>
  <c r="R3863" i="1"/>
  <c r="R3862" i="1"/>
  <c r="R3861" i="1"/>
  <c r="R3859" i="1"/>
  <c r="R3858" i="1"/>
  <c r="R3857" i="1"/>
  <c r="R3856" i="1"/>
  <c r="R3855" i="1"/>
  <c r="R3854" i="1"/>
  <c r="R3853" i="1"/>
  <c r="R3852" i="1"/>
  <c r="R3851" i="1"/>
  <c r="R3850" i="1"/>
  <c r="R3849" i="1"/>
  <c r="R3848" i="1"/>
  <c r="R3847" i="1"/>
  <c r="R3846" i="1"/>
  <c r="R3845" i="1"/>
  <c r="R3844" i="1"/>
  <c r="R3843" i="1"/>
  <c r="R3842" i="1"/>
  <c r="R3841" i="1"/>
  <c r="R3840" i="1"/>
  <c r="R3839" i="1"/>
  <c r="R3838" i="1"/>
  <c r="R3837" i="1"/>
  <c r="R3836" i="1"/>
  <c r="R3835" i="1"/>
  <c r="R3834" i="1"/>
  <c r="R3833" i="1"/>
  <c r="R3832" i="1"/>
  <c r="R3831" i="1"/>
  <c r="R3830" i="1"/>
  <c r="R3829" i="1"/>
  <c r="R3828" i="1"/>
  <c r="R3827" i="1"/>
  <c r="R3826" i="1"/>
  <c r="R3825" i="1"/>
  <c r="R3824" i="1"/>
  <c r="R3823" i="1"/>
  <c r="R3822" i="1"/>
  <c r="R3821" i="1"/>
  <c r="R3820" i="1"/>
  <c r="R3819" i="1"/>
  <c r="R3818" i="1"/>
  <c r="R3817" i="1"/>
  <c r="R3816" i="1"/>
  <c r="R3815" i="1"/>
  <c r="R3814" i="1"/>
  <c r="R3813" i="1"/>
  <c r="R3812" i="1"/>
  <c r="R3811" i="1"/>
  <c r="R3810" i="1"/>
  <c r="R3809" i="1"/>
  <c r="R3808" i="1"/>
  <c r="R3807" i="1"/>
  <c r="R3806" i="1"/>
  <c r="R3805" i="1"/>
  <c r="R3804" i="1"/>
  <c r="R3803" i="1"/>
  <c r="R3801" i="1"/>
  <c r="R3800" i="1"/>
  <c r="R3799" i="1"/>
  <c r="R3798" i="1"/>
  <c r="R3797" i="1"/>
  <c r="R3796" i="1"/>
  <c r="R3795" i="1"/>
  <c r="R3794" i="1"/>
  <c r="R3793" i="1"/>
  <c r="R3792" i="1"/>
  <c r="R3791" i="1"/>
  <c r="R3790" i="1"/>
  <c r="R3789" i="1"/>
  <c r="R3788" i="1"/>
  <c r="R3787" i="1"/>
  <c r="R3786" i="1"/>
  <c r="R3784" i="1"/>
  <c r="R3781" i="1"/>
  <c r="R3771" i="1"/>
  <c r="R3763" i="1"/>
  <c r="R3757" i="1"/>
  <c r="R3756" i="1"/>
  <c r="R3755" i="1"/>
  <c r="R3754" i="1"/>
  <c r="R3753" i="1"/>
  <c r="R3752" i="1"/>
  <c r="R3751" i="1"/>
  <c r="R3750" i="1"/>
  <c r="R3749" i="1"/>
  <c r="R3748" i="1"/>
  <c r="R3746" i="1"/>
  <c r="R3745" i="1"/>
  <c r="R3744" i="1"/>
  <c r="R3743" i="1"/>
  <c r="R3742" i="1"/>
  <c r="R3741" i="1"/>
  <c r="R3740" i="1"/>
  <c r="R3739" i="1"/>
  <c r="R3737" i="1"/>
  <c r="R3736" i="1"/>
  <c r="R3735" i="1"/>
  <c r="R3734" i="1"/>
  <c r="R3733" i="1"/>
  <c r="R3732" i="1"/>
  <c r="R3731" i="1"/>
  <c r="R3730" i="1"/>
  <c r="R3729" i="1"/>
  <c r="R3728" i="1"/>
  <c r="R3727" i="1"/>
  <c r="R3726" i="1"/>
  <c r="R3725" i="1"/>
  <c r="R3724" i="1"/>
  <c r="R3723" i="1"/>
  <c r="R3722" i="1"/>
  <c r="R3721" i="1"/>
  <c r="R3720" i="1"/>
  <c r="R3719" i="1"/>
  <c r="R3718" i="1"/>
  <c r="R3717" i="1"/>
  <c r="R3716" i="1"/>
  <c r="R3715" i="1"/>
  <c r="R3714" i="1"/>
  <c r="R3713" i="1"/>
  <c r="R3712" i="1"/>
  <c r="R3711" i="1"/>
  <c r="R3710" i="1"/>
  <c r="R3709" i="1"/>
  <c r="R3708" i="1"/>
  <c r="R3707" i="1"/>
  <c r="R3706" i="1"/>
  <c r="R3705" i="1"/>
  <c r="R3704" i="1"/>
  <c r="R3703" i="1"/>
  <c r="R3702" i="1"/>
  <c r="R3696" i="1"/>
  <c r="R3695" i="1"/>
  <c r="R3694" i="1"/>
  <c r="R3693" i="1"/>
  <c r="R3692" i="1"/>
  <c r="R3691" i="1"/>
  <c r="R3690" i="1"/>
  <c r="R3689" i="1"/>
  <c r="R3688" i="1"/>
  <c r="R3687" i="1"/>
  <c r="R3686" i="1"/>
  <c r="R3685" i="1"/>
  <c r="R3684" i="1"/>
  <c r="R3683" i="1"/>
  <c r="R3682" i="1"/>
  <c r="R3681" i="1"/>
  <c r="R3680" i="1"/>
  <c r="R3679" i="1"/>
  <c r="R3678" i="1"/>
  <c r="R3677" i="1"/>
  <c r="R3676" i="1"/>
  <c r="R3675" i="1"/>
  <c r="R3674" i="1"/>
  <c r="R3673" i="1"/>
  <c r="R3672" i="1"/>
  <c r="R3671" i="1"/>
  <c r="R3670" i="1"/>
  <c r="R3669" i="1"/>
  <c r="R3668" i="1"/>
  <c r="R3667" i="1"/>
  <c r="R3666" i="1"/>
  <c r="R3665" i="1"/>
  <c r="R3664" i="1"/>
  <c r="R3663" i="1"/>
  <c r="R3662" i="1"/>
  <c r="R3661" i="1"/>
  <c r="R3660" i="1"/>
  <c r="R3659" i="1"/>
  <c r="R3658" i="1"/>
  <c r="R3657" i="1"/>
  <c r="R3656" i="1"/>
  <c r="R3655" i="1"/>
  <c r="R3654" i="1"/>
  <c r="R3653" i="1"/>
  <c r="R3652" i="1"/>
  <c r="R3651" i="1"/>
  <c r="R3649" i="1"/>
  <c r="R3648" i="1"/>
  <c r="R3647" i="1"/>
  <c r="R3646" i="1"/>
  <c r="R3645" i="1"/>
  <c r="R3644" i="1"/>
  <c r="R3642" i="1"/>
  <c r="R3641" i="1"/>
  <c r="R3640" i="1"/>
  <c r="R3639" i="1"/>
  <c r="R3638" i="1"/>
  <c r="R3637" i="1"/>
  <c r="R3636" i="1"/>
  <c r="R3635" i="1"/>
  <c r="R3633" i="1"/>
  <c r="R3632" i="1"/>
  <c r="R3631" i="1"/>
  <c r="R3630" i="1"/>
  <c r="R3629" i="1"/>
  <c r="R3628" i="1"/>
  <c r="R3627" i="1"/>
  <c r="R3626" i="1"/>
  <c r="R3625" i="1"/>
  <c r="R3624" i="1"/>
  <c r="R3623" i="1"/>
  <c r="R3622" i="1"/>
  <c r="R3621" i="1"/>
  <c r="R3620" i="1"/>
  <c r="R3619" i="1"/>
  <c r="R3618" i="1"/>
  <c r="R3617" i="1"/>
  <c r="R3613" i="1"/>
  <c r="R3612" i="1"/>
  <c r="R3605" i="1"/>
  <c r="R3604" i="1"/>
  <c r="R3602" i="1"/>
  <c r="R3601" i="1"/>
  <c r="R3600" i="1"/>
  <c r="R3599" i="1"/>
  <c r="R3598" i="1"/>
  <c r="R3597" i="1"/>
  <c r="R3595" i="1"/>
  <c r="R3594" i="1"/>
  <c r="R3592" i="1"/>
  <c r="R3590" i="1"/>
  <c r="R3586" i="1"/>
  <c r="R3585" i="1"/>
  <c r="R3584" i="1"/>
  <c r="R3583" i="1"/>
  <c r="R3582" i="1"/>
  <c r="R3581" i="1"/>
  <c r="R3580" i="1"/>
  <c r="R3579" i="1"/>
  <c r="R3577" i="1"/>
  <c r="R3573" i="1"/>
  <c r="R3572" i="1"/>
  <c r="R3571" i="1"/>
  <c r="R3570" i="1"/>
  <c r="R3569" i="1"/>
  <c r="R3567" i="1"/>
  <c r="R3566" i="1"/>
  <c r="R3564" i="1"/>
  <c r="R3559" i="1"/>
  <c r="R3557" i="1"/>
  <c r="R3553" i="1"/>
  <c r="R3551" i="1"/>
  <c r="R3550" i="1"/>
  <c r="R3549" i="1"/>
  <c r="R3548" i="1"/>
  <c r="R3543" i="1"/>
  <c r="R3542" i="1"/>
  <c r="R3537" i="1"/>
  <c r="R3536" i="1"/>
  <c r="R3535" i="1"/>
  <c r="R3534" i="1"/>
  <c r="R3533" i="1"/>
  <c r="R3529" i="1"/>
  <c r="R3525" i="1"/>
  <c r="R3523" i="1"/>
  <c r="R3519" i="1"/>
  <c r="R3518" i="1"/>
  <c r="R3517" i="1"/>
  <c r="R3515" i="1"/>
  <c r="R3514" i="1"/>
  <c r="R3513" i="1"/>
  <c r="R3512" i="1"/>
  <c r="R3511" i="1"/>
  <c r="R3509" i="1"/>
  <c r="R3507" i="1"/>
  <c r="R3506" i="1"/>
  <c r="R3505" i="1"/>
  <c r="R3504" i="1"/>
  <c r="R3501" i="1"/>
  <c r="R3497" i="1"/>
  <c r="R3494" i="1"/>
  <c r="R3493" i="1"/>
  <c r="R3492" i="1"/>
  <c r="R3490" i="1"/>
  <c r="R3489" i="1"/>
  <c r="R3488" i="1"/>
  <c r="R3486" i="1"/>
  <c r="R3484" i="1"/>
  <c r="R3483" i="1"/>
  <c r="R3482" i="1"/>
  <c r="R3480" i="1"/>
  <c r="R3477" i="1"/>
  <c r="R3476" i="1"/>
  <c r="R3474" i="1"/>
  <c r="R3473" i="1"/>
  <c r="R3472" i="1"/>
  <c r="R3470" i="1"/>
  <c r="R3469" i="1"/>
  <c r="R3468" i="1"/>
  <c r="R3465" i="1"/>
  <c r="R3463" i="1"/>
  <c r="R3460" i="1"/>
  <c r="R3459" i="1"/>
  <c r="R3457" i="1"/>
  <c r="R3456" i="1"/>
  <c r="R3455" i="1"/>
  <c r="R3454" i="1"/>
  <c r="R3453" i="1"/>
  <c r="R3452" i="1"/>
  <c r="R3451" i="1"/>
  <c r="R3450" i="1"/>
  <c r="R3448" i="1"/>
  <c r="R3446" i="1"/>
  <c r="R3445" i="1"/>
  <c r="R3444" i="1"/>
  <c r="R3442" i="1"/>
  <c r="R3441" i="1"/>
  <c r="R3439" i="1"/>
  <c r="R3437" i="1"/>
  <c r="R3435" i="1"/>
  <c r="R3434" i="1"/>
  <c r="R3433" i="1"/>
  <c r="R3432" i="1"/>
  <c r="R3431" i="1"/>
  <c r="R3430" i="1"/>
  <c r="R3429" i="1"/>
  <c r="R3427" i="1"/>
  <c r="R3425" i="1"/>
  <c r="R3424" i="1"/>
  <c r="R3423" i="1"/>
  <c r="R3422" i="1"/>
  <c r="R3421" i="1"/>
  <c r="R3413" i="1"/>
  <c r="R3411" i="1"/>
  <c r="R3410" i="1"/>
  <c r="R3409" i="1"/>
  <c r="R3408" i="1"/>
  <c r="R3405" i="1"/>
  <c r="R3401" i="1"/>
  <c r="R3399" i="1"/>
  <c r="R3398" i="1"/>
  <c r="R3396" i="1"/>
  <c r="R3395" i="1"/>
  <c r="R3393" i="1"/>
  <c r="R3392" i="1"/>
  <c r="R3391" i="1"/>
  <c r="R3390" i="1"/>
  <c r="R3389" i="1"/>
  <c r="R3386" i="1"/>
  <c r="R3383" i="1"/>
  <c r="R3381" i="1"/>
  <c r="R3380" i="1"/>
  <c r="R3378" i="1"/>
  <c r="R3377" i="1"/>
  <c r="R3376" i="1"/>
  <c r="R3374" i="1"/>
  <c r="R3373" i="1"/>
  <c r="R3369" i="1"/>
  <c r="R3367" i="1"/>
  <c r="R3366" i="1"/>
  <c r="R3365" i="1"/>
  <c r="R3363" i="1"/>
  <c r="R3359" i="1"/>
  <c r="R3358" i="1"/>
  <c r="R3356" i="1"/>
  <c r="R3353" i="1"/>
  <c r="R3350" i="1"/>
  <c r="R3348" i="1"/>
  <c r="R3346" i="1"/>
  <c r="R3345" i="1"/>
  <c r="R3342" i="1"/>
  <c r="R3341" i="1"/>
  <c r="R3340" i="1"/>
  <c r="R3339" i="1"/>
  <c r="R3336" i="1"/>
  <c r="R3335" i="1"/>
  <c r="R3334" i="1"/>
  <c r="R3333" i="1"/>
  <c r="R3332" i="1"/>
  <c r="R3330" i="1"/>
  <c r="R3328" i="1"/>
  <c r="R3326" i="1"/>
  <c r="R3324" i="1"/>
  <c r="R3323" i="1"/>
  <c r="R3322" i="1"/>
  <c r="R3319" i="1"/>
  <c r="R3318" i="1"/>
  <c r="R3316" i="1"/>
  <c r="R3315" i="1"/>
  <c r="R3314" i="1"/>
  <c r="R3313" i="1"/>
  <c r="R3310" i="1"/>
  <c r="R3305" i="1"/>
  <c r="R3304" i="1"/>
  <c r="R3301" i="1"/>
  <c r="R3300" i="1"/>
  <c r="R3293" i="1"/>
  <c r="R3281" i="1"/>
  <c r="R3278" i="1"/>
  <c r="R3276" i="1"/>
  <c r="R3275" i="1"/>
  <c r="R3271" i="1"/>
  <c r="R3267" i="1"/>
  <c r="R3266" i="1"/>
  <c r="R3261" i="1"/>
  <c r="R3258" i="1"/>
  <c r="R3257" i="1"/>
  <c r="R3256" i="1"/>
  <c r="R3255" i="1"/>
  <c r="R3252" i="1"/>
  <c r="R3251" i="1"/>
  <c r="R3238" i="1"/>
  <c r="R3236" i="1"/>
  <c r="R3223" i="1"/>
  <c r="R3221" i="1"/>
  <c r="R3220" i="1"/>
  <c r="R3218" i="1"/>
  <c r="R3211" i="1"/>
  <c r="R3207" i="1"/>
  <c r="R3202" i="1"/>
  <c r="R3201" i="1"/>
  <c r="R3200" i="1"/>
  <c r="R3196" i="1"/>
  <c r="R3192" i="1"/>
  <c r="R3191" i="1"/>
  <c r="R3187" i="1"/>
  <c r="R3185" i="1"/>
  <c r="R3184" i="1"/>
  <c r="R3183" i="1"/>
  <c r="R3181" i="1"/>
  <c r="R3177" i="1"/>
  <c r="R3175" i="1"/>
  <c r="R3162" i="1"/>
  <c r="R3150" i="1"/>
  <c r="R3146" i="1"/>
  <c r="R3144" i="1"/>
  <c r="R3138" i="1"/>
  <c r="R3137" i="1"/>
  <c r="R3135" i="1"/>
  <c r="R3132" i="1"/>
  <c r="R3131" i="1"/>
  <c r="R3127" i="1"/>
  <c r="R3105" i="1"/>
  <c r="R3104" i="1"/>
  <c r="R3099" i="1"/>
  <c r="R3092" i="1"/>
  <c r="R3090" i="1"/>
  <c r="R3086" i="1"/>
  <c r="R3074" i="1"/>
  <c r="R3067" i="1"/>
  <c r="R3064" i="1"/>
  <c r="R3063" i="1"/>
  <c r="R3059" i="1"/>
  <c r="R3058" i="1"/>
  <c r="R3054" i="1"/>
  <c r="R3053" i="1"/>
  <c r="R3046" i="1"/>
  <c r="R3044" i="1"/>
  <c r="R3034" i="1"/>
  <c r="R3031" i="1"/>
  <c r="R3029" i="1"/>
  <c r="R3024" i="1"/>
  <c r="R3022" i="1"/>
  <c r="R3021" i="1"/>
  <c r="R3019" i="1"/>
  <c r="R3018" i="1"/>
  <c r="R3017" i="1"/>
  <c r="R3016" i="1"/>
  <c r="R3014" i="1"/>
  <c r="R3012" i="1"/>
  <c r="R3004" i="1"/>
  <c r="R3000" i="1"/>
  <c r="R2991" i="1"/>
  <c r="R2989" i="1"/>
  <c r="R2986" i="1"/>
  <c r="R2985" i="1"/>
  <c r="R2979" i="1"/>
  <c r="R2975" i="1"/>
  <c r="R2972" i="1"/>
  <c r="R2967" i="1"/>
  <c r="R2966" i="1"/>
  <c r="R2964" i="1"/>
  <c r="R2963" i="1"/>
  <c r="R2962" i="1"/>
  <c r="R2961" i="1"/>
  <c r="R2960" i="1"/>
  <c r="R2959" i="1"/>
  <c r="R2957" i="1"/>
  <c r="R2952" i="1"/>
  <c r="R2951" i="1"/>
  <c r="R1305" i="1"/>
  <c r="R2949" i="1"/>
  <c r="R2948" i="1"/>
  <c r="R2947" i="1"/>
  <c r="R2944" i="1"/>
  <c r="R2943" i="1"/>
  <c r="R2942" i="1"/>
  <c r="R2941" i="1"/>
  <c r="R2940" i="1"/>
  <c r="R2939" i="1"/>
  <c r="R2938" i="1"/>
  <c r="R2937" i="1"/>
  <c r="R2936" i="1"/>
  <c r="R2935" i="1"/>
  <c r="R2934" i="1"/>
  <c r="R2933" i="1"/>
  <c r="R2931" i="1"/>
  <c r="R2929" i="1"/>
  <c r="R2928" i="1"/>
  <c r="R2925" i="1"/>
  <c r="R2924" i="1"/>
  <c r="R2922" i="1"/>
  <c r="R2921" i="1"/>
  <c r="R2920" i="1"/>
  <c r="R2919" i="1"/>
  <c r="R2918" i="1"/>
  <c r="R2917" i="1"/>
  <c r="R2916" i="1"/>
  <c r="R2915" i="1"/>
  <c r="R2914" i="1"/>
  <c r="R2913" i="1"/>
  <c r="R2912" i="1"/>
  <c r="R2911" i="1"/>
  <c r="R2910" i="1"/>
  <c r="R2909" i="1"/>
  <c r="R2908" i="1"/>
  <c r="R2906" i="1"/>
  <c r="R2902" i="1"/>
  <c r="R2901" i="1"/>
  <c r="R2900" i="1"/>
  <c r="R2899" i="1"/>
  <c r="R2898" i="1"/>
  <c r="R2897" i="1"/>
  <c r="R2896" i="1"/>
  <c r="R2895" i="1"/>
  <c r="R2894" i="1"/>
  <c r="R2893" i="1"/>
  <c r="R2892" i="1"/>
  <c r="R2889" i="1"/>
  <c r="R2888" i="1"/>
  <c r="R2887" i="1"/>
  <c r="R2886" i="1"/>
  <c r="R2885" i="1"/>
  <c r="R2884" i="1"/>
  <c r="R2883" i="1"/>
  <c r="R2882" i="1"/>
  <c r="R2881" i="1"/>
  <c r="R2880" i="1"/>
  <c r="R2879" i="1"/>
  <c r="R2878" i="1"/>
  <c r="R2877" i="1"/>
  <c r="R2876" i="1"/>
  <c r="R2871" i="1"/>
  <c r="R2870" i="1"/>
  <c r="R2869" i="1"/>
  <c r="R2868" i="1"/>
  <c r="R2867" i="1"/>
  <c r="R2866" i="1"/>
  <c r="R2865" i="1"/>
  <c r="R2864" i="1"/>
  <c r="R2863" i="1"/>
  <c r="R2862" i="1"/>
  <c r="R2861" i="1"/>
  <c r="R2860" i="1"/>
  <c r="R2855" i="1"/>
  <c r="R2854" i="1"/>
  <c r="R2853" i="1"/>
  <c r="R2852" i="1"/>
  <c r="R2851" i="1"/>
  <c r="R2850" i="1"/>
  <c r="R2849" i="1"/>
  <c r="R2848" i="1"/>
  <c r="R2847" i="1"/>
  <c r="R2846" i="1"/>
  <c r="R2844" i="1"/>
  <c r="R2843" i="1"/>
  <c r="R2841" i="1"/>
  <c r="R2840" i="1"/>
  <c r="R2839" i="1"/>
  <c r="R2838" i="1"/>
  <c r="R2836" i="1"/>
  <c r="R2835" i="1"/>
  <c r="R2834" i="1"/>
  <c r="R2833" i="1"/>
  <c r="R2832" i="1"/>
  <c r="R2831" i="1"/>
  <c r="R2830" i="1"/>
  <c r="R2829" i="1"/>
  <c r="R2828" i="1"/>
  <c r="R2827" i="1"/>
  <c r="R2826" i="1"/>
  <c r="R2825" i="1"/>
  <c r="R2824" i="1"/>
  <c r="R2823" i="1"/>
  <c r="R2822" i="1"/>
  <c r="R2821" i="1"/>
  <c r="R2820" i="1"/>
  <c r="R2817" i="1"/>
  <c r="R2816" i="1"/>
  <c r="R2815" i="1"/>
  <c r="R2814" i="1"/>
  <c r="R2813" i="1"/>
  <c r="R2809" i="1"/>
  <c r="R2806" i="1"/>
  <c r="R2805" i="1"/>
  <c r="R2804" i="1"/>
  <c r="R2803" i="1"/>
  <c r="R2802" i="1"/>
  <c r="R2801" i="1"/>
  <c r="R2800" i="1"/>
  <c r="R2799" i="1"/>
  <c r="R2798" i="1"/>
  <c r="R2797" i="1"/>
  <c r="R2796" i="1"/>
  <c r="R2795" i="1"/>
  <c r="R2794" i="1"/>
  <c r="R2793" i="1"/>
  <c r="R2792" i="1"/>
  <c r="R2791" i="1"/>
  <c r="R2790" i="1"/>
  <c r="R2789" i="1"/>
  <c r="R2788" i="1"/>
  <c r="R2787" i="1"/>
  <c r="R2786" i="1"/>
  <c r="R2785" i="1"/>
  <c r="R2784" i="1"/>
  <c r="R2783" i="1"/>
  <c r="R2782" i="1"/>
  <c r="R2781" i="1"/>
  <c r="R2780" i="1"/>
  <c r="R2779" i="1"/>
  <c r="R2778" i="1"/>
  <c r="R2776" i="1"/>
  <c r="R2775" i="1"/>
  <c r="R2774" i="1"/>
  <c r="R2771" i="1"/>
  <c r="R2770" i="1"/>
  <c r="R2769" i="1"/>
  <c r="R2764" i="1"/>
  <c r="R2763" i="1"/>
  <c r="R2762" i="1"/>
  <c r="R2761" i="1"/>
  <c r="R2758" i="1"/>
  <c r="R2757" i="1"/>
  <c r="R2756" i="1"/>
  <c r="R2755" i="1"/>
  <c r="R2754" i="1"/>
  <c r="R2753" i="1"/>
  <c r="R2751" i="1"/>
  <c r="R2750" i="1"/>
  <c r="R2749" i="1"/>
  <c r="R2748" i="1"/>
  <c r="R2747" i="1"/>
  <c r="R2746" i="1"/>
  <c r="R2745" i="1"/>
  <c r="R2744" i="1"/>
  <c r="R2742" i="1"/>
  <c r="R2741" i="1"/>
  <c r="R2740" i="1"/>
  <c r="R2739" i="1"/>
  <c r="R2738" i="1"/>
  <c r="R2737" i="1"/>
  <c r="R2736" i="1"/>
  <c r="R2735" i="1"/>
  <c r="R2734" i="1"/>
  <c r="R2733" i="1"/>
  <c r="R2732" i="1"/>
  <c r="R2731" i="1"/>
  <c r="R2730" i="1"/>
  <c r="R2729" i="1"/>
  <c r="R2728" i="1"/>
  <c r="R2727" i="1"/>
  <c r="R2726" i="1"/>
  <c r="R2725" i="1"/>
  <c r="R2724" i="1"/>
  <c r="R2723" i="1"/>
  <c r="R2722" i="1"/>
  <c r="R2721" i="1"/>
  <c r="R2720" i="1"/>
  <c r="R2719" i="1"/>
  <c r="R2718" i="1"/>
  <c r="R2716" i="1"/>
  <c r="R2715" i="1"/>
  <c r="R2712" i="1"/>
  <c r="R2711" i="1"/>
  <c r="R2710" i="1"/>
  <c r="R2709" i="1"/>
  <c r="R2708" i="1"/>
  <c r="R2705" i="1"/>
  <c r="R2700" i="1"/>
  <c r="R2699" i="1"/>
  <c r="R2698" i="1"/>
  <c r="R2697" i="1"/>
  <c r="R2696" i="1"/>
  <c r="R2694" i="1"/>
  <c r="R2693" i="1"/>
  <c r="R2692" i="1"/>
  <c r="R2691" i="1"/>
  <c r="R2690" i="1"/>
  <c r="R2689" i="1"/>
  <c r="R2685" i="1"/>
  <c r="R2684" i="1"/>
  <c r="R2683" i="1"/>
  <c r="R2682" i="1"/>
  <c r="R2680" i="1"/>
  <c r="R2679" i="1"/>
  <c r="R2678" i="1"/>
  <c r="R2677" i="1"/>
  <c r="R2676" i="1"/>
  <c r="R2675" i="1"/>
  <c r="R2674" i="1"/>
  <c r="R2673" i="1"/>
  <c r="R2672" i="1"/>
  <c r="R2671" i="1"/>
  <c r="R2670" i="1"/>
  <c r="R2669" i="1"/>
  <c r="R2668" i="1"/>
  <c r="R2667" i="1"/>
  <c r="R2666" i="1"/>
  <c r="R2665" i="1"/>
  <c r="R2664" i="1"/>
  <c r="R2662" i="1"/>
  <c r="R2661" i="1"/>
  <c r="R2660" i="1"/>
  <c r="R2659" i="1"/>
  <c r="R2658" i="1"/>
  <c r="R2657" i="1"/>
  <c r="R2656" i="1"/>
  <c r="R2655" i="1"/>
  <c r="R2654" i="1"/>
  <c r="R2653" i="1"/>
  <c r="R2652" i="1"/>
  <c r="R2651" i="1"/>
  <c r="R2650" i="1"/>
  <c r="R2649" i="1"/>
  <c r="R2648" i="1"/>
  <c r="R2646" i="1"/>
  <c r="R2645" i="1"/>
  <c r="R2642" i="1"/>
  <c r="R2641" i="1"/>
  <c r="R2640" i="1"/>
  <c r="R2637" i="1"/>
  <c r="R2636" i="1"/>
  <c r="R2634" i="1"/>
  <c r="R2632" i="1"/>
  <c r="R2631" i="1"/>
  <c r="R2620" i="1"/>
  <c r="R2619" i="1"/>
  <c r="R2618" i="1"/>
  <c r="R2617" i="1"/>
  <c r="R2616" i="1"/>
  <c r="R2615" i="1"/>
  <c r="R2614" i="1"/>
  <c r="R2613" i="1"/>
  <c r="R2612" i="1"/>
  <c r="R2611" i="1"/>
  <c r="R2610" i="1"/>
  <c r="R2609" i="1"/>
  <c r="R2606" i="1"/>
  <c r="R2605" i="1"/>
  <c r="R2604" i="1"/>
  <c r="R2603" i="1"/>
  <c r="R2602" i="1"/>
  <c r="R2601" i="1"/>
  <c r="R2600" i="1"/>
  <c r="R2598" i="1"/>
  <c r="R2597" i="1"/>
  <c r="R2596" i="1"/>
  <c r="R2595" i="1"/>
  <c r="R2594" i="1"/>
  <c r="R2593" i="1"/>
  <c r="R2592" i="1"/>
  <c r="R2591" i="1"/>
  <c r="R2590" i="1"/>
  <c r="R2589" i="1"/>
  <c r="R2588" i="1"/>
  <c r="R2587" i="1"/>
  <c r="R2586" i="1"/>
  <c r="R2585" i="1"/>
  <c r="R2584" i="1"/>
  <c r="R2583" i="1"/>
  <c r="R2582" i="1"/>
  <c r="R2581" i="1"/>
  <c r="R2580" i="1"/>
  <c r="R2579" i="1"/>
  <c r="R2578" i="1"/>
  <c r="R2576" i="1"/>
  <c r="R2575" i="1"/>
  <c r="R2574" i="1"/>
  <c r="R2573" i="1"/>
  <c r="R2572" i="1"/>
  <c r="R2571" i="1"/>
  <c r="R2570" i="1"/>
  <c r="R2569" i="1"/>
  <c r="R2568" i="1"/>
  <c r="R2567" i="1"/>
  <c r="R2566" i="1"/>
  <c r="R2565" i="1"/>
  <c r="R2564" i="1"/>
  <c r="R2563" i="1"/>
  <c r="R2562" i="1"/>
  <c r="R2561" i="1"/>
  <c r="R2560" i="1"/>
  <c r="R2559" i="1"/>
  <c r="R2557" i="1"/>
  <c r="R2556" i="1"/>
  <c r="R2555" i="1"/>
  <c r="R2554" i="1"/>
  <c r="R2553" i="1"/>
  <c r="R2552" i="1"/>
  <c r="R2551" i="1"/>
  <c r="R2550" i="1"/>
  <c r="R2549" i="1"/>
  <c r="R2548" i="1"/>
  <c r="R2547" i="1"/>
  <c r="R2546" i="1"/>
  <c r="R2545" i="1"/>
  <c r="R2542" i="1"/>
  <c r="R2541" i="1"/>
  <c r="R2540" i="1"/>
  <c r="R2538" i="1"/>
  <c r="R2537" i="1"/>
  <c r="R2536" i="1"/>
  <c r="R2535" i="1"/>
  <c r="R2534" i="1"/>
  <c r="R2533" i="1"/>
  <c r="R2532" i="1"/>
  <c r="R2531" i="1"/>
  <c r="R2530" i="1"/>
  <c r="R2529" i="1"/>
  <c r="R2528" i="1"/>
  <c r="R2527" i="1"/>
  <c r="R2526" i="1"/>
  <c r="R2525" i="1"/>
  <c r="R2524" i="1"/>
  <c r="R2523" i="1"/>
  <c r="R2518" i="1"/>
  <c r="R2517" i="1"/>
  <c r="R2516" i="1"/>
  <c r="R2515" i="1"/>
  <c r="R2514" i="1"/>
  <c r="R2513" i="1"/>
  <c r="R2512" i="1"/>
  <c r="R2511" i="1"/>
  <c r="R2510" i="1"/>
  <c r="R2095" i="1"/>
  <c r="R2509" i="1"/>
  <c r="R2508" i="1"/>
  <c r="R2507" i="1"/>
  <c r="R2506" i="1"/>
  <c r="R2505" i="1"/>
  <c r="R2504" i="1"/>
  <c r="R2503" i="1"/>
  <c r="R2502" i="1"/>
  <c r="R2501" i="1"/>
  <c r="R2500" i="1"/>
  <c r="R2498" i="1"/>
  <c r="R2497" i="1"/>
  <c r="R2496" i="1"/>
  <c r="R2495" i="1"/>
  <c r="R2494" i="1"/>
  <c r="R2493" i="1"/>
  <c r="R2492" i="1"/>
  <c r="R2491" i="1"/>
  <c r="R2490" i="1"/>
  <c r="R2489" i="1"/>
  <c r="R2488" i="1"/>
  <c r="R2487" i="1"/>
  <c r="R2486" i="1"/>
  <c r="R2485" i="1"/>
  <c r="R2484" i="1"/>
  <c r="R2483" i="1"/>
  <c r="R2482" i="1"/>
  <c r="R2479" i="1"/>
  <c r="R2478" i="1"/>
  <c r="R2477" i="1"/>
  <c r="R2475" i="1"/>
  <c r="R2474" i="1"/>
  <c r="R2473" i="1"/>
  <c r="R2472" i="1"/>
  <c r="R2471" i="1"/>
  <c r="R2470" i="1"/>
  <c r="R2468" i="1"/>
  <c r="R2467" i="1"/>
  <c r="R2466" i="1"/>
  <c r="R2465" i="1"/>
  <c r="R2464" i="1"/>
  <c r="R2462" i="1"/>
  <c r="R2461" i="1"/>
  <c r="R2460" i="1"/>
  <c r="R2459" i="1"/>
  <c r="R2457" i="1"/>
  <c r="R2456" i="1"/>
  <c r="R2455" i="1"/>
  <c r="R2454" i="1"/>
  <c r="R2453" i="1"/>
  <c r="R2452" i="1"/>
  <c r="R2451" i="1"/>
  <c r="R2450" i="1"/>
  <c r="R2449" i="1"/>
  <c r="R2448" i="1"/>
  <c r="R2447" i="1"/>
  <c r="R2446" i="1"/>
  <c r="R2445" i="1"/>
  <c r="R2444" i="1"/>
  <c r="R2443" i="1"/>
  <c r="R2442" i="1"/>
  <c r="R2440" i="1"/>
  <c r="R2439" i="1"/>
  <c r="R2437" i="1"/>
  <c r="R2436" i="1"/>
  <c r="R2435" i="1"/>
  <c r="R2431" i="1"/>
  <c r="R2430" i="1"/>
  <c r="R2429" i="1"/>
  <c r="R2427" i="1"/>
  <c r="R2426" i="1"/>
  <c r="R2424" i="1"/>
  <c r="R2423" i="1"/>
  <c r="R2422" i="1"/>
  <c r="R2421" i="1"/>
  <c r="R2420" i="1"/>
  <c r="R2419" i="1"/>
  <c r="R2418" i="1"/>
  <c r="R2417" i="1"/>
  <c r="R2415" i="1"/>
  <c r="R2414" i="1"/>
  <c r="R2413" i="1"/>
  <c r="R2412" i="1"/>
  <c r="R2411" i="1"/>
  <c r="R2410" i="1"/>
  <c r="R2409" i="1"/>
  <c r="R2408" i="1"/>
  <c r="R2407" i="1"/>
  <c r="R2406" i="1"/>
  <c r="R2405" i="1"/>
  <c r="R2404" i="1"/>
  <c r="R2403" i="1"/>
  <c r="R2402" i="1"/>
  <c r="R2401" i="1"/>
  <c r="R2400" i="1"/>
  <c r="R2399" i="1"/>
  <c r="R2398" i="1"/>
  <c r="R2397" i="1"/>
  <c r="R2396" i="1"/>
  <c r="R2395" i="1"/>
  <c r="R2394" i="1"/>
  <c r="R2393" i="1"/>
  <c r="R2392" i="1"/>
  <c r="R2391" i="1"/>
  <c r="R2390" i="1"/>
  <c r="R2386" i="1"/>
  <c r="R2385" i="1"/>
  <c r="R2384" i="1"/>
  <c r="R2383" i="1"/>
  <c r="R2382" i="1"/>
  <c r="R2381" i="1"/>
  <c r="R2380" i="1"/>
  <c r="R2379" i="1"/>
  <c r="R2378" i="1"/>
  <c r="R2377" i="1"/>
  <c r="R2376" i="1"/>
  <c r="R2375" i="1"/>
  <c r="R2374" i="1"/>
  <c r="R2373" i="1"/>
  <c r="R2372" i="1"/>
  <c r="R2371" i="1"/>
  <c r="R2370" i="1"/>
  <c r="R2369" i="1"/>
  <c r="R2368" i="1"/>
  <c r="R2367" i="1"/>
  <c r="R2365" i="1"/>
  <c r="R2364" i="1"/>
  <c r="R2362" i="1"/>
  <c r="R2361" i="1"/>
  <c r="R2360" i="1"/>
  <c r="R2359" i="1"/>
  <c r="R2358" i="1"/>
  <c r="R2357" i="1"/>
  <c r="R2356" i="1"/>
  <c r="R2355" i="1"/>
  <c r="R2353" i="1"/>
  <c r="R2352" i="1"/>
  <c r="R2351" i="1"/>
  <c r="R2349" i="1"/>
  <c r="R2348" i="1"/>
  <c r="R2347" i="1"/>
  <c r="R2346" i="1"/>
  <c r="R2345" i="1"/>
  <c r="R2344" i="1"/>
  <c r="R2343" i="1"/>
  <c r="R2342" i="1"/>
  <c r="R2341" i="1"/>
  <c r="R2340" i="1"/>
  <c r="R2339" i="1"/>
  <c r="R2338" i="1"/>
  <c r="R2337" i="1"/>
  <c r="R2336" i="1"/>
  <c r="R2335" i="1"/>
  <c r="R2334" i="1"/>
  <c r="R2333" i="1"/>
  <c r="R2332" i="1"/>
  <c r="R2331" i="1"/>
  <c r="R2330" i="1"/>
  <c r="R2329" i="1"/>
  <c r="R2328" i="1"/>
  <c r="R2327" i="1"/>
  <c r="R2326" i="1"/>
  <c r="R2325" i="1"/>
  <c r="R2324" i="1"/>
  <c r="R2323" i="1"/>
  <c r="R2322" i="1"/>
  <c r="R2320" i="1"/>
  <c r="R2319" i="1"/>
  <c r="R2318" i="1"/>
  <c r="R2316" i="1"/>
  <c r="R2315" i="1"/>
  <c r="R2314" i="1"/>
  <c r="R2313" i="1"/>
  <c r="R2311" i="1"/>
  <c r="R2310" i="1"/>
  <c r="R2308" i="1"/>
  <c r="R2307" i="1"/>
  <c r="R2301" i="1"/>
  <c r="R2300" i="1"/>
  <c r="R2299" i="1"/>
  <c r="R2298" i="1"/>
  <c r="R2297" i="1"/>
  <c r="R2296" i="1"/>
  <c r="R2295" i="1"/>
  <c r="R2294" i="1"/>
  <c r="R2293" i="1"/>
  <c r="R2292" i="1"/>
  <c r="R2291" i="1"/>
  <c r="R2290" i="1"/>
  <c r="R2289" i="1"/>
  <c r="R2288" i="1"/>
  <c r="R2286" i="1"/>
  <c r="R2285" i="1"/>
  <c r="R2284" i="1"/>
  <c r="R2283" i="1"/>
  <c r="R2282" i="1"/>
  <c r="R2281" i="1"/>
  <c r="R2280" i="1"/>
  <c r="R2279" i="1"/>
  <c r="R2278" i="1"/>
  <c r="R2277" i="1"/>
  <c r="R2276" i="1"/>
  <c r="R2275" i="1"/>
  <c r="R2274" i="1"/>
  <c r="R2273" i="1"/>
  <c r="R2271" i="1"/>
  <c r="R2270" i="1"/>
  <c r="R2269" i="1"/>
  <c r="R2268" i="1"/>
  <c r="R2267" i="1"/>
  <c r="R2266" i="1"/>
  <c r="R2264" i="1"/>
  <c r="R2260" i="1"/>
  <c r="R2259" i="1"/>
  <c r="R2258" i="1"/>
  <c r="R2257" i="1"/>
  <c r="R2256" i="1"/>
  <c r="R2255" i="1"/>
  <c r="R2254" i="1"/>
  <c r="R2253" i="1"/>
  <c r="R2252" i="1"/>
  <c r="R2251" i="1"/>
  <c r="R2250" i="1"/>
  <c r="R2249" i="1"/>
  <c r="R2248" i="1"/>
  <c r="R2246" i="1"/>
  <c r="R2245" i="1"/>
  <c r="R2243" i="1"/>
  <c r="R2242" i="1"/>
  <c r="R2241" i="1"/>
  <c r="R2240" i="1"/>
  <c r="R2239" i="1"/>
  <c r="R2238" i="1"/>
  <c r="R2237" i="1"/>
  <c r="R2234" i="1"/>
  <c r="R2233" i="1"/>
  <c r="R2231" i="1"/>
  <c r="R2230" i="1"/>
  <c r="R2225" i="1"/>
  <c r="R2222" i="1"/>
  <c r="R2221" i="1"/>
  <c r="R2220" i="1"/>
  <c r="R2219" i="1"/>
  <c r="R2218" i="1"/>
  <c r="R2216" i="1"/>
  <c r="R2215" i="1"/>
  <c r="R2214" i="1"/>
  <c r="R2213" i="1"/>
  <c r="R2211" i="1"/>
  <c r="R2208" i="1"/>
  <c r="R2207" i="1"/>
  <c r="R2205" i="1"/>
  <c r="R2204" i="1"/>
  <c r="R2203" i="1"/>
  <c r="R2202" i="1"/>
  <c r="R2201" i="1"/>
  <c r="R2200" i="1"/>
  <c r="R2199" i="1"/>
  <c r="R2198" i="1"/>
  <c r="R2197" i="1"/>
  <c r="R2193" i="1"/>
  <c r="R2192" i="1"/>
  <c r="R2191" i="1"/>
  <c r="R2190" i="1"/>
  <c r="R2189" i="1"/>
  <c r="R2188" i="1"/>
  <c r="R2187" i="1"/>
  <c r="R2186" i="1"/>
  <c r="R2185" i="1"/>
  <c r="R2184" i="1"/>
  <c r="R2183" i="1"/>
  <c r="R2182" i="1"/>
  <c r="R2181" i="1"/>
  <c r="R2179" i="1"/>
  <c r="R2177" i="1"/>
  <c r="R2176" i="1"/>
  <c r="R2175" i="1"/>
  <c r="R2174" i="1"/>
  <c r="R2173" i="1"/>
  <c r="R2172" i="1"/>
  <c r="R2171" i="1"/>
  <c r="R2170" i="1"/>
  <c r="R2169" i="1"/>
  <c r="R2168" i="1"/>
  <c r="R2167" i="1"/>
  <c r="R2166" i="1"/>
  <c r="R2165" i="1"/>
  <c r="R2164" i="1"/>
  <c r="R2162" i="1"/>
  <c r="R2159" i="1"/>
  <c r="R2158" i="1"/>
  <c r="R2157" i="1"/>
  <c r="R2156" i="1"/>
  <c r="R2155" i="1"/>
  <c r="R2154" i="1"/>
  <c r="R2152" i="1"/>
  <c r="R2145" i="1"/>
  <c r="R2143" i="1"/>
  <c r="R2137" i="1"/>
  <c r="R2135" i="1"/>
  <c r="R2133" i="1"/>
  <c r="R2127" i="1"/>
  <c r="R2126" i="1"/>
  <c r="R2125" i="1"/>
  <c r="R2124" i="1"/>
  <c r="R2123" i="1"/>
  <c r="R2122" i="1"/>
  <c r="R2121" i="1"/>
  <c r="R2120" i="1"/>
  <c r="R2119" i="1"/>
  <c r="R2118" i="1"/>
  <c r="R2117" i="1"/>
  <c r="R2115" i="1"/>
  <c r="R2114" i="1"/>
  <c r="R2113" i="1"/>
  <c r="R2112" i="1"/>
  <c r="R2111" i="1"/>
  <c r="R2108" i="1"/>
  <c r="R2107" i="1"/>
  <c r="R2106" i="1"/>
  <c r="R2105" i="1"/>
  <c r="R2104" i="1"/>
  <c r="R2103" i="1"/>
  <c r="R2102" i="1"/>
  <c r="R2101" i="1"/>
  <c r="R2098" i="1"/>
  <c r="R2059" i="1"/>
  <c r="R2058" i="1"/>
  <c r="R2057" i="1"/>
  <c r="R2055" i="1"/>
  <c r="R2054" i="1"/>
  <c r="R2053" i="1"/>
  <c r="R2052" i="1"/>
  <c r="R2051" i="1"/>
  <c r="R2050" i="1"/>
  <c r="R2048" i="1"/>
  <c r="R2047" i="1"/>
  <c r="R2046" i="1"/>
  <c r="R2044" i="1"/>
  <c r="R2040" i="1"/>
  <c r="R2039" i="1"/>
  <c r="R2038" i="1"/>
  <c r="R2037" i="1"/>
  <c r="R2036" i="1"/>
  <c r="R2034" i="1"/>
  <c r="R2033" i="1"/>
  <c r="R2032" i="1"/>
  <c r="R2030" i="1"/>
  <c r="R2029" i="1"/>
  <c r="R2027" i="1"/>
  <c r="R2025" i="1"/>
  <c r="R2023" i="1"/>
  <c r="R2022" i="1"/>
  <c r="R2020" i="1"/>
  <c r="R2019" i="1"/>
  <c r="R2018" i="1"/>
  <c r="R2016" i="1"/>
  <c r="R2015" i="1"/>
  <c r="R2012" i="1"/>
  <c r="R2011" i="1"/>
  <c r="R2010" i="1"/>
  <c r="R2009" i="1"/>
  <c r="R2008" i="1"/>
  <c r="R2007" i="1"/>
  <c r="R2004" i="1"/>
  <c r="R2001" i="1"/>
  <c r="R1999" i="1"/>
  <c r="R1996" i="1"/>
  <c r="R1994" i="1"/>
  <c r="R1991" i="1"/>
  <c r="R1988" i="1"/>
  <c r="R1987" i="1"/>
  <c r="R1985" i="1"/>
  <c r="R1982" i="1"/>
  <c r="R1979" i="1"/>
  <c r="R1977" i="1"/>
  <c r="R1975" i="1"/>
  <c r="R1973" i="1"/>
  <c r="R1972" i="1"/>
  <c r="R1970" i="1"/>
  <c r="R1967" i="1"/>
  <c r="R1966" i="1"/>
  <c r="R1964" i="1"/>
  <c r="R1963" i="1"/>
  <c r="R1959" i="1"/>
  <c r="R1958" i="1"/>
  <c r="R1956" i="1"/>
  <c r="R1955" i="1"/>
  <c r="R1954" i="1"/>
  <c r="R1950" i="1"/>
  <c r="R1946" i="1"/>
  <c r="R1944" i="1"/>
  <c r="R1942" i="1"/>
  <c r="R1941" i="1"/>
  <c r="R1939" i="1"/>
  <c r="R1938" i="1"/>
  <c r="R1934" i="1"/>
  <c r="R1929" i="1"/>
  <c r="R1927" i="1"/>
  <c r="R1922" i="1"/>
  <c r="R1921" i="1"/>
  <c r="R1920" i="1"/>
  <c r="R1917" i="1"/>
  <c r="R1909" i="1"/>
  <c r="R1908" i="1"/>
  <c r="R1905" i="1"/>
  <c r="R1902" i="1"/>
  <c r="R1899" i="1"/>
  <c r="R1898" i="1"/>
  <c r="R1896" i="1"/>
  <c r="R1891" i="1"/>
  <c r="R1890" i="1"/>
  <c r="R1889" i="1"/>
  <c r="R1887" i="1"/>
  <c r="R1886" i="1"/>
  <c r="R1883" i="1"/>
  <c r="R1881" i="1"/>
  <c r="R1879" i="1"/>
  <c r="R1878" i="1"/>
  <c r="R1876" i="1"/>
  <c r="R1874" i="1"/>
  <c r="R1873" i="1"/>
  <c r="R1872" i="1"/>
  <c r="R1866" i="1"/>
  <c r="R1861" i="1"/>
  <c r="R1860" i="1"/>
  <c r="R1856" i="1"/>
  <c r="R1853" i="1"/>
  <c r="R1851" i="1"/>
  <c r="R1846" i="1"/>
  <c r="R1843" i="1"/>
  <c r="R1841" i="1"/>
  <c r="R1838" i="1"/>
  <c r="R1837" i="1"/>
  <c r="R1836" i="1"/>
  <c r="R1835" i="1"/>
  <c r="R1831" i="1"/>
  <c r="R1830" i="1"/>
  <c r="R1829" i="1"/>
  <c r="R1828" i="1"/>
  <c r="R1826" i="1"/>
  <c r="R1825" i="1"/>
  <c r="R1824" i="1"/>
  <c r="R1821" i="1"/>
  <c r="R1820" i="1"/>
  <c r="R1819" i="1"/>
  <c r="R1818" i="1"/>
  <c r="R1817" i="1"/>
  <c r="R1816" i="1"/>
  <c r="R1815" i="1"/>
  <c r="R1813" i="1"/>
  <c r="R1812" i="1"/>
  <c r="R1811" i="1"/>
  <c r="R1810" i="1"/>
  <c r="R1809" i="1"/>
  <c r="R1807" i="1"/>
  <c r="R1805" i="1"/>
  <c r="R1803" i="1"/>
  <c r="R1802" i="1"/>
  <c r="R1800" i="1"/>
  <c r="R1799" i="1"/>
  <c r="R1798" i="1"/>
  <c r="R1797" i="1"/>
  <c r="R1796" i="1"/>
  <c r="R1795" i="1"/>
  <c r="R1792" i="1"/>
  <c r="R1790" i="1"/>
  <c r="R1789" i="1"/>
  <c r="R1787" i="1"/>
  <c r="R1786" i="1"/>
  <c r="R1785" i="1"/>
  <c r="R1782" i="1"/>
  <c r="R1778" i="1"/>
  <c r="R1777" i="1"/>
  <c r="R1773" i="1"/>
  <c r="R1767" i="1"/>
  <c r="R1765" i="1"/>
  <c r="R1764" i="1"/>
  <c r="R1739" i="1"/>
  <c r="R1736" i="1"/>
  <c r="R1734" i="1"/>
  <c r="R1732" i="1"/>
  <c r="R1731" i="1"/>
  <c r="R1730" i="1"/>
  <c r="R1727" i="1"/>
  <c r="R1716" i="1"/>
  <c r="R1710" i="1"/>
  <c r="R1683" i="1"/>
  <c r="R1680" i="1"/>
  <c r="R1679" i="1"/>
  <c r="R1673" i="1"/>
  <c r="R1671" i="1"/>
  <c r="R1668" i="1"/>
  <c r="R1663" i="1"/>
  <c r="R1662" i="1"/>
  <c r="R1660" i="1"/>
  <c r="R1658" i="1"/>
  <c r="R1652" i="1"/>
  <c r="R1650" i="1"/>
  <c r="R1645" i="1"/>
  <c r="R1644" i="1"/>
  <c r="R1641" i="1"/>
  <c r="R1634" i="1"/>
  <c r="R1627" i="1"/>
  <c r="R1622" i="1"/>
  <c r="R1604" i="1"/>
  <c r="R1500" i="1"/>
  <c r="R1064" i="1"/>
  <c r="R1062" i="1"/>
  <c r="R1059" i="1"/>
  <c r="R1057" i="1"/>
  <c r="R1056" i="1"/>
  <c r="R1055" i="1"/>
  <c r="R1053" i="1"/>
  <c r="R1050" i="1"/>
  <c r="R1041" i="1"/>
  <c r="R1040" i="1"/>
  <c r="R1038" i="1"/>
  <c r="R1035" i="1"/>
  <c r="R1034" i="1"/>
  <c r="R1033" i="1"/>
  <c r="R1031" i="1"/>
  <c r="R1029" i="1"/>
  <c r="R1025" i="1"/>
  <c r="R1023" i="1"/>
  <c r="R1022" i="1"/>
  <c r="R1020" i="1"/>
  <c r="R1018" i="1"/>
  <c r="R1015" i="1"/>
  <c r="R1014" i="1"/>
  <c r="R1007" i="1"/>
  <c r="R1002" i="1"/>
  <c r="R1000" i="1"/>
  <c r="R998" i="1"/>
  <c r="R997" i="1"/>
  <c r="R996" i="1"/>
  <c r="R995" i="1"/>
  <c r="R994" i="1"/>
  <c r="R992" i="1"/>
  <c r="R990" i="1"/>
  <c r="R989" i="1"/>
  <c r="R988" i="1"/>
  <c r="R987" i="1"/>
  <c r="R981" i="1"/>
  <c r="R980" i="1"/>
  <c r="R979" i="1"/>
  <c r="R978" i="1"/>
  <c r="R977" i="1"/>
  <c r="R976" i="1"/>
  <c r="R972" i="1"/>
  <c r="R971" i="1"/>
  <c r="R968" i="1"/>
  <c r="R967" i="1"/>
  <c r="R966" i="1"/>
  <c r="R965" i="1"/>
  <c r="R963" i="1"/>
  <c r="R962" i="1"/>
  <c r="R961" i="1"/>
  <c r="R960" i="1"/>
  <c r="R959" i="1"/>
  <c r="R958" i="1"/>
  <c r="R957" i="1"/>
  <c r="R956" i="1"/>
  <c r="R955" i="1"/>
  <c r="R954" i="1"/>
  <c r="R951" i="1"/>
  <c r="R950" i="1"/>
  <c r="R949" i="1"/>
  <c r="R947" i="1"/>
  <c r="R946" i="1"/>
  <c r="R945" i="1"/>
  <c r="R944" i="1"/>
  <c r="R943" i="1"/>
  <c r="R942" i="1"/>
  <c r="R941" i="1"/>
  <c r="R940" i="1"/>
  <c r="R939" i="1"/>
  <c r="R938" i="1"/>
  <c r="R936" i="1"/>
  <c r="R935" i="1"/>
  <c r="R934" i="1"/>
  <c r="R933" i="1"/>
  <c r="R932" i="1"/>
  <c r="R931" i="1"/>
  <c r="R930" i="1"/>
  <c r="R928" i="1"/>
  <c r="R926" i="1"/>
  <c r="R925" i="1"/>
  <c r="R924" i="1"/>
  <c r="R923" i="1"/>
  <c r="R922" i="1"/>
  <c r="R921" i="1"/>
  <c r="R920" i="1"/>
  <c r="R919" i="1"/>
  <c r="R918" i="1"/>
  <c r="R917" i="1"/>
  <c r="R915" i="1"/>
  <c r="R914" i="1"/>
  <c r="R913" i="1"/>
  <c r="R912" i="1"/>
  <c r="R911" i="1"/>
  <c r="R910" i="1"/>
  <c r="R909" i="1"/>
  <c r="R908" i="1"/>
  <c r="R907" i="1"/>
  <c r="R906" i="1"/>
  <c r="R905" i="1"/>
  <c r="R904" i="1"/>
  <c r="R901" i="1"/>
  <c r="R900" i="1"/>
  <c r="R899" i="1"/>
  <c r="R897" i="1"/>
  <c r="R896" i="1"/>
  <c r="R895" i="1"/>
  <c r="R894" i="1"/>
  <c r="R890" i="1"/>
  <c r="R889" i="1"/>
  <c r="R888" i="1"/>
  <c r="R886" i="1"/>
  <c r="R885" i="1"/>
  <c r="R884" i="1"/>
  <c r="R883" i="1"/>
  <c r="R882" i="1"/>
  <c r="R881" i="1"/>
  <c r="R880" i="1"/>
  <c r="R878" i="1"/>
  <c r="R877" i="1"/>
  <c r="R875" i="1"/>
  <c r="R874" i="1"/>
  <c r="R872" i="1"/>
  <c r="R868" i="1"/>
  <c r="R867" i="1"/>
  <c r="R865" i="1"/>
  <c r="R864" i="1"/>
  <c r="R863" i="1"/>
  <c r="R859" i="1"/>
  <c r="R857" i="1"/>
  <c r="R855" i="1"/>
  <c r="R854" i="1"/>
  <c r="R853" i="1"/>
  <c r="R851" i="1"/>
  <c r="R848" i="1"/>
  <c r="R842" i="1"/>
  <c r="R840" i="1"/>
  <c r="R838" i="1"/>
  <c r="R837" i="1"/>
  <c r="R835" i="1"/>
  <c r="R833" i="1"/>
  <c r="R826" i="1"/>
  <c r="R825" i="1"/>
  <c r="R824" i="1"/>
  <c r="R822" i="1"/>
  <c r="R820" i="1"/>
  <c r="R817" i="1"/>
  <c r="R815" i="1"/>
  <c r="R811" i="1"/>
  <c r="R810" i="1"/>
  <c r="R809" i="1"/>
  <c r="R803" i="1"/>
  <c r="R801" i="1"/>
  <c r="R797" i="1"/>
  <c r="R796" i="1"/>
  <c r="R789" i="1"/>
  <c r="R787" i="1"/>
  <c r="R778" i="1"/>
  <c r="R777" i="1"/>
  <c r="R776" i="1"/>
  <c r="R762" i="1"/>
  <c r="R757" i="1"/>
  <c r="R756" i="1"/>
  <c r="R754" i="1"/>
  <c r="R753" i="1"/>
  <c r="R743" i="1"/>
  <c r="R742" i="1"/>
  <c r="R735" i="1"/>
  <c r="R731" i="1"/>
  <c r="R728" i="1"/>
  <c r="R725" i="1"/>
  <c r="R724" i="1"/>
  <c r="R717" i="1"/>
  <c r="R715" i="1"/>
  <c r="R714" i="1"/>
  <c r="R712" i="1"/>
  <c r="R704" i="1"/>
  <c r="R701" i="1"/>
  <c r="R696" i="1"/>
  <c r="R690" i="1"/>
  <c r="R689" i="1"/>
  <c r="R680" i="1"/>
  <c r="R679" i="1"/>
  <c r="R678" i="1"/>
  <c r="R677" i="1"/>
  <c r="R675" i="1"/>
  <c r="R674" i="1"/>
  <c r="R673" i="1"/>
  <c r="R666" i="1"/>
  <c r="R661" i="1"/>
  <c r="R660" i="1"/>
  <c r="R658" i="1"/>
  <c r="R655" i="1"/>
  <c r="R644" i="1"/>
  <c r="R635" i="1"/>
  <c r="R634" i="1"/>
  <c r="R627" i="1"/>
  <c r="R625" i="1"/>
  <c r="R624" i="1"/>
  <c r="R622" i="1"/>
  <c r="R611" i="1"/>
  <c r="R610" i="1"/>
  <c r="R112" i="1"/>
  <c r="R110" i="1"/>
  <c r="R608" i="1"/>
  <c r="R606" i="1"/>
  <c r="R602" i="1"/>
  <c r="R600" i="1"/>
  <c r="R599" i="1"/>
  <c r="R597" i="1"/>
  <c r="R595" i="1"/>
  <c r="R591" i="1"/>
  <c r="R588" i="1"/>
  <c r="R587" i="1"/>
  <c r="R585" i="1"/>
  <c r="R584" i="1"/>
  <c r="R583" i="1"/>
  <c r="R582" i="1"/>
  <c r="R581" i="1"/>
  <c r="R580" i="1"/>
  <c r="R579" i="1"/>
  <c r="R578" i="1"/>
  <c r="R577" i="1"/>
  <c r="R574" i="1"/>
  <c r="R571" i="1"/>
  <c r="R570" i="1"/>
  <c r="R568" i="1"/>
  <c r="R567" i="1"/>
  <c r="R564" i="1"/>
  <c r="R561" i="1"/>
  <c r="R560" i="1"/>
  <c r="R559" i="1"/>
  <c r="R558" i="1"/>
  <c r="R557" i="1"/>
  <c r="R556" i="1"/>
  <c r="R555" i="1"/>
  <c r="R554" i="1"/>
  <c r="R553" i="1"/>
  <c r="R552" i="1"/>
  <c r="R551" i="1"/>
  <c r="R549" i="1"/>
  <c r="R548" i="1"/>
  <c r="R547" i="1"/>
  <c r="R546" i="1"/>
  <c r="R545" i="1"/>
  <c r="R544" i="1"/>
  <c r="R543" i="1"/>
  <c r="R542" i="1"/>
  <c r="R539" i="1"/>
  <c r="R538" i="1"/>
  <c r="R537" i="1"/>
  <c r="R536" i="1"/>
  <c r="R535" i="1"/>
  <c r="R534" i="1"/>
  <c r="R533" i="1"/>
  <c r="R532" i="1"/>
  <c r="R529" i="1"/>
  <c r="R528" i="1"/>
  <c r="R527" i="1"/>
  <c r="R526" i="1"/>
  <c r="R524" i="1"/>
  <c r="R523" i="1"/>
  <c r="R522" i="1"/>
  <c r="R521" i="1"/>
  <c r="R520" i="1"/>
  <c r="R519" i="1"/>
  <c r="R517" i="1"/>
  <c r="R514" i="1"/>
  <c r="R513" i="1"/>
  <c r="R512" i="1"/>
  <c r="R511" i="1"/>
  <c r="R510" i="1"/>
  <c r="R509" i="1"/>
  <c r="R508" i="1"/>
  <c r="R507" i="1"/>
  <c r="R505" i="1"/>
  <c r="R504" i="1"/>
  <c r="R503" i="1"/>
  <c r="R502" i="1"/>
  <c r="R500" i="1"/>
  <c r="R498" i="1"/>
  <c r="R497" i="1"/>
  <c r="R496" i="1"/>
  <c r="R495" i="1"/>
  <c r="R494" i="1"/>
  <c r="R493" i="1"/>
  <c r="R491" i="1"/>
  <c r="R490" i="1"/>
  <c r="R489" i="1"/>
  <c r="R488" i="1"/>
  <c r="R487" i="1"/>
  <c r="R486" i="1"/>
  <c r="R485" i="1"/>
  <c r="R483" i="1"/>
  <c r="R482" i="1"/>
  <c r="R480" i="1"/>
  <c r="R479" i="1"/>
  <c r="R478" i="1"/>
  <c r="R477" i="1"/>
  <c r="R476" i="1"/>
  <c r="R475" i="1"/>
  <c r="R474" i="1"/>
  <c r="R471" i="1"/>
  <c r="R470" i="1"/>
  <c r="R469" i="1"/>
  <c r="R468" i="1"/>
  <c r="R467" i="1"/>
  <c r="R466" i="1"/>
  <c r="R461" i="1"/>
  <c r="R460" i="1"/>
  <c r="R459" i="1"/>
  <c r="R457" i="1"/>
  <c r="R456" i="1"/>
  <c r="R455" i="1"/>
  <c r="R454" i="1"/>
  <c r="R452" i="1"/>
  <c r="R448" i="1"/>
  <c r="R444" i="1"/>
  <c r="R443" i="1"/>
  <c r="R441" i="1"/>
  <c r="R440" i="1"/>
  <c r="R438" i="1"/>
  <c r="R436" i="1"/>
  <c r="R435" i="1"/>
  <c r="R434" i="1"/>
  <c r="R432" i="1"/>
  <c r="R431" i="1"/>
  <c r="R430" i="1"/>
  <c r="R429" i="1"/>
  <c r="R428" i="1"/>
  <c r="R427" i="1"/>
  <c r="R426" i="1"/>
  <c r="R425" i="1"/>
  <c r="R424" i="1"/>
  <c r="R423" i="1"/>
  <c r="R422" i="1"/>
  <c r="R421" i="1"/>
  <c r="R420" i="1"/>
  <c r="R419" i="1"/>
  <c r="R417" i="1"/>
  <c r="R416" i="1"/>
  <c r="R415" i="1"/>
  <c r="R414" i="1"/>
  <c r="R413" i="1"/>
  <c r="R412" i="1"/>
  <c r="R411" i="1"/>
  <c r="R410" i="1"/>
  <c r="R408" i="1"/>
  <c r="R407" i="1"/>
  <c r="R405" i="1"/>
  <c r="R404" i="1"/>
  <c r="R403" i="1"/>
  <c r="R401" i="1"/>
  <c r="R399" i="1"/>
  <c r="R398" i="1"/>
  <c r="R397" i="1"/>
  <c r="R396" i="1"/>
  <c r="R395" i="1"/>
  <c r="R394" i="1"/>
  <c r="R393" i="1"/>
  <c r="R392" i="1"/>
  <c r="R389" i="1"/>
  <c r="R388" i="1"/>
  <c r="R387" i="1"/>
  <c r="R385" i="1"/>
  <c r="R383" i="1"/>
  <c r="R380" i="1"/>
  <c r="R379" i="1"/>
  <c r="R378" i="1"/>
  <c r="R376" i="1"/>
  <c r="R375" i="1"/>
  <c r="R374" i="1"/>
  <c r="R373" i="1"/>
  <c r="R371" i="1"/>
  <c r="R370" i="1"/>
  <c r="R369" i="1"/>
  <c r="R368" i="1"/>
  <c r="R367" i="1"/>
  <c r="R365" i="1"/>
  <c r="R364" i="1"/>
  <c r="R362" i="1"/>
  <c r="R360" i="1"/>
  <c r="R359" i="1"/>
  <c r="R358" i="1"/>
  <c r="R357" i="1"/>
  <c r="R350" i="1"/>
  <c r="R342" i="1"/>
  <c r="R340" i="1"/>
  <c r="R338" i="1"/>
  <c r="R336" i="1"/>
  <c r="R334" i="1"/>
  <c r="R333" i="1"/>
  <c r="R332" i="1"/>
  <c r="R331" i="1"/>
  <c r="R330" i="1"/>
  <c r="R328" i="1"/>
  <c r="R327" i="1"/>
  <c r="R326" i="1"/>
  <c r="R325" i="1"/>
  <c r="R324" i="1"/>
  <c r="R323" i="1"/>
  <c r="R322" i="1"/>
  <c r="R319" i="1"/>
  <c r="R318" i="1"/>
  <c r="R317" i="1"/>
  <c r="R310" i="1"/>
  <c r="R307" i="1"/>
  <c r="R305" i="1"/>
  <c r="R302" i="1"/>
  <c r="R300" i="1"/>
  <c r="R299" i="1"/>
  <c r="R292" i="1"/>
  <c r="R291" i="1"/>
  <c r="R290" i="1"/>
  <c r="R289" i="1"/>
  <c r="R286" i="1"/>
  <c r="R285" i="1"/>
  <c r="R284" i="1"/>
  <c r="R280" i="1"/>
  <c r="R279" i="1"/>
  <c r="R278" i="1"/>
  <c r="R277" i="1"/>
  <c r="R276" i="1"/>
  <c r="R268" i="1"/>
  <c r="R267" i="1"/>
  <c r="R266" i="1"/>
  <c r="R264" i="1"/>
  <c r="R263" i="1"/>
  <c r="R261" i="1"/>
  <c r="R260" i="1"/>
  <c r="R259" i="1"/>
  <c r="R258" i="1"/>
  <c r="R256" i="1"/>
  <c r="R255" i="1"/>
  <c r="R254" i="1"/>
  <c r="R253" i="1"/>
  <c r="R251" i="1"/>
  <c r="R250" i="1"/>
  <c r="R249" i="1"/>
  <c r="R248" i="1"/>
  <c r="R247" i="1"/>
  <c r="R246" i="1"/>
  <c r="R245" i="1"/>
  <c r="R244" i="1"/>
  <c r="R240" i="1"/>
  <c r="R239" i="1"/>
  <c r="R238" i="1"/>
  <c r="R237" i="1"/>
  <c r="R235" i="1"/>
  <c r="R230" i="1"/>
  <c r="R229" i="1"/>
  <c r="R227" i="1"/>
  <c r="R224" i="1"/>
  <c r="R220" i="1"/>
  <c r="R219" i="1"/>
  <c r="R218" i="1"/>
  <c r="R216" i="1"/>
  <c r="R213" i="1"/>
  <c r="R212" i="1"/>
  <c r="R211" i="1"/>
  <c r="R210" i="1"/>
  <c r="R209" i="1"/>
  <c r="R208" i="1"/>
  <c r="R207" i="1"/>
  <c r="R202" i="1"/>
  <c r="R201" i="1"/>
  <c r="R199" i="1"/>
  <c r="R198" i="1"/>
  <c r="R197" i="1"/>
  <c r="R196" i="1"/>
  <c r="R194" i="1"/>
  <c r="R193" i="1"/>
  <c r="R192" i="1"/>
  <c r="R191" i="1"/>
  <c r="R190" i="1"/>
  <c r="R189" i="1"/>
  <c r="R188" i="1"/>
  <c r="R186" i="1"/>
  <c r="R185" i="1"/>
  <c r="R184" i="1"/>
  <c r="R183" i="1"/>
  <c r="R182" i="1"/>
  <c r="R181" i="1"/>
  <c r="R180" i="1"/>
  <c r="R179" i="1"/>
  <c r="R178" i="1"/>
  <c r="R177" i="1"/>
  <c r="R176" i="1"/>
  <c r="R173" i="1"/>
  <c r="R172" i="1"/>
  <c r="R171" i="1"/>
  <c r="R170" i="1"/>
  <c r="R169" i="1"/>
  <c r="R168" i="1"/>
  <c r="R167" i="1"/>
  <c r="R166" i="1"/>
  <c r="R162" i="1"/>
  <c r="R161" i="1"/>
  <c r="R160" i="1"/>
  <c r="R159" i="1"/>
  <c r="R158" i="1"/>
  <c r="R157" i="1"/>
  <c r="R155" i="1"/>
  <c r="R154" i="1"/>
  <c r="R153" i="1"/>
  <c r="R151" i="1"/>
  <c r="R150" i="1"/>
  <c r="R149" i="1"/>
  <c r="R148" i="1"/>
  <c r="R147" i="1"/>
  <c r="R146" i="1"/>
  <c r="R142" i="1"/>
  <c r="R139" i="1"/>
  <c r="R137" i="1"/>
  <c r="R136" i="1"/>
  <c r="R135" i="1"/>
  <c r="R134" i="1"/>
  <c r="R133" i="1"/>
  <c r="R131" i="1"/>
  <c r="R129" i="1"/>
  <c r="R128" i="1"/>
  <c r="R127" i="1"/>
  <c r="R124" i="1"/>
  <c r="R123" i="1"/>
  <c r="R122" i="1"/>
  <c r="R121" i="1"/>
  <c r="R120" i="1"/>
  <c r="R119" i="1"/>
  <c r="R117" i="1"/>
  <c r="R108" i="1"/>
  <c r="R106" i="1"/>
  <c r="R105" i="1"/>
  <c r="R103" i="1"/>
  <c r="R101" i="1"/>
  <c r="R100" i="1"/>
  <c r="R99" i="1"/>
  <c r="R98" i="1"/>
  <c r="R96" i="1"/>
  <c r="R95" i="1"/>
  <c r="R94" i="1"/>
  <c r="R93" i="1"/>
  <c r="R92" i="1"/>
  <c r="R91" i="1"/>
  <c r="R90" i="1"/>
  <c r="R89" i="1"/>
  <c r="R88" i="1"/>
  <c r="R87" i="1"/>
  <c r="R86" i="1"/>
  <c r="R85" i="1"/>
  <c r="R84" i="1"/>
  <c r="R83" i="1"/>
  <c r="R82" i="1"/>
  <c r="R81" i="1"/>
  <c r="R79" i="1"/>
  <c r="R78" i="1"/>
  <c r="R76" i="1"/>
  <c r="R75" i="1"/>
  <c r="R74" i="1"/>
  <c r="R73" i="1"/>
  <c r="R72" i="1"/>
  <c r="R71" i="1"/>
  <c r="R70" i="1"/>
  <c r="R69" i="1"/>
  <c r="R68" i="1"/>
  <c r="R67" i="1"/>
  <c r="R65" i="1"/>
  <c r="R64" i="1"/>
  <c r="R62" i="1"/>
  <c r="R61" i="1"/>
  <c r="R59" i="1"/>
  <c r="R58" i="1"/>
  <c r="R57" i="1"/>
  <c r="R56" i="1"/>
  <c r="R54" i="1"/>
  <c r="R53" i="1"/>
  <c r="R52" i="1"/>
  <c r="R51" i="1"/>
  <c r="R50" i="1"/>
  <c r="R49" i="1"/>
  <c r="R48" i="1"/>
  <c r="R47" i="1"/>
  <c r="R46" i="1"/>
  <c r="R45" i="1"/>
  <c r="R44" i="1"/>
  <c r="R43" i="1"/>
  <c r="R42" i="1"/>
  <c r="R41" i="1"/>
  <c r="R40" i="1"/>
  <c r="R39" i="1"/>
  <c r="R38" i="1"/>
  <c r="R37" i="1"/>
  <c r="R36" i="1"/>
  <c r="R35" i="1"/>
  <c r="R34" i="1"/>
  <c r="R33" i="1"/>
  <c r="R32" i="1"/>
  <c r="R31" i="1"/>
  <c r="R30" i="1"/>
  <c r="R29" i="1"/>
  <c r="R28" i="1"/>
  <c r="R27" i="1"/>
  <c r="R26" i="1"/>
  <c r="R25" i="1"/>
  <c r="R24" i="1"/>
  <c r="R23" i="1"/>
  <c r="R22" i="1"/>
  <c r="R21" i="1"/>
  <c r="R20" i="1"/>
  <c r="R19" i="1"/>
  <c r="R18" i="1"/>
  <c r="R16" i="1"/>
  <c r="R15" i="1"/>
  <c r="R14" i="1"/>
  <c r="R13" i="1"/>
  <c r="R12" i="1"/>
  <c r="R11" i="1"/>
  <c r="R10" i="1"/>
  <c r="R9" i="1"/>
  <c r="R8" i="1"/>
  <c r="R7" i="1"/>
  <c r="R6" i="1"/>
  <c r="R5" i="1"/>
  <c r="R4" i="1"/>
  <c r="R3" i="1"/>
  <c r="R1374" i="1"/>
  <c r="R1334" i="1"/>
  <c r="R1482" i="1"/>
  <c r="R1515" i="1"/>
  <c r="R5692" i="1"/>
  <c r="R1438" i="1"/>
  <c r="R572" i="1"/>
  <c r="R5709" i="1"/>
  <c r="R5707" i="1"/>
  <c r="R1625" i="1" l="1"/>
  <c r="R5776" i="1"/>
  <c r="R5422" i="1"/>
  <c r="R5081" i="1"/>
  <c r="R5928" i="1"/>
  <c r="R5123" i="1"/>
  <c r="R5927" i="1"/>
  <c r="R5288" i="1"/>
  <c r="R5293" i="1"/>
  <c r="R5579" i="1"/>
  <c r="R5070" i="1"/>
  <c r="R5494" i="1"/>
  <c r="R5417" i="1"/>
  <c r="R5548" i="1"/>
  <c r="R5803" i="1"/>
  <c r="R5728" i="1"/>
  <c r="R5292" i="1"/>
  <c r="R5955" i="1"/>
  <c r="R5228" i="1"/>
  <c r="R5818" i="1"/>
  <c r="R5314" i="1"/>
  <c r="R5343" i="1"/>
  <c r="R5553" i="1"/>
  <c r="R5093" i="1"/>
  <c r="R5074" i="1"/>
  <c r="R5995" i="1"/>
  <c r="R5821" i="1"/>
  <c r="R6069" i="1"/>
  <c r="R5826" i="1"/>
  <c r="R5701" i="1"/>
  <c r="R171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tc={1F3A5176-3086-447C-99C7-C394AEEC9BF0}</author>
    <author>tc={FB5AACC2-D614-46FA-B99A-CB134BC1492C}</author>
    <author>tc={C82F52E7-8913-4D05-997A-65FE0AB33FD7}</author>
    <author>tc={F520F488-B23D-4D47-85A1-24DE0F421E4C}</author>
    <author>tc={80D8878B-9224-4985-905D-2B3A3868FA50}</author>
    <author>tc={74EFBBA5-49E6-4DA2-B500-8A190421BAF4}</author>
    <author>tc={DC807AC4-8E8D-47C1-9137-2DB7BB9F8B9A}</author>
    <author>tc={3001D028-9B00-481F-A8C7-4E41A1AE73B4}</author>
    <author>tc={5C64C916-DC22-46A7-B9EB-12AE7F3C0AC5}</author>
    <author>tc={CC2D8335-F7D9-47B6-B407-E233623B8DEA}</author>
    <author>tc={A37DD1AA-839D-4A5C-8229-1E53DC7B2069}</author>
    <author>tc={36B2CC65-67CE-4BBC-9336-DA5985938958}</author>
    <author>tc={EDE97EB4-1FCF-473F-B1D1-AE1CD6AD13B2}</author>
    <author>tc={8EBD1334-AF20-40A9-A013-EC360ED3BAD8}</author>
    <author>tc={72F63D37-B11C-41E3-B7D1-6929F019F821}</author>
    <author>tc={1E4179F9-6078-4961-8EB2-2F5C4E950AA3}</author>
    <author>tc={6D993A87-3409-46C8-860C-13C2044C78FC}</author>
    <author>tc={2F172EBF-29B5-4588-AAB0-A930DF915A51}</author>
    <author>tc={F6D37633-F21F-4C72-A7D2-69766F9864DA}</author>
    <author>tc={3250967B-56EC-43D5-8DC3-6B4CD72A3860}</author>
    <author>tc={37E59BC1-3C08-47F7-ADEE-2C5CAC9C68EB}</author>
    <author>tc={0F4A1576-7760-4FCD-A1A9-141C67CB2313}</author>
    <author>tc={8EB67D82-0952-4395-8D99-E183AC95FFCA}</author>
    <author>tc={13690811-4F2A-4F82-A8CD-2BAF67CBF5A6}</author>
    <author>tc={3F237E91-4C4F-471F-9ECD-C1D5CD72BADC}</author>
    <author>tc={2A53B506-B8AF-4F2C-A0D7-48AC42303457}</author>
    <author>tc={6C4F3235-1D21-4BC5-B090-B94801F07A73}</author>
    <author>tc={A4F390A7-62C8-4F5B-B2F2-804FA75863BB}</author>
    <author>tc={58F04E42-EAFE-448B-B886-88C2B234EABE}</author>
    <author>tc={75BFC895-1B8D-4B36-AF8C-E91B08FA0152}</author>
    <author>tc={B54B0156-12C6-4DBE-A492-10B1F9AE794E}</author>
    <author>tc={E3CA3065-5F35-43EC-BEFE-6BF3BFAB9AE4}</author>
    <author>tc={A27FF3EC-536B-46E6-8CD1-489ECA653E32}</author>
    <author>tc={BDFC0039-4560-4E70-9F37-98EA265D9C6E}</author>
    <author>tc={B4465285-7EC0-4306-8B85-267C7B482C94}</author>
    <author>tc={5A3D13C1-FE03-4556-8303-243B472162CD}</author>
    <author>tc={B2E6BF57-72DF-4C76-9E13-9EDF933FAA37}</author>
    <author>tc={C1B7530D-7931-444A-A2E7-9453659B98A2}</author>
    <author>tc={D6033A4B-D7B4-4F3B-A71B-097A1CAEBFB4}</author>
    <author>tc={34A59ECD-52C3-4030-8A1E-B64FA4E959D9}</author>
    <author>tc={A1AD9234-761F-4027-A6C4-6BC9EA7234E0}</author>
    <author>tc={22111ECA-9639-4D07-B9FF-3E2BE1181633}</author>
    <author>tc={85A5EE2A-1561-4A71-9C60-DC94F4C02450}</author>
    <author>tc={8138A278-7ECD-4E8C-B127-4988BE2A51F0}</author>
    <author>tc={F69BBB03-5628-41D1-BC56-4B36688AD3D9}</author>
    <author>tc={F967E98E-7EF0-4416-8354-E982CF8BD0A3}</author>
    <author>tc={02BA8C86-F346-4756-AA04-D61F3F853EBD}</author>
    <author>tc={C75DD269-5AA0-4263-BDC3-1A827264B823}</author>
    <author>tc={44D2ECB0-3201-4823-8B54-CD45C063B7A4}</author>
    <author>tc={60AC2263-BAB2-4313-B2E3-B8239680144B}</author>
    <author>tc={7BE24675-0917-46A8-A5C7-7A250BDEABFB}</author>
    <author>tc={07B878CA-627F-4F2A-BD50-242BF74A20EB}</author>
    <author>tc={32F41062-9E13-4FBB-B556-AC34476D8BBE}</author>
    <author>tc={1BA41471-15B9-4682-994C-2D90AD7B5D5E}</author>
    <author>tc={60129457-6E63-438E-9ED1-093561FA2D8D}</author>
    <author>tc={4DAB539C-4CC6-47F2-B2B5-331CF0805833}</author>
    <author>tc={C92C71CA-E3B0-4991-9EFA-ED37DB04696B}</author>
    <author>tc={D7FC4AFF-CD9B-4C15-8544-69A3C0DCAE9F}</author>
    <author>tc={602C1A68-7DF5-4AC1-B345-FEB77816D773}</author>
    <author>tc={F5ECD249-991C-4F8E-94CB-FA1933EC2D3B}</author>
    <author>tc={E0D14B6C-3CA7-4A1D-A0B5-9D6D11DFAE0F}</author>
    <author>tc={B85001F4-AE15-46EC-BE79-ADF570267404}</author>
    <author>tc={E5741D2A-DDF1-4602-8C5D-97A0AF56E345}</author>
    <author>tc={669C5A5F-280C-4E6A-8BFE-3B56AF5F0CC6}</author>
    <author>tc={62B43C9A-F3B7-4D02-8EF9-03371ED21C6B}</author>
    <author>tc={B2A0ABBD-4E36-4C50-A5A9-5F1E109A7B61}</author>
    <author>tc={7078AAE5-002A-40BE-9A15-960AB1A6A8AD}</author>
    <author>tc={EA8318CE-EE4A-40E6-840A-E56785AE35F6}</author>
    <author>tc={DC991A5A-3BA1-4994-B480-43FB36DCA588}</author>
    <author>tc={72F767A2-4CAD-4DE7-A6A4-A1D038FB84C4}</author>
    <author>tc={99DA0966-58E6-4529-9327-B8A332128AB8}</author>
    <author>tc={944F0E21-D1F9-4C99-8CDC-723BF2E7A87F}</author>
    <author>tc={B9B8ED8E-6C7D-417B-975C-3BC9A45E2D19}</author>
    <author>tc={AF664C97-51FC-424A-B5AA-EC5AB6A1F969}</author>
    <author>tc={413FF5C8-2C37-4CAF-A838-9F3C6EA6725C}</author>
    <author>tc={B1F304F0-06CC-4A8E-A4A4-7BE359656F8C}</author>
    <author>tc={B12BF335-1FF1-46F4-B706-23A71AD180C0}</author>
    <author>tc={43568F83-C2E2-4AE3-9962-B773F7A1C530}</author>
    <author>tc={D89C4A7F-27FC-4C58-B490-EC6B2BC2AA2B}</author>
    <author>tc={6D0DC5B6-F586-4C66-95A0-EDE8467E27D4}</author>
    <author>tc={49CE200D-142B-49DD-97A4-42AB0FE540F7}</author>
    <author>tc={402A532A-D234-4DB7-B9D3-052C5CB22A9C}</author>
    <author>tc={4275E70C-41DB-4724-970E-0C0A8769FAE1}</author>
    <author>tc={1E5E2979-AE87-4553-B3E0-5A60EA7ACB8A}</author>
    <author>tc={DCA6D234-3BD3-4315-8D40-7F458A9FCB85}</author>
    <author>tc={A0743FF9-A3B2-4EBB-B157-52FF11CD0236}</author>
    <author>tc={262466DB-96DB-4589-B587-1701C40A74B3}</author>
    <author>tc={5FC94AC5-9E83-42FD-B326-4D311BE5CE2E}</author>
    <author>tc={D58E0446-A146-4DE9-829B-82EFE41D8464}</author>
    <author>tc={E6D704AC-2C4E-4749-A316-AE774D345B9C}</author>
    <author>tc={9B65FCDD-4835-4CE1-9732-863697DE6BFD}</author>
    <author>tc={D2377AE9-9974-41B9-8BA5-E61AAAAB358D}</author>
    <author>tc={9B201CBA-08CA-4EB4-AD32-E5854E2B206A}</author>
    <author>tc={88E3467C-E470-4F79-AD15-8BA8255FF4A5}</author>
    <author>tc={5CB3AEBA-5980-41D1-9402-223C6751144D}</author>
    <author>tc={9483FD8D-0B22-4213-875D-6E58C62A558F}</author>
    <author>tc={EAF6DB4A-6A16-4278-AF7B-07EDCE2DF6C1}</author>
    <author>tc={8A3025D8-C096-42FD-BE66-80FD3AC6ECFE}</author>
    <author>tc={47F34E39-0E64-4AF6-B66B-1BE87AA575FF}</author>
    <author>tc={95867284-6471-4B7F-AC8C-584963E6FF8B}</author>
    <author>tc={D67C3E08-BBD5-49E8-AC13-522A5450D99E}</author>
    <author>tc={4AC25C6E-4D25-4386-A4AF-598866ACF4BB}</author>
    <author>tc={DAF028CA-9CB8-4C08-855F-86663EB0A1C4}</author>
    <author>tc={8BCC8FC0-082C-4F5E-80F3-9020C543521C}</author>
    <author>tc={8972F45B-301C-4174-B00D-4132DBE3689B}</author>
    <author>tc={8A8AD329-5B1F-4769-99F5-18703D3A83F1}</author>
    <author>tc={CACAE696-2AFA-435F-B995-572CAA544E93}</author>
    <author>tc={39851F9D-5F25-4126-903C-683B78A27BC2}</author>
    <author>tc={9EF5C770-7BF6-454D-A4B5-7B710C8FACD8}</author>
    <author>tc={317B44D9-21F1-4B7A-A31F-4168A41D92F9}</author>
    <author>tc={7C99367D-595A-4812-BEC9-6DD34678C7E3}</author>
    <author>tc={CA2E485D-C040-4C0C-8525-47B260BE237F}</author>
    <author>tc={EDB17F31-99A4-4100-98F7-DB4C9A6E295B}</author>
    <author>tc={0BD22C36-DD6B-47F2-933D-4AE4C1BC12DD}</author>
    <author>tc={C08CC9CA-E542-4DB2-AA09-8912A1764062}</author>
    <author>tc={E9380961-2DD4-4E90-AD29-54AD3C438F2E}</author>
    <author>tc={74B4CAF7-0B05-4260-8803-1B778113A7F6}</author>
    <author>tc={830EFEE2-9E7C-4A9E-925D-EA110F2D1654}</author>
    <author>tc={D2D0F2A2-422A-43E4-B9E3-782675927042}</author>
    <author>tc={5DF9768A-0616-440E-8200-0991908D9598}</author>
    <author>tc={D8973CC6-EA74-43B8-A39D-94221053008B}</author>
    <author>tc={D48D3760-B3AB-4FA5-889D-AB7670E9377A}</author>
    <author>tc={60042998-BE3C-4A81-898A-E42B554C2A79}</author>
    <author>tc={FBA65103-DE1C-4529-85F5-05A7DA57BF84}</author>
    <author>tc={DA8567A9-749E-4C76-8E8E-B3C4A1EAD7E7}</author>
    <author>tc={77FC99CE-24C9-4064-A5A3-5FCFE27F6B21}</author>
    <author>tc={7DC95EFD-3A6D-4E60-9275-6DF71531FC8A}</author>
    <author>tc={6D3B61BB-E162-479F-95D1-6E3A09307D36}</author>
    <author>tc={08051B7F-1A4E-4C33-BFA0-4AC3D470ED06}</author>
    <author>tc={EC14F1FE-BB73-4D60-8BDE-3C5884D9BA28}</author>
    <author>tc={97158D1D-9709-4164-8D9D-44AC6892A12B}</author>
    <author>tc={C0E56789-2AE8-4FB6-B7B6-FC4A0EAD539F}</author>
    <author>tc={90627AE5-E4BF-4262-A3F8-30CF495E0E11}</author>
    <author>tc={0089535B-6324-42A7-A2C1-222962841112}</author>
    <author>tc={FFC06A81-BDD2-400C-98D2-95472ABF4FD0}</author>
    <author>tc={0B2719C7-628A-4120-9F93-8C5F4424185C}</author>
    <author>tc={C1F2EDFA-91E0-41C5-A24D-5F65291D111A}</author>
    <author>tc={379C4606-3677-44EA-B4B8-F0A557816386}</author>
    <author>tc={D6451537-88A1-4F68-B6DE-73C58523B338}</author>
    <author>tc={F0668ABC-12B1-41A8-AE7A-8C1CE066AB5F}</author>
    <author>tc={67248E16-486B-4101-AC26-1150208B5DA5}</author>
    <author>tc={46CEAF48-0279-4704-94BF-48B0964698AD}</author>
    <author>tc={901BDA18-E303-4848-8400-3D15A3EBB331}</author>
    <author>tc={7D5BAD56-2653-4FB3-8903-469DA46ABD31}</author>
    <author>tc={4A530C53-643F-4838-B335-C2C052713851}</author>
    <author>tc={DF609116-EF27-46ED-A25F-B6C7075B8622}</author>
    <author>tc={F42CC4C5-53B5-45F2-AA39-CE967F5D427D}</author>
    <author>tc={0983C346-629E-4C52-BA55-D38DD03852F5}</author>
    <author>tc={546F35E5-DE32-46D5-9B12-920DD190A656}</author>
    <author>tc={A29F71EC-CEF4-40DE-ABAD-70A1DD8AB65C}</author>
    <author>tc={BB80DE94-9896-4771-9B45-E4501F0740E3}</author>
    <author>tc={5D03208E-F443-46DE-88F8-E0AED5BCDF12}</author>
    <author>tc={513679D4-DDD5-469A-9EC7-DF7E14ADDAF4}</author>
    <author>tc={AACF5481-1D0A-4578-A850-55F1735C8090}</author>
    <author>tc={F013F115-C1CE-4E1F-9821-E45ED59844FE}</author>
    <author/>
    <author>tc={B5BF8354-67F5-434B-B5E7-679D29C121FD}</author>
    <author>tc={A9090B84-2B89-4293-8989-126F3D970DDC}</author>
    <author>tc={CAD2C68A-4113-4713-8981-06569DAFEE2D}</author>
    <author>tc={67F01555-AC15-479F-BA28-D22427FC219E}</author>
    <author>tc={D23460DA-F9A9-4692-9F55-008C5B59C30E}</author>
    <author>tc={4F350BE6-D33E-400C-9B0A-7302244EACF7}</author>
    <author>tc={00A99DDD-8FA4-43C2-B634-D868B36C6A80}</author>
    <author>tc={B800C4B0-5536-483B-91FB-1C59F64EF4EA}</author>
    <author>tc={E79516B7-51F1-445A-A209-185F1F342F95}</author>
    <author>tc={5F16DF56-6ABE-4100-83AF-457DCC654A44}</author>
    <author>tc={9070EEC6-67A0-4398-96E3-11D849EAAFA4}</author>
    <author>tc={B54517FC-F011-4606-867A-859E2040AC3B}</author>
    <author>tc={B14DBA13-BD7E-4B43-8DDD-94AED9ADA923}</author>
    <author>tc={43F7672F-7A0F-4BBC-9D2A-F507D1C99615}</author>
    <author>tc={D2D4762A-A894-4F6A-A3B8-92AF2FAA92CC}</author>
    <author>tc={27F308D6-889A-45F9-B54B-7F578710E840}</author>
    <author>tc={343EE29C-836F-4E03-90A3-55A381D1F0E4}</author>
    <author>tc={2217564A-00A8-477B-B537-EC4BF24D8D16}</author>
    <author>tc={222271DE-4E0A-45FB-A4EA-153B6C95C3B5}</author>
    <author>tc={420616C3-65EB-4122-B400-ED6B89677212}</author>
    <author>tc={9DC36D54-3A5B-4E9A-B6F7-D80FCC856C6E}</author>
    <author>tc={0006355D-C724-4A1D-A1E4-ACEA1AE54C18}</author>
    <author>tc={F92C3032-8FBE-40DB-9078-871D6E97BE3D}</author>
    <author>tc={DC8B1B76-B9AE-4FF4-B867-F8E9A76DC91A}</author>
    <author>tc={29FAC6A8-B27E-424D-89E8-8771EADD135E}</author>
    <author>tc={726F213C-D4B1-49E2-9DB8-9E53D5BCAD4D}</author>
    <author>tc={EEF27CF0-BB49-421C-9276-28D5DCFFA848}</author>
    <author>tc={FA821347-4DE6-4028-8D82-613733C6747B}</author>
    <author>tc={1FC389CB-FEF3-4577-BE19-5A0E57BD562A}</author>
    <author>tc={3F13D53B-CDD6-45BE-BC2F-D667E3DC745F}</author>
    <author>tc={DE9EF3E0-989B-422F-9A14-BF1D327102D3}</author>
    <author>tc={FC69B1C3-700C-4738-B207-99EF8CD423AE}</author>
    <author>tc={3458D565-CB19-4187-B52C-77A00ABA3E1F}</author>
    <author>tc={12812226-F706-49D9-AE1D-BF8A16ED67AF}</author>
    <author>tc={48EA3194-71B3-475D-A1B9-F3D3BA2ACBC3}</author>
    <author>tc={9C595196-7252-45F0-8313-99DCDFDED234}</author>
    <author>tc={59042408-0FA9-4F47-A29A-433A9F3A5B8A}</author>
    <author>tc={8D369ABC-A7D3-489E-8370-F967BD79680F}</author>
    <author>tc={235CF7E0-FCD5-4B0F-8094-43738792A2A9}</author>
    <author>tc={7C9CCEE5-A242-4F6F-9835-46683D18BE69}</author>
    <author>tc={1419D41A-CC88-4DDB-A016-775AE1B2E575}</author>
    <author>tc={C05FF7C1-672F-4674-88A9-1F0BD4655C8A}</author>
    <author>tc={EBF18885-48CC-4E4F-8E74-B1D3FC6BF257}</author>
    <author>tc={3826FBFB-75A7-4354-9B06-F0E0EE721415}</author>
    <author>tc={ACFE436E-58B3-4D48-B668-40076D389BD0}</author>
    <author>tc={8AB01522-74DD-480E-A6FC-FB0310F62225}</author>
    <author>tc={26431174-0B9B-417A-A760-B5C39F123B5B}</author>
    <author>tc={BE8B61AC-7D9D-4C43-9B39-9A4FB5DE8AB2}</author>
    <author>tc={A5293838-3ABF-4BA1-914F-AA8619F516E4}</author>
    <author>tc={0DCB957B-6A96-48E2-81C6-6829F192E96D}</author>
    <author>tc={63D32F03-4F09-4501-9F4F-3BE9F6100462}</author>
    <author>tc={E2588AAD-015A-4915-8C53-28F3431569FD}</author>
    <author>tc={7C59BBE2-379C-4DCC-A17D-5A405B1EA836}</author>
    <author>tc={7E4551CE-A55C-4C44-A9CF-0CC56C88BA1F}</author>
    <author>tc={711D550A-56A0-4D94-B380-544D793BC2AD}</author>
    <author>tc={915E980F-C619-4277-9D62-16D770CEF971}</author>
    <author>tc={57797710-4A77-42C4-AD11-A132A2D9BB72}</author>
    <author>tc={1C89B91F-105A-4DB7-B05C-7D38BDBDA196}</author>
    <author>tc={291C49ED-6FC3-4D03-9DE6-10740A9D486E}</author>
    <author>tc={14FD6A42-AE93-4FE9-AA67-7CD1F91831C9}</author>
    <author>tc={BC09FAEA-C3F3-4AEC-AD9C-473235C366F4}</author>
    <author>tc={0048588A-608A-45A1-8DC4-B03E8628047F}</author>
    <author>tc={251432B8-1BA3-44EE-8A54-1FBE0A57E4FC}</author>
    <author>tc={724D9427-72B9-443F-9D11-F6CE0261A1AC}</author>
    <author>tc={48E46E3E-A5D8-477A-A9D5-974790DAB475}</author>
    <author>tc={EF7AEE60-39B8-46E2-9E6A-4E36091B76F4}</author>
    <author>tc={0499EC3D-D66C-49C9-B9C3-C122DD73BB4A}</author>
    <author>tc={4B0BF54E-27C5-4153-96D8-C3E7257DD3A9}</author>
    <author>tc={C36DD3B5-847A-4581-AA95-BD010014F80A}</author>
    <author>tc={D74A7F4D-180C-4BE9-8B90-78781DFC99ED}</author>
    <author>tc={BBEEDDFC-3D44-4EF9-AC4E-8F63D9B9D966}</author>
    <author>tc={A0D1F35F-A201-41DC-B65B-82A3D8790AC1}</author>
    <author>tc={4A6BEC4A-5021-4594-BE2F-FE72362D0186}</author>
    <author>tc={F0BC28C4-0B52-4B8B-8594-EACF8572CDC5}</author>
    <author>tc={655AA623-66A6-4A67-8E19-D564AE18AB91}</author>
    <author>tc={CC0686B4-EA31-470F-AF09-49BBEF1E5A85}</author>
    <author>tc={48BA3B5C-8ACF-4EEF-84A8-C276A0B7972F}</author>
    <author>tc={4A82CFE5-4A43-49B6-BF4A-3EEB0FD29566}</author>
    <author>tc={53534A35-21F0-4E50-8411-A221EA736624}</author>
    <author>tc={D4AEEB5A-F1AD-43BB-B93E-5F19412AF147}</author>
    <author>tc={877162E6-94D3-4C18-ACCE-051E5AE74202}</author>
    <author>tc={2BE9F8B6-7081-4D46-83C0-9E36BA2726B0}</author>
    <author>tc={878AB074-3222-40C9-9D62-E98B8DFF4C2F}</author>
    <author>tc={0D6AF40A-C240-4705-ACA4-D614089FE326}</author>
    <author>tc={64F6B5CE-EDF4-4C56-95AA-F1A4D481C246}</author>
    <author>tc={E0A544AA-24F1-4574-89BE-B76E21191A71}</author>
    <author>tc={349D5D98-7C59-48AD-8FC4-F4889E304780}</author>
    <author>tc={02AD1570-5405-4BC1-BABE-E571236D2259}</author>
    <author>tc={8F760757-64A4-4F0F-B13B-AA30FE028986}</author>
    <author>tc={CDD264A5-BA08-4FE0-A9B7-208A7B68CE61}</author>
    <author>tc={2A932836-289F-4B87-9245-144E21DB4345}</author>
    <author>tc={5671E80C-9E89-4377-B35C-2A60E3EDB9F8}</author>
    <author>tc={AEC1AE97-B439-4E0D-941B-A28FA895ED5D}</author>
    <author>tc={19DCD601-E4AF-4F4D-8C26-B360C1F281A3}</author>
    <author>tc={682FE283-ADC0-4213-8F65-999B0CB8DBAA}</author>
    <author>tc={F4256274-A24A-4109-9009-44032AFD6645}</author>
    <author>tc={3CFA8683-D02B-4FAC-A469-648E21CCBA2A}</author>
    <author>tc={B4A9FA52-23CB-4442-A0C4-12CD94997094}</author>
    <author>tc={980DB0AC-3ED4-455C-A4F1-79DE86BA86B3}</author>
    <author>tc={4892A52B-8B55-4E32-8A99-8289F3E8F665}</author>
    <author>tc={99D8D710-C2DA-46D9-A032-3CEFE472CB15}</author>
    <author>tc={E538F3D9-0E0B-470B-B1F0-FA4F02076323}</author>
    <author>tc={DC8323F5-670C-4F64-9660-62D441B3F024}</author>
    <author>tc={3A17F31A-C0E5-4D65-B004-2381A9532835}</author>
    <author>tc={721D7B24-C45E-4C4E-93D1-1DC32F861B97}</author>
    <author>tc={4611ACB0-3223-4DE8-8DC2-C70BFFF9E0F3}</author>
    <author>tc={6BE72786-5276-48F0-9A79-B171EA09B944}</author>
    <author>tc={22F893F9-6925-440C-A9E9-BBD002D6F144}</author>
    <author>tc={22703688-EA43-48CD-A689-D368B151E2DA}</author>
    <author>tc={EA7BE6F6-7CEE-408E-93E1-EAAA38A6C4FF}</author>
    <author>tc={930E00B4-C686-4EDF-9FBF-8A53C86F88B3}</author>
    <author>tc={5F98A77B-8A75-4216-A46B-8613EE02C070}</author>
    <author>tc={4E0BA6A6-1B47-4475-A5A1-3B49E5FC446E}</author>
    <author>tc={5C9E4D7C-4A8B-4DD0-B00B-CFC9C1205D71}</author>
    <author>tc={3ECAF27D-8C68-4ECB-8A0C-DA10496094A2}</author>
    <author>tc={FD432CBE-4295-4E4F-9FE1-8A0E3BDF67AF}</author>
    <author>tc={D2028C06-3DD5-4D2C-8327-F3C9FDF85269}</author>
    <author>tc={0A89D0FE-EDDB-48AE-9FC1-A0CFFCCC3BF2}</author>
    <author>tc={8E9022FC-1E35-44FE-AAD9-0FE9112DE8A0}</author>
    <author>tc={8B72F239-126E-4171-9315-101D1DFF5B91}</author>
    <author>tc={2D7F0B28-9C5A-445E-960A-54B59CC42295}</author>
    <author>tc={01022F30-C331-40E8-BC04-DF4C701AF93A}</author>
    <author>tc={AFD90E10-1FCE-4FC6-938D-9C1B1B75D37B}</author>
    <author>tc={E3BF4B82-423A-4E6B-ADA7-5B18546C38CF}</author>
    <author>tc={655FA928-AF39-42F9-93AC-C8CF0F257BF4}</author>
    <author>tc={CDFBE9E4-2076-46FD-8B7C-FBD68FD8E293}</author>
    <author>tc={63EB4F8D-2E6F-45E5-A54B-94CA3701C719}</author>
    <author>tc={10EB01ED-9DC7-4CA7-8E1F-B9E4410A8565}</author>
    <author>tc={DEA3BEB8-7619-41F1-A885-7BD3D92407C5}</author>
    <author>tc={DC5FE44A-80A8-421B-86EC-641454C9DF34}</author>
    <author>tc={863E90F4-95CE-432C-BA7C-EDBFA26C33A1}</author>
    <author>tc={7C63F5C5-A3D6-4FA9-AD88-3C80C4D5FD5A}</author>
    <author>tc={8239400E-F09F-40B1-B7C0-03EF40CDF9F7}</author>
    <author>tc={CE67147B-8A04-4723-8909-E871D627FB6F}</author>
    <author>tc={7846BDAD-18FE-4D9E-B845-C634A0C71998}</author>
    <author>tc={83B6ED7B-2687-4757-85DA-3363BBD0A119}</author>
    <author>tc={DACA2B47-CE16-44AC-B6AC-0E9FC2D84D56}</author>
    <author>tc={B592D774-B2F6-4142-A655-739D7AC9E8A1}</author>
    <author>tc={24F3ED14-D6E0-4F17-AB0F-92642C6E9C53}</author>
    <author>tc={D2AE1E93-944D-4EED-AF30-D00F2690EE96}</author>
    <author>tc={CC3FA872-ACC1-4975-954C-0ABFF4D500B7}</author>
    <author>tc={6B4AC46B-0722-4712-B525-3B9F2154CC11}</author>
    <author>tc={F61C8430-3428-44BF-854C-5A7DD6E88FC1}</author>
    <author>tc={501A98D0-C713-48A5-8F2E-D726B4B7DF58}</author>
    <author>tc={0AF90793-4C4F-4BE1-8D45-847BF76D6D0A}</author>
    <author>tc={A0FC19FB-A040-4D07-824A-5E2CC6898523}</author>
    <author>tc={DE6C43E1-51AF-4D10-A14C-CAF41F316CFA}</author>
    <author>tc={E4C22B60-2BC2-4CD3-9607-C506E1A87154}</author>
    <author>tc={6D9D7B4D-145E-4882-8CB5-90B2C600FD86}</author>
    <author>tc={9C0CC31F-FF52-4393-A3C6-03C00291AE73}</author>
    <author>tc={D61AA1F7-C81B-4C53-932A-B843CC62E281}</author>
    <author>tc={D3A85FF8-3903-4180-8EF9-9324A1A1FAF6}</author>
    <author>tc={F7B6DABB-13BC-4739-839B-FD7F3C8CB4F0}</author>
    <author>tc={750B1EEB-C45B-43C5-AEC9-9655EAF7CDDA}</author>
    <author>tc={2B362A05-9453-41DE-86D7-47345071523F}</author>
    <author>Yuli Paola</author>
    <author>tc={0FD10FC7-9890-4877-B7A8-388B001B1A76}</author>
    <author>tc={935C284D-B1C6-4A51-A09F-11A5AA120D2D}</author>
    <author>tc={2508BBEA-C784-4AE4-93AD-1948146621B7}</author>
    <author>tc={081BEE5E-273E-43CF-8961-8B635189DD69}</author>
    <author>tc={11C8981E-BA77-49F9-B560-049911D032F3}</author>
    <author>tc={3F21A861-65A7-42CC-875B-0CCF1CA040F6}</author>
    <author>tc={F1344912-A1C1-4FF9-97EE-9C04C8F564AB}</author>
    <author>tc={87BC1D46-726F-40DD-ADEA-88B480C809FD}</author>
    <author>tc={8FBA14A3-31C8-4BF6-800D-34FF162BFBA2}</author>
    <author>tc={B4419094-31DD-4B8A-BB14-F18F794522EF}</author>
    <author>tc={F6FDBF36-A953-4746-A1B0-EE3A6FB701F4}</author>
    <author>tc={F26DF4C6-6C85-4D3F-9997-3D99F7B580A4}</author>
    <author>tc={1CC4A915-C6C1-4075-A467-5E64297F9144}</author>
    <author>tc={0D3BA5C7-94DF-4D09-99A5-D938041897B5}</author>
    <author>tc={1042C5DF-1B2E-455D-8430-BB3BD7F2FDBF}</author>
    <author>tc={3DEC0EA9-2611-478F-A6D7-BC95822034A8}</author>
    <author>tc={1A449E3D-9891-41B5-BB10-D166EEE2DB12}</author>
    <author>tc={BA1A29F3-78E5-461C-B157-7F5BA9972362}</author>
    <author>tc={3108B6DF-A802-4BF8-B027-053382073160}</author>
    <author>tc={311E2056-53F9-457B-9112-410A2C8991F9}</author>
    <author>tc={FB6619B5-9A2F-4F91-A292-CFD4455A11EF}</author>
    <author>tc={6725F27A-2273-43C2-8497-C8B624243A64}</author>
    <author>tc={CFB6C40C-FDA9-415E-B73C-756DFDE4E676}</author>
    <author>tc={1DBB4DB4-4363-43E4-A3B3-DF7B8FD8E767}</author>
    <author>tc={37D113D5-34DE-4399-B3EA-4CDA3FD02C5F}</author>
    <author>tc={B1D79E8B-E132-4C86-A491-459AB86F5580}</author>
    <author>tc={16F2F895-3889-4A99-B3C7-2221560B3E25}</author>
    <author>tc={39B79ECC-9163-4F53-AFBC-52BE061A38A1}</author>
    <author>tc={FD625C43-FB65-4092-A33A-5234F54F2DDD}</author>
    <author>tc={3BC8012A-D359-47EA-9179-D925293CDA6E}</author>
    <author>tc={2C038B7A-ED75-450F-8937-24EBFAED34B0}</author>
    <author>tc={9ECE296F-FCE9-43D6-923B-AE93EBD67D44}</author>
    <author>tc={5DDFB6C3-0D33-4C4F-9FF9-5F9F37E99704}</author>
    <author>tc={19F02485-67E8-45EA-87C1-1B0E5D35B7BD}</author>
    <author>tc={442BA5CB-F226-43EE-A04D-7FD87DD7B71F}</author>
    <author>tc={247D2CE2-2AC0-4246-A41C-A48E94C17F5D}</author>
    <author>tc={56059C14-E16F-41B3-92AA-6BF395995F48}</author>
    <author>tc={262BC46F-ED0F-469C-ABE2-AD76478FF901}</author>
    <author>tc={18BF94F1-FDF6-4ED7-B4E8-AC1EDC1EA4AC}</author>
    <author>tc={8E375B76-5476-4EB1-BAED-767924583F31}</author>
    <author>tc={0DEB2116-E55A-4216-B45E-B25A0D384211}</author>
    <author>tc={CCDDC38D-A7FB-487C-BF7C-121C969A8822}</author>
    <author>tc={935D8371-9BD3-4417-BAEC-D582B89CBE7F}</author>
    <author>tc={0773CA36-D5E9-4006-9B41-0B87FE88E10C}</author>
    <author>tc={1AAF68EB-35D3-476D-9203-61FC7BDE27FE}</author>
    <author>tc={7AEF9994-6C6E-4505-B3F3-7D82F5166847}</author>
    <author>tc={E900399E-9560-4666-BB92-EB1F712853D3}</author>
    <author>tc={CF89DE6D-41F6-4797-B87C-0C62C60E33DA}</author>
    <author>tc={6A848087-FAF5-46CC-9F78-25A15A34B00C}</author>
    <author>tc={2C60FBF3-01B4-4464-AF39-D97609A6374F}</author>
    <author>tc={BDAE283B-5226-49F6-9DA6-DBEBE4800E3A}</author>
    <author>tc={315991F4-D8DE-429F-A588-07C81D3C3467}</author>
    <author>tc={8B9B5F76-0200-4389-AE34-777A50D03E8C}</author>
    <author>tc={EB6F8FBC-63EF-450B-956E-9F397DED0F80}</author>
    <author>tc={0EEAAC8C-460B-472D-86B3-5DFFE3E173F0}</author>
    <author>tc={35DC51CF-7103-4AA5-826A-9AB7D4C317EA}</author>
    <author>tc={879DFDFD-61BE-41E8-9E15-424B6638D361}</author>
    <author>tc={E7BE95AC-C2EF-46F1-B66E-4831F51F29C3}</author>
    <author>tc={2F37B56B-BC61-445B-93FF-18A6A3A86CCB}</author>
    <author>tc={72853EFD-5823-4B27-9407-F09639DB2A05}</author>
    <author>tc={7B1BC648-B67D-422C-AC59-E59FD2C1302B}</author>
    <author>tc={E0C1E0A2-7A80-4595-8D1A-A81DB0E837AB}</author>
    <author>tc={926490A3-5DAA-4228-AD4D-53CA1FA9736A}</author>
    <author>tc={81E4CB3B-F0EB-4954-A905-D3FC29CCC1A1}</author>
    <author>tc={A26B0B2B-90E6-46AD-B0B6-3D636CBE8F28}</author>
    <author>tc={4890F4DC-BD51-426A-8028-D33A53C1F8F0}</author>
    <author>tc={ED7DF6C0-26FD-4A39-B18F-8336A7ED14EB}</author>
    <author>tc={9B5861AB-59AE-4E6E-9A71-EABBFD781AB4}</author>
    <author>tc={C9DE12B7-B1EF-4423-83E3-CF43033F7574}</author>
    <author>tc={187DDEC1-2F05-4277-B1F0-3154F40B265A}</author>
    <author>tc={913DEF1B-8686-4B1E-B308-F3A8F1570279}</author>
    <author>tc={A31797EB-AB2B-4F62-B740-803BA3A701B6}</author>
    <author>tc={9BAF6F71-C3DC-423E-9B48-B2CE578960EE}</author>
    <author>tc={BD78954C-0B0C-476D-8453-86E55F8E56FC}</author>
    <author>tc={63598B2C-B960-4FF0-BB70-4DD5638FFAAA}</author>
    <author>tc={41CFA8A5-F3D6-4387-9A51-0C8C9BB126C0}</author>
    <author>tc={EADA0789-5365-44CE-88D3-8651A449EFC8}</author>
    <author>tc={EA7D76F1-CA07-4C67-B28F-A44DB2FCB8D0}</author>
    <author>tc={DE8E8C3F-4FA8-498B-82B9-B46045CACC74}</author>
    <author>tc={A99ED56C-5C79-4D45-B493-4993108FF338}</author>
    <author>tc={FCD0B773-1C3A-4B25-9580-518F48175A86}</author>
    <author>tc={8E773F2C-63F8-42A2-AF9E-29DF5B410E34}</author>
    <author>tc={17F5EBB9-1260-4B5C-9098-5BBCBC590A6B}</author>
    <author>tc={5BABDA90-60EB-4D0E-9448-50862CC11471}</author>
    <author>tc={5A82478C-F255-46DB-B814-7830D46AFDD1}</author>
    <author>tc={BF5B6A58-A44D-4301-9E6E-F4EE3519D8C7}</author>
    <author>tc={093C9CC8-243B-4E4C-8690-810F9EDFFC87}</author>
    <author>tc={6FD85F66-2119-4D05-9CFD-A4557F8B8842}</author>
    <author>tc={B6C4E78B-17A9-42E0-91FA-EB040BBCBA86}</author>
    <author>tc={087984F5-6232-47BA-8D72-0A2E99B225A0}</author>
    <author>tc={493AE948-C355-427B-A36C-72FD9F987E6E}</author>
    <author>tc={578D42DF-71D3-4273-89DE-6B2DC6671209}</author>
    <author>tc={83032402-E611-459E-BB81-EF51C293A759}</author>
    <author>tc={41339EBE-85C1-4CF9-A4EB-702BD88AD74C}</author>
    <author>tc={464B7E09-5144-42DD-9946-7C237D9BA5C1}</author>
    <author>tc={4EF7F28F-412A-4169-8B89-8C5A1A36F42F}</author>
    <author>tc={E9D5ABE8-6A1F-4F66-9D5F-15688072CDC8}</author>
    <author>tc={17B771D2-8A7C-4EA7-8366-8A34CAA0C6F1}</author>
    <author>tc={4048DC9D-B29D-4D24-95DC-42335AA164C9}</author>
    <author>tc={FE9CBD54-150F-46E0-9DA8-5EF27BF16B6A}</author>
    <author>tc={A6882EF9-17AA-44B7-9D6B-0D1D6B091BD9}</author>
    <author>tc={A40A52E8-D0D7-43B8-843D-B2414ACABCA3}</author>
    <author>tc={957FBA4A-5615-4496-BA9E-D2044FFDF9CD}</author>
    <author>tc={4C098229-908B-4EBE-B14A-5CE5D5B041DF}</author>
    <author>tc={167820F2-51B5-4055-936D-91EB97729A79}</author>
    <author>tc={AB0ED2B5-0C7F-4373-A415-30694DAA9FF5}</author>
    <author>tc={C387FE18-F5B2-4D23-A4FF-F322BE3DF81C}</author>
    <author>tc={5CBBE8ED-D03A-4105-9997-B2AC84268FCB}</author>
    <author>tc={2882778E-DC6A-41CD-9595-FB40EF70973C}</author>
    <author>tc={EE046C13-DD54-44B7-8985-FCCEC3376BE0}</author>
    <author>tc={D11A1598-9B5C-47AB-A7A0-79818B8ECBCC}</author>
    <author>tc={4D8A6261-B9AE-4F2E-A705-CDD449615A72}</author>
    <author>tc={A76D9791-B15B-439C-99F7-1E1F40E56975}</author>
    <author>tc={29291069-7902-4B9D-926C-545143AEE8CC}</author>
    <author>tc={83155000-ED43-446E-BB18-E3EDD2B7B4D7}</author>
    <author>tc={A3345ED4-1460-4DF1-A508-C11868F7799F}</author>
    <author>tc={6774B270-90FA-468D-891E-529C6A7AB891}</author>
    <author>tc={1E89CBCE-68C6-43AA-9D18-61C94EAC2E12}</author>
    <author>tc={AB321432-662D-4441-A72B-E4F22A9C2879}</author>
    <author>tc={ED5CF250-66BC-4A50-B332-4AB0E79D54CE}</author>
    <author>tc={6908B281-16CC-4083-B792-F09297B15344}</author>
    <author>tc={6C2531FE-CF8C-4102-9089-963A9AC02E1C}</author>
    <author>tc={EF026101-F261-4665-8C1F-84C6A64AF485}</author>
    <author>tc={2B6DBB4D-EC11-48A0-A0B2-7E7B7260A7A5}</author>
    <author>tc={F5C3C94D-B43C-4796-9F5B-65A2973F8F6A}</author>
    <author>tc={CA9B7ACD-CADB-4B1E-B094-65613C1BAA1A}</author>
    <author>tc={E2963D96-333D-4285-9AF7-5D76A5D41319}</author>
    <author>tc={3C97CF48-D05E-41D2-B2A0-BB4076EEE8BB}</author>
    <author>tc={88261B63-1691-45E6-B7BE-721EE3E13A80}</author>
    <author>tc={20C3BB0C-E2B1-4BBC-B8F2-EEF7FAD85B52}</author>
    <author>tc={3B5E2E74-DEF2-4D32-9592-8C65F14BB6D2}</author>
    <author>tc={730C23B0-69FC-44E7-A9EE-2F0BFC2569FD}</author>
    <author>tc={DDAD901A-2AA4-4DBF-BFF0-C05AAA150D19}</author>
    <author>tc={D11FAD3C-BBD1-41B4-8733-9AC154195AC9}</author>
    <author>tc={308BD4E9-E246-48DB-8135-2F75D305649B}</author>
    <author>tc={34C4C650-7D02-473A-8F35-E42764E0EF88}</author>
    <author>tc={B5458E14-FD18-42DF-B5A8-A887A9B3277A}</author>
    <author>tc={14906936-2B26-48F4-A200-B20F5D7594D9}</author>
    <author>tc={A05ACCC4-A535-4AB0-AB9C-5CF3A3157C1C}</author>
    <author>tc={9AF58BEB-6E01-4070-AA7B-298C105648FE}</author>
    <author>tc={E87B0D8D-0234-4295-B3E6-8ED4E6762297}</author>
    <author>tc={2C9BFF4F-469B-42C6-ACD8-564796F31AA9}</author>
    <author>tc={AEE5F870-E147-46FE-BA70-E56E80402BB9}</author>
    <author>tc={55269AD8-F771-4A1D-9BB1-CA128841EAB8}</author>
    <author>tc={09050AFD-3873-43A7-93B4-B877E29C99F7}</author>
    <author>tc={18EE7A05-E520-4ADB-AC4F-321580FD8F89}</author>
    <author>tc={E6C33292-EE6D-49F2-A1EA-3E01B14B88A3}</author>
    <author>tc={43F905D1-F13E-45F4-AA69-2AF76256D884}</author>
    <author>tc={E978819A-BE8D-4A75-AB1D-E5B5D0EE2D33}</author>
    <author>tc={A50C0317-E343-4183-8E9A-A25FE0EFC0B5}</author>
    <author>tc={51FE9F10-D271-4947-8DDC-FD83FBD64BA5}</author>
    <author>tc={DE30C165-ED30-4CBC-8590-EC75DDF92DA9}</author>
    <author>tc={4FF8D451-933A-4B3F-8A1B-26F8BE59BC68}</author>
    <author>tc={EF747A0F-F10B-42BB-8204-9A509212D3CD}</author>
    <author>tc={297476DB-2A06-4969-9964-C8DB32F8FC12}</author>
    <author>tc={7CAA9C42-528D-43F2-BED1-588C8A2C358A}</author>
    <author>tc={15985C97-A14F-4236-815C-1FFED46CE3E3}</author>
    <author>tc={2EF445B6-DC3C-4745-8A6C-3243AD19BA69}</author>
    <author>tc={3ECD2880-DADD-45CF-A614-0CF2BCF7502F}</author>
    <author>tc={F550D3ED-3314-4189-BCDD-50E31CB049CA}</author>
    <author>tc={4F3A4923-07EA-4A2B-89C4-82FFE5BF7337}</author>
    <author>tc={7BA5C7F6-65D4-4C41-9AD9-D69D045EFB4E}</author>
    <author>tc={22B67C3A-2744-4E4B-8E85-A593F57751F0}</author>
    <author>tc={90C93584-1101-49DB-AAEE-445E87095D21}</author>
    <author>tc={0D75C809-0D5D-4BA4-A153-FC4976C78119}</author>
    <author>tc={71C032D8-4496-4406-A3FC-5BA35789D9CB}</author>
    <author>tc={1E76BC68-BFC6-4D3F-8B2D-2302DF18CCA9}</author>
    <author>tc={564A0791-D65B-4F7B-897E-D23E45A5FE52}</author>
    <author>tc={07081967-8D7C-4FD0-AA03-EBD91A3AF1B1}</author>
    <author>tc={C0E70653-C846-4264-B602-1BBBF2B136D0}</author>
    <author>tc={D9E70E1A-3B9A-4E05-AC36-79A1ABBEB6DE}</author>
    <author>tc={F8DE5415-5A21-4C2F-9545-C17D8C2023E2}</author>
    <author>tc={01E4E99E-9D9F-4D50-AE25-4F6B4C699F9A}</author>
    <author>tc={0083DE34-9B84-4D3C-9F1A-F940A9D03550}</author>
    <author>tc={33714B47-0C99-4772-B807-724AB0000AD2}</author>
    <author>tc={8B17B1EE-0BB4-4C6F-9FBC-3728E8176F8A}</author>
    <author>tc={ABE38E1D-0F3A-4D03-BC57-127136D2AAD7}</author>
    <author>tc={DD792324-0575-4C51-821F-34D5BD02EFBC}</author>
    <author>tc={10602287-D4D8-4DD2-83AA-48842CF6DEC7}</author>
    <author>tc={95F32C93-6EDB-49F2-AF9B-EC8CE813B815}</author>
    <author>tc={CB7E2480-3824-41FB-8C8B-DA97974D98ED}</author>
    <author>tc={2C42C202-A44B-4AA9-9E23-2F73402E0892}</author>
    <author>tc={51E97B65-8569-4DB7-A7C2-1825034EAFCD}</author>
    <author>tc={0662A0F6-8988-490F-AE33-5047BD3EA77C}</author>
    <author>tc={DCE83A63-C0D4-42B3-87A2-48B337B93BCF}</author>
    <author>tc={D7896E78-7237-4C80-85B5-D6DFAAE9D84D}</author>
    <author>tc={92F0ACCB-D872-418D-9D61-3D8AC5990C62}</author>
    <author>tc={A1E2A8BE-5719-402D-B809-957ADAAE19EC}</author>
    <author>tc={E0CDA240-9A8E-4BDD-8676-52C0285A48E2}</author>
    <author>tc={0CA6283D-6F23-43B9-BAEC-AB2894B1CDDD}</author>
    <author>tc={F0B87EEE-BD2D-4573-9A82-969F7AB66BB4}</author>
    <author>tc={BB14CC5E-8744-4CFC-B9E1-C7DB8F1547D7}</author>
    <author>tc={B2D539B2-9683-416D-A35E-627327B87D23}</author>
    <author>tc={ED7D9131-F354-4501-A564-AFB7116907ED}</author>
    <author>tc={BA345E7F-1451-4788-9629-853FCF365524}</author>
    <author>tc={CDAD5548-6DA2-408A-A994-715334058160}</author>
    <author>tc={9FB4BE4A-A518-4FBD-881A-209AFB62B5A6}</author>
    <author>tc={69D9F6D7-A7F8-4A9D-974E-168198C26A45}</author>
    <author>tc={629CF72B-544C-417C-ABD7-182863EFE233}</author>
    <author>tc={102B3984-C978-43F4-82F0-1C68DE6832E7}</author>
    <author>tc={7F11D505-4AE2-4FBA-BA25-56D26BC1CA35}</author>
    <author>tc={0F8629EB-2DAD-4041-B799-EA58E7339528}</author>
    <author>tc={839F600A-6AC7-468A-9A32-EF813A01290F}</author>
    <author>tc={97A63A54-86E2-4E60-90CF-C0CBC37DBDAD}</author>
    <author>tc={2EC9E184-8DF1-48B3-BB14-653E00A137E6}</author>
    <author>tc={E73D9F56-F24D-486E-9F9B-FBC083B59D90}</author>
    <author>tc={CE77AC62-793C-46F6-A329-A417668794F0}</author>
    <author>tc={9CCF7BF9-AD8D-41AA-A599-EA900B35A957}</author>
    <author>tc={6D3F1278-EB8A-4E3F-BAB2-F765BE567D66}</author>
    <author>tc={29617FD3-0B9E-471C-A883-D10C5234F3ED}</author>
    <author>tc={6C0A9973-22D6-4AB2-8BB6-95944AE0CBD8}</author>
    <author>tc={E724F0EB-14D6-4AF6-B33B-3EA09442C272}</author>
    <author>tc={F0555DE1-5C5D-485F-8F03-283113B02CE1}</author>
    <author>tc={EC614E81-3754-45A6-84B9-227096A450C7}</author>
    <author>tc={8815EC77-BF4C-46AF-A6F0-4D28897575D6}</author>
    <author>tc={4450A80C-C9CA-4E0C-BCCC-972ED7913828}</author>
    <author>tc={B37CA925-8856-4B41-83F4-D4D3187B4B96}</author>
    <author>tc={C6002FC9-2B1B-4D30-BC55-AA14F1637DBB}</author>
    <author>tc={9F5B0D33-B299-4D8C-82D2-81E513B5575D}</author>
    <author>tc={6D693820-EF05-44F9-A5B6-FABA28CD1A89}</author>
    <author>tc={6325B447-4042-4D0A-86B6-8FC631CD008F}</author>
    <author>tc={9AC1F723-6891-47B7-8762-80C577B17CE3}</author>
    <author>tc={B943CCF5-5A8C-4330-BE79-6FA79531D413}</author>
    <author>tc={CB978B86-4691-4407-95DF-26256B2751ED}</author>
    <author>tc={140501B2-4324-40C3-8126-A4E0F335AE8E}</author>
    <author>tc={BC65DB6A-BC1B-45FE-9B33-50FCB7962500}</author>
    <author>tc={AE34B559-6241-46F0-AEE0-9628F5C5B18B}</author>
    <author>tc={7B677080-94E8-425D-9BEE-6FCD77203C3D}</author>
    <author>tc={5D8BDFA3-9EA6-4737-8950-B1B5410F0237}</author>
    <author>tc={EC02609D-0FD6-4F6E-A1BC-992331CF9BA1}</author>
    <author>tc={DC71D05C-5867-4FFB-8623-413E55FAD02D}</author>
    <author>tc={2F5C86D6-7377-4D95-957C-96E9E5786F47}</author>
    <author>tc={27313B12-ECF2-48B9-A6A8-ABC29FDC7EE4}</author>
    <author>tc={B5E29548-68DC-47D5-BB1E-D31613D054EB}</author>
    <author>tc={ED2C2692-5036-4496-B38F-D7978CA31D7E}</author>
    <author>tc={18E595BD-420A-486B-836A-6C5A22D31CCC}</author>
    <author>tc={4F303D35-6F54-4321-BE35-BAC61B072755}</author>
    <author>tc={35879924-4A4F-465F-9B74-2CE1C9DE1CBD}</author>
    <author>tc={0025025A-83BD-457A-BA94-F4441FD5CFEA}</author>
    <author>tc={BD47FBB5-A4BD-46C5-870B-A93336706382}</author>
    <author>tc={C409A929-BEF4-42EC-AAED-DC11867E34CE}</author>
    <author>tc={BA265210-EF4B-4877-A429-72B4DA58CC6F}</author>
    <author>tc={F70FB216-02CA-48B3-9DFD-E24DE86ACFC1}</author>
    <author>tc={C8D65E5F-3B7F-476D-A373-C63207A81F2D}</author>
    <author>tc={DD510D20-9725-4E1A-A16A-81997C326A70}</author>
    <author>tc={EFB95204-C2C9-4F32-8E82-A7A8533C169B}</author>
    <author>tc={E68D3876-7FED-48BD-8EDD-37A41F333FA4}</author>
    <author>tc={C3EE649C-95FC-4D69-98C6-B4DABEAB4ED3}</author>
    <author>tc={2AB24A6C-BA5B-4199-A168-F0160918DA5B}</author>
    <author>tc={89D822E5-2195-4740-B9D5-B70B2DBD3FD1}</author>
    <author>tc={45B94F24-1C40-47E3-8143-AA48D28700AD}</author>
    <author>tc={752C43F5-3B2E-49E3-B6E3-C0FF0EA60240}</author>
    <author>tc={351AF977-F63D-427F-B061-519EF5CB134C}</author>
    <author>tc={FB1CFE40-EA15-4732-A293-C37D01179BAC}</author>
    <author>tc={3F79B60F-F2C0-430E-BFF2-E6F3A8666DFF}</author>
    <author>tc={7E45DDF7-1550-485F-9517-161C6C891F90}</author>
    <author>tc={A2B32967-EA53-4ECC-9C93-2623E914D627}</author>
    <author>tc={D614214A-DC89-4011-AFA3-85088D65A926}</author>
    <author>tc={0CD44C21-DB1A-4461-9E35-2BA4FB63396C}</author>
    <author>tc={D4382773-3161-4C53-B9BF-35B9AC2AF984}</author>
    <author>tc={08A15EF8-FC0E-4012-AC54-96CA49C2EB9F}</author>
    <author>tc={033DAAE4-40CD-4A85-B8F1-8C889F2C6553}</author>
    <author>tc={79A86E36-87AE-496F-8F57-D464C457C7AF}</author>
    <author>tc={C97F8B50-6A81-4F72-B8FD-E26FAC544FC3}</author>
    <author>tc={62876490-464C-495B-91E2-175BC177AE2B}</author>
    <author>tc={D08B75D9-C502-41BE-8429-8E90BFD3EE66}</author>
    <author>tc={CF3B7F4B-A6A6-4E9F-B35C-D704B466D417}</author>
    <author>tc={D2C43839-850C-4D69-B440-0FF29C4787A8}</author>
    <author>tc={C6520E26-3615-4F31-9D01-3A72D1BAF3E8}</author>
    <author>tc={E0564A92-A88A-4ACE-8F62-CED940DD94C3}</author>
    <author>tc={2AD3DB87-2441-4777-9298-BDCDD3711C65}</author>
    <author>tc={BC61C818-F904-4559-9755-8AF23A1E3106}</author>
    <author>tc={ED00F730-6D00-488B-9520-29CC0FBCFE1A}</author>
    <author>tc={9DB32202-1C24-4112-B7DF-A0A9FF2B74D5}</author>
    <author>tc={5EFD2D42-ED32-4CF8-AEF9-F4FA274D331D}</author>
    <author>tc={367A1F78-8DB9-4906-8C3E-B961615D8AC3}</author>
    <author>tc={709C53B0-1233-4007-84DA-32CD8E12BFCD}</author>
    <author>tc={B8305760-527A-4FC5-A8B8-2D90E50C7751}</author>
    <author>tc={72757A2D-BC4E-4443-8841-51B69D50A325}</author>
    <author>tc={D2F187FF-3287-479E-9BFA-CF41E74B528E}</author>
    <author>tc={D27DA7EA-CFBF-46D7-8468-78CC20D28DC4}</author>
    <author>tc={8603C024-AD67-4B6F-931F-484229507843}</author>
    <author>tc={108A64E5-436B-4DFB-A894-91B7F2CFDD4D}</author>
    <author>tc={CACE9BE9-D48B-4C88-87AC-8E55056F2CAE}</author>
    <author>tc={1BB1EF79-06C9-42E9-B77F-4C5A81659BFF}</author>
    <author>tc={7FA7056C-2666-4EEF-A5E3-EF486713811B}</author>
    <author>tc={1F787D65-8C3D-435F-B746-E864B15986A3}</author>
    <author>tc={19B4A515-C577-480D-88BD-0BD8A441C77B}</author>
    <author>tc={B5ECF797-24DE-46D7-956F-ABF55E928CE6}</author>
    <author>tc={3A5A04A4-3C01-478A-899D-5E0F4DEAF34C}</author>
    <author>tc={B47376D8-800A-46C4-9B35-0DF07FEBAE1F}</author>
    <author>tc={11559E4B-78D2-4204-8ADB-9203614C3DA8}</author>
    <author>tc={AAC85CCF-7CC1-4DE7-B0E7-BCDCC45CF850}</author>
    <author>tc={2C0B81C8-FBC2-410F-AE94-284EE0C0283F}</author>
    <author>tc={A2212309-00C5-4AD1-B17C-889C197AE5BF}</author>
    <author>tc={234447A7-6BAB-4337-BD12-EF923565720D}</author>
    <author>tc={A645835F-17C2-4F76-8651-9E3EB6E97062}</author>
    <author>tc={FEECFB73-DEDB-4696-8614-1167176F9975}</author>
    <author>tc={E545BDB0-696B-4337-8072-6D78BEAAE205}</author>
    <author>tc={29326B23-7EFB-47F7-91CA-45E1099164F6}</author>
    <author>tc={AAFBAA52-B5AD-4BDF-B253-FAAEB4ACCFDA}</author>
    <author>tc={265F2455-9517-435A-ABB4-1930C90C1727}</author>
    <author>tc={25E3BAA8-1F93-4FF9-A265-4477D46324D3}</author>
    <author>tc={49DE7108-F7B1-4CEF-A16D-F7EBE921F5E6}</author>
    <author>tc={F65DBA4E-24DB-4C9A-A688-02B2BA5F8D80}</author>
    <author>tc={BA5F9AAE-BD3B-4022-85A6-35B98D8D0094}</author>
    <author>tc={34183BE2-3F1C-4F26-A79D-B8E7B3C42AE0}</author>
    <author>tc={B96EE841-FAF5-4987-A01F-BFEC72C48897}</author>
    <author>tc={3E566518-970A-4CEE-AF8A-DFB69381BF48}</author>
    <author>tc={D13CD61B-E915-424E-BADA-3DA11D7FF016}</author>
    <author>tc={9E58F470-6E86-4E70-94F7-009D731C90DB}</author>
    <author>tc={E26FB366-12BF-4717-83FC-68CAD68916AD}</author>
    <author>tc={2590504B-54BA-4603-BB42-E20812E9D56C}</author>
    <author>tc={CB2F949E-B1FF-44E8-BCD3-14475336FC47}</author>
    <author>tc={44510096-DEC5-4B54-9813-CE34E33A86A9}</author>
    <author>tc={97734302-BBD4-4361-A3C8-EB2DFD0CBB9B}</author>
    <author>tc={8F153EEF-3867-436C-9585-90A760BC8B3F}</author>
    <author>tc={41D28F99-F2F0-4FA2-8B74-79F275373E42}</author>
    <author>tc={87C4C907-C30B-45C8-955C-0A074A502A44}</author>
    <author>tc={7698035D-9D8E-447C-8297-1EA17E84280F}</author>
    <author>tc={5B0D3637-F513-4EB9-A676-27724BBE6A4E}</author>
    <author>tc={8FEFB542-36B4-4305-BCEB-7F4C17C15E0C}</author>
    <author>tc={DC231DC9-EDFD-425E-B4B5-DFC5145E808A}</author>
    <author>tc={D7D1A775-E5D0-4A41-8F32-DADB3E9DC673}</author>
    <author>tc={2C7B71D0-CF91-4711-8C6F-417E2BEC292E}</author>
    <author>tc={D48AA63B-1011-4C21-90E1-66642B49B996}</author>
    <author>tc={2142F899-EBE9-4433-B9B9-7A3E71B8D5DC}</author>
    <author>tc={D2FA0B39-BF2D-4567-8EEE-5CF60576240A}</author>
    <author>tc={E822355A-81F7-4D03-B7B5-AEBFFC81A4E0}</author>
    <author>tc={11FEF750-85F5-491E-90E1-51D60DF0A284}</author>
    <author>tc={6C9880A3-3E55-4AE8-B718-9CB8A7B256EA}</author>
    <author>tc={CD68BE47-9A0C-493F-B605-E714904664F9}</author>
    <author>tc={FB4A4D94-1FF7-4133-A973-4A8806DA6AFF}</author>
    <author>tc={6FFECD5F-9398-4E3A-B193-BA5B9F436AAC}</author>
    <author>tc={E1406B6E-8CDA-48E4-B51C-154B80093B59}</author>
    <author>tc={7BC82EDB-884B-49DD-9B3B-0B668C736D2A}</author>
    <author>tc={E2AAE160-E8C6-40FF-8F73-D462DE85EE5C}</author>
    <author>tc={1A2DE839-96EB-455C-8DE2-BB9CB2A4012D}</author>
    <author>tc={1594140A-68E2-4721-AD62-DAD04B016C1F}</author>
    <author>tc={D41C1B48-861E-400D-81B3-228663B43D31}</author>
    <author>tc={03E70A38-B2CC-4B87-9FB7-080FB936E13C}</author>
    <author>tc={DD542986-4520-4AEE-87DD-46931519428D}</author>
    <author>tc={7D0F8FBA-FF09-45F6-A59C-1AC1148F7FF7}</author>
    <author>tc={C194C0B2-0A07-48CE-BEC0-F1A8535B5469}</author>
    <author>tc={22D0EF59-C6DA-461B-BC70-4A936A69FA99}</author>
    <author>tc={B1D90093-21D1-4109-A6B6-6C1F58D8390A}</author>
    <author>tc={DC51A0AB-5079-454F-9A50-955BAA5358CC}</author>
    <author>tc={DA22C253-C57E-46B2-A083-A10AC99FC4F5}</author>
    <author>tc={18F1200A-6C9C-43A0-9335-82919FA13638}</author>
    <author>tc={0D6FED48-BB54-4C36-8AF7-4BD5E8175096}</author>
    <author>tc={ED78C977-14F8-42FF-B4DD-A4DB05A80B55}</author>
    <author>tc={EE757AFD-74BD-412C-B01D-21BA7DB0FA58}</author>
    <author>tc={A3FDE4B0-9E1F-4029-BD29-EA0FAF8DFBA9}</author>
    <author>tc={6C54BD34-B99F-4F9F-8AA0-C1FC833F9CD8}</author>
    <author>tc={A1E0202B-F7A3-4605-8011-39B098A61A05}</author>
    <author>tc={AC8563E7-8058-44B3-911D-3B1885ED6435}</author>
    <author>tc={94DEB769-C019-4052-ACD8-AF99407DD7D4}</author>
    <author>tc={20D29B58-AADD-4AC7-880E-2F84DEA61495}</author>
    <author>tc={95FED0B5-AC49-4895-A4CC-766E073EF2E0}</author>
    <author>tc={4522BBCF-68AC-42E6-BFE7-BC33D2F56ADA}</author>
    <author>tc={03E4A985-D0F0-4F1F-95A7-A7834DF0E1B7}</author>
    <author>tc={B549101C-E6B2-44D8-8647-AA57E3F03D92}</author>
    <author>tc={388FFB70-5EAA-42D0-8F87-ADA75072F0AC}</author>
    <author>tc={EA052927-AE6D-4286-A53F-AACC2013F571}</author>
    <author>tc={BAEBAC53-0C00-4894-BDB4-FDA713ADFA67}</author>
    <author>tc={7D7C7A2E-949B-4985-B79B-E31BFF340DDC}</author>
    <author>tc={28F4697C-4DB8-45A4-A485-A06B01DDE776}</author>
    <author>tc={C8A0A85F-6649-41D7-98AA-0297E6906B32}</author>
    <author>tc={DABEB5EC-D17C-4D56-B599-46BE0BC1037D}</author>
    <author>tc={C26011E9-F61D-477C-8B2C-012796EF23E7}</author>
    <author>tc={04C86319-E7A6-48E1-B2ED-8305E9241781}</author>
    <author>tc={E50B545B-60F1-489D-B6A4-FBD670B6AC8F}</author>
    <author>tc={F7F1301B-0158-475B-B01B-F91AC5DCC9BE}</author>
    <author>tc={009B3ECD-BC9C-40DC-9070-19AA4FD75EBD}</author>
    <author>tc={84DE6F6F-76B8-4D89-A2B4-ACB2D095BF32}</author>
    <author>tc={5BC0AF85-95D7-4BFD-8B84-5A989127E122}</author>
    <author>tc={2042CD87-0DE0-4907-BE55-09ABAB7F9C37}</author>
    <author>tc={A0D4E7E7-30B2-4316-9DA3-19F36034192A}</author>
    <author>tc={74C79DC0-1B8C-442B-9AFD-FC5C974F6DC7}</author>
    <author>tc={293E3D5F-16A5-40A9-BD4E-135593A171B1}</author>
    <author>tc={3931480F-7105-41C3-99C5-0FEEAC3B838A}</author>
    <author>tc={213780F9-346A-44A1-8F26-6EC422DB4C8F}</author>
    <author>tc={2192E880-BBD1-4839-B192-D638A0F6D0DB}</author>
    <author>tc={117E86EF-1F8C-4A35-B6F5-D27C2EC34B22}</author>
    <author>tc={ED25198E-C33B-4B70-BEE1-AC9487E32688}</author>
    <author>tc={50A2EA8D-069A-4B06-906D-3BEFC1956AEF}</author>
    <author>tc={C27D9935-874A-442B-910A-F510B1F0735A}</author>
    <author>tc={38D3C69C-DDFC-4984-99F7-F6B4302AAB56}</author>
    <author>tc={E5AB2238-CC02-48C6-82DC-E377BDED8985}</author>
    <author>tc={EC8C6E5A-DC03-4913-A56E-908CAE0648E9}</author>
    <author>tc={F0414D88-B038-4FF4-844D-5115409EA073}</author>
    <author>tc={9CAE3B57-402D-47E0-AF65-ED2F5CBA3B28}</author>
    <author>tc={4D5D3590-E865-470C-8C40-14EBFF222325}</author>
    <author>tc={6600607D-E222-4E52-9CFD-ADBCE50D90F8}</author>
    <author>tc={1783728F-5370-4358-8827-C4665152613E}</author>
    <author>tc={59CB6067-FCD5-40A3-82C5-1906B1ADE274}</author>
    <author>tc={16982942-3756-4115-85F2-4F6BB7578E3F}</author>
    <author>tc={0996844B-FA67-43FE-9B5E-2B329A8CF84F}</author>
    <author>tc={BE5FF120-0382-49E0-B0F2-0D18B4CA4184}</author>
    <author>tc={9805CD00-3DF4-467C-BBF3-AE2287A4C31B}</author>
    <author>tc={AA1C0E88-4ADB-430A-B184-20616CC9FF3A}</author>
    <author>tc={6A105C12-415E-4C7D-935D-B2F5B2CA8FE3}</author>
    <author>tc={078F0E48-3B9E-459E-B0C5-7E990C3B8CA2}</author>
    <author>tc={B0DF453D-6E67-43A1-B9B3-39D61EED5E4D}</author>
    <author>tc={652D44BF-52EC-4F2E-B750-1E747C778787}</author>
    <author>tc={6A9938D4-8392-406F-84DE-2BB0059F34AB}</author>
    <author>tc={38AFABD6-DF6D-4929-9F11-6A0F54B1A753}</author>
    <author>tc={F27CF93D-7EA5-410F-8719-19630CA84CF1}</author>
    <author>tc={4A28FB2B-3AA7-4759-8620-EA7DD72E3325}</author>
    <author>tc={5F832C42-D82D-44FC-AB6D-A7EF78EA17CF}</author>
    <author>tc={99E5AD0F-9483-4584-9A49-5368842F337A}</author>
    <author>tc={FFFD4BFC-5E8E-49A6-A83A-2AD99424D46A}</author>
    <author>tc={1AD0D72D-FF55-4595-A1FB-BBBCF718D18E}</author>
    <author>tc={BFE2FF9F-4495-41EF-97C2-D4D1F87218A7}</author>
    <author>tc={FB87749E-FF20-47C7-9896-A6539A9A9B29}</author>
    <author>tc={957E9B41-99FC-4AED-8D21-97485F09D8C7}</author>
    <author>tc={A0AB175C-5F06-4FEB-974F-276383BE77CC}</author>
    <author>tc={49633CBF-15F1-45B4-B6BD-86D20096BC4E}</author>
    <author>tc={868FABB1-DA80-470A-8882-842B554062B9}</author>
    <author>tc={B6DBD535-53B3-4EF9-8B2E-3291E98352B8}</author>
    <author>tc={69845A4F-C5C7-4F52-9829-598DB3F84247}</author>
    <author>tc={C88C8AD2-497E-41F7-859B-FC35F82F22D3}</author>
    <author>tc={5906CF5F-D465-4E61-8A4B-1387E5473E89}</author>
    <author>tc={5D47EA7E-84C0-4E6A-B385-CFDD3531C04F}</author>
    <author>tc={ACD2346F-47E6-41B5-8BCB-7ACD374D7BA6}</author>
    <author>tc={801D1A20-D3CC-440B-99EE-5FC2AF80AD47}</author>
    <author>tc={E4729C0E-D50D-4ECA-867B-6CE2EC004F3D}</author>
    <author>tc={4F09F681-A899-44D5-88CF-266393FF70E7}</author>
    <author>tc={B6C82A5B-388F-4929-9F92-8F09CF212588}</author>
    <author>tc={67C7BCAE-DF8F-4950-B37A-1D3C9ECBF87B}</author>
    <author>tc={53B53A69-A34A-4313-B00B-F9B886EA7574}</author>
    <author>tc={F5229061-7702-4112-B85A-35B12DDE639E}</author>
    <author>tc={ECA09326-F71D-4981-A30A-61DB2B4259BF}</author>
    <author>tc={21AE264A-631F-4D69-A420-0C79D30E8490}</author>
    <author>tc={660B4430-6938-4BE0-852D-4F5A1F5B9629}</author>
    <author>tc={6AD2908B-D371-4535-8C52-1B428BB53550}</author>
    <author>tc={DFA93CE2-BED0-4BCD-9694-5D1DE05F5653}</author>
    <author>tc={2E5D05C4-EF47-4923-8CF1-5AF67295B49C}</author>
    <author>tc={CFCA864E-9EA6-4DD6-8559-59FEC3AB656E}</author>
    <author>tc={D3E2D6C1-9998-4FAF-8C7A-E3AA6417F65E}</author>
    <author>tc={9AE17A92-0685-4A42-9A88-3A53B9031941}</author>
    <author>tc={0494F4A4-59A3-4EF9-9C92-5CC478B1D9CA}</author>
    <author>tc={DB38DDA2-7174-4FB5-AAFE-E1A164E5D713}</author>
    <author>tc={65CECF13-CB03-4BE7-9923-146D1712B8E8}</author>
    <author>tc={60CA46D1-59D3-498F-A542-36089B2E5F95}</author>
    <author>tc={3994DF34-468B-4A47-8465-5980D74C1F3F}</author>
    <author>tc={C58DF337-1E35-4FDE-AA0A-F3682413DBE7}</author>
    <author>tc={F83087C4-C6BB-4A02-AE91-ACF78E1F970C}</author>
    <author>tc={29ACA889-E219-4000-82CE-9C33315A9242}</author>
    <author>tc={C824E1BC-41C9-4ABD-98D0-AD4FB614A144}</author>
    <author>tc={429C22C3-78DF-4194-97EB-8E9E79995F45}</author>
    <author>tc={0FD2C934-E9DA-4428-A798-052609066AA3}</author>
    <author>tc={3AEA324B-E6D4-478A-9842-A2557C47DD35}</author>
    <author>tc={C1BC418D-E726-4825-88F9-7052A7DE2182}</author>
    <author>tc={1774A50F-0B1E-4B21-9E84-03233C0A2321}</author>
    <author>tc={B323AB89-5880-4E32-AAF4-53AF9CCC58F7}</author>
    <author>tc={3307F733-A750-4EBB-BDBB-9BC21DCA84E7}</author>
    <author>tc={9F121258-116D-4A7D-A2AB-3A3FED8914E7}</author>
    <author>tc={C9FF6943-47C0-4145-9B9C-DD303AC89449}</author>
    <author>tc={47819010-0C73-4802-A155-B439A4601CDB}</author>
    <author>tc={45C3D7A5-83E3-4045-8500-6F9A430FB345}</author>
    <author>tc={0FDEE2A9-98E8-4CBC-A23F-86B34D2FE51B}</author>
    <author>tc={06F8F5F8-1616-4FFE-A57B-11DF512FAB16}</author>
    <author>tc={A4E99607-0861-471D-A1DD-9DA66FB7B6A9}</author>
    <author>tc={329D885A-316F-4F3E-9B0D-238A965F6F84}</author>
    <author>tc={0D51AF4D-A9D3-4792-98F3-0725BBCC40AB}</author>
    <author>tc={0500A5AA-2DE8-48A0-8D69-365F81F5F150}</author>
    <author>tc={9DE4A49C-FDBE-42F1-9151-742432A417E1}</author>
    <author>tc={7E6181E7-B494-4343-AA06-78E1B1C96289}</author>
    <author>tc={9E90BE98-FBFB-4457-9FDE-B27DCE677491}</author>
    <author>tc={4F3D31CD-37D6-4178-9A37-C25ABA7562DF}</author>
    <author>tc={F2B79EEA-97F7-457E-9108-AE411395A566}</author>
    <author>tc={EF34D872-54C7-47A8-9A8D-35CCAB507FFA}</author>
    <author>tc={5D5322C5-6951-4CBE-9091-A1EC53F85177}</author>
    <author>tc={4981BFFB-5D88-49DE-8231-C5954A2A140E}</author>
    <author>tc={AEB1C3E0-D81E-48EC-8234-0E0FDE049F5F}</author>
    <author>tc={E1DC7016-A243-49D2-B871-EA02BDD6C35A}</author>
    <author>tc={B7042B53-AEE9-4502-AADE-3912B0508EDA}</author>
    <author>tc={FA893041-8225-4724-873A-0E79A0D07679}</author>
    <author>tc={AD375632-DC46-452A-A58A-92B9DBAEC3C7}</author>
    <author>tc={15E01270-17BA-4880-A1B5-789B2BE62747}</author>
    <author>tc={A978151D-17DD-46DC-A907-7701E13BC699}</author>
    <author>tc={F9A24878-A7A2-4E26-9F37-6BF14C1840DC}</author>
    <author>tc={39D790B2-041F-4A03-A1AE-68B10939AF24}</author>
    <author>tc={1601B8B0-14D1-49DB-AC2C-76FD4B3DFABC}</author>
    <author>tc={9DCFF6DE-F3CF-4D99-AC69-75F42F6ADD3D}</author>
    <author>tc={5E84FC5C-4272-4CEC-9C0F-65A44D8714A9}</author>
    <author>tc={F7C68462-02BA-47C9-9CE8-EA7F167A7A42}</author>
    <author>tc={6368D215-D5E0-425A-A46C-F6EE1928A770}</author>
    <author>tc={F25AC816-4102-496E-9AC2-4F7BD2A03E2D}</author>
    <author>tc={82002822-EDAE-45DD-9840-7333B6127FAD}</author>
    <author>tc={F9554CC3-7281-4D7F-9A25-3CEBDCB8D6DB}</author>
    <author>tc={5F2E32B4-D89E-44F4-AE61-FA751AA3BD5F}</author>
    <author>tc={768E97BE-059F-4F9D-978A-2740336356D0}</author>
    <author>tc={8ACDB06C-61E7-4123-BF58-7E8109C13F97}</author>
    <author>tc={52303F5E-4ABD-488E-81F4-A55C3D161567}</author>
    <author>tc={9D5FD462-2AC6-4111-B969-5AB5BDCA91FF}</author>
    <author>tc={575EC3F1-E46A-449A-A03F-B4194901FA04}</author>
    <author>tc={3E08C0B8-1FAD-4ECF-B6EC-BF2BEB44B105}</author>
    <author>tc={0A80610E-B45F-4E40-972D-6957F42D8494}</author>
    <author>tc={41BD8F76-D9D3-4D61-9171-E30F9FB083F1}</author>
    <author>tc={4E707DB4-DB39-438E-8A0F-3632F3B85C72}</author>
    <author>tc={654E6306-985C-42C1-976B-8613419AD785}</author>
    <author>tc={9A34159F-B250-4941-B9EB-00AA409C847E}</author>
    <author>tc={E96AA793-099F-4244-AD01-163DE84C0CF2}</author>
    <author>tc={7C175111-E05A-43F3-AC82-296AF58A1785}</author>
    <author>tc={EA7C1CFF-60C9-4D04-BE20-9C8A3C1C81C3}</author>
    <author>tc={D9B8CCDF-6694-46C8-8666-5BF961A7326D}</author>
    <author>tc={C9EBA47C-4166-45B2-91A4-6E5F7525AFE9}</author>
    <author>tc={5C77DD76-9A24-46FA-B7DE-DDD030ECE373}</author>
    <author>tc={0262D83E-803D-4AA5-B066-BA71047DCBBC}</author>
    <author>tc={A2AA7B29-A249-4B2C-8664-27A16C920B0A}</author>
    <author>tc={59E81AA2-BF64-4D81-A674-ED36087457FB}</author>
    <author>tc={FAAE5A26-5AD5-4BDF-811C-E8A924B95F53}</author>
    <author>tc={0593D0CC-79D9-41AD-879F-4EC1BC64AF55}</author>
    <author>tc={4FB93AA5-66C8-4766-B27B-B4E08E214B56}</author>
    <author>tc={C8BF9E39-2E47-463E-9FEC-34811F9BD8EA}</author>
    <author>tc={75B7B52F-2820-4654-A52A-ED6BF87787E1}</author>
    <author>tc={541EC129-E984-41A3-88AD-9BAB273AF7B1}</author>
    <author>tc={C530A961-C449-4C74-BD7A-81F2BF0B8ABE}</author>
    <author>tc={430DE242-5157-42E9-9004-9E28B0B4D38D}</author>
    <author>tc={EBFA4E49-725D-4E9E-9783-8C5A13AC194A}</author>
    <author>tc={E39F5E3F-04F2-49CD-A002-F5882615C4EF}</author>
    <author>tc={69CBADA8-4095-4291-A673-458659735866}</author>
    <author>tc={330C6EA1-CE28-4135-B9AD-6995AC53D4CE}</author>
    <author>tc={4AA7F3AE-50B1-4255-9A66-57755C04EC35}</author>
    <author>tc={19BAA825-CF59-4E3F-B0B3-6A4E2E519172}</author>
    <author>tc={B07E0781-621E-4496-8A9E-A98692CD6211}</author>
    <author>tc={DE68D6C6-E991-4056-949E-FE7C25F1C9B8}</author>
    <author>tc={72065818-E438-44C1-814E-A4622C13E470}</author>
    <author>tc={BD957BAC-341A-4C68-89AC-23F26D6B19A6}</author>
    <author>tc={622200D8-2CAF-49D9-85EC-92CFC970BEEE}</author>
    <author>tc={56F929A0-7AAB-43CC-AAD2-FA306DB579C4}</author>
    <author>tc={A9746360-6F83-4C9C-A75E-C7B188523ACE}</author>
    <author>tc={6C4D0987-72F0-4BB6-B914-78ACDF10E28D}</author>
    <author>tc={570A02E5-28B0-41F2-BDFA-97E18BB7FED7}</author>
    <author>tc={098DFB4F-B10B-4FC7-A4F8-BF2D477A9E3A}</author>
    <author>tc={830902E5-624E-44B7-9A77-522D38A72B2B}</author>
    <author>tc={C1C43B12-3674-40B5-885C-E84B7E05D1B3}</author>
    <author>tc={B62B0E26-7853-4C97-A367-CE0242A9A614}</author>
    <author>tc={2550E2D5-F2F2-4622-86B1-4D9AF3C2407A}</author>
    <author>tc={C064EC1B-5F9A-4CEF-A650-B82B852F6C6E}</author>
    <author>tc={896A6A54-A6E8-4BE1-BAF4-4DCBEEC04C07}</author>
    <author>tc={F890C2EF-1A09-44FC-ACDE-A9121D28B996}</author>
    <author>tc={65F833F8-1F13-4DFC-AA0D-5D2C3CA895BA}</author>
    <author>tc={99BE4C4B-0D38-41B4-A2F3-E0FA26B71072}</author>
    <author>tc={D00CF9C8-DBFE-49E6-A7F8-4EE669FFC8DE}</author>
    <author>tc={D3399937-FDB2-47AD-AE07-E5AF4575CFF7}</author>
    <author>tc={D4C31B10-81C5-4C5F-821D-2CCDC577BC6B}</author>
    <author>tc={395E8B21-B02B-4C44-8082-1F5110B67AA9}</author>
    <author>tc={D311BE2F-D1FD-4095-8388-C5C324C1D8C8}</author>
    <author>tc={224DA2FA-A889-4169-B654-22A85F281008}</author>
    <author>tc={A4467A11-FAF9-47B5-B09C-FA946393A53F}</author>
    <author>tc={EED4FDC0-C040-4391-98A7-563910414B4C}</author>
    <author>tc={D7A426CB-177E-4269-8BB0-1F53FBC5F81D}</author>
    <author>tc={7D1BD760-96AB-475A-9EB2-23B4446B4F92}</author>
    <author>tc={FFCC4351-529C-462F-AD76-5683665C1495}</author>
    <author>tc={0AAA1FEF-5C45-4156-9F69-00599B50D90B}</author>
    <author>tc={2C75FB83-8F26-41D3-9AFA-C0FFC75D9FCA}</author>
    <author>tc={54389941-52AC-4EF7-98E3-DB1291BFA8D1}</author>
    <author>tc={E063A76A-DE9B-4BE9-AF52-9F00473CFE4C}</author>
    <author>tc={7C23EDBE-307A-4063-9021-9677AD07BE6E}</author>
    <author>tc={15A57888-9771-4398-9B27-0657ADE145AA}</author>
    <author>tc={3F65DC7E-21F6-41C3-9F2C-9C8F8BD03BC7}</author>
    <author>tc={FE902D00-2268-4BE7-8933-C7E4894BDA1D}</author>
    <author>tc={D0C24977-B836-42E8-A715-ECB6BC97D7AE}</author>
    <author>tc={6F8781B7-DCB2-4C81-9952-B784617AA467}</author>
    <author>tc={005B436F-20EC-49DE-9A48-80DE4C94A61F}</author>
    <author>tc={6DC545A3-9D76-4584-88B1-6F14426007C9}</author>
    <author>tc={4686359E-4133-49B8-BBF7-4207C56CDBBB}</author>
    <author>tc={F9207297-2A9B-4759-A490-B012A4709CB3}</author>
    <author>tc={A02B342F-0BBD-407D-9758-16ABE487D39F}</author>
    <author>tc={E8593F95-3A2A-4EBA-AB4B-62706D2F24B0}</author>
    <author>tc={32992FA7-CF6E-4795-AB56-BA2F76F42802}</author>
    <author>tc={3EFE1B99-C540-41C2-A73D-CDE9A383C773}</author>
    <author>tc={45901168-7A32-4380-8002-BC4EBBC90FAD}</author>
    <author>tc={DBA8F87C-3875-41B4-B252-BD5A7A2813A1}</author>
    <author>tc={C9ADA729-1179-4D69-9CB7-D71E507A6F97}</author>
    <author>tc={EE58990D-18EF-41B8-A86B-F1AD13048F8B}</author>
    <author>tc={5C66B611-8707-410F-B55E-4BAA9EF3877D}</author>
    <author>tc={D2C2E19B-2815-491F-92DE-87C278CE5938}</author>
    <author>tc={5F72B125-0013-4B18-ACEA-52633A4C117F}</author>
    <author>tc={CD0441CA-DB10-4580-8BB4-4C1F15BDEE8A}</author>
    <author>tc={4D3A8EA1-4073-435E-8C94-CAB6D367193D}</author>
    <author>tc={0150B803-BF8C-47E2-819C-683420FFE667}</author>
    <author>tc={0B7330C8-F948-40F0-8B12-AE40E205BA2F}</author>
    <author>tc={3E8C32A9-9162-46BE-852E-9C1EC8813BE3}</author>
    <author>tc={1626273D-131B-4C36-A940-5257DA8955AE}</author>
    <author>tc={EA99A25A-053E-419F-994D-2F5D0254CF8E}</author>
    <author>tc={F82ACD31-8FE6-4C9A-8118-E4BBD115DF28}</author>
    <author>tc={EFE096A7-C540-4E86-875B-D3C16026BA3E}</author>
    <author>tc={A148E555-9E97-42D4-B8E8-81F96C53828B}</author>
    <author>tc={9271E923-4212-498E-A898-6FBFF390AAFC}</author>
    <author>tc={E40B2C0A-F7CD-47E2-B7AF-1D8934F39B8C}</author>
    <author>tc={0F7000CD-1954-492E-AE18-82EE06A7A607}</author>
    <author>tc={E80D873A-726F-4FBF-8547-7417B954C2BE}</author>
    <author>tc={42C2648A-DD2B-4968-9ECC-93D6A2AC19FC}</author>
    <author>tc={73E9ACF6-18A0-497E-9AC5-34B7A731C1A3}</author>
    <author>tc={DE48C417-E113-4B3C-8EBC-95F52A3C41D5}</author>
    <author>tc={8DE15036-1E73-4A50-B737-6F0C4BF979BA}</author>
    <author>tc={5D23B466-6AF0-444A-B237-F6165F3D10B1}</author>
    <author>tc={CD559F57-278F-4E24-AE19-EC34D1083DCB}</author>
    <author>tc={AAB05C56-1A9A-4BE8-8987-DA89F6CE0B4B}</author>
    <author>tc={DC2726E7-5E75-4323-B305-15640184CF47}</author>
    <author>tc={ED37B977-113F-4C50-922A-C85F0A868C24}</author>
    <author>tc={16FA2480-415E-4D63-9673-93D913880620}</author>
    <author>tc={080D1D0B-E80A-46D3-90DE-A74F6B68B7AA}</author>
    <author>tc={BCD738F1-5452-4260-875C-3E2A380CF05C}</author>
    <author>tc={B8DD581F-6BA5-4052-A554-868405211CE4}</author>
    <author>tc={1C527A26-C5E4-4461-9ED1-3D86A270D853}</author>
    <author>tc={45C1C9C7-4063-49E8-BE3E-DAFC4A07C963}</author>
    <author>tc={7592BEC1-F4AD-4511-981B-5C552E4AA3EA}</author>
    <author>tc={3ED0FD00-3572-4A8D-A6DA-926D6427A578}</author>
    <author>tc={7631DBAD-72AB-42C6-A2B3-835CC2BDB825}</author>
    <author>tc={AD036FF0-1ABC-4D43-A114-896C27601D65}</author>
    <author>tc={E73D80B8-04CD-4FC6-A653-7D74E299461B}</author>
    <author>tc={9294DE0A-C7C2-4468-B4E6-D5E1422CC8C7}</author>
    <author>tc={9EC2BAC3-6619-48E4-AC81-5DB0551D2784}</author>
    <author>tc={62E6AD82-524C-41FC-90A8-C1D466F546EC}</author>
    <author>tc={9046AE59-C210-4E03-9C56-D1EA8E708900}</author>
    <author>tc={219072A0-1E34-486B-AB11-7212C1624345}</author>
    <author>tc={C1170DE2-5EA7-4E12-A1A7-0AAA750EC7A5}</author>
    <author>tc={952ADE7F-4C7A-4EED-8D06-C87098130C8B}</author>
    <author>tc={CDE69C80-8958-4416-B68B-FE779AF3A189}</author>
    <author>tc={BF8301CC-3451-42AB-8D8E-E01A11D6E3C9}</author>
    <author>tc={63D18C83-E915-4970-A5AB-213F46D58301}</author>
    <author>tc={A547869B-3211-4ADC-AD05-BEFFDE43511B}</author>
    <author>tc={BD5796EA-E3E8-4CD1-A753-1965923FA0A6}</author>
    <author>tc={F4EB03F2-C68E-481D-8B7B-CFB2AF8A0390}</author>
    <author>tc={316AC822-2C2A-4EA9-AD67-948B722071B1}</author>
    <author>tc={7153D8D7-9D7C-4294-8048-E958677B6483}</author>
    <author>tc={221D61CB-E731-403B-ACD5-D559821B2615}</author>
    <author>tc={DD80D321-75FA-4B50-943D-2C6D14D26EB8}</author>
    <author>tc={305FB1D3-C235-429B-88B6-7B91D00FDC54}</author>
    <author>tc={77A9F52D-6098-45A9-9150-E68BB0E9D4F3}</author>
    <author>tc={8A7B3FB2-D4DA-418A-861A-D99E33165A55}</author>
    <author>tc={7F8FE8E1-70D8-42F0-8800-D6E82FAF0DF3}</author>
    <author>tc={7A98617A-5319-4386-BFB0-6C189F31B0A6}</author>
    <author>tc={FCF8E180-18F3-4AA3-BCAB-B9662C504D0C}</author>
    <author>tc={4F15331D-DE1B-4F5E-95BA-0D6856A723AE}</author>
    <author>tc={D9E9B9B0-9B3C-4507-8073-D25D29505247}</author>
    <author>tc={5A910913-EFC2-4AA0-9802-E318A8377AD9}</author>
    <author>tc={C6F10171-75D3-4C2B-B3B4-528835803659}</author>
    <author>tc={E6C8F571-1F74-48A0-A9C7-2B076ECBA0F3}</author>
    <author>tc={C8F383FA-08A5-4E41-8D00-A9100E670C70}</author>
    <author>tc={C1F226F4-1743-4C6A-A0F5-974375A39AFC}</author>
    <author>tc={F8346D69-89FA-4E8D-8858-A9844152098D}</author>
    <author>tc={013782AF-9CC6-43D6-BF80-85599C804258}</author>
    <author>tc={67605B4F-9DEC-4D91-9756-06E7ED82DC97}</author>
    <author>tc={CA8EC61E-7670-460A-9F7E-FFFDE9C4F2C5}</author>
    <author>tc={1A566F86-C64D-4541-9A9F-6F3CF5AA5199}</author>
    <author>tc={B4E96EC5-C124-4310-A929-2C4493C26A64}</author>
    <author>tc={FC5BEADB-6B5D-445E-B0B2-86FE42772D6E}</author>
    <author>tc={E6F78B19-735C-434F-9109-CD56D0200C07}</author>
    <author>tc={71EB9C1B-0568-43A2-BE00-A69B8E0CCC04}</author>
    <author>tc={941BAB7A-B738-45FC-8B7B-E13559AFA0B2}</author>
    <author>tc={8B942E20-50E0-44E0-A067-95707359361A}</author>
    <author>tc={CB171B9B-7708-45C6-81C8-D957745A9068}</author>
    <author>tc={BCAA91F5-3959-4852-A211-1B494D0E1318}</author>
    <author>tc={19EE2077-BED5-4382-B5F0-BE35F96F9483}</author>
    <author>tc={93EB5A3E-A31A-432E-9B46-310F92BF0DD4}</author>
    <author>tc={16F69C54-9A8D-4689-A1AC-0AE0D11BDA9C}</author>
    <author>tc={046BF413-388C-40F0-BA91-E7902C347072}</author>
    <author>tc={A93C6140-593A-4378-B6F8-8B8101920A5B}</author>
    <author>tc={1F3463A7-DB5D-4A93-9D65-40DD7E759F36}</author>
    <author>tc={67E35FEC-D9A1-466A-A4AC-9F5ABB4061A1}</author>
    <author>tc={2121F028-858E-4194-B66B-91FEEE2FCB1E}</author>
    <author>tc={1A689C57-A9FC-4A56-97B3-9DA65035D718}</author>
    <author>tc={6D7CC0F5-8460-4F12-9C9B-4A8F92B27FBA}</author>
    <author>tc={D68DA4FA-5125-48CE-B2DA-49CF92722484}</author>
    <author>tc={569D943C-3DCB-40BD-9AF5-9AC98B8348D0}</author>
    <author>tc={364168E4-1C53-4AD5-87F7-1994CD3CE2F5}</author>
    <author>tc={14C790A4-1E37-41D1-B48D-3580F1B362E4}</author>
    <author>tc={5DCE5321-C4FA-484B-B56A-2D96DE7F8740}</author>
    <author>tc={943EBEC1-CFFA-418F-BFB6-5FAF24A9CE2E}</author>
    <author>tc={02864680-DDE9-48F9-9043-49132A3D50CA}</author>
    <author>tc={7E84C7D3-DA52-41EB-8A71-F272D2F081A6}</author>
    <author>tc={5681473A-784D-435E-AFCD-3FDF126EE498}</author>
    <author>tc={D1163193-F93C-4665-8875-BA4965CCC92B}</author>
    <author>tc={06CAE551-8D97-4FA6-961D-B4BE9DA82E70}</author>
    <author>tc={DD0E74EE-FFF0-4B60-B7BF-C7BC56C17D0B}</author>
    <author>tc={34167BF7-26F2-4EBB-8D96-A85BB4F4B1AF}</author>
    <author>tc={5F5DB477-6A10-46BF-9277-CB1825DBB14A}</author>
    <author>tc={F884502C-A826-46AC-8194-29FE35759C39}</author>
    <author>tc={EA18B1F6-C56A-4E3A-92E6-760633FA2A7A}</author>
    <author>tc={312AB08D-4C64-4D10-9D38-A8D59790A7FF}</author>
    <author>tc={75C854D1-B9FD-4271-81C9-08FD3879BC19}</author>
    <author>tc={1B24CB14-4F89-4584-93BC-5127EF3DFC74}</author>
    <author>tc={80464A0B-C992-48DA-98E7-622831B4C372}</author>
    <author>tc={A5912CE5-66DE-4395-A64A-C85B4C477D61}</author>
    <author>tc={45E76B4B-70DD-4183-AC14-8D6FBB993BD3}</author>
    <author>tc={F9C943E8-9BA1-4310-9FEE-56B2EDE1790A}</author>
    <author>tc={EA980C44-CF1C-42B6-B939-9EBF3E9B08F4}</author>
    <author>tc={59889516-311E-46DD-818E-821D1F123B7E}</author>
    <author>tc={20AEAFB5-C297-402A-ADF0-C33D580FE857}</author>
    <author>tc={2CE3825A-244D-4913-941C-152FCF0BC9FD}</author>
    <author>tc={4FB3ED76-2CAD-426A-9757-16887C3CAE15}</author>
    <author>tc={A7096379-7029-4F26-9016-5F273EB81327}</author>
    <author>tc={B89AA87F-5AAE-47C5-B9BB-8961135C95E2}</author>
    <author>tc={AA910AB9-63F9-4CB3-BDAF-2C2759C94166}</author>
    <author>tc={C2083A26-2C6F-4C75-84DB-070933C15DDD}</author>
    <author>tc={DC9CADCA-F2CA-4790-9B73-E3A44F9B9015}</author>
    <author>tc={9A8332C9-B0E8-48FE-A3E9-E2F833EAA63A}</author>
    <author>tc={E84FAED2-3D28-4348-B63B-0C00F61AE92C}</author>
    <author>tc={D791AF7F-3D9A-4926-9F35-D30CE59E7D6A}</author>
    <author>tc={1B1E5218-D1F8-443A-8335-8966181D349D}</author>
    <author>tc={F0F61869-AFE2-4213-AF9A-655BD261A102}</author>
    <author>tc={B6C042D8-AF07-4D4C-B0BB-3172BB5D0987}</author>
    <author>tc={18F9164A-3977-4400-B5D9-4BC5931167AA}</author>
    <author>tc={3B1AD63B-DF11-498A-96B1-2E73A7D4A62A}</author>
    <author>tc={33B7F7C2-9AF8-4AC4-9625-E2E7F53F0782}</author>
    <author>tc={749E86A9-4662-41F1-BFA7-303AB57B8748}</author>
    <author>tc={AF891A8F-DF0D-4416-A900-D343D8A86A1C}</author>
    <author>tc={D104D838-47DB-448E-BC92-4373768C827A}</author>
    <author>tc={1EF09B41-7952-4156-9AD2-0382FA8E9D9F}</author>
    <author>tc={85620F8D-F59E-4FC6-99B6-ED5CA4846581}</author>
    <author>tc={49E3DB89-BAE1-411E-8188-097F95BC3911}</author>
    <author>tc={EF2197D6-7104-4505-AFB1-ED57D04C84E5}</author>
    <author>tc={A83EF125-36C5-45BE-9D7C-87C57ED8D04D}</author>
    <author>tc={8CC2C3AF-AF9C-41E7-A01E-5248F34AEE99}</author>
    <author>tc={6CECD93A-BDFA-49DB-B3F6-30E8A2F8B1E4}</author>
    <author>tc={A1F140F5-DD94-4177-BDEB-E21851C5FBF8}</author>
    <author>tc={C101C111-2AFE-41DC-B288-A0E2E313F31D}</author>
    <author>tc={A8838BBB-9D17-4873-8D0F-B494FBD08578}</author>
    <author>tc={26A473BC-66D5-4CB2-986E-5FE947C83505}</author>
    <author>tc={91F49E80-B7C7-47DA-B9AB-5938D17AAB2C}</author>
    <author>tc={1F3D54AE-255F-4DC8-818B-4F45A7CBBEC3}</author>
    <author>tc={AF522035-065D-4BF5-A6D7-98E01259DE9D}</author>
    <author>tc={A0A666C2-0584-42EE-8759-647E76BF4622}</author>
    <author>tc={C3C91685-9CAA-4F75-909B-D33D410E5CE6}</author>
    <author>tc={9D9F1ED7-2D3A-4D5C-8849-3C56A7374567}</author>
    <author>tc={64310FA1-7FE2-4826-8BE0-596AD5F1BAAB}</author>
    <author>tc={7EC81D6B-B04E-481C-BC12-22305B3C2ED3}</author>
    <author>tc={7566778D-0074-4EDE-9C47-18603957C588}</author>
    <author>tc={9AF2842F-6A85-4EFF-B844-2E534589D4DF}</author>
    <author>tc={746FC97B-D594-4893-8C8F-65E5CB055F7C}</author>
    <author>tc={99B5EA59-603D-45E3-A7CB-29520A223D8F}</author>
    <author>tc={8D17C3D3-1BDF-4B02-A184-F93E3D58CE49}</author>
    <author>tc={7E1E33EB-CC9F-4B2A-8F26-E25E43096C60}</author>
    <author>tc={08D3153F-DCE5-4281-B466-EB23642B05A7}</author>
    <author>tc={CACCFB9A-ED2C-437F-A9B4-3B5C15033FB5}</author>
    <author>tc={29603C4A-2BCE-4495-AE05-9DFF34E4AB7E}</author>
    <author>tc={85313107-CE94-4737-8815-CE95576BD95A}</author>
    <author>tc={AD3460F9-7F27-4DA3-935D-726F2A8F9AB8}</author>
    <author>tc={4B2E97DB-87D0-4816-9EE4-9AC35557DFE7}</author>
    <author>tc={6A9CF1A3-4F2F-4AA4-9096-1C151F9059EE}</author>
    <author>tc={36937F57-3FE2-4209-8C6D-B9E565E7AF88}</author>
    <author>tc={5249CDB8-9E26-41AB-BC29-B40AFD0AB568}</author>
    <author>tc={807F45FE-CDD4-4498-9D2D-48FC60C3E9E0}</author>
    <author>tc={AA4002AB-97BE-495D-B57B-8B21C512D63F}</author>
    <author>tc={7C10218D-94BC-4628-BC4A-133B05D0A6CC}</author>
    <author>tc={5E2290BE-B063-4F4F-8E4A-D13421319296}</author>
    <author>tc={2733FB99-DA81-4BC9-9E04-8BFAE3076DEF}</author>
    <author>tc={842AD7B9-0C33-4096-9143-F7826A94CFA4}</author>
    <author>tc={FE7036B0-2DD1-4E23-A132-BF2AAC5290A5}</author>
    <author>tc={92A20B28-A218-4940-9377-E8D84DA0D109}</author>
    <author>tc={0F26A180-A0BB-4DD9-82B2-A79609305AED}</author>
    <author>tc={6893861F-04D6-4B74-89AE-06476A08CD56}</author>
    <author>tc={ED4D2AC7-E600-4974-8503-7DD039558A27}</author>
    <author>tc={2AFFD0DE-9023-49D6-8746-97D88889B73F}</author>
    <author>tc={BD2EFF8E-B9D7-4B92-A55A-BB6A7A897A45}</author>
    <author>tc={E5D5F0F9-8B04-445A-A5FD-D83192B471FC}</author>
    <author>tc={D70445D1-BA82-4007-B951-6B8B3317E3A3}</author>
    <author>tc={E8F5CCD0-CE15-41D0-BEB7-3A7E9E4B783B}</author>
    <author>Leidys</author>
    <author>tc={58820B03-60AD-4311-B2B4-718BFDA81F63}</author>
    <author>tc={6C5A32E2-1B12-458F-BD9A-D0E318DE8719}</author>
    <author>tc={A2EC5273-158A-41AA-A24F-6E3320AA58BD}</author>
    <author>tc={1170110B-9965-4221-A4A9-F292F9A2338C}</author>
    <author>tc={D3AE824E-66C2-4F36-88EC-19BBBDF35D39}</author>
    <author>tc={FE3D4B67-D018-4D9E-95AA-9A83A47C538C}</author>
    <author>tc={114C877C-069C-4009-B7E6-C123CD1F382E}</author>
    <author>tc={9D218F1B-BB87-45D4-AB4B-5018BD2AA2F7}</author>
    <author>tc={205CFDA3-C764-41DD-8A26-0D25BDFF8306}</author>
    <author>tc={4CD5AB4A-DAD8-4356-A685-0F8C8F79FE01}</author>
    <author>tc={8D4D4A13-23A9-419F-8E6C-DCA25AA3039C}</author>
    <author>tc={203ABEC2-11B9-4BFC-8C7A-4617DC76DAE8}</author>
    <author>tc={B9132E6E-D506-4A23-84E1-899FDD6FEB86}</author>
    <author>tc={7B08C740-80D7-4186-9915-8FB36D0C4A8E}</author>
    <author>tc={EEABA305-ED31-4D13-BAC5-2F45E88E60F0}</author>
    <author>tc={ECE265E9-CFB7-4088-AADF-28DDDD42B1BB}</author>
    <author>tc={FC88DF7E-C0C9-4682-9EFB-6EC4A522CF82}</author>
    <author>tc={76498BC1-2AA8-46B7-8789-0C5CDE170705}</author>
    <author>tc={B1D66662-C1C0-432F-81E1-98AE540EC106}</author>
    <author>tc={7F37E338-480D-4BCA-A924-9E44B9D359BA}</author>
    <author>tc={F6B023C1-6FA3-4472-A297-8AF0384223F6}</author>
    <author>tc={00137D61-3ED7-461A-8C69-92856C1B1AAC}</author>
    <author>tc={3AEA13E9-0052-4B14-AC5A-CD4E785E0B03}</author>
    <author>tc={6AF04DCB-2BF5-4AF1-A574-3695576AC5B7}</author>
    <author>tc={463930C3-2C18-400E-838E-E3F86080A7E5}</author>
    <author>tc={65E5A351-76E2-4A8A-93D3-E83A51C1CC00}</author>
    <author>tc={55C8AB80-D54F-4825-B951-073B07CBFAFD}</author>
    <author>tc={481D90E1-E240-4BD4-BE8A-15D7B8C5E9D0}</author>
    <author>tc={43FA8AE3-2C26-4205-A7A7-E33CF2D699E7}</author>
    <author>tc={9E4C48E9-9032-4E4D-B38C-DA9E4588311C}</author>
    <author>tc={7AF6FE8F-36BC-46DB-AAE8-712A9BD37502}</author>
    <author>tc={726ECBBE-E60D-4B3A-9F32-393638327F98}</author>
    <author>tc={4BB36E5F-F922-4BBA-9B11-F22F455A0A7C}</author>
    <author>tc={DA4DBB5E-7222-449D-9C1C-A0F3E92AD523}</author>
    <author>tc={6DDEE703-7909-40B8-8164-5C2D0FC21B45}</author>
    <author>tc={DE621024-F740-44BA-A906-7A64D3FBBA87}</author>
    <author>tc={29D6EBD0-341A-44BB-A03B-232F52F2FC9B}</author>
    <author>tc={E3AD7DE9-3AF8-41E0-A7A3-E2904C8C7789}</author>
    <author>tc={3E4A8569-54B9-4C08-B94D-A2E7E59221B8}</author>
    <author>tc={1C4B9062-BB8B-4112-8C25-9509A525FF63}</author>
    <author>tc={8C84B4C2-DB87-4009-8D3F-1CD225B5831C}</author>
    <author>tc={E00BF236-2E9C-44C4-8D78-570B9F5DD5BA}</author>
    <author>tc={96C750D0-A43F-4F0E-BDA8-562C88FC883A}</author>
    <author>tc={E0A3CA57-D2E2-48C3-9353-747AE487A927}</author>
    <author>tc={311FD664-E362-4EB7-8C80-B39E3F9998A5}</author>
    <author>tc={61B64F22-0B5A-4482-B9C0-EA21873AAF68}</author>
    <author>tc={2C0A2B42-AAD1-4450-924D-CA02F0E30AD8}</author>
    <author>tc={1A5B74E4-EE83-4990-AE05-B45435831760}</author>
    <author>tc={130A59D3-FC66-4CAD-A537-342AF88FD0DC}</author>
    <author>tc={D14F179E-E7F0-47EE-947A-8E3E92AECA50}</author>
    <author>tc={76A57A6B-0283-40CE-8131-F849062FF385}</author>
    <author>tc={40E18F5A-6857-459B-B865-B7745748D1D0}</author>
    <author>tc={4819E113-4885-427C-B6F7-DBEDBAF6A587}</author>
    <author>tc={ECBFF313-5EE2-46CA-B865-EF898A1EDE36}</author>
    <author>tc={755583FA-0EF9-4CD9-9774-B4D02E4EFBEB}</author>
    <author>tc={D207F806-D9ED-4B22-9241-5B53EBDF6B76}</author>
    <author>tc={48159CE6-4979-4243-AF84-6068592AEE50}</author>
    <author>tc={C14BE90D-7217-42F8-8885-3FA432B05650}</author>
    <author>tc={3EC81440-98BE-407E-B252-BD65F43F843A}</author>
    <author>tc={2E16DED0-B776-4A02-B4EF-24BDF34581F8}</author>
    <author>tc={E944F237-10FE-4AAD-A60F-5797791FCECE}</author>
    <author>tc={E30BF3BA-813D-4008-B24A-274755800B94}</author>
    <author>tc={9C8F57EE-B72C-4380-84A9-78250829298D}</author>
    <author>tc={0624B878-39A5-48D7-A83E-C4CBE7C4C58A}</author>
    <author>tc={DF96C836-EC1B-4C39-BC13-A47166749C9A}</author>
    <author>tc={D50575BD-A812-4DFB-B3E5-B65845AB7EEE}</author>
    <author>tc={756EA00A-2CED-4CF2-967E-546BBC79938A}</author>
    <author>tc={8DD1601C-D040-4235-AC69-61A3CE1772B4}</author>
    <author>tc={913A6EF8-FE47-4F5F-A47B-6B272AF9BEBD}</author>
    <author>tc={3F061BA6-5929-4575-897C-D7570F5DE5F8}</author>
    <author>tc={CE5401E8-7444-43A8-A72F-D9B08A0D841B}</author>
    <author>tc={C2A9EBDB-86C8-4349-AC68-95698609E271}</author>
    <author>tc={2694DD95-5B89-4AED-99FF-2C50D40C5FF1}</author>
    <author>tc={CEE61A6F-87CE-44BA-A32F-943CD1520DCA}</author>
    <author>tc={04935F19-7D3B-476E-8561-97178A988304}</author>
    <author>tc={A3B7FA66-287C-4BCF-AF43-8386D4F83DF7}</author>
    <author>tc={BD76CC1A-5F92-457B-8606-218778F0EAE9}</author>
    <author>tc={4101EBD3-B285-4C81-97C8-61BEE157F9AA}</author>
    <author>tc={E7D77660-A4ED-42E0-94C5-21CCD8113A0B}</author>
    <author>tc={3BAC0E79-842A-4912-98D3-FFF826315D05}</author>
    <author>tc={8B5738DF-033A-4CFD-B1B5-5B87CDCF233E}</author>
    <author>tc={FB9BBE20-3567-4874-817D-E8ACB0CD2778}</author>
    <author>tc={C945E498-EE43-421A-BB29-E9D2CA3E1E73}</author>
    <author>tc={84A67600-E9B0-4124-8CA5-BE99830BC1DA}</author>
    <author>tc={45AE78F3-297A-418A-B938-12DC65D1D277}</author>
    <author>tc={4AD6C1FA-F0A5-4882-ADC3-8F37F5E34FA6}</author>
    <author>tc={ED29CE68-64DE-4F4B-8F71-D033F4B7C509}</author>
    <author>tc={9CFA106A-B879-45C0-B2A6-6CFE11A9CD8C}</author>
    <author>tc={0BCFE751-CBAE-49CE-A024-208AB52197D6}</author>
    <author>tc={704D32EE-9EEE-43EB-8AB1-64E568860AE8}</author>
    <author>tc={63698114-D6A6-49FB-B6B8-6BBF2C30DE0C}</author>
    <author>tc={054B90A4-438C-4A51-B28C-0EEA8A5AB378}</author>
    <author>tc={47461028-3755-4277-BA45-96769ED6565B}</author>
    <author>tc={AA9419C9-4AF2-478B-9111-9B778E79BFDA}</author>
    <author>tc={FA25CD6D-E314-47A8-B71A-4CF4B37116C9}</author>
    <author>tc={68D8A8AE-506A-45B0-A5D3-5140E5198EB2}</author>
    <author>tc={63B366F2-5D4D-4444-A04A-1D20E1522185}</author>
    <author>tc={9FE1F1E0-712F-42A1-9D13-6E35FF01BE4D}</author>
    <author>tc={5DF376C3-2E98-420E-A943-83251C699888}</author>
    <author>tc={42512DA5-4F50-4E97-B9A3-5212ACB60549}</author>
    <author>tc={B87A2907-7A1B-4E28-87B1-9A099AEA5217}</author>
    <author>tc={0174C341-52EF-4666-97DF-3EF0D417FBF0}</author>
    <author>tc={D8CB6A56-F92F-4F82-87B2-484747D2025C}</author>
    <author>tc={EAA0A7B4-1B41-4B06-A031-FF673FF363CD}</author>
    <author>tc={9C58D189-AD7A-4CFA-B31F-E3A5A9219965}</author>
    <author>tc={67942E92-E6A6-430B-822A-2FF93D4E23A8}</author>
    <author>tc={EA41F480-8AF3-4C39-8FB9-84339D9F5885}</author>
    <author>tc={FE51A6CC-AA93-41AD-BE63-8D026F7DC5B6}</author>
    <author>tc={B6321A92-951F-4DD0-B04C-1B70666D3680}</author>
    <author>tc={67389EE6-DCCB-4A73-85F9-0DEDB4A66851}</author>
    <author>tc={B4731B14-4858-4CDA-8EB8-64BA0DAC2CB7}</author>
    <author>tc={630E112C-3424-4B1F-BB3B-C689C7955F83}</author>
    <author>tc={3AE8ACC1-2466-401F-A356-62A71F8416CC}</author>
    <author>tc={383DDF88-109E-48E4-8A60-6578D2C14AA2}</author>
    <author>tc={82C2BA3B-C386-4F64-874F-C892B20E894B}</author>
    <author>tc={C1BD06E2-3CB7-408A-812F-CBD4AE361ABC}</author>
    <author>tc={2DBB4FE4-FE0E-4D25-8448-FF5CF02BE937}</author>
    <author>tc={939E08BE-3069-4838-A3BC-288322A203A8}</author>
    <author>tc={F2360E07-2066-4FFD-8CCF-B3D2830FD50E}</author>
    <author>tc={3133C543-D07E-440F-887B-0D6DF171678A}</author>
    <author>tc={76DE0C8B-4BCF-4D5A-9DCD-4CAD5C7FF64C}</author>
    <author>tc={E5FC370B-756B-41CA-81D7-79706CF6A887}</author>
    <author>tc={8CAFB39F-CF81-45C3-885F-A320BBE4CC96}</author>
    <author>tc={20E37C0C-8BA9-46E5-987A-4CA0B70BF1DD}</author>
    <author>tc={A87A6CF1-DCCC-4B44-B6FC-F315FAD55B71}</author>
    <author>tc={654210B8-B6B1-46D1-B1E6-08626E9212CA}</author>
    <author>tc={35E3681A-33FC-424F-914E-0E34F8D7685D}</author>
    <author>tc={0CF9E612-CB8B-486C-9E43-F84C0F71C355}</author>
    <author>tc={A82CCCD6-8E98-48A9-8EB4-F9D8E4561240}</author>
    <author>tc={5ED15336-ECA7-4902-8416-8E7A9C629098}</author>
    <author>tc={35E4B9DC-9DA8-4E71-8122-8485306B4277}</author>
    <author>tc={CD762F21-DAD1-48C0-8925-9206B227449E}</author>
    <author>tc={ACA7F3FE-855B-4C09-BA72-A922D0A5A1E3}</author>
    <author>tc={2D4DCFF2-F79A-4620-BC16-9C5C835BC908}</author>
    <author>tc={EA3506EB-AA9B-4D93-826D-3EE35D41E145}</author>
    <author>tc={15817355-7B14-4963-80F4-CAEB15A489AB}</author>
    <author>tc={6E6620D8-241E-4DF1-AC5C-342AEB973803}</author>
    <author>tc={B6977672-0AF6-4569-94EE-AAF4915F18F3}</author>
    <author>tc={3AE6D3CB-8D3C-4E2F-99C5-9BF680A53BD1}</author>
    <author>tc={DA0AEDA3-BDA8-47F4-AB5C-65D6B6EDB2B7}</author>
    <author>tc={A3118DBB-12A8-48CB-AF05-1E4AED7F0A34}</author>
    <author>tc={94552C91-B8CE-43EB-88DF-8895BBE69725}</author>
    <author>tc={38D9B583-7B20-4E3B-854E-EE88176422C2}</author>
    <author>tc={7AC57825-2B56-4101-BC32-629873C17BB2}</author>
    <author>tc={6F63F70D-4F18-49F0-8EE5-99AEF6B31002}</author>
    <author>tc={3B6076BD-8761-484A-AE03-634ED914D047}</author>
    <author>tc={A39C26B6-4A22-481B-B94F-947289CFB1D1}</author>
    <author>tc={AB9B27FE-58FE-4BCE-910A-5E209CAE6886}</author>
    <author>tc={E43448F3-1743-4208-B1CB-931691BB2721}</author>
    <author>tc={8CE4EDB0-E1CD-4F89-B19E-320529A297F1}</author>
    <author>tc={D2587A8C-203A-4CF7-B865-E670DE5DF4FB}</author>
    <author>tc={7BFC5BEB-1A6D-488F-876B-0E35342D58A5}</author>
    <author>tc={E529CBEF-A836-43B2-BDFC-41036C31DF22}</author>
    <author>tc={14DC0D5D-F915-40D3-A440-7C56D15169EB}</author>
    <author>tc={1EB79376-85FF-4BBF-9812-04A26D19F2FC}</author>
    <author>tc={25BB0F45-758E-4317-8C2A-0013C124B0EA}</author>
    <author>tc={BD1A0FCA-F06F-486C-A817-C07046AEA413}</author>
    <author>tc={27F3E3A9-326C-4F56-A7EC-7C2E8F603069}</author>
    <author>tc={74D4272F-8081-42E8-BDC4-A440EABB270B}</author>
    <author>tc={4DEF9158-4DDD-45FC-8ABB-E96264924E11}</author>
    <author>tc={A7CB6E0F-8D94-4B38-9FBE-296CF3BEEEA1}</author>
    <author>tc={D3DDE10E-26B3-4550-A8C8-A3F274FEB420}</author>
    <author>tc={623BD32E-BCD6-484C-B2BD-660FB9525312}</author>
    <author>tc={D6E29A97-2ABD-4854-A4B2-6DAC599F1CBB}</author>
    <author>tc={3B898F25-3DCE-4E82-889A-CCE681047453}</author>
    <author>tc={D185505D-3797-4669-81CC-8999FCC8FE00}</author>
    <author>tc={801E09C4-CAA3-4AA3-8DBC-CD8BEAE5EF18}</author>
    <author>tc={73D02B0C-96FE-415F-8DC9-884647817CF9}</author>
    <author>tc={E8819874-5BB0-4C1C-A1B9-1CC03162DBDB}</author>
    <author>tc={D3479374-FD15-4025-8095-66AB882019B0}</author>
    <author>tc={B8FC0F97-7526-4730-8A8E-0211C514CBCA}</author>
    <author>tc={B10938B7-D89B-492D-98F8-E530B0A06CC8}</author>
    <author>tc={C9FBF77A-D82B-4425-9450-69EC6FF9A3D4}</author>
    <author>tc={8BCA166A-B206-4F0F-909E-E429B50C0965}</author>
    <author>tc={C0F10A1E-EEF1-48CE-A68C-AD7AC1EFE3B7}</author>
    <author>tc={42F2C271-07AC-4BBE-BBCB-8C93E7AFD000}</author>
    <author>tc={C943C445-6A28-436E-96B5-D1D82D720B83}</author>
    <author>tc={10FEE080-5E6C-47BD-B0A1-FE22B031044E}</author>
    <author>tc={DE58E494-6A51-46A6-882D-20F54F9AA98E}</author>
    <author>tc={5D46C98A-BB85-42B5-9457-CE786AA852FF}</author>
    <author>tc={F82193A9-8F63-4548-ADF7-AD9673A1B55B}</author>
    <author>tc={80531449-E903-42FB-B3E9-0E4E5B9A7AC4}</author>
    <author>tc={C7DE91DB-970E-42BE-958A-14B46AE3D22D}</author>
    <author>tc={42689178-E3C1-49AA-A7CC-28C1D0D010FE}</author>
    <author>tc={0DD3FFEA-05E5-4199-BB86-BB9DA3F9B639}</author>
    <author>tc={B2110774-A9C5-4137-930C-AF833AB362F9}</author>
    <author>tc={24B05F68-65E5-4705-BFD2-22AF0DC173BC}</author>
    <author>tc={0F2ADAC2-1B5B-46F9-9378-8193BA5EC75E}</author>
    <author>tc={1D8FA0C1-9F5A-4ACF-BF8F-AE2004536AE9}</author>
    <author>tc={617F53EA-302E-4BE6-9B92-7B0880CABAB5}</author>
    <author>tc={1C696C7D-9540-468F-9650-32258C4A0EF6}</author>
    <author>tc={D25549B0-F4FC-4B4B-8648-84199E978438}</author>
    <author>tc={C07EEDF1-21CF-4F32-8ED3-FBAF14DC96E4}</author>
    <author>tc={E0867A71-CBD9-4D0E-86FD-FF942A95EC9D}</author>
    <author>tc={9C4B4456-484B-40F4-AE89-1DF948F9FFF0}</author>
    <author>tc={7D12F493-963C-4B16-B3DB-64503FA76B78}</author>
    <author>tc={E62C1AD7-D810-43B2-AF32-6200BFD10DEA}</author>
    <author>tc={B9139E06-0C54-4131-8F46-C9A23624A414}</author>
    <author>tc={B281E12F-A1AC-4B40-A435-98B92AE6289D}</author>
    <author>tc={0799C3E8-6D13-4D2F-99DE-59AFDB2C1AF8}</author>
    <author>tc={DEF34F38-77DE-43E0-BDC3-C6B9AC881C9A}</author>
    <author>tc={E92A00FE-08F8-473A-ACBB-F6ADEEC0680A}</author>
    <author>tc={23582150-BAC6-4C6F-B650-94A5708A6E56}</author>
    <author>tc={6D578A57-F5F6-4D08-968E-3D5511EE31D3}</author>
    <author>tc={E3161958-2233-49FC-86A0-FB86BB0DAF38}</author>
    <author>tc={1D8EC535-8C0E-48B3-9D94-037B3BED56F2}</author>
    <author>tc={9A3D9FD5-4CCE-4714-9C29-DCEDE51B7B71}</author>
    <author>tc={6C87909B-72BB-4BCD-B3B7-C4BEA8538C0D}</author>
    <author>tc={D0C5014B-187F-420D-9E1E-C589132A53D1}</author>
    <author>tc={33BEAAA4-1F8E-46F0-B25C-7F9D769B4354}</author>
    <author>tc={8788A069-6A9F-47E4-AD54-E4647536A029}</author>
    <author>tc={8AE0D7AA-F613-4482-A907-3B8EACB5FA0A}</author>
    <author>tc={6709147A-F365-4A5A-BC8B-8256F92D83D0}</author>
    <author>tc={FB5EA14B-EE3C-4FCA-AE7A-65AAE461F896}</author>
    <author>tc={7F905218-554E-46B0-ADF4-E9B3FBFA6749}</author>
    <author>tc={26733838-B25B-41AC-BCE5-1FE519986BDA}</author>
    <author>tc={DAC637B5-05FD-41F9-91AC-23FDA94F1BDD}</author>
    <author>tc={0ED8F869-0ECF-4E0C-AF51-0004A0CA29B6}</author>
    <author>tc={52CF6D38-1E13-487C-9D80-B6F61210D1E5}</author>
    <author>tc={4EF62BA5-680E-4F0B-9A13-71A99CDA7644}</author>
    <author>tc={C8D0AEA2-7DAA-47B1-9146-A1118D7A629F}</author>
    <author>tc={46A9D3D6-8468-4D13-9E1B-A80BE3CCE9A1}</author>
    <author>tc={9ACE7379-D6F5-486E-92B0-94E311E3DB52}</author>
    <author>tc={B808F6F4-FDCE-4255-B267-CE2769D5EB34}</author>
    <author>tc={25F8A3A5-0E58-46E5-A943-16864072E512}</author>
    <author>tc={EBA645ED-D22F-4456-A012-64F722DF6D52}</author>
    <author>tc={A7B53AF1-FF95-421E-8BD4-F263566B6C49}</author>
    <author>tc={1271058F-F69A-4ECB-A268-228E237F74B7}</author>
    <author>tc={ADC8E0C1-B45A-483E-8C01-73C9EA1AB2FB}</author>
    <author>tc={9CD995A7-3492-46A5-8E9B-D0E426AB0E2A}</author>
    <author>tc={52142A94-433C-4F14-B2A1-6A41110B0141}</author>
    <author>tc={AB78F6AB-59DE-4C96-86DD-6C3A6EB23E0E}</author>
    <author>tc={D0D047B0-D827-4C7F-B1D7-253C99436BBA}</author>
    <author>tc={652A23A2-30F0-4555-B7F0-4D572487CF64}</author>
    <author>tc={106A3D64-A450-4906-9511-EE402F76F98A}</author>
    <author>tc={DD0075C7-C8CE-4769-AA5D-AA8058B0787B}</author>
    <author>tc={58B9AC24-55DA-4DB5-9F18-EF3275CFF815}</author>
    <author>tc={52EC6F35-FE9C-4994-ACC4-912236CA7721}</author>
    <author>tc={BD6C87E8-A77A-4882-889C-FF109C74CA24}</author>
    <author>tc={EF1FF058-BB29-4FB6-A512-C35F44E90FB1}</author>
    <author>tc={294F90BA-B8F0-4945-A8BD-38C6D96E9FD3}</author>
    <author>tc={D12A43EA-145F-4C21-9708-56A653529B8F}</author>
    <author>tc={CC79AF57-D2B5-40A7-A660-8E91FB8AEB49}</author>
    <author>tc={B9CA9580-C6CC-4DC7-8744-12831EE36B0B}</author>
    <author>tc={77A2049C-57DD-4767-8DCD-06971EBD6D3A}</author>
    <author>tc={6DC9E823-BD70-4842-AD1D-AEB177054F21}</author>
    <author>tc={D6E3615C-5F21-40ED-BC45-E00F25296592}</author>
    <author>tc={47FE9B75-4467-45C6-81C2-F5A18AA561A7}</author>
    <author>tc={7A12D805-2170-4A54-8568-41094C574A71}</author>
    <author>tc={3F74A78F-28B5-4E8D-8429-5D504F205047}</author>
    <author>tc={539C3D64-4D05-4CD7-A64E-B742FD1AEFB2}</author>
    <author>tc={1F51D408-6F95-4781-A7E8-AF72E14232A0}</author>
    <author>tc={568C58E1-6A16-422B-977F-0CFB000EDECD}</author>
    <author>tc={C0C40645-330B-4963-9E3C-83CAB4AF18A9}</author>
    <author>tc={4A30D1B2-7E5E-4164-BBC2-E04D3CE07759}</author>
    <author>tc={3DC31508-3CF2-4CED-AE7E-1ABF2632A3D3}</author>
    <author>tc={6EE3C729-3B40-46B2-9F73-42191E3216B0}</author>
    <author>tc={CE680F31-83B6-4BD7-9679-A568FB5A95E0}</author>
    <author>tc={D065DC30-9ABD-47A4-B59F-4C80826BF4FA}</author>
    <author>tc={8B97EDBC-9F53-4983-A1D3-7D93516A2A12}</author>
    <author>tc={14D2ECFA-F376-45F0-8C87-6489C74E91C6}</author>
    <author>tc={98DAA0E8-90F4-485B-9D15-B78ED9769D52}</author>
    <author>tc={A64EDBEF-9AB8-447E-9217-AC2F674BE45E}</author>
    <author>tc={57E7A4EE-CE78-4200-B0AB-62D4D913333C}</author>
    <author>tc={41D7C8A7-7357-4020-9945-2D5E481307B2}</author>
    <author>tc={885AE54E-ECD2-4061-AEB8-3739053F9F6E}</author>
    <author>tc={AB66F2F2-2A37-4382-8356-11314F072026}</author>
    <author>tc={123B6F6D-E13C-42F0-9E29-D6E46D1BEED5}</author>
    <author>tc={19FF7E2E-2B78-4EE9-93A6-68A4D58DC96A}</author>
    <author>tc={4F465ABB-36B0-4BAA-B3AB-A90CAC1F5516}</author>
    <author>tc={199B3516-DFEE-49BA-88C7-0E04CF00A5CF}</author>
    <author>tc={1EF806D6-25AE-4B60-B442-3F510F4A0CAA}</author>
    <author>tc={92B3EBFE-2B82-4D0C-A928-7CAA9638BE06}</author>
    <author>tc={6FDDDF60-E96F-4DC5-BA17-1C8C4C9D5D95}</author>
    <author>tc={17358978-FD03-44BA-B419-5E22FEE67104}</author>
    <author>tc={3CDBEC76-49B1-46E3-8C53-AA7E8DB2B1DB}</author>
    <author>tc={BB10960F-21FE-47AE-8967-EAB1D8CA5DB2}</author>
    <author>tc={36EF801E-7B9F-4F4A-BE90-6F9A9A9F09E9}</author>
    <author>tc={CEF29064-098B-4453-B482-83F30BFCA3F6}</author>
    <author>tc={4DC4C6A9-B426-4EFF-9C27-F23B70A32087}</author>
    <author>tc={3037A1E2-A2E0-440C-8650-D114797B6B93}</author>
    <author>tc={377FC017-E06D-4095-99F8-38A27B766F4E}</author>
    <author>tc={EE7F0F24-4B92-4736-A2A8-B06A0FE8CDB4}</author>
    <author>tc={3EE847C6-BB0A-4EFC-B1DF-52AD9058C46B}</author>
    <author>tc={4C73B14E-CE07-4D00-8A6D-33D42A81CFAA}</author>
    <author>tc={2C3C1C57-EE56-4B3B-A63D-476348C3A0FD}</author>
    <author>tc={88AF39BE-BFDE-4EC5-9BB2-5A7954ECE8B6}</author>
    <author>tc={DD2709F7-87DC-48EE-8208-E86FF1F146FE}</author>
    <author>tc={0C8675CC-7F69-4066-ADB7-DA0B782BF930}</author>
    <author>tc={305F446F-8657-4198-AFF5-AA6FFBE3C452}</author>
    <author>tc={545B2B20-5542-429A-B2C4-052530AB4BF0}</author>
    <author>tc={D56141B3-B08A-4F31-8D4C-B06E15495F28}</author>
    <author>tc={16BA8C80-5814-4D5B-A4AF-3C7D1DC29909}</author>
    <author>tc={51DF3139-7A48-4BCB-932D-97071CED7B59}</author>
    <author>tc={8320630B-2F27-4E09-9341-4218CC54B7EF}</author>
    <author>tc={634C8F65-D51C-44C6-AE26-246982C34CA2}</author>
    <author>tc={3489D24F-7785-41DD-B80F-946281AE3BF4}</author>
    <author>tc={EB51F6BA-06E6-42B0-BF64-41BE143AF368}</author>
    <author>tc={66302C8D-2F74-4EC9-A05F-5683DC10D4F1}</author>
    <author>tc={504D5047-D5B6-4DAF-8E03-7EA10D3BDC6E}</author>
    <author>tc={AD95B523-AA41-42A4-8310-6B4DD2D6FA8C}</author>
    <author>tc={F149E0E2-5CAA-4C6E-B5A3-CA649D9A4F48}</author>
    <author>tc={24D033E8-47ED-4974-9422-6BDC7364431A}</author>
    <author>tc={67DA3711-DACB-43EC-AA9B-C3F3C3B057EE}</author>
    <author>tc={6532E8D8-C46B-4316-9D9D-A44FEDEA21DB}</author>
    <author>tc={DB6377F0-2D33-4E70-B2D5-47F0B7AC579C}</author>
    <author>tc={DC4B13E1-11AA-4DBE-99A0-3B538E9BAB17}</author>
    <author>tc={C9B86364-8CFA-4A2A-A76A-B5FF3BC10DE6}</author>
    <author>tc={053AD546-EE04-407A-A85E-A7FA2EFBD0C9}</author>
    <author>tc={EDC02185-7BF2-4400-A0C1-696A2C0CD9A3}</author>
    <author>tc={F0AA5DBA-E912-4DFB-8200-6F6864782CC3}</author>
    <author>tc={A07F364A-5DE3-4E0A-93B4-410C565B1D01}</author>
    <author>tc={7F83EB10-DB88-4F28-A27B-CC6C7D6CD6F8}</author>
    <author>tc={E3A78949-9B77-463E-90C1-F5E6F1D9B408}</author>
    <author>tc={AD51C7EE-1AFA-4DF2-B137-5F884AC81DFF}</author>
    <author>tc={16F62C91-254F-4803-9874-76ED16C07664}</author>
    <author>tc={09340A4C-1775-4E19-9A7D-FD9A3A54AD2B}</author>
    <author>tc={7F8BFC4A-69D8-4872-8965-F12B3AE982C1}</author>
    <author>tc={B3236240-E3C0-4F22-BB2B-C643853D2D3E}</author>
    <author>tc={94BE6FFB-5934-48F1-AD3B-D304A76ED9D6}</author>
    <author>tc={6CE28FD0-5840-422C-89DC-877C2DA97CF9}</author>
    <author>tc={F4E369AE-A414-419F-830B-0573BE15443E}</author>
    <author>tc={0B6F60DD-6DC1-44B6-9DEC-F0C92FB509A7}</author>
    <author>tc={7EA672BD-D5B3-492B-8626-43FF598126D3}</author>
    <author>tc={42B483EF-F02E-4CF3-9297-829DE253392D}</author>
    <author>tc={EE787D20-9481-4048-9D61-4156F82AC604}</author>
    <author>tc={A8959033-2443-4D37-BCAE-1035C417BCFC}</author>
    <author>tc={502E2B5B-0988-4429-B856-EC24B21BA769}</author>
    <author>tc={446946CB-3F35-4105-95F5-FB8394EF86E4}</author>
    <author>tc={F330F182-2719-4942-BE61-810D4120C93F}</author>
    <author>tc={9DE5255F-9B2E-4CDB-8C0B-2E823885314F}</author>
    <author>tc={4F90E652-2A00-4953-BC61-1C4A1CCDE9AA}</author>
    <author>tc={E041A8DB-CCF5-467B-A99C-4308BD9FBD85}</author>
    <author>tc={D465B762-24DA-472A-A2EB-F1D92D932EC2}</author>
    <author>tc={BA2DB1A8-32C7-47A1-A168-079F182E81B7}</author>
    <author>tc={C8E3428D-403D-4121-BD7A-10F1D1190CA9}</author>
    <author>tc={65A4B8BB-0FD6-4965-8D35-5C5ECE70C481}</author>
    <author>tc={28C605D1-FDD5-47FF-923F-A06FE019CCA9}</author>
    <author>tc={65CC93B3-C000-4AC4-BBAD-3D60B2BA7165}</author>
    <author>tc={645DE304-B501-4B96-8225-3C7EA2DF1920}</author>
    <author>tc={B0DA6902-9041-448D-AFE8-A61D953FBD05}</author>
    <author>tc={E9FC2793-9625-4F8C-97AC-1E64FCA73EE5}</author>
    <author>tc={6034F987-0282-492F-9B0F-9ACD5A606C4B}</author>
    <author>tc={94A0C11E-9496-4216-9D91-909E538FB3DB}</author>
    <author>tc={72152E56-730F-435F-8F29-F69C25021C72}</author>
    <author>tc={34AAAA3E-20A1-414A-A05C-0C0851A6EEAE}</author>
    <author>tc={DE7DD26B-6EFA-4A9F-8C0E-4CCB1084A240}</author>
    <author>tc={6F4B6E4D-0188-4D07-BC91-FF226F161D07}</author>
    <author>tc={AF880A66-9BE1-4536-A6D2-288DD93EDA1A}</author>
    <author>tc={15EC8D5B-7F99-4FD0-9BC5-79C631F37FAE}</author>
    <author>tc={E9B31EB9-410D-4D70-929A-C3A1B5F0590B}</author>
    <author>tc={8FFCB3CF-1F56-41D7-AB2B-1C3C0C7E630E}</author>
    <author>tc={A9B0FA25-C276-48AB-8A1D-37E7590F4B68}</author>
    <author>tc={21631E3B-8743-4BEA-82EF-1DE7D00EF308}</author>
    <author>tc={30B9C7DE-D34D-4FDE-830A-6260FE106F23}</author>
    <author>tc={45741ABE-E148-40F1-BC29-08B40D65FD6F}</author>
    <author>tc={B0BE1DCE-C6AA-4495-B6AE-BA90366B0030}</author>
    <author>tc={D99550F0-38D4-40A5-ABC2-16DBA21FE3E9}</author>
    <author>tc={519CD68A-29AD-495D-8A2D-4591D6C19448}</author>
    <author>tc={0A8B4BB6-38D3-4923-8771-C2C04E840B8D}</author>
    <author>tc={B73A914F-67B9-4258-84CB-711184BC31A8}</author>
    <author>tc={0AC0D569-0450-4C53-9B73-8AB0ADE60BA3}</author>
    <author>tc={1775C2CB-BA68-434F-9499-250F55B7C8BD}</author>
    <author>tc={5F084CE4-8CC5-4146-AE85-554F332E308F}</author>
    <author>tc={3D65C0B0-7429-4F64-B74A-C9113F2F04DF}</author>
    <author>tc={F7C3E355-9D8B-4F32-A81E-61A92F1EA85F}</author>
    <author>tc={4D70D47F-E16F-44F6-B0B2-E98B06FC0D12}</author>
    <author>tc={BF1BF847-C040-4FCD-BDAE-1C574280E527}</author>
    <author>tc={9EB0B131-533B-40BA-87DD-575F2B61FEA5}</author>
    <author>tc={020CD498-9127-43AB-8B2C-FA2ACC8E4B58}</author>
    <author>tc={87BAA357-BB2A-4D74-AEAA-19DA3FD13B3F}</author>
    <author>tc={917A9F12-0236-405C-9E79-532EECFA0E02}</author>
    <author>tc={C5262C02-E715-4A25-9F36-838D9A9A1F1C}</author>
    <author>tc={EBC651DA-A102-48CF-8D21-570719849191}</author>
    <author>tc={86029976-0304-46B4-81B8-CA301EE1E890}</author>
    <author>tc={54860AFD-66E6-4AA0-AF1D-0E3E67CAF721}</author>
    <author>tc={DEDCD1FB-EDC4-4FD9-B5E7-AA6D66057F78}</author>
    <author>tc={12A27514-52BD-43FC-9603-62628AE113DC}</author>
    <author>tc={E7F7874A-A1D3-451B-963C-0CE8AA566447}</author>
    <author>tc={DE8D0C17-2AE8-4E40-AC8B-6BF1088AB47C}</author>
    <author>tc={BCC18DD7-294F-4A5D-90E4-20FF3DAF7C04}</author>
    <author>tc={F3A10FB6-1511-483E-A9F9-DB3D285A141D}</author>
    <author>tc={5F16923F-CE1D-41A6-BC50-A3762ED8775A}</author>
    <author>tc={781693DA-2A02-4E26-A30E-F3AA18012C39}</author>
    <author>tc={CEC40023-67AC-40DA-9F59-5993F9C536B9}</author>
    <author>tc={7B5EE798-C792-49F1-8957-B584BC978945}</author>
    <author>tc={32A0BB48-A374-48A1-B19D-D59D80C4C5ED}</author>
    <author>tc={5E92AD6B-7C12-4F62-A7B4-95B644E9F670}</author>
    <author>tc={53D7502B-A130-426A-A4EC-B9770DC587D6}</author>
    <author>tc={3D04C3F8-CD2C-43EC-982F-6F74D72CD4D7}</author>
    <author>tc={69C8B11C-3F4F-44F2-87B2-580F8BEEB395}</author>
    <author>tc={D8EA178F-E893-465A-9A07-34205B71FEBD}</author>
    <author>tc={C7D0FE03-BC70-43A4-B151-B4F9487C3D2E}</author>
    <author>tc={C81F807B-C806-406E-82EC-70BF198A6C87}</author>
    <author>tc={ABB570FE-9269-4840-A6A9-9F12D5F4AAB4}</author>
    <author>tc={4438D940-45EF-4B24-AB3F-A335BDF03EF9}</author>
    <author>tc={F4CEA172-A967-4179-8C2D-CA9884FC5EA8}</author>
    <author>tc={52616F8F-C5CA-4B1E-AA78-0ADF0DFDC145}</author>
    <author>tc={A495D628-4585-4F15-A94A-B810000E8B8D}</author>
    <author>tc={BA454C9F-2DBD-4B56-B2BE-D37875CF1AE0}</author>
    <author>tc={1386C930-8DFD-493F-9705-5D270D4A2960}</author>
    <author>tc={1BD89AC8-5FD5-47EB-A3EB-69CBF5A9FFB4}</author>
    <author>tc={100D058E-6A86-40CD-8AA5-B246B7725856}</author>
    <author>tc={568BC079-2447-4102-9C2C-048B461AE607}</author>
    <author>tc={DD21FD7A-26B6-4803-9717-297F9D35F10C}</author>
    <author>tc={01E1FCCE-F067-4AD5-9385-ECABA5728894}</author>
    <author>tc={29FDD906-B2E2-4F3D-8E07-A8B503D6D6A7}</author>
    <author>tc={DC241A91-4CE9-4166-8892-2F955E532C8F}</author>
    <author>tc={A0BA6C76-4FB7-42F3-B331-63346ECF9A9E}</author>
    <author>tc={CBEC6EE9-8171-45F5-9E09-F74695FA7C5D}</author>
    <author>tc={B2A7DF46-8BE1-43D2-B0CF-1EC163A6B152}</author>
    <author>tc={54BA0857-0B69-4CA7-BC00-02FD0582AEB4}</author>
    <author>tc={F9C4A850-C7C3-4CC4-B040-A6561E5B5A7F}</author>
    <author>tc={72E09D0E-8592-4A6D-856A-CEC3ABC13A63}</author>
    <author>tc={574B21E9-F5E6-4D49-8CE2-8215E925C261}</author>
    <author>tc={B22FAB9D-36D7-40F1-A9A0-F9A39350FD28}</author>
    <author>tc={426E18A9-56ED-405A-A948-CD75F99CF600}</author>
    <author>tc={BB3DC384-07EA-4282-9FD0-21CD38655A71}</author>
    <author>tc={54325F7C-E88E-4BBE-9715-A9392D763428}</author>
    <author>tc={98D5BFA1-5DBC-430C-8EAB-2A2F08AB3713}</author>
    <author>tc={BD6E4716-7E1B-456D-A4B3-162F881EC2F5}</author>
    <author>tc={B1876AA9-9321-4550-9D6D-041B863924A2}</author>
    <author>tc={A22290DD-014A-4D1E-9D77-7A795617792D}</author>
    <author>tc={9715DA22-47C0-42AF-ADB5-E31E716BCFE6}</author>
    <author>tc={D010C7F2-734D-4838-A252-ED00CF98A200}</author>
    <author>tc={F2BD1A3A-C5AB-4F92-9335-8DA4C9385326}</author>
    <author>tc={A59BF54D-38B3-47E8-B750-B113F33FE2E4}</author>
    <author>tc={C77F50B2-01F4-4748-A0DA-1403BB4DEF8C}</author>
    <author>tc={D3DB2CCD-FBD1-407E-9519-41EA1AD3658E}</author>
    <author>tc={E8BF6619-2E0F-471E-BFA8-0416F72866BA}</author>
    <author>tc={E32C6C66-B180-41D1-86D3-911088A81897}</author>
    <author>tc={398A3A8A-F62E-44BA-A5CF-87517FCB27C7}</author>
    <author>tc={35372CDA-0036-4B7F-9F34-7459C10E2A73}</author>
    <author>tc={ED74C16B-0677-4775-BBA0-E728F8E6A884}</author>
    <author>tc={1DAA45F8-5902-40DE-BE08-72D3F6A8691C}</author>
    <author>tc={2CC40DE8-0A2C-45C7-B3B2-00729C2E716A}</author>
    <author>tc={17C6066B-CD0A-4FB4-A123-4C1B9830CBA1}</author>
    <author>tc={67FB66AA-19F9-44E7-9805-0B00F49AC79D}</author>
    <author>tc={2B3D110B-D49A-4AE4-9E18-50BD4E3D1992}</author>
    <author>tc={0CC30296-D5CB-46F7-8965-4419F2340A19}</author>
    <author>tc={35B4EA5E-8F54-4A43-B3CC-44022F681F8B}</author>
    <author>tc={3F4689D9-F8E0-477D-BF09-52DEFE7E7813}</author>
    <author>tc={A039D1C1-3CC6-4C9A-9912-2D8443C507F4}</author>
    <author>tc={C7362469-9168-45BA-AEBD-25F5BBFE718B}</author>
    <author>tc={DAC48133-ABF9-4C41-8063-2FC465A7F88E}</author>
    <author>tc={F62CD489-1677-4FC3-9003-85776F1BB4F3}</author>
    <author>tc={E8B5C738-E049-48AF-84CF-9520887FB199}</author>
    <author>tc={C30320CA-07AA-4E98-8B75-65EF4ACD7942}</author>
    <author>tc={BFEC8992-1A19-46AF-9C3F-9C4E56F80676}</author>
    <author>tc={A4768EB2-B86B-4D65-A8FD-5A4A3643E883}</author>
    <author>tc={22459EC7-7F8A-429F-9B25-A2FC66E42686}</author>
    <author>tc={4271377D-BCF7-4CDE-AD63-E2DCE7DB607A}</author>
    <author>tc={34122289-AC95-43ED-BC29-AAECA5EDAB70}</author>
    <author>tc={7361DDE1-D236-4915-B4E6-BAF5457583C1}</author>
    <author>tc={3F1EED7A-D8EB-412C-9E41-76FF6F377D2A}</author>
    <author>tc={F690E487-CE03-4709-B5EB-1D9977F03709}</author>
    <author>tc={7177335D-D039-48A4-BFF3-30BBC9A97574}</author>
    <author>tc={2A3B7EFF-144B-49E3-BCA7-417B1A504BE0}</author>
    <author>tc={77F54B05-29F5-4A96-903A-FB37E27CAE2E}</author>
    <author>tc={DDAADE80-737F-4108-AD55-8A5B5DA91CC2}</author>
    <author>tc={AC6C39D8-45CA-4238-8746-827FDE573968}</author>
    <author>tc={FB41A5F3-8D86-4599-ADE4-40043DC12D23}</author>
    <author>tc={C73A31A2-7251-41C9-877B-A3FB5EE11C3E}</author>
    <author>tc={74A22BD6-8FDF-4D8F-BA13-8AB474B953D7}</author>
    <author>tc={F56CC020-91B3-4A1D-8550-B82DC54B05F7}</author>
    <author>tc={CBABA9C0-89D3-46A6-AF36-686701D87F41}</author>
    <author>tc={25CE206A-7EB1-4C30-8CC3-5A74BFD1D824}</author>
    <author>tc={A4962D25-3C76-474E-84AF-806E3CF23D9F}</author>
    <author>tc={12B97FA6-3262-4719-8CDA-FF1610D8CFA2}</author>
    <author>tc={8A9187AB-DEAC-4C89-862D-4F7E4D47DF8A}</author>
    <author>tc={8A90F9AD-8F94-4FF7-AB80-4931B3479CDE}</author>
    <author>tc={09F87D82-EE96-4B2A-9978-A264E5FECE6E}</author>
    <author>tc={E2274140-0047-47F6-858C-E350C34DD7F6}</author>
    <author>tc={292EAE13-BB7E-44A2-90E5-4C14574B6818}</author>
    <author>tc={17AFD52A-5CCD-4DC7-9C33-D4982564C143}</author>
    <author>tc={57E7AA2D-B930-4E6D-B4CA-F1E0891BA166}</author>
    <author>tc={477AA7F7-BD4D-4B27-A595-AE769430E25D}</author>
    <author>tc={EE4B3C5C-6916-4E27-8D1A-F891F81B013A}</author>
    <author>tc={462625B4-3DE3-4940-B349-ADEB18725682}</author>
    <author>tc={31FE69F5-2332-4122-9A5A-440823CF7A65}</author>
    <author>tc={B1E23383-FDCE-4324-9230-C152F5FC80D1}</author>
    <author>tc={323273D0-EADF-4C99-B88D-E2965FEFBDDE}</author>
    <author>tc={3825FA98-A9B3-4DA5-8E72-50CC7CEAF036}</author>
    <author>tc={52CB87A6-8D5B-4379-A942-83248C5A2375}</author>
    <author>tc={D3F4708C-CE58-41DA-AE93-00D5BAB1CBF7}</author>
    <author>tc={B4DCACC2-437A-445B-B4CC-9EF7CCC2B1A1}</author>
    <author>tc={D0E389E8-E746-4E61-8DCF-85DEE1C3C8AD}</author>
    <author>tc={DD16A7C5-75F2-4054-9672-589BD2FF44BA}</author>
    <author>tc={FE851FAA-D45F-4F63-9323-65EE8CD94A95}</author>
    <author>tc={1660C2B2-6C64-4561-80C3-2EA2DE5EB9CD}</author>
    <author>tc={7F886356-30A3-4A9B-9A78-507639BEC345}</author>
    <author>tc={6DD1B635-7915-48D1-B3AC-5FD4124B14F8}</author>
    <author>tc={9C935796-9F10-42B5-8B87-27D4964CFEEE}</author>
    <author>tc={4C614177-E911-4D6B-9A22-FC694E01C37D}</author>
    <author>tc={6339B36C-2F05-437A-9BAC-98B4DFE3368A}</author>
    <author>tc={69B34BF2-F08C-476A-B0B4-11A9BDCC4435}</author>
    <author>tc={410AB333-2E74-4C02-A19C-AAF77DF31F6F}</author>
    <author>tc={AE161493-A10B-439A-B69E-A1908483C6D7}</author>
    <author>tc={8FEC7426-8129-4951-B2D8-BB5DD863319B}</author>
    <author>tc={5E41C3DC-E71A-4A31-BEDA-4B0D8BFDB65C}</author>
    <author>tc={8C86004D-DF7A-4705-890A-68D36D27112C}</author>
    <author>tc={FED9617D-C7D9-4AE2-B954-CAC67FE9A2D8}</author>
    <author>tc={827F083F-1C65-4857-B8F0-A610C99CD442}</author>
    <author>tc={0E4A5466-F26D-439B-AF91-F36A70183980}</author>
    <author>tc={157AC6F9-71C5-445C-90BF-2408F81F37B5}</author>
    <author>tc={8C381730-F636-4274-B36C-5A30019067E1}</author>
    <author>tc={3DEB0F96-F8A0-4B1D-B07B-961E0C1C65E4}</author>
    <author>tc={BBE8CEC8-BDCD-4A52-8D2A-308DD184FAAA}</author>
    <author>tc={96D79736-0B99-428F-8CD4-52BFD4523F16}</author>
    <author>tc={83DD07BA-940F-4CC0-9326-7F8AEDE860D1}</author>
    <author>tc={62689724-8153-484A-9980-8EDCCBE69B59}</author>
    <author>tc={4B9F4F74-6041-4C22-988B-98484C8ED519}</author>
    <author>tc={D1757329-1C70-45D1-BF94-644F3FD51017}</author>
    <author>tc={5CAFADBC-55C4-4DB6-9995-E79B90292CFB}</author>
    <author>tc={71AE9B69-835C-4EAC-98A4-CB5432347BA2}</author>
    <author>tc={84F44E87-9215-47BE-8C2A-86FB13B3FFAE}</author>
    <author>tc={15F3A58F-0349-4C79-A5E6-B75E7209750A}</author>
    <author>tc={5DA9C53E-C63F-4D46-9108-8E7AD9532B8E}</author>
    <author>tc={5D0C4CD4-7974-4688-82E6-18B033146AF3}</author>
    <author>tc={1D63B8E2-02CA-49B1-A158-A14951799075}</author>
    <author>tc={99909709-EC83-412F-99D0-FE71377C2872}</author>
    <author>tc={636072A1-6358-40E9-9588-9C29142918A0}</author>
    <author>tc={9C323E7B-6478-4359-AD13-DD2FC0446DDE}</author>
    <author>tc={19773CD9-8D17-43AD-943E-1A61DD28647E}</author>
    <author>tc={FDE0516C-993A-4D00-ABF0-3A8E135EA27A}</author>
    <author>tc={DAD3C833-AB11-458F-A474-DE6AB03B7884}</author>
    <author>tc={0B0D0309-2B1D-4CE7-A3E4-964262781C87}</author>
    <author>tc={A9D71F60-A43D-4FB3-9C5E-E03A11DCD30C}</author>
    <author>tc={A9D92443-3852-4974-93A3-2DE3B5F1F0D6}</author>
    <author>tc={E5A334F9-9FDA-452F-A3CB-3E945FB1D418}</author>
    <author>tc={2CA37E9A-6D34-4BE3-9A08-C5A13601DBD2}</author>
    <author>tc={BB0C10B6-D6A7-40DF-B08C-E04E10912CCB}</author>
    <author>tc={FC82C133-FB13-490F-8D87-734A7F58609F}</author>
    <author>tc={5D4DC3A9-E82B-484E-AE15-95345704E9F6}</author>
    <author>tc={FF835D17-D48F-4F8C-9D4C-C2F08EFD8084}</author>
    <author>tc={F594AD7B-6C87-4CBA-84DE-BD5B48BDA620}</author>
    <author>tc={53C99187-9D5A-495B-B15D-ABEB8E1B2CC1}</author>
    <author>tc={83E608FA-C34A-44B9-9424-89F0FEDD4219}</author>
    <author>tc={60E3C290-B480-44F6-BF26-A0FA00A1E060}</author>
    <author>tc={D1975233-8BB4-44F2-9A02-F9251F626376}</author>
    <author>tc={C093052D-58EE-445E-B380-7590E7683A85}</author>
    <author>tc={1A1440DA-55E0-4600-AF49-9E84C6D5A5E6}</author>
    <author>tc={5BA5E382-9ABC-4937-9CFE-0868C95D783D}</author>
    <author>tc={952CC204-D9A8-4D7B-BFAF-342BC5C9C9C4}</author>
    <author>tc={B30AF5FE-9FDA-4BF7-9D1F-9FAEBA559969}</author>
    <author>tc={586C855D-1EDF-45B5-A109-75714C868F00}</author>
    <author>tc={484F7650-5475-4D94-B3D1-E299B0377EDB}</author>
    <author>tc={0F4A3417-E667-4661-93CA-F108135134E4}</author>
    <author>tc={CC8C680C-129C-401D-A455-E5262DEEF529}</author>
    <author>tc={7E737B61-52B9-4F3C-9D22-B4169731F358}</author>
    <author>tc={64585BAE-26F7-4044-8721-DB66954D8B32}</author>
    <author>tc={EE30915B-B650-4EA2-8EB6-FB8026EC11FE}</author>
    <author>tc={2E67C41B-2DD8-4B75-85AC-00E0772BD4C8}</author>
    <author>tc={F636A529-2793-4C4B-B204-8E307909E86A}</author>
    <author>tc={6CF5B98C-BFC7-42ED-99B1-C775D516E417}</author>
    <author>tc={E76ABD2A-34D0-44A8-892B-E3DE3AFEEF0B}</author>
    <author>tc={398CD10D-D97C-4CEC-B7F3-985CF6361D99}</author>
    <author>tc={E6BAC681-2B99-4190-AB18-AEA6F0279AC9}</author>
    <author>tc={CDF83063-B1B8-4EEB-B015-B55178413EC5}</author>
    <author>tc={B1E30AE4-54C9-4420-A545-A9A6FE16E964}</author>
    <author>tc={C4CDD413-3D1E-416A-BB5D-0268FEE4670D}</author>
    <author>tc={07FE6F0B-D21F-46ED-B1DB-48441FE5D84B}</author>
    <author>tc={180676EE-5361-4EF9-9E3A-5B5B2FD582D7}</author>
    <author>tc={B81E102A-5B25-4C44-8E99-9C658407249A}</author>
    <author>tc={2648A5F0-E44B-4907-8680-BE75A3E4BBF6}</author>
    <author>tc={73B17C6D-BCDB-44C9-BD02-1F6F9E080984}</author>
    <author>tc={477426F9-DA4B-4DFA-8445-9AA659911D4A}</author>
    <author>tc={46509750-6356-443F-AFB1-83C4ABFCFE53}</author>
    <author>tc={DD94C25D-42EA-43D7-9104-C7ED8407A45A}</author>
    <author>tc={9F69632B-344D-49DD-AC40-0B6004BA502B}</author>
    <author>tc={4106C6A4-E2A4-4F78-92C9-F2C868C55991}</author>
    <author>tc={DF822A48-D7B7-4112-9CB5-CE0E388DCE69}</author>
    <author>tc={55D609CD-45D5-4517-9BCD-9C1F50F390A3}</author>
    <author>tc={DFF83C38-1978-4454-BCB0-6BDFACE0A06C}</author>
    <author>tc={418B0BD7-4599-4EEE-B35B-5234B4EF8D8C}</author>
    <author>tc={DE828EF5-6D8E-4C1F-A109-E928F43C830B}</author>
    <author>tc={EE329E6B-3AAC-4ADA-99BB-A2DCB6404D56}</author>
    <author>tc={DA7A0D56-920B-4B61-BFE3-1BEF339E39DB}</author>
    <author>tc={EFED7CE5-1EF7-4908-8234-557E36A934AB}</author>
    <author>tc={6DAD2732-963D-4200-8734-E00368E27C29}</author>
    <author>tc={67430AE1-EA0B-4309-93BD-542933FD9ED3}</author>
    <author>tc={2881A653-1F80-4F81-BFFA-66127A9A9D31}</author>
    <author>tc={C0BFF3CD-B783-497C-8222-45F72DE4B9A0}</author>
    <author>tc={A43B8709-C8E1-40EA-9DE0-B525D2D400EE}</author>
    <author>tc={80788F59-1BFA-414C-97ED-0C4462CCEDED}</author>
    <author>tc={6672A5CE-394F-4E34-8BE6-30099A3AA008}</author>
    <author>tc={7BDBF64E-4D2A-4EDB-A800-AA9DB6B6C1F0}</author>
    <author>tc={D4C1DE88-DBEB-46E2-90CF-26BFB71AC773}</author>
    <author>tc={1CDBD47B-F5AF-4C1D-BB6A-D3463EB7AAD7}</author>
    <author>tc={C93DC880-752D-40CF-9B5B-32B1C99C973F}</author>
    <author>tc={D78671BA-30C6-4D2D-A53B-863A54C4DB2B}</author>
    <author>tc={37577E0C-97D5-4BD1-8375-CBCF38C0F3DB}</author>
    <author>tc={22197E4E-3EE9-4638-BDB7-FA1583D12FBB}</author>
    <author>tc={0669E6D6-DA2C-47C9-9D16-898293FD19C8}</author>
    <author>tc={A5025598-F5C4-4964-B3F2-4C801561FB15}</author>
    <author>tc={DEC15FEB-5A9E-4A34-B77F-9E54F850AE28}</author>
    <author>tc={EECE20D0-DD48-4216-B551-D79F66C268DF}</author>
    <author>tc={BB2F8EDE-A199-49CA-B165-E2E867593D40}</author>
    <author>tc={6C21ABAC-B901-4E76-8E29-C7779BEEB0C6}</author>
    <author>tc={16C051C8-2F3C-4168-8FE7-038F475C8226}</author>
    <author>tc={8F5888D2-9E1D-4DBD-B5BA-A7473E945646}</author>
    <author>tc={BA3BD916-41F7-4F3A-94DE-38E3625F8D0D}</author>
    <author>tc={E21A503B-AA8B-4DE9-B828-3D4D690C4D53}</author>
    <author>tc={0A197F8C-385E-4AF2-884F-76DA106B5478}</author>
    <author>tc={7B81ED82-A211-4DA0-94B2-90DB9A4AD635}</author>
    <author>tc={23A5832A-B696-476C-B49D-F902A1FF91F3}</author>
    <author>tc={735E7101-AD7E-4491-AA34-2F337BBC4896}</author>
    <author>tc={72E88979-E60C-4053-AD46-CEC402F18EFE}</author>
    <author>tc={F96D5498-F84B-484D-8BC2-80D30FE47E54}</author>
    <author>tc={C83FAB06-FD55-4893-B81F-5854BCD49CCB}</author>
    <author>tc={FED21BAD-6718-4A85-ACA1-04EAD234BA77}</author>
    <author>tc={F487E092-CF31-41E4-871F-67656ABAC231}</author>
    <author>tc={46B4E560-2783-46A1-A47C-93CB21AF1916}</author>
    <author>tc={56A6B936-FBEC-4888-8F76-03369C950190}</author>
    <author>tc={B0A10FE1-443A-42BC-BA5B-ABCCB0BFAD1B}</author>
    <author>tc={175B3DB1-A244-4984-9024-ADAFC19EAEDD}</author>
    <author>tc={A3476080-5921-4B32-8F95-4BF81103D934}</author>
    <author>tc={52687091-71FA-482A-A5BE-A22F34762B38}</author>
    <author>tc={E92015AD-1E2D-4ADC-BDA7-9AECE6E94FFA}</author>
    <author>tc={1339B034-DFF0-4747-A66F-44D660052B65}</author>
    <author>tc={60018AB2-D635-4A91-B18E-AB2A0BEAB7F5}</author>
    <author>tc={A3AE7F66-8353-412C-9B26-B39E4A600BA4}</author>
    <author>tc={B911F372-2D4A-44E8-B6E3-45961EB2B061}</author>
    <author>tc={B6567417-18BB-41D7-AE28-1C99CE0FC7D3}</author>
    <author>tc={321751A5-BEB8-4C66-839C-0437FA2F6EC2}</author>
    <author>tc={1347AD27-1D6C-40EC-8946-CB257A24892A}</author>
    <author>tc={605FBB63-DB19-4A9E-A635-656581C771B5}</author>
    <author>tc={D9F79545-F3AE-4CDB-B211-3F1F2228263C}</author>
    <author>tc={F11B7D1E-BAA1-4DA9-A01D-81269D1B2FC7}</author>
    <author>tc={DC46FC13-2176-4B20-92EE-1B489F71CF1D}</author>
    <author>tc={17F16C86-D4F1-4D08-8C77-A8277EC01F67}</author>
    <author>tc={5319F430-1ACE-45A1-9045-FD8544256C9F}</author>
    <author>tc={C189B74F-F7BA-4FF2-B159-5567113C26AD}</author>
    <author>tc={4A987758-7788-40EF-B679-645987A8E2F2}</author>
    <author>tc={86AEF386-01F9-4048-857B-8F492FBD7ADC}</author>
    <author>tc={B9CD90E8-7544-435A-86CA-66A7D5BDC71F}</author>
    <author>tc={210D2D4C-FE5D-4289-86A9-D3E46AEADB62}</author>
    <author>tc={F4777D80-11B4-49DB-8348-04F6D1F03A0D}</author>
    <author>tc={BE27A595-BD50-438F-852C-DC6114E4AB4E}</author>
    <author>tc={E853A0C2-06FE-4141-9840-59798AAE9DB4}</author>
    <author>tc={E40A82C0-6540-4F73-B885-ADDE086CC9C1}</author>
    <author>tc={A5388FDA-4B8D-4730-8138-2AC07FC19EDD}</author>
    <author>tc={16CF1250-8C51-48F4-842D-7DCC370B5524}</author>
    <author>tc={7BF94D5B-982E-4233-8720-22D2CD22556D}</author>
    <author>tc={A2FEA436-2F93-4B81-B833-F3498774DDED}</author>
    <author>tc={A6E222AD-A751-4C63-BEBC-74309FC9CD43}</author>
    <author>tc={889F5D1F-917E-4FE6-B996-AB0C44DBD075}</author>
    <author>tc={1AB8E151-9BF6-4988-969E-3BF4C1BB43DF}</author>
    <author>tc={A9F2DE0C-5F4A-4729-B803-9D570CFCB69F}</author>
    <author>tc={EEE0772D-CBFA-4226-8DBF-23EC6E1D2923}</author>
    <author>tc={9B74BEB8-F201-4844-AFB4-58D71722B340}</author>
    <author>tc={2F34EF88-3448-417E-81B9-72BE5D114D3D}</author>
    <author>tc={DF10A3B7-8543-4A4C-8BE5-34FEA717E67C}</author>
    <author>tc={92129F7D-C0E9-4531-A0B5-B523116A9107}</author>
    <author>tc={B188BB15-D3DC-4319-84AE-45496519128B}</author>
    <author>tc={0D9DDE1D-A7E6-4A38-80CF-ED8D5D40685E}</author>
    <author>tc={79CF0AAE-EFDF-4E6E-8BA3-0FEA14FF3C51}</author>
    <author>tc={6F316C35-7ADD-42CF-BBFE-3E881DA61E76}</author>
    <author>tc={77587A8E-A347-489C-B532-1F6489D564F8}</author>
    <author>tc={8EA2D645-E4D9-4D91-8550-382995E5723B}</author>
    <author>tc={E515ECF5-C7AA-47AF-A120-A9D78CE76584}</author>
    <author>tc={3E9879B9-D44A-4F7E-A4B4-A381109370F7}</author>
    <author>tc={84566AF3-BE75-443E-B238-62677C4B74E3}</author>
    <author>tc={60505E95-5F97-4573-97FB-D0BDC39C9A9C}</author>
    <author>tc={9267A58A-B7F7-4B9F-9DB6-DFC32DA4359C}</author>
    <author>tc={FF3B064B-E5BA-4E4E-BB80-202926D87D81}</author>
    <author>tc={25E5D916-68B1-44E7-943B-52BDCB13FC14}</author>
    <author>tc={8D1380A8-E8FC-4C26-AF08-76F748A476A8}</author>
    <author>tc={7A8C4646-1EFE-4077-8B63-36327E292A80}</author>
    <author>tc={F0037078-B4DD-46B0-8977-3E796BD20F53}</author>
    <author>tc={57006A81-469B-4F0F-81BF-C2B0DF8D3680}</author>
    <author>tc={F5795818-7A2A-45A0-83AC-D2209312AB6C}</author>
    <author>tc={16464B3F-1F1A-4A39-9848-5E1CB657F379}</author>
    <author>tc={410B65C0-9CE2-4B5C-BC16-060ECB908D85}</author>
    <author>tc={CE48A41C-038A-4D52-A597-A16CD01EC4EE}</author>
    <author>tc={229D3DFA-1116-4D98-9DA4-6061D8BC8D93}</author>
    <author>tc={6B783625-6B11-44FE-B001-8D22BB4EC848}</author>
    <author>tc={CAB7CC19-1B46-4555-AD4E-90B5E6E836F3}</author>
    <author>tc={542DB335-9013-449E-95C6-D91C0250FC9A}</author>
    <author>tc={E741C822-8CFB-4170-A9FA-7BBB7C46658F}</author>
    <author>tc={228B2325-51F2-4992-8FF1-85DA55D39ABA}</author>
    <author>tc={D722D606-6239-4383-AA5D-65D093F6BF6D}</author>
    <author>tc={E452B997-C369-4484-905E-6F102F137190}</author>
    <author>tc={941771CA-D0B4-4745-956E-6C1AEE07FC70}</author>
    <author>tc={AD76E855-5695-4663-834F-498B7EBF9546}</author>
    <author>tc={416469CF-7102-4CD2-8606-CA35AE864DBE}</author>
    <author>tc={431AA456-9971-43D6-9B86-4B95BFA95178}</author>
    <author>tc={E39F179D-6B72-49B2-9087-15FCFAAD1035}</author>
    <author>tc={E0C472D7-D85F-458C-91AA-818A8976762F}</author>
    <author>tc={E3DCC9EF-999C-444B-BC67-6FC946E3C557}</author>
    <author>tc={69E4FB2C-E50C-4BF5-8B91-E8EE1F1C98BB}</author>
    <author>tc={5997C73D-46BA-4376-857F-02C456C4E1FC}</author>
    <author>tc={555F826A-AFE9-4D68-883F-6AF052CF69EC}</author>
    <author>tc={B7DDBC42-C430-48DF-B2FF-396C279D7528}</author>
    <author>tc={3A6A647A-972E-43E7-A17E-A24FFE5B25FA}</author>
    <author>tc={68E1966D-0AAD-4A3E-BB10-9C7EBC459677}</author>
    <author>tc={EECAEE15-EFE0-4DF7-BC66-123E527AE9F3}</author>
    <author>tc={161C8A28-FB00-4B26-883F-D6B0A3C56818}</author>
    <author>tc={7A06506B-8D8A-4A81-8816-75D9D6E02C91}</author>
    <author>tc={0D242457-7F70-4561-A691-666E472D6A5F}</author>
    <author>tc={F33707E7-111C-4C45-9F47-BF0FEAF0533F}</author>
    <author>tc={0FF9F707-2BFC-4395-9902-720E27A1333F}</author>
    <author>tc={2CE526ED-5259-4374-A79A-529194A2DB46}</author>
    <author>tc={EAEE38AB-39C1-48A1-8256-21333DA99FBE}</author>
    <author>tc={9FFD4223-1FB0-40CB-971F-8D287BB3BD39}</author>
    <author>tc={6F1DDA76-D501-44BD-BFE8-A4085CFF361E}</author>
    <author>tc={6DE02D0D-89D3-4B47-9834-13D4252D0E7F}</author>
    <author>tc={187205F2-49B8-4D7F-B454-B6857011FFB7}</author>
    <author>tc={6F6344B4-C6BC-45DD-AD65-1E40A4BB09EE}</author>
    <author>tc={7C5191B3-0A15-4F0F-A3E0-E1485657B3C6}</author>
    <author>tc={CBF7C822-4FC4-498D-9280-51770837FDBB}</author>
    <author>tc={0B779F55-B03C-4EF7-92DF-8C7B4B4E0BB5}</author>
    <author>tc={A1F0F24B-6FC3-41B4-93F3-EA0668CC12B7}</author>
    <author>tc={98876C22-CFEB-42DF-AB8A-A8465E93AF87}</author>
    <author>tc={C724FDDE-9805-4D66-A976-AC3CC43DF9D4}</author>
    <author>tc={E9E25485-0458-427E-8688-8D81CC15B5F7}</author>
    <author>tc={BE272833-445F-4ABA-96AB-37316FB57B61}</author>
    <author>tc={63C89257-0599-4D28-B29C-F7393A326105}</author>
    <author>tc={F8E2D3CF-2C16-4161-B27B-B2F5D11E75E6}</author>
    <author>tc={0DB4D1AA-17CA-4FFB-A033-6265A6B317B6}</author>
    <author>tc={A8CDC210-D949-4257-8C53-375D55F93788}</author>
    <author>tc={7E249BDE-94C6-4AA2-A4CC-CBAA84FC8C24}</author>
    <author>tc={B54F1AE4-8E6A-4EBF-AB21-4149A6FC865B}</author>
    <author>tc={C1F12C6F-0A86-4009-B47D-63D88834A01D}</author>
    <author>tc={F6394A5B-AC90-4F74-BCF6-C301D0AB273C}</author>
    <author>tc={04B98907-8E13-41B7-9658-745520CA459B}</author>
    <author>tc={A4889048-85AC-4A7A-9B79-1A62E79256B2}</author>
    <author>tc={E423C56C-A81E-4CA3-B47A-A58076849374}</author>
    <author>tc={6E761BC9-5710-4129-994A-92BBC13911D4}</author>
    <author>tc={66DA6B16-0035-4B8D-83ED-A00AF9AFDD44}</author>
    <author>tc={62B01716-7FA9-41EB-8DF3-AF98BDBEEB51}</author>
    <author>tc={2E7B530D-D490-426A-9CC0-D14743B8937F}</author>
    <author>tc={22723084-2A1D-4B30-BEDF-4E4DA5E43CDE}</author>
    <author>tc={AAB03809-B4C5-4A8B-9C19-C30EB01478CC}</author>
    <author>tc={DC189287-1617-42B5-8D42-6BD88E973828}</author>
    <author>tc={57414CD8-3E35-4FF1-9B4E-46FCBF5F30C9}</author>
    <author>tc={CEEB494D-4F38-4CE5-ABEC-67159B15933C}</author>
    <author>tc={D505183C-54CD-41EF-A9FE-880CC4B31F18}</author>
    <author>tc={4CBCFBDB-C713-4D16-880D-E93C0DDE3606}</author>
    <author>tc={2468BAC4-F26A-466E-B904-795A07A26F5D}</author>
    <author>tc={0AA8B842-3FC9-45F8-A2D6-02B39E652F0D}</author>
    <author>tc={7510E215-B4E5-4E21-A2A5-32707472413F}</author>
    <author>tc={00D39532-75EB-4115-8E6F-4F1D4A516461}</author>
    <author>tc={BF711707-B70A-4EE6-8425-392FE6C9D26D}</author>
    <author>tc={2093BBC3-8810-45F1-A8B2-FDB64EE6BA21}</author>
    <author>tc={C65803E6-F800-4FDD-9AA1-FBA82E311774}</author>
    <author>tc={1C9966FD-E98C-4C98-A31F-35E8BFFC7E58}</author>
    <author>tc={2D562556-2EA1-476C-AB8D-EB3BD15D427A}</author>
    <author>tc={B24F08C5-0973-4D22-B449-56C0CA353857}</author>
    <author>tc={93958B6D-D17A-4BE8-9EB1-E1C3FEEBC1BC}</author>
    <author>tc={79933BD7-6DBD-41F5-B873-051538004088}</author>
    <author>tc={2BA8BD99-6BB4-43FC-AB2D-75A4E57B95C4}</author>
    <author>tc={CA787D32-EB50-4863-B928-B942E97D7FFD}</author>
    <author>tc={1B646DED-F5E3-4353-8B94-31B3872DCE9B}</author>
    <author>tc={CAEFCEA1-3EB7-4735-9DA9-9049DA5E90AB}</author>
    <author>tc={5E021349-7FD5-420B-91A9-F19FC6173439}</author>
    <author>tc={C72122EE-90C1-4634-AA09-8EE15A68F3B8}</author>
    <author>tc={3F263281-E5A3-4B55-838C-CDB7CAAFDC1D}</author>
    <author>tc={E15BE97D-995C-4BB7-9CD2-7A5798981396}</author>
    <author>tc={7A37A0DA-6121-475A-AED7-3C2983823FBB}</author>
    <author>tc={B7FFF255-A47B-4E43-8F8A-B7AE00977DF5}</author>
    <author>tc={763C23AE-D84A-4845-94E6-899F489A296B}</author>
    <author>tc={AC20ABB4-7272-44D5-9CDC-B549DAD3ECBA}</author>
    <author>tc={387DB0AA-8C85-4FBA-A7D3-B3DE1296CAA0}</author>
    <author>tc={FDF3ED2D-3CDC-4041-8D7F-C33A76BB9E53}</author>
    <author>tc={6E5288EC-096A-4F7F-8C66-64C9899498AA}</author>
    <author>tc={BB54CE82-44CA-4777-8B8F-C7B528101521}</author>
    <author>tc={4B0DE6A6-8994-4C26-B2FF-872FF7689335}</author>
    <author>tc={7E08816A-1BBC-4C47-B28E-337B6AD540CE}</author>
    <author>tc={FCB1867F-88BB-4ED4-B967-22F1E802BA4D}</author>
    <author>tc={59E7EA66-09A9-47A2-AD9C-9CD4CDA11A2F}</author>
    <author>tc={25658296-4A22-43CE-A4A7-1FF3C0ED10FE}</author>
    <author>tc={BA2E2306-A5C5-4647-9124-B9161D912294}</author>
    <author>tc={9165F5E7-1E45-4614-A0A1-4B9C1270255D}</author>
    <author>tc={933443DA-DE01-4725-B44D-6AD93344738E}</author>
    <author>tc={2BD94E2F-1531-42DD-882A-037E35EFDF36}</author>
    <author>tc={11F786F4-A72B-4549-9BDA-58CEC8E06B4F}</author>
    <author>tc={D16B6647-80DC-4B12-89DC-ACB32D6C29D5}</author>
    <author>tc={2C4FC35A-6BD0-4C14-83D7-83EBABBDAD6A}</author>
    <author>tc={4094A6D8-8EB3-4660-A5BF-9ACF33F51E02}</author>
    <author>tc={5D7406E2-287E-45D8-9AAB-B9BF14E45BBE}</author>
    <author>tc={132FE666-8F34-47D7-92EA-81D60D055CAB}</author>
    <author>tc={EEC831FD-6748-46EA-8477-96E43EB7DA32}</author>
    <author>tc={BE35CA68-987E-4F72-A0ED-3B983AE40A0F}</author>
    <author>tc={8FD6454D-6A1A-46EB-8FCE-205A5F517635}</author>
    <author>tc={DFEB0038-7F4D-49E3-9C8C-B61DD5C6B2EB}</author>
    <author>tc={08BBDFE9-576C-408D-8925-4B1B1412ACA1}</author>
    <author>tc={B16EDC1F-8710-42C4-AE9A-700EABFFF012}</author>
    <author>tc={B5352CF7-FBEF-44AB-8546-6CCE8BDF2DF8}</author>
    <author>tc={377E8AB6-5107-4D81-A063-2A47102CFCEC}</author>
    <author>tc={F29A3ED5-021D-42A1-96BA-422C4F36816E}</author>
    <author>tc={20D22262-7666-48BC-AF05-8D40A159C308}</author>
    <author>tc={DF28CD1C-FFED-4CA3-8B24-161BA888B86E}</author>
    <author>tc={DA87B226-D51D-4BE0-922F-363610E93335}</author>
    <author>tc={04D820A2-8E49-4482-8BC6-A582513BD7BC}</author>
    <author>tc={DE7C1C1B-D073-44E9-82CF-C983173A43F4}</author>
    <author>tc={F5BD6FD6-529F-4256-995A-D8ECEA66F4C6}</author>
    <author>tc={22CAD64E-0EA8-4DE1-BD4B-FEC3FBF75831}</author>
    <author>tc={3D54AA07-FB5E-4C17-9C75-F62F781D1642}</author>
    <author>tc={6E08BF71-FC9E-4B8D-94E5-EBA44B6D6848}</author>
    <author>tc={70F6BBE7-7E26-486F-B305-9272351626A9}</author>
    <author>tc={A055033C-36B7-410E-A048-925E58C668AF}</author>
    <author>tc={A3183741-96B1-402E-9A07-528C0694E639}</author>
    <author>tc={BC2854A4-C49B-4364-A9F4-10C5BADDCE8C}</author>
    <author>tc={96F9F356-29B7-4C64-AF98-B583960F0F0A}</author>
    <author>tc={19FE3094-0CFE-4F46-AA7C-F4E15C4A9822}</author>
    <author>tc={EA16C7FD-6F49-4130-AB91-9C6CE695ECA9}</author>
    <author>tc={4D88D0E1-6B82-4E7F-B606-FB4B57E8207B}</author>
    <author>tc={246DF8D3-B4CD-4D45-95CC-9B88C3695D88}</author>
    <author>tc={21CDA2F6-98DB-40AA-A1C1-D921664D7D8B}</author>
    <author>tc={F380D842-B39F-47A9-96C2-5173F4760E89}</author>
    <author>tc={447DE43B-39E7-44F6-BA84-79D6C32CF33D}</author>
    <author>tc={B6080D09-C65D-4002-99AA-6FA7C14395D8}</author>
    <author>tc={6B0DB5F6-E390-44F3-BF98-1B8CAE01ADD1}</author>
    <author>tc={E50B94E0-B76E-4082-8320-46580F1E67D8}</author>
    <author>tc={294D4058-0086-471A-B322-12CEE4D763F2}</author>
    <author>tc={F8B1ED81-07FE-4EE6-A473-73A79F1519D6}</author>
    <author>tc={5C8EE077-E68F-4269-BAEA-E0EA2B2ADA48}</author>
    <author>tc={7AEB5E99-E767-46C2-8FD0-F157F302E76C}</author>
    <author>tc={3A713161-BD03-44C0-A037-5B32461701E6}</author>
    <author>tc={7D069F75-0F0C-409E-9327-455AE0098106}</author>
    <author>tc={49EF7C84-72A2-4279-A996-D1DD8D5DF2BD}</author>
    <author>tc={6FB74FB9-24B4-45DC-98C9-74F44F83C4F2}</author>
    <author>tc={81AFA60F-AA52-4633-8891-8AC9A38C0031}</author>
    <author>tc={4C53B3AF-E677-434E-B18A-8174F75FE1D8}</author>
    <author>tc={6E549CB3-444C-41D3-8B01-89E8272FEA4D}</author>
    <author>tc={AF5B96D6-24B8-4E5D-B115-4F22E58BAC38}</author>
    <author>tc={5C01C513-71DF-4170-87FE-1D24C6813C0E}</author>
    <author>tc={20668BB8-D9A1-432A-852F-E4B7672CAEF0}</author>
    <author>tc={6E887578-42CF-4A76-AA44-585338C918D9}</author>
    <author>tc={C4B8D68D-AC52-44EE-89F1-DEAA3BC9B5A9}</author>
    <author>tc={55EEB4F0-9451-4F1B-8724-49B7F262B7F1}</author>
    <author>tc={F30B4646-DF4F-4AF2-B413-00A4F662590B}</author>
    <author>tc={1EBBADE5-B665-43A7-89FB-E2B2003E0FAE}</author>
    <author>tc={B9B8546C-7B76-43CE-920C-09FB160CEB6C}</author>
    <author>tc={3A8B3B1A-887B-421D-8CEB-441D4F0B74A8}</author>
    <author>tc={C6C25D43-8227-461B-86D1-4D0DC1CF08C0}</author>
    <author>tc={54CBBC76-A995-413C-A001-8095538A239F}</author>
    <author>tc={BD76A0CF-4A53-4E31-B7BE-D151598BE40D}</author>
    <author>tc={7B668C2D-D815-4E2C-B5AE-0629B8BB0531}</author>
    <author>tc={17D6D688-D73F-4293-88AD-825B0235DD5B}</author>
    <author>tc={2205D7CC-C084-403D-985A-F5EEBF2651C4}</author>
    <author>tc={D047F8EC-C1DF-4C49-9EDA-05B2E741FB2F}</author>
    <author>tc={5481DD85-13E0-47BB-9DD3-AFFEF645749F}</author>
    <author>tc={A43F806E-7D74-4979-A0F8-63F1470C13AA}</author>
    <author>tc={8C99AA6A-CBF1-4EB0-B1DF-6B19576CB854}</author>
    <author>tc={CBA123EE-3696-42BC-AF01-43EDA8B80C97}</author>
    <author>tc={55E8B5DA-D1A4-449E-90D9-3B75D03B688D}</author>
    <author>tc={A29F5ED5-0DCB-4EC0-8EFA-0E46CEDC1E02}</author>
    <author>tc={D012F213-1658-4150-9CAD-DE9C9A841DE2}</author>
    <author>tc={261402FD-9594-49AE-BA66-EA6F1C416FBF}</author>
    <author>tc={FFAA1210-97B3-4D13-BF81-1D38A9C3073D}</author>
    <author>tc={FB845D28-EFF7-45DC-ABDC-F71A67EE344D}</author>
    <author>tc={433A922A-7664-480B-8FDE-322ACEB0D76A}</author>
    <author>tc={6B31CA17-3FC2-4E4D-9D2B-4608DC1BDF5C}</author>
    <author>tc={E51F1358-F37C-4327-89F1-32D8D930CFCF}</author>
    <author>tc={0D65C2D5-6589-4C17-9F63-684AED771864}</author>
    <author>tc={E0A3AC4B-D395-431B-A165-B712214172D7}</author>
    <author>tc={5D2F9E16-C5CD-47E9-AA22-64517E821AC9}</author>
    <author>tc={693BC26D-A48E-4B84-B1F0-BE6BA69D1701}</author>
    <author>tc={DAC7E129-539F-4612-AF9A-A2D8E51EA457}</author>
    <author>tc={5C033EE9-55F2-477E-8501-4C3C9DEAFE05}</author>
    <author>tc={DBD758CC-EC4A-41C5-ACB6-127CF36BEDAB}</author>
    <author>tc={0A6A6754-8134-4384-AC2A-D3A4A5816697}</author>
    <author>tc={78DDCEDF-99C2-427B-9C75-C83BD3DA4C07}</author>
    <author>tc={1285D21E-5EA1-4DE9-AB1D-0171FE9210AC}</author>
    <author>tc={ECE18B1B-F78F-402B-A6F1-0E731F20DCF2}</author>
    <author>tc={83FBB019-9783-467F-A0A9-FF62C175E57C}</author>
    <author>tc={EF8BAABC-3240-4208-AD4C-F9D1F7C95A4B}</author>
    <author>tc={2C10CC82-0FF7-4431-9EB8-2ED64E8551E5}</author>
    <author>tc={CCDF0946-2E54-4A55-8199-FA7020FD4F3C}</author>
    <author>tc={DF1845FE-66D1-4C09-ADB3-45EA532A13A8}</author>
    <author>tc={4AF588FD-0D81-4B8D-AEF7-FC1010115DF1}</author>
    <author>tc={A5185E6C-D709-4D55-87F5-40FF5B6FEC57}</author>
    <author>tc={B187DF59-2CF5-4195-8202-D0D2388C8A10}</author>
    <author>tc={43F537CB-087E-46E8-8B6D-B971567A8B31}</author>
    <author>tc={42275A8E-66C8-4D38-B350-C43DC13552D8}</author>
    <author>tc={F6820FAF-3FE9-4C55-BADA-152ED38F5750}</author>
    <author>tc={7F150BEA-3B87-4419-92F1-4DAA54B1726E}</author>
    <author>tc={D5B01AD7-0755-4458-B436-51C0AB446BD7}</author>
    <author>tc={6B7B68E7-DBF3-41B6-A93E-1B64A2EDDE1D}</author>
    <author>tc={685124BA-D22C-4029-9D84-2BE3BC781674}</author>
    <author>tc={4B48CF1E-7F1C-4893-927B-B7AD83428416}</author>
    <author>tc={4AE38F95-AC06-4704-B2EC-B6027A00A715}</author>
    <author>tc={BCABF072-1716-409D-A5F7-AB0AFB48858A}</author>
    <author>tc={BB2BA1C1-143E-4C08-BF28-7003F7A0A666}</author>
    <author>tc={1D2E15EF-2E4F-470E-9AB0-084C198AB3F7}</author>
    <author>tc={D6AE9EE4-B718-467C-9C5F-51745FE10B65}</author>
    <author>tc={621B67B7-E1C3-42C3-B606-1BEF109ADD2B}</author>
    <author>tc={6F9A1424-8DF6-42BD-8EE6-094BBCC88669}</author>
    <author>tc={B9562922-6F57-40C3-9946-2772C2907AE0}</author>
    <author>tc={DA8FC120-A24C-4D98-8E03-BA48341E22A6}</author>
    <author>tc={71CB1C5E-C6A5-4501-B330-8EE0971194BD}</author>
    <author>tc={24EBA6A0-72BC-4645-82DF-039947BF07BB}</author>
    <author>tc={35E0B631-08A3-41B7-8E14-2659B7CFEC38}</author>
    <author>tc={B8318727-B83D-428D-AD52-7736C2BA7A3E}</author>
    <author>tc={23617D4D-DD85-4C3B-9691-066691A92E73}</author>
    <author>tc={E3808B97-F6B0-4093-BB21-DF0C8FF9CC71}</author>
    <author>tc={9E39C598-3EC7-4823-941E-639CDDB67925}</author>
    <author>tc={7CE3B7F5-3543-4433-AEA4-2F5819CD1BE9}</author>
    <author>tc={C4455906-3665-4950-A2F3-CA075DFC354D}</author>
    <author>tc={07FD733B-69C3-4FB0-B0F8-12B435EEDB72}</author>
    <author>tc={70E488A4-6841-4156-99DE-D70069886C37}</author>
    <author>tc={FAA6FE7E-7D9A-41DF-9DB4-551D251D3F59}</author>
    <author>tc={07B6BC9C-F4E5-4F56-BFB7-0130E017D1E1}</author>
    <author>tc={CFA29449-E5D4-4A5E-922A-3A34BCDCF9D0}</author>
    <author>tc={B45C6B1C-D211-4EC8-94C6-3C51970911B9}</author>
    <author>tc={D19FE4C4-65C0-42D3-808B-BCE555299534}</author>
    <author>tc={2A5AF6CD-EB78-4AD2-9738-170156A626F5}</author>
    <author>tc={3BB829CE-4B43-44E9-B619-C03DC196B728}</author>
    <author>tc={A8E7EB17-2F2B-4A73-A39C-C70414F438C2}</author>
    <author>tc={C8180BD5-3F06-4BC7-890E-E85074144303}</author>
    <author>tc={7EEE4374-1EFF-49E0-9444-CF172E391A12}</author>
    <author>tc={615C9AF3-BFE6-413B-8433-F9E9DD9E4405}</author>
    <author>tc={5CBB0BE1-8051-4E99-83F9-EFC45127531B}</author>
    <author>tc={A0C61DAA-C777-487D-A6CB-8B1665AF16BA}</author>
    <author>tc={8430AD09-02D1-4888-B126-73992F6A4F9B}</author>
    <author>tc={E07C35D1-668B-414F-98AE-04C50C15AD26}</author>
    <author>tc={CBCC1736-EEFE-45D0-87B9-FD5FF63B77E5}</author>
    <author>tc={7B6D67DA-8EA6-4C15-9841-16355F76C353}</author>
    <author>tc={E7373AF4-CE06-4EA5-A874-AFEDCBBD701C}</author>
    <author>tc={C37A1781-8C43-486F-9335-A81FCDC501F1}</author>
    <author>tc={AEE7547A-FFC5-4552-968B-5FEBB201079A}</author>
    <author>tc={47434A8D-CF82-4D6F-8462-48EEFF9B580A}</author>
    <author>tc={6FBC54D4-4070-4307-88DD-C4493957160E}</author>
    <author>tc={78E38A57-6FF5-4031-A80F-969202E039D5}</author>
    <author>tc={728794E5-E11A-449D-B2A8-8D9A04822F10}</author>
    <author>tc={50C16B4A-8AAC-4888-9C76-6E9C4DDFA87E}</author>
    <author>tc={E956E7D1-9AD6-43DB-B2E0-746CA92E7FA7}</author>
    <author>tc={A520EF5C-F766-4AB8-8AB6-C97B7F1D2FCB}</author>
    <author>tc={A52821E1-AB85-43B0-8AD7-315F115822D7}</author>
    <author>tc={3A6E3916-AAD6-4FF3-A593-018E9D2C673A}</author>
    <author>tc={8954F162-4145-4C7C-A8A9-63AF82912AAA}</author>
    <author>tc={2D03C6AC-1A29-4DDF-B971-D0292C0F0A65}</author>
    <author>tc={49EA8AAC-8327-4304-95B2-5EDE757868B0}</author>
    <author>tc={7CEA4FFE-EB03-44FC-856B-6D5663670853}</author>
    <author>tc={D130A9D9-616F-4686-B002-DAEE0A434C86}</author>
    <author>tc={A87AB57D-6ADC-4729-B2EA-8E4717F6FDBE}</author>
    <author>tc={E009BB59-C42E-4BDB-8689-80E12D868A0D}</author>
    <author>tc={3BE5BF52-416A-469C-99AD-449A0B1BC22A}</author>
    <author>tc={7596A425-DA28-45AB-860B-CFDD78EA935D}</author>
    <author>tc={046A5014-23A3-4847-85E2-FEA4313B0BDB}</author>
    <author>tc={AEF79EFE-6AB8-4F24-A9C3-2F93107DFECE}</author>
    <author>tc={C25CFE4F-FC2B-4A29-87CD-56FB52D69026}</author>
    <author>tc={C875B442-E7C9-4509-97BE-0DF656378A4A}</author>
    <author>tc={52AFD5D3-44F9-4D7E-9244-069C6AB08880}</author>
    <author>tc={94F2C0E3-B878-439D-A972-AF153EC479D6}</author>
    <author>tc={1E8FAE20-A7E3-4BB3-89D1-0E9F5DF377BD}</author>
    <author>tc={682030DC-F801-41B3-B696-C61BC457F28F}</author>
    <author>tc={756CC3DD-037D-488D-AF38-4B2E9C7B1B21}</author>
    <author>tc={0E37781D-D23C-43E1-A5F6-B12A7B2844A6}</author>
    <author>tc={FD676ECC-A98C-4193-BE3A-9C4B57004BD7}</author>
    <author>tc={2CEF69D3-783B-4284-917B-6F5282C47513}</author>
    <author>tc={9B62A764-6345-4960-A7BD-14CB4F29C095}</author>
    <author>tc={CF6EB31B-7314-4CA9-B988-B1328FC5114B}</author>
    <author>tc={0D203E9C-85BD-4DEB-B12E-2C3661131FD0}</author>
    <author>tc={931B6EF3-00C6-43A5-A942-E2964CEF89C1}</author>
    <author>tc={86B09624-780C-47EE-8305-C17A93158025}</author>
    <author>tc={EB2E0CC3-9D10-4390-A272-324B7344D35E}</author>
    <author>tc={F0E66064-510C-4C24-A711-2A00CB36B994}</author>
    <author>tc={D70F79A3-110D-47FC-A87D-81F6D5BF16A9}</author>
    <author>tc={603C6260-4B4B-47A2-844D-27B7FC9A9D6A}</author>
    <author>tc={684120C7-59E7-4384-9899-570BD32E9FEE}</author>
    <author>tc={CBD0224E-5A7C-4294-96D5-0B2AE34618D4}</author>
    <author>tc={8F67624B-DB04-4F9C-A0D0-6AE46C40E3FD}</author>
    <author>tc={D33B4A80-6161-400C-801C-BD6EB00100D8}</author>
    <author>tc={46140F05-2FD6-4CE7-AE0D-2B9774DBCDD8}</author>
    <author>tc={642685A5-4C40-4A9D-AED1-BECBA32A62A3}</author>
    <author>tc={45332408-AD93-4E4A-906E-7CF65E579165}</author>
    <author>tc={47F80F70-DD98-4350-AB9D-CCCF7956A12B}</author>
    <author>tc={43594B00-EF84-42CA-94BA-9EFC06D5D82D}</author>
    <author>tc={904EA384-0B8C-4FDA-8E37-9779ED05CE32}</author>
    <author>tc={82D9034B-40C1-40A8-8BD8-7D341239A882}</author>
    <author>tc={82523D33-1507-40F0-9D6A-E8FF10D53EE2}</author>
    <author>tc={F18B1625-07F4-40EF-AA0A-567D01D9ED7E}</author>
    <author>tc={94772DE9-7C4B-4922-813A-CD3EFDFC4037}</author>
    <author>tc={746C58CD-9309-41ED-944F-608290CD8438}</author>
    <author>tc={BDA0AB13-99BF-476C-B974-714AF1876901}</author>
    <author>tc={0B6CA1A8-E2DB-443F-9032-C4862AAC781B}</author>
    <author>tc={05FB54DE-2FCD-4A61-A3DD-823270FC8155}</author>
    <author>tc={D73C9005-7A70-4D26-A1D7-CC142254C9F7}</author>
    <author>tc={E19BEF28-A4BA-418D-996C-7CF09172F2F5}</author>
    <author>tc={455E907E-899B-48ED-8F26-08EAA6A8501D}</author>
    <author>tc={BAB2BD51-0E3B-4105-9DE9-94CFE3461E7E}</author>
    <author>tc={9CCD8762-7CF9-4C06-9AD4-289D8C6681B0}</author>
    <author>tc={518A286D-7AE8-4D46-BFBF-1161589CD3BC}</author>
    <author>tc={C1EFEC94-CEB7-475C-8147-32648CE0ECF3}</author>
    <author>tc={7C2A2A25-DC5C-4D39-A0E4-0CF7A24F5D78}</author>
    <author>tc={931E79F3-7045-471C-A5E0-FDFC08445D9F}</author>
    <author>tc={FF480BCD-3866-484C-AFB2-E7DE01EEA851}</author>
    <author>tc={AED67A53-7FDC-4138-95B0-0E025921C7FC}</author>
    <author>tc={4D1C3758-F3FE-4495-85AA-69208EF39C46}</author>
    <author>tc={3D2023AB-ED14-49EB-B7B0-C58696630EFC}</author>
    <author>tc={80EA5A92-8BD2-46EF-A129-852534741C6D}</author>
    <author>tc={FF40CC60-7CA4-44DF-A7D0-F49A3CB66AB0}</author>
    <author>tc={3FA163AF-FD66-4D8F-8CFD-243E5E1A6B9B}</author>
    <author>tc={2D42933A-6B3F-44F5-ADCB-29A1125E3B7B}</author>
    <author>tc={EE3EDA8E-163E-4887-86A4-7A41A8750B94}</author>
    <author>tc={9B9A62DC-1643-4C72-89F8-0E63E6566647}</author>
    <author>tc={5490D24C-0EF8-43A6-A0C4-39296FA1B47E}</author>
    <author>tc={F698D51C-97AC-415E-A7D8-1E585FE235EC}</author>
    <author>tc={121CACF3-4D37-4B3C-967B-84B2E6702996}</author>
    <author>tc={B4F4A972-67A8-4139-B34C-D0ED201231DD}</author>
    <author>tc={56258962-BBDA-4AE2-AB8E-1EAEA4BE1B79}</author>
    <author>tc={84B55FDE-26A8-4CBD-83BB-0BB99FF0A302}</author>
    <author>tc={F20F98A0-870B-452F-A1DE-FFD16CE93963}</author>
    <author>tc={04F220B4-53CB-4ED0-B4D4-B377BA3F2E75}</author>
    <author>tc={A429786D-5E78-478E-8471-44E6AE441770}</author>
    <author>tc={71BA4977-CEFF-44CC-8427-E99381C59F07}</author>
    <author>tc={0BC2FA7C-B3DE-443C-AB1E-D08D25183777}</author>
    <author>tc={E855A4E9-D736-473A-B7CA-D885969274AB}</author>
    <author>tc={C9456D3C-A870-4159-8941-EEE44AD5982B}</author>
    <author>tc={148A4A3A-30B0-4947-940A-6855E79E7451}</author>
    <author>tc={4E27D2E0-3A22-46AC-8631-0FFB48BF9556}</author>
    <author>tc={1C4F1E61-6F84-40F0-8448-4952AE343B96}</author>
    <author>tc={8AEE860D-1183-4889-B05B-DEAAA8C1CFD7}</author>
    <author>tc={AD00DEBF-D57B-430B-8487-FA151EF7C50A}</author>
    <author>tc={46C753EC-04FA-4B85-9C8E-434E4F856DE2}</author>
    <author>tc={8C3DE8F3-05AB-4168-BEC8-C19E342AF02C}</author>
    <author>tc={87EB1F5C-5574-4D40-9FA2-75E7967C8ED0}</author>
    <author>tc={4E1813E6-6A5B-4BCC-871A-86117E47E514}</author>
    <author>tc={E3834761-5A8D-437C-8F9F-557289AC9A38}</author>
    <author>tc={A00F0435-3424-4EEF-8AF5-8AC0D9C82AE2}</author>
    <author>tc={5088D5DC-48BC-4805-89F8-8F36E3312A16}</author>
    <author>tc={D66F31F2-E5D7-4FDA-B023-7AD5B1E00380}</author>
    <author>tc={4B3F078B-949D-4EA3-8F11-70D118DC21FD}</author>
    <author>tc={4A65DE68-11B0-46B5-96B3-6835F4F8C2D2}</author>
    <author>tc={5AE8A0CB-85A7-4B7F-B91C-CB6DC6C7A9D6}</author>
    <author>tc={67ECF2B7-B52A-4E13-AD4A-9EEFAA3A8AE8}</author>
    <author>tc={9B4EEE7E-F191-41E4-A683-CCAE6E744C39}</author>
    <author>tc={37E3F296-1DC3-493C-AF3D-FA6194173E32}</author>
    <author>tc={54253667-8AC5-465F-93ED-21CC264ABE23}</author>
    <author>tc={A1803526-F184-4B90-954F-4D67914CA345}</author>
    <author>tc={867E6CFE-0A8C-4976-9859-1055F7D4CA38}</author>
    <author>tc={7BE96521-3916-4F71-9B6C-1DE4EECB101B}</author>
    <author>tc={41C0F061-B4AE-4CC0-845D-586F5147C71E}</author>
    <author>tc={863452E6-0092-4163-91E2-C5D3E4A4C67B}</author>
    <author>tc={D6E1E7C0-C9A0-4504-BFC0-584880C2BC18}</author>
    <author>tc={EF4D63AB-CED2-48A6-ABE9-485E8AFB35A3}</author>
    <author>tc={0F3E5C9E-3EB1-4E68-9889-C0BA34B1B24B}</author>
    <author>tc={D0CF3238-DE9A-431A-B095-C22A81572ACE}</author>
    <author>tc={9152F5DE-0821-450F-A640-62FDBD15B6C9}</author>
    <author>tc={56875918-882C-4BAD-B96B-E65A0D272714}</author>
    <author>tc={E606BF67-12A9-45A7-9C41-89C06E9529B1}</author>
    <author>tc={C9AA584F-0E0F-41B7-A1EC-7F31DBCADF5A}</author>
    <author>tc={EF4B8D4E-6243-4CEC-9149-BE0EF6A61A3A}</author>
    <author>tc={A22B8345-974A-4FC7-BA7E-FB23F8C1B715}</author>
    <author>tc={EFD82216-37FB-4FD1-9880-4A8F942380DC}</author>
    <author>tc={D903FF15-9F33-42CC-865F-1B75985E66BB}</author>
    <author>tc={053D3CAB-E358-4012-BE37-E34475DDE81A}</author>
    <author>tc={646BAC81-1755-418B-9B09-2CFDAC24E12F}</author>
    <author>tc={932EA5D5-A813-4601-8368-C48AA198430F}</author>
    <author>tc={A1045487-7C69-444A-A7E4-CE985A406F98}</author>
    <author>tc={6B4C8598-97DF-4888-B430-3C33FAB4C640}</author>
    <author>tc={96B153E4-52EC-4776-AC40-2CC8A2AF081B}</author>
    <author>tc={C9DA9CAD-F3C0-468C-B139-4AC9B6465558}</author>
    <author>tc={03A7AD9F-BCE7-4C95-B111-5EA296175980}</author>
    <author>tc={EAE1F463-2F4E-4A46-9313-938BC6742ADF}</author>
    <author>tc={D246B2F7-C190-4CBA-BFD7-0BF590DB7499}</author>
    <author>tc={06C9E1AB-15AA-41D3-9687-6664CA787711}</author>
    <author>tc={B5F314B0-307A-4DF4-ADCD-52BD5E295CC5}</author>
    <author>tc={466F0367-7865-401E-A7AF-816BD2083793}</author>
    <author>tc={3893B38C-3062-4884-8F50-FB564DA3AF05}</author>
    <author>tc={B06A3694-4063-4313-B8FA-8FDC412369C1}</author>
    <author>tc={3B042C07-B03A-4F9B-A46E-94B2BB74F727}</author>
    <author>tc={AC93A16E-961D-4B25-9081-BC2E4E2577D1}</author>
    <author>tc={5FF6AFBE-1A4B-495B-9FED-9FB874A38919}</author>
    <author>tc={D87518C3-C1AA-4CFE-B861-D464743DD029}</author>
    <author>tc={7543A920-3D41-4926-A0B6-A49BF038F01E}</author>
    <author>tc={8546B1C9-471F-40F5-96DB-7FC0B476CA46}</author>
    <author>tc={B4EEDF5A-FDCE-4501-91D8-3302ABA4AD15}</author>
    <author>tc={443CA99B-041D-47DE-819A-4F9425C3F22C}</author>
    <author>tc={3710B3D9-814D-42C2-B7C6-7BE8D47F0898}</author>
    <author>tc={294B8D8D-DA4E-44F7-A5DA-4A01FF42154E}</author>
    <author>tc={317CC584-FE22-4246-BB11-9ABCED689E76}</author>
    <author>tc={15BF9573-A74A-4484-8513-2555CF52E1DA}</author>
    <author>tc={422352EE-57E4-4F54-9C14-10B6E454277B}</author>
    <author>tc={5355ED96-E002-40F2-9151-C726F935455D}</author>
    <author>tc={D7E93AC0-2E89-41E4-9B2F-D5D1E53BB985}</author>
    <author>tc={E1DA70E6-A3C2-445B-991C-94B1E4FD644F}</author>
    <author>tc={472E2D68-50D7-4258-887C-E7E983368135}</author>
    <author>tc={DFAF5692-8E7B-449E-B8CD-67630FE86319}</author>
    <author>tc={BCDD841B-CE23-4C68-A99F-23C5BDF5F294}</author>
    <author>tc={7CE74F9C-CFA4-46F5-9C28-8C4D258C913E}</author>
    <author>tc={81AF24E7-6C5F-4F21-ABD6-33D67911D4EE}</author>
    <author>tc={460D1A26-CCEE-4BF0-9A8A-09A27562DB2B}</author>
    <author>tc={938011A5-E2A9-407D-B02F-0CEEE403FCD1}</author>
    <author>tc={F3411CDF-2715-495A-AC22-3DF1A528EB10}</author>
    <author>tc={741BBE40-EBE0-4819-BB24-83BC4059EC45}</author>
    <author>tc={85644C1A-758F-4ACC-9AEA-24AC3F2B1DC3}</author>
    <author>tc={D2D4A9BF-563D-459C-8458-AAAD03EADDD1}</author>
    <author>tc={3287D8C9-7F14-4A11-A3E1-A3B69CA28954}</author>
    <author>tc={A8FD9E24-8739-4257-84C5-376F32B527B7}</author>
    <author>tc={4382530F-FE72-4BEA-92E5-59E22E083424}</author>
    <author>tc={8EEE411B-0F8E-472C-9D4A-CFD3AA753A13}</author>
    <author>tc={880A2DE3-1CB2-484F-A8A0-2737787DA961}</author>
    <author>tc={E241BB5A-8F0E-4335-960D-FFAA7392E476}</author>
    <author>tc={3CB85716-9CEE-44E2-8194-2FDBC6236422}</author>
    <author>tc={EC1D6C01-4164-4AAB-8FDC-3D1EF38D7FDB}</author>
    <author>tc={205F88E9-604A-49D0-B687-15523CC63248}</author>
    <author>tc={C75C2AEF-5293-40AA-BDA1-DDD2034AC139}</author>
    <author>tc={6D409C58-4DC9-4627-BB03-022DD3138644}</author>
    <author>tc={A3CBB155-EDA6-44F9-9FC9-35F9EB8C904F}</author>
    <author>tc={94B6079C-DFA5-4509-A10D-1B7B637E3BE5}</author>
    <author>tc={CA924A15-0F80-4D39-99DB-366BA48879EA}</author>
    <author>tc={F9C19A35-17AF-41BD-A503-724CBC0CAB25}</author>
    <author>tc={9D3C71F7-8FFC-4AEC-80E1-428465C7C87C}</author>
    <author>tc={131CC299-19AA-4E1C-9620-54C3CC5DAB8F}</author>
    <author>tc={609B4009-6BDC-4E8F-A253-D8371A3C0F61}</author>
    <author>tc={39C02177-93B8-4477-BE67-3AD57999D348}</author>
    <author>tc={E010EAB9-5F66-4D5E-8D04-FBF181AD7D90}</author>
    <author>tc={7747633C-0C70-49D4-AC01-0C2DD38107E4}</author>
    <author>tc={2FC0DC7F-D0ED-4038-B0B4-AE0C94A3F101}</author>
    <author>tc={457AF185-6D69-40C4-AE41-24213C80FC32}</author>
    <author>tc={3E2FE9F0-0C12-4BE0-B073-E4587DF1B978}</author>
    <author>tc={D98B8C8D-40EA-47A3-A1DE-61E6CA271880}</author>
    <author>tc={0FEAAA42-2E24-4DEC-81FA-0073AE8477EA}</author>
    <author>tc={258D2516-5E7F-4886-B582-9A7948450FD7}</author>
    <author>tc={6A6D5C6D-456C-4722-B7B5-66A6BE1894C9}</author>
    <author>tc={E959FF42-443C-4A1E-A4D4-AC373FCEBAD6}</author>
    <author>tc={20CADCE5-6196-4EE3-A0FC-7076B37200D1}</author>
    <author>tc={8AB6158D-6CAF-4B5E-B46B-A945768B90D2}</author>
    <author>tc={9610ABBB-4191-400D-962E-FEFE8A68BACC}</author>
    <author>tc={420B58F4-EB6C-46CA-9313-B339832F360D}</author>
    <author>tc={7C353C79-B725-413C-8A39-C702071E8B58}</author>
    <author>tc={9CF9BA46-B705-4EB0-A088-56F4B8BA2C8F}</author>
    <author>tc={A764C11E-5A7A-47E7-84E6-08C79A84CF4C}</author>
    <author>tc={06E90986-1C4E-4B7F-BD08-23527C338B6E}</author>
    <author>tc={53A4E360-42D5-47A8-8C49-229BC0B27816}</author>
    <author>tc={45B03AC3-4520-4C16-AA66-33C3C5F355D0}</author>
    <author>tc={3B11651D-E8DF-47A6-82DD-7BDB6540FB2E}</author>
    <author>tc={A7905C27-3813-4556-BEC1-C6326CFC0BD4}</author>
    <author>tc={C5C91E3C-3709-4F0D-9FD0-5606F383ADBD}</author>
    <author>tc={239445DE-3AE2-4209-8036-B85502A09E30}</author>
    <author>tc={5AC736A0-D56D-47E3-B959-05E2425BD2A0}</author>
    <author>tc={16F7C748-D9E7-434D-9415-D264D7F30F96}</author>
    <author>tc={4933AB99-A2FE-4284-A503-35D1E0BA9C4D}</author>
    <author>tc={861D648B-F216-47CF-8836-33B6DC314D15}</author>
    <author>tc={F011DAA4-74C3-469A-82CF-963F7FD3990F}</author>
    <author>tc={04A56BC5-9AB3-4EC8-AD69-30569B5ACCE3}</author>
    <author>tc={D96A9382-ED49-42DA-9AA2-D8D3265E4904}</author>
    <author>tc={2615437B-1CA0-48C5-BB6B-E90449698B1A}</author>
    <author>tc={33574BFF-AC4A-465E-8611-1546F145C4FA}</author>
    <author>tc={948DC993-64B9-4C44-A58D-02E939BEB367}</author>
    <author>tc={686D43EC-7146-4119-B95D-7FFE3E445FB1}</author>
    <author>tc={E0675D5D-DE4B-42F1-ADA2-278DF1511ECB}</author>
    <author>tc={5EC495C7-589A-4AA8-A502-00D3F05A0BE2}</author>
    <author>tc={D6C59B17-DDAE-42EE-90A2-8EB57CFC0370}</author>
    <author>tc={7EA1C98D-0D20-434E-B535-447B9D80CBAA}</author>
    <author>tc={5A467F46-2CCA-43E4-970E-3634B6EFBBE2}</author>
    <author>tc={D8A7BC53-37F0-4F9B-89FF-0F18A8546EF4}</author>
    <author>tc={3B558F00-76E4-45B6-83FD-96AF7CFB10FA}</author>
    <author>tc={960DD529-A319-4F20-9ABB-E542970C03C2}</author>
    <author>tc={D3B328BF-AB61-4DF0-B480-A8CF50ECE304}</author>
    <author>tc={7F2D3845-ED27-4C91-BA75-98D9CB27BB83}</author>
    <author>tc={9BE05512-C719-4F56-BBA2-8E5606BEADC0}</author>
    <author>tc={F16AE2A5-AFB6-47AB-B3F5-84E469A365F8}</author>
    <author>tc={AB0028CA-1815-4534-BA6F-DF8A3A97FD3E}</author>
    <author>tc={04B95037-BB3A-4DD8-8256-9D08E8578EFA}</author>
    <author>tc={0F610A30-0E41-4668-AFBE-7720DAFF7275}</author>
    <author>tc={6E2DE739-1A8A-4794-A670-6EA0D2628F55}</author>
    <author>tc={D78FAB0B-CB16-4D08-A1F4-FD5FFA78954C}</author>
    <author>tc={19C6AC16-484A-42FA-B20E-A9E5239EB6F7}</author>
    <author>tc={896D578D-79AD-4824-B003-6EEBBDCABA3F}</author>
    <author>tc={92114F88-9285-4CF4-A13D-41FDEC635D9F}</author>
    <author>tc={ECAE9F78-5CE9-4582-8714-6D62699D2808}</author>
    <author>tc={1D82E2AB-2AF6-4370-9AE7-5488E681B680}</author>
    <author>tc={987E8A30-783F-499B-8E61-F151EABBE109}</author>
    <author>tc={A636EDFA-B1C4-4833-8260-2FC8E06F5920}</author>
    <author>tc={0424AAAF-E880-41B5-BD71-071CAFA62D17}</author>
    <author>tc={621BF81A-F461-4F28-8E04-DA3A692878EF}</author>
    <author>tc={CC74E1C4-3D27-4A8A-900D-962EAF874615}</author>
    <author>tc={3FB2BB9B-27E5-4EE2-8034-23A8631D730F}</author>
    <author>tc={7669439E-10AA-401E-A7DB-524B370E1C45}</author>
    <author>tc={0EA6BDB2-5720-4335-99D8-044474D95CF6}</author>
    <author>tc={CA10A2CC-F981-490D-B0B4-65A934EEF9CD}</author>
    <author>tc={A1984988-95EE-4118-ACBC-5980F5562E5F}</author>
    <author>tc={362C20A7-90B4-4BB0-A9F9-1DB6141830D1}</author>
    <author>tc={2EFF9D21-0F68-40CB-9562-73E5C99A3566}</author>
    <author>tc={595458F1-D20F-4520-8F48-EDE0FD0166CE}</author>
    <author>tc={BB14C389-23D8-4A0A-86CE-78C88F5527C7}</author>
    <author>tc={E9F8B5D1-8A9C-4785-AA7A-962EBA26591D}</author>
    <author>tc={5CB27764-97E9-492E-AE28-0FAE25F40941}</author>
    <author>tc={2F0FC940-297B-4525-8DB5-A840D4C35C98}</author>
    <author>tc={ED71820C-CA45-4F67-94D7-C585F7D00A21}</author>
    <author>tc={536E75DE-BB77-49B4-B35B-3D5E8633F401}</author>
    <author>tc={D12B8A3A-3CA9-4ED1-9FFF-297D03E49CAD}</author>
    <author>tc={EE2629D4-5963-4B0C-89ED-3F59F844E5E1}</author>
    <author>tc={0E9F85D9-5BDC-41AC-985B-94494DED14F6}</author>
    <author>tc={E874C7C2-99FF-43D8-BEE6-FBCD8F6CFD2D}</author>
    <author>tc={9F13A78A-2420-4EE2-84B4-67E3DAE4C109}</author>
    <author>tc={F928BF28-4ABC-4F43-9560-5494BA94E0E8}</author>
    <author>tc={19C7FD53-15BE-4E36-9F0E-36D395C9D55D}</author>
    <author>tc={1952299A-2AD6-46BA-9734-FF7D2EC082DA}</author>
    <author>tc={1B9F3649-A18B-4DE9-8D14-1BC9DFA93641}</author>
    <author>tc={1BAF5650-91C6-4C9F-A0C8-631450BB5547}</author>
    <author>tc={D9E765B2-9151-48D1-B1A5-2B07D78FE681}</author>
    <author>tc={1B911595-6688-4548-9AB5-DE3139F56848}</author>
    <author>tc={8ED27AAD-A3C5-45B1-BE60-DFD4FBFDEE8D}</author>
    <author>tc={E8250900-9BD1-444A-9DB8-473E7806103D}</author>
    <author>tc={FD0BD98E-6066-4E31-9D9C-7A52C8C25462}</author>
    <author>tc={C36EAF0C-7A35-4C77-BA6D-424F955F28CD}</author>
    <author>tc={AD115D50-8248-4909-809C-1683D991A668}</author>
    <author>tc={29AFEDF2-7793-43FC-A507-59830E75DD63}</author>
    <author>tc={C7D8C960-0492-4A58-9284-136E196BF8A8}</author>
    <author>tc={B29A54B8-A462-474D-8D56-E40E25D7180C}</author>
    <author>tc={16AE4510-DE6A-412A-89D7-2F7B85C905CE}</author>
    <author>tc={FDE6287D-4D52-42B1-80BB-D92290B7790A}</author>
    <author>tc={0822C4F1-6611-40F0-9DEC-7721FB2CCA64}</author>
    <author>tc={4F11D80E-6B97-4C74-9D4A-FC444E13AF77}</author>
    <author>tc={BF8147F4-8EC2-4BC5-9E46-31889505C8DB}</author>
    <author>tc={43B1CEF7-673F-4A54-8318-ED5845EA086F}</author>
    <author>tc={06474BC7-A665-40E9-97BC-9D2651C118F0}</author>
    <author>tc={C34854FC-2B38-414E-A9FF-93F39AD121DF}</author>
    <author>tc={F619EEF3-329D-45AB-870F-8FE199C5E147}</author>
    <author>tc={DC361676-C221-4596-A012-E1D61ADD7B2D}</author>
    <author>tc={CA0DC513-8609-48CB-AED7-B7EAA2F5D8FF}</author>
    <author>tc={292F3CC5-FDDD-44E9-B962-72207A38172C}</author>
    <author>tc={BB95BA19-79CD-4FFF-9EB2-AA3FF132D0A3}</author>
    <author>tc={5CBC1DFF-3CE5-4E14-A34B-355A3D74029B}</author>
    <author>tc={5C24C4EA-DF8E-45B8-B8A5-8B140059CF71}</author>
    <author>tc={CB29E387-5837-4683-98C6-6CF96F2BA574}</author>
    <author>tc={0BA38D9C-0C16-4266-8484-AB94D73D5E6C}</author>
    <author>tc={E8642BDC-BD0F-473A-BE6D-D82A95E48598}</author>
    <author>tc={B5DA7392-ACD4-4E93-804C-A36A058A0D1F}</author>
    <author>tc={3D5CC75F-0046-408A-B6C8-38111BAB9836}</author>
    <author>tc={E7366E81-49AC-49D0-9C17-A46F15D3F86E}</author>
    <author>tc={299EDD2E-944E-4192-A51E-C348B337E0E9}</author>
    <author>tc={31CA74C1-33BA-4898-8B39-4BF848991857}</author>
    <author>tc={1DCA0481-CED4-4C23-AB66-E773FD2D8515}</author>
    <author>tc={78DA4A05-AB3B-4A0D-A223-7F7CD304A454}</author>
    <author>tc={CE9A2332-96B2-4ECB-A7CA-0155653B5005}</author>
    <author>tc={AFEECD59-9129-4D3C-B082-26AEAB206E7C}</author>
    <author>tc={89082619-B363-4B53-A4B6-B8C42C9DA3C4}</author>
    <author>tc={A7EA5386-409A-4728-BB8D-E618010EE29F}</author>
    <author>tc={177BF0A8-980E-4484-9DA7-5F44A4B5D5D5}</author>
    <author>tc={32F64603-0756-4A86-9AF0-309EA293B0ED}</author>
    <author>tc={3AEFF68C-B265-4017-A0E5-55AA17B8C59D}</author>
    <author>tc={857C8E70-88EC-4DA3-ADB3-6C51608AF6B5}</author>
    <author>tc={2A851922-B3A3-49A7-8906-B662897D0B00}</author>
    <author>tc={EB554097-8D26-4540-85E1-A0C838EA2479}</author>
    <author>tc={5B3AF700-35ED-4AF9-A611-9E1614BE10EA}</author>
    <author>tc={463577E1-3EBF-45C6-A588-1B0632B942CA}</author>
    <author>tc={0A72F956-F63D-4F9F-A3E6-2448A657E332}</author>
    <author>tc={D6F1FD8A-62E6-4F0D-9043-F36845721B3C}</author>
    <author>tc={FCF36572-2B05-4863-9636-A0B7A9EA75AC}</author>
    <author>tc={641BFAD5-F6BE-4D01-9CCF-35796A811B69}</author>
    <author>tc={DA78E5F4-5303-49C0-AC13-549BCFAD83A5}</author>
    <author>tc={2F0DFA03-47E7-4D7C-8640-7F2DF9C97FB2}</author>
    <author>tc={2B01FE5B-087E-4D4D-A588-C6F90CB4B14D}</author>
    <author>tc={0E0DAD47-39E2-43D0-B1B5-0D0121B7D673}</author>
    <author>tc={996326AD-4EF5-405F-BECD-96C7E500C145}</author>
    <author>tc={04EB0B1B-BCE5-4EFB-8304-3CFF4120E592}</author>
    <author>tc={B7B0A851-166F-43F9-B0DC-EB6FA1858C45}</author>
    <author>tc={AC0CE087-C849-4FB2-BBB5-A70327617944}</author>
    <author>tc={8FBD7AC1-331C-47D9-ADC7-FA7691F7F2D1}</author>
    <author>tc={0B4726B0-1E23-454C-946A-A363DE00D912}</author>
    <author>tc={8158D4FB-F625-481C-9280-B1DDDAB10497}</author>
    <author>tc={E5C71874-5A48-46BD-B812-50A126C28352}</author>
    <author>tc={33E66B6E-0FD6-4254-8858-1301E6AE98AB}</author>
    <author>tc={81ADD382-C018-4432-B383-93383D38C68C}</author>
    <author>tc={4E9713A0-8498-48FD-B98F-DDD49BBDB501}</author>
    <author>tc={C8741010-5B9A-4FBB-8972-F93261A8F266}</author>
    <author>tc={2BBADF0A-1367-4029-907E-0F2C1A862C3E}</author>
    <author>tc={B5168642-7295-4DD9-88B5-9D72921EBCC9}</author>
    <author>tc={F6C3C609-75EF-43D8-9C0F-23CB38A94032}</author>
    <author>tc={4D2F8AB4-319A-4477-8E76-35AB59C0A28D}</author>
    <author>tc={EB1B8398-9A0A-4943-8CA5-F07D3393AB1C}</author>
    <author>tc={D2DF3B3E-CCF3-4C8D-8EB2-C7D071FDDDF8}</author>
    <author>tc={7E029A31-40AF-40B9-8F1D-05FB29BFECB6}</author>
    <author>tc={FD48149F-017D-49B4-B1FC-29599FD66CC3}</author>
    <author>tc={E5DC46AC-8134-4909-A462-698088CC011F}</author>
    <author>tc={6793F90C-22F8-4FDA-8FF4-00B8F4C99408}</author>
    <author>tc={746C678A-7163-4215-B066-EDA34E3A44EE}</author>
    <author>tc={3F0FE560-F993-4D5C-9141-07FBB10E74E7}</author>
    <author>tc={A1CC7404-D225-4372-B0BC-CE6980303C82}</author>
    <author>tc={536A9B31-0A9B-4D77-A38B-6567E33A034A}</author>
    <author>tc={F5D86780-D307-4393-9FA8-BF29A3B1FE42}</author>
    <author>tc={08B4EBF3-5E95-41BE-A50C-A01722D43361}</author>
    <author>tc={9ABD3EAE-A184-411A-AF26-3A4E067170EA}</author>
    <author>tc={23CC948C-4A3A-4D2D-BD64-9D77AAB74046}</author>
    <author>tc={DAE14D08-7695-4F0F-8E0C-70013F4FCAD4}</author>
    <author>tc={5B09E469-973C-4AB7-A9CE-DD799C69CDF9}</author>
    <author>tc={3CC1E136-26E4-4548-8CF6-1ECB6232C1DB}</author>
    <author>tc={A767EFDB-B37C-4730-98F4-B20E1083E90A}</author>
    <author>tc={52367791-5699-4F05-AD96-5EE3DE5F9A64}</author>
    <author>tc={941F2F20-B359-4F88-BF55-4229976E4B72}</author>
    <author>tc={C5DD0392-DC36-4F5D-A77E-2FA0273CBD6B}</author>
    <author>tc={6FC2F55B-E1F6-4863-B563-C70A39FAD165}</author>
    <author>tc={330AF555-C126-45FD-8C9D-FB49C803B1F5}</author>
    <author>tc={1F5630A5-63D2-4432-927A-F2EE5D7E83A6}</author>
    <author>tc={3AE1478C-3191-4BE2-A14B-7AEA43C3D02F}</author>
    <author>tc={E774ED23-1481-45A4-AA16-CE8862D67BAE}</author>
    <author>tc={BFBB6C8C-C91A-4585-A575-3E06D4572BB9}</author>
    <author>tc={5E6B3241-C791-43A2-BBA8-B7144D1BFA60}</author>
    <author>tc={769FFCE6-C3D0-4865-99EE-3297DB40AE32}</author>
    <author>tc={0FFA3F8A-5CB5-4934-BCDC-73C041BFC41B}</author>
    <author>tc={AB7468E0-5BA1-4F20-91D3-1DFF6E435099}</author>
    <author>tc={F204826D-8182-497E-B8B0-4511D2191387}</author>
    <author>tc={1F0B6F2D-49AA-43A9-BF98-E8CC1CB5395D}</author>
    <author>tc={330C0663-68AD-49B7-ABF6-27CF9F6784C1}</author>
    <author>tc={405FB5B9-0FF3-4052-A9FF-4897D9E80377}</author>
    <author>tc={1EC99EA9-5209-4ACD-8C1A-64C6835DEFD9}</author>
    <author>tc={D54D64AF-76B8-47FE-B45C-890263746C86}</author>
    <author>tc={3BF68714-E1BE-46A5-97CF-6F7B8AAE5B4D}</author>
    <author>tc={1274F073-92E7-4291-8270-C246C2D502DA}</author>
    <author>tc={91BB2D13-B776-44BC-A9B7-1B75C1959C6C}</author>
    <author>tc={CDD48107-DE3B-4061-8863-64264500CD07}</author>
    <author>tc={9E87FE1D-500E-4D9A-B184-29641126764D}</author>
    <author>tc={88E8D1BC-BB88-4415-89C1-2A65C2218014}</author>
    <author>tc={4D54166A-2B36-4365-AEDB-D0E83F7E54FD}</author>
    <author>tc={1EA133A0-1269-446B-92CC-C1E619400306}</author>
    <author>tc={63169611-ACE5-471A-A85C-17DC9CA1D544}</author>
    <author>tc={761BA719-E99A-496C-ADEB-BAC898A1DD7F}</author>
    <author>tc={93FF0930-C8CE-4095-AFD4-2EA6345DDE7D}</author>
    <author>tc={A567B307-59A0-4C1C-902A-912A29E1F016}</author>
    <author>tc={1219E53B-8CAC-4011-8662-3C72E06805C8}</author>
    <author>tc={3064F75A-6B4C-46A6-8915-17416AB0FACE}</author>
    <author>tc={8910BF2E-67DA-49BE-85D5-8B533ABE90A7}</author>
    <author>tc={5AD4BBB6-4ED8-415C-B63B-088CF293CDDB}</author>
    <author>tc={DDD353AF-FC2D-433B-9A23-776299D28981}</author>
    <author>tc={603BB9D3-15B3-48B7-9C18-1C7537B544EE}</author>
    <author>tc={78D0194A-2539-44E7-9B0D-6B30FB90CFBA}</author>
    <author>tc={DBAB89B7-1C1C-4DB5-B33D-564D3D959BDA}</author>
    <author>tc={33340280-2C4C-44E3-894F-AE8DD3BFE516}</author>
    <author>tc={3F03F01B-29AF-4AEB-9269-F79428AD5DF8}</author>
    <author>tc={9D9ACAFC-25F5-4128-84DF-10125D46119C}</author>
    <author>tc={4DEEA09C-A251-41CB-B5B8-072F594499B2}</author>
    <author>tc={3FC47DFD-750B-4D60-9E81-1E55FE781B58}</author>
    <author>tc={6B6707F0-72FC-4CBE-A2E0-AF292925E924}</author>
    <author>tc={FA2E57AD-A1F4-41C3-9DA8-3AC2ECBE719A}</author>
    <author>tc={2202554E-B33C-4C3E-B5B5-5D65F3C2D2B8}</author>
    <author>tc={D97D5DEE-FA8D-42DC-8C27-BE945A791840}</author>
    <author>tc={BD9EF908-A1AE-4613-B59C-FD33C278F266}</author>
    <author>tc={306482F5-F8D3-438D-B300-523418C8A36F}</author>
    <author>tc={E538093D-510C-4DC6-B9C4-53FAAAB626AE}</author>
    <author>tc={A96E9ADC-4CD9-4403-937B-E075448C47EA}</author>
    <author>tc={B637C8F2-A45A-4096-B48E-DFD6442779F9}</author>
    <author>tc={0E4BE236-D976-4694-B189-BF97C59E4E5A}</author>
    <author>tc={26921666-49C8-4BE4-990A-8B99F9ED7B3A}</author>
    <author>tc={8A7C1183-4596-4B56-A8C8-AEB04C9B085A}</author>
    <author>tc={B40296F4-43B2-4D18-A2EA-DDB9D0C57A31}</author>
    <author>tc={AF8866BE-2DF9-4CAA-9735-58AFD1403D78}</author>
    <author>tc={94B0ACDC-7AB0-4B9F-8723-673B21725C38}</author>
    <author>tc={605A869B-EE1F-457D-AFE9-62F5D265EFE4}</author>
    <author>tc={79C452EB-92E7-4A87-8441-7A3062108A53}</author>
    <author>tc={E4E038BB-31D6-4A2F-AAC1-5DABA4BD5D91}</author>
    <author>tc={4D072CC9-8F62-4640-918D-5221B24CDDA6}</author>
    <author>tc={7E4DEE03-068D-4240-AC4A-F9680335C016}</author>
    <author>tc={2F7EFF8B-7A47-4A17-A35E-3527628804FB}</author>
    <author>tc={FD9C941E-C1F4-4AC5-881A-CFBEF9992A41}</author>
    <author>tc={B64BBC42-3CE4-4E4E-BE04-8509342CB2BF}</author>
    <author>tc={99D3E448-4FA5-4E99-A60A-C12EBCBD92F9}</author>
    <author>tc={629BB58E-E516-4885-B6AD-19680B9D6A32}</author>
    <author>tc={5F79F586-FA87-48E2-9F26-ACE7CC92A5FE}</author>
    <author>tc={2E9FE2F7-7915-474E-893A-3A4799BC799C}</author>
    <author>tc={F8F16B23-C23F-4109-8B67-364074B0BFAB}</author>
    <author>tc={92597938-2E3F-4082-BED0-CCC48D6F936F}</author>
    <author>tc={45FA3F03-F739-4FE4-A3D6-51FFD246571D}</author>
    <author>tc={13EDD2E2-731E-4CF1-91BA-682FE6C26EC2}</author>
    <author>tc={4F0FA8BA-5CE7-49FE-B497-0927465929F7}</author>
    <author>tc={4A45A2AC-F426-4975-9486-69ED8A9F81CD}</author>
    <author>tc={17CAE662-E3EF-4664-BBC4-DFA9C6CE84EF}</author>
    <author>tc={BAC27246-4571-44F8-976C-5B8F9802DB10}</author>
    <author>tc={3879B45C-DFD6-4A0A-BEE1-82A95594D88F}</author>
    <author>tc={A2BBCA38-C39F-4291-877D-955CA699E5E8}</author>
    <author>tc={2E119FAB-6B74-4162-B450-AE0A83EB7AAA}</author>
    <author>tc={8F98E019-EE9F-4915-B219-D466324D6643}</author>
    <author>tc={A61631BC-2E4F-494C-87B6-6ED50159DABB}</author>
    <author>tc={B69759B8-20CC-4D55-8B1C-F16E189CA3E2}</author>
    <author>tc={07C1715B-B16A-4C6F-8F8E-19A8F1C36056}</author>
    <author>tc={0DF72082-81C9-42E0-8B11-9AAC4823C4EE}</author>
    <author>tc={498802E6-1A9C-4526-AC40-2E5DB2F7DF7A}</author>
    <author>tc={BFD0A3FA-7D87-40C1-91F4-D34622B57FAF}</author>
    <author>tc={024073FA-E089-4797-8493-493879F7A594}</author>
    <author>tc={6A22BF19-35A2-4DA9-96CB-A3D877F43976}</author>
    <author>tc={A54418D2-4F10-404D-AF52-C7AB640D214D}</author>
    <author>tc={2E057CCF-D83F-424A-8CDB-10467D75670C}</author>
    <author>tc={4D48CE08-484F-413C-AE3C-9529198880AF}</author>
    <author>tc={D85DD310-F26D-4390-B4A5-02D33F526277}</author>
    <author>tc={910E30CA-3C7A-493B-8DC0-990316633816}</author>
    <author>tc={CDC6AE33-D082-44A8-A0FD-7C5484A9AD93}</author>
    <author>tc={19E2CF98-9822-49FC-BCC9-D727876E7C38}</author>
    <author>tc={1B59E44C-FAAE-49AF-9596-E053EE3EB1AA}</author>
    <author>tc={C1B8BD61-A615-4749-970B-AB2B66930ADE}</author>
    <author>tc={51B86A22-EE38-4559-BB7F-437BA140CF1B}</author>
    <author>tc={9090ABD9-CAC6-48F7-8E1F-83C34D11BDBB}</author>
    <author>tc={83ED5102-C4AF-4CCB-B047-519EB8BBB503}</author>
    <author>tc={B04D74F7-C7C2-4E7D-9FD7-210B0144AD6F}</author>
    <author>tc={B898F1C0-5D14-4E4C-8962-C6FD8DBCC51A}</author>
    <author>tc={F0F4B3AC-34D0-46EE-9848-7BCA99E91084}</author>
    <author>tc={B3E6C547-3176-4C1E-A224-6B1AA7A3F915}</author>
    <author>tc={4D18895A-9E25-45CF-B92D-CC6685713CB9}</author>
    <author>tc={8EAEC8DF-6DEE-4411-965E-CD2A8D81C1E7}</author>
    <author>tc={35AD16B7-0B96-452E-99EC-056C34DCDB61}</author>
    <author>tc={172FCF0E-11CD-4266-9920-46313B48BFFF}</author>
    <author>tc={BC792874-A7E9-4484-B2B0-8D003350B07F}</author>
    <author>tc={22FE0545-B132-465F-B72B-F86FE21AA644}</author>
    <author>tc={003F00A7-22AB-43E2-A3EF-D2AF22171928}</author>
    <author>tc={98A680C0-FFF0-4CF3-8B59-2C8BA18D7E43}</author>
    <author>tc={A53FF653-E9C9-41B7-AD61-3D54ED2C997C}</author>
    <author>tc={C369737E-F30A-4D88-9096-594B17DD31D0}</author>
    <author>tc={47051E25-6C40-4EA6-9C41-CC3234016A14}</author>
    <author>tc={87E69C1F-6154-4447-B65F-29201FFEC000}</author>
    <author>tc={34CBFF7F-2375-4D82-8F87-69C08E21F8BC}</author>
    <author>tc={E2D54788-89E3-409D-B81A-9EBD486FC8A4}</author>
    <author>tc={AA538E75-B4C7-45D5-A7E9-6307F052F778}</author>
    <author>tc={0D82E1AC-9412-42DF-BB73-962CA8A10AC9}</author>
    <author>tc={6F076383-2B72-4863-B893-5382AEB82999}</author>
    <author>tc={48399676-4B4F-46A4-9E4E-A79D0C56B278}</author>
    <author>tc={49244CD8-B86D-4297-ACA0-F30AB1BE493E}</author>
    <author>tc={649CA31E-206B-4E6D-8F87-5527960E897C}</author>
    <author>tc={90D114B9-B7F7-4F46-8421-188959E2320B}</author>
    <author>tc={85663759-0A3F-4D17-BA6D-67AF80D47A82}</author>
    <author>tc={8FE14285-D702-4450-AC55-D25803C7B4B1}</author>
    <author>tc={D45CED43-08D9-489F-99D7-4D84A274C136}</author>
    <author>tc={082DCBA2-3949-44B4-A316-FAA2D9CC569F}</author>
    <author>tc={4DA18FE1-B288-4417-AF68-AB2CD88A67DF}</author>
    <author>tc={BD0C0E22-697D-45E0-BF93-3D81A4BD7E47}</author>
    <author>tc={5D4CEF90-7D51-47DE-B2C8-395625E27A85}</author>
    <author>tc={EF9B2435-EB39-405F-9543-3BE9FA794076}</author>
    <author>tc={0BC45148-C115-4ADA-BFCB-999382946AF0}</author>
    <author>tc={DE7F7FB0-E704-4941-A002-12A0B234D131}</author>
    <author>tc={BF00BF45-A59A-4C08-8DC4-C1A4083D661F}</author>
    <author>tc={F9D1D3A8-9F25-4416-817A-18C9C967C427}</author>
    <author>tc={93C8DD70-346E-467E-A0F9-72FF1F57CE69}</author>
    <author>tc={33BA4182-0EC1-4F99-A4B7-FFE651F5A195}</author>
    <author>tc={A3C3D329-B94B-4234-822E-9026E522D0C8}</author>
    <author>tc={DD426C12-8D6C-4BF7-BC00-2173DE28E133}</author>
    <author>tc={3321A15A-0646-41D9-8B28-BC4E1CA2E6A8}</author>
    <author>tc={3398AB10-DFA1-4CF6-8F44-1B8B592D1F4B}</author>
    <author>tc={23917369-7D95-4F75-AFD0-E946E7B87219}</author>
    <author>tc={350E9918-D7DE-43A1-B68C-3CB2D37E8655}</author>
    <author>tc={9F54791E-CB63-4A35-8FFB-F14A8AEBB899}</author>
    <author>tc={2E5AB5B4-CDE5-40AB-BAA2-9D414B751AB8}</author>
    <author>tc={4C69A0E1-3DF0-409C-A67E-18B88579FBF2}</author>
    <author>tc={BB9109C3-F3BD-4F67-8E09-8E1B26F4E7F2}</author>
    <author>tc={3E3412BB-4B7B-4A51-A879-01DD936FD170}</author>
    <author>tc={B32641ED-C7B6-426C-81CB-CCE0422B2769}</author>
    <author>tc={C1617EDF-5094-4ED7-827C-4B44378024D6}</author>
    <author>tc={D0EAF4FF-3220-42D7-A227-305ACC360FCC}</author>
    <author>tc={2A18E5A0-BB05-4FE6-BF4A-48232278DF83}</author>
    <author>tc={89530158-DD9D-43C1-95CF-2D805DA22DC7}</author>
    <author>tc={96F9D4AC-C242-46F0-9B05-A74C81DDF879}</author>
    <author>tc={61ED0CAE-3D58-4767-9855-2526AE93CFCC}</author>
    <author>tc={29B68F25-5BE8-4748-AB30-D1EC1C76C03D}</author>
    <author>tc={3A453C17-3064-43F6-9095-E700116030B3}</author>
    <author>tc={DE3141B1-8EA6-4F82-BCB4-BCF900D94B57}</author>
    <author>tc={73DB17F2-B3BD-4652-A78F-1F734A295383}</author>
    <author>tc={3CDDC04E-F48F-40CC-B2B5-DAC1ED155ADF}</author>
    <author>tc={A6E876D5-608B-42E3-9C88-A2CD7F361816}</author>
    <author>tc={01598AFF-AAEE-4B78-AC95-C47B1DA03DB0}</author>
    <author>tc={1ECB7218-9914-4D32-BD8F-81B2818335E3}</author>
    <author>tc={415622D6-0172-4383-AF4D-B8637288F98D}</author>
    <author>tc={37A92C3D-4F87-443A-885E-16DDE9285DE6}</author>
    <author>tc={F9382AC6-8EC4-454D-BC50-6A95A6BDC6CB}</author>
    <author>tc={7084F3E6-B327-4834-9873-E8053F1B52C6}</author>
    <author>tc={7B6F84C4-6588-4CBD-9872-9D493D6C4B6C}</author>
    <author>tc={FDE8D6E4-17DD-434C-BF78-B6ED6E53BC8F}</author>
    <author>tc={B2557E5F-F7ED-4F97-816B-DD95AF93602E}</author>
    <author>tc={D604602C-D1A9-411A-996A-EA5524536177}</author>
    <author>tc={6688FB90-246B-456B-BF34-1D42487B3DF2}</author>
    <author>tc={74CA2C2B-A9A8-48A7-9381-B318C61B3F9A}</author>
    <author>tc={EAB080D3-7028-4678-A77B-B06590B49268}</author>
    <author>tc={71BA20D5-CCE0-400E-B983-DECA4D8F9F5D}</author>
    <author>tc={06C79EAA-A93D-4F09-80BB-8D00836D0314}</author>
    <author>tc={E63008A0-E356-4A08-8EDB-63BD3D6EA24C}</author>
    <author>tc={D4B1ACA8-F3CA-4DB3-837E-53745BD8F746}</author>
    <author>tc={D775778B-0264-4454-A06C-0E0988872E56}</author>
    <author>tc={C0137ED6-90BC-4E12-B5F6-C783DA7B383B}</author>
    <author>tc={ADB912BD-FE17-4A6C-B626-220BECDC318A}</author>
    <author>tc={ED8F7453-AA0D-4E3F-BF15-E8AFF502808A}</author>
    <author>tc={AEF63FBE-B511-4F89-9315-EA1AC7DC733E}</author>
    <author>tc={ADD663BB-71BC-4763-AC52-2E5771D191ED}</author>
    <author>tc={FD391530-8417-464A-B8D7-858B4D0D1FF8}</author>
    <author>tc={B4E00271-55C2-4B57-B7B8-E507199C8E09}</author>
    <author>tc={E012D76E-9BD2-4ABA-BE0F-9F1CDD3EF95B}</author>
    <author>tc={C0C5F6E5-6716-4D96-A7E0-874822B20FE3}</author>
    <author>tc={72F51FBF-8801-4040-8D14-AE7A83FCD614}</author>
    <author>tc={36A25A4A-EF0A-402C-BA58-3B106C625413}</author>
    <author>tc={060FBFE7-BAA3-4D18-9407-51F8B1DC9A27}</author>
    <author>tc={3C5A0556-95F3-4C72-B15B-5F581BEC841B}</author>
    <author>tc={1C392AAD-AB2B-4DF6-A862-1960C5843715}</author>
    <author>tc={D363CACA-1857-4B06-9CFB-64EA0497A5E2}</author>
    <author>tc={025A69C9-BC2F-4B9A-B69F-E2D53B31E6D8}</author>
    <author>tc={072523C6-2E54-4808-84E6-FCCBFF570C49}</author>
    <author>tc={3FD99B5A-AC80-4945-A69E-0A3593EF8E01}</author>
    <author>tc={20E648FF-754E-4F42-B320-BA68A2BC79EB}</author>
    <author>tc={25317CA1-E6D1-4952-B153-10F3D2D9BDB4}</author>
    <author>tc={DCB58205-858B-47B9-8A8A-69F8464D77C8}</author>
    <author>tc={23FCB753-544E-43DA-A046-97628393183B}</author>
    <author>tc={21B32967-3937-4263-924E-6F215D5B761F}</author>
    <author>tc={9F6B1829-32F7-451D-91AC-76379C216303}</author>
    <author>tc={05D300E9-CFFB-42E0-A504-1AA584370AB9}</author>
    <author>tc={57A002EF-4B58-45FB-AAF0-AB78943E8B55}</author>
    <author>tc={176CEB83-9AFF-4BD2-B90A-420B79CFE578}</author>
    <author>tc={ED0A7776-B3DB-4DE7-9A54-F8BF0D0617E0}</author>
    <author>tc={99C4E7A5-987D-47D8-BCBE-717FA44B30B4}</author>
    <author>tc={B7465C36-0B9F-4EB7-A125-13CBB3742982}</author>
    <author>tc={DBAC4A76-691D-4642-A1EE-29A034E88DB6}</author>
    <author>tc={2A275099-36CD-4521-9F60-9599277C1E22}</author>
    <author>tc={E54CF192-58DD-4DB0-B428-DD7B973F4B7D}</author>
    <author>tc={96883EE8-3173-4EBC-B12B-D0E0A2E1FD91}</author>
    <author>tc={27671C0E-BE45-443B-888B-699E9057E61E}</author>
    <author>tc={60669196-5C27-4792-9FB8-45512752C833}</author>
    <author>tc={5D7BC9A1-6BBD-4BC1-A211-1DF1F0A24C02}</author>
    <author>tc={933DA8A8-4601-4A3D-B871-41A6DA058553}</author>
    <author>tc={0AC0B287-452D-4D7D-8F06-5690C0A66120}</author>
    <author>tc={BB42F8E7-17A6-4EDC-ACED-75DD797803A3}</author>
    <author>tc={F3A1E825-3F78-4EC4-AC74-E269EE204A5E}</author>
    <author>tc={D4DA41A0-9756-46A1-A8EE-99AF4A4C4107}</author>
    <author>tc={902EA8F1-20F5-49A1-A9C5-B2ED1820DE64}</author>
    <author>tc={99C46D2E-CEED-471C-B274-A35463A81ED6}</author>
    <author>tc={27DF2588-58EE-491B-9D90-CA1ED38C1AC3}</author>
    <author>tc={6693E675-E2CB-4805-853D-A5DF302879B1}</author>
    <author>tc={041FAB15-44E4-4E89-9BB8-F1C78F212156}</author>
    <author>tc={6F90B259-5330-492B-9C0E-B57BE473C4DD}</author>
    <author>tc={6F367FC7-A694-48A8-9E15-EF3692C19009}</author>
    <author>tc={D8992398-294B-4C35-B33C-151F429C212B}</author>
    <author>tc={F60810FC-1E6B-448F-91F5-2A93EED25014}</author>
    <author>tc={EC7D4640-E903-4E51-9DC7-FAC1429F2988}</author>
    <author>tc={E1E4F2AC-A7B1-4856-ADA7-7196B736F89C}</author>
    <author>tc={4A873D36-38F7-4096-ADCA-6956D3625D4B}</author>
    <author>tc={23D75984-8A3C-4EA3-AD72-EE5D9E49A39B}</author>
    <author>tc={89BAC427-3019-4DA6-B582-50A67327CA8C}</author>
    <author>tc={743C87CE-BB50-4F29-B87D-89055BAF3BAC}</author>
    <author>tc={7EEB8DE2-F9A4-45E4-B551-30A1012CAA69}</author>
    <author>tc={3B59CE7E-E3EF-42AB-9DBE-C94C45B8F28B}</author>
    <author>tc={2210D30B-3279-4163-A020-BCC141D08C40}</author>
    <author>tc={CA1C5FBD-CCDB-4AE8-8CB8-8DC96C9E7049}</author>
    <author>tc={7596A6C7-8F0E-4B01-AB77-D3956254FCE3}</author>
    <author>tc={6313BB56-3BA6-42CE-929D-2ACA3666B00A}</author>
    <author>tc={3903E6BC-13E2-4EBF-B19D-8C04BD3F2B1F}</author>
    <author>tc={A3B165A7-7FC8-4C69-9726-2D8AC7A727F3}</author>
    <author>tc={6F12D15F-3360-4F28-9967-582C43FBA1AF}</author>
    <author>tc={8D3DED8D-A219-4903-823B-C360D0F646BB}</author>
    <author>tc={60085503-953D-46C7-AB5E-E5216D6BC028}</author>
    <author>tc={0551D8B0-1C2F-447F-BA61-A54EF900DAAB}</author>
    <author>tc={D6C294DB-9B31-4EF7-A05A-D3BBE83C59F0}</author>
    <author>tc={6DFED20F-3C0E-44BB-AD1F-92DE35400E17}</author>
    <author>tc={A2AE359F-A06E-49E6-9B86-2943EC8193C8}</author>
    <author>tc={6CEF72C9-EA5C-4846-BF8D-073C4444673A}</author>
    <author>tc={B6B925A9-3A12-4F82-9007-4D971458265B}</author>
    <author>tc={91CDA9E5-29D7-4A02-ADAA-B18A49A2715C}</author>
    <author>tc={9DCC1BDB-43E7-4586-805C-DBC29F1E8449}</author>
    <author>tc={55169048-F96B-4D47-8474-09C0C905D558}</author>
    <author>tc={962B8A22-6748-453F-A4E7-5D14BDF8A685}</author>
    <author>tc={A4BA6A22-B35F-4A78-9F5C-283EF8CFF563}</author>
    <author>tc={29BAC3A0-BB6E-493F-BE46-E1B7CD7F7158}</author>
    <author>tc={A893CB3B-5D71-4735-A548-351F4C6E34F2}</author>
    <author>tc={C94776B6-2157-48F0-9123-58273EA0004B}</author>
    <author>tc={AA9C2400-44FB-4ED9-8D99-EC92CD49290F}</author>
    <author>tc={82B1CFD5-A8F3-4158-BC5E-BA5635079421}</author>
    <author>tc={9100802B-9665-4B09-87BC-C1DA6531E150}</author>
    <author>tc={44961C2E-3D83-4CDE-8548-5BE1C74315C6}</author>
    <author>tc={B23F7DD1-AFB3-47A7-A3C5-9F3526C56130}</author>
    <author>tc={3F2B2DFC-1D87-4A5C-BE23-0FF06C3DDC76}</author>
    <author>tc={556A6E27-8EF6-4496-8EF8-B136E18D9295}</author>
    <author>tc={4618C570-7FE5-4ABF-B593-2D86C5DDB80A}</author>
    <author>tc={A8CD1CA5-BBEE-4542-B942-D28B039C2AD5}</author>
    <author>tc={E88B63DE-EBB8-4FED-84D3-43FED283461A}</author>
    <author>tc={ABC1646E-3F07-4A44-9705-C66626003A9F}</author>
    <author>tc={1849024A-59E2-47EC-A934-6BCBD224848D}</author>
    <author>tc={0D5EA32B-F2FE-4461-AEF9-C3034FA58EAA}</author>
    <author>tc={92076DCA-8C19-494E-B268-480C2E119BF1}</author>
    <author>tc={64F68569-A6FA-4DE8-A752-CAD86FD8A644}</author>
    <author>tc={A7A2C59A-9064-47D3-BDE0-76943F7A4763}</author>
    <author>tc={41E41A38-2044-4396-9E7E-8205ADDC0BEF}</author>
    <author>tc={3C4ED14B-34B6-4BDD-A9A9-34F83CDDA888}</author>
    <author>tc={6CB2815E-D138-46F2-9346-B41EFA00DBEB}</author>
    <author>tc={E091D5FD-5859-45E9-BF8E-FC89871D9E16}</author>
    <author>tc={E749C406-94C8-4A49-8A20-4A0417E2162F}</author>
    <author>tc={EFE0A5BF-F469-40D2-8717-11B0E03CDE77}</author>
    <author>tc={8F079594-CC5A-4906-8ABC-94EB8F5A2B60}</author>
    <author>tc={596BE934-396B-4619-864A-8FE7F730B0F0}</author>
    <author>tc={95096654-B988-443B-9CE6-FFB50945650E}</author>
    <author>tc={2B4FF363-474E-4CB5-ABA0-86609EDB9E29}</author>
    <author>tc={CAA6FB88-F79B-4CBC-92D5-AA1E09DC6EF1}</author>
    <author>tc={11B4D533-4B03-46A9-9D99-D57DFA921C87}</author>
    <author>tc={D91053CF-603A-475F-94EA-00A7B1C325B4}</author>
    <author>tc={3A952557-4EDD-4089-B1BC-CE39D1CC77BF}</author>
    <author>tc={2D8EE770-EE5A-4FF5-B5C8-16B402A0B02B}</author>
    <author>tc={3CA48A1F-7B92-458E-B8D1-803928B242D8}</author>
    <author>tc={E5C4491B-2342-4D77-8589-E75CB64BF544}</author>
    <author>tc={34BBE77E-33AF-4C46-9AB5-7E3F5ABB9FF5}</author>
    <author>tc={7A01C0B2-F52E-4DFE-9E6A-E5CB57E1ECD5}</author>
    <author>tc={52B7CA2F-188D-4807-A0A7-96B8E9A2E613}</author>
    <author>tc={7983D4D8-9957-4D8E-A7EF-E43BEB3B3E55}</author>
    <author>tc={9C4CD642-A4C6-4168-99EF-D137A7505087}</author>
    <author>tc={ED1EF2E0-A974-415E-865F-093E59758A4D}</author>
    <author>tc={D9F43E6D-ABC5-4FC6-999F-9626F954AAA5}</author>
    <author>tc={73698E4D-3631-4F0A-9D57-B08C6F4A7B67}</author>
    <author>tc={4E37636F-34F0-4B67-ABA2-E5A535DB4401}</author>
    <author>tc={285E3AEE-96DD-4158-8F62-72B1857A6D55}</author>
    <author>tc={A1BF0094-5F6E-4610-BCEF-E30E6030497F}</author>
    <author>tc={BA92EC98-5165-44AB-AE43-9357423A2323}</author>
    <author>tc={B17D2292-E284-4A78-B596-2B67F8BB9810}</author>
    <author>tc={50B7CA02-E491-4BED-BCA1-671A49F264C3}</author>
    <author>tc={C2B480BD-6034-49DB-9186-585EE7514A98}</author>
    <author>tc={1DAD0B23-FCD1-406C-AEF7-254F40C20B05}</author>
    <author>tc={335DFF45-F61D-4892-A746-98BCCB2BEBB6}</author>
    <author>tc={CC83C4DC-C906-4371-BEB2-44387688AC6F}</author>
    <author>tc={A1E91C76-7AAC-411A-9BD4-A84EB37EF544}</author>
    <author>tc={B6EDE74C-2DBA-45C0-B1FF-FA301B591BA7}</author>
    <author>tc={E6C1A454-CCE5-442C-AA90-C1288B48552B}</author>
    <author>tc={B000C5E3-942F-4D75-BA16-534E334F52B3}</author>
    <author>tc={786C815D-5D2C-435F-B0B0-05E5BC18E90B}</author>
    <author>tc={4147A98F-BB87-43F3-B40D-90D6A8CF0A06}</author>
    <author>tc={F93DD627-432A-43B5-8A0D-1CEB65230132}</author>
    <author>tc={A78D2C33-E5D4-4CE2-A8BA-F921B9459CA1}</author>
    <author>tc={9FB1B0D9-56A3-417C-B131-450F9D81FF44}</author>
    <author>tc={F66C45A8-B31B-4699-AFA5-9B22171A4EBC}</author>
    <author>tc={68C6A49C-ED06-4C71-9DED-21678BA6DEFD}</author>
    <author>tc={4B096392-0F37-4C0C-9BC4-186114405685}</author>
    <author>tc={056F332A-16CD-4A7D-B6BD-20B004FB2431}</author>
    <author>tc={A7403897-3C3E-4154-AD44-7AE08F75DEA4}</author>
    <author>tc={430AF534-9F63-4AD2-BB89-DD9CD195AA4E}</author>
    <author>tc={AB6455C4-17FA-49F2-A8F5-F68BA0728F4B}</author>
    <author>tc={EAC9CAC8-DB63-4A6B-935B-633F4963455F}</author>
    <author>tc={2A781D0F-1545-4E8F-B05A-F704FBE70AF4}</author>
    <author>tc={A41B5AA5-969D-40D0-877B-AADA6FD4ECFA}</author>
    <author>tc={B6BB02CE-0321-4F6C-928D-4AD787682AD6}</author>
    <author>tc={135C2474-C58C-4156-AB90-1207B102D00D}</author>
    <author>tc={39496E85-4E0C-491B-ABCF-4BC99F432115}</author>
    <author>tc={A44A9A6E-8157-4B94-A53F-F729EE17ABAE}</author>
    <author>tc={DDBAD852-7CB8-426A-B458-A17CDCCFB0BD}</author>
    <author>tc={A8CFAF6D-1243-43F5-8401-067591F79A11}</author>
    <author>tc={E5289EF9-2536-44F6-8491-B9F7787CB464}</author>
    <author>tc={E41DD1A4-C3AC-4E64-8581-CDE5B97E4ED6}</author>
    <author>tc={5AE3595C-298B-450D-AF3F-F75D3A48E3ED}</author>
    <author>tc={27FA4AE2-C4A4-47A0-AE84-4EE71F19E855}</author>
    <author>tc={9B22F1AC-6935-471D-BC95-6DB52A4EE1CA}</author>
    <author>tc={A6AA03A8-90C8-4348-8891-52D3E3CDE580}</author>
    <author>tc={35D48414-CACD-41E3-81D6-082EE4EC847A}</author>
    <author>tc={910C0763-2AA8-4E8A-BF52-7962150C5CC3}</author>
    <author>tc={7FD9F992-904B-44E6-BB53-0E4BE0A29876}</author>
    <author>tc={ABE6F771-1542-4210-97AA-240AF83824EC}</author>
    <author>tc={12C7FEF4-B1E3-4F88-AB50-5BDE5CA25B35}</author>
    <author>tc={F213B1EF-C2D2-4F54-93E1-48406B54DAD0}</author>
    <author>tc={FE77DAAB-0357-4D81-94C0-4CCB96089273}</author>
    <author>tc={BD6AC9AC-FBB1-4682-97AB-4C87A2532B41}</author>
    <author>tc={36248885-9A3A-4B7B-976E-CF7C60FDD387}</author>
    <author>tc={0B1955D2-584E-42AF-9873-85B3B6D11815}</author>
    <author>tc={94F054FD-ABD6-4A12-9865-4AFACD08885B}</author>
    <author>tc={49A523EB-64DD-470F-82CD-B82162935772}</author>
    <author>tc={22C827D0-8129-4696-9CC1-AAD26CC574E5}</author>
    <author>tc={6DB76A80-7643-43A0-8A1E-9BA0B4352E7D}</author>
    <author>tc={4A4DDB47-A989-443A-B0DF-27FF618087FF}</author>
    <author>tc={E1F71160-FE33-4600-90C2-43448DA94774}</author>
    <author>tc={6EB51223-09B7-4726-9195-B8698E7D2A7C}</author>
    <author>tc={190F54D3-154D-4865-9F6B-86A0F347E102}</author>
    <author>tc={DC21B7CB-BB74-47CA-B57C-335DB3863C59}</author>
    <author>tc={6031CFD4-A3B2-45D2-B2DC-C23F719D5753}</author>
    <author>tc={DE3F4BE7-FA14-430C-B935-B66E4DBCD5DE}</author>
    <author>tc={44622A25-972D-4EDD-80A5-3C7203A97046}</author>
    <author>tc={67F28724-FFEA-4F4A-83E1-EAE6CCFAEA89}</author>
    <author>tc={2B97B696-3D37-4B90-A193-96E9FC42845C}</author>
    <author>tc={4CA4072E-BB58-409B-BDA9-8B9FD41F5320}</author>
    <author>tc={7F8E20A3-149E-4896-9E5F-EAC2074F0FBA}</author>
    <author>tc={010BAD96-6B9F-4876-8043-840E95DF814B}</author>
    <author>tc={CC54B2F6-A7B1-4DDC-A494-7120D630773A}</author>
    <author>tc={55F7AE48-AAA9-4C58-8B46-211844D0A2A1}</author>
    <author>tc={F7A458D9-6BCE-46E9-BA98-EB2C50A603AD}</author>
    <author>tc={EA0F1A22-4EAC-4FC8-AB41-C3EB87CBFBAD}</author>
    <author>tc={567867A3-F88F-45D2-8F26-6DB8DF706778}</author>
    <author>tc={9B944A17-D379-49D5-A3AD-52C36CD3D92A}</author>
    <author>tc={2894F2D0-7EF5-48FA-90E6-5627E3C2ED43}</author>
    <author>tc={10E9F77F-CCDE-4EBD-94B7-B7E756F91480}</author>
    <author>tc={9D40B6D9-D59C-4918-A5B6-8A5A2B3D7D7F}</author>
    <author>tc={FA5D0AEF-F0E0-4319-BD68-111AF05F19E2}</author>
    <author>tc={7B994293-2E65-4A17-8E88-903DF9C43760}</author>
    <author>tc={E7BC8CE5-EAC6-4A3A-90A0-9774853171C1}</author>
    <author>tc={7F90B996-C320-43A5-8A7F-E543CF352950}</author>
    <author>tc={42CC47EC-550F-4446-9734-FF885F975A1F}</author>
    <author>tc={E7349FB4-C15D-4857-9E94-013B918A2605}</author>
    <author>tc={711BC88B-9E76-4D39-B691-EAAB238946DC}</author>
    <author>tc={C3807482-304D-48A1-B8F1-46C82DEBC303}</author>
    <author>tc={18EB2D62-D22E-4D43-937E-EF33E0DA920E}</author>
    <author>tc={C0B4650D-CE23-40DD-A4AD-FA458D582E68}</author>
    <author>tc={6C9B537D-D654-4ACB-9BCC-6CFF54A87FD3}</author>
    <author>tc={DFDFC593-4770-4FD8-A3C9-CD6062E76F8D}</author>
    <author>tc={42A92063-6607-4484-A9F6-BF8AE513A817}</author>
    <author>tc={E471EEF9-F729-4625-AAEE-04E60EE2F8C5}</author>
    <author>tc={989FE166-F0CB-423B-BF08-8BFC8BBE7678}</author>
    <author>tc={4F5F9436-753A-44C4-A337-8F965B3D5732}</author>
    <author>tc={0636CDB5-F62A-49EC-B890-029EB4CFEAA4}</author>
    <author>tc={8555CEFE-985B-44B5-B602-850E529AF759}</author>
    <author>tc={505F59F7-7BF4-4781-923E-9C70FB8E5A74}</author>
    <author>tc={FBB9F597-61EC-4F4A-8A52-0E355CD8978C}</author>
    <author>tc={DFB33D53-3180-4E51-9775-9C98840262A9}</author>
    <author>tc={C35B22E5-5D61-487A-BCBB-CAF6045BA0EB}</author>
    <author>tc={A0345D4E-926A-498B-B611-DDB3F8F7F419}</author>
    <author>tc={AA761B4C-FE86-4B26-B55D-F529F76BCE39}</author>
    <author>tc={868FB969-E31D-43EB-AE88-737F59DB4743}</author>
    <author>tc={22A62B61-E651-4DB4-8C9E-7BA69D98B51C}</author>
    <author>tc={B7C110C3-9F4E-4AA5-BB33-91B1B5952EED}</author>
    <author>tc={2CEE2724-87F9-4150-A886-8057AFA12BA8}</author>
    <author>tc={0F0018E8-A865-4C7A-90FF-FC2D02BAD342}</author>
    <author>tc={4A585AA7-A5BC-4B7F-BCD4-F37DA5290A49}</author>
    <author>tc={65CEB44A-0715-4E36-9D11-8C8F1BA3E4E7}</author>
    <author>tc={7CAD85BC-83B2-498F-B239-CF21A6A39EAE}</author>
    <author>tc={A59BD844-E3DE-4C7F-B335-48F487CBD7BA}</author>
    <author>tc={5133082F-F16B-490B-BCF3-495FA57FDDD8}</author>
    <author>tc={F218E3FB-6138-4BC7-AFBE-E640BDB829B5}</author>
    <author>tc={71FA86C8-0C25-4591-961A-819B3DCF0F0E}</author>
    <author>tc={C9B7B64A-CFB6-40AD-A0DD-0445DBDEBAAE}</author>
    <author>tc={17A8D90E-7D2C-4181-A69C-357A207515F2}</author>
    <author>tc={CBE40A64-61B3-43AA-96B7-356A1378CF12}</author>
    <author>tc={E3B4EFBC-39DA-4B9C-A2EE-BCC2F9DB85CF}</author>
    <author>tc={D6F4D2EB-B6ED-4D17-A6E0-98AFBC8ED589}</author>
    <author>tc={F3A70356-79B6-42FA-BCFD-45197A7528D8}</author>
    <author>tc={BB29BEF1-31AB-4ECC-BC6F-CD249A794FB0}</author>
    <author>tc={3C9BDDB6-3B65-429A-8EC4-AA411D240F61}</author>
    <author>tc={61DBCD86-641D-4E44-80C3-9928F29EE0D1}</author>
    <author>tc={1F6D7A4B-E473-4FC7-B926-8CD7CD16B896}</author>
    <author>tc={C5C97FBE-925E-4077-A460-1D7EA49C6AE6}</author>
    <author>tc={3368C7CB-9A2A-4438-9DEC-D65DFEC072C6}</author>
    <author>tc={58702381-B691-4867-9A35-D7578844A620}</author>
    <author>tc={F6079674-9364-411D-BFE7-B6E3B9866255}</author>
    <author>tc={CE8FD150-074E-4BF1-9E88-9C5A5EEE6107}</author>
    <author>tc={DF5A4B61-C963-43DD-AD65-3321A580C633}</author>
    <author>tc={3CD27F6E-1A94-4C3D-B0AE-05E19ED5E623}</author>
    <author>tc={923F3E8C-F202-4AF1-A140-9B2E295DCBA2}</author>
    <author>tc={B9E3A56C-C9C6-4DA7-B39F-F7A36CE43C74}</author>
    <author>tc={C86A710F-EC06-4CE8-92BE-EED516F9A02F}</author>
    <author>tc={0257A37C-A916-49F8-9983-936641E23C12}</author>
    <author>tc={11C9539A-4C1A-413A-9876-80B199DE8331}</author>
    <author>tc={9E986D02-9D6B-4B50-A9AE-F72ECB36B91A}</author>
    <author>tc={11909258-04C5-4513-B5BD-3D47E57F3871}</author>
    <author>tc={D1DFED61-0C49-4E1D-A142-A103DAC2F804}</author>
    <author>tc={4F822932-B095-4F4F-A73C-F6F6F77CA6AB}</author>
    <author>tc={691FD3E5-FE45-41D3-BD77-9DF043CEF49C}</author>
    <author>tc={234E1A91-A7CF-4D7C-BA17-C8D8BF83FA7A}</author>
    <author>tc={54E79E39-41D5-4788-8A8A-976C5CB840B3}</author>
    <author>tc={129EF0D8-26B0-4AEA-ACCD-A269F482353F}</author>
    <author>tc={057B7BE8-9F77-4507-A965-6935071E5315}</author>
    <author>tc={42AA905B-309B-4707-82AD-FBB75A05E7CE}</author>
    <author>tc={65EC3D51-2F39-4479-8DC5-3E30F0120AF2}</author>
    <author>tc={BB473BCA-A3E4-43D5-A821-5A47ACBE1CEE}</author>
    <author>tc={1770E2A7-B5AA-41E6-AD08-502A3ACB62BD}</author>
    <author>tc={027311DB-73C8-45D5-92C4-8FB19E48A0AC}</author>
    <author>tc={AED0448C-BF9B-43D7-BC24-C2C5E4E77734}</author>
    <author>tc={6A37A654-8C12-439E-92EC-86F5F66BA89E}</author>
    <author>tc={0C51C226-9EDA-4588-9C85-0C670784B7D9}</author>
    <author>tc={29A5D592-6F09-445A-B87D-8D607516732D}</author>
    <author>tc={A8B31F09-0593-493D-B164-63BA7FCA334A}</author>
    <author>tc={C5CCDE92-E7B4-4305-8168-5EC1392159E2}</author>
    <author>tc={9F45CF2A-8246-41BF-B50F-E095E19DE79B}</author>
    <author>tc={B0BD99ED-A3C6-4087-9E0D-2F02B7B93593}</author>
    <author>tc={68393B3A-A6F5-4FC7-B71D-230119FA784C}</author>
    <author>tc={D6722568-BB79-4DFB-8022-161D9D69B5E0}</author>
    <author>tc={BD95149F-1F53-4CA7-8E37-D973F6B5F236}</author>
    <author>tc={BE29CB1B-4416-46C0-AAC3-11B57EEDBE36}</author>
    <author>tc={A1D1D80C-7608-40D5-A42C-F597465B1656}</author>
    <author>tc={87DEF89A-4E79-4254-9C08-5F32F45F78D5}</author>
    <author>tc={E926FC4E-B6C2-4F34-A9BE-1E8C2C7DF369}</author>
    <author>tc={BB066540-E72E-4CAB-B222-5672FC7A6D3F}</author>
    <author>tc={42823856-5FF8-4C94-A889-E1BFCC9CBD02}</author>
    <author>tc={AAEF8A8E-8C67-4E7D-A195-C8AEB95943F2}</author>
    <author>tc={7F3AAC35-561D-4F83-926E-A9259584B370}</author>
    <author>tc={B99B68E1-F6B8-40E0-A14B-69EC41277167}</author>
    <author>tc={7EED2392-EAF6-4CDF-B48A-888CFFB56A1B}</author>
    <author>tc={1EA47DF3-9430-465D-901C-679744F1559A}</author>
    <author>tc={0739E75B-C051-45C3-8DE6-CCAC97A54192}</author>
    <author>tc={8B86A5FC-1DDA-4129-B364-A961B214C539}</author>
    <author>tc={715C28C7-2018-4AB3-B506-2BD5815140BE}</author>
    <author>tc={3B653C2D-F328-4DDA-BD92-581D047FE852}</author>
    <author>tc={AF8E74F6-73DB-4C96-8F97-0EA309D6B161}</author>
    <author>tc={30F170A7-8096-401A-8131-F91C6E660925}</author>
    <author>tc={567F6199-23F4-48C5-BE9C-C45358CD8C8C}</author>
    <author>tc={6FC7AA39-DB88-4992-8610-D5BB45A59595}</author>
    <author>tc={5FA2191F-BF3A-4376-96E1-2995058E5016}</author>
    <author>tc={9F8F2F32-E0CF-4AFF-9711-4DFD2C2B6A50}</author>
    <author>tc={942F5EC9-77BC-48C1-8387-0619A47FAB42}</author>
    <author>tc={35871FFA-AF21-407D-AAA5-AF524949E3D9}</author>
    <author>tc={CC606D08-9161-43FF-9A27-0602AA9218A3}</author>
    <author>tc={C1B18ADE-BC3D-44BD-B72D-88C9B5C1DE8B}</author>
    <author>tc={564BB934-4EC8-474E-83B7-D6AA5A09C89A}</author>
    <author>tc={ABB8EC05-EDB5-40EB-85DE-B20385616F3F}</author>
    <author>tc={88BC1C20-BEB7-4699-8B50-22A6FBB32E50}</author>
    <author>tc={ABCDC761-8F0F-478B-BD59-8DD21E7A31E3}</author>
    <author>tc={5857BD4F-E68C-4EAA-8D44-1966D5D53FBC}</author>
    <author>tc={7B3D6223-C3D9-48B8-80B4-F246BBA032AB}</author>
    <author>tc={3BCEB0FB-4B98-49AA-B7FE-93E52CB4399E}</author>
    <author>tc={0BFE771F-8696-4F5D-BDDC-CB898B8E1F0F}</author>
    <author>tc={5F9A5089-A995-4DC2-BC55-5F39BC78F2E6}</author>
    <author>tc={A7FBC83E-061E-4773-B555-31C3BB3F9BCC}</author>
    <author>tc={59CC910E-2B12-4E5F-80A6-00869F132241}</author>
    <author>tc={EEB8122A-829B-4455-B057-B3C79E683038}</author>
    <author>tc={45564437-3EEA-4431-8FC3-884BF3A75C56}</author>
    <author>tc={DD1082A8-38C9-4E51-8D9A-5C3DD360CD7B}</author>
    <author>tc={5B2089A7-853C-4829-8B78-E364134F740D}</author>
    <author>tc={533F90A3-3504-47B8-8F67-37311FE1AE78}</author>
    <author>tc={F65DB190-CE53-4A91-8DE4-DAA4D6A387A8}</author>
    <author>tc={90319CC2-F890-4D43-904C-42990CDE3CC5}</author>
    <author>tc={892E5C96-572E-4968-85B3-BF0DB1F4D0A3}</author>
    <author>tc={3C2EC5EA-7575-49DD-82CF-C825AC87B318}</author>
    <author>tc={D0F63F20-01A3-4983-A501-0246999E1F5C}</author>
    <author>tc={A8F749E1-0D30-4B07-9B40-0C2EAFA97C83}</author>
    <author>tc={EA104E78-6CD8-4FB0-81F7-F363247E7780}</author>
    <author>tc={534F553A-0843-4215-88EF-D51878EE9ADB}</author>
    <author>tc={068AAB0F-AD27-4612-BA16-9DC501837E1A}</author>
    <author>tc={FEC333F4-A32A-4D4A-ACE8-5807CE2C316D}</author>
    <author>tc={5038BDBC-1293-4EB6-BD6D-B16D32CA926A}</author>
    <author>tc={AFE291C1-9929-4F6E-B1F5-BF8E251E5F4D}</author>
    <author>tc={32144F92-7CA3-4E3E-88F2-9963B0030009}</author>
    <author>tc={07460396-4682-4AD1-8941-C094940A1281}</author>
    <author>tc={5A2BB269-71B8-4D1A-81C2-218667578A54}</author>
    <author>tc={1CC5F067-664A-4756-B362-0B72098C4EAF}</author>
    <author>tc={D3519F78-785C-4CBF-A28A-DB357FA576D2}</author>
    <author>tc={E0545591-AC64-4A86-9E80-98DF5B63B4A6}</author>
    <author>tc={F868EE03-3860-4C89-80CF-D65F66B4D843}</author>
    <author>tc={FA6CCD81-E6A5-417D-94E9-17F9DFBF83F6}</author>
    <author>tc={A9124E1B-925B-4158-9776-B246899927E0}</author>
    <author>tc={ECFB08A5-60BC-42A3-A807-E99EF1738739}</author>
    <author>tc={2723C3FA-0D2D-4F50-8D2A-437A497D7EB7}</author>
    <author>tc={6935ACDC-0C21-426A-8DBA-9FFF66173420}</author>
    <author>tc={23A7212A-EDF3-491C-A243-70252EBEF567}</author>
    <author>tc={9D5CBC30-2957-4678-91C2-4DE9861B19C5}</author>
    <author>tc={83E649B2-C81D-4B93-88C4-ECA8147AAE6A}</author>
    <author>tc={20F4B43E-D351-4DE0-91A7-40D63F250BF6}</author>
    <author>tc={B8675434-5B63-4F61-9FCD-209D741BC3E6}</author>
    <author>tc={85363CCC-1AF0-45CB-B965-798D385A0CF0}</author>
    <author>tc={7FD0AE40-0633-435F-932B-0B9C15A0C260}</author>
    <author>tc={C022ED0C-0266-4DF6-A6C3-88000D4126B6}</author>
    <author>tc={E75B4531-6C35-42FF-8602-CF0E6F3EA862}</author>
    <author>tc={43375050-0906-4F6B-9660-61971B5D2B9F}</author>
    <author>tc={174FD9AA-3DA6-4E0A-A9A2-26835C87595E}</author>
    <author>tc={9A8E29D8-59DF-41FE-8E46-D0856523DF67}</author>
    <author>tc={73AE3BF7-B4A6-4FF8-87AB-AC000B7D47D8}</author>
    <author>tc={66522F8F-48FE-4316-AFD5-DB6597DD6C02}</author>
    <author>tc={CA87E1F5-738A-4A34-BE2E-5755291C59C1}</author>
    <author>tc={3D85DD4D-14C1-4AB4-A7BD-756FF6C8CC64}</author>
    <author>tc={DFA2C535-4119-4D84-8935-C27E2697A115}</author>
    <author>tc={1A0795BC-A081-48FB-A213-74AF107E6BB1}</author>
    <author>tc={EC2F284F-8B73-4EC7-8203-807854C30305}</author>
    <author>tc={F53EB438-311F-40F6-83C4-4678E437A4BE}</author>
    <author>tc={F3154989-A3CB-46ED-83F7-47813EBE8E93}</author>
    <author>tc={8558FC23-6721-4D2C-8CA3-37C1ABE20FCB}</author>
    <author>tc={646E461B-6666-464B-9958-DBC394F33B93}</author>
    <author>tc={9ABBF391-0FD3-432A-A66D-3AD30310469B}</author>
    <author>tc={B993039C-A312-456D-94FF-FB6202FD1F10}</author>
    <author>tc={C2AC839F-9470-4AE3-81F5-E2237681D4F4}</author>
    <author>tc={5EABFC21-ECF3-4B33-93B3-D30561FD1360}</author>
    <author>tc={2A89633B-ACB0-428D-8EC7-4E8CFB7B3FFD}</author>
    <author>tc={DE7C3A5A-BBFC-43E9-88CD-CB4174E1177E}</author>
    <author>tc={7C452EB9-48FC-4101-BDAB-27AC6029544D}</author>
    <author>tc={C8DDFD1D-5CB3-4B2B-91A3-4A3113B53BE4}</author>
    <author>tc={DB4619D2-0154-439F-93CC-31EDFAD42274}</author>
    <author>tc={9AB0638E-F6F4-43F8-9EC2-D29899EB1205}</author>
    <author>tc={EBCBAEA3-3534-4F5E-9D05-C96100666D1E}</author>
    <author>tc={1EC3AB5D-C207-440E-8207-C456DED80FF7}</author>
    <author>tc={7AC702D5-405F-4C4A-99E4-EC3338BA5839}</author>
    <author>tc={CC411A9E-F04A-46FD-8EEC-1EEA9A2B2B59}</author>
    <author>tc={5ACAEF9A-FFCF-4D81-B039-DA49B671CBBF}</author>
    <author>tc={F857EA0B-2B40-4252-AC03-1077CBC8A525}</author>
    <author>tc={9F73AF35-C47E-42A1-934C-F0EC46C1AA68}</author>
    <author>tc={8C5E079F-5EDD-4793-A4C2-E0FC0E14A503}</author>
    <author>tc={FD514486-DD8A-4661-94BF-5F04ED4505EB}</author>
    <author>tc={F72EC20A-2D83-4E2E-B075-C69719E93481}</author>
    <author>tc={8B6F36B8-7FC8-4F75-8C5D-B3C011AAF2B7}</author>
    <author>tc={8FDA4706-A78D-4ECF-A414-703D17AB5E69}</author>
    <author>tc={D4AB0BBD-D526-4635-BD68-42BC44D79525}</author>
    <author>tc={88D40EB0-5C65-4360-8C2E-163AE1E28947}</author>
    <author>tc={49D550A4-9CF1-438C-98C9-3F4D9563AA0C}</author>
    <author>tc={5991FEA8-70A8-4BB6-AFBD-BAC1549B6C61}</author>
    <author>tc={34C4FBA9-0926-4DD9-BBA4-6DED8A7EE12C}</author>
    <author>tc={EED968C3-8C28-4A0A-959B-AF9260CF2F1A}</author>
    <author>tc={720E8BF8-5C2C-411C-B3AD-64193631BD01}</author>
    <author>tc={C8CF4D1C-F720-4F28-B851-3D2056CA7A84}</author>
    <author>tc={3510F1E4-0434-4B33-9A95-BB5128CE7B32}</author>
    <author>tc={0D9077D0-0ABC-4D17-A1A9-0E6AFDDCD3ED}</author>
    <author>tc={95F32181-4CF7-407C-ACDB-2B7958F0C01B}</author>
    <author>tc={2D2D64F6-C21A-4AC2-AF8A-77D628FB58F3}</author>
    <author>tc={8D5EAF15-B610-4925-AFC6-C1F3EFE41612}</author>
    <author>tc={9F9B541D-F1AE-4D6E-8669-5F81F112F865}</author>
    <author>tc={B128BA48-3BB1-4038-A9CC-CC8B26CD6A1F}</author>
    <author>tc={FCD8AC17-F42B-49EB-9683-C86803314B91}</author>
    <author>tc={2CCFD572-CB38-4144-B58C-6A16510BF0BC}</author>
    <author>tc={B5DE34D1-B3FD-4213-9BD5-1EE764CF0322}</author>
    <author>tc={E7A0A277-9C22-4D97-8A45-A00E85B7D962}</author>
    <author>tc={05F0483A-4F9E-44E3-863B-F349560DDE50}</author>
    <author>tc={6E3332E1-A2B2-4727-914F-D6FEB88A65B8}</author>
    <author>tc={35CCFE31-6237-4A05-9ADD-D174C91F54A3}</author>
    <author>tc={52A64052-B31A-4FA6-B0B6-6A008D3D8136}</author>
    <author>tc={E0DE6C5C-D48C-435F-91DC-5B25C4E1BE79}</author>
    <author>tc={B9544222-EA3A-45C9-ADD0-B46099F904CA}</author>
    <author>tc={F218A17E-230F-4B5F-8C6B-36CBD7D0BBD0}</author>
    <author>tc={661FCB8A-657B-4B2F-B248-1FE942595CDA}</author>
    <author>tc={6E8DE7D7-0556-4E57-9E33-58375B8CE12C}</author>
    <author>tc={AE0D57F3-ADF4-4614-81BF-D485CB9FC310}</author>
    <author>tc={B00BAB9A-42BE-4A8C-B37F-5581A14B04D7}</author>
    <author>tc={4B8F25D3-3D41-448A-83B6-6FCBB18D9A03}</author>
    <author>tc={3790896D-88A7-42BA-B52B-0810E964468F}</author>
    <author>tc={F294D568-E07D-4173-9B9A-0832D23B0FB7}</author>
    <author>tc={AE4E72DD-7059-4A00-B69C-B67ACA31985A}</author>
    <author>tc={A6829656-34EA-4E68-9174-14076412FEFF}</author>
    <author>tc={80E3546E-DAF5-4418-91F5-5B2FF1B45509}</author>
    <author>tc={69688362-1C88-4C72-BCC3-AA80BDE07430}</author>
    <author>tc={4D02456A-4632-4169-92B4-A6F7E8FDE4FD}</author>
    <author>tc={778501FA-58CB-4063-9719-643F4E85B21A}</author>
    <author>tc={1851C9A4-D626-4CDB-8214-2BEB153469B0}</author>
    <author>tc={09557747-7DE3-40B1-B2E0-C3CF4FDD271E}</author>
    <author>tc={E8FA13DE-8634-4140-B37D-BDEB07DF70B2}</author>
    <author>tc={61AFD450-8E01-4C22-80A5-97D68E0403AE}</author>
    <author>tc={DA68B5AA-A40F-4A6D-B23C-910DB2C8CB4D}</author>
    <author>tc={8C7684DD-0E0E-4DD9-978F-93239E0CA073}</author>
    <author>tc={2697ADF7-521D-40E4-A117-ADA2940897D3}</author>
    <author>tc={EAE56747-38ED-478E-BC62-DFAE940ACE9A}</author>
    <author>tc={4CA85A92-5E79-4CEA-ABE1-DB583D88AF13}</author>
    <author>tc={99E8C042-71B2-455F-B522-3D042FD38A70}</author>
    <author>tc={D77DF53A-568C-4A90-B27C-22650AB24A46}</author>
    <author>tc={AA36E9BA-D457-4B4E-BE6E-98178DEDE14F}</author>
    <author>tc={3E348A7E-ACEF-4A6D-8DE1-CAE4157A070B}</author>
    <author>tc={9D7694F8-3433-4374-954D-E946193A77B8}</author>
    <author>tc={27BBF888-0CBC-4FDF-9CF0-8366C6C0761D}</author>
    <author>tc={0727E67E-B519-4B99-89C9-BFFC6A479B6F}</author>
    <author>tc={296830CF-FC7C-4325-93C5-6E5B294852C2}</author>
    <author>tc={171A70E3-C7D6-4973-AE1B-36CD9166BE8C}</author>
    <author>tc={655F46F7-7D11-4389-8DB7-539378BAB5FB}</author>
    <author>tc={E818DDAE-9469-4495-A2D4-C6EACB9A1522}</author>
    <author>tc={315B906F-7C8D-4DAB-B391-BE6332B122A7}</author>
    <author>tc={FD2DFD61-C5D3-45B2-9860-464EE3D34411}</author>
    <author>tc={71DB94E2-5B3B-4638-A5EC-98E28E9475FA}</author>
    <author>tc={392ECBF8-B87F-449D-96FC-5A1B82A59C6B}</author>
    <author>tc={F50FF12D-84C2-407F-9936-A7F3F348BB06}</author>
    <author>tc={3774804C-A7FD-4E18-AB83-E048391F9DA7}</author>
    <author>tc={43B077DD-94E0-475F-923F-E5BA6EC133F7}</author>
    <author>tc={C72678B7-A3E4-4FCB-92A0-278504B7DECE}</author>
    <author>tc={D356C849-FD47-456F-B371-9303D23C3719}</author>
    <author>tc={8594329A-CA42-4B96-8EF1-DD277217A667}</author>
    <author>tc={16FA8E88-DF65-4024-A985-7BD74105160F}</author>
    <author>tc={74492215-B33B-4399-8DC6-97A193B9DCA3}</author>
    <author>tc={64E27B4A-741E-4FEF-A0EE-D89BA82B4BF4}</author>
    <author>tc={EFA575E2-C43C-4B69-BFC2-AF5C2F6691CA}</author>
    <author>tc={F3FDAADD-77E5-4170-B06F-EBB6981F3B1D}</author>
    <author>tc={AE963827-B0AA-4BC7-9550-110020FDBC76}</author>
    <author>tc={06DE87CF-9A40-4364-AAEC-88F58FD7689A}</author>
    <author>tc={490E1C55-8AEC-4496-B5CE-A13988CC3947}</author>
    <author>tc={F86929AE-B6DB-4AF7-B206-14EC8E37ADCE}</author>
    <author>tc={34ABB60F-62BF-4E37-A735-9E1ECD607DBE}</author>
    <author>tc={4221BF27-10A4-41F9-A167-68372A4521DF}</author>
    <author>tc={3A5AAF2A-180E-496E-A4C0-893B106DB563}</author>
    <author>tc={B2E8397C-EDE1-4684-BC48-1DC70C64DE40}</author>
    <author>tc={4A2D5D49-C97C-4B96-987A-15A0B750B318}</author>
    <author>tc={35851337-EAE2-430F-87A1-CA6C3E2F85E3}</author>
    <author>tc={542FD217-B259-4AF6-BD26-E2B84243EE92}</author>
    <author>tc={5FF66D8F-B57A-47C1-8160-E6B258BD4C77}</author>
    <author>tc={78F4D019-4692-4C06-82C1-ACCBFAE1025E}</author>
    <author>tc={87943DE7-1230-437F-82EC-3FEFD106DDEB}</author>
    <author>tc={4857FAA0-3327-4716-A080-5AC8480A798D}</author>
    <author>tc={CB858678-D053-4B09-B3E3-7997D58C30A1}</author>
    <author>tc={440E659E-E2C9-4601-9A89-B26DE205FFF2}</author>
    <author>tc={E7D4E69E-FD43-46BD-AFD2-F569421BC03A}</author>
    <author>tc={0DFC647E-6D22-4AEE-982A-C74D13974280}</author>
    <author>tc={BC2567F3-C972-40A2-940F-1DC0DB3BDC2D}</author>
    <author>tc={094243BB-1681-43DB-81C1-4BB9137170A5}</author>
    <author>tc={B7B491AC-B495-44E1-893D-743FFC301E63}</author>
    <author>tc={24710DE6-B89F-4639-A5D3-D3F176FB3366}</author>
    <author>tc={3C6014CE-CFA3-4FE2-A31D-C5F2921832AC}</author>
    <author>tc={8725E037-36DC-40FF-AD4F-99D9CE8049E2}</author>
    <author>tc={4BF5618B-ABD9-4DDF-B30F-038A73B953DD}</author>
    <author>tc={0DAD1B9D-6401-465F-98DC-BC7822B80EED}</author>
    <author>tc={1CBBFE91-BE3F-44DE-8757-AA995252E940}</author>
    <author>tc={4145F1F6-789A-4829-9B26-2A8CE976DBFA}</author>
    <author>tc={E4AE0704-7206-4A4B-94AA-1C72378966C1}</author>
    <author>tc={6881FB55-30A6-4978-B50F-E903BEF7E713}</author>
    <author>tc={9BA7F632-14D5-4EA6-8DA6-5C4016459F53}</author>
    <author>tc={C62951F9-73B0-4B7A-AF78-5E01B57F3735}</author>
    <author>tc={E335EF78-0698-48D7-B2DD-E42C4ABC3F1A}</author>
    <author>tc={3B7A3C19-E334-4B4F-AA38-FBE7E1858D10}</author>
    <author>tc={2F49B2C8-FEE9-441E-B232-7315A1C3965A}</author>
    <author>tc={CBE5E6FB-F13D-43DA-9A25-F90322A8A659}</author>
    <author>tc={F9F6CDF3-BCD1-4B45-88A1-B59276FCAE0F}</author>
    <author>tc={2C10E89A-BAEF-4F5F-AFF9-E8C2FCEA3A98}</author>
    <author>tc={8AEC85B3-45BC-4337-95A2-EB65FDCFA378}</author>
    <author>tc={4A312563-9C90-46A4-AEA9-69C1C97A17E3}</author>
    <author>tc={C2FA71BD-AF7D-4C5A-A729-2464AF9ECE78}</author>
    <author>tc={FB532608-91F9-460D-A696-166108D2A466}</author>
    <author>tc={3CFCA9A0-89B1-40D8-80FA-C69437D72D34}</author>
    <author>tc={5F85B6EF-67D7-42CF-89AE-3DF64EB7C1A8}</author>
    <author>tc={7F317F48-FC7D-43BC-BCB8-A979941D9AA4}</author>
    <author>tc={D26B65C0-2AD9-4450-BC20-380153A6C08A}</author>
    <author>tc={0D942875-0A1F-433A-B205-C784A551C851}</author>
    <author>tc={A693AE60-6187-4C37-AF91-6A7594048FB5}</author>
    <author>tc={DE9FD754-E116-405F-B4B9-675865BEC201}</author>
    <author>tc={A2FD90F4-F96F-4526-B106-6F64F22CB656}</author>
    <author>tc={B9ACB7D3-3A55-4304-859E-DE55881F0F32}</author>
    <author>tc={50177E3B-5CAC-4FA1-AB75-069A9028325A}</author>
    <author>tc={535A3D92-18AC-4037-A11E-8E5DE1F67538}</author>
    <author>tc={FFF1F034-F688-4F5C-83B2-19B2A35A3331}</author>
    <author>tc={27DEE315-0B00-4AF7-85C4-AE656D9EFE03}</author>
    <author>tc={CBB9DB85-C484-487E-8D50-CA4731D4871F}</author>
    <author>tc={2380B0D1-A2B7-44B1-A79F-FA72BD177CFF}</author>
    <author>tc={F0E998B1-FCD8-45E1-ADD5-12FEDDAE9791}</author>
    <author>tc={BECFC749-0188-40C1-A89C-DE985012E1C1}</author>
    <author>tc={00AF5D83-E4A3-4942-B0D1-AA72A2E61C02}</author>
    <author>tc={E1023A78-3ED4-41C0-B166-764FAB136616}</author>
    <author>tc={2A837623-31A6-4BE5-B049-6B1E9D5017C8}</author>
    <author>tc={01087729-90B1-4FB0-A373-C55CFC9954D1}</author>
    <author>tc={CA6EE77D-A187-482F-9400-8BC337ED6D5F}</author>
    <author>tc={56E74C0F-1232-4FCD-BC30-29AC927DE593}</author>
    <author>tc={90A79C4F-F0FF-4540-B0A4-BC4290B9E03A}</author>
    <author>tc={C475BC85-4165-4B11-AE6C-5FC69BDF4846}</author>
    <author>tc={BE109C29-5027-4017-829C-89412C130C3F}</author>
    <author>tc={020D61DD-54C1-4ACB-83CE-280C314F5ECD}</author>
    <author>tc={D4276691-BE92-4BBE-A40F-0EFE16C5D27A}</author>
    <author>tc={5BD97F82-C408-4CDA-A2BD-D5C7C21E3E81}</author>
    <author>tc={369A0C8B-2FB2-44AA-A353-0F6F5013C98F}</author>
    <author>tc={0CD57B38-91AB-4C09-933F-5DCCE789368B}</author>
    <author>tc={AEEFD4F7-4514-4F08-989D-568FE2335F8F}</author>
    <author>tc={E8B463C8-4C43-4B24-B515-2F8F3CC0F4EA}</author>
    <author>tc={C9EFE55E-9807-4332-A274-800D6FC0A15B}</author>
    <author>tc={D444D3FB-59BC-4680-BBEC-5D3C7599C868}</author>
    <author>tc={7244A66D-5596-49E5-B467-06695359961A}</author>
    <author>tc={70FE9277-7938-4AB1-AB25-E30EE26ED61F}</author>
    <author>tc={5C55EA5A-C78E-41E8-B65C-1491098E9086}</author>
    <author>tc={8F8E4E48-B658-44E5-A115-4BB9F152D7B8}</author>
    <author>tc={FFB63BC7-0640-46D8-A867-A84A378225F8}</author>
    <author>tc={01B297EB-92BC-413E-AF1F-5B1B2BA71225}</author>
    <author>tc={44590E03-05DC-4F65-9830-B2D9DB7E4038}</author>
    <author>tc={1CE4BEBA-D096-422B-BA47-0B973F0F21BB}</author>
    <author>tc={EEA02A4F-B580-4275-95B0-DDFDED32E5E7}</author>
    <author>tc={9F2A55A8-2334-4207-9BEA-35173BB277DE}</author>
    <author>tc={280BFE0D-5F84-4DB6-A843-964629620B1D}</author>
    <author>tc={3D1DBC44-319B-4196-ACF9-6D132C444AD1}</author>
    <author>tc={C2890A34-F158-4379-8584-3F77C7549907}</author>
    <author>tc={7B0ACCC0-DFE1-435B-92F7-BA454B1E208B}</author>
    <author>tc={E4B2BE91-4892-4A89-BBC7-93C295C12B06}</author>
    <author>tc={0DA09000-F06E-4AD6-8733-AF0D9F5433EF}</author>
    <author>tc={A6C61A1D-D756-4761-A317-DE3BB02EFD35}</author>
    <author>tc={A28637C0-2B14-4D70-9031-D6192D677EE4}</author>
    <author>tc={40D6BC37-98F7-4D9C-843C-B6C597206E95}</author>
    <author>tc={39AADDD0-B446-476C-964E-8A2E2988EF43}</author>
    <author>tc={6CC93C3F-768A-4D94-8678-FE8D3B250E53}</author>
    <author>tc={1DB998C6-9AA1-49C5-A73C-AC9727772911}</author>
    <author>tc={245B4AF1-BEA0-41F9-B3AD-2D0EA5A96C37}</author>
    <author>tc={D64E2ADC-05CC-49A1-A92C-087FF445DDD8}</author>
    <author>tc={D51D4040-02B6-4FC5-8FA9-20ADC8E88572}</author>
    <author>tc={5B91335F-74BB-42B0-90CB-75629BFD528F}</author>
    <author>tc={C52F0155-B6AF-4B72-B18B-1EDBD702360E}</author>
    <author>tc={1A7EFE99-C7A5-4184-B3B5-7889B4A5FE4D}</author>
    <author>tc={0BF422FA-591A-4F03-8661-F908B3796C6E}</author>
    <author>tc={F0867D88-E768-4683-8243-A856E5034C5A}</author>
    <author>tc={1BDDC849-B1D3-4EE8-A4F6-3D1DF41F6E01}</author>
    <author>tc={8DFFA13B-EA9E-4468-BDD5-CE692EA83C73}</author>
    <author>tc={E4D0C9C9-1D26-4548-BA26-AFCA910ED2D0}</author>
    <author>tc={B196B864-CA6C-4C49-B2B5-689967104C48}</author>
    <author>tc={9CA05BF2-B3DC-48D5-AF8F-525C3247DDEE}</author>
    <author>tc={6899CDCA-20FC-49EF-AA1B-A113E6CE43E5}</author>
    <author>tc={BF3DB313-998E-4813-91F9-EC572E421273}</author>
    <author>tc={A6939960-38B7-4A67-9DBD-5412B23071E7}</author>
    <author>tc={31C3AD6D-3458-4F0D-955A-09632566674F}</author>
    <author>tc={52B08803-AD5F-46FE-8C71-19B5ECA15005}</author>
    <author>tc={2442A526-6B94-4754-B19E-5314E974F368}</author>
    <author>tc={4AC63452-B739-4E4B-9324-045DF15DFED0}</author>
    <author>tc={ABD406FA-67A0-44AF-8C31-80434592AE1A}</author>
    <author>tc={CFF768F6-7B61-4413-9798-702C3BEE64A5}</author>
    <author>tc={F9985FBE-F823-4194-921F-0CAFACA34989}</author>
    <author>tc={D9CF5595-1CD4-46B2-BF2A-11CF464741BF}</author>
    <author>tc={43B7FAAF-4B55-46E7-8EC8-57CE0A8F65FC}</author>
    <author>tc={2E8725AF-2FCF-4D9E-87B4-F55A43DCAEF0}</author>
    <author>tc={92E3D381-5E3F-4B58-8FE7-7E9D1194B178}</author>
    <author>tc={35FF7DC4-20A4-48E3-93EF-DE04B5E3B30C}</author>
    <author>tc={A0107420-A322-45A4-BE79-FA0C21468EF5}</author>
    <author>tc={A13A9361-9361-4C9F-A749-A7234ADE8F9F}</author>
    <author>tc={7675930E-5F2A-40C6-91C3-171A1B23C671}</author>
    <author>tc={36B5E4B8-7FC5-40BB-8E35-4C7673059CE7}</author>
    <author>tc={49898B17-03EB-463D-83CD-E8D62788E0C3}</author>
    <author>tc={4FFCAEA6-3739-404C-BD00-02212B9DBF78}</author>
    <author>tc={EEF9CCDA-4775-43C0-B654-828FCD6956E0}</author>
    <author>tc={9CD4A01D-B58C-460D-A7BB-48DCE884C4FC}</author>
    <author>tc={DF74DFEE-3DF3-4924-864B-91CD715BF8A5}</author>
    <author>tc={50BE2B37-36B6-4ADB-87D6-BCC034260971}</author>
    <author>tc={E226C6F7-1B3A-461A-BF69-5E1390A37A92}</author>
    <author>tc={F7F91DB9-23A9-43C9-8782-2030E7A554D5}</author>
    <author>tc={C8593A41-BF4E-4CD0-86AE-EDF92B1465B9}</author>
    <author>tc={04537735-8C6B-4E76-968B-41C2BE14DE27}</author>
    <author>tc={D2CDB4AB-FAF0-41E0-B37E-5E207D5F9803}</author>
    <author>tc={151A9831-81A6-494D-B8A3-49BBDFE34EED}</author>
    <author>tc={9C536B79-917B-4764-8765-076789EA8328}</author>
    <author>tc={8BF2B552-1FBF-4A2D-9A09-697BD45EE8C8}</author>
    <author>tc={ADA6E793-E778-42DA-97C0-2F3B9EE8B69F}</author>
    <author>tc={6044F9D6-4B7F-4A98-ACBF-36B2A3DBBB3E}</author>
    <author>tc={8D3C83F5-9CC9-46AC-A250-6BDB2AE70B7F}</author>
    <author>tc={33440A6A-D7FA-447F-8B90-D96FA23AB598}</author>
    <author>tc={D778FE81-6BEC-49C1-BD0D-12289D0CB3F0}</author>
    <author>tc={6F9B00FF-EA95-4B89-82C8-A8A4CF5D92A5}</author>
    <author>tc={C59989D9-2CDE-42DC-9AE6-AE651470568B}</author>
    <author>tc={F10BC7AA-7565-4D11-AADC-6B2261910908}</author>
    <author>tc={A63F44D8-2233-4A79-8ECB-803BBBC61672}</author>
    <author>tc={CCD88832-3BBD-4986-935C-3CFB0B493265}</author>
    <author>tc={1BCCD62B-D893-476A-B827-C307EFCE89B2}</author>
    <author>tc={B09F1C3E-3FAA-410E-BC1B-F9A7B5435EF7}</author>
    <author>tc={C1DCB262-9F7D-43FF-9953-BE1A6E0CC684}</author>
    <author>tc={D51FA5C7-9BAF-43AC-9639-CA6AFC2CDA1F}</author>
    <author>tc={4FC8580A-4643-4010-88ED-89154A2C9C35}</author>
    <author>tc={A802BC48-0E85-4EB6-908E-090725E866B3}</author>
    <author>tc={87124703-551A-4386-BD58-BCF39F82B5EA}</author>
    <author>tc={0CC2312F-E1A2-4D13-80C7-CB33FE77B299}</author>
    <author>tc={9C13E3F6-F3A7-4413-96E6-CC6D9C73C42D}</author>
    <author>tc={F40C1175-8F2B-4618-AA49-13E3A06F0B26}</author>
    <author>tc={D5224B75-1C18-4F45-9A7E-AC33B5B54F8C}</author>
    <author>tc={971806EC-B451-4937-8521-8BD552E22DBF}</author>
    <author>tc={52659580-04B4-433C-AECD-798D6D6AED7E}</author>
    <author>tc={CB923901-3A84-46BC-9E21-8DF43CE1F5DB}</author>
    <author>tc={AE118684-CEDB-4422-A9CC-E5B14C3F6754}</author>
    <author>tc={9E532F3B-3178-443E-BB86-30EF06B3BE22}</author>
    <author>tc={2F4CCDD8-FF38-4E17-8A0D-0EA97829AEF3}</author>
    <author>tc={A9EB0C81-B2EF-47A7-81B6-30D56D7ADA15}</author>
    <author>tc={1ED3C506-EAB8-47A9-96EB-2988B35B38FE}</author>
    <author>tc={CAF1AC30-20CB-45E0-8F1D-DBB4803149D2}</author>
    <author>tc={BBC135EB-7D2A-4B7C-8820-2FFA9B7C4E14}</author>
    <author>tc={E2FC2746-AAF5-4060-9F0E-A57B3F2C3C55}</author>
    <author>tc={E4044AA6-F9AF-4DBA-A043-A40829BB04A8}</author>
    <author>tc={F5FAF626-C0EE-46AF-8CDA-8CABB1C92BDC}</author>
    <author>tc={C56BE479-50B1-4025-9939-A7D4C5B7F943}</author>
    <author>tc={DF91549B-B8A3-4A7E-9396-6EA60D48BEE9}</author>
    <author>tc={B8DB7A50-1D80-4549-BF56-CC301688C533}</author>
    <author>tc={CAFAECFC-6A19-41FC-BB55-9817381D2BE6}</author>
    <author>tc={D07EC193-CA13-41E5-8B79-A0B2F9FF055E}</author>
    <author>tc={8CDE2949-13B3-4CED-85B5-7B24C22B5C2F}</author>
    <author>tc={36319378-409B-4FC1-9FB4-0438FAB1912C}</author>
    <author>tc={EB3550A1-CF45-4665-B24D-48344FB4662D}</author>
    <author>tc={E82DE2E5-114E-4669-9042-1EA04F525696}</author>
    <author>tc={416F7936-35C3-4E34-9864-EEDFF56A858A}</author>
    <author>tc={331F0B36-6083-4E77-8A10-4502069D04CF}</author>
    <author>tc={37287891-D74D-4A7E-8F77-8B93D6464F90}</author>
    <author>tc={516AC51F-9079-45A1-86AB-5273F48987BE}</author>
    <author>tc={4B27A90D-88C7-4B6E-9959-E8239B7ADD11}</author>
    <author>tc={B79B5008-32C9-4892-ADC3-EAD0E50D5F44}</author>
    <author>tc={E333F4CF-926A-4680-8EAE-8AEE40E63C73}</author>
    <author>tc={F893FBA0-2FC1-44B4-87BD-559AA07228DA}</author>
    <author>tc={C6FB0133-5423-4728-820F-AD0EC7E4BD0A}</author>
    <author>tc={29AF7592-AD49-4C04-9570-90F671CE4E4C}</author>
    <author>tc={33825878-D9E1-46B0-9A38-10ED49CD0DB6}</author>
    <author>tc={B363F983-EAD3-45CE-A657-3E5270B2000C}</author>
    <author>tc={F9E319EF-BD6E-4473-8C47-E1F6BF2C3343}</author>
    <author>tc={00B34022-E015-406B-9609-CD312A06280C}</author>
    <author>tc={BA5FF295-FF7F-4445-9804-BACD4481494B}</author>
    <author>tc={8F68F7E7-8AE5-4E8D-8B8C-ADA415B7A910}</author>
    <author>tc={C5EB1BCF-1E96-438A-B21A-DED75D380B90}</author>
    <author>tc={6813443B-CC63-4A0D-9EE5-2AC8A93A72AE}</author>
    <author>tc={3F36FA81-C666-4BAA-B07A-3AFB1F69FEDF}</author>
    <author>tc={3FAB38CD-2F61-4442-A7A8-7985D5024848}</author>
    <author>tc={A5CAC596-8E7B-4AD5-89E3-44C16B5742A2}</author>
    <author>tc={B72AFF61-198E-466E-B813-EC6F579A9BDA}</author>
    <author>tc={8AB34F09-7D5A-49AB-BB4B-B40D2B1089EB}</author>
    <author>tc={CD1A86F4-C18C-428B-81C5-007264557FC2}</author>
    <author>tc={63BFA9D8-E8D9-4F7D-86BC-C9B8866AB85B}</author>
    <author>tc={FC2B128E-8D1F-4589-9939-FCD6102FB476}</author>
    <author>tc={C4E8EABE-5829-4311-8A38-23E66A30DC43}</author>
    <author>tc={42E60862-8C3B-442A-B05C-C0BD41AACF1C}</author>
    <author>tc={1BED6D68-D1C0-4894-B8AC-9C49D38E17E6}</author>
    <author>tc={D25161FD-EC7F-47A3-B332-3B899BA2A9C6}</author>
    <author>tc={A61F43AE-FA4D-4440-93B9-8D74BC49EB50}</author>
    <author>tc={D842E134-B5CA-44D7-8194-0DB5BB9CA8A4}</author>
    <author>tc={913F2C53-8735-46FD-ACC7-DD50A11A267A}</author>
    <author>tc={286B2734-5EC7-40CB-B0F7-8C8844B0BDFC}</author>
    <author>tc={09706697-41EC-4A8B-BB99-5E888C4E696F}</author>
    <author>tc={AE7A7C0E-794E-44E4-905F-16A7FDA3ACD5}</author>
    <author>tc={3A93C990-46DF-4D17-94EA-BAA26FA17C99}</author>
    <author>tc={6F328AB2-3200-48B3-9F65-49785A6F63BB}</author>
    <author>tc={D72C72B4-28AF-4B9D-A1FA-C6FFE60072E6}</author>
    <author>tc={5F7013EA-285D-4566-9850-53996E2735C4}</author>
    <author>tc={EB9BF370-7831-4846-BEAC-C10B1DEFA09D}</author>
    <author>tc={C5D4D430-9637-4D12-A5B3-4E5E3C7F8F92}</author>
    <author>tc={7DD17E0D-B063-403F-AC26-FFBC0E121F5A}</author>
    <author>tc={DC255B41-3B0A-4EF5-9E4D-EA73BAA7CCB2}</author>
    <author>tc={9C73E05C-F3BA-4863-8404-546734531FFF}</author>
    <author>tc={C46E4A46-5E30-47C8-9037-FDED793CFACB}</author>
    <author>tc={1CE1E6D0-9AAC-444F-9942-3969A927C252}</author>
    <author>tc={198088F6-D48B-45F2-9E4E-886D0C68F209}</author>
    <author>tc={1729E68E-F716-47A5-AC13-0459887992DF}</author>
    <author>tc={70D429EB-C018-4C08-99D8-68CD5FFDA9B8}</author>
    <author>tc={2768DB99-1E2D-424E-8421-EF23307D80E2}</author>
    <author>tc={DFE4CA40-9C5B-487F-80B8-30499CD6316F}</author>
    <author>tc={A44A6233-73C8-47A5-A3ED-730302A3801C}</author>
    <author>tc={3A31FA35-14CA-4642-90B6-E16E82B9569B}</author>
    <author>tc={15B6E5C7-6B33-44D8-B26E-2B04DC84310A}</author>
    <author>tc={687E547E-6C43-45F2-9927-AD707721A037}</author>
    <author>tc={073A0D67-F1BC-47BD-AB06-D67D0E9109AF}</author>
    <author>tc={5C2BEC5C-F038-4BFD-941A-8D95DD79202D}</author>
    <author>tc={73D06DA1-2296-4F90-AF63-FD08888BF7AB}</author>
    <author>tc={8B438E39-4831-452D-9ACE-C090EED46977}</author>
    <author>tc={BC301D3A-068A-439F-A80D-8915917A9CFD}</author>
    <author>tc={707EEAFD-3A20-4209-80DD-67B1007C1881}</author>
    <author>tc={0E522FAA-BDDC-4D9D-96FC-944CC68C9255}</author>
    <author>tc={7D0AF5F8-2CD8-4E04-AC34-DDF1F475C160}</author>
    <author>tc={E1DABC0E-C353-4CE3-85D5-22D517E58A0C}</author>
    <author>tc={1F3A452A-1E7F-4319-AB29-028CE399A88F}</author>
    <author>tc={D5A6C402-B783-4864-B6C7-BDEE5268C8E3}</author>
    <author>tc={76FF66B9-8D2D-4A10-ABF6-9882AE442EE8}</author>
    <author>tc={AA673390-D6D4-4F94-9319-F64ABD9276C5}</author>
    <author>tc={E83C8E08-C529-44F3-9634-896E4E386D74}</author>
    <author>tc={5623E3FB-A5CD-4DE6-BFDB-1FDD7D971755}</author>
    <author>tc={80615019-7E41-45FE-9AA6-89A8C41847D8}</author>
    <author>tc={E9B96AB9-4764-437F-813D-423EB4F26F63}</author>
    <author>tc={D240C99F-DEEB-4B5F-8DB6-375CA2830CB2}</author>
    <author>tc={F099ABA8-21C1-4818-BF6F-7784F8EE462B}</author>
    <author>tc={417C5DB5-A3FA-4A3C-A5AC-42DCC73BA30F}</author>
    <author>tc={C86E70AE-C0D1-40FA-B846-99943313E723}</author>
    <author>tc={BA910156-8451-44C7-945E-596DFAEDDE98}</author>
    <author>tc={787786FE-F3CB-474D-A93F-7B67754FCAEC}</author>
    <author>tc={A25C8810-28DF-4840-B75F-5E6BD4EC2CA7}</author>
    <author>tc={8B339885-E030-4CD5-8C3E-76766D7E3198}</author>
    <author>tc={4A54AE43-6DFE-43D8-B355-3A4916385ADF}</author>
    <author>tc={7524F969-0213-4715-B628-4D37D11D8006}</author>
    <author>tc={CAD31AC6-C139-41F6-8217-DC6374E4ACFD}</author>
    <author>tc={AFA761A6-B41D-47C9-99BC-A2D512B5824E}</author>
    <author>tc={113F3235-2DCB-435A-8D6D-9795395220B4}</author>
    <author>tc={60D7069A-3D52-4D49-9C61-F36B982D8C2D}</author>
    <author>tc={425963E2-C942-4D14-963A-DF175B3B7AC1}</author>
    <author>tc={1ED398AF-C6CA-4CC3-B76A-36F2CF7F9D46}</author>
    <author>tc={51D5E92E-E172-4607-B4EA-346B4720CF35}</author>
    <author>tc={90684F83-0A63-4B45-8687-7FC8476822A9}</author>
    <author>tc={A7E7361A-4E5F-4883-975B-219639FA37B7}</author>
    <author>tc={148588D7-CCCC-4CF2-A2C4-990D48B26F36}</author>
    <author>tc={FEA79671-26EC-4CBE-9CC0-A5D9E50A78FB}</author>
    <author>tc={A12E4147-A2CB-4395-B2DD-D029D5987652}</author>
    <author>tc={6D8731C1-4741-4DCE-A76C-9F88BEB19D09}</author>
    <author>tc={A72AD7BC-3351-4484-8D2B-0DF33596843C}</author>
    <author>tc={5DF7DF6E-213D-4CC9-8C7B-31DAD4D59CBC}</author>
    <author>tc={01D70855-7BBA-466C-8155-6A28C92E478A}</author>
    <author>tc={CFC99A82-5AEB-4DB3-A866-5486F5DC5B45}</author>
    <author>tc={A2C8A327-B869-47CD-911D-8A8D2C7A90A9}</author>
    <author>tc={AA7C7621-4FF3-42FB-ABCC-846926226B05}</author>
    <author>tc={CA610EBC-D0F6-4054-8772-B81FAF4C3A3C}</author>
    <author>tc={9E0884AA-C2D4-478C-BC4E-B6B5C11216EA}</author>
    <author>tc={61E14AA3-D3C9-4A8C-A2BE-BA9B2A7B8EF6}</author>
    <author>tc={EF02F0BB-2F41-4973-906E-3740DDBF645B}</author>
    <author>tc={62FE43A2-185C-4667-A360-9337EE4EA24F}</author>
    <author>tc={3EDEDBEE-DE03-428E-9993-8C64D635335C}</author>
    <author>tc={BDA519BC-E700-440C-9C35-F7C48CD514F1}</author>
    <author>tc={766EA35F-8FE5-4D5D-9B84-09F0A96475D7}</author>
    <author>tc={6D47EDB6-0B05-4B09-9A68-30F54EEC696A}</author>
    <author>tc={B7415924-5A97-4D1C-B631-1925D996F7D1}</author>
    <author>tc={FAA18AB2-7248-43FA-9778-24FA8246ED6D}</author>
    <author>tc={6119CC51-A133-4A04-B026-7FDC22CFDB20}</author>
    <author>tc={DA19864C-ADF0-4DE9-9108-1DACDF0255AA}</author>
    <author>tc={552F2753-B2A5-4F43-9BA6-517609AB0AC7}</author>
    <author>tc={A695290A-9E15-4B5F-9070-DF45B864DD0C}</author>
    <author>tc={B807D914-8FD2-42A6-8C33-63434E8C92AC}</author>
    <author>tc={3AB4CDBD-91C1-4C59-8588-25FA0887742E}</author>
    <author>tc={7B86A7A5-2A9D-495B-A0CE-25D47D9FB7D5}</author>
    <author>tc={8B37CB18-DC14-436D-A078-5F7BAB6A07CF}</author>
    <author>tc={B9D28521-D272-4BA6-A117-DD8901F3CD70}</author>
    <author>tc={D01BDFC2-BAE8-4D67-BB2B-075699A5106D}</author>
    <author>tc={F8E532EA-E53B-402D-9ED2-E4B0D4903688}</author>
    <author>tc={D08755F0-F236-4224-BC66-A48F44CFFA57}</author>
    <author>tc={BE14B3D9-5E3C-4019-83AE-34DFE8D1FB4F}</author>
    <author>tc={49685FE7-0548-42A9-9DB7-8EC7178650D2}</author>
    <author>tc={38BBCEA5-C41B-4902-BBDC-924FCC8A2620}</author>
    <author>tc={B6C74081-7C28-4E73-88AC-BE1E092ABB21}</author>
    <author>tc={522BFAB5-77BA-4A3D-845D-002031B44084}</author>
    <author>tc={102B9DA0-0173-41DD-840A-36D0F52BAB0F}</author>
    <author>tc={AAFC51DB-CD6C-43B8-97CD-82C68073375B}</author>
    <author>tc={C9F1463C-5A3B-4B5B-B30F-65A2DC61DEE1}</author>
    <author>tc={31820610-B224-441B-B149-B25ABB93680D}</author>
    <author>tc={146FDCD2-AEF2-491E-82F1-807BE87BFCEA}</author>
    <author>tc={11300F6D-92EE-410C-883F-38E19924544A}</author>
    <author>tc={AEF2BC99-594C-41E1-91D3-E8E7E13F5490}</author>
    <author>tc={5A44440B-06CF-4223-A650-13B86055982C}</author>
    <author>tc={113C4AA6-FCC5-4449-8BA9-F24D52A4A239}</author>
    <author>tc={90E7D87E-2AF2-41DA-BE1E-65C99D9B7D62}</author>
    <author>tc={BF0CAC23-D6DE-4349-9862-B44857F1D38B}</author>
    <author>tc={58B642E3-E2F7-4369-8BB8-7478920AB5D3}</author>
    <author>tc={5337B050-D94D-4104-8C37-94DE3C8B9349}</author>
    <author>tc={DDEE494B-316A-455E-A2FD-CFE40100CADB}</author>
    <author>tc={AA94C30D-B2B6-488D-A8C6-01C1A5674C25}</author>
    <author>tc={91FF3D09-310B-4B78-8C7B-BEF341B68CE5}</author>
    <author>tc={82F6962D-E982-4D55-912B-9CCF3417B18A}</author>
    <author>tc={C5D60653-BFC9-4672-8D05-6DFC2DEEC1E2}</author>
    <author>tc={14497984-F840-4378-BBE9-B8A69040FDF0}</author>
    <author>tc={993A236B-06BE-431F-8271-064BB044446E}</author>
    <author>tc={1F3FECCE-D207-4604-91F5-5D34F8DDFA74}</author>
    <author>tc={AE4E37B6-BA8A-43EA-A7FE-744DD16078D7}</author>
    <author>tc={A4455DF7-45D7-4CED-845E-8C50831A0B15}</author>
    <author>tc={A20E7172-39D8-40E6-89A5-EBEF3C95CE99}</author>
    <author>tc={C1244DD3-9485-4FC0-A595-DDD39DCCB44B}</author>
    <author>tc={A4F5031A-8A32-4C94-86D2-19EC3CC0474B}</author>
    <author>tc={850F1C5B-1D15-481E-9A34-ADD2BD69F6B9}</author>
    <author>tc={6E030190-74EC-4E38-B95E-DCD049E51D56}</author>
    <author>tc={83362D3E-9FDC-4E5B-A553-5AF6CCF380E2}</author>
    <author>tc={9A978AA7-2CE4-4096-8461-358D29514F58}</author>
    <author>tc={4B9A1187-6AED-4599-880E-E18DEC0B358A}</author>
    <author>tc={4A7FCE7E-D4AC-468B-BD9F-932A40A39740}</author>
    <author>tc={B2F8716D-CE1A-4F15-B0DE-FCB815F30E7E}</author>
    <author>tc={562576DB-8243-42DC-9FC7-0C47F83BA615}</author>
    <author>tc={2CBAC85C-FFC9-41E0-811B-5BF32CF58BC2}</author>
    <author>tc={9FD5DA8E-EAC7-40A5-9690-54F16278DF90}</author>
    <author>tc={4D85BEB7-83DE-48E0-8C1B-AB6E6EE3FD87}</author>
    <author>tc={525B13C8-BB9F-4A8F-A8CC-C440846AC510}</author>
    <author>tc={69238265-4A34-4AD9-B6C5-C3F3140D685D}</author>
    <author>tc={D65F165C-FB37-4BFF-80AB-D31EAEA30683}</author>
    <author>tc={0C39E5EF-7BCD-4196-A754-54A65762A33C}</author>
    <author>tc={D829355D-3D61-4894-B65A-A56EC27191A9}</author>
    <author>tc={9623204F-6EFD-467E-A570-FEA163636161}</author>
    <author>tc={3B45ED92-B8D2-4D6E-9528-7EADD9CD613B}</author>
    <author>tc={2EC941D4-5393-4251-9499-D96D9054B344}</author>
    <author>tc={5E7CA71F-F79E-45D4-8029-2AB9E2F0A093}</author>
    <author>tc={41D53E97-518A-4E33-BDE8-692F64D2D7DE}</author>
    <author>tc={8DDF821C-ECCF-440C-88A1-BAE12D557BAF}</author>
    <author>tc={A21291A5-2AAD-464C-B479-515ED4DE5ABD}</author>
    <author>tc={6065C33D-B7CD-4435-A7FF-B9D5A75B3A5B}</author>
    <author>tc={4948A699-A30B-4479-B880-ADD8D1A67F17}</author>
    <author>tc={3826B722-4B70-44F9-B6F7-6B634817463D}</author>
    <author>tc={73EE01AC-6134-49DC-9ADB-08C98A63CA11}</author>
    <author>tc={7EFFDA82-9842-4BA6-8814-80237DB3AA86}</author>
    <author>tc={ABCAAFC8-4BD1-40EF-8773-3D32F2201FF5}</author>
    <author>tc={4CAD61BE-782E-4A69-93A2-90413464B576}</author>
    <author>tc={18F01764-7D36-400F-9F9E-AA8BC1741E21}</author>
    <author>tc={483BB358-D9F3-4B73-8B15-A87A9A2A73EE}</author>
    <author>tc={D539277C-7427-48DE-B4A3-2DE9F2B39266}</author>
    <author>tc={660FD610-AEA1-4272-A72D-4857849F3C9D}</author>
    <author>tc={20536419-4A57-4EA1-9F8F-DAF0489BBA3B}</author>
    <author>tc={6DE675EF-8DA9-49FB-AE89-7A76CC663BA6}</author>
    <author>tc={38A78DD6-9A08-4E21-A666-A86D37820599}</author>
    <author>tc={1D572542-F2F4-4D0A-9832-E6A3839932D3}</author>
    <author>tc={F642D572-CE61-4A94-BB51-51681E093CBD}</author>
    <author>tc={8514E19C-2166-4975-B12F-0E27CF9883CB}</author>
    <author>tc={938567E8-B89E-49BA-80A4-BEA6480CAD60}</author>
    <author>tc={F43B51BC-EC90-4DFB-8D97-E98E3711011A}</author>
    <author>tc={CDE40DC4-2FE8-4E04-8DC8-ADA9DD70E44E}</author>
    <author>tc={6C9E8461-FF0B-4B2E-9D3A-C5D1C467BBF7}</author>
    <author>tc={F6A4D40F-529C-4A09-B92A-8BC1C0F999C5}</author>
    <author>tc={675D0ADE-5968-42F7-89E5-6872D1D9911F}</author>
    <author>tc={985507AF-5EBB-4FB7-B48A-867938EE507D}</author>
    <author>tc={B513D792-E786-4B69-870F-19100E7B881E}</author>
    <author>tc={3DCDEEE4-EC5D-4F71-AD1E-E39F4A866A6E}</author>
    <author>tc={35D8C8BE-1192-4B12-8347-7B5ED1A60505}</author>
    <author>tc={E613FD66-A715-4BAA-A3FF-4D9C2A5C01C3}</author>
    <author>tc={8AECD33C-905F-441F-ABB9-F4A5A564B6B4}</author>
    <author>tc={25B4600D-6497-4F69-BB3C-F328A0175991}</author>
    <author>tc={7E4FA9EB-F199-4A2F-B61F-5788B9194926}</author>
    <author>tc={B9A2A7AA-29E4-47DF-B223-734F59FF0E38}</author>
    <author>tc={6C0C3C8D-F427-41BE-8CD3-64F961E325BD}</author>
    <author>tc={4CB71DB4-0C09-4F05-BB57-0C0F67BFA0A4}</author>
    <author>tc={4F5C3A50-97CC-40EA-9608-DB94F2EDC425}</author>
    <author>tc={19DE84D3-41F6-4758-9907-125E5238897F}</author>
    <author>tc={E3141B84-6041-48B8-B52A-FA7383EF30BB}</author>
    <author>tc={7910CF30-3895-4A95-A40B-21FC7A3ED1E2}</author>
    <author>tc={6048AC7E-DCEF-4D95-B4D7-75DCE481AEC9}</author>
    <author>tc={15802CF2-0771-4385-939E-17BCCD73A37C}</author>
    <author>tc={B228D377-5634-4C9F-A8C4-EDA1DD93D80E}</author>
    <author>tc={73243A2A-2C4A-45FB-935B-3147D1215AF9}</author>
    <author>tc={3EEB6C71-79B2-4320-A5A2-7C9E684BC1B2}</author>
    <author>tc={2CE71BDD-889E-4572-B8C6-84E479333306}</author>
    <author>tc={7D9DC79F-7E47-4255-8A49-C3E4B53144A9}</author>
    <author>tc={A7D090EE-FC1E-4BFF-94BA-59ECB999BB5E}</author>
    <author>tc={23DDFB67-FCFC-42A0-88FA-7EED900DEFCF}</author>
    <author>tc={AA857C6D-87F4-4EBA-8922-14956E9CB925}</author>
    <author>tc={95B19F00-55E9-4369-9A03-158B9F8AFF80}</author>
    <author>tc={892E4867-238E-4585-95C3-9C68C96C8F5D}</author>
    <author>tc={6ED86042-CD41-4D8A-93B4-52C548C0EA57}</author>
    <author>tc={0C5169C9-DAC0-4F61-AF30-38100642822B}</author>
    <author>tc={DF012F57-A4BB-4737-B98D-DFDCC8A76CD0}</author>
    <author>tc={B376930B-59F4-4A19-BCDE-46E0E0B1C2C1}</author>
    <author>tc={9EF5B168-6B9B-466F-BB1D-7485714BE591}</author>
    <author>tc={52C41C89-BCC8-48A7-A7DC-AB3D95C69C93}</author>
    <author>tc={1DDB0DDD-E6CB-4671-9266-B875B195CCC8}</author>
    <author>tc={52F140E8-2F15-4569-985E-3D30B49FEB5E}</author>
    <author>tc={F12E5633-5418-4627-9799-13D2FDC75724}</author>
    <author>tc={5956440B-71DC-43F1-81C0-AC705CC73630}</author>
    <author>tc={A8575C8C-C3C9-4B77-96E4-23477CD642D8}</author>
    <author>tc={72605202-941B-427B-B842-5B4683DB8F18}</author>
    <author>tc={EC4A258F-CBD6-465F-9E8A-1D6AEEBF46CB}</author>
    <author>tc={60DDE542-7FC4-49FC-9157-1E0EE51C5D90}</author>
    <author>tc={577FF748-896A-4CC8-8F76-B0AC4DF2538B}</author>
    <author>tc={A63B4078-9CF3-48F2-82E3-0A9C4ECCD4E2}</author>
    <author>tc={33748E50-98EE-4739-9FBC-75A7E077D832}</author>
    <author>tc={0A0C0E4C-889E-4D0B-9767-E42EBD23904E}</author>
    <author>tc={450BE0CF-EB9E-4951-B7B6-9645C0C18375}</author>
    <author>tc={6096EC9B-EAE3-44F8-BFCD-A9098BB55B05}</author>
    <author>tc={F9BA62B2-D0B0-4E8F-AD8A-87D1316A0EFF}</author>
    <author>tc={B38EFDC7-AD5A-4114-A067-8562467BE584}</author>
    <author>tc={10883725-363E-46D8-914B-C90AB6DB4178}</author>
    <author>tc={913B14FD-0FEF-4684-BB15-5DEB6758010D}</author>
    <author>tc={723E4758-66B0-440E-B065-2E7D6D30B4B8}</author>
    <author>tc={7284F027-C276-44CF-AA70-CD532519536F}</author>
    <author>tc={FCE92750-6FD3-4CE2-9190-47FB85E20FEB}</author>
    <author>tc={6DF43633-1295-4D64-8B02-CF95BC45C0CA}</author>
    <author>tc={EFEBBAD4-83CA-44D3-A894-3A21AB3F2B00}</author>
    <author>tc={E1DDEBA9-AD67-404E-A505-422CA25C0D9A}</author>
    <author>tc={37C1EDE7-0465-4535-AD01-DB6DD22A67D0}</author>
    <author>tc={EB303109-C11E-407B-9A39-DE9CCF34A639}</author>
    <author>tc={A8D9AF36-BFCD-4DDE-A83D-EDD2A734D5E1}</author>
    <author>tc={AC1792E4-E180-49E8-8B89-200077F94A5F}</author>
    <author>tc={D53C3318-5BF6-4E83-A8B1-775DDBC85C95}</author>
    <author>tc={66DE91A5-7182-410C-BA60-ACE6245FBE04}</author>
    <author>tc={3989063F-15B5-493B-B68A-E4389969D5D2}</author>
    <author>tc={921DEAFF-0BB3-4700-9097-9D421B4E89E6}</author>
    <author>tc={0ECA6AA8-B7A9-462C-924E-7E8A0838DA28}</author>
    <author>tc={FD8D5907-3E50-4254-8FCB-44C0B2AF0327}</author>
    <author>tc={A6DAE12F-73AC-484E-9B58-E60334226AC5}</author>
    <author>tc={96DA95EA-F354-4C9B-8E5F-D60E0E6B5A38}</author>
    <author>tc={59441955-A1F9-4976-A343-E112E90F952B}</author>
    <author>tc={D028CA74-94F1-4FA4-8211-1CAD41EB4E22}</author>
    <author>tc={2E9BD458-CDF9-493C-A5D4-EFB7FF5B8B33}</author>
    <author>tc={BF603E65-7CF4-4E60-A61F-37ADB4A61794}</author>
    <author>tc={A02D27C1-2A44-4558-A832-825F72B27EE8}</author>
    <author>tc={DDC1A9F5-2A6E-4D8F-84E2-68277D212F9C}</author>
    <author>tc={4774D231-31A4-4D51-8AC6-E7C751DB7C13}</author>
    <author>tc={F499617A-0E22-4E84-9731-9F6E9BCA37E1}</author>
    <author>tc={B56A41CA-BB03-4CB4-A3C5-908253E6BA44}</author>
    <author>tc={4130A4A6-68DC-4408-B118-C0DE1A2B3472}</author>
    <author>tc={F7FACFA8-30C9-4069-8D36-D4E79FAEE6FB}</author>
    <author>tc={667DEDEC-F2D9-448A-AA14-0B93B3AB7FAE}</author>
    <author>tc={A63189D8-810D-4728-BB2A-33A53FFBED54}</author>
    <author>tc={426B13CE-CA59-4F28-8E2B-8164D8D46609}</author>
    <author>tc={AD61413F-7419-4240-B2B5-16DA14ED60C1}</author>
    <author>tc={6C81144E-FFAE-4515-A9B7-80C040B26187}</author>
    <author>tc={E17F2731-DD09-4273-85C5-3C9B24476C9D}</author>
    <author>tc={5803924E-4805-4C73-BB72-198BFA312030}</author>
    <author>tc={3B7CA6E2-8EB3-42BE-810C-72B827E6C0C9}</author>
    <author>tc={0588E133-AB58-4D71-9522-DE77A97407AD}</author>
    <author>tc={3C0A2091-AE55-454A-A735-5B1D771313EE}</author>
    <author>tc={26536386-B83C-4176-B9B2-07B19337EBA4}</author>
    <author>tc={63A1B868-8346-4D94-AAC9-6D0C9AB67707}</author>
    <author>tc={47303304-9107-42DC-A44A-5B960383CD33}</author>
    <author>tc={DDB752AE-D994-42EA-9D46-2E7BF03D068B}</author>
    <author>tc={75C353FF-B84C-4893-95CA-60C73DDB6797}</author>
    <author>tc={FF61A1EC-7DB8-4E90-8A58-87E2DE2C2F16}</author>
    <author>tc={18A48394-53EE-4878-83CD-B40CF061755D}</author>
    <author>tc={8C514729-E07C-436E-94B4-2726D7B3B3A0}</author>
    <author>tc={166A1565-C2A2-4EF3-8529-AC58A70CD43D}</author>
    <author>tc={351246C6-0316-4DEE-B16A-D091C49170C5}</author>
    <author>tc={D6FEADC2-23DD-4157-B3B7-868A4B16AC2F}</author>
    <author>tc={1DF30009-AA56-451B-AF0D-17573D355EEB}</author>
    <author>tc={A171552C-43BA-4E89-A547-0AB438E6592C}</author>
    <author>tc={182DC743-11F1-413B-86CF-04B65F3E56CF}</author>
    <author>tc={BDAEA383-84D9-42F5-AAAA-42E6EE4F56E9}</author>
    <author>tc={E0E04B18-865C-44F8-92A5-3735861B1BC4}</author>
    <author>tc={EFA13EF6-AB21-4EB8-A39E-630A85E16EAF}</author>
    <author>tc={3582F773-4BAB-40A1-B5B4-C7787F9EFFBE}</author>
    <author>tc={682B38B9-D451-4E69-9F49-1EDFC3EC8954}</author>
    <author>tc={A8672FE7-032C-41E6-BEAA-79E0AC8998BB}</author>
    <author>tc={F9618C15-4126-422A-B049-5DE7D883793A}</author>
    <author>tc={25089353-0055-471B-99E4-7005C441683F}</author>
    <author>tc={9C60DD16-4C1E-4ACD-9C50-392DB2D0BA96}</author>
    <author>tc={A33C9BE8-1B2A-412F-8374-E09B489A3F14}</author>
    <author>tc={69D55B37-4C32-4C06-A31C-24238999024D}</author>
    <author>tc={59BF362B-776B-45BC-8C5B-CDC864DE1999}</author>
    <author>tc={9332081E-6DE5-48C6-B102-21CCA07F5E93}</author>
    <author>tc={703C359D-335E-4EB5-9861-D460D8EDA93E}</author>
    <author>tc={F277D741-1620-4421-8072-025FA21B1796}</author>
    <author>tc={A09BD215-6F91-4EC9-9711-5BCF3B953D81}</author>
    <author>tc={6A27B53F-CDFA-4286-AB18-8773D00428B0}</author>
    <author>tc={8F5B950F-FD5E-43FF-AB3B-6694BEE862F8}</author>
    <author>tc={A04C8C57-20C0-432F-B0B4-8C36713274D4}</author>
    <author>tc={9106E9A5-FE74-4818-86F8-8FC36310ADE9}</author>
    <author>tc={20124366-2F46-46A8-9B0A-77E3A3F41001}</author>
    <author>tc={BF27C050-F618-489D-B30E-25F23477D995}</author>
    <author>tc={D7EC811C-F5B3-4AE7-A7B6-EE6F6932D4CD}</author>
    <author>tc={114ED222-AFDE-46B5-9379-7C52287BC0B9}</author>
    <author>tc={88C689AE-FA89-499D-8704-7AC9B02EF999}</author>
    <author>tc={F5EAEEE3-B711-40A3-A324-9E01B7F53D53}</author>
    <author>tc={20B98CAF-69FC-409A-9D6B-018B981E9140}</author>
    <author>tc={D3C86F93-1BBA-4B89-A314-BC915E697FAF}</author>
    <author>tc={4EA1A1EF-CCF0-4740-AC96-474E359B276D}</author>
    <author>tc={2FC577E5-ACCC-4C7B-BC45-8DF2FD6C99D6}</author>
    <author>tc={3F6A99C0-F386-4943-A42F-82E20BB82FC5}</author>
    <author>tc={E4174F4A-41F6-4083-9566-DA51DA08E08C}</author>
    <author>tc={B891D7D2-0025-4413-B24B-D00A29292460}</author>
    <author>tc={C8E7BE5B-FB1B-46AF-90E5-F1D555ABBA1F}</author>
    <author>tc={3EEFF511-F3CE-42CA-ACB3-EBBAB413E0A4}</author>
    <author>tc={9031A28E-F273-4FA2-B69F-5073E97E84A3}</author>
    <author>tc={E6A772BD-A116-4746-BC62-4A8672B4EA2D}</author>
    <author>tc={6B4AA036-5507-45CE-A5FB-50D9010EB526}</author>
    <author>tc={B637FA47-EAE0-44C0-AB89-51358E5CA7BB}</author>
    <author>tc={8F15D538-0332-48FA-A4F5-9E43E2D34D17}</author>
    <author>tc={6C065E43-603F-42FD-A656-CE0F0B0E50A2}</author>
    <author>tc={BBD9A737-8945-4F47-9393-B194FDCB2641}</author>
    <author>tc={EB3523BB-5D33-44AF-A109-9618EC69BC04}</author>
    <author>tc={94F83F66-58B3-4032-847E-F25B01517EAA}</author>
    <author>tc={204655EA-C814-4821-A67B-9419891E745D}</author>
    <author>tc={DC4CA376-5113-4187-81AB-A87AC65BD025}</author>
    <author>tc={E1FE530F-4492-4032-BA42-2E424FDE771D}</author>
    <author>tc={70E689F8-C949-4B3E-AC7C-1ED7559C4DF8}</author>
    <author>tc={3B89A3BE-3DC7-4FD8-845B-3BE24FC7E368}</author>
    <author>tc={6F169C66-0CB1-458A-A609-BB3BEF28DED7}</author>
    <author>tc={58A360D4-8348-47F6-B00B-B4D0C72708AA}</author>
    <author>tc={1397FCB9-3622-4DE6-BFE5-80904C9E5C11}</author>
    <author>tc={EF383B31-B0B0-4CE0-829B-19D4AEBE91EF}</author>
    <author>tc={2AFA0EF5-C54E-4ED1-BD16-30D95A07593D}</author>
    <author>tc={C184832C-43B0-451E-B52F-F4531E95BFE1}</author>
    <author>tc={EB926D99-3DB3-421D-BA66-3CB5A142952E}</author>
    <author>tc={8B2AC819-3E4E-4EC1-87EA-3F71AAE4CB4C}</author>
    <author>tc={67DAC9B6-4E4F-48A5-81B0-98A4ED51FAEA}</author>
    <author>tc={2E46155A-4EDD-4431-A0B4-651B7ED80FEF}</author>
    <author>tc={BB393D80-9021-4F0C-8531-382A63E69CAB}</author>
    <author>tc={607368BF-AADB-4B71-AD79-DD4A21F06D33}</author>
    <author>tc={4EFC2F66-6936-46BF-B949-A539740D09DA}</author>
    <author>tc={46708966-708C-40B4-BFF9-50B0C4EDFC5E}</author>
    <author>tc={CC0AD11F-9C77-40B9-9C00-458CCC0F30F5}</author>
    <author>tc={0A439BA0-3AA5-4913-BA02-A697033DBDAF}</author>
    <author>tc={8DE681F0-3982-4B79-AE5E-9135180C3759}</author>
    <author>tc={4992BC56-0A8E-43B9-BA30-3D77CC2C2679}</author>
    <author>tc={E96929A9-1798-4DE9-BA9F-A4F08F85B282}</author>
    <author>tc={5C7728B5-972D-4511-9AAB-1909F47D9CD6}</author>
    <author>tc={C6274D6F-A6DB-4F0F-85AD-FB6B0DE30D14}</author>
    <author>tc={E1B6B535-DB2F-4171-AFA3-BFF6246681A6}</author>
    <author>tc={161279DE-E7C3-459B-836B-E5ED62E95B24}</author>
    <author>tc={5349B22B-76F2-484B-A27E-FBAC9EE724D1}</author>
    <author>tc={87B13811-A853-4966-8880-C3B92F26E1FB}</author>
    <author>tc={C4A520FF-524B-4F65-A7CF-265E4020EEDA}</author>
    <author>tc={034386F4-B5DE-4CBA-8772-C60E111EF9A5}</author>
    <author>tc={6F3CDA12-239D-40E7-8FA6-D2358E8B4409}</author>
    <author>tc={6A937A49-B978-48DB-B32F-23608318C255}</author>
    <author>tc={134CAF8D-124E-4D9D-B02A-C89516D0B329}</author>
    <author>tc={9F9050AC-541E-4B99-A369-2F8B39AA9841}</author>
    <author>tc={7474A29A-020A-431A-AD8E-E5B2A17421DE}</author>
    <author>tc={4E8581CA-EB47-4A4B-A5D6-2E7D0C294E47}</author>
    <author>tc={C9F095A7-00C8-4CA1-8919-91F02DEB03BC}</author>
    <author>tc={2BD902BF-BA7C-483A-950C-F7806448A556}</author>
    <author>tc={2EFBFF81-AAFD-460C-B392-C8EF5D0C4A7E}</author>
    <author>tc={47D6F7F9-711B-4548-B26B-CF7533B0B798}</author>
    <author>tc={118FB02D-676F-47DC-A100-7E25AA096338}</author>
    <author>tc={588CBEA5-0A20-428D-B260-03ADD05217EA}</author>
    <author>tc={C7E66917-0D0A-4CBD-BAF9-7878D0C84EC3}</author>
    <author>tc={2D523FD6-823E-4C69-9428-C067B2D8E616}</author>
    <author>tc={6DD90847-5478-409B-95AE-0FF0DBF1FBD3}</author>
    <author>tc={A3119AE7-49BF-4602-87FE-F1076D528BB9}</author>
    <author>tc={3EE539DF-FED4-4F52-891C-5506161ACE39}</author>
    <author>tc={82BAFF75-3EB8-4DC5-9685-CF4F770B04A3}</author>
    <author>tc={CC2161DF-0FAD-4BD4-BA0D-260B517FDF7F}</author>
    <author>tc={C1AA7695-BA00-4FC6-8245-0FB16F4241AD}</author>
    <author>tc={700B2765-27F9-4934-A41B-CF060E6120C4}</author>
    <author>tc={F0657823-D08F-4844-BDE7-3318A9D2CB42}</author>
    <author>tc={2E9C1A38-D214-427D-B075-C7850B425671}</author>
    <author>tc={CD58D924-E992-4C2F-84EC-FFCDB1FAE5E1}</author>
    <author>tc={0B1D627E-91C2-4556-A50A-B9C50D8D849F}</author>
    <author>tc={375AC896-9DC4-4F6B-842C-F1E27D168A9D}</author>
    <author>tc={345C5CBD-4782-4AD5-BDC8-F2AAED712F50}</author>
    <author>tc={392C223F-99EB-4014-A152-35BBCD2F0612}</author>
    <author>tc={AC390B86-47C9-419D-BCE1-BECA4575F16D}</author>
    <author>tc={A1648A11-CA26-4E73-BD89-5C5F0DB05F1E}</author>
    <author>tc={EA57CA69-6614-4029-8525-DB9256C206F5}</author>
    <author>tc={350A3895-8B9B-4505-9DAA-C85EB8700C62}</author>
    <author>tc={87FF95E6-50C1-45A3-9F2E-633FE1978401}</author>
    <author>tc={2F37ED8A-C5D2-4AE5-94F9-132839F4CB19}</author>
    <author>tc={0EB696EB-9232-451F-882F-D9C37A901E0A}</author>
    <author>tc={08F78114-8DE5-420E-818A-25FE9A6399A3}</author>
    <author>tc={4982E014-E36C-4840-99D6-877436C28725}</author>
    <author>tc={FD0AB877-3586-49EC-8FAD-38E18D026246}</author>
    <author>tc={90132B2C-6683-4119-970D-94C542B19207}</author>
    <author>tc={2BCE6124-0D8F-4ED5-9029-D2B4EFF8CB95}</author>
    <author>tc={8B09294A-3DBA-4B79-97A9-F6845F2112BA}</author>
    <author>tc={186F35DC-B8F0-430B-91C6-E84144B834B4}</author>
    <author>tc={09293104-6504-4BE7-BCAE-4BECE56A48CB}</author>
    <author>tc={38262500-5814-4DCC-B88F-FBD0F2C206CD}</author>
    <author>tc={DD076CCF-D35F-4D7F-85D4-575AB1C89D5D}</author>
    <author>tc={D5C04536-C9FB-4E3C-972C-AA9C1198AA7F}</author>
    <author>tc={1EF3F73E-9ECA-4338-9DD4-068F31F26351}</author>
    <author>tc={F08BE064-7CEA-4F04-99F0-F51F80D2BE4E}</author>
    <author>tc={7BB49DCD-6C13-4F3D-BED7-E53907FB98FD}</author>
    <author>tc={79359813-590B-4ECF-AE33-F09F3D010BBD}</author>
    <author>tc={00B79A15-DC10-493F-BB9A-AB49ADE64E47}</author>
    <author>tc={50BE9A96-094A-4984-BD88-397098882B96}</author>
    <author>tc={55AFACBA-6027-4361-91D1-2C1D199584D1}</author>
    <author>tc={3DD089C0-45CE-4975-80CC-475C2791B70B}</author>
    <author>tc={75F07ABA-04BA-4CCA-AEDB-F603E562FF9F}</author>
    <author>tc={2D326DF6-9674-4944-8CB3-D6C08398D977}</author>
    <author>tc={2185BD6B-89A9-4C31-91A4-E203750E765B}</author>
    <author>tc={3A57C591-7533-4F18-BB5F-55FAFD01D41C}</author>
    <author>tc={C7D74E7D-F4A2-4BE8-959D-10392BA7C79B}</author>
    <author>tc={3DA01EF9-AD80-4833-9C46-99801349DB81}</author>
    <author>tc={0DEEF3D3-10C1-4854-AC32-54AB675D6838}</author>
    <author>tc={30C20D1C-7E9C-4532-B814-BC3CC93E9784}</author>
    <author>tc={13964E32-FB90-44EE-A01E-08648861B5B1}</author>
    <author>tc={937D8151-5F9F-49BA-A199-571B1EECA8EB}</author>
    <author>tc={79F53B03-B0F3-437B-A19D-659F226A9718}</author>
    <author>tc={4EB06852-4748-4ADA-B81A-3B8A57F4A017}</author>
    <author>tc={D7A56342-5EB4-46F1-9496-E3AB4AB6292E}</author>
    <author>tc={E92D699F-D4FD-48E9-8BD7-9EA680ABF16A}</author>
    <author>tc={6E3065E9-6AD9-478C-BE87-98C8C374AEC7}</author>
    <author>tc={E9D56C7B-3BC4-41EC-B01B-C8F9AE51BB0E}</author>
    <author>tc={9C25A297-96E6-4757-ADEF-3467FA3413E5}</author>
    <author>tc={D73A4A3F-156F-444D-8C87-743E6EC1E434}</author>
    <author>tc={438F7337-8967-46F0-BF6D-F910E3B6CA10}</author>
    <author>tc={F3703F22-EA66-44C8-977F-10B49C407EEA}</author>
    <author>tc={29B6247D-4747-4352-8DFE-BDA591C65BED}</author>
    <author>tc={67330351-450D-4471-97CE-4E7BD653B712}</author>
    <author>tc={D8141D01-A870-4AE5-8981-1C468740755C}</author>
    <author>tc={30CF7A7E-3EB4-4FFE-A1E0-F327BE660B25}</author>
    <author>tc={95601A5E-23D4-4692-8AB4-D612549BAE1C}</author>
    <author>tc={18AEDD86-7407-4851-80C4-02A49351D689}</author>
    <author>tc={1B3F7DE9-4DD9-4E6F-99C5-EE647AAD3F94}</author>
    <author>tc={4532AEA5-70D0-4B0D-967F-D14D7241D92A}</author>
    <author>tc={A9F892DD-6737-4863-9E2E-8A3FE5E67F2C}</author>
    <author>tc={B09DFFF8-6D5F-4DF8-8808-727A2ED4ABA9}</author>
    <author>tc={52AA2783-C634-48C4-B70D-E316BC9126EE}</author>
    <author>tc={44EC00BC-97CD-4DFB-8029-F77F5E01AF60}</author>
    <author>tc={B5E8D458-08EB-4767-BB08-58B07FCA7515}</author>
    <author>tc={AA619F11-47E5-4663-B720-F31AC51B7945}</author>
    <author>tc={756B5A9C-5885-4418-9662-3318A55F6B9C}</author>
    <author>tc={7335622A-2C23-47AD-8E19-1B29D9CFC76B}</author>
    <author>tc={AA9FB3F1-4A4A-4BBA-875E-8CAADA589C06}</author>
    <author>tc={3F0EF049-1883-436F-B5CF-B6E433C61849}</author>
    <author>tc={BF7D2935-AB02-487A-A266-764530B494B9}</author>
    <author>tc={59AC706B-91D4-4A03-8659-A0E484AB875F}</author>
    <author>tc={24CC0EEA-C2BF-4B20-8E56-451598C34B7C}</author>
    <author>tc={494109A5-F0C1-4206-814F-BA545EF66EA6}</author>
    <author>tc={528695D2-0608-49C9-B0F7-21311B43714F}</author>
    <author>tc={450082CC-A69C-4204-B14A-8EE4F46277CE}</author>
    <author>tc={76A3292F-06A3-47A9-B65A-89A49DB8CB79}</author>
    <author>tc={CBFEA5EB-18BF-4C8F-8787-320D047BE53E}</author>
    <author>tc={4F419714-B856-44FE-AEEE-97EA67C0812E}</author>
    <author>tc={95F97DB3-384A-40D5-AE61-69FEB2391235}</author>
    <author>tc={04FF223B-F202-44FD-B321-9E758C7F1EB1}</author>
    <author>tc={03C736C0-2804-4EB3-AD95-24355D6075E2}</author>
    <author>tc={CCECD547-8356-428E-9A58-7C8053B4054A}</author>
    <author>tc={B2853BBB-ACAA-4BE8-BDDF-58521E8A4BF7}</author>
    <author>tc={FAAEAA0A-4C42-4326-B649-D1E1F5CC4F13}</author>
    <author>tc={4CF9C1B9-5A4B-4092-8DBB-855FA96190DC}</author>
    <author>tc={EB4D8B97-52A7-4975-A8DC-1D7A835481F0}</author>
    <author>tc={6A5957D9-A234-4099-B777-4D240136548B}</author>
    <author>tc={11A86788-2BE0-4BF3-993A-1C7AB77F07B3}</author>
    <author>tc={7BEAF2E6-A44A-4AA8-B1B5-3F1A91E1A394}</author>
    <author>tc={43D3B202-F234-4092-8D45-362A8E1CAE60}</author>
    <author>tc={A36D5AE2-A2D9-41B4-B16E-BE34B785E715}</author>
    <author>tc={B708AA1F-A10F-4DDA-80BD-58149682A83B}</author>
    <author>tc={15A5ED21-0EC6-4A31-859B-383487E9FEED}</author>
    <author>tc={BB220B95-ABCE-43E3-A5E1-88E3987ED2C3}</author>
    <author>tc={A06C019E-1513-470E-A969-4C48342789A8}</author>
    <author>tc={DAFDE24E-19BA-42A8-B578-201D505B1A03}</author>
    <author>tc={5B86D4AA-09F3-4F6E-9968-2EB108996852}</author>
    <author>tc={BD14852B-2F1A-4C76-8331-7EEF19C99A5C}</author>
    <author>tc={241E7E29-E9AC-447A-A915-7FB705A30523}</author>
    <author>tc={A8199491-5C3B-4989-9E2D-52744A683FBD}</author>
    <author>tc={F67A8F2E-42FD-4C1C-8251-9C7D36F193D3}</author>
    <author>tc={D30F24D6-F560-4EDF-81A2-DD539A6D2F97}</author>
    <author>tc={7922C092-EB26-4632-9ACF-81499249700F}</author>
    <author>tc={C4916E16-2EE9-4903-9332-89BC12414CDF}</author>
    <author>tc={4B6DB16A-EF78-45A8-827F-2F812B502094}</author>
    <author>tc={80ABDFD9-984B-468C-A687-0C15AE790F7F}</author>
    <author>tc={B3083B43-93A5-4C49-BB05-FFBFF9173718}</author>
    <author>tc={C105BF32-958E-4C35-80A5-267CCA3A74AA}</author>
    <author>tc={E752BCFE-1C02-442B-B0D8-825366FDC078}</author>
    <author>tc={3D24F730-8D97-4395-BFE5-85B1CEC3E86B}</author>
    <author>tc={96F5119D-7D03-4966-9058-0AAD3FB5BE14}</author>
    <author>tc={08800E5C-A248-432A-AB57-3D860E87E0F4}</author>
    <author>tc={CC3E3839-A0A3-47AF-BDB1-6B7996693271}</author>
    <author>tc={CD57FB72-A888-4A12-9323-7AB89AF8D0CD}</author>
    <author>tc={52B21C18-B795-491E-9D0C-D0F337D1C2EC}</author>
    <author>tc={3503559B-3C08-4159-99D8-25673E1596FD}</author>
    <author>tc={A6E874A7-523F-4254-916A-67B469B1ECC7}</author>
    <author>tc={C5235C98-AC84-4017-A7BC-F70221895772}</author>
    <author>tc={F5F25DD6-3D55-4906-A4CE-C313A1CB042F}</author>
    <author>tc={B1493088-1D8B-4601-8D1E-CF7887FE9343}</author>
    <author>tc={F7F28148-2A69-4F16-88B5-8641D3915BA8}</author>
    <author>tc={C7998847-5E6B-4082-BE9F-30DEF6EF15D3}</author>
    <author>tc={5CA59D68-AF0F-4E4D-ABFF-4BC0657098C4}</author>
    <author>tc={64A125F6-D24A-4BCD-AAE4-CDABCDE0CED4}</author>
    <author>tc={4344C62C-41A0-4047-9C8F-0297598E7646}</author>
    <author>tc={A5EB5708-7B79-4714-AE64-A5A290E61461}</author>
    <author>tc={38408C70-417D-45F6-BC02-BC42822249E6}</author>
    <author>tc={D2CFA462-FB5F-40C5-B157-99483B9DB2FD}</author>
    <author>tc={CF65B94D-017C-4F9D-B65A-5D32C8FF8A63}</author>
    <author>tc={6C7BF800-8743-451D-A8A7-5C11A936275D}</author>
    <author>tc={723AA6DE-0245-40FC-B3A7-973F6CFCF756}</author>
    <author>tc={2C93A420-4755-43BE-A1E4-5C9F5777648B}</author>
    <author>tc={89AEE74B-11B2-4898-81EE-25C8C26BF0DB}</author>
    <author>tc={AF128957-204E-4FB7-AD9A-1AC0A7F788F5}</author>
    <author>tc={F1667895-BEA3-43DE-98D5-24BC0395176D}</author>
    <author>tc={633FDAB7-A8E5-4C4B-A5B1-D6F8B8677253}</author>
    <author>tc={68BB5851-3F55-43A6-9E41-2E6752226BD0}</author>
    <author>tc={AB806535-29CC-4E8C-B4DE-04CDB52E8734}</author>
    <author>tc={FE0245EE-D91A-431D-8E91-11F11F3CD294}</author>
    <author>tc={1E0F079B-14CC-40D2-B81D-215F02E857DB}</author>
    <author>tc={9F0529E3-C92D-4B67-928F-285F05AC686E}</author>
    <author>tc={D69E16DF-C313-4C23-BC7A-61698C23736A}</author>
    <author>tc={E8DFF2BF-2C01-4766-9B98-4FD7A69DAF5F}</author>
    <author>tc={8B330202-E22F-4EB6-BB3C-76140535CDAD}</author>
    <author>tc={69A6FDA4-4B53-4047-84E3-213E97315C3E}</author>
    <author>tc={AF3B5EFB-68C1-41C4-A718-52DD8C7210DC}</author>
    <author>tc={F61B8BFB-6E80-4145-831A-E476CF66E7FF}</author>
    <author>tc={D5A3633B-19E3-435B-A66A-49C8661D8EFD}</author>
    <author>tc={C424E18C-478D-4985-8499-0DF2D0D4FC6B}</author>
    <author>tc={24CAE4FE-DE77-4087-B9E4-2BCF444044BE}</author>
    <author>tc={2E412A2A-C3A3-4260-9F34-AC1385CE142E}</author>
    <author>tc={B7096445-A3BE-4AEA-89A4-E38980808286}</author>
    <author>tc={610DC482-E9DE-4785-9F80-539994B6F38B}</author>
    <author>tc={3BF3626F-E07D-48FE-AF62-6B5CB53B60A1}</author>
    <author>tc={868BC976-E5DB-4E37-8D69-3EAE8D4DADF6}</author>
    <author>tc={41129EF2-F023-4CDE-B07D-EE609769D2FC}</author>
    <author>tc={5E93D9A6-BD4C-4E4F-B8F6-6B74D3C9EAC9}</author>
    <author>tc={A05D2CA2-1FEB-4E02-B1CB-CEAC8A8B3D73}</author>
    <author>tc={194FFD0D-47EC-4361-A73F-FF9C7FFCCE55}</author>
    <author>tc={7AB0420C-CFF4-467A-9A85-960356F63D3C}</author>
    <author>tc={9219DDD5-B497-485D-B2F4-C1C4AB3FF7FF}</author>
    <author>tc={7B94A7C7-252C-4252-88DB-3D2896DC5E91}</author>
    <author>tc={100AE616-C8ED-472E-8894-520568A50892}</author>
    <author>tc={C7412A72-04A0-46AB-A046-0E5E0F82FC97}</author>
    <author>tc={4ABC10F8-B250-4DD7-9DD8-8FDC41FC8153}</author>
    <author>tc={DECC6699-06C5-4D15-A71D-A4C375CB3054}</author>
    <author>tc={0ACA66DB-03BA-4D39-AAC2-3E6554688F8B}</author>
    <author>tc={4212293B-CAD8-4C5A-8D73-A9C0A736217E}</author>
    <author>tc={4118BE8D-810A-4576-BC2B-FBA51AE98BC2}</author>
    <author>tc={C2C94DCE-D6FF-4083-9858-BF8632BCD86F}</author>
    <author>tc={162A34F2-E845-4434-8888-3F03ADA1C89E}</author>
    <author>tc={A6859043-B67C-4598-A539-08BAC755F100}</author>
    <author>tc={06EC981F-428B-4A39-85F4-322980D45086}</author>
    <author>tc={1EE17199-05AB-4A65-AB85-ECAA66344C80}</author>
    <author>tc={844EB527-D698-4EF2-BCCE-CDB478EC84F3}</author>
    <author>tc={A986BA9F-58E4-4AAB-B15D-18E07858BC33}</author>
    <author>tc={D00187E9-2F02-41A7-A0C4-0935C9249A7F}</author>
    <author>tc={A9CA097B-4C64-49F5-A7A7-6829876CA1DC}</author>
    <author>tc={CEEA0F9C-034A-4964-A151-20CA5C0B2667}</author>
    <author>tc={73BB6D72-6354-4282-88C1-A2FE3E3F13B2}</author>
    <author>tc={002E6AA1-6612-4D9D-A7F0-933803F99785}</author>
    <author>tc={763E657F-5EB2-446F-B733-7FF8B5DA6D13}</author>
    <author>tc={C3C128E7-2D1A-4BF7-9F6B-5F1E5F5F96A0}</author>
    <author>tc={1F79FE6F-B7A7-4C54-B8C7-1D06E9730C6F}</author>
    <author>tc={52A1EB67-DE50-46BB-B876-F821F2096F47}</author>
    <author>tc={29221E12-E006-44A1-A4FB-994174E725E2}</author>
    <author>tc={504F23B8-2DC2-40C1-B4B2-05FEC56C86BF}</author>
    <author>tc={7EE79DCB-3370-46CF-A97B-CB9FB730ED06}</author>
    <author>tc={4FCAACAC-EB84-40DC-8E0F-C8A065FD2819}</author>
    <author>tc={D76B022C-D7B5-40C5-B838-75F69C532FD3}</author>
    <author>tc={26614AFE-06CF-4F9B-BFDD-11061B02910E}</author>
    <author>tc={59F2349E-67C6-4041-B3DD-CD65EDA667BB}</author>
    <author>tc={FD9D020A-2B42-43FE-86C5-8DDDD5F69747}</author>
    <author>tc={EAE47709-9956-4F9F-9FF1-C2E78BAF201C}</author>
    <author>tc={6A0634CF-4DED-45E5-B74B-6F4E1CB90A1C}</author>
    <author>tc={4EA70170-F4DF-46B3-B1C6-13DAE9D5DF0B}</author>
    <author>tc={2277B0E9-911F-4A55-9F09-0E978C5D30EA}</author>
    <author>tc={D2BE7518-C717-4641-9E59-D6D81F02A55C}</author>
    <author>tc={EF1CEC07-2FF6-45E1-B351-B3EA6F6ED6FB}</author>
    <author>tc={7C715CE6-D34B-4499-AF5C-6556DAF55A67}</author>
    <author>tc={4A3849A1-8DC3-4AD9-84C0-9DC33B3505D2}</author>
    <author>tc={6206483F-AC26-4103-BF75-0EF15154BF5B}</author>
    <author>tc={60701B13-5C48-4A37-90F3-128F26EB2587}</author>
    <author>tc={E7FFCEC0-4213-48A3-BE9A-0CB36287EAE3}</author>
    <author>tc={56DD34FE-B753-4512-A2BB-0D405148B49D}</author>
    <author>tc={EC0E0539-12FE-44F4-A8CD-918B3C3C0B10}</author>
    <author>tc={E2CD9722-A342-4872-83EF-C1FF8D33DC4E}</author>
    <author>tc={00DF20ED-D736-439E-B522-3B2A5B9C1C79}</author>
    <author>tc={1DD9250C-A269-4B9D-904E-DD750C11002C}</author>
    <author>tc={9DCD5736-E492-4A31-BFB6-64AB83A85545}</author>
    <author>tc={66500881-CDB3-4B04-8A29-2C1EEAB7C6DB}</author>
    <author>tc={F1871E11-4F71-46B0-A573-C6AA1438D94B}</author>
    <author>tc={1A5F1788-F197-4BD8-918E-C9558C180B8B}</author>
    <author>tc={31C01841-D53A-4416-8C32-18B3DC7787DB}</author>
    <author>tc={0B26B382-7C17-4217-8CFF-FDB7F1FAE520}</author>
    <author>tc={65F1C391-8565-4C32-A121-75F5A97749F1}</author>
    <author>tc={8E00D63F-8DD0-4AB1-8D17-523766EFA59D}</author>
    <author>tc={305EB46D-AD94-4CBD-865D-DA9830769CCF}</author>
    <author>tc={5519AB2E-869F-4010-96DB-CA6201C6EC96}</author>
    <author>tc={56B0F0F8-6201-4414-9377-584C63F5DA5B}</author>
    <author>tc={4CD05D6F-E0C1-4EEE-B59E-F6CF12C8ED73}</author>
    <author>tc={CD3FCE7A-6B7B-4011-B348-E37670C467DE}</author>
    <author>tc={AEDB5143-E0C9-4E5E-B2E9-891AD5CFBDD4}</author>
    <author>tc={FA0DA7A4-F5F7-43CA-83EB-4AD6B61C619E}</author>
    <author>tc={FD57C8EA-2E1A-4996-89BC-074484A6D22E}</author>
    <author>tc={50C86E7A-E1D9-431F-9126-F7BFDF53EE2F}</author>
    <author>tc={C3281146-C82E-45E6-9791-AA95D465D81F}</author>
    <author>tc={43989B25-4287-4073-A2FC-D2C8944E1953}</author>
    <author>tc={CFE000CF-9B50-4081-AE33-777EE87EB004}</author>
    <author>tc={9DF9FE50-0F98-4563-BE40-B04A427D58F3}</author>
    <author>tc={E738A0E6-A9A8-4EC8-BFAB-187AB69B0FF8}</author>
    <author>tc={CAB4CEE6-F140-4A5C-AF71-6868B79C0ED4}</author>
    <author>tc={A209B56D-958F-4A93-B370-40A821080FF1}</author>
    <author>tc={B69F6A45-7E53-4452-865A-A4951FD19233}</author>
    <author>tc={D47762D7-4243-409D-AC40-FB00A6C90413}</author>
    <author>tc={A3AEEFB6-4BBA-401A-B737-B4B972CEA8F1}</author>
    <author>tc={97FDD5A0-EE06-4528-97A2-68C71AAC32FD}</author>
    <author>tc={C4BFFAD3-FED9-4ACE-970B-A9226CF09B57}</author>
    <author>tc={1671EDB4-3A43-482A-A593-6BBEB184E04E}</author>
    <author>tc={4E359B72-182F-4A44-A7EB-774046ECD887}</author>
    <author>tc={02E8F980-B80F-496A-8EE9-888442237C0D}</author>
    <author>tc={B38BE23F-9E61-4B99-B06F-709416D21332}</author>
    <author>tc={70D35C9C-57F2-4E71-A6D7-7FF212729222}</author>
    <author>tc={7C669793-EFA4-4CE3-AC77-E03540B76F58}</author>
    <author>tc={DD04C533-F32E-426F-B4C5-0DAD36A4AA9C}</author>
    <author>tc={C9D002B8-D652-4F9D-925A-E09966D5FF31}</author>
    <author>tc={0C6EB042-865C-424F-803E-7F09441C2B4A}</author>
    <author>tc={A6BFB2AC-58C2-419D-993F-B4B55707AF35}</author>
    <author>tc={DAD26A0C-E99C-46A7-9B61-4C7521522E1E}</author>
    <author>tc={C9CFA8C7-8A5A-4AEA-866D-8AC4F9ADD0CC}</author>
    <author>tc={3D019ED4-66A6-429C-BE30-7A1211C6905E}</author>
    <author>tc={58C69831-764B-4679-808E-EE8DF73DAFC6}</author>
    <author>tc={32A4D4A8-FA2F-41B1-A1EE-AA733F7AE2EE}</author>
    <author>tc={15DCE067-9329-49E8-AD7B-7752E58A19FC}</author>
    <author>tc={BE86D05F-D974-4711-B339-EF614F7C8C26}</author>
    <author>tc={684DF946-AA7A-41F1-82A2-9D5D3D6C0AFB}</author>
    <author>tc={C0068E47-A57C-4857-919C-6FF6E238E292}</author>
    <author>tc={BBEF8CCB-D1C9-410E-BDC2-F712573ABAC0}</author>
    <author>tc={E61F3994-3E5E-476B-90C1-A9FF9D04A4D9}</author>
    <author>tc={B8C308D6-06FA-4ABB-9A92-47D9540C2465}</author>
    <author>tc={50FD4D49-82A1-495C-8CBC-D4E2F0A0BB4D}</author>
    <author>tc={147A3CD0-6A8B-42CF-BB0E-5B70CD3F3B56}</author>
    <author>tc={D1459F73-10C8-4ECE-87C3-F95237E1C2DB}</author>
    <author>tc={8775C90C-4A73-43EE-944A-D6AAF210C1D6}</author>
    <author>tc={4E73EED7-223F-459C-9065-7D793855E15C}</author>
    <author>tc={A589B7B3-E3B5-4EA8-9ABE-0F319BDC2072}</author>
    <author>tc={7931AD5D-8C78-4DF2-BC95-C7D8FEEA18BC}</author>
    <author>tc={1C520854-FC03-49E2-A216-E8D965539E7E}</author>
    <author>tc={A011BA90-C30D-44DF-9B5D-FC24FEF8EAE5}</author>
    <author>tc={E24CDC58-EAB4-4382-AAA3-4B1CEE151480}</author>
    <author>tc={0A5626FD-AC47-4409-AA35-E4DF7AFB3D65}</author>
    <author>tc={D1B12B1F-FEF8-4213-BF3C-37778F82339E}</author>
    <author>tc={12D1325A-39C4-461C-88F2-AB801F45D98F}</author>
    <author>tc={CFA202B1-6836-4F3E-A355-B06A15DCD658}</author>
    <author>tc={C9F078A6-77E1-442F-8654-869337D81D3F}</author>
    <author>tc={1D5801DE-C382-40B3-8CE0-362E3E7B0F8D}</author>
    <author>tc={1F7911A4-A481-4E30-BE65-80FEB6453FB8}</author>
    <author>tc={F906CA81-9B87-4C77-940E-C973271D709E}</author>
    <author>tc={5B50FB6F-F40A-46BE-9AF4-C7462BD8522C}</author>
    <author>tc={2B8F42AA-E827-4641-A3D1-761CFFD9381B}</author>
    <author>tc={F072ED13-C228-449E-B87A-A740B03897C3}</author>
    <author>tc={DCA765C0-62DD-4B0A-B849-AA46CFC7B4EB}</author>
    <author>tc={D53CCD1D-7020-451A-B4B0-0FEEFF78E64A}</author>
    <author>tc={554C0E4C-F8DF-4E98-83C1-B783C9EE2A61}</author>
    <author>tc={8B9594E6-03C0-422B-8677-9A5D9EBAED0C}</author>
    <author>tc={30DC173E-A916-4201-B56E-FD89F13857AF}</author>
    <author>tc={4DC61D8F-293E-4649-849C-C258047F740D}</author>
    <author>tc={87852538-2473-4141-9E6B-649BB246D59E}</author>
    <author>tc={307F7BC9-DA70-449A-89F0-4860455DE9A4}</author>
    <author>tc={104E2E60-3D77-43F5-A187-85E252C9D6DE}</author>
    <author>tc={B8EBD682-47DE-4A0A-862A-22E50036D0C6}</author>
    <author>tc={6CF54B80-2620-4679-91A3-E2E73B2B789C}</author>
    <author>tc={BE99122A-715F-4A46-91EB-525B10390244}</author>
    <author>tc={2F5F4367-570F-4303-A5A1-DDF2F37790CF}</author>
    <author>tc={DDDC4030-42C6-4B3F-9992-BC4E4F67EE04}</author>
    <author>tc={03DB8DEF-F602-465B-AFF5-DECEC366C4C4}</author>
    <author>tc={F708675E-B762-4098-A5E1-F9FA3B4156AB}</author>
    <author>tc={1CFAB6B5-CBA9-406B-B716-4C88BCB6D3A6}</author>
    <author>tc={87DE02CD-6BC7-4AE4-AFEA-54F10ABC9932}</author>
    <author>tc={24AE6BC1-9B56-4D49-98FE-A3EC99BA7328}</author>
    <author>tc={C738543F-5649-40D9-AC64-DFC18B5BA414}</author>
    <author>tc={4840EAF1-455C-4F08-A49E-ECB04DF176E9}</author>
    <author>tc={ED05F45D-7F2B-46AA-99BA-9605F51627FF}</author>
    <author>tc={53D5B84D-7533-41F2-B9DB-E179BBFD32F3}</author>
    <author>tc={7DF57CB1-623B-4EC6-B85F-0EC73001166F}</author>
    <author>tc={360389EB-378B-4844-BAFA-54ACC7FD456F}</author>
    <author>tc={6568EB30-6625-4B77-A392-FF2234F00F9A}</author>
    <author>tc={83026454-CE99-4C0C-9117-268FEA367ADE}</author>
    <author>tc={BA605E5A-3496-4D49-B72D-7C6F5FE39343}</author>
    <author>tc={A90BC87D-0E51-45C4-AC1E-952B1D5E3789}</author>
    <author>tc={CCBB3E53-1050-4101-B584-FC7652ADB01B}</author>
    <author>tc={447C9E21-AC70-405D-AFA4-93B934D19C74}</author>
    <author>tc={027794AA-DEFE-4DC4-88B5-9F66702F95E4}</author>
    <author>tc={E380807E-0C8D-4BDC-8C9F-5E75DDB68001}</author>
    <author>tc={07206801-80CC-49D0-BCDD-D605D39C8A25}</author>
    <author>tc={9EFAB77B-03A6-439E-9FCD-ED44214F7D6B}</author>
    <author>tc={514913A7-1A3A-437E-B199-591173AA9AC7}</author>
    <author>tc={793D624F-7AC3-4211-9C91-55F6E303199E}</author>
    <author>tc={DE516858-A704-48E5-AA3D-789378350FC3}</author>
    <author>tc={3537B5A4-8115-4330-A234-A934D345EA2D}</author>
    <author>tc={C94B998A-4789-489F-A9EE-F27836D662B3}</author>
    <author>tc={99EC636C-8508-478B-8E54-1EDE536DCB13}</author>
    <author>tc={0381ACB9-550E-403D-BFF6-3D13F7A51F03}</author>
    <author>tc={BE0A3AE7-1844-4E51-9F1B-FF958CE44D06}</author>
    <author>tc={FAE57729-BA4C-4142-B0AD-EDEEA0D6F30F}</author>
    <author>tc={DBA00C0E-EF9F-4DFB-ABA8-7EBE004DF26B}</author>
    <author>tc={8D7C2A4C-C2FE-46B1-A620-BAB6F99D64F5}</author>
    <author>tc={7642743F-6B98-46E7-90D9-06B77F72728E}</author>
    <author>tc={1FFED5B1-250A-4434-AA8B-0B4F3C9030DB}</author>
    <author>tc={4F1C0B2B-5E59-427E-8EE1-3AFAB15CF484}</author>
    <author>tc={6BA74BFC-DDC4-4DFB-BC8E-1445085C6D77}</author>
    <author>tc={3DD9477F-20A7-48AB-8C11-03DA93E19540}</author>
    <author>tc={277E12BF-E495-42FB-8904-D2BDAA0FAEC9}</author>
    <author>tc={B1B9DA38-65D1-4C38-B481-4C926498BA00}</author>
    <author>tc={45D1DC42-DBB2-424E-868A-2B2CE4F6DDCC}</author>
    <author>tc={FB8A9C50-44D1-422D-971A-26D7B0775EAA}</author>
    <author>tc={1C656B5C-64A4-40D2-AD37-BAC310CB79CB}</author>
    <author>tc={9222ACF6-4503-4670-9C3F-684BD79A81D2}</author>
    <author>tc={52422F03-F005-4175-B6C5-D02B038E4B77}</author>
    <author>tc={C9C155E2-2C16-4356-A530-01678E725427}</author>
    <author>tc={093A203C-29AA-4BB9-BDC1-DA38B1DAD31E}</author>
    <author>tc={241B365B-8F8B-44F8-B1DE-1DFC2628EF4D}</author>
    <author>tc={44AE5BD3-9CB3-41B3-916C-8C55D1A03A0C}</author>
    <author>tc={DBDAD241-4C6C-4C9F-83F8-2EC6E9FA62B1}</author>
    <author>tc={1BA4C8EB-6C48-40F1-B218-05B6B4730EB4}</author>
    <author>tc={D74FCC6D-0E03-43A0-B149-62009019691B}</author>
    <author>tc={F6C949F7-1A58-4DB7-92A4-06DB72F0CBFC}</author>
    <author>tc={3C565C82-6EA3-4511-93B9-ADA11B980651}</author>
    <author>tc={8564DD20-59B5-4979-9135-82E2FF54BF63}</author>
    <author>tc={D3F61DB6-181E-4C5C-9CDF-49998E40795F}</author>
    <author>tc={9C3A1621-47AB-4A73-B14B-EC82BAC6144B}</author>
    <author>tc={CDEA4467-D351-48B1-9ABF-BDBCDF497085}</author>
    <author>tc={F66AA34D-AC21-4276-81AC-A8A6957B985A}</author>
    <author>tc={EDCB689C-6372-4AF4-A882-420748B7C45D}</author>
    <author>tc={5058C5A4-A89A-4DD7-801E-692577809D63}</author>
    <author>tc={6F6B2311-E7E0-488B-BD2D-B522F231B2F7}</author>
    <author>tc={3830DCA8-9D18-4D28-91EC-8AACFF2A6637}</author>
    <author>tc={DD35540E-61C8-4CF2-8059-AAA26A1086F9}</author>
    <author>tc={132C8FDB-DE7B-4A1C-A11F-B0CB48CA5AF9}</author>
    <author>tc={F7AEB643-D6D2-4AF6-8E01-26344F45B9BE}</author>
    <author>tc={29CC9947-9367-4810-B475-8AB33242A732}</author>
    <author>tc={2FC9BB9C-E896-4D0E-BE53-2BEA0C57DB07}</author>
    <author>tc={9E4EE341-6DD2-42E9-B33D-BF704FC7782D}</author>
    <author>tc={F76804D8-D4F8-4336-B3EF-BD1AD028AAE9}</author>
    <author>tc={73D7D2A2-C129-4ACE-937B-D6BA05ECAE1F}</author>
    <author>tc={E470496B-7C5A-478C-8B9F-239CDFECBB1C}</author>
    <author>tc={5A2C25C9-E05A-4B48-BF88-31DC0B8CC38C}</author>
    <author>tc={E9D026CE-5422-4C24-B96C-344E28F27854}</author>
    <author>tc={3083D44F-3920-4225-B1D5-EED588B4D04E}</author>
    <author>tc={ED180267-5C1B-4B4A-A433-E2115F9CC02E}</author>
    <author>tc={96ECF0A6-6427-4DDA-AD02-A6E05010C009}</author>
    <author>tc={66C48A50-D2CD-41A8-8901-9F4BE6D586BA}</author>
    <author>tc={30957445-2F46-43DB-96FB-FBEB92C57723}</author>
    <author>tc={78DFEFCA-F4B6-43DE-8F26-7AE3D17E8511}</author>
    <author>tc={25B56068-92A2-4D09-81B2-7210ACBB4AD9}</author>
    <author>tc={D8CF33CF-809E-4142-840D-FB9BFD69C866}</author>
    <author>tc={96934A35-8623-405B-A9E2-E1684C92C1E2}</author>
    <author>tc={C3BC2B69-4591-459A-8707-A92064C4E131}</author>
    <author>tc={8A35CA7F-2ED0-43A6-AF26-D80B425DD63A}</author>
    <author>tc={F5B0CDBF-3F2A-4162-A4FC-C66726078BF7}</author>
    <author>tc={2F74E83B-95E3-4A33-9107-BB51AE3660D9}</author>
    <author>tc={2BA41CC2-1B48-43D0-80EE-D385C20CD2AC}</author>
    <author>tc={584CFF41-AC9B-43E5-B77F-E8ED93AF40B9}</author>
    <author>tc={8F38D0DE-45BE-4785-BD85-3A02C23D3656}</author>
    <author>tc={5B505717-2EBC-47EF-B60A-1D27112B045F}</author>
    <author>tc={A9488E64-16F8-4E65-8621-0416D765F517}</author>
    <author>tc={47490351-1EFF-49F5-B181-2BB8D842E6BC}</author>
    <author>tc={C7EEF74B-6DFF-499D-90C8-AAD17CBB925D}</author>
    <author>tc={CA17FD48-B07C-48E7-B2AB-ED0CD53F8D38}</author>
    <author>tc={55D9D937-0468-45B9-8EE4-88AB7238AA23}</author>
    <author>tc={450E71F2-628B-46AF-895F-5B8E13C2D762}</author>
    <author>tc={1D523B4C-5EE4-461D-8719-8D544DA6364B}</author>
    <author>tc={4A6268C1-4AE9-4A2A-8B2A-C362D5BC271D}</author>
    <author>tc={93201D24-FA1C-40A3-BBD5-3F57220E2F2D}</author>
    <author>tc={2CA31121-F4D5-4C86-8C23-89E96CA4B139}</author>
    <author>tc={BD15C738-3792-4A1E-89B5-7C591D9803FF}</author>
    <author>tc={9D00C76D-E994-4F25-A46F-B1268A676B68}</author>
    <author>tc={6D0EAD05-6C48-4121-9DB1-13F366159F2C}</author>
    <author>tc={FDDDA988-9907-45B8-8DC6-03062B34AB5C}</author>
    <author>tc={23612806-EFD8-4836-B719-003418B037E4}</author>
    <author>tc={63BF07DA-E030-4B35-BFA6-2C4592FCE8C6}</author>
    <author>tc={DBA4AE9F-6D2B-4092-8CD7-A238CEF708E2}</author>
    <author>tc={F34A734F-D148-492C-BD77-C50D0876CD05}</author>
    <author>tc={776E4169-E788-48DC-B3BE-2170542625FB}</author>
    <author>tc={9A7D3393-4A00-419C-BBD5-BB5B430F4A50}</author>
    <author>tc={04484063-F56A-4232-963D-0B1179F36E63}</author>
    <author>tc={B4D829EE-B664-4E77-A6C2-70A6BF6DF7B2}</author>
    <author>tc={28F9F93A-38F8-4D44-9E23-C5CD7A8B22B9}</author>
    <author>tc={798C0200-6154-45EA-BB18-C300696A8ABE}</author>
    <author>tc={0D337F51-6973-4AB6-AADD-8FF9E866E179}</author>
    <author>tc={91D70112-4E49-4BB9-B10F-DFD76B2BFA05}</author>
    <author>tc={53B1206F-81DC-47D4-BA98-444E3AFC30B4}</author>
    <author>tc={42B0D111-BF69-45FD-84D2-2880E753CFA0}</author>
    <author>tc={049E8AE2-C6D7-4D1B-ACFA-40350D63FB85}</author>
    <author>tc={4ACC9DB9-932E-41ED-AA54-DAB4D2BF7CF6}</author>
    <author>tc={C60F3797-0A55-49D1-A903-7177D2F3A790}</author>
    <author>tc={5BB34F2D-4984-4CD0-BA2E-A8433E783105}</author>
    <author>tc={93847C17-22CF-49C4-A443-326440123452}</author>
    <author>tc={13FEA084-ED9A-4A14-BF37-FE7FA55541A7}</author>
    <author>tc={E45B232E-0DC5-48B5-8746-845BB7FB8799}</author>
    <author>tc={62A56CF6-04E8-4AC7-94DD-FF11626722B9}</author>
    <author>tc={16E771E2-E5D1-43F8-955F-AAE58ED0A954}</author>
    <author>tc={32ED9021-45F5-41F2-9BF9-7991E99C1761}</author>
    <author>tc={C54296EC-F922-4140-B597-C3137C335DC2}</author>
    <author>tc={C0E3D2DA-D0A8-40BB-BDB0-88B7B61699A6}</author>
    <author>tc={D65F2162-3B8B-4474-87E5-6F0ADA742036}</author>
    <author>tc={42CB1C38-DE96-43E7-B964-401374A32387}</author>
    <author>tc={12FC17F4-A9E5-408C-B152-CF56DB882D0C}</author>
    <author>tc={35C17556-C553-4B55-9D17-145F1A20BC3B}</author>
    <author>tc={5A60FD36-9A1E-49B7-9DFB-FB1D2F506D43}</author>
    <author>tc={FF54729C-9592-4E93-84DC-565B4E1AE041}</author>
    <author>tc={37D9AF6B-0F38-4F57-8BFE-625FD9DBB4EE}</author>
    <author>tc={D60B54B2-8A18-4BCA-B296-1EEAC1CD0E17}</author>
    <author>tc={584B59B5-2362-4414-BE85-ED0F84D06D50}</author>
    <author>tc={72E7FA92-6557-4460-9CD3-51E9B17ECCD1}</author>
    <author>tc={B0CD2D5F-68CD-4002-A91A-E32C08E041C9}</author>
    <author>tc={D5670C94-BB6E-4FDB-BE80-F2E015ED9C59}</author>
    <author>tc={6C324AA5-A1E0-47B8-905A-5C44D360DD98}</author>
    <author>tc={E30DAB4B-6678-4F87-BE20-92CAC0F1639F}</author>
    <author>tc={5F87D287-7CCA-4F4B-AB63-6A6E26B09171}</author>
    <author>tc={0C8FF131-FAF3-4A70-A153-C657AEDC7C1D}</author>
    <author>tc={D55CDDD9-3743-47C6-8820-3CADF0589B8F}</author>
    <author>tc={C0663518-6EDA-4747-8FA1-BAF387DA9A67}</author>
    <author>tc={917B050F-7CA2-41BE-A4C5-1EAF896A87F3}</author>
    <author>tc={4D0F604D-A09A-4654-A32F-943AFFA953B1}</author>
    <author>tc={7610708C-D480-4856-BFE0-FD751D0E85A3}</author>
    <author>tc={CD4717DA-3BC7-4D25-A9A9-100311401D76}</author>
    <author>tc={D4F9C3B0-12E8-4872-979F-9B3863C299A3}</author>
    <author>tc={1F486CCD-73D1-4507-AE65-189977C9F8E2}</author>
    <author>tc={E110691A-27D9-4C72-91D5-E3E8ED64A49B}</author>
    <author>tc={3860E940-D708-454F-A948-5760C2E0B858}</author>
    <author>tc={A6278C23-DB56-40B4-8A05-D127B69828E5}</author>
    <author>tc={ECC35CEF-DE9B-48E4-8BEF-F8F8A6BECA50}</author>
    <author>tc={528A533A-FBE7-4B49-952E-B7E16D3CD5E8}</author>
    <author>tc={5B531373-C5C5-42E5-83EE-BD85EFF90244}</author>
    <author>tc={95BE13CE-4710-4F3B-8A2F-61476814EC53}</author>
    <author>tc={EB8DD626-8BCA-45CF-A137-785A3604D91C}</author>
    <author>tc={CE5457E1-CC22-43B0-9BE0-031688BBF5CE}</author>
    <author>tc={27869088-E1DB-4A0C-BB3F-5B76B1CFD360}</author>
    <author>tc={5FB4CFE8-300F-4E10-A795-AB309B0C4DDD}</author>
    <author>tc={DEACAF27-1112-45CE-886D-FC662EB2992F}</author>
    <author>tc={8F3EF6D7-6E7D-4415-9CC0-D6F9B28DC246}</author>
    <author>tc={460992A2-10B6-4A32-9998-19E316CC0188}</author>
    <author>tc={76C40D73-C42A-4E06-81B5-E9289208AB84}</author>
    <author>tc={BA2DEC06-171C-447D-8C61-E386A987C015}</author>
    <author>tc={19991A05-BA52-49D4-AF77-379159CCE7DB}</author>
    <author>tc={8C1010E9-0D77-4A45-B9A5-14551B979A64}</author>
    <author>tc={457A1E5D-7E0B-4E8C-84E0-714FCAFF6DFB}</author>
    <author>tc={14A07815-95C7-4C10-B6D2-17CFC3F22829}</author>
    <author>tc={76F1E9E0-F5A9-4EF2-9177-02B7C71A80DF}</author>
    <author>tc={921FCABE-0FF5-40C6-82AE-441711452E2E}</author>
    <author>tc={F0C044B9-6F3D-47AE-882D-3BD8E1A62D7D}</author>
    <author>tc={349906DF-D0EE-4D82-B591-D858E1DCA9CF}</author>
    <author>tc={AF9C7701-CDC8-49A1-8A5E-21578E2A0E16}</author>
    <author>tc={7C011552-F3C1-43A6-AC70-C9A57BE6AF5D}</author>
    <author>tc={55BEB29A-53BD-4EDF-86A7-467AC6DA5444}</author>
    <author>tc={D336AFD5-664F-41CC-99BB-925C3E5C03A4}</author>
    <author>tc={F77E786E-84A8-4EE1-A8EE-21C63C6E758E}</author>
    <author>tc={6AA2AE88-EC7F-426F-8937-D5F142F85B3A}</author>
    <author>tc={CDA277FA-AE20-4825-B299-CEDC268424AE}</author>
    <author>tc={E944BB83-8236-446D-8A6D-3301CBE91150}</author>
    <author>tc={86B07074-E5AA-44C6-9A50-226B192179B4}</author>
    <author>tc={028DA5EA-D6CC-4545-8A47-CE99204D9602}</author>
    <author>tc={A43590E7-937C-4EA1-985F-E8FCC0E8F24E}</author>
    <author>tc={4E3244D9-36A0-4614-A220-C9029789FDBD}</author>
    <author>tc={B41CE261-A439-4949-B4D2-D7490A8D275D}</author>
    <author>tc={4EBD9C9A-3FC1-42B3-941B-BBC96AE9C5A7}</author>
    <author>tc={C6C4F567-D91B-47FA-AA7A-77BB9702636F}</author>
    <author>tc={0EF1E375-B863-4031-AE36-ADBD21AD8728}</author>
    <author>tc={9AE82BA0-80FA-4017-9EA7-C217B8895D82}</author>
    <author>tc={13DCE121-E280-45B5-B34C-18304F43221D}</author>
    <author>tc={9B31B17C-A54B-438F-845F-B10F58348ABF}</author>
    <author>tc={58CECF75-A1CB-429C-B11D-0BC0B95E21A1}</author>
    <author>tc={D0929C14-F608-465D-83D4-23623AAE6689}</author>
    <author>tc={BF702505-B5E5-4144-AF51-4C722B33BF69}</author>
    <author>tc={D39740BA-5DD9-4B09-BA9F-E0DE757FAB5A}</author>
    <author>tc={C1EC29F9-AEC9-46DC-8C8E-442B472B426A}</author>
    <author>tc={26FDBB9D-7F14-4504-B1DC-1089D82B0474}</author>
    <author>tc={45CF3968-344B-464B-9119-325BFDDC154B}</author>
    <author>tc={B96A82EE-422D-4790-86E6-CDA5D11153C4}</author>
    <author>tc={CB445EF8-2E39-48D0-8008-BBE970CFAEAC}</author>
    <author>tc={2E63EE11-402D-4DFC-AE74-C699789DD655}</author>
    <author>tc={F33A8F89-5A47-46B0-BBF9-12F6BE07B5B6}</author>
    <author>tc={4DEE3526-BF97-45C3-864F-C6D8212AC7DA}</author>
    <author>tc={5AD5FB3E-1C07-4807-81CE-4687EC4CDC42}</author>
    <author>tc={EACD1E22-2FDA-4EED-978B-858307147F88}</author>
    <author>tc={DABB34B6-8B0F-46CF-A1A6-33EBCBC30BC6}</author>
    <author>tc={2B1CD344-4A79-4928-8752-FF100E7658C9}</author>
    <author>tc={5559CC67-3865-4A56-AECE-C4837E3E1D50}</author>
    <author>tc={72BCEA13-23ED-4AC2-9621-045E6A9FFB6C}</author>
    <author>tc={6B1E901E-7A5B-4546-8454-9000E3448E0C}</author>
    <author>tc={CFB8A71E-B97E-4655-BA2B-C3A3B72172DF}</author>
    <author>tc={28991EB3-CD37-4F60-AC2E-5C98981C33A2}</author>
    <author>tc={DFD097E0-C953-4BEC-B739-2F66C8CBB5F8}</author>
    <author>tc={0DD4789C-F10B-443C-BB7A-1CDA4FF14126}</author>
    <author>tc={DC196030-CA1F-45A1-BF27-58C38E5BE0F2}</author>
    <author>tc={4F892845-3594-4B4A-A173-071B0172CCBA}</author>
    <author>tc={61449837-F764-4CA7-8AA6-5AF127111B93}</author>
    <author>tc={9B99F505-8E93-44B6-9820-C4EB6AF567E5}</author>
    <author>tc={F4876BB9-759A-42C1-99E8-80EFC0F86187}</author>
    <author>tc={185F6362-575E-47F3-A911-1368781C679F}</author>
    <author>tc={44B2276E-A0A5-4BC5-A67E-C6BE32AB44FB}</author>
    <author>tc={B97A6D08-4BBE-4C59-866E-FB2BE908B50A}</author>
    <author>tc={BEF6582F-D44F-40B0-9DAB-16E816924DC4}</author>
    <author>tc={768E27D7-5BD1-475A-993D-1E54408C2875}</author>
    <author>tc={4F6F4EFE-FDC9-4F21-A864-C6E6696ECCF8}</author>
    <author>tc={DC995DD8-0EA8-4D3F-BFA1-DE94A3D53AF2}</author>
    <author>tc={B2DA91A9-C656-446C-95C6-AABF935816DA}</author>
    <author>tc={341F69E1-28FF-4ED6-89DF-2DCD6AF668AB}</author>
    <author>tc={1A9B2AE0-AE17-4D46-8B70-2CEC6C86419A}</author>
    <author>tc={57CF25CE-C6E9-45F9-850A-DDDCD58ABF4E}</author>
    <author>tc={7498E2E7-0C95-4BA4-B0C9-7EF8D982C728}</author>
    <author>tc={132895F2-5D7B-4492-8321-DA2FFD0EA551}</author>
    <author>tc={E07D23BF-01BD-47AB-8FB2-CB56B46B0951}</author>
    <author>tc={099D5A9E-D47E-4444-8C36-16C313FCA8A5}</author>
    <author>tc={643CB212-F357-4AF7-8443-C8510A2948CC}</author>
    <author>tc={D6077D75-C2EB-4E38-A6B6-29AB63EC12E4}</author>
    <author>tc={4DBFC779-928B-46E9-8FEE-64E56D9B444B}</author>
    <author>tc={30144539-3B73-48CB-8298-73F8341ABC24}</author>
    <author>tc={24382248-C254-4C72-8515-2DEB2AD2446D}</author>
    <author>tc={FBF3E53D-D32A-40F4-9FF2-FF404012A1E2}</author>
    <author>tc={FA955A81-CB92-4A2A-B147-39A3914B158D}</author>
    <author>tc={8DB2E076-845D-469B-A461-A719EB77F6B2}</author>
    <author>tc={C5244E33-0267-4688-988D-A7FC71F3C7BC}</author>
    <author>tc={751DD982-7D85-4D3E-9BDE-B3074CC189C9}</author>
    <author>tc={7B9E5046-A128-4EE9-8295-7EC18B0CAABC}</author>
    <author>tc={439FAD25-470D-4E7C-9D4B-D1AA8842E324}</author>
    <author>tc={C09C9B5A-1104-4695-AA04-5DDD7DBB86E9}</author>
    <author>tc={84C50288-8520-4405-A1E9-6E4673F936E7}</author>
    <author>tc={8B40B7DF-AB57-45A6-8057-8723A1E89B41}</author>
    <author>tc={489E2EE2-EA45-480F-8AD7-EB8537D4DF03}</author>
    <author>tc={14BC4149-BEAC-4525-867C-EBA1D0B00E2E}</author>
    <author>tc={47F1D5F7-27AE-40EB-962F-C1D54EA4D012}</author>
    <author>tc={4733B809-EDFF-4F1D-979C-458A7BAF5C2B}</author>
    <author>tc={B24D8112-00C1-4FD9-827A-03F40C3C3F89}</author>
    <author>tc={61A866CA-7B18-4AA6-A9BC-D2F46071FF3E}</author>
    <author>tc={0661D89A-0182-4C53-AB0E-6D299E105D84}</author>
    <author>tc={ABDA29C8-1F12-4B16-8EF6-A01809421AB4}</author>
    <author>tc={5A39E551-1739-4209-9460-99A8D233D9F7}</author>
    <author>tc={4640DCA0-1323-4FF2-91F4-F508375A52DE}</author>
    <author>tc={CF97244C-6C5A-4752-B863-F760DFDBA43B}</author>
    <author>tc={B8943385-EB84-4408-9D06-E3A95746EA94}</author>
    <author>tc={6DFFF11B-2111-4256-9F3F-7147E08D1AE9}</author>
    <author>tc={5B9D2738-78E8-4074-A362-33F8D0226A38}</author>
    <author>tc={1709CB24-E7AD-4930-B5CC-D331D1C7EC74}</author>
    <author>tc={52C4BCC8-C960-4DD7-A5A3-D82DBA0AE685}</author>
    <author>tc={986DBC58-8DEA-40CB-8DF8-A1161E5FCA12}</author>
    <author>tc={D55D6901-1426-42A2-B323-95084629EC2E}</author>
    <author>tc={6CABBEE9-7B7C-4219-A685-758991CF166F}</author>
    <author>tc={6D4DD404-86D2-45C6-A701-091D9AD88D9F}</author>
    <author>tc={BB7809B5-3F91-4D1A-B5DB-642FFC850269}</author>
    <author>tc={0AF16E72-3DD0-4563-ADFB-0330632C608F}</author>
    <author>tc={3E8C9BB7-C785-4FC9-8DE5-61603CECCE4E}</author>
    <author>tc={F309FA8F-FC3C-49A1-A692-CA0AAAD93A00}</author>
    <author>tc={E084ABE9-037E-4CA4-9897-EBA254EE1D64}</author>
    <author>tc={64AE641E-8B18-41EE-A0C2-E9329E79B9A7}</author>
    <author>tc={DFF1FFA3-6172-47B2-AA26-DA15D5CAED37}</author>
    <author>tc={6A6584F3-E8D7-4B0E-8EE9-6CFE49830691}</author>
    <author>tc={7A996FC6-C71B-4E5F-80BB-45D14A3E05CB}</author>
    <author>tc={66D32450-B71E-48D2-9A2B-A6C2283A5791}</author>
    <author>tc={3AD1C9CA-8910-428B-BC9A-C6B6D744768A}</author>
    <author>tc={711FF5D2-9AE1-4963-B6E6-D798800C1DA4}</author>
    <author>tc={3459BF01-4C78-47B4-A9EA-B4AA9F539C61}</author>
    <author>tc={7F4497F3-E0F2-4C6C-8F19-735023647E9A}</author>
    <author>tc={F195C005-5055-4C7C-852D-A1C7D552D8F3}</author>
    <author>tc={138F6D6D-4C98-47C0-878C-D9E3A90D1C65}</author>
    <author>tc={E02361E3-F084-4314-A705-F611B2344649}</author>
  </authors>
  <commentList>
    <comment ref="F2" authorId="0" shapeId="0" xr:uid="{1F3A5176-3086-447C-99C7-C394AEEC9BF0}">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 authorId="1" shapeId="0" xr:uid="{FB5AACC2-D614-46FA-B99A-CB134BC1492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 authorId="2" shapeId="0" xr:uid="{C82F52E7-8913-4D05-997A-65FE0AB33FD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 authorId="3" shapeId="0" xr:uid="{F520F488-B23D-4D47-85A1-24DE0F421E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 authorId="4" shapeId="0" xr:uid="{80D8878B-9224-4985-905D-2B3A3868FA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 authorId="5" shapeId="0" xr:uid="{74EFBBA5-49E6-4DA2-B500-8A190421BA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 authorId="6" shapeId="0" xr:uid="{DC807AC4-8E8D-47C1-9137-2DB7BB9F8B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 authorId="7" shapeId="0" xr:uid="{3001D028-9B00-481F-A8C7-4E41A1AE73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 authorId="8" shapeId="0" xr:uid="{5C64C916-DC22-46A7-B9EB-12AE7F3C0AC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 authorId="9" shapeId="0" xr:uid="{CC2D8335-F7D9-47B6-B407-E233623B8D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 authorId="10" shapeId="0" xr:uid="{A37DD1AA-839D-4A5C-8229-1E53DC7B20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 authorId="11" shapeId="0" xr:uid="{36B2CC65-67CE-4BBC-9336-DA598593895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 authorId="12" shapeId="0" xr:uid="{EDE97EB4-1FCF-473F-B1D1-AE1CD6AD13B2}">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15" authorId="13" shapeId="0" xr:uid="{8EBD1334-AF20-40A9-A013-EC360ED3BAD8}">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18" authorId="14" shapeId="0" xr:uid="{72F63D37-B11C-41E3-B7D1-6929F019F8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 authorId="15" shapeId="0" xr:uid="{1E4179F9-6078-4961-8EB2-2F5C4E950AA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 authorId="16" shapeId="0" xr:uid="{6D993A87-3409-46C8-860C-13C2044C78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 authorId="17" shapeId="0" xr:uid="{2F172EBF-29B5-4588-AAB0-A930DF915A5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 authorId="18" shapeId="0" xr:uid="{F6D37633-F21F-4C72-A7D2-69766F9864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 authorId="19" shapeId="0" xr:uid="{3250967B-56EC-43D5-8DC3-6B4CD72A386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 authorId="20" shapeId="0" xr:uid="{37E59BC1-3C08-47F7-ADEE-2C5CAC9C68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 authorId="21" shapeId="0" xr:uid="{0F4A1576-7760-4FCD-A1A9-141C67CB231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 authorId="22" shapeId="0" xr:uid="{8EB67D82-0952-4395-8D99-E183AC95FFC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 authorId="23" shapeId="0" xr:uid="{13690811-4F2A-4F82-A8CD-2BAF67CBF5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 authorId="24" shapeId="0" xr:uid="{3F237E91-4C4F-471F-9ECD-C1D5CD72BA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 authorId="25" shapeId="0" xr:uid="{2A53B506-B8AF-4F2C-A0D7-48AC4230345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 authorId="26" shapeId="0" xr:uid="{6C4F3235-1D21-4BC5-B090-B94801F07A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 authorId="27" shapeId="0" xr:uid="{A4F390A7-62C8-4F5B-B2F2-804FA75863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 authorId="28" shapeId="0" xr:uid="{58F04E42-EAFE-448B-B886-88C2B234EAB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 authorId="29" shapeId="0" xr:uid="{75BFC895-1B8D-4B36-AF8C-E91B08FA015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 authorId="30" shapeId="0" xr:uid="{B54B0156-12C6-4DBE-A492-10B1F9AE79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 authorId="31" shapeId="0" xr:uid="{E3CA3065-5F35-43EC-BEFE-6BF3BFAB9A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 authorId="32" shapeId="0" xr:uid="{A27FF3EC-536B-46E6-8CD1-489ECA653E3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 authorId="33" shapeId="0" xr:uid="{BDFC0039-4560-4E70-9F37-98EA265D9C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 authorId="34" shapeId="0" xr:uid="{B4465285-7EC0-4306-8B85-267C7B482C9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 authorId="35" shapeId="0" xr:uid="{5A3D13C1-FE03-4556-8303-243B472162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 authorId="36" shapeId="0" xr:uid="{B2E6BF57-72DF-4C76-9E13-9EDF933FAA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 authorId="37" shapeId="0" xr:uid="{C1B7530D-7931-444A-A2E7-9453659B98A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 authorId="38" shapeId="0" xr:uid="{D6033A4B-D7B4-4F3B-A71B-097A1CAEBF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 authorId="39" shapeId="0" xr:uid="{34A59ECD-52C3-4030-8A1E-B64FA4E959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 authorId="40" shapeId="0" xr:uid="{A1AD9234-761F-4027-A6C4-6BC9EA7234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 authorId="41" shapeId="0" xr:uid="{22111ECA-9639-4D07-B9FF-3E2BE118163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 authorId="42" shapeId="0" xr:uid="{85A5EE2A-1561-4A71-9C60-DC94F4C024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 authorId="43" shapeId="0" xr:uid="{8138A278-7ECD-4E8C-B127-4988BE2A51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 authorId="44" shapeId="0" xr:uid="{F69BBB03-5628-41D1-BC56-4B36688AD3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 authorId="45" shapeId="0" xr:uid="{F967E98E-7EF0-4416-8354-E982CF8BD0A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 authorId="46" shapeId="0" xr:uid="{02BA8C86-F346-4756-AA04-D61F3F853E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 authorId="47" shapeId="0" xr:uid="{C75DD269-5AA0-4263-BDC3-1A827264B8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 authorId="48" shapeId="0" xr:uid="{44D2ECB0-3201-4823-8B54-CD45C063B7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 authorId="49" shapeId="0" xr:uid="{60AC2263-BAB2-4313-B2E3-B8239680144B}">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57" authorId="50" shapeId="0" xr:uid="{7BE24675-0917-46A8-A5C7-7A250BDEABF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 authorId="51" shapeId="0" xr:uid="{07B878CA-627F-4F2A-BD50-242BF74A20EB}">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59" authorId="52" shapeId="0" xr:uid="{32F41062-9E13-4FBB-B556-AC34476D8BBE}">
      <text>
        <t>[Comentário encadeado]
Sua versão do Excel permite que você leia este comentário encadeado, no entanto, as edições serão removidas se o arquivo for aberto em uma versão mais recente do Excel. Saiba mais: https://go.microsoft.com/fwlink/?linkid=870924
Comentário:
    9 camas</t>
      </text>
    </comment>
    <comment ref="F60" authorId="53" shapeId="0" xr:uid="{1BA41471-15B9-4682-994C-2D90AD7B5D5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1" authorId="54" shapeId="0" xr:uid="{60129457-6E63-438E-9ED1-093561FA2D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 authorId="55" shapeId="0" xr:uid="{4DAB539C-4CC6-47F2-B2B5-331CF080583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3" authorId="56" shapeId="0" xr:uid="{C92C71CA-E3B0-4991-9EFA-ED37DB04696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4" authorId="57" shapeId="0" xr:uid="{D7FC4AFF-CD9B-4C15-8544-69A3C0DCAE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 authorId="58" shapeId="0" xr:uid="{602C1A68-7DF5-4AC1-B345-FEB77816D7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7" authorId="59" shapeId="0" xr:uid="{F5ECD249-991C-4F8E-94CB-FA1933EC2D3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8" authorId="60" shapeId="0" xr:uid="{E0D14B6C-3CA7-4A1D-A0B5-9D6D11DFAE0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68" authorId="61" shapeId="0" xr:uid="{B85001F4-AE15-46EC-BE79-ADF570267404}">
      <text>
        <t>[Comentário encadeado]
Sua versão do Excel permite que você leia este comentário encadeado, no entanto, as edições serão removidas se o arquivo for aberto em uma versão mais recente do Excel. Saiba mais: https://go.microsoft.com/fwlink/?linkid=870924
Comentário:
    Esta fianza (600) pasa al pedido MIMESE 189</t>
      </text>
    </comment>
    <comment ref="F69" authorId="62" shapeId="0" xr:uid="{E5741D2A-DDF1-4602-8C5D-97A0AF56E3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0" authorId="63" shapeId="0" xr:uid="{669C5A5F-280C-4E6A-8BFE-3B56AF5F0CC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1" authorId="64" shapeId="0" xr:uid="{62B43C9A-F3B7-4D02-8EF9-03371ED21C6B}">
      <text>
        <t>[Comentário encadeado]
Sua versão do Excel permite que você leia este comentário encadeado, no entanto, as edições serão removidas se o arquivo for aberto em uma versão mais recente do Excel. Saiba mais: https://go.microsoft.com/fwlink/?linkid=870924
Comentário:
    600 fianza</t>
      </text>
    </comment>
    <comment ref="F72" authorId="65" shapeId="0" xr:uid="{B2A0ABBD-4E36-4C50-A5A9-5F1E109A7B61}">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73" authorId="66" shapeId="0" xr:uid="{7078AAE5-002A-40BE-9A15-960AB1A6A8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4" authorId="67" shapeId="0" xr:uid="{EA8318CE-EE4A-40E6-840A-E56785AE35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5" authorId="68" shapeId="0" xr:uid="{DC991A5A-3BA1-4994-B480-43FB36DCA5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6" authorId="69" shapeId="0" xr:uid="{72F767A2-4CAD-4DE7-A6A4-A1D038FB84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7" authorId="70" shapeId="0" xr:uid="{99DA0966-58E6-4529-9327-B8A332128A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 authorId="71" shapeId="0" xr:uid="{944F0E21-D1F9-4C99-8CDC-723BF2E7A87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9" authorId="72" shapeId="0" xr:uid="{B9B8ED8E-6C7D-417B-975C-3BC9A45E2D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0" authorId="73" shapeId="0" xr:uid="{AF664C97-51FC-424A-B5AA-EC5AB6A1F9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1" authorId="74" shapeId="0" xr:uid="{413FF5C8-2C37-4CAF-A838-9F3C6EA672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2" authorId="75" shapeId="0" xr:uid="{B1F304F0-06CC-4A8E-A4A4-7BE359656F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3" authorId="76" shapeId="0" xr:uid="{B12BF335-1FF1-46F4-B706-23A71AD180C0}">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84" authorId="77" shapeId="0" xr:uid="{43568F83-C2E2-4AE3-9962-B773F7A1C530}">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85" authorId="78" shapeId="0" xr:uid="{D89C4A7F-27FC-4C58-B490-EC6B2BC2AA2B}">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86" authorId="79" shapeId="0" xr:uid="{6D0DC5B6-F586-4C66-95A0-EDE8467E27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7" authorId="80" shapeId="0" xr:uid="{49CE200D-142B-49DD-97A4-42AB0FE540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8" authorId="81" shapeId="0" xr:uid="{402A532A-D234-4DB7-B9D3-052C5CB22A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9" authorId="82" shapeId="0" xr:uid="{4275E70C-41DB-4724-970E-0C0A8769FAE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0" authorId="83" shapeId="0" xr:uid="{1E5E2979-AE87-4553-B3E0-5A60EA7ACB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1" authorId="84" shapeId="0" xr:uid="{DCA6D234-3BD3-4315-8D40-7F458A9FCB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2" authorId="85" shapeId="0" xr:uid="{A0743FF9-A3B2-4EBB-B157-52FF11CD023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3" authorId="86" shapeId="0" xr:uid="{262466DB-96DB-4589-B587-1701C40A74B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4" authorId="87" shapeId="0" xr:uid="{5FC94AC5-9E83-42FD-B326-4D311BE5CE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 authorId="88" shapeId="0" xr:uid="{D58E0446-A146-4DE9-829B-82EFE41D846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6" authorId="89" shapeId="0" xr:uid="{E6D704AC-2C4E-4749-A316-AE774D345B9C}">
      <text>
        <t>[Comentário encadeado]
Sua versão do Excel permite que você leia este comentário encadeado, no entanto, as edições serão removidas se o arquivo for aberto em uma versão mais recente do Excel. Saiba mais: https://go.microsoft.com/fwlink/?linkid=870924
Comentário:
    400€ cada habitación =800€.
400€ fianza</t>
      </text>
    </comment>
    <comment ref="F97" authorId="90" shapeId="0" xr:uid="{9B65FCDD-4835-4CE1-9732-863697DE6BFD}">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98" authorId="91" shapeId="0" xr:uid="{D2377AE9-9974-41B9-8BA5-E61AAAAB35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9" authorId="92" shapeId="0" xr:uid="{9B201CBA-08CA-4EB4-AD32-E5854E2B20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0" authorId="93" shapeId="0" xr:uid="{88E3467C-E470-4F79-AD15-8BA8255FF4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1" authorId="94" shapeId="0" xr:uid="{5CB3AEBA-5980-41D1-9402-223C675114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2" authorId="95" shapeId="0" xr:uid="{9483FD8D-0B22-4213-875D-6E58C62A55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3" authorId="96" shapeId="0" xr:uid="{EAF6DB4A-6A16-4278-AF7B-07EDCE2DF6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4" authorId="97" shapeId="0" xr:uid="{8A3025D8-C096-42FD-BE66-80FD3AC6EC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 authorId="98" shapeId="0" xr:uid="{47F34E39-0E64-4AF6-B66B-1BE87AA575F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6" authorId="99" shapeId="0" xr:uid="{95867284-6471-4B7F-AC8C-584963E6FF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7" authorId="100" shapeId="0" xr:uid="{D67C3E08-BBD5-49E8-AC13-522A5450D9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8" authorId="101" shapeId="0" xr:uid="{4AC25C6E-4D25-4386-A4AF-598866ACF4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 authorId="102" shapeId="0" xr:uid="{DAF028CA-9CB8-4C08-855F-86663EB0A1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2" authorId="103" shapeId="0" xr:uid="{8BCC8FC0-082C-4F5E-80F3-9020C54352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3" authorId="104" shapeId="0" xr:uid="{8972F45B-301C-4174-B00D-4132DBE3689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4" authorId="105" shapeId="0" xr:uid="{8A8AD329-5B1F-4769-99F5-18703D3A83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6" authorId="106" shapeId="0" xr:uid="{CACAE696-2AFA-435F-B995-572CAA544E9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7" authorId="107" shapeId="0" xr:uid="{39851F9D-5F25-4126-903C-683B78A27BC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 authorId="108" shapeId="0" xr:uid="{9EF5C770-7BF6-454D-A4B5-7B710C8FACD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 authorId="109" shapeId="0" xr:uid="{317B44D9-21F1-4B7A-A31F-4168A41D92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 authorId="110" shapeId="0" xr:uid="{7C99367D-595A-4812-BEC9-6DD34678C7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 authorId="111" shapeId="0" xr:uid="{CA2E485D-C040-4C0C-8525-47B260BE237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 authorId="112" shapeId="0" xr:uid="{EDB17F31-99A4-4100-98F7-DB4C9A6E295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 authorId="113" shapeId="0" xr:uid="{0BD22C36-DD6B-47F2-933D-4AE4C1BC12D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4" authorId="114" shapeId="0" xr:uid="{C08CC9CA-E542-4DB2-AA09-8912A176406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 authorId="115" shapeId="0" xr:uid="{E9380961-2DD4-4E90-AD29-54AD3C438F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 authorId="116" shapeId="0" xr:uid="{74B4CAF7-0B05-4260-8803-1B778113A7F6}">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t>
      </text>
    </comment>
    <comment ref="F127" authorId="117" shapeId="0" xr:uid="{830EFEE2-9E7C-4A9E-925D-EA110F2D1654}">
      <text>
        <t>[Comentário encadeado]
Sua versão do Excel permite que você leia este comentário encadeado, no entanto, as edições serão removidas se o arquivo for aberto em uma versão mais recente do Excel. Saiba mais: https://go.microsoft.com/fwlink/?linkid=870924
Comentário:
    600 fianza</t>
      </text>
    </comment>
    <comment ref="F128" authorId="118" shapeId="0" xr:uid="{D2D0F2A2-422A-43E4-B9E3-78267592704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9" authorId="119" shapeId="0" xr:uid="{5DF9768A-0616-440E-8200-0991908D95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0" authorId="120" shapeId="0" xr:uid="{D8973CC6-EA74-43B8-A39D-9422105300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 authorId="121" shapeId="0" xr:uid="{D48D3760-B3AB-4FA5-889D-AB7670E9377A}">
      <text>
        <t>[Comentário encadeado]
Sua versão do Excel permite que você leia este comentário encadeado, no entanto, as edições serão removidas se o arquivo for aberto em uma versão mais recente do Excel. Saiba mais: https://go.microsoft.com/fwlink/?linkid=870924
Comentário:
    alquiler 750 y fianza 750</t>
      </text>
    </comment>
    <comment ref="F132" authorId="122" shapeId="0" xr:uid="{60042998-BE3C-4A81-898A-E42B554C2A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 authorId="123" shapeId="0" xr:uid="{FBA65103-DE1C-4529-85F5-05A7DA57BF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 authorId="124" shapeId="0" xr:uid="{DA8567A9-749E-4C76-8E8E-B3C4A1EAD7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 authorId="125" shapeId="0" xr:uid="{77FC99CE-24C9-4064-A5A3-5FCFE27F6B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 authorId="126" shapeId="0" xr:uid="{7DC95EFD-3A6D-4E60-9275-6DF71531FC8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37" authorId="127" shapeId="0" xr:uid="{6D3B61BB-E162-479F-95D1-6E3A09307D3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37" authorId="128" shapeId="0" xr:uid="{08051B7F-1A4E-4C33-BFA0-4AC3D470ED06}">
      <text>
        <t>[Comentário encadeado]
Sua versão do Excel permite que você leia este comentário encadeado, no entanto, as edições serão removidas se o arquivo for aberto em uma versão mais recente do Excel. Saiba mais: https://go.microsoft.com/fwlink/?linkid=870924
Comentário:
    Pasa a la fianza Xemir</t>
      </text>
    </comment>
    <comment ref="F138" authorId="129" shapeId="0" xr:uid="{EC14F1FE-BB73-4D60-8BDE-3C5884D9BA2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139" authorId="130" shapeId="0" xr:uid="{97158D1D-9709-4164-8D9D-44AC6892A1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 authorId="131" shapeId="0" xr:uid="{C0E56789-2AE8-4FB6-B7B6-FC4A0EAD53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 authorId="132" shapeId="0" xr:uid="{90627AE5-E4BF-4262-A3F8-30CF495E0E1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 authorId="133" shapeId="0" xr:uid="{0089535B-6324-42A7-A2C1-2229628411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4" authorId="134" shapeId="0" xr:uid="{FFC06A81-BDD2-400C-98D2-95472ABF4F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 authorId="135" shapeId="0" xr:uid="{0B2719C7-628A-4120-9F93-8C5F442418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7" authorId="136" shapeId="0" xr:uid="{C1F2EDFA-91E0-41C5-A24D-5F65291D111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 authorId="137" shapeId="0" xr:uid="{379C4606-3677-44EA-B4B8-F0A5578163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9" authorId="138" shapeId="0" xr:uid="{D6451537-88A1-4F68-B6DE-73C58523B3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 authorId="139" shapeId="0" xr:uid="{F0668ABC-12B1-41A8-AE7A-8C1CE066AB5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 authorId="140" shapeId="0" xr:uid="{67248E16-486B-4101-AC26-1150208B5D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2" authorId="141" shapeId="0" xr:uid="{46CEAF48-0279-4704-94BF-48B0964698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3" authorId="142" shapeId="0" xr:uid="{901BDA18-E303-4848-8400-3D15A3EBB3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 authorId="143" shapeId="0" xr:uid="{7D5BAD56-2653-4FB3-8903-469DA46ABD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 authorId="144" shapeId="0" xr:uid="{4A530C53-643F-4838-B335-C2C05271385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 authorId="145" shapeId="0" xr:uid="{DF609116-EF27-46ED-A25F-B6C7075B86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 authorId="146" shapeId="0" xr:uid="{F42CC4C5-53B5-45F2-AA39-CE967F5D427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8" authorId="147" shapeId="0" xr:uid="{0983C346-629E-4C52-BA55-D38DD03852F5}">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t>
      </text>
    </comment>
    <comment ref="F159" authorId="148" shapeId="0" xr:uid="{546F35E5-DE32-46D5-9B12-920DD190A6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 authorId="149" shapeId="0" xr:uid="{A29F71EC-CEF4-40DE-ABAD-70A1DD8AB6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 authorId="150" shapeId="0" xr:uid="{BB80DE94-9896-4771-9B45-E4501F0740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2" authorId="151" shapeId="0" xr:uid="{5D03208E-F443-46DE-88F8-E0AED5BCDF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 authorId="152" shapeId="0" xr:uid="{513679D4-DDD5-469A-9EC7-DF7E14ADDAF4}">
      <text>
        <t>[Comentário encadeado]
Sua versão do Excel permite que você leia este comentário encadeado, no entanto, as edições serão removidas se o arquivo for aberto em uma versão mais recente do Excel. Saiba mais: https://go.microsoft.com/fwlink/?linkid=870924
Comentário:
    Renta 560+30(servicios)
Fianza 1120
Habitaciones 5</t>
      </text>
    </comment>
    <comment ref="F164" authorId="153" shapeId="0" xr:uid="{AACF5481-1D0A-4578-A850-55F1735C8090}">
      <text>
        <t>[Comentário encadeado]
Sua versão do Excel permite que você leia este comentário encadeado, no entanto, as edições serão removidas se o arquivo for aberto em uma versão mais recente do Excel. Saiba mais: https://go.microsoft.com/fwlink/?linkid=870924
Comentário:
    Renta 560+30(servicios)
Fianza 1120
Habitaciones 5</t>
      </text>
    </comment>
    <comment ref="F165" authorId="154" shapeId="0" xr:uid="{F013F115-C1CE-4E1F-9821-E45ED59844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6" authorId="155" shapeId="0" xr:uid="{C5171BF8-4B7A-4ACF-98B4-4049B213DBA2}">
      <text>
        <r>
          <rPr>
            <sz val="11"/>
            <color theme="1"/>
            <rFont val="Calibri"/>
            <family val="2"/>
            <scheme val="minor"/>
          </rPr>
          <t>Comentario:
    Piso 1900</t>
        </r>
      </text>
    </comment>
    <comment ref="F167" authorId="156" shapeId="0" xr:uid="{B5BF8354-67F5-434B-B5E7-679D29C121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 authorId="157" shapeId="0" xr:uid="{A9090B84-2B89-4293-8989-126F3D970D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X168" authorId="158" shapeId="0" xr:uid="{CAD2C68A-4113-4713-8981-06569DAFEE2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 pago mes de agosto y proporcional de Julio 
</t>
      </text>
    </comment>
    <comment ref="F169" authorId="159" shapeId="0" xr:uid="{67F01555-AC15-479F-BA28-D22427FC21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69" authorId="155" shapeId="0" xr:uid="{B7CE9C1F-758E-42B5-87D1-DB889B39742C}">
      <text>
        <r>
          <rPr>
            <sz val="11"/>
            <color theme="1"/>
            <rFont val="Calibri"/>
            <family val="2"/>
            <scheme val="minor"/>
          </rPr>
          <t>Fianza pendiente. Esperando recibo de Luz. Fianza Devuelta 26/04/2024 320,43 €. Se descontraòn los recibos (82,15 recibo anterior+47,42 recibo actual)
	-Rebecca Castro Pareja</t>
        </r>
      </text>
    </comment>
    <comment ref="F172" authorId="160" shapeId="0" xr:uid="{D23460DA-F9A9-4692-9F55-008C5B59C3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3" authorId="161" shapeId="0" xr:uid="{4F350BE6-D33E-400C-9B0A-7302244EAC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73" authorId="155" shapeId="0" xr:uid="{EEFB20E7-5D40-44FA-888C-1FC0CF07F76E}">
      <text>
        <r>
          <rPr>
            <sz val="11"/>
            <color theme="1"/>
            <rFont val="Calibri"/>
            <family val="2"/>
            <scheme val="minor"/>
          </rPr>
          <t>Fianza devuelta enviada a Thalia 25/04 para verificaciòn
	-Rebecca Castro Pareja</t>
        </r>
      </text>
    </comment>
    <comment ref="F175" authorId="162" shapeId="0" xr:uid="{00A99DDD-8FA4-43C2-B634-D868B36C6A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6" authorId="163" shapeId="0" xr:uid="{B800C4B0-5536-483B-91FB-1C59F64EF4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76" authorId="155" shapeId="0" xr:uid="{6CC411CB-3926-4AD4-89EA-C58707E0DC33}">
      <text>
        <r>
          <rPr>
            <sz val="11"/>
            <color theme="1"/>
            <rFont val="Calibri"/>
            <family val="2"/>
            <scheme val="minor"/>
          </rPr>
          <t>Fianza devuelta enviada a Thalía 25/04 para verificación
	-Rebecca Castro Pareja</t>
        </r>
      </text>
    </comment>
    <comment ref="F177" authorId="164" shapeId="0" xr:uid="{E79516B7-51F1-445A-A209-185F1F342F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8" authorId="165" shapeId="0" xr:uid="{5F16DF56-6ABE-4100-83AF-457DCC654A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9" authorId="166" shapeId="0" xr:uid="{9070EEC6-67A0-4398-96E3-11D849EAAF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0" authorId="167" shapeId="0" xr:uid="{B54517FC-F011-4606-867A-859E2040AC3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1" authorId="168" shapeId="0" xr:uid="{B14DBA13-BD7E-4B43-8DDD-94AED9ADA9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2" authorId="169" shapeId="0" xr:uid="{43F7672F-7A0F-4BBC-9D2A-F507D1C996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3" authorId="170" shapeId="0" xr:uid="{D2D4762A-A894-4F6A-A3B8-92AF2FAA92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4" authorId="171" shapeId="0" xr:uid="{27F308D6-889A-45F9-B54B-7F578710E8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5" authorId="172" shapeId="0" xr:uid="{343EE29C-836F-4E03-90A3-55A381D1F0E4}">
      <text>
        <t>[Comentário encadeado]
Sua versão do Excel permite que você leia este comentário encadeado, no entanto, as edições serão removidas se o arquivo for aberto em uma versão mais recente do Excel. Saiba mais: https://go.microsoft.com/fwlink/?linkid=870924
Comentário:
    04 camas, 400 € alquiler</t>
      </text>
    </comment>
    <comment ref="F186" authorId="173" shapeId="0" xr:uid="{2217564A-00A8-477B-B537-EC4BF24D8D1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 authorId="174" shapeId="0" xr:uid="{222271DE-4E0A-45FB-A4EA-153B6C95C3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8" authorId="175" shapeId="0" xr:uid="{420616C3-65EB-4122-B400-ED6B8967721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89" authorId="176" shapeId="0" xr:uid="{9DC36D54-3A5B-4E9A-B6F7-D80FCC856C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0" authorId="177" shapeId="0" xr:uid="{0006355D-C724-4A1D-A1E4-ACEA1AE54C1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1" authorId="178" shapeId="0" xr:uid="{F92C3032-8FBE-40DB-9078-871D6E97BE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2" authorId="179" shapeId="0" xr:uid="{DC8B1B76-B9AE-4FF4-B867-F8E9A76DC91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3" authorId="180" shapeId="0" xr:uid="{29FAC6A8-B27E-424D-89E8-8771EADD135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4" authorId="181" shapeId="0" xr:uid="{726F213C-D4B1-49E2-9DB8-9E53D5BCAD4D}">
      <text>
        <t>[Comentário encadeado]
Sua versão do Excel permite que você leia este comentário encadeado, no entanto, as edições serão removidas se o arquivo for aberto em uma versão mais recente do Excel. Saiba mais: https://go.microsoft.com/fwlink/?linkid=870924
Comentário:
    ALQUILER 2200, FIANZA 650</t>
      </text>
    </comment>
    <comment ref="F197" authorId="182" shapeId="0" xr:uid="{EEF27CF0-BB49-421C-9276-28D5DCFFA848}">
      <text>
        <t>[Comentário encadeado]
Sua versão do Excel permite que você leia este comentário encadeado, no entanto, as edições serão removidas se o arquivo for aberto em uma versão mais recente do Excel. Saiba mais: https://go.microsoft.com/fwlink/?linkid=870924
Comentário:
    ALQUILER 2200, FIANZA 650</t>
      </text>
    </comment>
    <comment ref="F198" authorId="183" shapeId="0" xr:uid="{FA821347-4DE6-4028-8D82-613733C6747B}">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99" authorId="184" shapeId="0" xr:uid="{1FC389CB-FEF3-4577-BE19-5A0E57BD56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I199" authorId="185" shapeId="0" xr:uid="{3F13D53B-CDD6-45BE-BC2F-D667E3DC745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B.S.A.TUBERIA, S.L </t>
      </text>
    </comment>
    <comment ref="F200" authorId="186" shapeId="0" xr:uid="{DE9EF3E0-989B-422F-9A14-BF1D327102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1" authorId="187" shapeId="0" xr:uid="{FC69B1C3-700C-4738-B207-99EF8CD423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2" authorId="188" shapeId="0" xr:uid="{3458D565-CB19-4187-B52C-77A00ABA3E1F}">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203" authorId="189" shapeId="0" xr:uid="{12812226-F706-49D9-AE1D-BF8A16ED67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4" authorId="190" shapeId="0" xr:uid="{48EA3194-71B3-475D-A1B9-F3D3BA2ACBC3}">
      <text>
        <t>[Comentário encadeado]
Sua versão do Excel permite que você leia este comentário encadeado, no entanto, as edições serão removidas se o arquivo for aberto em uma versão mais recente do Excel. Saiba mais: https://go.microsoft.com/fwlink/?linkid=870924
Comentário:
    1000 alquiler, 02 habitaciones, 250 fianza</t>
      </text>
    </comment>
    <comment ref="F206" authorId="191" shapeId="0" xr:uid="{9C595196-7252-45F0-8313-99DCDFDED2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7" authorId="192" shapeId="0" xr:uid="{59042408-0FA9-4F47-A29A-433A9F3A5B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8" authorId="193" shapeId="0" xr:uid="{8D369ABC-A7D3-489E-8370-F967BD79680F}">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209" authorId="194" shapeId="0" xr:uid="{235CF7E0-FCD5-4B0F-8094-43738792A2A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10" authorId="195" shapeId="0" xr:uid="{7C9CCEE5-A242-4F6F-9835-46683D18BE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1" authorId="196" shapeId="0" xr:uid="{1419D41A-CC88-4DDB-A016-775AE1B2E57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4" authorId="197" shapeId="0" xr:uid="{C05FF7C1-672F-4674-88A9-1F0BD4655C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5" authorId="198" shapeId="0" xr:uid="{EBF18885-48CC-4E4F-8E74-B1D3FC6BF257}">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216" authorId="199" shapeId="0" xr:uid="{3826FBFB-75A7-4354-9B06-F0E0EE721415}">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17" authorId="200" shapeId="0" xr:uid="{ACFE436E-58B3-4D48-B668-40076D389B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8" authorId="201" shapeId="0" xr:uid="{8AB01522-74DD-480E-A6FC-FB0310F62225}">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19" authorId="202" shapeId="0" xr:uid="{26431174-0B9B-417A-A760-B5C39F123B5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 authorId="203" shapeId="0" xr:uid="{BE8B61AC-7D9D-4C43-9B39-9A4FB5DE8AB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1" authorId="204" shapeId="0" xr:uid="{A5293838-3ABF-4BA1-914F-AA8619F516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2" authorId="205" shapeId="0" xr:uid="{0DCB957B-6A96-48E2-81C6-6829F192E96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 authorId="206" shapeId="0" xr:uid="{63D32F03-4F09-4501-9F4F-3BE9F610046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4" authorId="207" shapeId="0" xr:uid="{E2588AAD-015A-4915-8C53-28F3431569FD}">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225" authorId="208" shapeId="0" xr:uid="{7C59BBE2-379C-4DCC-A17D-5A405B1EA83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 authorId="209" shapeId="0" xr:uid="{7E4551CE-A55C-4C44-A9CF-0CC56C88BA1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 authorId="210" shapeId="0" xr:uid="{711D550A-56A0-4D94-B380-544D793BC2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 authorId="211" shapeId="0" xr:uid="{915E980F-C619-4277-9D62-16D770CEF9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 authorId="212" shapeId="0" xr:uid="{57797710-4A77-42C4-AD11-A132A2D9BB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0" authorId="213" shapeId="0" xr:uid="{1C89B91F-105A-4DB7-B05C-7D38BDBDA196}">
      <text>
        <t>[Comentário encadeado]
Sua versão do Excel permite que você leia este comentário encadeado, no entanto, as edições serão removidas se o arquivo for aberto em uma versão mais recente do Excel. Saiba mais: https://go.microsoft.com/fwlink/?linkid=870924
Comentário:
    600€ alquiler, 600€ fianza, 05 camas</t>
      </text>
    </comment>
    <comment ref="F231" authorId="214" shapeId="0" xr:uid="{291C49ED-6FC3-4D03-9DE6-10740A9D48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 authorId="215" shapeId="0" xr:uid="{14FD6A42-AE93-4FE9-AA67-7CD1F91831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 authorId="216" shapeId="0" xr:uid="{BC09FAEA-C3F3-4AEC-AD9C-473235C366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 authorId="217" shapeId="0" xr:uid="{0048588A-608A-45A1-8DC4-B03E8628047F}">
      <text>
        <t>[Comentário encadeado]
Sua versão do Excel permite que você leia este comentário encadeado, no entanto, as edições serão removidas se o arquivo for aberto em uma versão mais recente do Excel. Saiba mais: https://go.microsoft.com/fwlink/?linkid=870924
Comentário:
    600€ alquiler, 600€ fianza, 05 camas</t>
      </text>
    </comment>
    <comment ref="F236" authorId="218" shapeId="0" xr:uid="{251432B8-1BA3-44EE-8A54-1FBE0A57E4F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237" authorId="219" shapeId="0" xr:uid="{724D9427-72B9-443F-9D11-F6CE0261A1A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8" authorId="220" shapeId="0" xr:uid="{48E46E3E-A5D8-477A-A9D5-974790DAB47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 authorId="221" shapeId="0" xr:uid="{EF7AEE60-39B8-46E2-9E6A-4E36091B76F4}">
      <text>
        <t>[Comentário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Camas 4</t>
      </text>
    </comment>
    <comment ref="F241" authorId="222" shapeId="0" xr:uid="{0499EC3D-D66C-49C9-B9C3-C122DD73BB4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 authorId="223" shapeId="0" xr:uid="{4B0BF54E-27C5-4153-96D8-C3E7257DD3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 authorId="224" shapeId="0" xr:uid="{C36DD3B5-847A-4581-AA95-BD010014F8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 authorId="225" shapeId="0" xr:uid="{D74A7F4D-180C-4BE9-8B90-78781DFC99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 authorId="226" shapeId="0" xr:uid="{BBEEDDFC-3D44-4EF9-AC4E-8F63D9B9D9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 authorId="227" shapeId="0" xr:uid="{A0D1F35F-A201-41DC-B65B-82A3D8790A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 authorId="228" shapeId="0" xr:uid="{4A6BEC4A-5021-4594-BE2F-FE72362D01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8" authorId="229" shapeId="0" xr:uid="{F0BC28C4-0B52-4B8B-8594-EACF8572CDC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9" authorId="230" shapeId="0" xr:uid="{655AA623-66A6-4A67-8E19-D564AE18AB9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0" authorId="231" shapeId="0" xr:uid="{CC0686B4-EA31-470F-AF09-49BBEF1E5A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M250" authorId="232" shapeId="0" xr:uid="{48BA3B5C-8ACF-4EEF-84A8-C276A0B7972F}">
      <text>
        <t>[Comentário encadeado]
Sua versão do Excel permite que você leia este comentário encadeado, no entanto, as edições serão removidas se o arquivo for aberto em uma versão mais recente do Excel. Saiba mais: https://go.microsoft.com/fwlink/?linkid=870924
Comentário:
    Factura gestión de inmobiliaria factura 2763 por valor 636 euros</t>
      </text>
    </comment>
    <comment ref="F251" authorId="233" shapeId="0" xr:uid="{4A82CFE5-4A43-49B6-BF4A-3EEB0FD295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2" authorId="234" shapeId="0" xr:uid="{53534A35-21F0-4E50-8411-A221EA73662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3" authorId="235" shapeId="0" xr:uid="{D4AEEB5A-F1AD-43BB-B93E-5F19412AF147}">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54" authorId="236" shapeId="0" xr:uid="{877162E6-94D3-4C18-ACCE-051E5AE7420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5" authorId="237" shapeId="0" xr:uid="{2BE9F8B6-7081-4D46-83C0-9E36BA2726B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55" authorId="238" shapeId="0" xr:uid="{878AB074-3222-40C9-9D62-E98B8DFF4C2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Fianza abonada.
</t>
      </text>
    </comment>
    <comment ref="F256" authorId="239" shapeId="0" xr:uid="{0D6AF40A-C240-4705-ACA4-D614089FE32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7" authorId="240" shapeId="0" xr:uid="{64F6B5CE-EDF4-4C56-95AA-F1A4D481C24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8" authorId="241" shapeId="0" xr:uid="{E0A544AA-24F1-4574-89BE-B76E21191A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9" authorId="242" shapeId="0" xr:uid="{349D5D98-7C59-48AD-8FC4-F4889E3047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0" authorId="243" shapeId="0" xr:uid="{02AD1570-5405-4BC1-BABE-E571236D225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1" authorId="244" shapeId="0" xr:uid="{8F760757-64A4-4F0F-B13B-AA30FE0289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2" authorId="245" shapeId="0" xr:uid="{CDD264A5-BA08-4FE0-A9B7-208A7B68CE6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3" authorId="246" shapeId="0" xr:uid="{2A932836-289F-4B87-9245-144E21DB43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4" authorId="247" shapeId="0" xr:uid="{5671E80C-9E89-4377-B35C-2A60E3EDB9F8}">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265" authorId="248" shapeId="0" xr:uid="{AEC1AE97-B439-4E0D-941B-A28FA895ED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6" authorId="249" shapeId="0" xr:uid="{19DCD601-E4AF-4F4D-8C26-B360C1F281A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7" authorId="250" shapeId="0" xr:uid="{682FE283-ADC0-4213-8F65-999B0CB8DB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8" authorId="251" shapeId="0" xr:uid="{F4256274-A24A-4109-9009-44032AFD66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9" authorId="252" shapeId="0" xr:uid="{3CFA8683-D02B-4FAC-A469-648E21CCBA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0" authorId="253" shapeId="0" xr:uid="{B4A9FA52-23CB-4442-A0C4-12CD9499709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1" authorId="254" shapeId="0" xr:uid="{980DB0AC-3ED4-455C-A4F1-79DE86BA86B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2" authorId="255" shapeId="0" xr:uid="{4892A52B-8B55-4E32-8A99-8289F3E8F6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3" authorId="256" shapeId="0" xr:uid="{99D8D710-C2DA-46D9-A032-3CEFE472CB15}">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W273" authorId="257" shapeId="0" xr:uid="{E538F3D9-0E0B-470B-B1F0-FA4F0207632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Fianza de la inmobiliaria Paseo Atelier
</t>
      </text>
    </comment>
    <comment ref="F274" authorId="258" shapeId="0" xr:uid="{DC8323F5-670C-4F64-9660-62D441B3F024}">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W274" authorId="259" shapeId="0" xr:uid="{3A17F31A-C0E5-4D65-B004-2381A9532835}">
      <text>
        <t>[Comentário encadeado]
Sua versão do Excel permite que você leia este comentário encadeado, no entanto, as edições serão removidas se o arquivo for aberto em uma versão mais recente do Excel. Saiba mais: https://go.microsoft.com/fwlink/?linkid=870924
Comentário:
    Fianza de la inmobiliaria Paseo Atelier</t>
      </text>
    </comment>
    <comment ref="F275" authorId="260" shapeId="0" xr:uid="{721D7B24-C45E-4C4E-93D1-1DC32F861B9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 authorId="261" shapeId="0" xr:uid="{4611ACB0-3223-4DE8-8DC2-C70BFFF9E0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76" authorId="262" shapeId="0" xr:uid="{6BE72786-5276-48F0-9A79-B171EA09B944}">
      <text>
        <t>[Comentário encadeado]
Sua versão do Excel permite que você leia este comentário encadeado, no entanto, as edições serão removidas se o arquivo for aberto em uma versão mais recente do Excel. Saiba mais: https://go.microsoft.com/fwlink/?linkid=870924
Comentário:
    La fianzas d Rodrigo pasa a Diego
Responder:
    Esta fianza pasa a Luis Alberto Zuñiga pedido 436</t>
      </text>
    </comment>
    <comment ref="F277" authorId="263" shapeId="0" xr:uid="{22F893F9-6925-440C-A9E9-BBD002D6F1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8" authorId="264" shapeId="0" xr:uid="{22703688-EA43-48CD-A689-D368B151E2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9" authorId="265" shapeId="0" xr:uid="{EA7BE6F6-7CEE-408E-93E1-EAAA38A6C4F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0" authorId="266" shapeId="0" xr:uid="{930E00B4-C686-4EDF-9FBF-8A53C86F88B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1" authorId="267" shapeId="0" xr:uid="{5F98A77B-8A75-4216-A46B-8613EE02C07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2" authorId="268" shapeId="0" xr:uid="{4E0BA6A6-1B47-4475-A5A1-3B49E5FC446E}">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283" authorId="269" shapeId="0" xr:uid="{5C9E4D7C-4A8B-4DD0-B00B-CFC9C1205D71}">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285" authorId="270" shapeId="0" xr:uid="{3ECAF27D-8C68-4ECB-8A0C-DA10496094A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6" authorId="271" shapeId="0" xr:uid="{FD432CBE-4295-4E4F-9FE1-8A0E3BDF67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7" authorId="272" shapeId="0" xr:uid="{D2028C06-3DD5-4D2C-8327-F3C9FDF852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8" authorId="273" shapeId="0" xr:uid="{0A89D0FE-EDDB-48AE-9FC1-A0CFFCCC3BF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9" authorId="274" shapeId="0" xr:uid="{8E9022FC-1E35-44FE-AAD9-0FE9112DE8A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0" authorId="275" shapeId="0" xr:uid="{8B72F239-126E-4171-9315-101D1DFF5B9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1" authorId="276" shapeId="0" xr:uid="{2D7F0B28-9C5A-445E-960A-54B59CC422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2" authorId="277" shapeId="0" xr:uid="{01022F30-C331-40E8-BC04-DF4C701AF93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3" authorId="278" shapeId="0" xr:uid="{AFD90E10-1FCE-4FC6-938D-9C1B1B75D37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4" authorId="279" shapeId="0" xr:uid="{E3BF4B82-423A-4E6B-ADA7-5B18546C38C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5" authorId="280" shapeId="0" xr:uid="{655FA928-AF39-42F9-93AC-C8CF0F257B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6" authorId="281" shapeId="0" xr:uid="{CDFBE9E4-2076-46FD-8B7C-FBD68FD8E29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7" authorId="282" shapeId="0" xr:uid="{63EB4F8D-2E6F-45E5-A54B-94CA3701C7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9" authorId="283" shapeId="0" xr:uid="{10EB01ED-9DC7-4CA7-8E1F-B9E4410A85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0" authorId="284" shapeId="0" xr:uid="{DEA3BEB8-7619-41F1-A885-7BD3D92407C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1" authorId="285" shapeId="0" xr:uid="{DC5FE44A-80A8-421B-86EC-641454C9DF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2" authorId="286" shapeId="0" xr:uid="{863E90F4-95CE-432C-BA7C-EDBFA26C33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4" authorId="287" shapeId="0" xr:uid="{7C63F5C5-A3D6-4FA9-AD88-3C80C4D5FD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5" authorId="288" shapeId="0" xr:uid="{8239400E-F09F-40B1-B7C0-03EF40CDF9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6" authorId="289" shapeId="0" xr:uid="{CE67147B-8A04-4723-8909-E871D627FB6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7" authorId="290" shapeId="0" xr:uid="{7846BDAD-18FE-4D9E-B845-C634A0C71998}">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308" authorId="291" shapeId="0" xr:uid="{83B6ED7B-2687-4757-85DA-3363BBD0A119}">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309" authorId="292" shapeId="0" xr:uid="{DACA2B47-CE16-44AC-B6AC-0E9FC2D84D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0" authorId="293" shapeId="0" xr:uid="{B592D774-B2F6-4142-A655-739D7AC9E8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1" authorId="294" shapeId="0" xr:uid="{24F3ED14-D6E0-4F17-AB0F-92642C6E9C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2" authorId="295" shapeId="0" xr:uid="{D2AE1E93-944D-4EED-AF30-D00F2690EE9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4" authorId="296" shapeId="0" xr:uid="{CC3FA872-ACC1-4975-954C-0ABFF4D500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5" authorId="297" shapeId="0" xr:uid="{6B4AC46B-0722-4712-B525-3B9F2154CC1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6" authorId="298" shapeId="0" xr:uid="{F61C8430-3428-44BF-854C-5A7DD6E88F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7" authorId="299" shapeId="0" xr:uid="{501A98D0-C713-48A5-8F2E-D726B4B7DF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18" authorId="300" shapeId="0" xr:uid="{0AF90793-4C4F-4BE1-8D45-847BF76D6D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9" authorId="301" shapeId="0" xr:uid="{A0FC19FB-A040-4D07-824A-5E2CC68985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0" authorId="302" shapeId="0" xr:uid="{DE6C43E1-51AF-4D10-A14C-CAF41F316CF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1" authorId="303" shapeId="0" xr:uid="{E4C22B60-2BC2-4CD3-9607-C506E1A871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22" authorId="304" shapeId="0" xr:uid="{6D9D7B4D-145E-4882-8CB5-90B2C600FD8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23" authorId="305" shapeId="0" xr:uid="{9C0CC31F-FF52-4393-A3C6-03C00291AE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4" authorId="306" shapeId="0" xr:uid="{D61AA1F7-C81B-4C53-932A-B843CC62E28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5" authorId="307" shapeId="0" xr:uid="{D3A85FF8-3903-4180-8EF9-9324A1A1FA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7" authorId="308" shapeId="0" xr:uid="{F7B6DABB-13BC-4739-839B-FD7F3C8CB4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8" authorId="309" shapeId="0" xr:uid="{750B1EEB-C45B-43C5-AEC9-9655EAF7CD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29" authorId="310" shapeId="0" xr:uid="{2B362A05-9453-41DE-86D7-4734507152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329" authorId="311" shapeId="0" xr:uid="{0A06AD74-4827-46D6-83A3-C1DD7C87D01B}">
      <text>
        <r>
          <rPr>
            <sz val="11"/>
            <color theme="1"/>
            <rFont val="Calibri"/>
            <family val="2"/>
            <scheme val="minor"/>
          </rPr>
          <t xml:space="preserve">Yuli Paola:
fianza de el alquiler inicial 300 euros
</t>
        </r>
      </text>
    </comment>
    <comment ref="F330" authorId="312" shapeId="0" xr:uid="{0FD10FC7-9890-4877-B7A8-388B001B1A76}">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331" authorId="313" shapeId="0" xr:uid="{935C284D-B1C6-4A51-A09F-11A5AA120D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2" authorId="314" shapeId="0" xr:uid="{2508BBEA-C784-4AE4-93AD-1948146621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3" authorId="315" shapeId="0" xr:uid="{081BEE5E-273E-43CF-8961-8B635189DD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4" authorId="316" shapeId="0" xr:uid="{11C8981E-BA77-49F9-B560-049911D032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5" authorId="317" shapeId="0" xr:uid="{3F21A861-65A7-42CC-875B-0CCF1CA040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6" authorId="318" shapeId="0" xr:uid="{F1344912-A1C1-4FF9-97EE-9C04C8F564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7" authorId="319" shapeId="0" xr:uid="{87BC1D46-726F-40DD-ADEA-88B480C809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8" authorId="320" shapeId="0" xr:uid="{8FBA14A3-31C8-4BF6-800D-34FF162BFBA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9" authorId="321" shapeId="0" xr:uid="{B4419094-31DD-4B8A-BB14-F18F794522E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0" authorId="322" shapeId="0" xr:uid="{F6FDBF36-A953-4746-A1B0-EE3A6FB701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1" authorId="323" shapeId="0" xr:uid="{F26DF4C6-6C85-4D3F-9997-3D99F7B580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2" authorId="324" shapeId="0" xr:uid="{1CC4A915-C6C1-4075-A467-5E64297F9144}">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343" authorId="325" shapeId="0" xr:uid="{0D3BA5C7-94DF-4D09-99A5-D938041897B5}">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344" authorId="326" shapeId="0" xr:uid="{1042C5DF-1B2E-455D-8430-BB3BD7F2FDB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5" authorId="327" shapeId="0" xr:uid="{3DEC0EA9-2611-478F-A6D7-BC95822034A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6" authorId="328" shapeId="0" xr:uid="{1A449E3D-9891-41B5-BB10-D166EEE2DB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7" authorId="329" shapeId="0" xr:uid="{BA1A29F3-78E5-461C-B157-7F5BA997236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8" authorId="330" shapeId="0" xr:uid="{3108B6DF-A802-4BF8-B027-05338207316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9" authorId="331" shapeId="0" xr:uid="{311E2056-53F9-457B-9112-410A2C8991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0" authorId="332" shapeId="0" xr:uid="{FB6619B5-9A2F-4F91-A292-CFD4455A11E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1" authorId="333" shapeId="0" xr:uid="{6725F27A-2273-43C2-8497-C8B624243A6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X351" authorId="334" shapeId="0" xr:uid="{CFB6C40C-FDA9-415E-B73C-756DFDE4E67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 pago mes de agosto y proporcional de Julio 
</t>
      </text>
    </comment>
    <comment ref="F352" authorId="335" shapeId="0" xr:uid="{1DBB4DB4-4363-43E4-A3B3-DF7B8FD8E76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3" authorId="336" shapeId="0" xr:uid="{37D113D5-34DE-4399-B3EA-4CDA3FD02C5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4" authorId="337" shapeId="0" xr:uid="{B1D79E8B-E132-4C86-A491-459AB86F55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5" authorId="338" shapeId="0" xr:uid="{16F2F895-3889-4A99-B3C7-2221560B3E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6" authorId="339" shapeId="0" xr:uid="{39B79ECC-9163-4F53-AFBC-52BE061A38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7" authorId="340" shapeId="0" xr:uid="{FD625C43-FB65-4092-A33A-5234F54F2DD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8" authorId="341" shapeId="0" xr:uid="{3BC8012A-D359-47EA-9179-D925293CDA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9" authorId="342" shapeId="0" xr:uid="{2C038B7A-ED75-450F-8937-24EBFAED34B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0" authorId="343" shapeId="0" xr:uid="{9ECE296F-FCE9-43D6-923B-AE93EBD67D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1" authorId="344" shapeId="0" xr:uid="{5DDFB6C3-0D33-4C4F-9FF9-5F9F37E9970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2" authorId="345" shapeId="0" xr:uid="{19F02485-67E8-45EA-87C1-1B0E5D35B7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3" authorId="346" shapeId="0" xr:uid="{442BA5CB-F226-43EE-A04D-7FD87DD7B71F}">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364" authorId="347" shapeId="0" xr:uid="{247D2CE2-2AC0-4246-A41C-A48E94C17F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5" authorId="348" shapeId="0" xr:uid="{56059C14-E16F-41B3-92AA-6BF395995F4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6" authorId="349" shapeId="0" xr:uid="{262BC46F-ED0F-469C-ABE2-AD76478FF9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7" authorId="350" shapeId="0" xr:uid="{18BF94F1-FDF6-4ED7-B4E8-AC1EDC1EA4A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8" authorId="351" shapeId="0" xr:uid="{8E375B76-5476-4EB1-BAED-767924583F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9" authorId="352" shapeId="0" xr:uid="{0DEB2116-E55A-4216-B45E-B25A0D38421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0" authorId="353" shapeId="0" xr:uid="{CCDDC38D-A7FB-487C-BF7C-121C969A88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1" authorId="354" shapeId="0" xr:uid="{935D8371-9BD3-4417-BAEC-D582B89CBE7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2" authorId="355" shapeId="0" xr:uid="{0773CA36-D5E9-4006-9B41-0B87FE88E10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3" authorId="356" shapeId="0" xr:uid="{1AAF68EB-35D3-476D-9203-61FC7BDE27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4" authorId="357" shapeId="0" xr:uid="{7AEF9994-6C6E-4505-B3F3-7D82F5166847}">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t>
      </text>
    </comment>
    <comment ref="F375" authorId="358" shapeId="0" xr:uid="{E900399E-9560-4666-BB92-EB1F712853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6" authorId="359" shapeId="0" xr:uid="{CF89DE6D-41F6-4797-B87C-0C62C60E33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7" authorId="360" shapeId="0" xr:uid="{6A848087-FAF5-46CC-9F78-25A15A34B00C}">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378" authorId="361" shapeId="0" xr:uid="{2C60FBF3-01B4-4464-AF39-D97609A6374F}">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379" authorId="362" shapeId="0" xr:uid="{BDAE283B-5226-49F6-9DA6-DBEBE4800E3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1" authorId="363" shapeId="0" xr:uid="{315991F4-D8DE-429F-A588-07C81D3C346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2" authorId="364" shapeId="0" xr:uid="{8B9B5F76-0200-4389-AE34-777A50D03E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3" authorId="365" shapeId="0" xr:uid="{EB6F8FBC-63EF-450B-956E-9F397DED0F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4" authorId="366" shapeId="0" xr:uid="{0EEAAC8C-460B-472D-86B3-5DFFE3E173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5" authorId="367" shapeId="0" xr:uid="{35DC51CF-7103-4AA5-826A-9AB7D4C317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6" authorId="368" shapeId="0" xr:uid="{879DFDFD-61BE-41E8-9E15-424B6638D36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7" authorId="369" shapeId="0" xr:uid="{E7BE95AC-C2EF-46F1-B66E-4831F51F29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388" authorId="370" shapeId="0" xr:uid="{2F37B56B-BC61-445B-93FF-18A6A3A86C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9" authorId="371" shapeId="0" xr:uid="{72853EFD-5823-4B27-9407-F09639DB2A05}">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390" authorId="372" shapeId="0" xr:uid="{7B1BC648-B67D-422C-AC59-E59FD2C130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1" authorId="373" shapeId="0" xr:uid="{E0C1E0A2-7A80-4595-8D1A-A81DB0E837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2" authorId="374" shapeId="0" xr:uid="{926490A3-5DAA-4228-AD4D-53CA1FA973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3" authorId="375" shapeId="0" xr:uid="{81E4CB3B-F0EB-4954-A905-D3FC29CCC1A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394" authorId="376" shapeId="0" xr:uid="{A26B0B2B-90E6-46AD-B0B6-3D636CBE8F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5" authorId="377" shapeId="0" xr:uid="{4890F4DC-BD51-426A-8028-D33A53C1F8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6" authorId="378" shapeId="0" xr:uid="{ED7DF6C0-26FD-4A39-B18F-8336A7ED14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7" authorId="379" shapeId="0" xr:uid="{9B5861AB-59AE-4E6E-9A71-EABBFD781A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8" authorId="380" shapeId="0" xr:uid="{C9DE12B7-B1EF-4423-83E3-CF43033F75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9" authorId="381" shapeId="0" xr:uid="{187DDEC1-2F05-4277-B1F0-3154F40B26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0" authorId="382" shapeId="0" xr:uid="{913DEF1B-8686-4B1E-B308-F3A8F15702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1" authorId="383" shapeId="0" xr:uid="{A31797EB-AB2B-4F62-B740-803BA3A701B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2" authorId="384" shapeId="0" xr:uid="{9BAF6F71-C3DC-423E-9B48-B2CE578960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W403" authorId="311" shapeId="0" xr:uid="{2111C6DA-D3FC-4C84-818A-53283FDF799A}">
      <text>
        <r>
          <rPr>
            <sz val="11"/>
            <color theme="1"/>
            <rFont val="Calibri"/>
            <family val="2"/>
            <scheme val="minor"/>
          </rPr>
          <t>Yuli Paola:
FIANZA DE DIEGO LUNA 350</t>
        </r>
      </text>
    </comment>
    <comment ref="F405" authorId="385" shapeId="0" xr:uid="{BD78954C-0B0C-476D-8453-86E55F8E56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6" authorId="386" shapeId="0" xr:uid="{63598B2C-B960-4FF0-BB70-4DD5638FFA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7" authorId="387" shapeId="0" xr:uid="{41CFA8A5-F3D6-4387-9A51-0C8C9BB126C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9" authorId="388" shapeId="0" xr:uid="{EADA0789-5365-44CE-88D3-8651A449EFC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0" authorId="389" shapeId="0" xr:uid="{EA7D76F1-CA07-4C67-B28F-A44DB2FCB8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1" authorId="390" shapeId="0" xr:uid="{DE8E8C3F-4FA8-498B-82B9-B46045CACC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2" authorId="391" shapeId="0" xr:uid="{A99ED56C-5C79-4D45-B493-4993108FF3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3" authorId="392" shapeId="0" xr:uid="{FCD0B773-1C3A-4B25-9580-518F48175A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4" authorId="393" shapeId="0" xr:uid="{8E773F2C-63F8-42A2-AF9E-29DF5B410E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5" authorId="394" shapeId="0" xr:uid="{17F5EBB9-1260-4B5C-9098-5BBCBC590A6B}">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16" authorId="395" shapeId="0" xr:uid="{5BABDA90-60EB-4D0E-9448-50862CC114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8" authorId="396" shapeId="0" xr:uid="{5A82478C-F255-46DB-B814-7830D46AFD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19" authorId="397" shapeId="0" xr:uid="{BF5B6A58-A44D-4301-9E6E-F4EE3519D8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0" authorId="398" shapeId="0" xr:uid="{093C9CC8-243B-4E4C-8690-810F9EDFFC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1" authorId="399" shapeId="0" xr:uid="{6FD85F66-2119-4D05-9CFD-A4557F8B8842}">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22" authorId="400" shapeId="0" xr:uid="{B6C4E78B-17A9-42E0-91FA-EB040BBCBA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4" authorId="401" shapeId="0" xr:uid="{087984F5-6232-47BA-8D72-0A2E99B225A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5" authorId="402" shapeId="0" xr:uid="{493AE948-C355-427B-A36C-72FD9F987E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6" authorId="403" shapeId="0" xr:uid="{578D42DF-71D3-4273-89DE-6B2DC667120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7" authorId="404" shapeId="0" xr:uid="{83032402-E611-459E-BB81-EF51C293A75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427" authorId="405" shapeId="0" xr:uid="{41339EBE-85C1-4CF9-A4EB-702BD88AD74C}">
      <text>
        <t>[Comentário encadeado]
Sua versão do Excel permite que você leia este comentário encadeado, no entanto, as edições serão removidas se o arquivo for aberto em uma versão mais recente do Excel. Saiba mais: https://go.microsoft.com/fwlink/?linkid=870924
Comentário:
    Esta fianza pasa al pedido 375</t>
      </text>
    </comment>
    <comment ref="F428" authorId="406" shapeId="0" xr:uid="{464B7E09-5144-42DD-9946-7C237D9BA5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9" authorId="407" shapeId="0" xr:uid="{4EF7F28F-412A-4169-8B89-8C5A1A36F4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0" authorId="408" shapeId="0" xr:uid="{E9D5ABE8-6A1F-4F66-9D5F-15688072CDC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1" authorId="409" shapeId="0" xr:uid="{17B771D2-8A7C-4EA7-8366-8A34CAA0C6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2" authorId="410" shapeId="0" xr:uid="{4048DC9D-B29D-4D24-95DC-42335AA164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3" authorId="411" shapeId="0" xr:uid="{FE9CBD54-150F-46E0-9DA8-5EF27BF16B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4" authorId="412" shapeId="0" xr:uid="{A6882EF9-17AA-44B7-9D6B-0D1D6B091B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5" authorId="413" shapeId="0" xr:uid="{A40A52E8-D0D7-43B8-843D-B2414ACABCA3}">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436" authorId="414" shapeId="0" xr:uid="{957FBA4A-5615-4496-BA9E-D2044FFDF9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7" authorId="415" shapeId="0" xr:uid="{4C098229-908B-4EBE-B14A-5CE5D5B041D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8" authorId="416" shapeId="0" xr:uid="{167820F2-51B5-4055-936D-91EB97729A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39" authorId="417" shapeId="0" xr:uid="{AB0ED2B5-0C7F-4373-A415-30694DAA9FF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440" authorId="418" shapeId="0" xr:uid="{C387FE18-F5B2-4D23-A4FF-F322BE3DF8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1" authorId="419" shapeId="0" xr:uid="{5CBBE8ED-D03A-4105-9997-B2AC84268F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2" authorId="420" shapeId="0" xr:uid="{2882778E-DC6A-41CD-9595-FB40EF70973C}">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443" authorId="421" shapeId="0" xr:uid="{EE046C13-DD54-44B7-8985-FCCEC3376B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4" authorId="422" shapeId="0" xr:uid="{D11A1598-9B5C-47AB-A7A0-79818B8ECB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5" authorId="423" shapeId="0" xr:uid="{4D8A6261-B9AE-4F2E-A705-CDD449615A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6" authorId="424" shapeId="0" xr:uid="{A76D9791-B15B-439C-99F7-1E1F40E5697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7" authorId="425" shapeId="0" xr:uid="{29291069-7902-4B9D-926C-545143AEE8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8" authorId="426" shapeId="0" xr:uid="{83155000-ED43-446E-BB18-E3EDD2B7B4D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448" authorId="155" shapeId="0" xr:uid="{9C3A794F-9247-4744-8D5A-C6F27DB33DC0}">
      <text>
        <r>
          <rPr>
            <sz val="11"/>
            <color theme="1"/>
            <rFont val="Calibri"/>
            <family val="2"/>
            <scheme val="minor"/>
          </rPr>
          <t xml:space="preserve">
Comentario:
    LA FIANZA DE YOFRE PASA A LA HABITACIÒN DE GIOVANNY</t>
        </r>
      </text>
    </comment>
    <comment ref="F449" authorId="427" shapeId="0" xr:uid="{A3345ED4-1460-4DF1-A508-C11868F779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0" authorId="428" shapeId="0" xr:uid="{6774B270-90FA-468D-891E-529C6A7AB89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1" authorId="429" shapeId="0" xr:uid="{1E89CBCE-68C6-43AA-9D18-61C94EAC2E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2" authorId="430" shapeId="0" xr:uid="{AB321432-662D-4441-A72B-E4F22A9C28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3" authorId="431" shapeId="0" xr:uid="{ED5CF250-66BC-4A50-B332-4AB0E79D54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4" authorId="432" shapeId="0" xr:uid="{6908B281-16CC-4083-B792-F09297B153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5" authorId="433" shapeId="0" xr:uid="{6C2531FE-CF8C-4102-9089-963A9AC02E1C}">
      <text>
        <t>[Comentário encadeado]
Sua versão do Excel permite que você leia este comentário encadeado, no entanto, as edições serão removidas se o arquivo for aberto em uma versão mais recente do Excel. Saiba mais: https://go.microsoft.com/fwlink/?linkid=870924
Comentário:
    260 € cada habitación, Total 1040€, fianza 1560€</t>
      </text>
    </comment>
    <comment ref="F456" authorId="434" shapeId="0" xr:uid="{EF026101-F261-4665-8C1F-84C6A64AF485}">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457" authorId="435" shapeId="0" xr:uid="{2B6DBB4D-EC11-48A0-A0B2-7E7B7260A7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8" authorId="436" shapeId="0" xr:uid="{F5C3C94D-B43C-4796-9F5B-65A2973F8F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9" authorId="437" shapeId="0" xr:uid="{CA9B7ACD-CADB-4B1E-B094-65613C1BAA1A}">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460" authorId="438" shapeId="0" xr:uid="{E2963D96-333D-4285-9AF7-5D76A5D41319}">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461" authorId="439" shapeId="0" xr:uid="{3C97CF48-D05E-41D2-B2A0-BB4076EEE8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2" authorId="440" shapeId="0" xr:uid="{88261B63-1691-45E6-B7BE-721EE3E13A80}">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63" authorId="441" shapeId="0" xr:uid="{20C3BB0C-E2B1-4BBC-B8F2-EEF7FAD85B5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4" authorId="442" shapeId="0" xr:uid="{3B5E2E74-DEF2-4D32-9592-8C65F14BB6D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5" authorId="443" shapeId="0" xr:uid="{730C23B0-69FC-44E7-A9EE-2F0BFC2569FD}">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66" authorId="444" shapeId="0" xr:uid="{DDAD901A-2AA4-4DBF-BFF0-C05AAA150D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7" authorId="445" shapeId="0" xr:uid="{D11FAD3C-BBD1-41B4-8733-9AC154195A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8" authorId="446" shapeId="0" xr:uid="{308BD4E9-E246-48DB-8135-2F75D305649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9" authorId="447" shapeId="0" xr:uid="{34C4C650-7D02-473A-8F35-E42764E0EF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0" authorId="448" shapeId="0" xr:uid="{B5458E14-FD18-42DF-B5A8-A887A9B327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1" authorId="449" shapeId="0" xr:uid="{14906936-2B26-48F4-A200-B20F5D7594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2" authorId="450" shapeId="0" xr:uid="{A05ACCC4-A535-4AB0-AB9C-5CF3A3157C1C}">
      <text>
        <t>[Comentário encadeado]
Sua versão do Excel permite que você leia este comentário encadeado, no entanto, as edições serão removidas se o arquivo for aberto em uma versão mais recente do Excel. Saiba mais: https://go.microsoft.com/fwlink/?linkid=870924
Comentário:
    02 camas, 700€ alquiler, 500€ fianza</t>
      </text>
    </comment>
    <comment ref="F473" authorId="451" shapeId="0" xr:uid="{9AF58BEB-6E01-4070-AA7B-298C105648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74" authorId="452" shapeId="0" xr:uid="{E87B0D8D-0234-4295-B3E6-8ED4E676229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5" authorId="453" shapeId="0" xr:uid="{2C9BFF4F-469B-42C6-ACD8-564796F31A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6" authorId="454" shapeId="0" xr:uid="{AEE5F870-E147-46FE-BA70-E56E80402BB9}">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477" authorId="455" shapeId="0" xr:uid="{55269AD8-F771-4A1D-9BB1-CA128841EA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8" authorId="456" shapeId="0" xr:uid="{09050AFD-3873-43A7-93B4-B877E29C99F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479" authorId="457" shapeId="0" xr:uid="{18EE7A05-E520-4ADB-AC4F-321580FD8F89}">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480" authorId="458" shapeId="0" xr:uid="{E6C33292-EE6D-49F2-A1EA-3E01B14B88A3}">
      <text>
        <t>[Comentário encadeado]
Sua versão do Excel permite que você leia este comentário encadeado, no entanto, as edições serão removidas se o arquivo for aberto em uma versão mais recente do Excel. Saiba mais: https://go.microsoft.com/fwlink/?linkid=870924
Comentário:
    2000 alquiler, 2000 fianza del piso (Carrer del Monestir de Poblet, 42, 1, Campanar, 46015 València), 04 camas</t>
      </text>
    </comment>
    <comment ref="U480" authorId="459" shapeId="0" xr:uid="{43F905D1-F13E-45F4-AA69-2AF76256D884}">
      <text>
        <t>[Comentário encadeado]
Sua versão do Excel permite que você leia este comentário encadeado, no entanto, as edições serão removidas se o arquivo for aberto em uma versão mais recente do Excel. Saiba mais: https://go.microsoft.com/fwlink/?linkid=870924
Comentário:
    PTE POR CORREGIR FECHA, ELLOS AÙN NO HAN INGRESADO</t>
      </text>
    </comment>
    <comment ref="W480" authorId="460" shapeId="0" xr:uid="{E978819A-BE8D-4A75-AB1D-E5B5D0EE2D33}">
      <text>
        <t>[Comentário encadeado]
Sua versão do Excel permite que você leia este comentário encadeado, no entanto, as edições serão removidas se o arquivo for aberto em uma versão mais recente do Excel. Saiba mais: https://go.microsoft.com/fwlink/?linkid=870924
Comentário:
    Esta fianza fue traspasada del piso Carrer del Monestir de Poblet, 42, 1, Campanar, 46015 València</t>
      </text>
    </comment>
    <comment ref="F481" authorId="461" shapeId="0" xr:uid="{A50C0317-E343-4183-8E9A-A25FE0EFC0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2" authorId="462" shapeId="0" xr:uid="{51FE9F10-D271-4947-8DDC-FD83FBD64B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3" authorId="463" shapeId="0" xr:uid="{DE30C165-ED30-4CBC-8590-EC75DDF92DA9}">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485" authorId="464" shapeId="0" xr:uid="{4FF8D451-933A-4B3F-8A1B-26F8BE59BC6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6" authorId="465" shapeId="0" xr:uid="{EF747A0F-F10B-42BB-8204-9A509212D3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486" authorId="466" shapeId="0" xr:uid="{297476DB-2A06-4969-9964-C8DB32F8FC12}">
      <text>
        <t>[Comentário encadeado]
Sua versão do Excel permite que você leia este comentário encadeado, no entanto, as edições serão removidas se o arquivo for aberto em uma versão mais recente do Excel. Saiba mais: https://go.microsoft.com/fwlink/?linkid=870924
Comentário:
    Carrer Tarragona, tarragona 43820 </t>
      </text>
    </comment>
    <comment ref="F487" authorId="467" shapeId="0" xr:uid="{7CAA9C42-528D-43F2-BED1-588C8A2C35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8" authorId="468" shapeId="0" xr:uid="{15985C97-A14F-4236-815C-1FFED46CE3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9" authorId="469" shapeId="0" xr:uid="{2EF445B6-DC3C-4745-8A6C-3243AD19BA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0" authorId="470" shapeId="0" xr:uid="{3ECD2880-DADD-45CF-A614-0CF2BCF750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1" authorId="471" shapeId="0" xr:uid="{F550D3ED-3314-4189-BCDD-50E31CB049CA}">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492" authorId="472" shapeId="0" xr:uid="{4F3A4923-07EA-4A2B-89C4-82FFE5BF73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3" authorId="473" shapeId="0" xr:uid="{7BA5C7F6-65D4-4C41-9AD9-D69D045EFB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4" authorId="474" shapeId="0" xr:uid="{22B67C3A-2744-4E4B-8E85-A593F57751F0}">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95" authorId="475" shapeId="0" xr:uid="{90C93584-1101-49DB-AAEE-445E87095D21}">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96" authorId="476" shapeId="0" xr:uid="{0D75C809-0D5D-4BA4-A153-FC4976C781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7" authorId="477" shapeId="0" xr:uid="{71C032D8-4496-4406-A3FC-5BA35789D9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8" authorId="478" shapeId="0" xr:uid="{1E76BC68-BFC6-4D3F-8B2D-2302DF18CC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9" authorId="479" shapeId="0" xr:uid="{564A0791-D65B-4F7B-897E-D23E45A5FE5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0" authorId="480" shapeId="0" xr:uid="{07081967-8D7C-4FD0-AA03-EBD91A3AF1B1}">
      <text>
        <t>[Comentário encadeado]
Sua versão do Excel permite que você leia este comentário encadeado, no entanto, as edições serão removidas se o arquivo for aberto em uma versão mais recente do Excel. Saiba mais: https://go.microsoft.com/fwlink/?linkid=870924
Comentário:
    1200€ ALQUILER, 300€ FIANZA, 04 CAMAS</t>
      </text>
    </comment>
    <comment ref="F501" authorId="481" shapeId="0" xr:uid="{C0E70653-C846-4264-B602-1BBBF2B136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2" authorId="482" shapeId="0" xr:uid="{D9E70E1A-3B9A-4E05-AC36-79A1ABBEB6D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3" authorId="483" shapeId="0" xr:uid="{F8DE5415-5A21-4C2F-9545-C17D8C2023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4" authorId="484" shapeId="0" xr:uid="{01E4E99E-9D9F-4D50-AE25-4F6B4C699F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 authorId="485" shapeId="0" xr:uid="{0083DE34-9B84-4D3C-9F1A-F940A9D035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6" authorId="486" shapeId="0" xr:uid="{33714B47-0C99-4772-B807-724AB0000AD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 authorId="487" shapeId="0" xr:uid="{8B17B1EE-0BB4-4C6F-9FBC-3728E8176F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8" authorId="488" shapeId="0" xr:uid="{ABE38E1D-0F3A-4D03-BC57-127136D2AAD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 authorId="489" shapeId="0" xr:uid="{DD792324-0575-4C51-821F-34D5BD02EF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0" authorId="490" shapeId="0" xr:uid="{10602287-D4D8-4DD2-83AA-48842CF6DE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1" authorId="491" shapeId="0" xr:uid="{95F32C93-6EDB-49F2-AF9B-EC8CE813B8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3" authorId="492" shapeId="0" xr:uid="{CB7E2480-3824-41FB-8C8B-DA97974D98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4" authorId="493" shapeId="0" xr:uid="{2C42C202-A44B-4AA9-9E23-2F73402E0892}">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515" authorId="494" shapeId="0" xr:uid="{51E97B65-8569-4DB7-A7C2-1825034EAF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6" authorId="495" shapeId="0" xr:uid="{0662A0F6-8988-490F-AE33-5047BD3EA77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7" authorId="496" shapeId="0" xr:uid="{DCE83A63-C0D4-42B3-87A2-48B337B93BC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8" authorId="497" shapeId="0" xr:uid="{D7896E78-7237-4C80-85B5-D6DFAAE9D8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9" authorId="498" shapeId="0" xr:uid="{92F0ACCB-D872-418D-9D61-3D8AC5990C6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0" authorId="499" shapeId="0" xr:uid="{A1E2A8BE-5719-402D-B809-957ADAAE19EC}">
      <text>
        <t>[Comentário encadeado]
Sua versão do Excel permite que você leia este comentário encadeado, no entanto, as edições serão removidas se o arquivo for aberto em uma versão mais recente do Excel. Saiba mais: https://go.microsoft.com/fwlink/?linkid=870924
Comentário:
    Alquiler 700 Camas 2</t>
      </text>
    </comment>
    <comment ref="F521" authorId="500" shapeId="0" xr:uid="{E0CDA240-9A8E-4BDD-8676-52C0285A48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2" authorId="501" shapeId="0" xr:uid="{0CA6283D-6F23-43B9-BAEC-AB2894B1CDD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3" authorId="502" shapeId="0" xr:uid="{F0B87EEE-BD2D-4573-9A82-969F7AB66B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4" authorId="503" shapeId="0" xr:uid="{BB14CC5E-8744-4CFC-B9E1-C7DB8F1547D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25" authorId="504" shapeId="0" xr:uid="{B2D539B2-9683-416D-A35E-627327B87D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6" authorId="505" shapeId="0" xr:uid="{ED7D9131-F354-4501-A564-AFB7116907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7" authorId="506" shapeId="0" xr:uid="{BA345E7F-1451-4788-9629-853FCF36552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8" authorId="507" shapeId="0" xr:uid="{CDAD5548-6DA2-408A-A994-715334058160}">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529" authorId="508" shapeId="0" xr:uid="{9FB4BE4A-A518-4FBD-881A-209AFB62B5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0" authorId="509" shapeId="0" xr:uid="{69D9F6D7-A7F8-4A9D-974E-168198C26A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1" authorId="510" shapeId="0" xr:uid="{629CF72B-544C-417C-ABD7-182863EFE23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2" authorId="511" shapeId="0" xr:uid="{102B3984-C978-43F4-82F0-1C68DE6832E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Habitacion </t>
      </text>
    </comment>
    <comment ref="F533" authorId="512" shapeId="0" xr:uid="{7F11D505-4AE2-4FBA-BA25-56D26BC1CA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4" authorId="513" shapeId="0" xr:uid="{0F8629EB-2DAD-4041-B799-EA58E73395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7" authorId="514" shapeId="0" xr:uid="{839F600A-6AC7-468A-9A32-EF813A01290F}">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538" authorId="515" shapeId="0" xr:uid="{97A63A54-86E2-4E60-90CF-C0CBC37DBDAD}">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539" authorId="516" shapeId="0" xr:uid="{2EC9E184-8DF1-48B3-BB14-653E00A137E6}">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540" authorId="517" shapeId="0" xr:uid="{E73D9F56-F24D-486E-9F9B-FBC083B59D9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1" authorId="518" shapeId="0" xr:uid="{CE77AC62-793C-46F6-A329-A417668794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2" authorId="519" shapeId="0" xr:uid="{9CCF7BF9-AD8D-41AA-A599-EA900B35A957}">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43" authorId="520" shapeId="0" xr:uid="{6D3F1278-EB8A-4E3F-BAB2-F765BE567D66}">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44" authorId="521" shapeId="0" xr:uid="{29617FD3-0B9E-471C-A883-D10C5234F3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5" authorId="522" shapeId="0" xr:uid="{6C0A9973-22D6-4AB2-8BB6-95944AE0CBD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6" authorId="523" shapeId="0" xr:uid="{E724F0EB-14D6-4AF6-B33B-3EA09442C27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47" authorId="524" shapeId="0" xr:uid="{F0555DE1-5C5D-485F-8F03-283113B02CE1}">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48" authorId="525" shapeId="0" xr:uid="{EC614E81-3754-45A6-84B9-227096A450C7}">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49" authorId="526" shapeId="0" xr:uid="{8815EC77-BF4C-46AF-A6F0-4D28897575D6}">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50" authorId="527" shapeId="0" xr:uid="{4450A80C-C9CA-4E0C-BCCC-972ED79138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1" authorId="528" shapeId="0" xr:uid="{B37CA925-8856-4B41-83F4-D4D3187B4B9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2" authorId="529" shapeId="0" xr:uid="{C6002FC9-2B1B-4D30-BC55-AA14F1637DBB}">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553" authorId="530" shapeId="0" xr:uid="{9F5B0D33-B299-4D8C-82D2-81E513B5575D}">
      <text>
        <t>[Comentário encadeado]
Sua versão do Excel permite que você leia este comentário encadeado, no entanto, as edições serão removidas se o arquivo for aberto em uma versão mais recente do Excel. Saiba mais: https://go.microsoft.com/fwlink/?linkid=870924
Comentário:
    1650 FIANZA, 1000 ALQUILER,4 habitaciones</t>
      </text>
    </comment>
    <comment ref="F554" authorId="531" shapeId="0" xr:uid="{6D693820-EF05-44F9-A5B6-FABA28CD1A8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5" authorId="532" shapeId="0" xr:uid="{6325B447-4042-4D0A-86B6-8FC631CD00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6" authorId="533" shapeId="0" xr:uid="{9AC1F723-6891-47B7-8762-80C577B17C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7" authorId="534" shapeId="0" xr:uid="{B943CCF5-5A8C-4330-BE79-6FA79531D41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557" authorId="535" shapeId="0" xr:uid="{CB978B86-4691-4407-95DF-26256B2751ED}">
      <text>
        <t>[Comentário encadeado]
Sua versão do Excel permite que você leia este comentário encadeado, no entanto, as edições serão removidas se o arquivo for aberto em uma versão mais recente do Excel. Saiba mais: https://go.microsoft.com/fwlink/?linkid=870924
Comentário:
    FIANZA HAROLD LLERENA PEDIDO 051</t>
      </text>
    </comment>
    <comment ref="F558" authorId="536" shapeId="0" xr:uid="{140501B2-4324-40C3-8126-A4E0F335AE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Habitacion </t>
      </text>
    </comment>
    <comment ref="F559" authorId="537" shapeId="0" xr:uid="{BC65DB6A-BC1B-45FE-9B33-50FCB79625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 authorId="538" shapeId="0" xr:uid="{AE34B559-6241-46F0-AEE0-9628F5C5B1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 authorId="539" shapeId="0" xr:uid="{7B677080-94E8-425D-9BEE-6FCD77203C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 authorId="540" shapeId="0" xr:uid="{5D8BDFA3-9EA6-4737-8950-B1B5410F02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 authorId="541" shapeId="0" xr:uid="{EC02609D-0FD6-4F6E-A1BC-992331CF9B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64" authorId="542" shapeId="0" xr:uid="{DC71D05C-5867-4FFB-8623-413E55FAD0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 authorId="543" shapeId="0" xr:uid="{2F5C86D6-7377-4D95-957C-96E9E5786F4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 authorId="544" shapeId="0" xr:uid="{27313B12-ECF2-48B9-A6A8-ABC29FDC7E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 authorId="545" shapeId="0" xr:uid="{B5E29548-68DC-47D5-BB1E-D31613D054E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69" authorId="546" shapeId="0" xr:uid="{ED2C2692-5036-4496-B38F-D7978CA31D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0" authorId="547" shapeId="0" xr:uid="{18E595BD-420A-486B-836A-6C5A22D31C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1" authorId="548" shapeId="0" xr:uid="{4F303D35-6F54-4321-BE35-BAC61B072755}">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572" authorId="549" shapeId="0" xr:uid="{35879924-4A4F-465F-9B74-2CE1C9DE1C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3" authorId="550" shapeId="0" xr:uid="{0025025A-83BD-457A-BA94-F4441FD5CF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4" authorId="551" shapeId="0" xr:uid="{BD47FBB5-A4BD-46C5-870B-A9333670638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5" authorId="552" shapeId="0" xr:uid="{C409A929-BEF4-42EC-AAED-DC11867E34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6" authorId="553" shapeId="0" xr:uid="{BA265210-EF4B-4877-A429-72B4DA58CC6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7" authorId="554" shapeId="0" xr:uid="{F70FB216-02CA-48B3-9DFD-E24DE86ACFC1}">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578" authorId="555" shapeId="0" xr:uid="{C8D65E5F-3B7F-476D-A373-C63207A81F2D}">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579" authorId="556" shapeId="0" xr:uid="{DD510D20-9725-4E1A-A16A-81997C326A7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0" authorId="557" shapeId="0" xr:uid="{EFB95204-C2C9-4F32-8E82-A7A8533C169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1" authorId="558" shapeId="0" xr:uid="{E68D3876-7FED-48BD-8EDD-37A41F333F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2" authorId="559" shapeId="0" xr:uid="{C3EE649C-95FC-4D69-98C6-B4DABEAB4E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3" authorId="560" shapeId="0" xr:uid="{2AB24A6C-BA5B-4199-A168-F0160918DA5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5" authorId="561" shapeId="0" xr:uid="{89D822E5-2195-4740-B9D5-B70B2DBD3F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8" authorId="562" shapeId="0" xr:uid="{45B94F24-1C40-47E3-8143-AA48D28700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9" authorId="563" shapeId="0" xr:uid="{752C43F5-3B2E-49E3-B6E3-C0FF0EA602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90" authorId="564" shapeId="0" xr:uid="{351AF977-F63D-427F-B061-519EF5CB13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590" authorId="565" shapeId="0" xr:uid="{FB1CFE40-EA15-4732-A293-C37D01179BAC}">
      <text>
        <t>[Comentário encadeado]
Sua versão do Excel permite que você leia este comentário encadeado, no entanto, as edições serão removidas se o arquivo for aberto em uma versão mais recente do Excel. Saiba mais: https://go.microsoft.com/fwlink/?linkid=870924
Comentário:
    Fianza Inmaculada</t>
      </text>
    </comment>
    <comment ref="F591" authorId="566" shapeId="0" xr:uid="{3F79B60F-F2C0-430E-BFF2-E6F3A8666DFF}">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592" authorId="567" shapeId="0" xr:uid="{7E45DDF7-1550-485F-9517-161C6C891F9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1438,80€    3 camas </t>
      </text>
    </comment>
    <comment ref="F593" authorId="568" shapeId="0" xr:uid="{A2B32967-EA53-4ECC-9C93-2623E914D6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4" authorId="569" shapeId="0" xr:uid="{D614214A-DC89-4011-AFA3-85088D65A926}">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595" authorId="570" shapeId="0" xr:uid="{0CD44C21-DB1A-4461-9E35-2BA4FB6339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7" authorId="571" shapeId="0" xr:uid="{D4382773-3161-4C53-B9BF-35B9AC2AF9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598" authorId="572" shapeId="0" xr:uid="{08A15EF8-FC0E-4012-AC54-96CA49C2EB9F}">
      <text>
        <t>[Comentário encadeado]
Sua versão do Excel permite que você leia este comentário encadeado, no entanto, as edições serão removidas se o arquivo for aberto em uma versão mais recente do Excel. Saiba mais: https://go.microsoft.com/fwlink/?linkid=870924
Comentário:
    3 CAMAS, 600€ALQUILER, 600€FIANZA</t>
      </text>
    </comment>
    <comment ref="F599" authorId="573" shapeId="0" xr:uid="{033DAAE4-40CD-4A85-B8F1-8C889F2C65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0" authorId="574" shapeId="0" xr:uid="{79A86E36-87AE-496F-8F57-D464C457C7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1" authorId="575" shapeId="0" xr:uid="{C97F8B50-6A81-4F72-B8FD-E26FAC544FC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2" authorId="576" shapeId="0" xr:uid="{62876490-464C-495B-91E2-175BC177AE2B}">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603" authorId="577" shapeId="0" xr:uid="{D08B75D9-C502-41BE-8429-8E90BFD3EE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4" authorId="578" shapeId="0" xr:uid="{CF3B7F4B-A6A6-4E9F-B35C-D704B466D41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5" authorId="579" shapeId="0" xr:uid="{D2C43839-850C-4D69-B440-0FF29C4787A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6" authorId="580" shapeId="0" xr:uid="{C6520E26-3615-4F31-9D01-3A72D1BAF3E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Habitacion </t>
      </text>
    </comment>
    <comment ref="F607" authorId="581" shapeId="0" xr:uid="{E0564A92-A88A-4ACE-8F62-CED940DD94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F608" authorId="582" shapeId="0" xr:uid="{2AD3DB87-2441-4777-9298-BDCDD3711C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9" authorId="583" shapeId="0" xr:uid="{BC61C818-F904-4559-9755-8AF23A1E31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10" authorId="584" shapeId="0" xr:uid="{ED00F730-6D00-488B-9520-29CC0FBCFE1A}">
      <text>
        <t>[Comentário encadeado]
Sua versão do Excel permite que você leia este comentário encadeado, no entanto, as edições serão removidas se o arquivo for aberto em uma versão mais recente do Excel. Saiba mais: https://go.microsoft.com/fwlink/?linkid=870924
Comentário:
    1 Habitacion</t>
      </text>
    </comment>
    <comment ref="F611" authorId="585" shapeId="0" xr:uid="{9DB32202-1C24-4112-B7DF-A0A9FF2B74D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12" authorId="586" shapeId="0" xr:uid="{5EFD2D42-ED32-4CF8-AEF9-F4FA274D331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612" authorId="155" shapeId="0" xr:uid="{AC095321-15A0-4E79-BBD4-3794941BB5ED}">
      <text>
        <r>
          <rPr>
            <sz val="11"/>
            <color theme="1"/>
            <rFont val="Calibri"/>
            <family val="2"/>
            <scheme val="minor"/>
          </rPr>
          <t xml:space="preserve">
Comentario:
    LA FIANZA DE YOFRE PASA A LA HABITACIÒN DE GIOVANNY</t>
        </r>
      </text>
    </comment>
    <comment ref="F613" authorId="587" shapeId="0" xr:uid="{367A1F78-8DB9-4906-8C3E-B961615D8AC3}">
      <text>
        <t>[Comentário encadeado]
Sua versão do Excel permite que você leia este comentário encadeado, no entanto, as edições serão removidas se o arquivo for aberto em uma versão mais recente do Excel. Saiba mais: https://go.microsoft.com/fwlink/?linkid=870924
Comentário:
    1 Habitacion</t>
      </text>
    </comment>
    <comment ref="F615" authorId="588" shapeId="0" xr:uid="{709C53B0-1233-4007-84DA-32CD8E12BF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16" authorId="589" shapeId="0" xr:uid="{B8305760-527A-4FC5-A8B8-2D90E50C7751}">
      <text>
        <t>[Comentário encadeado]
Sua versão do Excel permite que você leia este comentário encadeado, no entanto, as edições serão removidas se o arquivo for aberto em uma versão mais recente do Excel. Saiba mais: https://go.microsoft.com/fwlink/?linkid=870924
Comentário:
    3 CAMAS, 600€ALQUILER, 600€FIANZA</t>
      </text>
    </comment>
    <comment ref="F617" authorId="590" shapeId="0" xr:uid="{72757A2D-BC4E-4443-8841-51B69D50A32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618" authorId="591" shapeId="0" xr:uid="{D2F187FF-3287-479E-9BFA-CF41E74B528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619" authorId="592" shapeId="0" xr:uid="{D27DA7EA-CFBF-46D7-8468-78CC20D28D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0" authorId="593" shapeId="0" xr:uid="{8603C024-AD67-4B6F-931F-48422950784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1" authorId="594" shapeId="0" xr:uid="{108A64E5-436B-4DFB-A894-91B7F2CFDD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2" authorId="595" shapeId="0" xr:uid="{CACE9BE9-D48B-4C88-87AC-8E55056F2C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3" authorId="596" shapeId="0" xr:uid="{1BB1EF79-06C9-42E9-B77F-4C5A81659BF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4" authorId="597" shapeId="0" xr:uid="{7FA7056C-2666-4EEF-A5E3-EF486713811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t>
      </text>
    </comment>
    <comment ref="F625" authorId="598" shapeId="0" xr:uid="{1F787D65-8C3D-435F-B746-E864B15986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t>
      </text>
    </comment>
    <comment ref="F626" authorId="599" shapeId="0" xr:uid="{19B4A515-C577-480D-88BD-0BD8A441C77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t>
      </text>
    </comment>
    <comment ref="F627" authorId="600" shapeId="0" xr:uid="{B5ECF797-24DE-46D7-956F-ABF55E928CE6}">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628" authorId="601" shapeId="0" xr:uid="{3A5A04A4-3C01-478A-899D-5E0F4DEAF3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29" authorId="602" shapeId="0" xr:uid="{B47376D8-800A-46C4-9B35-0DF07FEBAE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huéspedes </t>
      </text>
    </comment>
    <comment ref="F630" authorId="603" shapeId="0" xr:uid="{11559E4B-78D2-4204-8ADB-9203614C3D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huéspedes </t>
      </text>
    </comment>
    <comment ref="F631" authorId="604" shapeId="0" xr:uid="{AAC85CCF-7CC1-4DE7-B0E7-BCDCC45CF850}">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632" authorId="605" shapeId="0" xr:uid="{2C0B81C8-FBC2-410F-AE94-284EE0C0283F}">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633" authorId="606" shapeId="0" xr:uid="{A2212309-00C5-4AD1-B17C-889C197AE5B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34" authorId="607" shapeId="0" xr:uid="{234447A7-6BAB-4337-BD12-EF923565720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35" authorId="608" shapeId="0" xr:uid="{A645835F-17C2-4F76-8651-9E3EB6E9706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41" authorId="609" shapeId="0" xr:uid="{FEECFB73-DEDB-4696-8614-1167176F997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42" authorId="610" shapeId="0" xr:uid="{E545BDB0-696B-4337-8072-6D78BEAAE20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t>
      </text>
    </comment>
    <comment ref="F643" authorId="611" shapeId="0" xr:uid="{29326B23-7EFB-47F7-91CA-45E1099164F6}">
      <text>
        <t>[Comentário encadeado]
Sua versão do Excel permite que você leia este comentário encadeado, no entanto, as edições serão removidas se o arquivo for aberto em uma versão mais recente do Excel. Saiba mais: https://go.microsoft.com/fwlink/?linkid=870924
Comentário:
    02 CAMAS</t>
      </text>
    </comment>
    <comment ref="F644" authorId="612" shapeId="0" xr:uid="{AAFBAA52-B5AD-4BDF-B253-FAAEB4ACCFD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645" authorId="613" shapeId="0" xr:uid="{265F2455-9517-435A-ABB4-1930C90C17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47" authorId="614" shapeId="0" xr:uid="{25E3BAA8-1F93-4FF9-A265-4477D46324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48" authorId="615" shapeId="0" xr:uid="{49DE7108-F7B1-4CEF-A16D-F7EBE921F5E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648" authorId="616" shapeId="0" xr:uid="{F65DBA4E-24DB-4C9A-A688-02B2BA5F8D80}">
      <text>
        <t>[Comentário encadeado]
Sua versão do Excel permite que você leia este comentário encadeado, no entanto, as edições serão removidas se o arquivo for aberto em uma versão mais recente do Excel. Saiba mais: https://go.microsoft.com/fwlink/?linkid=870924
Comentário:
    Fianza abonada.</t>
      </text>
    </comment>
    <comment ref="F649" authorId="617" shapeId="0" xr:uid="{BA5F9AAE-BD3B-4022-85A6-35B98D8D009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0" authorId="618" shapeId="0" xr:uid="{34183BE2-3F1C-4F26-A79D-B8E7B3C42A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1" authorId="619" shapeId="0" xr:uid="{B96EE841-FAF5-4987-A01F-BFEC72C48897}">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652" authorId="620" shapeId="0" xr:uid="{3E566518-970A-4CEE-AF8A-DFB69381BF48}">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653" authorId="621" shapeId="0" xr:uid="{D13CD61B-E915-424E-BADA-3DA11D7FF016}">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655" authorId="622" shapeId="0" xr:uid="{9E58F470-6E86-4E70-94F7-009D731C90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6" authorId="623" shapeId="0" xr:uid="{E26FB366-12BF-4717-83FC-68CAD68916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7" authorId="624" shapeId="0" xr:uid="{2590504B-54BA-4603-BB42-E20812E9D5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58" authorId="625" shapeId="0" xr:uid="{CB2F949E-B1FF-44E8-BCD3-14475336FC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659" authorId="626" shapeId="0" xr:uid="{44510096-DEC5-4B54-9813-CE34E33A86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60" authorId="627" shapeId="0" xr:uid="{97734302-BBD4-4361-A3C8-EB2DFD0CBB9B}">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662" authorId="628" shapeId="0" xr:uid="{8F153EEF-3867-436C-9585-90A760BC8B3F}">
      <text>
        <t>[Comentário encadeado]
Sua versão do Excel permite que você leia este comentário encadeado, no entanto, as edições serão removidas se o arquivo for aberto em uma versão mais recente do Excel. Saiba mais: https://go.microsoft.com/fwlink/?linkid=870924
Comentário:
    4 CAMAS 2.600€ Alquiler</t>
      </text>
    </comment>
    <comment ref="F664" authorId="629" shapeId="0" xr:uid="{41D28F99-F2F0-4FA2-8B74-79F275373E42}">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665" authorId="630" shapeId="0" xr:uid="{87C4C907-C30B-45C8-955C-0A074A502A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66" authorId="631" shapeId="0" xr:uid="{7698035D-9D8E-447C-8297-1EA17E84280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67" authorId="632" shapeId="0" xr:uid="{5B0D3637-F513-4EB9-A676-27724BBE6A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X667" authorId="633" shapeId="0" xr:uid="{8FEFB542-36B4-4305-BCEB-7F4C17C15E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 pago mes de agosto y proporcional de Julio 
</t>
      </text>
    </comment>
    <comment ref="F668" authorId="634" shapeId="0" xr:uid="{DC231DC9-EDFD-425E-B4B5-DFC5145E808A}">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669" authorId="635" shapeId="0" xr:uid="{D7D1A775-E5D0-4A41-8F32-DADB3E9DC6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70" authorId="636" shapeId="0" xr:uid="{2C7B71D0-CF91-4711-8C6F-417E2BEC29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71" authorId="637" shapeId="0" xr:uid="{D48AA63B-1011-4C21-90E1-66642B49B9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huéspedes </t>
      </text>
    </comment>
    <comment ref="F676" authorId="638" shapeId="0" xr:uid="{2142F899-EBE9-4433-B9B9-7A3E71B8D5DC}">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678" authorId="639" shapeId="0" xr:uid="{D2FA0B39-BF2D-4567-8EEE-5CF6057624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79" authorId="640" shapeId="0" xr:uid="{E822355A-81F7-4D03-B7B5-AEBFFC81A4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80" authorId="641" shapeId="0" xr:uid="{11FEF750-85F5-491E-90E1-51D60DF0A284}">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681" authorId="642" shapeId="0" xr:uid="{6C9880A3-3E55-4AE8-B718-9CB8A7B256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82" authorId="643" shapeId="0" xr:uid="{CD68BE47-9A0C-493F-B605-E714904664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83" authorId="644" shapeId="0" xr:uid="{FB4A4D94-1FF7-4133-A973-4A8806DA6AF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t>
      </text>
    </comment>
    <comment ref="F684" authorId="645" shapeId="0" xr:uid="{6FFECD5F-9398-4E3A-B193-BA5B9F436AA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85" authorId="646" shapeId="0" xr:uid="{E1406B6E-8CDA-48E4-B51C-154B80093B59}">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686" authorId="647" shapeId="0" xr:uid="{7BC82EDB-884B-49DD-9B3B-0B668C736D2A}">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 -2 camas </t>
      </text>
    </comment>
    <comment ref="F688" authorId="648" shapeId="0" xr:uid="{E2AAE160-E8C6-40FF-8F73-D462DE85EE5C}">
      <text>
        <t>[Comentário encadeado]
Sua versão do Excel permite que você leia este comentário encadeado, no entanto, as edições serão removidas se o arquivo for aberto em uma versão mais recente do Excel. Saiba mais: https://go.microsoft.com/fwlink/?linkid=870924
Comentário:
    05 CAMAS, 2200€ ALQUILER, N/A APLICA</t>
      </text>
    </comment>
    <comment ref="F690" authorId="649" shapeId="0" xr:uid="{1A2DE839-96EB-455C-8DE2-BB9CB2A4012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2 viajeros</t>
      </text>
    </comment>
    <comment ref="F691" authorId="650" shapeId="0" xr:uid="{1594140A-68E2-4721-AD62-DAD04B016C1F}">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692" authorId="651" shapeId="0" xr:uid="{D41C1B48-861E-400D-81B3-228663B43D31}">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693" authorId="652" shapeId="0" xr:uid="{03E70A38-B2CC-4B87-9FB7-080FB936E13C}">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694" authorId="653" shapeId="0" xr:uid="{DD542986-4520-4AEE-87DD-4693151942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95" authorId="654" shapeId="0" xr:uid="{7D0F8FBA-FF09-45F6-A59C-1AC1148F7F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97" authorId="655" shapeId="0" xr:uid="{C194C0B2-0A07-48CE-BEC0-F1A8535B546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698" authorId="656" shapeId="0" xr:uid="{22D0EF59-C6DA-461B-BC70-4A936A69FA9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99" authorId="657" shapeId="0" xr:uid="{B1D90093-21D1-4109-A6B6-6C1F58D839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700" authorId="658" shapeId="0" xr:uid="{DC51A0AB-5079-454F-9A50-955BAA5358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05" authorId="659" shapeId="0" xr:uid="{DA22C253-C57E-46B2-A083-A10AC99FC4F5}">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706" authorId="660" shapeId="0" xr:uid="{18F1200A-6C9C-43A0-9335-82919FA136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07" authorId="661" shapeId="0" xr:uid="{0D6FED48-BB54-4C36-8AF7-4BD5E81750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708" authorId="662" shapeId="0" xr:uid="{ED78C977-14F8-42FF-B4DD-A4DB05A80B55}">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709" authorId="663" shapeId="0" xr:uid="{EE757AFD-74BD-412C-B01D-21BA7DB0FA58}">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710" authorId="664" shapeId="0" xr:uid="{A3FDE4B0-9E1F-4029-BD29-EA0FAF8DFB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13" authorId="665" shapeId="0" xr:uid="{6C54BD34-B99F-4F9F-8AA0-C1FC833F9CD8}">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714" authorId="666" shapeId="0" xr:uid="{A1E0202B-F7A3-4605-8011-39B098A61A05}">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715" authorId="667" shapeId="0" xr:uid="{AC8563E7-8058-44B3-911D-3B1885ED64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20" authorId="668" shapeId="0" xr:uid="{94DEB769-C019-4052-ACD8-AF99407DD7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21" authorId="669" shapeId="0" xr:uid="{20D29B58-AADD-4AC7-880E-2F84DEA61495}">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722" authorId="670" shapeId="0" xr:uid="{95FED0B5-AC49-4895-A4CC-766E073EF2E0}">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723" authorId="671" shapeId="0" xr:uid="{4522BBCF-68AC-42E6-BFE7-BC33D2F56A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24" authorId="672" shapeId="0" xr:uid="{03E4A985-D0F0-4F1F-95A7-A7834DF0E1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25" authorId="673" shapeId="0" xr:uid="{B549101C-E6B2-44D8-8647-AA57E3F03D92}">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726" authorId="674" shapeId="0" xr:uid="{388FFB70-5EAA-42D0-8F87-ADA75072F0AC}">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727" authorId="675" shapeId="0" xr:uid="{EA052927-AE6D-4286-A53F-AACC2013F5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28" authorId="676" shapeId="0" xr:uid="{BAEBAC53-0C00-4894-BDB4-FDA713ADFA6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729" authorId="677" shapeId="0" xr:uid="{7D7C7A2E-949B-4985-B79B-E31BFF340DD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t>
      </text>
    </comment>
    <comment ref="F731" authorId="678" shapeId="0" xr:uid="{28F4697C-4DB8-45A4-A485-A06B01DDE776}">
      <text>
        <t>[Comentário encadeado]
Sua versão do Excel permite que você leia este comentário encadeado, no entanto, as edições serão removidas se o arquivo for aberto em uma versão mais recente do Excel. Saiba mais: https://go.microsoft.com/fwlink/?linkid=870924
Comentário:
     2 personas, camas separadas, Alquiler 1300€</t>
      </text>
    </comment>
    <comment ref="F732" authorId="679" shapeId="0" xr:uid="{C8A0A85F-6649-41D7-98AA-0297E6906B32}">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733" authorId="680" shapeId="0" xr:uid="{DABEB5EC-D17C-4D56-B599-46BE0BC1037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734" authorId="681" shapeId="0" xr:uid="{C26011E9-F61D-477C-8B2C-012796EF23E7}">
      <text>
        <t>[Comentário encadeado]
Sua versão do Excel permite que você leia este comentário encadeado, no entanto, as edições serão removidas se o arquivo for aberto em uma versão mais recente do Excel. Saiba mais: https://go.microsoft.com/fwlink/?linkid=870924
Comentário:
    900€ alquiler, 900€ fianza, 03 camas</t>
      </text>
    </comment>
    <comment ref="F735" authorId="682" shapeId="0" xr:uid="{04C86319-E7A6-48E1-B2ED-8305E924178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36" authorId="683" shapeId="0" xr:uid="{E50B545B-60F1-489D-B6A4-FBD670B6AC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37" authorId="684" shapeId="0" xr:uid="{F7F1301B-0158-475B-B01B-F91AC5DCC9B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40" authorId="685" shapeId="0" xr:uid="{009B3ECD-BC9C-40DC-9070-19AA4FD75EBD}">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742" authorId="686" shapeId="0" xr:uid="{84DE6F6F-76B8-4D89-A2B4-ACB2D095BF32}">
      <text>
        <t>[Comentário encadeado]
Sua versão do Excel permite que você leia este comentário encadeado, no entanto, as edições serão removidas se o arquivo for aberto em uma versão mais recente do Excel. Saiba mais: https://go.microsoft.com/fwlink/?linkid=870924
Comentário:
    1 Habitacion</t>
      </text>
    </comment>
    <comment ref="F743" authorId="687" shapeId="0" xr:uid="{5BC0AF85-95D7-4BFD-8B84-5A989127E122}">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747" authorId="688" shapeId="0" xr:uid="{2042CD87-0DE0-4907-BE55-09ABAB7F9C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30€/noche</t>
      </text>
    </comment>
    <comment ref="F748" authorId="689" shapeId="0" xr:uid="{A0D4E7E7-30B2-4316-9DA3-19F3603419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49" authorId="690" shapeId="0" xr:uid="{74C79DC0-1B8C-442B-9AFD-FC5C974F6D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50" authorId="691" shapeId="0" xr:uid="{293E3D5F-16A5-40A9-BD4E-135593A171B1}">
      <text>
        <t>[Comentário encadeado]
Sua versão do Excel permite que você leia este comentário encadeado, no entanto, as edições serão removidas se o arquivo for aberto em uma versão mais recente do Excel. Saiba mais: https://go.microsoft.com/fwlink/?linkid=870924
Comentário:
    03 camas, 600€ fianza, 600 € alquiler</t>
      </text>
    </comment>
    <comment ref="F751" authorId="692" shapeId="0" xr:uid="{3931480F-7105-41C3-99C5-0FEEAC3B838A}">
      <text>
        <t>[Comentário encadeado]
Sua versão do Excel permite que você leia este comentário encadeado, no entanto, as edições serão removidas se o arquivo for aberto em uma versão mais recente do Excel. Saiba mais: https://go.microsoft.com/fwlink/?linkid=870924
Comentário:
    Alquiler 415.79€  2 camas individuales</t>
      </text>
    </comment>
    <comment ref="F752" authorId="693" shapeId="0" xr:uid="{213780F9-346A-44A1-8F26-6EC422DB4C8F}">
      <text>
        <t>[Comentário encadeado]
Sua versão do Excel permite que você leia este comentário encadeado, no entanto, as edições serão removidas se o arquivo for aberto em uma versão mais recente do Excel. Saiba mais: https://go.microsoft.com/fwlink/?linkid=870924
Comentário:
    Alquiler 415.79€  2 camas individuales</t>
      </text>
    </comment>
    <comment ref="F755" authorId="694" shapeId="0" xr:uid="{2192E880-BBD1-4839-B192-D638A0F6D0DB}">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756" authorId="695" shapeId="0" xr:uid="{117E86EF-1F8C-4A35-B6F5-D27C2EC34B22}">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757" authorId="696" shapeId="0" xr:uid="{ED25198E-C33B-4B70-BEE1-AC9487E32688}">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1500 €, fianza 150€</t>
      </text>
    </comment>
    <comment ref="F758" authorId="697" shapeId="0" xr:uid="{50A2EA8D-069A-4B06-906D-3BEFC1956AE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59" authorId="698" shapeId="0" xr:uid="{C27D9935-874A-442B-910A-F510B1F0735A}">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760" authorId="699" shapeId="0" xr:uid="{38D3C69C-DDFC-4984-99F7-F6B4302AAB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30€/noche</t>
      </text>
    </comment>
    <comment ref="F761" authorId="700" shapeId="0" xr:uid="{E5AB2238-CC02-48C6-82DC-E377BDED8985}">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764" authorId="701" shapeId="0" xr:uid="{EC8C6E5A-DC03-4913-A56E-908CAE0648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M764" authorId="702" shapeId="0" xr:uid="{F0414D88-B038-4FF4-844D-5115409EA07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Costo de Honorarios de gestión Total 
1669.80
</t>
      </text>
    </comment>
    <comment ref="F768" authorId="703" shapeId="0" xr:uid="{9CAE3B57-402D-47E0-AF65-ED2F5CBA3B28}">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N768" authorId="704" shapeId="0" xr:uid="{4D5D3590-E865-470C-8C40-14EBFF22232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Costo de Honorarios de gestión Total 
1669.80
</t>
      </text>
    </comment>
    <comment ref="F769" authorId="705" shapeId="0" xr:uid="{6600607D-E222-4E52-9CFD-ADBCE50D90F8}">
      <text>
        <t>[Comentário encadeado]
Sua versão do Excel permite que você leia este comentário encadeado, no entanto, as edições serão removidas se o arquivo for aberto em uma versão mais recente do Excel. Saiba mais: https://go.microsoft.com/fwlink/?linkid=870924
Comentário:
    260€ Cada Habitación, Fianza de 400€</t>
      </text>
    </comment>
    <comment ref="F770" authorId="706" shapeId="0" xr:uid="{1783728F-5370-4358-8827-C4665152613E}">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M770" authorId="707" shapeId="0" xr:uid="{59CB6067-FCD5-40A3-82C5-1906B1ADE27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Costo de Honorarios de gestión Total 
1669.80
</t>
      </text>
    </comment>
    <comment ref="F771" authorId="708" shapeId="0" xr:uid="{16982942-3756-4115-85F2-4F6BB7578E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72" authorId="709" shapeId="0" xr:uid="{0996844B-FA67-43FE-9B5E-2B329A8CF84F}">
      <text>
        <t>[Comentário encadeado]
Sua versão do Excel permite que você leia este comentário encadeado, no entanto, as edições serão removidas se o arquivo for aberto em uma versão mais recente do Excel. Saiba mais: https://go.microsoft.com/fwlink/?linkid=870924
Comentário:
    Apartamento de 3 habitaciones dobles (1 de matrimonio y 4 camas de 90)</t>
      </text>
    </comment>
    <comment ref="F773" authorId="710" shapeId="0" xr:uid="{BE5FF120-0382-49E0-B0F2-0D18B4CA41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Habitacion </t>
      </text>
    </comment>
    <comment ref="F774" authorId="711" shapeId="0" xr:uid="{9805CD00-3DF4-467C-BBF3-AE2287A4C3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75" authorId="712" shapeId="0" xr:uid="{AA1C0E88-4ADB-430A-B184-20616CC9FF3A}">
      <text>
        <t>[Comentário encadeado]
Sua versão do Excel permite que você leia este comentário encadeado, no entanto, as edições serão removidas se o arquivo for aberto em uma versão mais recente do Excel. Saiba mais: https://go.microsoft.com/fwlink/?linkid=870924
Comentário:
    01 estudio 02 camas, sin fianza, 750€ alquiler</t>
      </text>
    </comment>
    <comment ref="F777" authorId="713" shapeId="0" xr:uid="{6A105C12-415E-4C7D-935D-B2F5B2CA8F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778" authorId="714" shapeId="0" xr:uid="{078F0E48-3B9E-459E-B0C5-7E990C3B8C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W778" authorId="715" shapeId="0" xr:uid="{B0DF453D-6E67-43A1-B9B3-39D61EED5E4D}">
      <text>
        <t>[Comentário encadeado]
Sua versão do Excel permite que você leia este comentário encadeado, no entanto, as edições serão removidas se o arquivo for aberto em uma versão mais recente do Excel. Saiba mais: https://go.microsoft.com/fwlink/?linkid=870924
Comentário:
    Fianza transferida verificada por thalia (Jesùs)17/06</t>
      </text>
    </comment>
    <comment ref="F779" authorId="716" shapeId="0" xr:uid="{652D44BF-52EC-4F2E-B750-1E747C7787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781" authorId="717" shapeId="0" xr:uid="{6A9938D4-8392-406F-84DE-2BB0059F34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2" authorId="718" shapeId="0" xr:uid="{38AFABD6-DF6D-4929-9F11-6A0F54B1A7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3" authorId="719" shapeId="0" xr:uid="{F27CF93D-7EA5-410F-8719-19630CA84CF1}">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784" authorId="720" shapeId="0" xr:uid="{4A28FB2B-3AA7-4759-8620-EA7DD72E33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5" authorId="721" shapeId="0" xr:uid="{5F832C42-D82D-44FC-AB6D-A7EF78EA17C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6" authorId="722" shapeId="0" xr:uid="{99E5AD0F-9483-4584-9A49-5368842F33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8" authorId="723" shapeId="0" xr:uid="{FFFD4BFC-5E8E-49A6-A83A-2AD99424D4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89" authorId="724" shapeId="0" xr:uid="{1AD0D72D-FF55-4595-A1FB-BBBCF718D1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790" authorId="725" shapeId="0" xr:uid="{BFE2FF9F-4495-41EF-97C2-D4D1F87218A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791" authorId="726" shapeId="0" xr:uid="{FB87749E-FF20-47C7-9896-A6539A9A9B29}">
      <text>
        <t>[Comentário encadeado]
Sua versão do Excel permite que você leia este comentário encadeado, no entanto, as edições serão removidas se o arquivo for aberto em uma versão mais recente do Excel. Saiba mais: https://go.microsoft.com/fwlink/?linkid=870924
Comentário:
    03 camas, 1300€ alquiler, 200€ fianza</t>
      </text>
    </comment>
    <comment ref="F792" authorId="727" shapeId="0" xr:uid="{957E9B41-99FC-4AED-8D21-97485F09D8C7}">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793" authorId="728" shapeId="0" xr:uid="{A0AB175C-5F06-4FEB-974F-276383BE77C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794" authorId="729" shapeId="0" xr:uid="{49633CBF-15F1-45B4-B6BD-86D20096BC4E}">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795" authorId="730" shapeId="0" xr:uid="{868FABB1-DA80-470A-8882-842B554062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803" authorId="731" shapeId="0" xr:uid="{B6DBD535-53B3-4EF9-8B2E-3291E98352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06" authorId="732" shapeId="0" xr:uid="{69845A4F-C5C7-4F52-9829-598DB3F8424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12" authorId="733" shapeId="0" xr:uid="{C88C8AD2-497E-41F7-859B-FC35F82F22D3}">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N812" authorId="734" shapeId="0" xr:uid="{5906CF5F-D465-4E61-8A4B-1387E5473E8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Costo de Honorarios de gestión Total 
1669.80
</t>
      </text>
    </comment>
    <comment ref="F813" authorId="735" shapeId="0" xr:uid="{5D47EA7E-84C0-4E6A-B385-CFDD3531C04F}">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814" authorId="736" shapeId="0" xr:uid="{ACD2346F-47E6-41B5-8BCB-7ACD374D7BA6}">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815" authorId="737" shapeId="0" xr:uid="{801D1A20-D3CC-440B-99EE-5FC2AF80AD4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819" authorId="738" shapeId="0" xr:uid="{E4729C0E-D50D-4ECA-867B-6CE2EC004F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20" authorId="739" shapeId="0" xr:uid="{4F09F681-A899-44D5-88CF-266393FF70E7}">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821" authorId="740" shapeId="0" xr:uid="{B6C82A5B-388F-4929-9F92-8F09CF2125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22" authorId="741" shapeId="0" xr:uid="{67C7BCAE-DF8F-4950-B37A-1D3C9ECBF87B}">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823" authorId="742" shapeId="0" xr:uid="{53B53A69-A34A-4313-B00B-F9B886EA7574}">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826" authorId="743" shapeId="0" xr:uid="{F5229061-7702-4112-B85A-35B12DDE639E}">
      <text>
        <t>[Comentário encadeado]
Sua versão do Excel permite que você leia este comentário encadeado, no entanto, as edições serão removidas se o arquivo for aberto em uma versão mais recente do Excel. Saiba mais: https://go.microsoft.com/fwlink/?linkid=870924
Comentário:
    3 CAMAS, 600€ALQUILER, 600€FIANZA</t>
      </text>
    </comment>
    <comment ref="F827" authorId="744" shapeId="0" xr:uid="{ECA09326-F71D-4981-A30A-61DB2B4259BF}">
      <text>
        <t>[Comentário encadeado]
Sua versão do Excel permite que você leia este comentário encadeado, no entanto, as edições serão removidas se o arquivo for aberto em uma versão mais recente do Excel. Saiba mais: https://go.microsoft.com/fwlink/?linkid=870924
Comentário:
    04 camas, 500€ alquiler, 500€ fianza</t>
      </text>
    </comment>
    <comment ref="F828" authorId="745" shapeId="0" xr:uid="{21AE264A-631F-4D69-A420-0C79D30E8490}">
      <text>
        <t>[Comentário encadeado]
Sua versão do Excel permite que você leia este comentário encadeado, no entanto, as edições serão removidas se o arquivo for aberto em uma versão mais recente do Excel. Saiba mais: https://go.microsoft.com/fwlink/?linkid=870924
Comentário:
    04 camas, 500€ alquiler, 500€ fianza</t>
      </text>
    </comment>
    <comment ref="F829" authorId="746" shapeId="0" xr:uid="{660B4430-6938-4BE0-852D-4F5A1F5B96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830" authorId="747" shapeId="0" xr:uid="{6AD2908B-D371-4535-8C52-1B428BB535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31" authorId="748" shapeId="0" xr:uid="{DFA93CE2-BED0-4BCD-9694-5D1DE05F5653}">
      <text>
        <t>[Comentário encadeado]
Sua versão do Excel permite que você leia este comentário encadeado, no entanto, as edições serão removidas se o arquivo for aberto em uma versão mais recente do Excel. Saiba mais: https://go.microsoft.com/fwlink/?linkid=870924
Comentário:
    03 camas, 600€ fianza, 600 € alquiler</t>
      </text>
    </comment>
    <comment ref="F838" authorId="749" shapeId="0" xr:uid="{2E5D05C4-EF47-4923-8CF1-5AF67295B49C}">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839" authorId="750" shapeId="0" xr:uid="{CFCA864E-9EA6-4DD6-8559-59FEC3AB656E}">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840" authorId="751" shapeId="0" xr:uid="{D3E2D6C1-9998-4FAF-8C7A-E3AA6417F65E}">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841" authorId="752" shapeId="0" xr:uid="{9AE17A92-0685-4A42-9A88-3A53B9031941}">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842" authorId="753" shapeId="0" xr:uid="{0494F4A4-59A3-4EF9-9C92-5CC478B1D9CA}">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844" authorId="754" shapeId="0" xr:uid="{DB38DDA2-7174-4FB5-AAFE-E1A164E5D713}">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848" authorId="755" shapeId="0" xr:uid="{65CECF13-CB03-4BE7-9923-146D1712B8E8}">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853" authorId="756" shapeId="0" xr:uid="{60CA46D1-59D3-498F-A542-36089B2E5F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54" authorId="757" shapeId="0" xr:uid="{3994DF34-468B-4A47-8465-5980D74C1F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55" authorId="758" shapeId="0" xr:uid="{C58DF337-1E35-4FDE-AA0A-F3682413DBE7}">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856" authorId="759" shapeId="0" xr:uid="{F83087C4-C6BB-4A02-AE91-ACF78E1F970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57" authorId="760" shapeId="0" xr:uid="{29ACA889-E219-4000-82CE-9C33315A9242}">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858" authorId="761" shapeId="0" xr:uid="{C824E1BC-41C9-4ABD-98D0-AD4FB614A1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F859" authorId="762" shapeId="0" xr:uid="{429C22C3-78DF-4194-97EB-8E9E79995F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F860" authorId="763" shapeId="0" xr:uid="{0FD2C934-E9DA-4428-A798-052609066AA3}">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861" authorId="764" shapeId="0" xr:uid="{3AEA324B-E6D4-478A-9842-A2557C47DD35}">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862" authorId="765" shapeId="0" xr:uid="{C1BC418D-E726-4825-88F9-7052A7DE218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64" authorId="766" shapeId="0" xr:uid="{1774A50F-0B1E-4B21-9E84-03233C0A23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65" authorId="767" shapeId="0" xr:uid="{B323AB89-5880-4E32-AAF4-53AF9CCC58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66" authorId="768" shapeId="0" xr:uid="{3307F733-A750-4EBB-BDBB-9BC21DCA84E7}">
      <text>
        <t>[Comentário encadeado]
Sua versão do Excel permite que você leia este comentário encadeado, no entanto, as edições serão removidas se o arquivo for aberto em uma versão mais recente do Excel. Saiba mais: https://go.microsoft.com/fwlink/?linkid=870924
Comentário:
    03 CAMAS, ALQULER 800. FIANZA 1000,</t>
      </text>
    </comment>
    <comment ref="F869" authorId="769" shapeId="0" xr:uid="{9F121258-116D-4A7D-A2AB-3A3FED8914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70" authorId="770" shapeId="0" xr:uid="{C9FF6943-47C0-4145-9B9C-DD303AC89449}">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871" authorId="771" shapeId="0" xr:uid="{47819010-0C73-4802-A155-B439A4601CDB}">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872" authorId="772" shapeId="0" xr:uid="{45C3D7A5-83E3-4045-8500-6F9A430FB345}">
      <text>
        <t>[Comentário encadeado]
Sua versão do Excel permite que você leia este comentário encadeado, no entanto, as edições serão removidas se o arquivo for aberto em uma versão mais recente do Excel. Saiba mais: https://go.microsoft.com/fwlink/?linkid=870924
Comentário:
    03 CAMAS, ALQULER 800. FIANZA 1000,</t>
      </text>
    </comment>
    <comment ref="F873" authorId="773" shapeId="0" xr:uid="{0FDEE2A9-98E8-4CBC-A23F-86B34D2FE5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74" authorId="774" shapeId="0" xr:uid="{06F8F5F8-1616-4FFE-A57B-11DF512FAB16}">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877" authorId="775" shapeId="0" xr:uid="{A4E99607-0861-471D-A1DD-9DA66FB7B6A9}">
      <text>
        <t>[Comentário encadeado]
Sua versão do Excel permite que você leia este comentário encadeado, no entanto, as edições serão removidas se o arquivo for aberto em uma versão mais recente do Excel. Saiba mais: https://go.microsoft.com/fwlink/?linkid=870924
Comentário:
    3 Habitaciones alquiler 1800</t>
      </text>
    </comment>
    <comment ref="F878" authorId="776" shapeId="0" xr:uid="{329D885A-316F-4F3E-9B0D-238A965F6F84}">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880" authorId="777" shapeId="0" xr:uid="{0D51AF4D-A9D3-4792-98F3-0725BBCC40AB}">
      <text>
        <t>[Comentário encadeado]
Sua versão do Excel permite que você leia este comentário encadeado, no entanto, as edições serão removidas se o arquivo for aberto em uma versão mais recente do Excel. Saiba mais: https://go.microsoft.com/fwlink/?linkid=870924
Comentário:
    03 CAMAS, ALQULER 800. FIANZA 1000,</t>
      </text>
    </comment>
    <comment ref="F883" authorId="778" shapeId="0" xr:uid="{0500A5AA-2DE8-48A0-8D69-365F81F5F150}">
      <text>
        <t>[Comentário encadeado]
Sua versão do Excel permite que você leia este comentário encadeado, no entanto, as edições serão removidas se o arquivo for aberto em uma versão mais recente do Excel. Saiba mais: https://go.microsoft.com/fwlink/?linkid=870924
Comentário:
    3 Habitaciones alquiler 1800</t>
      </text>
    </comment>
    <comment ref="F884" authorId="779" shapeId="0" xr:uid="{9DE4A49C-FDBE-42F1-9151-742432A417E1}">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885" authorId="780" shapeId="0" xr:uid="{7E6181E7-B494-4343-AA06-78E1B1C96289}">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886" authorId="781" shapeId="0" xr:uid="{9E90BE98-FBFB-4457-9FDE-B27DCE677491}">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887" authorId="782" shapeId="0" xr:uid="{4F3D31CD-37D6-4178-9A37-C25ABA7562DF}">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890" authorId="783" shapeId="0" xr:uid="{F2B79EEA-97F7-457E-9108-AE411395A56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891" authorId="784" shapeId="0" xr:uid="{EF34D872-54C7-47A8-9A8D-35CCAB507FFA}">
      <text>
        <t>[Comentário encadeado]
Sua versão do Excel permite que você leia este comentário encadeado, no entanto, as edições serão removidas se o arquivo for aberto em uma versão mais recente do Excel. Saiba mais: https://go.microsoft.com/fwlink/?linkid=870924
Comentário:
    3 habitaciones,apto para 4 personas, 1300 alquiler+50 Limpieza</t>
      </text>
    </comment>
    <comment ref="F892" authorId="785" shapeId="0" xr:uid="{5D5322C5-6951-4CBE-9091-A1EC53F85177}">
      <text>
        <t>[Comentário encadeado]
Sua versão do Excel permite que você leia este comentário encadeado, no entanto, as edições serão removidas se o arquivo for aberto em uma versão mais recente do Excel. Saiba mais: https://go.microsoft.com/fwlink/?linkid=870924
Comentário:
    3 habitaciones,apto para 4 personas, 1300 alquiler+50 Limpieza</t>
      </text>
    </comment>
    <comment ref="F893" authorId="786" shapeId="0" xr:uid="{4981BFFB-5D88-49DE-8231-C5954A2A14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895" authorId="787" shapeId="0" xr:uid="{AEB1C3E0-D81E-48EC-8234-0E0FDE049F5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898" authorId="788" shapeId="0" xr:uid="{E1DC7016-A243-49D2-B871-EA02BDD6C3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00" authorId="789" shapeId="0" xr:uid="{B7042B53-AEE9-4502-AADE-3912B0508EDA}">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901" authorId="790" shapeId="0" xr:uid="{FA893041-8225-4724-873A-0E79A0D076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902" authorId="791" shapeId="0" xr:uid="{AD375632-DC46-452A-A58A-92B9DBAEC3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903" authorId="792" shapeId="0" xr:uid="{15E01270-17BA-4880-A1B5-789B2BE6274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05" authorId="793" shapeId="0" xr:uid="{A978151D-17DD-46DC-A907-7701E13BC699}">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907" authorId="794" shapeId="0" xr:uid="{F9A24878-A7A2-4E26-9F37-6BF14C1840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08" authorId="795" shapeId="0" xr:uid="{39D790B2-041F-4A03-A1AE-68B10939AF24}">
      <text>
        <t>[Comentário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t>
      </text>
    </comment>
    <comment ref="F911" authorId="796" shapeId="0" xr:uid="{1601B8B0-14D1-49DB-AC2C-76FD4B3DFABC}">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912" authorId="797" shapeId="0" xr:uid="{9DCFF6DE-F3CF-4D99-AC69-75F42F6ADD3D}">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914" authorId="798" shapeId="0" xr:uid="{5E84FC5C-4272-4CEC-9C0F-65A44D8714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17" authorId="799" shapeId="0" xr:uid="{F7C68462-02BA-47C9-9CE8-EA7F167A7A42}">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918" authorId="800" shapeId="0" xr:uid="{6368D215-D5E0-425A-A46C-F6EE1928A770}">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919" authorId="801" shapeId="0" xr:uid="{F25AC816-4102-496E-9AC2-4F7BD2A03E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20" authorId="802" shapeId="0" xr:uid="{82002822-EDAE-45DD-9840-7333B6127FA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921" authorId="803" shapeId="0" xr:uid="{F9554CC3-7281-4D7F-9A25-3CEBDCB8D6DB}">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922" authorId="804" shapeId="0" xr:uid="{5F2E32B4-D89E-44F4-AE61-FA751AA3BD5F}">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923" authorId="805" shapeId="0" xr:uid="{768E97BE-059F-4F9D-978A-2740336356D0}">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924" authorId="806" shapeId="0" xr:uid="{8ACDB06C-61E7-4123-BF58-7E8109C13F97}">
      <text>
        <t>[Comentário encadeado]
Sua versão do Excel permite que você leia este comentário encadeado, no entanto, as edições serão removidas se o arquivo for aberto em uma versão mais recente do Excel. Saiba mais: https://go.microsoft.com/fwlink/?linkid=870924
Comentário:
    Alquiler 300€, suministros 50€</t>
      </text>
    </comment>
    <comment ref="F925" authorId="807" shapeId="0" xr:uid="{52303F5E-4ABD-488E-81F4-A55C3D161567}">
      <text>
        <t>[Comentário encadeado]
Sua versão do Excel permite que você leia este comentário encadeado, no entanto, as edições serão removidas se o arquivo for aberto em uma versão mais recente do Excel. Saiba mais: https://go.microsoft.com/fwlink/?linkid=870924
Comentário:
    Alquiler 300€, suministros 50€</t>
      </text>
    </comment>
    <comment ref="F926" authorId="808" shapeId="0" xr:uid="{9D5FD462-2AC6-4111-B969-5AB5BDCA91FF}">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927" authorId="809" shapeId="0" xr:uid="{575EC3F1-E46A-449A-A03F-B4194901FA0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28" authorId="810" shapeId="0" xr:uid="{3E08C0B8-1FAD-4ECF-B6EC-BF2BEB44B105}">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930" authorId="811" shapeId="0" xr:uid="{0A80610E-B45F-4E40-972D-6957F42D849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931" authorId="812" shapeId="0" xr:uid="{41BD8F76-D9D3-4D61-9171-E30F9FB083F1}">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932" authorId="813" shapeId="0" xr:uid="{4E707DB4-DB39-438E-8A0F-3632F3B85C72}">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935" authorId="814" shapeId="0" xr:uid="{654E6306-985C-42C1-976B-8613419AD785}">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936" authorId="815" shapeId="0" xr:uid="{9A34159F-B250-4941-B9EB-00AA409C84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37" authorId="816" shapeId="0" xr:uid="{E96AA793-099F-4244-AD01-163DE84C0CF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38" authorId="817" shapeId="0" xr:uid="{7C175111-E05A-43F3-AC82-296AF58A1785}">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939" authorId="818" shapeId="0" xr:uid="{EA7C1CFF-60C9-4D04-BE20-9C8A3C1C81C3}">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940" authorId="819" shapeId="0" xr:uid="{D9B8CCDF-6694-46C8-8666-5BF961A7326D}">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943" authorId="820" shapeId="0" xr:uid="{C9EBA47C-4166-45B2-91A4-6E5F7525AFE9}">
      <text>
        <t>[Comentário encadeado]
Sua versão do Excel permite que você leia este comentário encadeado, no entanto, as edições serão removidas se o arquivo for aberto em uma versão mais recente do Excel. Saiba mais: https://go.microsoft.com/fwlink/?linkid=870924
Comentário:
    2 Habitaciones camas individuales</t>
      </text>
    </comment>
    <comment ref="F944" authorId="821" shapeId="0" xr:uid="{5C77DD76-9A24-46FA-B7DE-DDD030ECE373}">
      <text>
        <t>[Comentário encadeado]
Sua versão do Excel permite que você leia este comentário encadeado, no entanto, as edições serão removidas se o arquivo for aberto em uma versão mais recente do Excel. Saiba mais: https://go.microsoft.com/fwlink/?linkid=870924
Comentário:
    2 Habitaciones camas individuales</t>
      </text>
    </comment>
    <comment ref="F947" authorId="822" shapeId="0" xr:uid="{0262D83E-803D-4AA5-B066-BA71047DCB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48" authorId="823" shapeId="0" xr:uid="{A2AA7B29-A249-4B2C-8664-27A16C920B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49" authorId="824" shapeId="0" xr:uid="{59E81AA2-BF64-4D81-A674-ED36087457F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1" authorId="825" shapeId="0" xr:uid="{FAAE5A26-5AD5-4BDF-811C-E8A924B95F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5" authorId="826" shapeId="0" xr:uid="{0593D0CC-79D9-41AD-879F-4EC1BC64AF5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6" authorId="827" shapeId="0" xr:uid="{4FB93AA5-66C8-4766-B27B-B4E08E214B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7" authorId="828" shapeId="0" xr:uid="{C8BF9E39-2E47-463E-9FEC-34811F9BD8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958" authorId="829" shapeId="0" xr:uid="{75B7B52F-2820-4654-A52A-ED6BF87787E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59" authorId="830" shapeId="0" xr:uid="{541EC129-E984-41A3-88AD-9BAB273AF7B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60" authorId="831" shapeId="0" xr:uid="{C530A961-C449-4C74-BD7A-81F2BF0B8ABE}">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961" authorId="832" shapeId="0" xr:uid="{430DE242-5157-42E9-9004-9E28B0B4D3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62" authorId="833" shapeId="0" xr:uid="{EBFA4E49-725D-4E9E-9783-8C5A13AC194A}">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963" authorId="834" shapeId="0" xr:uid="{E39F5E3F-04F2-49CD-A002-F5882615C4EF}">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964" authorId="835" shapeId="0" xr:uid="{69CBADA8-4095-4291-A673-458659735866}">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965" authorId="836" shapeId="0" xr:uid="{330C6EA1-CE28-4135-B9AD-6995AC53D4CE}">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966" authorId="837" shapeId="0" xr:uid="{4AA7F3AE-50B1-4255-9A66-57755C04EC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967" authorId="838" shapeId="0" xr:uid="{19BAA825-CF59-4E3F-B0B3-6A4E2E519172}">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968" authorId="839" shapeId="0" xr:uid="{B07E0781-621E-4496-8A9E-A98692CD6211}">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969" authorId="840" shapeId="0" xr:uid="{DE68D6C6-E991-4056-949E-FE7C25F1C9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70" authorId="841" shapeId="0" xr:uid="{72065818-E438-44C1-814E-A4622C13E470}">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971" authorId="842" shapeId="0" xr:uid="{BD957BAC-341A-4C68-89AC-23F26D6B19A6}">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973" authorId="843" shapeId="0" xr:uid="{622200D8-2CAF-49D9-85EC-92CFC970BEE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74" authorId="844" shapeId="0" xr:uid="{56F929A0-7AAB-43CC-AAD2-FA306DB579C4}">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V974" authorId="845" shapeId="0" xr:uid="{A9746360-6F83-4C9C-A75E-C7B188523ACE}">
      <text>
        <t>[Comentário encadeado]
Sua versão do Excel permite que você leia este comentário encadeado, no entanto, as edições serão removidas se o arquivo for aberto em uma versão mais recente do Excel. Saiba mais: https://go.microsoft.com/fwlink/?linkid=870924
Comentário:
    Deben pasar a temporal y volver el 21/04</t>
      </text>
    </comment>
    <comment ref="F975" authorId="846" shapeId="0" xr:uid="{6C4D0987-72F0-4BB6-B914-78ACDF10E2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76" authorId="847" shapeId="0" xr:uid="{570A02E5-28B0-41F2-BDFA-97E18BB7FED7}">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977" authorId="848" shapeId="0" xr:uid="{098DFB4F-B10B-4FC7-A4F8-BF2D477A9E3A}">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981" authorId="849" shapeId="0" xr:uid="{830902E5-624E-44B7-9A77-522D38A72B2B}">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982" authorId="850" shapeId="0" xr:uid="{C1C43B12-3674-40B5-885C-E84B7E05D1B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83" authorId="851" shapeId="0" xr:uid="{B62B0E26-7853-4C97-A367-CE0242A9A61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84" authorId="852" shapeId="0" xr:uid="{2550E2D5-F2F2-4622-86B1-4D9AF3C240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85" authorId="853" shapeId="0" xr:uid="{C064EC1B-5F9A-4CEF-A650-B82B852F6C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86" authorId="854" shapeId="0" xr:uid="{896A6A54-A6E8-4BE1-BAF4-4DCBEEC04C0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87" authorId="855" shapeId="0" xr:uid="{F890C2EF-1A09-44FC-ACDE-A9121D28B996}">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988" authorId="856" shapeId="0" xr:uid="{65F833F8-1F13-4DFC-AA0D-5D2C3CA895B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991" authorId="857" shapeId="0" xr:uid="{99BE4C4B-0D38-41B4-A2F3-E0FA26B71072}">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993" authorId="858" shapeId="0" xr:uid="{D00CF9C8-DBFE-49E6-A7F8-4EE669FFC8DE}">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994" authorId="859" shapeId="0" xr:uid="{D3399937-FDB2-47AD-AE07-E5AF4575CF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995" authorId="860" shapeId="0" xr:uid="{D4C31B10-81C5-4C5F-821D-2CCDC577BC6B}">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996" authorId="861" shapeId="0" xr:uid="{395E8B21-B02B-4C44-8082-1F5110B67AA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997" authorId="862" shapeId="0" xr:uid="{D311BE2F-D1FD-4095-8388-C5C324C1D8C8}">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999" authorId="863" shapeId="0" xr:uid="{224DA2FA-A889-4169-B654-22A85F28100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1000" authorId="864" shapeId="0" xr:uid="{A4467A11-FAF9-47B5-B09C-FA946393A53F}">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1001" authorId="865" shapeId="0" xr:uid="{EED4FDC0-C040-4391-98A7-563910414B4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003" authorId="866" shapeId="0" xr:uid="{D7A426CB-177E-4269-8BB0-1F53FBC5F81D}">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1004" authorId="867" shapeId="0" xr:uid="{7D1BD760-96AB-475A-9EB2-23B4446B4F92}">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1005" authorId="868" shapeId="0" xr:uid="{FFCC4351-529C-462F-AD76-5683665C1495}">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1006" authorId="869" shapeId="0" xr:uid="{0AAA1FEF-5C45-4156-9F69-00599B50D90B}">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1008" authorId="870" shapeId="0" xr:uid="{2C75FB83-8F26-41D3-9AFA-C0FFC75D9FC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09" authorId="871" shapeId="0" xr:uid="{54389941-52AC-4EF7-98E3-DB1291BFA8D1}">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010" authorId="872" shapeId="0" xr:uid="{E063A76A-DE9B-4BE9-AF52-9F00473CFE4C}">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011" authorId="873" shapeId="0" xr:uid="{7C23EDBE-307A-4063-9021-9677AD07BE6E}">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021" authorId="874" shapeId="0" xr:uid="{15A57888-9771-4398-9B27-0657ADE145AA}">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1022" authorId="875" shapeId="0" xr:uid="{3F65DC7E-21F6-41C3-9F2C-9C8F8BD03B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023" authorId="876" shapeId="0" xr:uid="{FE902D00-2268-4BE7-8933-C7E4894BDA1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024" authorId="877" shapeId="0" xr:uid="{D0C24977-B836-42E8-A715-ECB6BC97D7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025" authorId="878" shapeId="0" xr:uid="{6F8781B7-DCB2-4C81-9952-B784617AA467}">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026" authorId="879" shapeId="0" xr:uid="{005B436F-20EC-49DE-9A48-80DE4C94A61F}">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027" authorId="880" shapeId="0" xr:uid="{6DC545A3-9D76-4584-88B1-6F14426007C9}">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028" authorId="881" shapeId="0" xr:uid="{4686359E-4133-49B8-BBF7-4207C56CDB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29" authorId="882" shapeId="0" xr:uid="{F9207297-2A9B-4759-A490-B012A4709CB3}">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30" authorId="883" shapeId="0" xr:uid="{A02B342F-0BBD-407D-9758-16ABE487D39F}">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31" authorId="884" shapeId="0" xr:uid="{E8593F95-3A2A-4EBA-AB4B-62706D2F24B0}">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34" authorId="885" shapeId="0" xr:uid="{32992FA7-CF6E-4795-AB56-BA2F76F4280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035" authorId="886" shapeId="0" xr:uid="{3EFE1B99-C540-41C2-A73D-CDE9A383C77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036" authorId="887" shapeId="0" xr:uid="{45901168-7A32-4380-8002-BC4EBBC90FAD}">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37" authorId="888" shapeId="0" xr:uid="{DBA8F87C-3875-41B4-B252-BD5A7A2813A1}">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38" authorId="889" shapeId="0" xr:uid="{C9ADA729-1179-4D69-9CB7-D71E507A6F9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039" authorId="890" shapeId="0" xr:uid="{EE58990D-18EF-41B8-A86B-F1AD13048F8B}">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G1039" authorId="891" shapeId="0" xr:uid="{5C66B611-8707-410F-B55E-4BAA9EF3877D}">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040" authorId="892" shapeId="0" xr:uid="{D2C2E19B-2815-491F-92DE-87C278CE5938}">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G1040" authorId="893" shapeId="0" xr:uid="{5F72B125-0013-4B18-ACEA-52633A4C117F}">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045" authorId="894" shapeId="0" xr:uid="{CD0441CA-DB10-4580-8BB4-4C1F15BDEE8A}">
      <text>
        <t>[Comentário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t>
      </text>
    </comment>
    <comment ref="F1046" authorId="895" shapeId="0" xr:uid="{4D3A8EA1-4073-435E-8C94-CAB6D367193D}">
      <text>
        <t>[Comentário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t>
      </text>
    </comment>
    <comment ref="F1047" authorId="896" shapeId="0" xr:uid="{0150B803-BF8C-47E2-819C-683420FFE667}">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048" authorId="897" shapeId="0" xr:uid="{0B7330C8-F948-40F0-8B12-AE40E205BA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49" authorId="898" shapeId="0" xr:uid="{3E8C32A9-9162-46BE-852E-9C1EC8813B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1" authorId="899" shapeId="0" xr:uid="{1626273D-131B-4C36-A940-5257DA8955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2" authorId="900" shapeId="0" xr:uid="{EA99A25A-053E-419F-994D-2F5D0254CF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3" authorId="901" shapeId="0" xr:uid="{F82ACD31-8FE6-4C9A-8118-E4BBD115DF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5" authorId="902" shapeId="0" xr:uid="{EFE096A7-C540-4E86-875B-D3C16026BA3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56" authorId="903" shapeId="0" xr:uid="{A148E555-9E97-42D4-B8E8-81F96C5382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62" authorId="904" shapeId="0" xr:uid="{9271E923-4212-498E-A898-6FBFF390AA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65" authorId="905" shapeId="0" xr:uid="{E40B2C0A-F7CD-47E2-B7AF-1D8934F39B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66" authorId="906" shapeId="0" xr:uid="{0F7000CD-1954-492E-AE18-82EE06A7A60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68" authorId="907" shapeId="0" xr:uid="{E80D873A-726F-4FBF-8547-7417B954C2B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70" authorId="908" shapeId="0" xr:uid="{42C2648A-DD2B-4968-9ECC-93D6A2AC19F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1073" authorId="909" shapeId="0" xr:uid="{73E9ACF6-18A0-497E-9AC5-34B7A731C1A3}">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1074" authorId="910" shapeId="0" xr:uid="{DE48C417-E113-4B3C-8EBC-95F52A3C41D5}">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1075" authorId="911" shapeId="0" xr:uid="{8DE15036-1E73-4A50-B737-6F0C4BF979BA}">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1076" authorId="912" shapeId="0" xr:uid="{5D23B466-6AF0-444A-B237-F6165F3D10B1}">
      <text>
        <t>[Comentário encadeado]
Sua versão do Excel permite que você leia este comentário encadeado, no entanto, as edições serão removidas se o arquivo for aberto em uma versão mais recente do Excel. Saiba mais: https://go.microsoft.com/fwlink/?linkid=870924
Comentário:
    03 CAMAS, ALQUILER 1195, FIANZA 1800</t>
      </text>
    </comment>
    <comment ref="F1077" authorId="913" shapeId="0" xr:uid="{CD559F57-278F-4E24-AE19-EC34D1083DCB}">
      <text>
        <t>[Comentário encadeado]
Sua versão do Excel permite que você leia este comentário encadeado, no entanto, as edições serão removidas se o arquivo for aberto em uma versão mais recente do Excel. Saiba mais: https://go.microsoft.com/fwlink/?linkid=870924
Comentário:
    03 CAMAS, ALQUILER 1195, FIANZA 1800</t>
      </text>
    </comment>
    <comment ref="F1078" authorId="914" shapeId="0" xr:uid="{AAB05C56-1A9A-4BE8-8987-DA89F6CE0B4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80" authorId="915" shapeId="0" xr:uid="{DC2726E7-5E75-4323-B305-15640184CF47}">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081" authorId="916" shapeId="0" xr:uid="{ED37B977-113F-4C50-922A-C85F0A868C24}">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084" authorId="917" shapeId="0" xr:uid="{16FA2480-415E-4D63-9673-93D913880620}">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1085" authorId="918" shapeId="0" xr:uid="{080D1D0B-E80A-46D3-90DE-A74F6B68B7AA}">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1088" authorId="919" shapeId="0" xr:uid="{BCD738F1-5452-4260-875C-3E2A380CF0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89" authorId="920" shapeId="0" xr:uid="{B8DD581F-6BA5-4052-A554-868405211C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90" authorId="921" shapeId="0" xr:uid="{1C527A26-C5E4-4461-9ED1-3D86A270D853}">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1091" authorId="922" shapeId="0" xr:uid="{45C1C9C7-4063-49E8-BE3E-DAFC4A07C963}">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V1091" authorId="923" shapeId="0" xr:uid="{7592BEC1-F4AD-4511-981B-5C552E4AA3EA}">
      <text>
        <t>[Comentário encadeado]
Sua versão do Excel permite que você leia este comentário encadeado, no entanto, as edições serão removidas se o arquivo for aberto em uma versão mais recente do Excel. Saiba mais: https://go.microsoft.com/fwlink/?linkid=870924
Comentário:
    Deben pasar a temporal y volver el 21/04</t>
      </text>
    </comment>
    <comment ref="F1093" authorId="924" shapeId="0" xr:uid="{3ED0FD00-3572-4A8D-A6DA-926D6427A578}">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W1094" authorId="925" shapeId="0" xr:uid="{7631DBAD-72AB-42C6-A2B3-835CC2BDB825}">
      <text>
        <t>[Comentário encadeado]
Sua versão do Excel permite que você leia este comentário encadeado, no entanto, as edições serão removidas se o arquivo for aberto em uma versão mais recente do Excel. Saiba mais: https://go.microsoft.com/fwlink/?linkid=870924
Comentário:
    Fianza (Milton Díaz/ Martín segura)</t>
      </text>
    </comment>
    <comment ref="F1095" authorId="926" shapeId="0" xr:uid="{AD036FF0-1ABC-4D43-A114-896C27601D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96" authorId="927" shapeId="0" xr:uid="{E73D80B8-04CD-4FC6-A653-7D74E299461B}">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097" authorId="928" shapeId="0" xr:uid="{9294DE0A-C7C2-4468-B4E6-D5E1422CC8C7}">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098" authorId="929" shapeId="0" xr:uid="{9EC2BAC3-6619-48E4-AC81-5DB0551D27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099" authorId="930" shapeId="0" xr:uid="{62E6AD82-524C-41FC-90A8-C1D466F546E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0" authorId="931" shapeId="0" xr:uid="{9046AE59-C210-4E03-9C56-D1EA8E7089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1" authorId="932" shapeId="0" xr:uid="{219072A0-1E34-486B-AB11-7212C16243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2" authorId="933" shapeId="0" xr:uid="{C1170DE2-5EA7-4E12-A1A7-0AAA750EC7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3" authorId="934" shapeId="0" xr:uid="{952ADE7F-4C7A-4EED-8D06-C87098130C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4" authorId="935" shapeId="0" xr:uid="{CDE69C80-8958-4416-B68B-FE779AF3A18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5" authorId="936" shapeId="0" xr:uid="{BF8301CC-3451-42AB-8D8E-E01A11D6E3C9}">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t>
      </text>
    </comment>
    <comment ref="F1106" authorId="937" shapeId="0" xr:uid="{63D18C83-E915-4970-A5AB-213F46D583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8" authorId="938" shapeId="0" xr:uid="{A547869B-3211-4ADC-AD05-BEFFDE4351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09" authorId="939" shapeId="0" xr:uid="{BD5796EA-E3E8-4CD1-A753-1965923FA0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0" authorId="940" shapeId="0" xr:uid="{F4EB03F2-C68E-481D-8B7B-CFB2AF8A0390}">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1111" authorId="941" shapeId="0" xr:uid="{316AC822-2C2A-4EA9-AD67-948B722071B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2" authorId="942" shapeId="0" xr:uid="{7153D8D7-9D7C-4294-8048-E958677B648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4" authorId="943" shapeId="0" xr:uid="{221D61CB-E731-403B-ACD5-D559821B26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5" authorId="944" shapeId="0" xr:uid="{DD80D321-75FA-4B50-943D-2C6D14D26E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7" authorId="945" shapeId="0" xr:uid="{305FB1D3-C235-429B-88B6-7B91D00FDC5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18" authorId="946" shapeId="0" xr:uid="{77A9F52D-6098-45A9-9150-E68BB0E9D4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21" authorId="947" shapeId="0" xr:uid="{8A7B3FB2-D4DA-418A-861A-D99E33165A5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122" authorId="948" shapeId="0" xr:uid="{7F8FE8E1-70D8-42F0-8800-D6E82FAF0DF3}">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123" authorId="949" shapeId="0" xr:uid="{7A98617A-5319-4386-BFB0-6C189F31B0A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124" authorId="950" shapeId="0" xr:uid="{FCF8E180-18F3-4AA3-BCAB-B9662C504D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Habitación Doble - 2 camas </t>
      </text>
    </comment>
    <comment ref="F1125" authorId="951" shapeId="0" xr:uid="{4F15331D-DE1B-4F5E-95BA-0D6856A723A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Habitación Doble - 2 camas </t>
      </text>
    </comment>
    <comment ref="F1126" authorId="952" shapeId="0" xr:uid="{D9E9B9B0-9B3C-4507-8073-D25D29505247}">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27" authorId="953" shapeId="0" xr:uid="{5A910913-EFC2-4AA0-9802-E318A8377AD9}">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28" authorId="954" shapeId="0" xr:uid="{C6F10171-75D3-4C2B-B3B4-528835803659}">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129" authorId="955" shapeId="0" xr:uid="{E6C8F571-1F74-48A0-A9C7-2B076ECBA0F3}">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30" authorId="956" shapeId="0" xr:uid="{C8F383FA-08A5-4E41-8D00-A9100E670C70}">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31" authorId="957" shapeId="0" xr:uid="{C1F226F4-1743-4C6A-A0F5-974375A39AFC}">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32" authorId="958" shapeId="0" xr:uid="{F8346D69-89FA-4E8D-8858-A9844152098D}">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1133" authorId="959" shapeId="0" xr:uid="{013782AF-9CC6-43D6-BF80-85599C80425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CAMAS Y 1 SOFA CAMA </t>
      </text>
    </comment>
    <comment ref="F1134" authorId="960" shapeId="0" xr:uid="{67605B4F-9DEC-4D91-9756-06E7ED82DC9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139" authorId="961" shapeId="0" xr:uid="{CA8EC61E-7670-460A-9F7E-FFFDE9C4F2C5}">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1140" authorId="962" shapeId="0" xr:uid="{1A566F86-C64D-4541-9A9F-6F3CF5AA5199}">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1145" authorId="963" shapeId="0" xr:uid="{B4E96EC5-C124-4310-A929-2C4493C26A6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46" authorId="964" shapeId="0" xr:uid="{FC5BEADB-6B5D-445E-B0B2-86FE42772D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151" authorId="965" shapeId="0" xr:uid="{E6F78B19-735C-434F-9109-CD56D0200C07}">
      <text>
        <t>[Comentário encadeado]
Sua versão do Excel permite que você leia este comentário encadeado, no entanto, as edições serão removidas se o arquivo for aberto em uma versão mais recente do Excel. Saiba mais: https://go.microsoft.com/fwlink/?linkid=870924
Comentário:
    3 Habitaciones alquiler 1800</t>
      </text>
    </comment>
    <comment ref="C1152" authorId="966" shapeId="0" xr:uid="{71EB9C1B-0568-43A2-BE00-A69B8E0CCC0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t>
      </text>
    </comment>
    <comment ref="F1153" authorId="967" shapeId="0" xr:uid="{941BAB7A-B738-45FC-8B7B-E13559AFA0B2}">
      <text>
        <t>[Comentário encadeado]
Sua versão do Excel permite que você leia este comentário encadeado, no entanto, as edições serão removidas se o arquivo for aberto em uma versão mais recente do Excel. Saiba mais: https://go.microsoft.com/fwlink/?linkid=870924
Comentário:
    03 CAMAS, ALQUILER 1195, FIANZA 1800</t>
      </text>
    </comment>
    <comment ref="F1157" authorId="968" shapeId="0" xr:uid="{8B942E20-50E0-44E0-A067-95707359361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58" authorId="969" shapeId="0" xr:uid="{CB171B9B-7708-45C6-81C8-D957745A906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59" authorId="970" shapeId="0" xr:uid="{BCAA91F5-3959-4852-A211-1B494D0E131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164" authorId="971" shapeId="0" xr:uid="{19EE2077-BED5-4382-B5F0-BE35F96F9483}">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 camas individuales</t>
      </text>
    </comment>
    <comment ref="F1165" authorId="972" shapeId="0" xr:uid="{93EB5A3E-A31A-432E-9B46-310F92BF0DD4}">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 camas individuales</t>
      </text>
    </comment>
    <comment ref="F1168" authorId="973" shapeId="0" xr:uid="{16F69C54-9A8D-4689-A1AC-0AE0D11BDA9C}">
      <text>
        <t>[Comentário encadeado]
Sua versão do Excel permite que você leia este comentário encadeado, no entanto, as edições serão removidas se o arquivo for aberto em uma versão mais recente do Excel. Saiba mais: https://go.microsoft.com/fwlink/?linkid=870924
Comentário:
    03 camas, 600€ fianza, 600 € alquiler</t>
      </text>
    </comment>
    <comment ref="F1169" authorId="974" shapeId="0" xr:uid="{046BF413-388C-40F0-BA91-E7902C347072}">
      <text>
        <t>[Comentário encadeado]
Sua versão do Excel permite que você leia este comentário encadeado, no entanto, as edições serão removidas se o arquivo for aberto em uma versão mais recente do Excel. Saiba mais: https://go.microsoft.com/fwlink/?linkid=870924
Comentário:
    Alquiler 1.200€/mes
Fianza 600€</t>
      </text>
    </comment>
    <comment ref="F1170" authorId="975" shapeId="0" xr:uid="{A93C6140-593A-4378-B6F8-8B8101920A5B}">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1175" authorId="976" shapeId="0" xr:uid="{1F3463A7-DB5D-4A93-9D65-40DD7E759F36}">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83" authorId="977" shapeId="0" xr:uid="{67E35FEC-D9A1-466A-A4AC-9F5ABB4061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5" authorId="978" shapeId="0" xr:uid="{2121F028-858E-4194-B66B-91FEEE2FCB1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6" authorId="979" shapeId="0" xr:uid="{1A689C57-A9FC-4A56-97B3-9DA65035D71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7" authorId="980" shapeId="0" xr:uid="{6D7CC0F5-8460-4F12-9C9B-4A8F92B27F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8" authorId="981" shapeId="0" xr:uid="{D68DA4FA-5125-48CE-B2DA-49CF927224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89" authorId="982" shapeId="0" xr:uid="{569D943C-3DCB-40BD-9AF5-9AC98B8348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0" authorId="983" shapeId="0" xr:uid="{364168E4-1C53-4AD5-87F7-1994CD3CE2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1" authorId="984" shapeId="0" xr:uid="{14C790A4-1E37-41D1-B48D-3580F1B362E4}">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192" authorId="985" shapeId="0" xr:uid="{5DCE5321-C4FA-484B-B56A-2D96DE7F874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193" authorId="986" shapeId="0" xr:uid="{943EBEC1-CFFA-418F-BFB6-5FAF24A9CE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4" authorId="987" shapeId="0" xr:uid="{02864680-DDE9-48F9-9043-49132A3D50C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5" authorId="988" shapeId="0" xr:uid="{7E84C7D3-DA52-41EB-8A71-F272D2F081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6" authorId="989" shapeId="0" xr:uid="{5681473A-784D-435E-AFCD-3FDF126EE4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7" authorId="990" shapeId="0" xr:uid="{D1163193-F93C-4665-8875-BA4965CCC9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8" authorId="991" shapeId="0" xr:uid="{06CAE551-8D97-4FA6-961D-B4BE9DA82E7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199" authorId="992" shapeId="0" xr:uid="{DD0E74EE-FFF0-4B60-B7BF-C7BC56C17D0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0" authorId="993" shapeId="0" xr:uid="{34167BF7-26F2-4EBB-8D96-A85BB4F4B1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1" authorId="994" shapeId="0" xr:uid="{5F5DB477-6A10-46BF-9277-CB1825DBB14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2" authorId="995" shapeId="0" xr:uid="{F884502C-A826-46AC-8194-29FE35759C3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3" authorId="996" shapeId="0" xr:uid="{EA18B1F6-C56A-4E3A-92E6-760633FA2A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4" authorId="997" shapeId="0" xr:uid="{312AB08D-4C64-4D10-9D38-A8D59790A7F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5" authorId="998" shapeId="0" xr:uid="{75C854D1-B9FD-4271-81C9-08FD3879BC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6" authorId="999" shapeId="0" xr:uid="{1B24CB14-4F89-4584-93BC-5127EF3DFC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7" authorId="1000" shapeId="0" xr:uid="{80464A0B-C992-48DA-98E7-622831B4C3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09" authorId="1001" shapeId="0" xr:uid="{A5912CE5-66DE-4395-A64A-C85B4C477D6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0" authorId="1002" shapeId="0" xr:uid="{45E76B4B-70DD-4183-AC14-8D6FBB993BD3}">
      <text>
        <t>[Comentário encadeado]
Sua versão do Excel permite que você leia este comentário encadeado, no entanto, as edições serão removidas se o arquivo for aberto em uma versão mais recente do Excel. Saiba mais: https://go.microsoft.com/fwlink/?linkid=870924
Comentário:
    Alquiler 1200 Fianza 1200 4 camas</t>
      </text>
    </comment>
    <comment ref="X1210" authorId="1003" shapeId="0" xr:uid="{F9C943E8-9BA1-4310-9FEE-56B2EDE179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Se pago mes de agosto y proporcional de Julio 
</t>
      </text>
    </comment>
    <comment ref="F1211" authorId="1004" shapeId="0" xr:uid="{EA980C44-CF1C-42B6-B939-9EBF3E9B08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2" authorId="1005" shapeId="0" xr:uid="{59889516-311E-46DD-818E-821D1F123B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3" authorId="1006" shapeId="0" xr:uid="{20AEAFB5-C297-402A-ADF0-C33D580FE85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4" authorId="1007" shapeId="0" xr:uid="{2CE3825A-244D-4913-941C-152FCF0BC9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5" authorId="1008" shapeId="0" xr:uid="{4FB3ED76-2CAD-426A-9757-16887C3CAE15}">
      <text>
        <t>[Comentário encadeado]
Sua versão do Excel permite que você leia este comentário encadeado, no entanto, as edições serão removidas se o arquivo for aberto em uma versão mais recente do Excel. Saiba mais: https://go.microsoft.com/fwlink/?linkid=870924
Comentário:
    400 fianza, alquiler 650, 03 camas</t>
      </text>
    </comment>
    <comment ref="F1216" authorId="1009" shapeId="0" xr:uid="{A7096379-7029-4F26-9016-5F273EB813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7" authorId="1010" shapeId="0" xr:uid="{B89AA87F-5AAE-47C5-B9BB-8961135C95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8" authorId="1011" shapeId="0" xr:uid="{AA910AB9-63F9-4CB3-BDAF-2C2759C941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19" authorId="1012" shapeId="0" xr:uid="{C2083A26-2C6F-4C75-84DB-070933C15DD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0" authorId="1013" shapeId="0" xr:uid="{DC9CADCA-F2CA-4790-9B73-E3A44F9B90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1" authorId="1014" shapeId="0" xr:uid="{9A8332C9-B0E8-48FE-A3E9-E2F833EAA63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2" authorId="1015" shapeId="0" xr:uid="{E84FAED2-3D28-4348-B63B-0C00F61AE92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3" authorId="1016" shapeId="0" xr:uid="{D791AF7F-3D9A-4926-9F35-D30CE59E7D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4" authorId="1017" shapeId="0" xr:uid="{1B1E5218-D1F8-443A-8335-8966181D349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6" authorId="1018" shapeId="0" xr:uid="{F0F61869-AFE2-4213-AF9A-655BD261A10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27" authorId="1019" shapeId="0" xr:uid="{B6C042D8-AF07-4D4C-B0BB-3172BB5D0987}">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229" authorId="1020" shapeId="0" xr:uid="{18F9164A-3977-4400-B5D9-4BC5931167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0" authorId="1021" shapeId="0" xr:uid="{3B1AD63B-DF11-498A-96B1-2E73A7D4A6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1" authorId="1022" shapeId="0" xr:uid="{33B7F7C2-9AF8-4AC4-9625-E2E7F53F078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2" authorId="1023" shapeId="0" xr:uid="{749E86A9-4662-41F1-BFA7-303AB57B874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3" authorId="1024" shapeId="0" xr:uid="{AF891A8F-DF0D-4416-A900-D343D8A86A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4" authorId="1025" shapeId="0" xr:uid="{D104D838-47DB-448E-BC92-4373768C82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5" authorId="1026" shapeId="0" xr:uid="{1EF09B41-7952-4156-9AD2-0382FA8E9D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7" authorId="1027" shapeId="0" xr:uid="{85620F8D-F59E-4FC6-99B6-ED5CA484658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8" authorId="1028" shapeId="0" xr:uid="{49E3DB89-BAE1-411E-8188-097F95BC391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39" authorId="1029" shapeId="0" xr:uid="{EF2197D6-7104-4505-AFB1-ED57D04C84E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40" authorId="1030" shapeId="0" xr:uid="{A83EF125-36C5-45BE-9D7C-87C57ED8D04D}">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242" authorId="1031" shapeId="0" xr:uid="{8CC2C3AF-AF9C-41E7-A01E-5248F34AEE9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43" authorId="1032" shapeId="0" xr:uid="{6CECD93A-BDFA-49DB-B3F6-30E8A2F8B1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44" authorId="1033" shapeId="0" xr:uid="{A1F140F5-DD94-4177-BDEB-E21851C5FB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46" authorId="1034" shapeId="0" xr:uid="{C101C111-2AFE-41DC-B288-A0E2E313F31D}">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1247" authorId="1035" shapeId="0" xr:uid="{A8838BBB-9D17-4873-8D0F-B494FBD08578}">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1248" authorId="1036" shapeId="0" xr:uid="{26A473BC-66D5-4CB2-986E-5FE947C835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248" authorId="1037" shapeId="0" xr:uid="{91F49E80-B7C7-47DA-B9AB-5938D17AAB2C}">
      <text>
        <t>[Comentário encadeado]
Sua versão do Excel permite que você leia este comentário encadeado, no entanto, as edições serão removidas se o arquivo for aberto em uma versão mais recente do Excel. Saiba mais: https://go.microsoft.com/fwlink/?linkid=870924
Comentário:
    La fianza de Rodrigo pasa a Diego</t>
      </text>
    </comment>
    <comment ref="F1249" authorId="1038" shapeId="0" xr:uid="{1F3D54AE-255F-4DC8-818B-4F45A7CBBEC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0" authorId="1039" shapeId="0" xr:uid="{AF522035-065D-4BF5-A6D7-98E01259DE9D}">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1251" authorId="1040" shapeId="0" xr:uid="{A0A666C2-0584-42EE-8759-647E76BF46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3" authorId="1041" shapeId="0" xr:uid="{C3C91685-9CAA-4F75-909B-D33D410E5C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254" authorId="1042" shapeId="0" xr:uid="{9D9F1ED7-2D3A-4D5C-8849-3C56A737456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5" authorId="1043" shapeId="0" xr:uid="{64310FA1-7FE2-4826-8BE0-596AD5F1BAAB}">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1256" authorId="1044" shapeId="0" xr:uid="{7EC81D6B-B04E-481C-BC12-22305B3C2E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7" authorId="1045" shapeId="0" xr:uid="{7566778D-0074-4EDE-9C47-18603957C588}">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258" authorId="1046" shapeId="0" xr:uid="{9AF2842F-6A85-4EFF-B844-2E534589D4D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59" authorId="1047" shapeId="0" xr:uid="{746FC97B-D594-4893-8C8F-65E5CB055F7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0" authorId="1048" shapeId="0" xr:uid="{99B5EA59-603D-45E3-A7CB-29520A223D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1" authorId="1049" shapeId="0" xr:uid="{8D17C3D3-1BDF-4B02-A184-F93E3D58CE4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2" authorId="1050" shapeId="0" xr:uid="{7E1E33EB-CC9F-4B2A-8F26-E25E43096C6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3" authorId="1051" shapeId="0" xr:uid="{08D3153F-DCE5-4281-B466-EB23642B05A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4" authorId="1052" shapeId="0" xr:uid="{CACCFB9A-ED2C-437F-A9B4-3B5C15033F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5" authorId="1053" shapeId="0" xr:uid="{29603C4A-2BCE-4495-AE05-9DFF34E4AB7E}">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1266" authorId="1054" shapeId="0" xr:uid="{85313107-CE94-4737-8815-CE95576BD9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7" authorId="1055" shapeId="0" xr:uid="{AD3460F9-7F27-4DA3-935D-726F2A8F9A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8" authorId="1056" shapeId="0" xr:uid="{4B2E97DB-87D0-4816-9EE4-9AC35557DF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69" authorId="1057" shapeId="0" xr:uid="{6A9CF1A3-4F2F-4AA4-9096-1C151F9059E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70" authorId="1058" shapeId="0" xr:uid="{36937F57-3FE2-4209-8C6D-B9E565E7AF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71" authorId="1059" shapeId="0" xr:uid="{5249CDB8-9E26-41AB-BC29-B40AFD0AB568}">
      <text>
        <t>[Comentário encadeado]
Sua versão do Excel permite que você leia este comentário encadeado, no entanto, as edições serão removidas se o arquivo for aberto em uma versão mais recente do Excel. Saiba mais: https://go.microsoft.com/fwlink/?linkid=870924
Comentário:
    Alquiler 1.200€/mes
Fianza 600€</t>
      </text>
    </comment>
    <comment ref="F1273" authorId="1060" shapeId="0" xr:uid="{807F45FE-CDD4-4498-9D2D-48FC60C3E9E0}">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1275" authorId="1061" shapeId="0" xr:uid="{AA4002AB-97BE-495D-B57B-8B21C512D6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78" authorId="1062" shapeId="0" xr:uid="{7C10218D-94BC-4628-BC4A-133B05D0A6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79" authorId="1063" shapeId="0" xr:uid="{5E2290BE-B063-4F4F-8E4A-D1342131929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80" authorId="1064" shapeId="0" xr:uid="{2733FB99-DA81-4BC9-9E04-8BFAE3076DEF}">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281" authorId="1065" shapeId="0" xr:uid="{842AD7B9-0C33-4096-9143-F7826A94CFA4}">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1282" authorId="1066" shapeId="0" xr:uid="{FE7036B0-2DD1-4E23-A132-BF2AAC5290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1283" authorId="1067" shapeId="0" xr:uid="{92A20B28-A218-4940-9377-E8D84DA0D109}">
      <text>
        <t>[Comentário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t>
      </text>
    </comment>
    <comment ref="F1284" authorId="1068" shapeId="0" xr:uid="{0F26A180-A0BB-4DD9-82B2-A79609305A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85" authorId="1069" shapeId="0" xr:uid="{6893861F-04D6-4B74-89AE-06476A08CD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86" authorId="1070" shapeId="0" xr:uid="{ED4D2AC7-E600-4974-8503-7DD039558A27}">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1287" authorId="1071" shapeId="0" xr:uid="{2AFFD0DE-9023-49D6-8746-97D88889B7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88" authorId="1072" shapeId="0" xr:uid="{BD2EFF8E-B9D7-4B92-A55A-BB6A7A897A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289" authorId="1073" shapeId="0" xr:uid="{E5D5F0F9-8B04-445A-A5FD-D83192B471FC}">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1290" authorId="1074" shapeId="0" xr:uid="{D70445D1-BA82-4007-B951-6B8B3317E3A3}">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291" authorId="1075" shapeId="0" xr:uid="{E8F5CCD0-CE15-41D0-BEB7-3A7E9E4B783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292" authorId="1076" shapeId="0" xr:uid="{14146CD8-E0FC-44CB-9D47-B52942967011}">
      <text>
        <r>
          <rPr>
            <sz val="11"/>
            <color theme="1"/>
            <rFont val="Calibri"/>
            <family val="2"/>
            <scheme val="minor"/>
          </rPr>
          <t>Leidys:
El pago correspondiente a septiembre ya fue realizado. En octubre se efectuó un doble pago.</t>
        </r>
      </text>
    </comment>
    <comment ref="F1293" authorId="1077" shapeId="0" xr:uid="{58820B03-60AD-4311-B2B4-718BFDA81F6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294" authorId="1078" shapeId="0" xr:uid="{6C5A32E2-1B12-458F-BD9A-D0E318DE87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V1294" authorId="1079" shapeId="0" xr:uid="{A2EC5273-158A-41AA-A24F-6E3320AA58B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hotel desde 27/07 al 05/08. martes 06/08 vuelven a la casa hasta el 31/08
</t>
      </text>
    </comment>
    <comment ref="F1297" authorId="1080" shapeId="0" xr:uid="{1170110B-9965-4221-A4A9-F292F9A233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04" authorId="1081" shapeId="0" xr:uid="{D3AE824E-66C2-4F36-88EC-19BBBDF35D39}">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1305" authorId="1082" shapeId="0" xr:uid="{FE3D4B67-D018-4D9E-95AA-9A83A47C53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06" authorId="1083" shapeId="0" xr:uid="{114C877C-069C-4009-B7E6-C123CD1F38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07" authorId="1084" shapeId="0" xr:uid="{9D218F1B-BB87-45D4-AB4B-5018BD2AA2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08" authorId="1085" shapeId="0" xr:uid="{205CFDA3-C764-41DD-8A26-0D25BDFF8306}">
      <text>
        <t>[Comentário encadeado]
Sua versão do Excel permite que você leia este comentário encadeado, no entanto, as edições serão removidas se o arquivo for aberto em uma versão mais recente do Excel. Saiba mais: https://go.microsoft.com/fwlink/?linkid=870924
Comentário:
    Alquiler 1.200€/mes
Fianza 600€</t>
      </text>
    </comment>
    <comment ref="F1309" authorId="1086" shapeId="0" xr:uid="{4CD5AB4A-DAD8-4356-A685-0F8C8F79FE0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1310" authorId="1087" shapeId="0" xr:uid="{8D4D4A13-23A9-419F-8E6C-DCA25AA303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1" authorId="1088" shapeId="0" xr:uid="{203ABEC2-11B9-4BFC-8C7A-4617DC76DAE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2" authorId="1089" shapeId="0" xr:uid="{B9132E6E-D506-4A23-84E1-899FDD6FEB8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3" authorId="1090" shapeId="0" xr:uid="{7B08C740-80D7-4186-9915-8FB36D0C4A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4" authorId="1091" shapeId="0" xr:uid="{EEABA305-ED31-4D13-BAC5-2F45E88E60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5" authorId="1092" shapeId="0" xr:uid="{ECE265E9-CFB7-4088-AADF-28DDDD42B1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6" authorId="1093" shapeId="0" xr:uid="{FC88DF7E-C0C9-4682-9EFB-6EC4A522CF8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7" authorId="1094" shapeId="0" xr:uid="{76498BC1-2AA8-46B7-8789-0C5CDE1707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8" authorId="1095" shapeId="0" xr:uid="{B1D66662-C1C0-432F-81E1-98AE540EC1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19" authorId="1096" shapeId="0" xr:uid="{7F37E338-480D-4BCA-A924-9E44B9D359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0" authorId="1097" shapeId="0" xr:uid="{F6B023C1-6FA3-4472-A297-8AF0384223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1" authorId="1098" shapeId="0" xr:uid="{00137D61-3ED7-461A-8C69-92856C1B1AA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t>
      </text>
    </comment>
    <comment ref="F1322" authorId="1099" shapeId="0" xr:uid="{3AEA13E9-0052-4B14-AC5A-CD4E785E0B03}">
      <text>
        <t>[Comentário encadeado]
Sua versão do Excel permite que você leia este comentário encadeado, no entanto, as edições serão removidas se o arquivo for aberto em uma versão mais recente do Excel. Saiba mais: https://go.microsoft.com/fwlink/?linkid=870924
Comentário:
    4 CAMAS 2.600€ Alquiler</t>
      </text>
    </comment>
    <comment ref="F1324" authorId="1100" shapeId="0" xr:uid="{6AF04DCB-2BF5-4AF1-A574-3695576AC5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5" authorId="1101" shapeId="0" xr:uid="{463930C3-2C18-400E-838E-E3F86080A7E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6" authorId="1102" shapeId="0" xr:uid="{65E5A351-76E2-4A8A-93D3-E83A51C1CC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7" authorId="1103" shapeId="0" xr:uid="{55C8AB80-D54F-4825-B951-073B07CBFAFD}">
      <text>
        <t>[Comentário encadeado]
Sua versão do Excel permite que você leia este comentário encadeado, no entanto, as edições serão removidas se o arquivo for aberto em uma versão mais recente do Excel. Saiba mais: https://go.microsoft.com/fwlink/?linkid=870924
Comentário:
    750€ alquiler, 03 camas, 500€ fianza</t>
      </text>
    </comment>
    <comment ref="F1328" authorId="1104" shapeId="0" xr:uid="{481D90E1-E240-4BD4-BE8A-15D7B8C5E9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29" authorId="1105" shapeId="0" xr:uid="{43FA8AE3-2C26-4205-A7A7-E33CF2D699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0" authorId="1106" shapeId="0" xr:uid="{9E4C48E9-9032-4E4D-B38C-DA9E458831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1" authorId="1107" shapeId="0" xr:uid="{7AF6FE8F-36BC-46DB-AAE8-712A9BD3750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2" authorId="1108" shapeId="0" xr:uid="{726ECBBE-E60D-4B3A-9F32-393638327F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3" authorId="1109" shapeId="0" xr:uid="{4BB36E5F-F922-4BBA-9B11-F22F455A0A7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4" authorId="1110" shapeId="0" xr:uid="{DA4DBB5E-7222-449D-9C1C-A0F3E92AD5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5" authorId="1111" shapeId="0" xr:uid="{6DDEE703-7909-40B8-8164-5C2D0FC21B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6" authorId="1112" shapeId="0" xr:uid="{DE621024-F740-44BA-A906-7A64D3FBBA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7" authorId="1113" shapeId="0" xr:uid="{29D6EBD0-341A-44BB-A03B-232F52F2FC9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8" authorId="1114" shapeId="0" xr:uid="{E3AD7DE9-3AF8-41E0-A7A3-E2904C8C778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39" authorId="1115" shapeId="0" xr:uid="{3E4A8569-54B9-4C08-B94D-A2E7E59221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0" authorId="1116" shapeId="0" xr:uid="{1C4B9062-BB8B-4112-8C25-9509A525FF6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1" authorId="1117" shapeId="0" xr:uid="{8C84B4C2-DB87-4009-8D3F-1CD225B583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2" authorId="1118" shapeId="0" xr:uid="{E00BF236-2E9C-44C4-8D78-570B9F5DD5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4" authorId="1119" shapeId="0" xr:uid="{96C750D0-A43F-4F0E-BDA8-562C88FC883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5" authorId="1120" shapeId="0" xr:uid="{E0A3CA57-D2E2-48C3-9353-747AE487A9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7" authorId="1121" shapeId="0" xr:uid="{311FD664-E362-4EB7-8C80-B39E3F9998A5}">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1348" authorId="1122" shapeId="0" xr:uid="{61B64F22-0B5A-4482-B9C0-EA21873AAF6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49" authorId="1123" shapeId="0" xr:uid="{2C0A2B42-AAD1-4450-924D-CA02F0E30AD8}">
      <text>
        <t>[Comentário encadeado]
Sua versão do Excel permite que você leia este comentário encadeado, no entanto, as edições serão removidas se o arquivo for aberto em uma versão mais recente do Excel. Saiba mais: https://go.microsoft.com/fwlink/?linkid=870924
Comentário:
    900 alquiler, 1800 fianza, 3 habitaciones</t>
      </text>
    </comment>
    <comment ref="F1350" authorId="1124" shapeId="0" xr:uid="{1A5B74E4-EE83-4990-AE05-B45435831760}">
      <text>
        <t>[Comentário encadeado]
Sua versão do Excel permite que você leia este comentário encadeado, no entanto, as edições serão removidas se o arquivo for aberto em uma versão mais recente do Excel. Saiba mais: https://go.microsoft.com/fwlink/?linkid=870924
Comentário:
    Alquiler 750 fianza 300 camas 5</t>
      </text>
    </comment>
    <comment ref="F1351" authorId="1125" shapeId="0" xr:uid="{130A59D3-FC66-4CAD-A537-342AF88FD0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2" authorId="1126" shapeId="0" xr:uid="{D14F179E-E7F0-47EE-947A-8E3E92AECA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3" authorId="1127" shapeId="0" xr:uid="{76A57A6B-0283-40CE-8131-F849062FF385}">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1354" authorId="1128" shapeId="0" xr:uid="{40E18F5A-6857-459B-B865-B7745748D1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5" authorId="1129" shapeId="0" xr:uid="{4819E113-4885-427C-B6F7-DBEDBAF6A5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6" authorId="1130" shapeId="0" xr:uid="{ECBFF313-5EE2-46CA-B865-EF898A1EDE36}">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1357" authorId="1131" shapeId="0" xr:uid="{755583FA-0EF9-4CD9-9774-B4D02E4EFB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58" authorId="1132" shapeId="0" xr:uid="{D207F806-D9ED-4B22-9241-5B53EBDF6B7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0" authorId="1133" shapeId="0" xr:uid="{48159CE6-4979-4243-AF84-6068592AEE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2" authorId="1134" shapeId="0" xr:uid="{C14BE90D-7217-42F8-8885-3FA432B056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3" authorId="1135" shapeId="0" xr:uid="{3EC81440-98BE-407E-B252-BD65F43F843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364" authorId="1136" shapeId="0" xr:uid="{2E16DED0-B776-4A02-B4EF-24BDF34581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5" authorId="1137" shapeId="0" xr:uid="{E944F237-10FE-4AAD-A60F-5797791FCE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6" authorId="1138" shapeId="0" xr:uid="{E30BF3BA-813D-4008-B24A-274755800B9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7" authorId="1139" shapeId="0" xr:uid="{9C8F57EE-B72C-4380-84A9-7825082929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8" authorId="1140" shapeId="0" xr:uid="{0624B878-39A5-48D7-A83E-C4CBE7C4C5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69" authorId="1141" shapeId="0" xr:uid="{DF96C836-EC1B-4C39-BC13-A47166749C9A}">
      <text>
        <t>[Comentário encadeado]
Sua versão do Excel permite que você leia este comentário encadeado, no entanto, as edições serão removidas se o arquivo for aberto em uma versão mais recente do Excel. Saiba mais: https://go.microsoft.com/fwlink/?linkid=870924
Comentário:
    260€ Cada Habitación, Fianza de 400€</t>
      </text>
    </comment>
    <comment ref="F1370" authorId="1142" shapeId="0" xr:uid="{D50575BD-A812-4DFB-B3E5-B65845AB7EE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71" authorId="1143" shapeId="0" xr:uid="{756EA00A-2CED-4CF2-967E-546BBC79938A}">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374" authorId="1144" shapeId="0" xr:uid="{8DD1601C-D040-4235-AC69-61A3CE1772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75" authorId="1145" shapeId="0" xr:uid="{913A6EF8-FE47-4F5F-A47B-6B272AF9BE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76" authorId="1146" shapeId="0" xr:uid="{3F061BA6-5929-4575-897C-D7570F5DE5F8}">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1377" authorId="1147" shapeId="0" xr:uid="{CE5401E8-7444-43A8-A72F-D9B08A0D84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78" authorId="1148" shapeId="0" xr:uid="{C2A9EBDB-86C8-4349-AC68-95698609E271}">
      <text>
        <t>[Comentário encadeado]
Sua versão do Excel permite que você leia este comentário encadeado, no entanto, as edições serão removidas se o arquivo for aberto em uma versão mais recente do Excel. Saiba mais: https://go.microsoft.com/fwlink/?linkid=870924
Comentário:
    Alquiler 1250 +200 de Fianza</t>
      </text>
    </comment>
    <comment ref="F1379" authorId="1149" shapeId="0" xr:uid="{2694DD95-5B89-4AED-99FF-2C50D40C5F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0" authorId="1150" shapeId="0" xr:uid="{CEE61A6F-87CE-44BA-A32F-943CD1520DCA}">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381" authorId="1151" shapeId="0" xr:uid="{04935F19-7D3B-476E-8561-97178A98830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2" authorId="1152" shapeId="0" xr:uid="{A3B7FA66-287C-4BCF-AF43-8386D4F83DF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383" authorId="1153" shapeId="0" xr:uid="{BD76CC1A-5F92-457B-8606-218778F0EA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4" authorId="1154" shapeId="0" xr:uid="{4101EBD3-B285-4C81-97C8-61BEE157F9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5" authorId="1155" shapeId="0" xr:uid="{E7D77660-A4ED-42E0-94C5-21CCD8113A0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6" authorId="1156" shapeId="0" xr:uid="{3BAC0E79-842A-4912-98D3-FFF826315D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7" authorId="1157" shapeId="0" xr:uid="{8B5738DF-033A-4CFD-B1B5-5B87CDCF233E}">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G1387" authorId="1158" shapeId="0" xr:uid="{FB9BBE20-3567-4874-817D-E8ACB0CD2778}">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388" authorId="1159" shapeId="0" xr:uid="{C945E498-EE43-421A-BB29-E9D2CA3E1E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89" authorId="1160" shapeId="0" xr:uid="{84A67600-E9B0-4124-8CA5-BE99830BC1D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0" authorId="1161" shapeId="0" xr:uid="{45AE78F3-297A-418A-B938-12DC65D1D27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1" authorId="1162" shapeId="0" xr:uid="{4AD6C1FA-F0A5-4882-ADC3-8F37F5E34F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2" authorId="1163" shapeId="0" xr:uid="{ED29CE68-64DE-4F4B-8F71-D033F4B7C50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3" authorId="1164" shapeId="0" xr:uid="{9CFA106A-B879-45C0-B2A6-6CFE11A9CD8C}">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395" authorId="1165" shapeId="0" xr:uid="{0BCFE751-CBAE-49CE-A024-208AB52197D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6" authorId="1166" shapeId="0" xr:uid="{704D32EE-9EEE-43EB-8AB1-64E568860AE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7" authorId="1167" shapeId="0" xr:uid="{63698114-D6A6-49FB-B6B8-6BBF2C30DE0C}">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398" authorId="1168" shapeId="0" xr:uid="{054B90A4-438C-4A51-B28C-0EEA8A5AB37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399" authorId="1169" shapeId="0" xr:uid="{47461028-3755-4277-BA45-96769ED6565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0" authorId="1170" shapeId="0" xr:uid="{AA9419C9-4AF2-478B-9111-9B778E79BFDA}">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1401" authorId="1171" shapeId="0" xr:uid="{FA25CD6D-E314-47A8-B71A-4CF4B37116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2" authorId="1172" shapeId="0" xr:uid="{68D8A8AE-506A-45B0-A5D3-5140E5198EB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3" authorId="1173" shapeId="0" xr:uid="{63B366F2-5D4D-4444-A04A-1D20E15221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4" authorId="1174" shapeId="0" xr:uid="{9FE1F1E0-712F-42A1-9D13-6E35FF01BE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5" authorId="1175" shapeId="0" xr:uid="{5DF376C3-2E98-420E-A943-83251C699888}">
      <text>
        <t>[Comentário encadeado]
Sua versão do Excel permite que você leia este comentário encadeado, no entanto, as edições serão removidas se o arquivo for aberto em uma versão mais recente do Excel. Saiba mais: https://go.microsoft.com/fwlink/?linkid=870924
Comentário:
    Alquiler 1250 +200 de Fianza</t>
      </text>
    </comment>
    <comment ref="F1407" authorId="1176" shapeId="0" xr:uid="{42512DA5-4F50-4E97-B9A3-5212ACB6054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8" authorId="1177" shapeId="0" xr:uid="{B87A2907-7A1B-4E28-87B1-9A099AEA521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09" authorId="1178" shapeId="0" xr:uid="{0174C341-52EF-4666-97DF-3EF0D417FB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0" authorId="1179" shapeId="0" xr:uid="{D8CB6A56-F92F-4F82-87B2-484747D202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1" authorId="1180" shapeId="0" xr:uid="{EAA0A7B4-1B41-4B06-A031-FF673FF363C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1412" authorId="1181" shapeId="0" xr:uid="{9C58D189-AD7A-4CFA-B31F-E3A5A92199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3" authorId="1182" shapeId="0" xr:uid="{67942E92-E6A6-430B-822A-2FF93D4E23A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4" authorId="1183" shapeId="0" xr:uid="{EA41F480-8AF3-4C39-8FB9-84339D9F58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5" authorId="1184" shapeId="0" xr:uid="{FE51A6CC-AA93-41AD-BE63-8D026F7DC5B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17" authorId="1185" shapeId="0" xr:uid="{B6321A92-951F-4DD0-B04C-1B70666D36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0" authorId="1186" shapeId="0" xr:uid="{67389EE6-DCCB-4A73-85F9-0DEDB4A66851}">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Y1420" authorId="1187" shapeId="0" xr:uid="{B4731B14-4858-4CDA-8EB8-64BA0DAC2CB7}">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t>
      </text>
    </comment>
    <comment ref="F1421" authorId="1188" shapeId="0" xr:uid="{630E112C-3424-4B1F-BB3B-C689C7955F83}">
      <text>
        <t>[Comentário encadeado]
Sua versão do Excel permite que você leia este comentário encadeado, no entanto, as edições serão removidas se o arquivo for aberto em uma versão mais recente do Excel. Saiba mais: https://go.microsoft.com/fwlink/?linkid=870924
Comentário:
    4 Habitaciones Alquiler 810€/mes
Fianza 900€ Suministros 33,28€</t>
      </text>
    </comment>
    <comment ref="F1422" authorId="1189" shapeId="0" xr:uid="{3AE8ACC1-2466-401F-A356-62A71F8416CC}">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423" authorId="1190" shapeId="0" xr:uid="{383DDF88-109E-48E4-8A60-6578D2C14AA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Y1423" authorId="1191" shapeId="0" xr:uid="{82C2BA3B-C386-4F64-874F-C892B20E894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t>
      </text>
    </comment>
    <comment ref="F1424" authorId="1192" shapeId="0" xr:uid="{C1BD06E2-3CB7-408A-812F-CBD4AE361A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5" authorId="1193" shapeId="0" xr:uid="{2DBB4FE4-FE0E-4D25-8448-FF5CF02BE9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6" authorId="1194" shapeId="0" xr:uid="{939E08BE-3069-4838-A3BC-288322A203A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7" authorId="1195" shapeId="0" xr:uid="{F2360E07-2066-4FFD-8CCF-B3D2830FD5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8" authorId="1196" shapeId="0" xr:uid="{3133C543-D07E-440F-887B-0D6DF17167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29" authorId="1197" shapeId="0" xr:uid="{76DE0C8B-4BCF-4D5A-9DCD-4CAD5C7FF6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0" authorId="1198" shapeId="0" xr:uid="{E5FC370B-756B-41CA-81D7-79706CF6A8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1" authorId="1199" shapeId="0" xr:uid="{8CAFB39F-CF81-45C3-885F-A320BBE4CC9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2" authorId="1200" shapeId="0" xr:uid="{20E37C0C-8BA9-46E5-987A-4CA0B70BF1D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3" authorId="1201" shapeId="0" xr:uid="{A87A6CF1-DCCC-4B44-B6FC-F315FAD55B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4" authorId="1202" shapeId="0" xr:uid="{654210B8-B6B1-46D1-B1E6-08626E9212C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5" authorId="1203" shapeId="0" xr:uid="{35E3681A-33FC-424F-914E-0E34F8D768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6" authorId="1204" shapeId="0" xr:uid="{0CF9E612-CB8B-486C-9E43-F84C0F71C35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7" authorId="1205" shapeId="0" xr:uid="{A82CCCD6-8E98-48A9-8EB4-F9D8E4561240}">
      <text>
        <t>[Comentário encadeado]
Sua versão do Excel permite que você leia este comentário encadeado, no entanto, as edições serão removidas se o arquivo for aberto em uma versão mais recente do Excel. Saiba mais: https://go.microsoft.com/fwlink/?linkid=870924
Comentário:
    Alquiler 1250 +200 de Fianza</t>
      </text>
    </comment>
    <comment ref="F1438" authorId="1206" shapeId="0" xr:uid="{5ED15336-ECA7-4902-8416-8E7A9C6290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39" authorId="1207" shapeId="0" xr:uid="{35E4B9DC-9DA8-4E71-8122-8485306B4277}">
      <text>
        <t>[Comentário encadeado]
Sua versão do Excel permite que você leia este comentário encadeado, no entanto, as edições serão removidas se o arquivo for aberto em uma versão mais recente do Excel. Saiba mais: https://go.microsoft.com/fwlink/?linkid=870924
Comentário:
    Alquiler 1250 +200 de Fianza</t>
      </text>
    </comment>
    <comment ref="F1440" authorId="1208" shapeId="0" xr:uid="{CD762F21-DAD1-48C0-8925-9206B22744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41" authorId="1209" shapeId="0" xr:uid="{ACA7F3FE-855B-4C09-BA72-A922D0A5A1E3}">
      <text>
        <t>[Comentário encadeado]
Sua versão do Excel permite que você leia este comentário encadeado, no entanto, as edições serão removidas se o arquivo for aberto em uma versão mais recente do Excel. Saiba mais: https://go.microsoft.com/fwlink/?linkid=870924
Comentário:
    Alquiler 1250 +200 de Fianza</t>
      </text>
    </comment>
    <comment ref="F1442" authorId="1210" shapeId="0" xr:uid="{2D4DCFF2-F79A-4620-BC16-9C5C835BC90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Y1442" authorId="1211" shapeId="0" xr:uid="{EA3506EB-AA9B-4D93-826D-3EE35D41E145}">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t>
      </text>
    </comment>
    <comment ref="F1443" authorId="1212" shapeId="0" xr:uid="{15817355-7B14-4963-80F4-CAEB15A489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44" authorId="1213" shapeId="0" xr:uid="{6E6620D8-241E-4DF1-AC5C-342AEB97380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1445" authorId="1214" shapeId="0" xr:uid="{B6977672-0AF6-4569-94EE-AAF4915F18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46" authorId="1215" shapeId="0" xr:uid="{3AE6D3CB-8D3C-4E2F-99C5-9BF680A53B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48" authorId="1216" shapeId="0" xr:uid="{DA0AEDA3-BDA8-47F4-AB5C-65D6B6EDB2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0" authorId="1217" shapeId="0" xr:uid="{A3118DBB-12A8-48CB-AF05-1E4AED7F0A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1" authorId="1218" shapeId="0" xr:uid="{94552C91-B8CE-43EB-88DF-8895BBE697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3" authorId="1219" shapeId="0" xr:uid="{38D9B583-7B20-4E3B-854E-EE88176422C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4" authorId="1220" shapeId="0" xr:uid="{7AC57825-2B56-4101-BC32-629873C17BB2}">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F1455" authorId="1221" shapeId="0" xr:uid="{6F63F70D-4F18-49F0-8EE5-99AEF6B31002}">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457" authorId="1222" shapeId="0" xr:uid="{3B6076BD-8761-484A-AE03-634ED914D04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8" authorId="1223" shapeId="0" xr:uid="{A39C26B6-4A22-481B-B94F-947289CFB1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59" authorId="1224" shapeId="0" xr:uid="{AB9B27FE-58FE-4BCE-910A-5E209CAE6886}">
      <text>
        <t>[Comentário encadeado]
Sua versão do Excel permite que você leia este comentário encadeado, no entanto, as edições serão removidas se o arquivo for aberto em uma versão mais recente do Excel. Saiba mais: https://go.microsoft.com/fwlink/?linkid=870924
Comentário:
    2 Habitaciones de 350€ y                   1 Habitación de 375€</t>
      </text>
    </comment>
    <comment ref="F1460" authorId="1225" shapeId="0" xr:uid="{E43448F3-1743-4208-B1CB-931691BB27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1" authorId="1226" shapeId="0" xr:uid="{8CE4EDB0-E1CD-4F89-B19E-320529A297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461" authorId="1227" shapeId="0" xr:uid="{D2587A8C-203A-4CF7-B865-E670DE5DF4FB}">
      <text>
        <t>[Comentário encadeado]
Sua versão do Excel permite que você leia este comentário encadeado, no entanto, as edições serão removidas se o arquivo for aberto em uma versão mais recente do Excel. Saiba mais: https://go.microsoft.com/fwlink/?linkid=870924
Comentário:
    Fianza de nelson acosta</t>
      </text>
    </comment>
    <comment ref="F1462" authorId="1228" shapeId="0" xr:uid="{7BFC5BEB-1A6D-488F-876B-0E35342D58A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3" authorId="1229" shapeId="0" xr:uid="{E529CBEF-A836-43B2-BDFC-41036C31DF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4" authorId="1230" shapeId="0" xr:uid="{14DC0D5D-F915-40D3-A440-7C56D15169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6" authorId="1231" shapeId="0" xr:uid="{1EB79376-85FF-4BBF-9812-04A26D19F2F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467" authorId="1232" shapeId="0" xr:uid="{25BB0F45-758E-4317-8C2A-0013C124B0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8" authorId="1233" shapeId="0" xr:uid="{BD1A0FCA-F06F-486C-A817-C07046AEA41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69" authorId="1234" shapeId="0" xr:uid="{27F3E3A9-326C-4F56-A7EC-7C2E8F6030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71" authorId="1235" shapeId="0" xr:uid="{74D4272F-8081-42E8-BDC4-A440EABB270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74" authorId="1236" shapeId="0" xr:uid="{4DEF9158-4DDD-45FC-8ABB-E96264924E11}">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475" authorId="1237" shapeId="0" xr:uid="{A7CB6E0F-8D94-4B38-9FBE-296CF3BEEE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76" authorId="1238" shapeId="0" xr:uid="{D3DDE10E-26B3-4550-A8C8-A3F274FEB420}">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1477" authorId="1239" shapeId="0" xr:uid="{623BD32E-BCD6-484C-B2BD-660FB9525312}">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1478" authorId="1240" shapeId="0" xr:uid="{D6E29A97-2ABD-4854-A4B2-6DAC599F1C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79" authorId="1241" shapeId="0" xr:uid="{3B898F25-3DCE-4E82-889A-CCE6810474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0" authorId="1242" shapeId="0" xr:uid="{D185505D-3797-4669-81CC-8999FCC8FE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1" authorId="1243" shapeId="0" xr:uid="{801E09C4-CAA3-4AA3-8DBC-CD8BEAE5EF1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2" authorId="1244" shapeId="0" xr:uid="{73D02B0C-96FE-415F-8DC9-884647817C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3" authorId="1245" shapeId="0" xr:uid="{E8819874-5BB0-4C1C-A1B9-1CC03162DB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4" authorId="1246" shapeId="0" xr:uid="{D3479374-FD15-4025-8095-66AB882019B0}">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1485" authorId="1247" shapeId="0" xr:uid="{B8FC0F97-7526-4730-8A8E-0211C514CBC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6" authorId="1248" shapeId="0" xr:uid="{B10938B7-D89B-492D-98F8-E530B0A06CC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7" authorId="1249" shapeId="0" xr:uid="{C9FBF77A-D82B-4425-9450-69EC6FF9A3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89" authorId="1250" shapeId="0" xr:uid="{8BCA166A-B206-4F0F-909E-E429B50C09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90" authorId="1251" shapeId="0" xr:uid="{C0F10A1E-EEF1-48CE-A68C-AD7AC1EFE3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91" authorId="1252" shapeId="0" xr:uid="{42F2C271-07AC-4BBE-BBCB-8C93E7AFD0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92" authorId="1253" shapeId="0" xr:uid="{C943C445-6A28-436E-96B5-D1D82D720B8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1493" authorId="1254" shapeId="0" xr:uid="{10FEE080-5E6C-47BD-B0A1-FE22B03104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493" authorId="1255" shapeId="0" xr:uid="{DE58E494-6A51-46A6-882D-20F54F9AA98E}">
      <text>
        <t>[Comentário encadeado]
Sua versão do Excel permite que você leia este comentário encadeado, no entanto, as edições serão removidas se o arquivo for aberto em uma versão mais recente do Excel. Saiba mais: https://go.microsoft.com/fwlink/?linkid=870924
Comentário:
    Pasa a la fianza Wilman</t>
      </text>
    </comment>
    <comment ref="F1494" authorId="1256" shapeId="0" xr:uid="{5D46C98A-BB85-42B5-9457-CE786AA852FF}">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496" authorId="1257" shapeId="0" xr:uid="{F82193A9-8F63-4548-ADF7-AD9673A1B55B}">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1497" authorId="1258" shapeId="0" xr:uid="{80531449-E903-42FB-B3E9-0E4E5B9A7A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498" authorId="1259" shapeId="0" xr:uid="{C7DE91DB-970E-42BE-958A-14B46AE3D22D}">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1499" authorId="1260" shapeId="0" xr:uid="{42689178-E3C1-49AA-A7CC-28C1D0D010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0" authorId="1261" shapeId="0" xr:uid="{0DD3FFEA-05E5-4199-BB86-BB9DA3F9B63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2" authorId="1262" shapeId="0" xr:uid="{B2110774-A9C5-4137-930C-AF833AB362F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1505" authorId="1263" shapeId="0" xr:uid="{24B05F68-65E5-4705-BFD2-22AF0DC173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6" authorId="1264" shapeId="0" xr:uid="{0F2ADAC2-1B5B-46F9-9378-8193BA5EC75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7" authorId="1265" shapeId="0" xr:uid="{1D8FA0C1-9F5A-4ACF-BF8F-AE2004536A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8" authorId="1266" shapeId="0" xr:uid="{617F53EA-302E-4BE6-9B92-7B0880CABA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09" authorId="1267" shapeId="0" xr:uid="{1C696C7D-9540-468F-9650-32258C4A0E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0" authorId="1268" shapeId="0" xr:uid="{D25549B0-F4FC-4B4B-8648-84199E97843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511" authorId="1269" shapeId="0" xr:uid="{C07EEDF1-21CF-4F32-8ED3-FBAF14DC96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2" authorId="1270" shapeId="0" xr:uid="{E0867A71-CBD9-4D0E-86FD-FF942A95EC9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3" authorId="1271" shapeId="0" xr:uid="{9C4B4456-484B-40F4-AE89-1DF948F9FFF0}">
      <text>
        <t>[Comentário encadeado]
Sua versão do Excel permite que você leia este comentário encadeado, no entanto, as edições serão removidas se o arquivo for aberto em uma versão mais recente do Excel. Saiba mais: https://go.microsoft.com/fwlink/?linkid=870924
Comentário:
    2 Habitaciones de 350€ y                   1 Habitación de 375€</t>
      </text>
    </comment>
    <comment ref="F1514" authorId="1272" shapeId="0" xr:uid="{7D12F493-963C-4B16-B3DB-64503FA76B78}">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515" authorId="1273" shapeId="0" xr:uid="{E62C1AD7-D810-43B2-AF32-6200BFD10D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6" authorId="1274" shapeId="0" xr:uid="{B9139E06-0C54-4131-8F46-C9A23624A414}">
      <text>
        <t>[Comentário encadeado]
Sua versão do Excel permite que você leia este comentário encadeado, no entanto, as edições serão removidas se o arquivo for aberto em uma versão mais recente do Excel. Saiba mais: https://go.microsoft.com/fwlink/?linkid=870924
Comentário:
    3 Habitaciones alquiler 1800</t>
      </text>
    </comment>
    <comment ref="F1518" authorId="1275" shapeId="0" xr:uid="{B281E12F-A1AC-4B40-A435-98B92AE6289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19" authorId="1276" shapeId="0" xr:uid="{0799C3E8-6D13-4D2F-99DE-59AFDB2C1A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20" authorId="1277" shapeId="0" xr:uid="{DEF34F38-77DE-43E0-BDC3-C6B9AC881C9A}">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1521" authorId="1278" shapeId="0" xr:uid="{E92A00FE-08F8-473A-ACBB-F6ADEEC0680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522" authorId="1279" shapeId="0" xr:uid="{23582150-BAC6-4C6F-B650-94A5708A6E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23" authorId="1280" shapeId="0" xr:uid="{6D578A57-F5F6-4D08-968E-3D5511EE31D3}">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1524" authorId="1281" shapeId="0" xr:uid="{E3161958-2233-49FC-86A0-FB86BB0DAF38}">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G1524" authorId="1282" shapeId="0" xr:uid="{1D8EC535-8C0E-48B3-9D94-037B3BED56F2}">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525" authorId="1283" shapeId="0" xr:uid="{9A3D9FD5-4CCE-4714-9C29-DCEDE51B7B71}">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1526" authorId="1284" shapeId="0" xr:uid="{6C87909B-72BB-4BCD-B3B7-C4BEA8538C0D}">
      <text>
        <t>[Comentário encadeado]
Sua versão do Excel permite que você leia este comentário encadeado, no entanto, as edições serão removidas se o arquivo for aberto em uma versão mais recente do Excel. Saiba mais: https://go.microsoft.com/fwlink/?linkid=870924
Comentário:
    4 Habitaciones Alquiler 810€/mes
Fianza 900€ Suministros 33,28€</t>
      </text>
    </comment>
    <comment ref="F1527" authorId="1285" shapeId="0" xr:uid="{D0C5014B-187F-420D-9E1E-C589132A53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28" authorId="1286" shapeId="0" xr:uid="{33BEAAA4-1F8E-46F0-B25C-7F9D769B4354}">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1529" authorId="1287" shapeId="0" xr:uid="{8788A069-6A9F-47E4-AD54-E4647536A0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530" authorId="1288" shapeId="0" xr:uid="{8AE0D7AA-F613-4482-A907-3B8EACB5FA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531" authorId="1289" shapeId="0" xr:uid="{6709147A-F365-4A5A-BC8B-8256F92D83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32" authorId="1290" shapeId="0" xr:uid="{FB5EA14B-EE3C-4FCA-AE7A-65AAE461F896}">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1533" authorId="1291" shapeId="0" xr:uid="{7F905218-554E-46B0-ADF4-E9B3FBFA6749}">
      <text>
        <t>[Comentário encadeado]
Sua versão do Excel permite que você leia este comentário encadeado, no entanto, as edições serão removidas se o arquivo for aberto em uma versão mais recente do Excel. Saiba mais: https://go.microsoft.com/fwlink/?linkid=870924
Comentário:
    04 CAMAS, 1200€ALQUILER, 1200€ FIANZA</t>
      </text>
    </comment>
    <comment ref="F1534" authorId="1292" shapeId="0" xr:uid="{26733838-B25B-41AC-BCE5-1FE519986BDA}">
      <text>
        <t>[Comentário encadeado]
Sua versão do Excel permite que você leia este comentário encadeado, no entanto, as edições serão removidas se o arquivo for aberto em uma versão mais recente do Excel. Saiba mais: https://go.microsoft.com/fwlink/?linkid=870924
Comentário:
    4 Habitaciones Alquiler 810€/mes
Fianza 900€ Suministros 33,28€</t>
      </text>
    </comment>
    <comment ref="F1535" authorId="1293" shapeId="0" xr:uid="{DAC637B5-05FD-41F9-91AC-23FDA94F1BDD}">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536" authorId="1294" shapeId="0" xr:uid="{0ED8F869-0ECF-4E0C-AF51-0004A0CA29B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37" authorId="1295" shapeId="0" xr:uid="{52CF6D38-1E13-487C-9D80-B6F61210D1E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39" authorId="1296" shapeId="0" xr:uid="{4EF62BA5-680E-4F0B-9A13-71A99CDA76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0" authorId="1297" shapeId="0" xr:uid="{C8D0AEA2-7DAA-47B1-9146-A1118D7A62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1" authorId="1298" shapeId="0" xr:uid="{46A9D3D6-8468-4D13-9E1B-A80BE3CCE9A1}">
      <text>
        <t>[Comentário encadeado]
Sua versão do Excel permite que você leia este comentário encadeado, no entanto, as edições serão removidas se o arquivo for aberto em uma versão mais recente do Excel. Saiba mais: https://go.microsoft.com/fwlink/?linkid=870924
Comentário:
    4 Habitaciones Alquiler 810€/mes
Fianza 900€ Suministros 33,28€</t>
      </text>
    </comment>
    <comment ref="F1542" authorId="1299" shapeId="0" xr:uid="{9ACE7379-D6F5-486E-92B0-94E311E3DB52}">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1543" authorId="1300" shapeId="0" xr:uid="{B808F6F4-FDCE-4255-B267-CE2769D5EB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4" authorId="1301" shapeId="0" xr:uid="{25F8A3A5-0E58-46E5-A943-16864072E5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5" authorId="1302" shapeId="0" xr:uid="{EBA645ED-D22F-4456-A012-64F722DF6D5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6" authorId="1303" shapeId="0" xr:uid="{A7B53AF1-FF95-421E-8BD4-F263566B6C4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47" authorId="1304" shapeId="0" xr:uid="{1271058F-F69A-4ECB-A268-228E237F74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0" authorId="1305" shapeId="0" xr:uid="{ADC8E0C1-B45A-483E-8C01-73C9EA1AB2F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1" authorId="1306" shapeId="0" xr:uid="{9CD995A7-3492-46A5-8E9B-D0E426AB0E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2" authorId="1307" shapeId="0" xr:uid="{52142A94-433C-4F14-B2A1-6A41110B014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3" authorId="1308" shapeId="0" xr:uid="{AB78F6AB-59DE-4C96-86DD-6C3A6EB23E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4" authorId="1309" shapeId="0" xr:uid="{D0D047B0-D827-4C7F-B1D7-253C99436B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5" authorId="1310" shapeId="0" xr:uid="{652A23A2-30F0-4555-B7F0-4D572487CF6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556" authorId="1311" shapeId="0" xr:uid="{106A3D64-A450-4906-9511-EE402F76F9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7" authorId="1312" shapeId="0" xr:uid="{DD0075C7-C8CE-4769-AA5D-AA8058B0787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58" authorId="1313" shapeId="0" xr:uid="{58B9AC24-55DA-4DB5-9F18-EF3275CFF815}">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1560" authorId="1314" shapeId="0" xr:uid="{52EC6F35-FE9C-4994-ACC4-912236CA7721}">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1561" authorId="1315" shapeId="0" xr:uid="{BD6C87E8-A77A-4882-889C-FF109C74CA24}">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562" authorId="1316" shapeId="0" xr:uid="{EF1FF058-BB29-4FB6-A512-C35F44E90FB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3" authorId="1317" shapeId="0" xr:uid="{294F90BA-B8F0-4945-A8BD-38C6D96E9F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4" authorId="1318" shapeId="0" xr:uid="{D12A43EA-145F-4C21-9708-56A653529B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5" authorId="1319" shapeId="0" xr:uid="{CC79AF57-D2B5-40A7-A660-8E91FB8AEB49}">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1566" authorId="1320" shapeId="0" xr:uid="{B9CA9580-C6CC-4DC7-8744-12831EE36B0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7" authorId="1321" shapeId="0" xr:uid="{77A2049C-57DD-4767-8DCD-06971EBD6D3A}">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568" authorId="1322" shapeId="0" xr:uid="{6DC9E823-BD70-4842-AD1D-AEB177054F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69" authorId="1323" shapeId="0" xr:uid="{D6E3615C-5F21-40ED-BC45-E00F25296592}">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1570" authorId="1324" shapeId="0" xr:uid="{47FE9B75-4467-45C6-81C2-F5A18AA561A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1" authorId="1325" shapeId="0" xr:uid="{7A12D805-2170-4A54-8568-41094C574A7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2" authorId="1326" shapeId="0" xr:uid="{3F74A78F-28B5-4E8D-8429-5D504F20504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3" authorId="1327" shapeId="0" xr:uid="{539C3D64-4D05-4CD7-A64E-B742FD1AEFB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4" authorId="1328" shapeId="0" xr:uid="{1F51D408-6F95-4781-A7E8-AF72E14232A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5" authorId="1329" shapeId="0" xr:uid="{568C58E1-6A16-422B-977F-0CFB000EDE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6" authorId="1330" shapeId="0" xr:uid="{C0C40645-330B-4963-9E3C-83CAB4AF18A9}">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1577" authorId="1331" shapeId="0" xr:uid="{4A30D1B2-7E5E-4164-BBC2-E04D3CE0775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79" authorId="1332" shapeId="0" xr:uid="{3DC31508-3CF2-4CED-AE7E-1ABF2632A3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80" authorId="1333" shapeId="0" xr:uid="{6EE3C729-3B40-46B2-9F73-42191E3216B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81" authorId="1334" shapeId="0" xr:uid="{CE680F31-83B6-4BD7-9679-A568FB5A95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582" authorId="1335" shapeId="0" xr:uid="{D065DC30-9ABD-47A4-B59F-4C80826BF4FA}">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583" authorId="1336" shapeId="0" xr:uid="{8B97EDBC-9F53-4983-A1D3-7D93516A2A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84" authorId="1337" shapeId="0" xr:uid="{14D2ECFA-F376-45F0-8C87-6489C74E91C6}">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1585" authorId="1338" shapeId="0" xr:uid="{98DAA0E8-90F4-485B-9D15-B78ED9769D52}">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t>
      </text>
    </comment>
    <comment ref="F1586" authorId="1339" shapeId="0" xr:uid="{A64EDBEF-9AB8-447E-9217-AC2F674BE45E}">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587" authorId="1340" shapeId="0" xr:uid="{57E7A4EE-CE78-4200-B0AB-62D4D913333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1588" authorId="1341" shapeId="0" xr:uid="{41D7C8A7-7357-4020-9945-2D5E481307B2}">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589" authorId="1342" shapeId="0" xr:uid="{885AE54E-ECD2-4061-AEB8-3739053F9F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90" authorId="1343" shapeId="0" xr:uid="{AB66F2F2-2A37-4382-8356-11314F07202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91" authorId="1344" shapeId="0" xr:uid="{123B6F6D-E13C-42F0-9E29-D6E46D1BEED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92" authorId="1345" shapeId="0" xr:uid="{19FF7E2E-2B78-4EE9-93A6-68A4D58DC96A}">
      <text>
        <t>[Comentário encadeado]
Sua versão do Excel permite que você leia este comentário encadeado, no entanto, as edições serão removidas se o arquivo for aberto em uma versão mais recente do Excel. Saiba mais: https://go.microsoft.com/fwlink/?linkid=870924
Comentário:
    04 CAMAS, 1200€ALQUILER, 1200€ FIANZA</t>
      </text>
    </comment>
    <comment ref="F1593" authorId="1346" shapeId="0" xr:uid="{4F465ABB-36B0-4BAA-B3AB-A90CAC1F551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94" authorId="1347" shapeId="0" xr:uid="{199B3516-DFEE-49BA-88C7-0E04CF00A5C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595" authorId="1348" shapeId="0" xr:uid="{1EF806D6-25AE-4B60-B442-3F510F4A0CAA}">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596" authorId="1349" shapeId="0" xr:uid="{92B3EBFE-2B82-4D0C-A928-7CAA9638BE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597" authorId="1350" shapeId="0" xr:uid="{6FDDDF60-E96F-4DC5-BA17-1C8C4C9D5D95}">
      <text>
        <t>[Comentário encadeado]
Sua versão do Excel permite que você leia este comentário encadeado, no entanto, as edições serão removidas se o arquivo for aberto em uma versão mais recente do Excel. Saiba mais: https://go.microsoft.com/fwlink/?linkid=870924
Comentário:
    1200€ ALQUILER, 300€ FIANZA, 04 CAMAS</t>
      </text>
    </comment>
    <comment ref="F1598" authorId="1351" shapeId="0" xr:uid="{17358978-FD03-44BA-B419-5E22FEE67104}">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1599" authorId="1352" shapeId="0" xr:uid="{3CDBEC76-49B1-46E3-8C53-AA7E8DB2B1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0" authorId="1353" shapeId="0" xr:uid="{BB10960F-21FE-47AE-8967-EAB1D8CA5DB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1" authorId="1354" shapeId="0" xr:uid="{36EF801E-7B9F-4F4A-BE90-6F9A9A9F09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2" authorId="1355" shapeId="0" xr:uid="{CEF29064-098B-4453-B482-83F30BFCA3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3" authorId="1356" shapeId="0" xr:uid="{4DC4C6A9-B426-4EFF-9C27-F23B70A320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4" authorId="1357" shapeId="0" xr:uid="{3037A1E2-A2E0-440C-8650-D114797B6B9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5" authorId="1358" shapeId="0" xr:uid="{377FC017-E06D-4095-99F8-38A27B766F4E}">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1606" authorId="1359" shapeId="0" xr:uid="{EE7F0F24-4B92-4736-A2A8-B06A0FE8CD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7" authorId="1360" shapeId="0" xr:uid="{3EE847C6-BB0A-4EFC-B1DF-52AD9058C46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8" authorId="1361" shapeId="0" xr:uid="{4C73B14E-CE07-4D00-8A6D-33D42A81CF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09" authorId="1362" shapeId="0" xr:uid="{2C3C1C57-EE56-4B3B-A63D-476348C3A0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0" authorId="1363" shapeId="0" xr:uid="{88AF39BE-BFDE-4EC5-9BB2-5A7954ECE8B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1" authorId="1364" shapeId="0" xr:uid="{DD2709F7-87DC-48EE-8208-E86FF1F146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2" authorId="1365" shapeId="0" xr:uid="{0C8675CC-7F69-4066-ADB7-DA0B782BF93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3" authorId="1366" shapeId="0" xr:uid="{305F446F-8657-4198-AFF5-AA6FFBE3C45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4" authorId="1367" shapeId="0" xr:uid="{545B2B20-5542-429A-B2C4-052530AB4B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5" authorId="1368" shapeId="0" xr:uid="{D56141B3-B08A-4F31-8D4C-B06E15495F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6" authorId="1369" shapeId="0" xr:uid="{16BA8C80-5814-4D5B-A4AF-3C7D1DC2990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17" authorId="1370" shapeId="0" xr:uid="{51DF3139-7A48-4BCB-932D-97071CED7B59}">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618" authorId="1371" shapeId="0" xr:uid="{8320630B-2F27-4E09-9341-4218CC54B7EF}">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619" authorId="1372" shapeId="0" xr:uid="{634C8F65-D51C-44C6-AE26-246982C34CA2}">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 - 2 camas </t>
      </text>
    </comment>
    <comment ref="F1620" authorId="1373" shapeId="0" xr:uid="{3489D24F-7785-41DD-B80F-946281AE3BF4}">
      <text>
        <t>[Comentário encadeado]
Sua versão do Excel permite que você leia este comentário encadeado, no entanto, as edições serão removidas se o arquivo for aberto em uma versão mais recente do Excel. Saiba mais: https://go.microsoft.com/fwlink/?linkid=870924
Comentário:
    260€ Cada Habitación, Fianza de 400€</t>
      </text>
    </comment>
    <comment ref="F1621" authorId="1374" shapeId="0" xr:uid="{EB51F6BA-06E6-42B0-BF64-41BE143AF36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2 viajeros</t>
      </text>
    </comment>
    <comment ref="F1622" authorId="1375" shapeId="0" xr:uid="{66302C8D-2F74-4EC9-A05F-5683DC10D4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25" authorId="1376" shapeId="0" xr:uid="{504D5047-D5B6-4DAF-8E03-7EA10D3BDC6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t>
      </text>
    </comment>
    <comment ref="F1626" authorId="1377" shapeId="0" xr:uid="{AD95B523-AA41-42A4-8310-6B4DD2D6FA8C}">
      <text>
        <t>[Comentário encadeado]
Sua versão do Excel permite que você leia este comentário encadeado, no entanto, as edições serão removidas se o arquivo for aberto em uma versão mais recente do Excel. Saiba mais: https://go.microsoft.com/fwlink/?linkid=870924
Comentário:
    260€ Cada Habitación, Fianza de 400€</t>
      </text>
    </comment>
    <comment ref="F1627" authorId="1378" shapeId="0" xr:uid="{F149E0E2-5CAA-4C6E-B5A3-CA649D9A4F48}">
      <text>
        <t>[Comentário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t>
      </text>
    </comment>
    <comment ref="F1628" authorId="1379" shapeId="0" xr:uid="{24D033E8-47ED-4974-9422-6BDC7364431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29" authorId="1380" shapeId="0" xr:uid="{67DA3711-DACB-43EC-AA9B-C3F3C3B057EE}">
      <text>
        <t>[Comentário encadeado]
Sua versão do Excel permite que você leia este comentário encadeado, no entanto, as edições serão removidas se o arquivo for aberto em uma versão mais recente do Excel. Saiba mais: https://go.microsoft.com/fwlink/?linkid=870924
Comentário:
    750€ alquiler, 03 camas, 500€ fianza</t>
      </text>
    </comment>
    <comment ref="F1631" authorId="1381" shapeId="0" xr:uid="{6532E8D8-C46B-4316-9D9D-A44FEDEA21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2" authorId="1382" shapeId="0" xr:uid="{DB6377F0-2D33-4E70-B2D5-47F0B7AC57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3" authorId="1383" shapeId="0" xr:uid="{DC4B13E1-11AA-4DBE-99A0-3B538E9BAB17}">
      <text>
        <t>[Comentário encadeado]
Sua versão do Excel permite que você leia este comentário encadeado, no entanto, as edições serão removidas se o arquivo for aberto em uma versão mais recente do Excel. Saiba mais: https://go.microsoft.com/fwlink/?linkid=870924
Comentário:
     2 personas, camas separadas, Alquiler 1300€</t>
      </text>
    </comment>
    <comment ref="F1634" authorId="1384" shapeId="0" xr:uid="{C9B86364-8CFA-4A2A-A76A-B5FF3BC10DE6}">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1635" authorId="1385" shapeId="0" xr:uid="{053AD546-EE04-407A-A85E-A7FA2EFBD0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6" authorId="1386" shapeId="0" xr:uid="{EDC02185-7BF2-4400-A0C1-696A2C0CD9A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7" authorId="1387" shapeId="0" xr:uid="{F0AA5DBA-E912-4DFB-8200-6F6864782CC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38" authorId="1388" shapeId="0" xr:uid="{A07F364A-5DE3-4E0A-93B4-410C565B1D01}">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1639" authorId="1389" shapeId="0" xr:uid="{7F83EB10-DB88-4F28-A27B-CC6C7D6CD6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42" authorId="1390" shapeId="0" xr:uid="{E3A78949-9B77-463E-90C1-F5E6F1D9B40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43" authorId="1391" shapeId="0" xr:uid="{AD51C7EE-1AFA-4DF2-B137-5F884AC81DF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44" authorId="1392" shapeId="0" xr:uid="{16F62C91-254F-4803-9874-76ED16C0766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46" authorId="1393" shapeId="0" xr:uid="{09340A4C-1775-4E19-9A7D-FD9A3A54AD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47" authorId="1394" shapeId="0" xr:uid="{7F8BFC4A-69D8-4872-8965-F12B3AE982C1}">
      <text>
        <t>[Comentário encadeado]
Sua versão do Excel permite que você leia este comentário encadeado, no entanto, as edições serão removidas se o arquivo for aberto em uma versão mais recente do Excel. Saiba mais: https://go.microsoft.com/fwlink/?linkid=870924
Comentário:
    400 fianza, alquiler 650, 03 camas</t>
      </text>
    </comment>
    <comment ref="F1650" authorId="1395" shapeId="0" xr:uid="{B3236240-E3C0-4F22-BB2B-C643853D2D3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53" authorId="1396" shapeId="0" xr:uid="{94BE6FFB-5934-48F1-AD3B-D304A76ED9D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56" authorId="1397" shapeId="0" xr:uid="{6CE28FD0-5840-422C-89DC-877C2DA97C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57" authorId="1398" shapeId="0" xr:uid="{F4E369AE-A414-419F-830B-0573BE15443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58" authorId="1399" shapeId="0" xr:uid="{0B6F60DD-6DC1-44B6-9DEC-F0C92FB509A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61" authorId="1400" shapeId="0" xr:uid="{7EA672BD-D5B3-492B-8626-43FF598126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t>
      </text>
    </comment>
    <comment ref="F1663" authorId="1401" shapeId="0" xr:uid="{42B483EF-F02E-4CF3-9297-829DE25339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69" authorId="1402" shapeId="0" xr:uid="{EE787D20-9481-4048-9D61-4156F82AC60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70" authorId="1403" shapeId="0" xr:uid="{A8959033-2443-4D37-BCAE-1035C417BC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72" authorId="1404" shapeId="0" xr:uid="{502E2B5B-0988-4429-B856-EC24B21BA769}">
      <text>
        <t>[Comentário encadeado]
Sua versão do Excel permite que você leia este comentário encadeado, no entanto, as edições serão removidas se o arquivo for aberto em uma versão mais recente do Excel. Saiba mais: https://go.microsoft.com/fwlink/?linkid=870924
Comentário:
    04 CAMAS, 1200€ALQUILER, 1200€ FIANZA</t>
      </text>
    </comment>
    <comment ref="F1675" authorId="1405" shapeId="0" xr:uid="{446946CB-3F35-4105-95F5-FB8394EF86E4}">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678" authorId="1406" shapeId="0" xr:uid="{F330F182-2719-4942-BE61-810D4120C93F}">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1679" authorId="1407" shapeId="0" xr:uid="{9DE5255F-9B2E-4CDB-8C0B-2E823885314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0" authorId="1408" shapeId="0" xr:uid="{4F90E652-2A00-4953-BC61-1C4A1CCDE9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1" authorId="1409" shapeId="0" xr:uid="{E041A8DB-CCF5-467B-A99C-4308BD9FBD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5" authorId="1410" shapeId="0" xr:uid="{D465B762-24DA-472A-A2EB-F1D92D932EC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6" authorId="1411" shapeId="0" xr:uid="{BA2DB1A8-32C7-47A1-A168-079F182E81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7" authorId="1412" shapeId="0" xr:uid="{C8E3428D-403D-4121-BD7A-10F1D1190C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89" authorId="1413" shapeId="0" xr:uid="{65A4B8BB-0FD6-4965-8D35-5C5ECE70C48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90" authorId="1414" shapeId="0" xr:uid="{28C605D1-FDD5-47FF-923F-A06FE019CCA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huéspedes </t>
      </text>
    </comment>
    <comment ref="F1691" authorId="1415" shapeId="0" xr:uid="{65CC93B3-C000-4AC4-BBAD-3D60B2BA7165}">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1693" authorId="1416" shapeId="0" xr:uid="{645DE304-B501-4B96-8225-3C7EA2DF1920}">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1695" authorId="1417" shapeId="0" xr:uid="{B0DA6902-9041-448D-AFE8-A61D953FBD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696" authorId="1418" shapeId="0" xr:uid="{E9FC2793-9625-4F8C-97AC-1E64FCA73EE5}">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1698" authorId="1419" shapeId="0" xr:uid="{6034F987-0282-492F-9B0F-9ACD5A606C4B}">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1699" authorId="1420" shapeId="0" xr:uid="{94A0C11E-9496-4216-9D91-909E538FB3DB}">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1703" authorId="1421" shapeId="0" xr:uid="{72152E56-730F-435F-8F29-F69C25021C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04" authorId="1422" shapeId="0" xr:uid="{34AAAA3E-20A1-414A-A05C-0C0851A6EE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07" authorId="1423" shapeId="0" xr:uid="{DE7DD26B-6EFA-4A9F-8C0E-4CCB1084A240}">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708" authorId="1424" shapeId="0" xr:uid="{6F4B6E4D-0188-4D07-BC91-FF226F161D07}">
      <text>
        <t>[Comentário encadeado]
Sua versão do Excel permite que você leia este comentário encadeado, no entanto, as edições serão removidas se o arquivo for aberto em uma versão mais recente do Excel. Saiba mais: https://go.microsoft.com/fwlink/?linkid=870924
Comentário:
    02 CAMAS</t>
      </text>
    </comment>
    <comment ref="F1710" authorId="1425" shapeId="0" xr:uid="{AF880A66-9BE1-4536-A6D2-288DD93EDA1A}">
      <text>
        <t>[Comentário encadeado]
Sua versão do Excel permite que você leia este comentário encadeado, no entanto, as edições serão removidas se o arquivo for aberto em uma versão mais recente do Excel. Saiba mais: https://go.microsoft.com/fwlink/?linkid=870924
Comentário:
    Casa de 3 dormitorios
Dormitorio 1-2 camas individuales
Dormitorio 2-2 camas individuales
Dormitorio 3-2 sofás cama
Sala de estar 1 sofá cama</t>
      </text>
    </comment>
    <comment ref="F1712" authorId="1426" shapeId="0" xr:uid="{15EC8D5B-7F99-4FD0-9BC5-79C631F37FAE}">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1713" authorId="1427" shapeId="0" xr:uid="{E9B31EB9-410D-4D70-929A-C3A1B5F0590B}">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14" authorId="1428" shapeId="0" xr:uid="{8FFCB3CF-1F56-41D7-AB2B-1C3C0C7E630E}">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15" authorId="1429" shapeId="0" xr:uid="{A9B0FA25-C276-48AB-8A1D-37E7590F4B68}">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716" authorId="1430" shapeId="0" xr:uid="{21631E3B-8743-4BEA-82EF-1DE7D00EF30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1717" authorId="1431" shapeId="0" xr:uid="{30B9C7DE-D34D-4FDE-830A-6260FE106F2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1718" authorId="1432" shapeId="0" xr:uid="{45741ABE-E148-40F1-BC29-08B40D65FD6F}">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1719" authorId="1433" shapeId="0" xr:uid="{B0BE1DCE-C6AA-4495-B6AE-BA90366B003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20" authorId="1434" shapeId="0" xr:uid="{D99550F0-38D4-40A5-ABC2-16DBA21FE3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27" authorId="1435" shapeId="0" xr:uid="{519CD68A-29AD-495D-8A2D-4591D6C19448}">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1728" authorId="1436" shapeId="0" xr:uid="{0A8B4BB6-38D3-4923-8771-C2C04E840B8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1735" authorId="1437" shapeId="0" xr:uid="{B73A914F-67B9-4258-84CB-711184BC31A8}">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1736" authorId="1438" shapeId="0" xr:uid="{0AC0D569-0450-4C53-9B73-8AB0ADE60BA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41" authorId="1439" shapeId="0" xr:uid="{1775C2CB-BA68-434F-9499-250F55B7C8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46" authorId="1440" shapeId="0" xr:uid="{5F084CE4-8CC5-4146-AE85-554F332E30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47" authorId="1441" shapeId="0" xr:uid="{3D65C0B0-7429-4F64-B74A-C9113F2F04D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50" authorId="1442" shapeId="0" xr:uid="{F7C3E355-9D8B-4F32-A81E-61A92F1EA85F}">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53" authorId="1443" shapeId="0" xr:uid="{4D70D47F-E16F-44F6-B0B2-E98B06FC0D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54" authorId="1444" shapeId="0" xr:uid="{BF1BF847-C040-4FCD-BDAE-1C574280E527}">
      <text>
        <t>[Comentário encadeado]
Sua versão do Excel permite que você leia este comentário encadeado, no entanto, as edições serão removidas se o arquivo for aberto em uma versão mais recente do Excel. Saiba mais: https://go.microsoft.com/fwlink/?linkid=870924
Comentário:
    Apartamento de 3 habitaciones dobles (1 de matrimonio y 4 camas de 90)</t>
      </text>
    </comment>
    <comment ref="F1755" authorId="1445" shapeId="0" xr:uid="{9EB0B131-533B-40BA-87DD-575F2B61FEA5}">
      <text>
        <t>[Comentário encadeado]
Sua versão do Excel permite que você leia este comentário encadeado, no entanto, as edições serão removidas se o arquivo for aberto em uma versão mais recente do Excel. Saiba mais: https://go.microsoft.com/fwlink/?linkid=870924
Comentário:
    Apartamento de 3 habitaciones dobles (1 de matrimonio y 4 camas de 90)</t>
      </text>
    </comment>
    <comment ref="F1756" authorId="1446" shapeId="0" xr:uid="{020CD498-9127-43AB-8B2C-FA2ACC8E4B58}">
      <text>
        <t>[Comentário encadeado]
Sua versão do Excel permite que você leia este comentário encadeado, no entanto, as edições serão removidas se o arquivo for aberto em uma versão mais recente do Excel. Saiba mais: https://go.microsoft.com/fwlink/?linkid=870924
Comentário:
    Apartamento de 3 habitaciones dobles (1 de matrimonio y 4 camas de 90)</t>
      </text>
    </comment>
    <comment ref="F1758" authorId="1447" shapeId="0" xr:uid="{87BAA357-BB2A-4D74-AEAA-19DA3FD13B3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761" authorId="1448" shapeId="0" xr:uid="{917A9F12-0236-405C-9E79-532EECFA0E02}">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763" authorId="1449" shapeId="0" xr:uid="{C5262C02-E715-4A25-9F36-838D9A9A1F1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1764" authorId="1450" shapeId="0" xr:uid="{EBC651DA-A102-48CF-8D21-57071984919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1765" authorId="1451" shapeId="0" xr:uid="{86029976-0304-46B4-81B8-CA301EE1E890}">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1766" authorId="1452" shapeId="0" xr:uid="{54860AFD-66E6-4AA0-AF1D-0E3E67CAF72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67" authorId="1453" shapeId="0" xr:uid="{DEDCD1FB-EDC4-4FD9-B5E7-AA6D66057F7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69" authorId="1454" shapeId="0" xr:uid="{12A27514-52BD-43FC-9603-62628AE113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70" authorId="1455" shapeId="0" xr:uid="{E7F7874A-A1D3-451B-963C-0CE8AA566447}">
      <text>
        <t>[Comentário encadeado]
Sua versão do Excel permite que você leia este comentário encadeado, no entanto, as edições serão removidas se o arquivo for aberto em uma versão mais recente do Excel. Saiba mais: https://go.microsoft.com/fwlink/?linkid=870924
Comentário:
    03 camas, 600€ fianza, 600 € alquiler</t>
      </text>
    </comment>
    <comment ref="F1771" authorId="1456" shapeId="0" xr:uid="{DE8D0C17-2AE8-4E40-AC8B-6BF1088AB47C}">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72" authorId="1457" shapeId="0" xr:uid="{BCC18DD7-294F-4A5D-90E4-20FF3DAF7C04}">
      <text>
        <t>[Comentário encadeado]
Sua versão do Excel permite que você leia este comentário encadeado, no entanto, as edições serão removidas se o arquivo for aberto em uma versão mais recente do Excel. Saiba mais: https://go.microsoft.com/fwlink/?linkid=870924
Comentário:
    01 estudio 02 camas, sin fianza, 750€ alquiler</t>
      </text>
    </comment>
    <comment ref="F1773" authorId="1458" shapeId="0" xr:uid="{F3A10FB6-1511-483E-A9F9-DB3D285A141D}">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774" authorId="1459" shapeId="0" xr:uid="{5F16923F-CE1D-41A6-BC50-A3762ED8775A}">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775" authorId="1460" shapeId="0" xr:uid="{781693DA-2A02-4E26-A30E-F3AA18012C39}">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776" authorId="1461" shapeId="0" xr:uid="{CEC40023-67AC-40DA-9F59-5993F9C536B9}">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779" authorId="1462" shapeId="0" xr:uid="{7B5EE798-C792-49F1-8957-B584BC9789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04 CAMAS, ALQUILER 1080, SIN FIANZA
</t>
      </text>
    </comment>
    <comment ref="F1783" authorId="1463" shapeId="0" xr:uid="{32A0BB48-A374-48A1-B19D-D59D80C4C5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84" authorId="1464" shapeId="0" xr:uid="{5E92AD6B-7C12-4F62-A7B4-95B644E9F67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85" authorId="1465" shapeId="0" xr:uid="{53D7502B-A130-426A-A4EC-B9770DC587D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1786" authorId="1466" shapeId="0" xr:uid="{3D04C3F8-CD2C-43EC-982F-6F74D72CD4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1787" authorId="1467" shapeId="0" xr:uid="{69C8B11C-3F4F-44F2-87B2-580F8BEEB3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88" authorId="1468" shapeId="0" xr:uid="{D8EA178F-E893-465A-9A07-34205B71FEBD}">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1789" authorId="1469" shapeId="0" xr:uid="{C7D0FE03-BC70-43A4-B151-B4F9487C3D2E}">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790" authorId="1470" shapeId="0" xr:uid="{C81F807B-C806-406E-82EC-70BF198A6C87}">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t>
      </text>
    </comment>
    <comment ref="F1792" authorId="1471" shapeId="0" xr:uid="{ABB570FE-9269-4840-A6A9-9F12D5F4AAB4}">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t>
      </text>
    </comment>
    <comment ref="F1794" authorId="1472" shapeId="0" xr:uid="{4438D940-45EF-4B24-AB3F-A335BDF03E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795" authorId="1473" shapeId="0" xr:uid="{F4CEA172-A967-4179-8C2D-CA9884FC5EA8}">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796" authorId="1474" shapeId="0" xr:uid="{52616F8F-C5CA-4B1E-AA78-0ADF0DFDC145}">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t>
      </text>
    </comment>
    <comment ref="F1797" authorId="1475" shapeId="0" xr:uid="{A495D628-4585-4F15-A94A-B810000E8B8D}">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798" authorId="1476" shapeId="0" xr:uid="{BA454C9F-2DBD-4B56-B2BE-D37875CF1A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F1799" authorId="1477" shapeId="0" xr:uid="{1386C930-8DFD-493F-9705-5D270D4A296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00" authorId="1478" shapeId="0" xr:uid="{1BD89AC8-5FD5-47EB-A3EB-69CBF5A9FF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02" authorId="1479" shapeId="0" xr:uid="{100D058E-6A86-40CD-8AA5-B246B772585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1803" authorId="1480" shapeId="0" xr:uid="{568BC079-2447-4102-9C2C-048B461AE607}">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1804" authorId="1481" shapeId="0" xr:uid="{DD21FD7A-26B6-4803-9717-297F9D35F10C}">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t>
      </text>
    </comment>
    <comment ref="F1805" authorId="1482" shapeId="0" xr:uid="{01E1FCCE-F067-4AD5-9385-ECABA5728894}">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1.604,80 € Fianza600€</t>
      </text>
    </comment>
    <comment ref="F1806" authorId="1483" shapeId="0" xr:uid="{29FDD906-B2E2-4F3D-8E07-A8B503D6D6A7}">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1.604,80 € Fianza600€</t>
      </text>
    </comment>
    <comment ref="F1807" authorId="1484" shapeId="0" xr:uid="{DC241A91-4CE9-4166-8892-2F955E532C8F}">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1.604,80 € Fianza600€</t>
      </text>
    </comment>
    <comment ref="F1810" authorId="1485" shapeId="0" xr:uid="{A0BA6C76-4FB7-42F3-B331-63346ECF9A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13" authorId="1486" shapeId="0" xr:uid="{CBEC6EE9-8171-45F5-9E09-F74695FA7C5D}">
      <text>
        <t>[Comentário encadeado]
Sua versão do Excel permite que você leia este comentário encadeado, no entanto, as edições serão removidas se o arquivo for aberto em uma versão mais recente do Excel. Saiba mais: https://go.microsoft.com/fwlink/?linkid=870924
Comentário:
    1.195€   Alquiler 1.800€ Fianza 3 camas</t>
      </text>
    </comment>
    <comment ref="F1815" authorId="1487" shapeId="0" xr:uid="{B2A7DF46-8BE1-43D2-B0CF-1EC163A6B152}">
      <text>
        <t>[Comentário encadeado]
Sua versão do Excel permite que você leia este comentário encadeado, no entanto, as edições serão removidas se o arquivo for aberto em uma versão mais recente do Excel. Saiba mais: https://go.microsoft.com/fwlink/?linkid=870924
Comentário:
    1.195€   Alquiler 1.800€ Fianza 3 camas</t>
      </text>
    </comment>
    <comment ref="F1816" authorId="1488" shapeId="0" xr:uid="{54BA0857-0B69-4CA7-BC00-02FD0582AE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20" authorId="1489" shapeId="0" xr:uid="{F9C4A850-C7C3-4CC4-B040-A6561E5B5A7F}">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29" authorId="1490" shapeId="0" xr:uid="{72E09D0E-8592-4A6D-856A-CEC3ABC13A63}">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1838" authorId="1491" shapeId="0" xr:uid="{574B21E9-F5E6-4D49-8CE2-8215E925C261}">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39" authorId="1492" shapeId="0" xr:uid="{B22FAB9D-36D7-40F1-A9A0-F9A39350FD28}">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40" authorId="1493" shapeId="0" xr:uid="{426E18A9-56ED-405A-A948-CD75F99CF60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41" authorId="1494" shapeId="0" xr:uid="{BB3DC384-07EA-4282-9FD0-21CD38655A71}">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49" authorId="1495" shapeId="0" xr:uid="{54325F7C-E88E-4BBE-9715-A9392D76342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1850" authorId="1496" shapeId="0" xr:uid="{98D5BFA1-5DBC-430C-8EAB-2A2F08AB3713}">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1851" authorId="1497" shapeId="0" xr:uid="{BD6E4716-7E1B-456D-A4B3-162F881EC2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52" authorId="1498" shapeId="0" xr:uid="{B1876AA9-9321-4550-9D6D-041B863924A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53" authorId="1499" shapeId="0" xr:uid="{A22290DD-014A-4D1E-9D77-7A79561779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54" authorId="1500" shapeId="0" xr:uid="{9715DA22-47C0-42AF-ADB5-E31E716BCFE6}">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1856" authorId="1501" shapeId="0" xr:uid="{D010C7F2-734D-4838-A252-ED00CF98A200}">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 de Baño privado</t>
      </text>
    </comment>
    <comment ref="F1859" authorId="1502" shapeId="0" xr:uid="{F2BD1A3A-C5AB-4F92-9335-8DA4C9385326}">
      <text>
        <t>[Comentário encadeado]
Sua versão do Excel permite que você leia este comentário encadeado, no entanto, as edições serão removidas se o arquivo for aberto em uma versão mais recente do Excel. Saiba mais: https://go.microsoft.com/fwlink/?linkid=870924
Comentário:
    Habitación 400 € Mes con servicios incluidos</t>
      </text>
    </comment>
    <comment ref="F1860" authorId="1503" shapeId="0" xr:uid="{A59BF54D-38B3-47E8-B750-B113F33FE2E4}">
      <text>
        <t>[Comentário encadeado]
Sua versão do Excel permite que você leia este comentário encadeado, no entanto, as edições serão removidas se o arquivo for aberto em uma versão mais recente do Excel. Saiba mais: https://go.microsoft.com/fwlink/?linkid=870924
Comentário:
    Habitación 400 € Mes con servicios incluidos</t>
      </text>
    </comment>
    <comment ref="F1861" authorId="1504" shapeId="0" xr:uid="{C77F50B2-01F4-4748-A0DA-1403BB4DEF8C}">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62" authorId="1505" shapeId="0" xr:uid="{D3DB2CCD-FBD1-407E-9519-41EA1AD365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63" authorId="1506" shapeId="0" xr:uid="{E8BF6619-2E0F-471E-BFA8-0416F72866BA}">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866" authorId="1507" shapeId="0" xr:uid="{E32C6C66-B180-41D1-86D3-911088A8189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68" authorId="1508" shapeId="0" xr:uid="{398A3A8A-F62E-44BA-A5CF-87517FCB27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69" authorId="1509" shapeId="0" xr:uid="{35372CDA-0036-4B7F-9F34-7459C10E2A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0" authorId="1510" shapeId="0" xr:uid="{ED74C16B-0677-4775-BBA0-E728F8E6A8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1" authorId="1511" shapeId="0" xr:uid="{1DAA45F8-5902-40DE-BE08-72D3F6A869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5" authorId="1512" shapeId="0" xr:uid="{2CC40DE8-0A2C-45C7-B3B2-00729C2E716A}">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1876" authorId="1513" shapeId="0" xr:uid="{17C6066B-CD0A-4FB4-A123-4C1B9830CBA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huéspedes </t>
      </text>
    </comment>
    <comment ref="F1877" authorId="1514" shapeId="0" xr:uid="{67FB66AA-19F9-44E7-9805-0B00F49AC79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8" authorId="1515" shapeId="0" xr:uid="{2B3D110B-D49A-4AE4-9E18-50BD4E3D199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79" authorId="1516" shapeId="0" xr:uid="{0CC30296-D5CB-46F7-8965-4419F2340A19}">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1880" authorId="1517" shapeId="0" xr:uid="{35B4EA5E-8F54-4A43-B3CC-44022F681F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81" authorId="1518" shapeId="0" xr:uid="{3F4689D9-F8E0-477D-BF09-52DEFE7E7813}">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882" authorId="1519" shapeId="0" xr:uid="{A039D1C1-3CC6-4C9A-9912-2D8443C507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83" authorId="1520" shapeId="0" xr:uid="{C7362469-9168-45BA-AEBD-25F5BBFE718B}">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 de Baño privado</t>
      </text>
    </comment>
    <comment ref="F1884" authorId="1521" shapeId="0" xr:uid="{DAC48133-ABF9-4C41-8063-2FC465A7F88E}">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1885" authorId="1522" shapeId="0" xr:uid="{F62CD489-1677-4FC3-9003-85776F1BB4F3}">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886" authorId="1523" shapeId="0" xr:uid="{E8B5C738-E049-48AF-84CF-9520887FB199}">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1887" authorId="1524" shapeId="0" xr:uid="{C30320CA-07AA-4E98-8B75-65EF4ACD794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1888" authorId="1525" shapeId="0" xr:uid="{BFEC8992-1A19-46AF-9C3F-9C4E56F80676}">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1889" authorId="1526" shapeId="0" xr:uid="{A4768EB2-B86B-4D65-A8FD-5A4A3643E88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huéspedes </t>
      </text>
    </comment>
    <comment ref="F1891" authorId="1527" shapeId="0" xr:uid="{22459EC7-7F8A-429F-9B25-A2FC66E4268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huéspedes </t>
      </text>
    </comment>
    <comment ref="F1892" authorId="1528" shapeId="0" xr:uid="{4271377D-BCF7-4CDE-AD63-E2DCE7DB60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93" authorId="1529" shapeId="0" xr:uid="{34122289-AC95-43ED-BC29-AAECA5EDAB7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huéspedes </t>
      </text>
    </comment>
    <comment ref="F1894" authorId="1530" shapeId="0" xr:uid="{7361DDE1-D236-4915-B4E6-BAF5457583C1}">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1895" authorId="1531" shapeId="0" xr:uid="{3F1EED7A-D8EB-412C-9E41-76FF6F377D2A}">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1896" authorId="1532" shapeId="0" xr:uid="{F690E487-CE03-4709-B5EB-1D9977F0370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97" authorId="1533" shapeId="0" xr:uid="{7177335D-D039-48A4-BFF3-30BBC9A975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98" authorId="1534" shapeId="0" xr:uid="{2A3B7EFF-144B-49E3-BCA7-417B1A504B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899" authorId="1535" shapeId="0" xr:uid="{77F54B05-29F5-4A96-903A-FB37E27CAE2E}">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1900" authorId="1536" shapeId="0" xr:uid="{DDAADE80-737F-4108-AD55-8A5B5DA91CC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01" authorId="1537" shapeId="0" xr:uid="{AC6C39D8-45CA-4238-8746-827FDE573968}">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2.250€</t>
      </text>
    </comment>
    <comment ref="F1902" authorId="1538" shapeId="0" xr:uid="{FB41A5F3-8D86-4599-ADE4-40043DC12D23}">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1903" authorId="1539" shapeId="0" xr:uid="{C73A31A2-7251-41C9-877B-A3FB5EE11C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2 apartamento DOBLES </t>
      </text>
    </comment>
    <comment ref="F1905" authorId="1540" shapeId="0" xr:uid="{74A22BD6-8FDF-4D8F-BA13-8AB474B953D7}">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1907" authorId="1541" shapeId="0" xr:uid="{F56CC020-91B3-4A1D-8550-B82DC54B05F7}">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909" authorId="1542" shapeId="0" xr:uid="{CBABA9C0-89D3-46A6-AF36-686701D87F4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13" authorId="1543" shapeId="0" xr:uid="{25CE206A-7EB1-4C30-8CC3-5A74BFD1D824}">
      <text>
        <t>[Comentário encadeado]
Sua versão do Excel permite que você leia este comentário encadeado, no entanto, as edições serão removidas se o arquivo for aberto em uma versão mais recente do Excel. Saiba mais: https://go.microsoft.com/fwlink/?linkid=870924
Comentário:
    Alquiler 1400€ apartamento para 4 personas</t>
      </text>
    </comment>
    <comment ref="F1916" authorId="1544" shapeId="0" xr:uid="{A4962D25-3C76-474E-84AF-806E3CF23D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17" authorId="1545" shapeId="0" xr:uid="{12B97FA6-3262-4719-8CDA-FF1610D8CFA2}">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1918" authorId="1546" shapeId="0" xr:uid="{8A9187AB-DEAC-4C89-862D-4F7E4D47DF8A}">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919" authorId="1547" shapeId="0" xr:uid="{8A90F9AD-8F94-4FF7-AB80-4931B3479CDE}">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920" authorId="1548" shapeId="0" xr:uid="{09F87D82-EE96-4B2A-9978-A264E5FECE6E}">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921" authorId="1549" shapeId="0" xr:uid="{E2274140-0047-47F6-858C-E350C34DD7F6}">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923" authorId="1550" shapeId="0" xr:uid="{292EAE13-BB7E-44A2-90E5-4C14574B6818}">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 con lavabo al precio de 40 €/U</t>
      </text>
    </comment>
    <comment ref="F1924" authorId="1551" shapeId="0" xr:uid="{17AFD52A-5CCD-4DC7-9C33-D4982564C143}">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1925" authorId="1552" shapeId="0" xr:uid="{57E7AA2D-B930-4E6D-B4CA-F1E0891BA166}">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1926" authorId="1553" shapeId="0" xr:uid="{477AA7F7-BD4D-4B27-A595-AE769430E25D}">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1928" authorId="1554" shapeId="0" xr:uid="{EE4B3C5C-6916-4E27-8D1A-F891F81B013A}">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1929" authorId="1555" shapeId="0" xr:uid="{462625B4-3DE3-4940-B349-ADEB18725682}">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1934" authorId="1556" shapeId="0" xr:uid="{31FE69F5-2332-4122-9A5A-440823CF7A65}">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1935" authorId="1557" shapeId="0" xr:uid="{B1E23383-FDCE-4324-9230-C152F5FC80D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936" authorId="1558" shapeId="0" xr:uid="{323273D0-EADF-4C99-B88D-E2965FEFBDD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37" authorId="1559" shapeId="0" xr:uid="{3825FA98-A9B3-4DA5-8E72-50CC7CEAF0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1938" authorId="1560" shapeId="0" xr:uid="{52CB87A6-8D5B-4379-A942-83248C5A237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39" authorId="1561" shapeId="0" xr:uid="{D3F4708C-CE58-41DA-AE93-00D5BAB1CBF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940" authorId="1562" shapeId="0" xr:uid="{B4DCACC2-437A-445B-B4CC-9EF7CCC2B1A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huéspedes </t>
      </text>
    </comment>
    <comment ref="F1941" authorId="1563" shapeId="0" xr:uid="{D0E389E8-E746-4E61-8DCF-85DEE1C3C8A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42" authorId="1564" shapeId="0" xr:uid="{DD16A7C5-75F2-4054-9672-589BD2FF44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Habitacion </t>
      </text>
    </comment>
    <comment ref="F1943" authorId="1565" shapeId="0" xr:uid="{FE851FAA-D45F-4F63-9323-65EE8CD94A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46" authorId="1566" shapeId="0" xr:uid="{1660C2B2-6C64-4561-80C3-2EA2DE5EB9C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946" authorId="1567" shapeId="0" xr:uid="{7F886356-30A3-4A9B-9A78-507639BEC3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Est afianza pasa a Jeisson reemplazo de Ricardo
</t>
      </text>
    </comment>
    <comment ref="F1948" authorId="1568" shapeId="0" xr:uid="{6DD1B635-7915-48D1-B3AC-5FD4124B14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1948" authorId="1569" shapeId="0" xr:uid="{9C935796-9F10-42B5-8B87-27D4964CFEEE}">
      <text>
        <t>[Comentário encadeado]
Sua versão do Excel permite que você leia este comentário encadeado, no entanto, as edições serão removidas se o arquivo for aberto em uma versão mais recente do Excel. Saiba mais: https://go.microsoft.com/fwlink/?linkid=870924
Comentário:
    Esta fianza pasa a Marco</t>
      </text>
    </comment>
    <comment ref="F1949" authorId="1570" shapeId="0" xr:uid="{4C614177-E911-4D6B-9A22-FC694E01C37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50" authorId="1571" shapeId="0" xr:uid="{6339B36C-2F05-437A-9BAC-98B4DFE336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51" authorId="1572" shapeId="0" xr:uid="{69B34BF2-F08C-476A-B0B4-11A9BDCC4435}">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1952" authorId="1573" shapeId="0" xr:uid="{410AB333-2E74-4C02-A19C-AAF77DF31F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53" authorId="1574" shapeId="0" xr:uid="{AE161493-A10B-439A-B69E-A1908483C6D7}">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954" authorId="1575" shapeId="0" xr:uid="{8FEC7426-8129-4951-B2D8-BB5DD86331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1955" authorId="1576" shapeId="0" xr:uid="{5E41C3DC-E71A-4A31-BEDA-4B0D8BFDB65C}">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1957" authorId="1577" shapeId="0" xr:uid="{8C86004D-DF7A-4705-890A-68D36D27112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3.450€</t>
      </text>
    </comment>
    <comment ref="F1958" authorId="1578" shapeId="0" xr:uid="{FED9617D-C7D9-4AE2-B954-CAC67FE9A2D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60" authorId="1579" shapeId="0" xr:uid="{827F083F-1C65-4857-B8F0-A610C99CD44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61" authorId="1580" shapeId="0" xr:uid="{0E4A5466-F26D-439B-AF91-F36A701839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62" authorId="1581" shapeId="0" xr:uid="{157AC6F9-71C5-445C-90BF-2408F81F37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64" authorId="1582" shapeId="0" xr:uid="{8C381730-F636-4274-B36C-5A30019067E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1968" authorId="1583" shapeId="0" xr:uid="{3DEB0F96-F8A0-4B1D-B07B-961E0C1C65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69" authorId="1584" shapeId="0" xr:uid="{BBE8CEC8-BDCD-4A52-8D2A-308DD184FA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71" authorId="1585" shapeId="0" xr:uid="{96D79736-0B99-428F-8CD4-52BFD4523F16}">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972" authorId="1586" shapeId="0" xr:uid="{83DD07BA-940F-4CC0-9326-7F8AEDE860D1}">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1.620,95 € Fianza 600€</t>
      </text>
    </comment>
    <comment ref="F1973" authorId="1587" shapeId="0" xr:uid="{62689724-8153-484A-9980-8EDCCBE69B59}">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1.846,20 € Fianza 600€</t>
      </text>
    </comment>
    <comment ref="F1974" authorId="1588" shapeId="0" xr:uid="{4B9F4F74-6041-4C22-988B-98484C8ED519}">
      <text>
        <t>[Comentário encadeado]
Sua versão do Excel permite que você leia este comentário encadeado, no entanto, as edições serão removidas se o arquivo for aberto em uma versão mais recente do Excel. Saiba mais: https://go.microsoft.com/fwlink/?linkid=870924
Comentário:
    900€ alquiler, 900€ fianza, 03 camas</t>
      </text>
    </comment>
    <comment ref="F1975" authorId="1589" shapeId="0" xr:uid="{D1757329-1C70-45D1-BF94-644F3FD51017}">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1976" authorId="1590" shapeId="0" xr:uid="{5CAFADBC-55C4-4DB6-9995-E79B90292CF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1.620,95 € Fianza 600€</t>
      </text>
    </comment>
    <comment ref="F1978" authorId="1591" shapeId="0" xr:uid="{71AE9B69-835C-4EAC-98A4-CB5432347BA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Renta 1.050€ 
Suministros 200€
Huésped extra 150€ ( cuando se requiera ) 
Servicio de limpieza 300€ + IVA ( 363€) 
</t>
      </text>
    </comment>
    <comment ref="F1980" authorId="1592" shapeId="0" xr:uid="{84F44E87-9215-47BE-8C2A-86FB13B3FF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82" authorId="1593" shapeId="0" xr:uid="{15F3A58F-0349-4C79-A5E6-B75E720975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83" authorId="1594" shapeId="0" xr:uid="{5DA9C53E-C63F-4D46-9108-8E7AD9532B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84" authorId="1595" shapeId="0" xr:uid="{5D0C4CD4-7974-4688-82E6-18B033146A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85" authorId="1596" shapeId="0" xr:uid="{1D63B8E2-02CA-49B1-A158-A14951799075}">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986" authorId="1597" shapeId="0" xr:uid="{99909709-EC83-412F-99D0-FE71377C287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87" authorId="1598" shapeId="0" xr:uid="{636072A1-6358-40E9-9588-9C29142918A0}">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t>
      </text>
    </comment>
    <comment ref="F1988" authorId="1599" shapeId="0" xr:uid="{9C323E7B-6478-4359-AD13-DD2FC0446DDE}">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1.846,20 € Fianza 600€</t>
      </text>
    </comment>
    <comment ref="F1990" authorId="1600" shapeId="0" xr:uid="{19773CD9-8D17-43AD-943E-1A61DD28647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91" authorId="1601" shapeId="0" xr:uid="{FDE0516C-993A-4D00-ABF0-3A8E135EA27A}">
      <text>
        <t>[Comentário encadeado]
Sua versão do Excel permite que você leia este comentário encadeado, no entanto, as edições serão removidas se o arquivo for aberto em uma versão mais recente do Excel. Saiba mais: https://go.microsoft.com/fwlink/?linkid=870924
Comentário:
    1 Habitación, Alquiler 300€, el pago se realiza a cada trabajador</t>
      </text>
    </comment>
    <comment ref="F1992" authorId="1602" shapeId="0" xr:uid="{DAD3C833-AB11-458F-A474-DE6AB03B78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93" authorId="1603" shapeId="0" xr:uid="{0B0D0309-2B1D-4CE7-A3E4-964262781C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94" authorId="1604" shapeId="0" xr:uid="{A9D71F60-A43D-4FB3-9C5E-E03A11DCD3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1995" authorId="1605" shapeId="0" xr:uid="{A9D92443-3852-4974-93A3-2DE3B5F1F0D6}">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1996" authorId="1606" shapeId="0" xr:uid="{E5A334F9-9FDA-452F-A3CB-3E945FB1D418}">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 Alquiler 1.809,45 € Fianza 600€</t>
      </text>
    </comment>
    <comment ref="F1997" authorId="1607" shapeId="0" xr:uid="{2CA37E9A-6D34-4BE3-9A08-C5A13601DBD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98" authorId="1608" shapeId="0" xr:uid="{BB0C10B6-D6A7-40DF-B08C-E04E10912C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1999" authorId="1609" shapeId="0" xr:uid="{FC82C133-FB13-490F-8D87-734A7F58609F}">
      <text>
        <t>[Comentário encadeado]
Sua versão do Excel permite que você leia este comentário encadeado, no entanto, as edições serão removidas se o arquivo for aberto em uma versão mais recente do Excel. Saiba mais: https://go.microsoft.com/fwlink/?linkid=870924
Comentário:
    1 Habitación, Alquiler 300€, el pago se realiza a cada trabajador</t>
      </text>
    </comment>
    <comment ref="F2000" authorId="1610" shapeId="0" xr:uid="{5D4DC3A9-E82B-484E-AE15-95345704E9F6}">
      <text>
        <t>[Comentário encadeado]
Sua versão do Excel permite que você leia este comentário encadeado, no entanto, as edições serão removidas se o arquivo for aberto em uma versão mais recente do Excel. Saiba mais: https://go.microsoft.com/fwlink/?linkid=870924
Comentário:
    1 Habitación, Alquiler 300€, el pago se realiza a cada trabajador</t>
      </text>
    </comment>
    <comment ref="F2001" authorId="1611" shapeId="0" xr:uid="{FF835D17-D48F-4F8C-9D4C-C2F08EFD8084}">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02" authorId="1612" shapeId="0" xr:uid="{F594AD7B-6C87-4CBA-84DE-BD5B48BDA620}">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003" authorId="1613" shapeId="0" xr:uid="{53C99187-9D5A-495B-B15D-ABEB8E1B2CC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2004" authorId="1614" shapeId="0" xr:uid="{83E608FA-C34A-44B9-9424-89F0FEDD42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camas separadas.
Cantidad 1.</t>
      </text>
    </comment>
    <comment ref="F2005" authorId="1615" shapeId="0" xr:uid="{60E3C290-B480-44F6-BF26-A0FA00A1E06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350 cada habitación </t>
      </text>
    </comment>
    <comment ref="F2006" authorId="1616" shapeId="0" xr:uid="{D1975233-8BB4-44F2-9A02-F9251F62637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006" authorId="1617" shapeId="0" xr:uid="{C093052D-58EE-445E-B380-7590E7683A85}">
      <text>
        <t>[Comentário encadeado]
Sua versão do Excel permite que você leia este comentário encadeado, no entanto, as edições serão removidas se o arquivo for aberto em uma versão mais recente do Excel. Saiba mais: https://go.microsoft.com/fwlink/?linkid=870924
Comentário:
    Fianza de Cesar</t>
      </text>
    </comment>
    <comment ref="F2007" authorId="1618" shapeId="0" xr:uid="{1A1440DA-55E0-4600-AF49-9E84C6D5A5E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camas separadas.
Cantidad 1.</t>
      </text>
    </comment>
    <comment ref="F2008" authorId="1619" shapeId="0" xr:uid="{5BA5E382-9ABC-4937-9CFE-0868C95D783D}">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09" authorId="1620" shapeId="0" xr:uid="{952CC204-D9A8-4D7B-BFAF-342BC5C9C9C4}">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1.846,20 € Fianza 600€</t>
      </text>
    </comment>
    <comment ref="F2010" authorId="1621" shapeId="0" xr:uid="{B30AF5FE-9FDA-4BF7-9D1F-9FAEBA559969}">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11" authorId="1622" shapeId="0" xr:uid="{586C855D-1EDF-45B5-A109-75714C868F0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12" authorId="1623" shapeId="0" xr:uid="{484F7650-5475-4D94-B3D1-E299B0377ED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1.620,95 € Fianza 600€</t>
      </text>
    </comment>
    <comment ref="F2013" authorId="1624" shapeId="0" xr:uid="{0F4A3417-E667-4661-93CA-F108135134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14" authorId="1625" shapeId="0" xr:uid="{CC8C680C-129C-401D-A455-E5262DEEF529}">
      <text>
        <t>[Comentário encadeado]
Sua versão do Excel permite que você leia este comentário encadeado, no entanto, as edições serão removidas se o arquivo for aberto em uma versão mais recente do Excel. Saiba mais: https://go.microsoft.com/fwlink/?linkid=870924
Comentário:
    03 camas, 1300€ alquiler, 200€ fianza</t>
      </text>
    </comment>
    <comment ref="F2015" authorId="1626" shapeId="0" xr:uid="{7E737B61-52B9-4F3C-9D22-B4169731F358}">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 Alquiler 1.809,45 € Fianza 600€</t>
      </text>
    </comment>
    <comment ref="F2016" authorId="1627" shapeId="0" xr:uid="{64585BAE-26F7-4044-8721-DB66954D8B3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18" authorId="1628" shapeId="0" xr:uid="{EE30915B-B650-4EA2-8EB6-FB8026EC11FE}">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 Alquiler 1.809,45 € Fianza 600€</t>
      </text>
    </comment>
    <comment ref="F2019" authorId="1629" shapeId="0" xr:uid="{2E67C41B-2DD8-4B75-85AC-00E0772BD4C8}">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 Alquiler 1.809,45 € Fianza 600€</t>
      </text>
    </comment>
    <comment ref="F2020" authorId="1630" shapeId="0" xr:uid="{F636A529-2793-4C4B-B204-8E307909E86A}">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1.620,95 € Fianza 600€</t>
      </text>
    </comment>
    <comment ref="F2021" authorId="1631" shapeId="0" xr:uid="{6CF5B98C-BFC7-42ED-99B1-C775D516E417}">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1.846,20 € Fianza 600€</t>
      </text>
    </comment>
    <comment ref="F2022" authorId="1632" shapeId="0" xr:uid="{E76ABD2A-34D0-44A8-892B-E3DE3AFEEF0B}">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1.846,20 € Fianza 600€</t>
      </text>
    </comment>
    <comment ref="F2023" authorId="1633" shapeId="0" xr:uid="{398CD10D-D97C-4CEC-B7F3-985CF6361D99}">
      <text>
        <t>[Comentário encadeado]
Sua versão do Excel permite que você leia este comentário encadeado, no entanto, as edições serão removidas se o arquivo for aberto em uma versão mais recente do Excel. Saiba mais: https://go.microsoft.com/fwlink/?linkid=870924
Comentário:
    Capacidad máxima
6 adultos Alquiler 1.809,45 € Fianza 600€</t>
      </text>
    </comment>
    <comment ref="F2024" authorId="1634" shapeId="0" xr:uid="{E6BAC681-2B99-4190-AB18-AEA6F0279AC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Renta 1.050€ 
Suministros 200€
Huésped extra 150€ ( cuando se requiera ) 
Servicio de limpieza 300€ + IVA ( 363€) 
</t>
      </text>
    </comment>
    <comment ref="F2025" authorId="1635" shapeId="0" xr:uid="{CDF83063-B1B8-4EEB-B015-B55178413EC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26" authorId="1636" shapeId="0" xr:uid="{B1E30AE4-54C9-4420-A545-A9A6FE16E96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027" authorId="1637" shapeId="0" xr:uid="{C4CDD413-3D1E-416A-BB5D-0268FEE4670D}">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W2027" authorId="1638" shapeId="0" xr:uid="{07FE6F0B-D21F-46ED-B1DB-48441FE5D84B}">
      <text>
        <t>[Comentário encadeado]
Sua versão do Excel permite que você leia este comentário encadeado, no entanto, as edições serão removidas se o arquivo for aberto em uma versão mais recente do Excel. Saiba mais: https://go.microsoft.com/fwlink/?linkid=870924
Comentário:
    Fianza de Nelson Acosta de Raùl Gata</t>
      </text>
    </comment>
    <comment ref="F2028" authorId="1639" shapeId="0" xr:uid="{180676EE-5361-4EF9-9E3A-5B5B2FD582D7}">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029" authorId="1640" shapeId="0" xr:uid="{B81E102A-5B25-4C44-8E99-9C65840724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30" authorId="1641" shapeId="0" xr:uid="{2648A5F0-E44B-4907-8680-BE75A3E4BBF6}">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2031" authorId="1642" shapeId="0" xr:uid="{73B17C6D-BCDB-44C9-BD02-1F6F9E08098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2032" authorId="1643" shapeId="0" xr:uid="{477426F9-DA4B-4DFA-8445-9AA659911D4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33" authorId="1644" shapeId="0" xr:uid="{46509750-6356-443F-AFB1-83C4ABFCFE53}">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35" authorId="1645" shapeId="0" xr:uid="{DD94C25D-42EA-43D7-9104-C7ED8407A4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38" authorId="1646" shapeId="0" xr:uid="{9F69632B-344D-49DD-AC40-0B6004BA502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039" authorId="1647" shapeId="0" xr:uid="{4106C6A4-E2A4-4F78-92C9-F2C868C55991}">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040" authorId="1648" shapeId="0" xr:uid="{DF822A48-D7B7-4112-9CB5-CE0E388DCE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42" authorId="1649" shapeId="0" xr:uid="{55D609CD-45D5-4517-9BCD-9C1F50F390A3}">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2043" authorId="1650" shapeId="0" xr:uid="{DFF83C38-1978-4454-BCB0-6BDFACE0A06C}">
      <text>
        <t>[Comentário encadeado]
Sua versão do Excel permite que você leia este comentário encadeado, no entanto, as edições serão removidas se o arquivo for aberto em uma versão mais recente do Excel. Saiba mais: https://go.microsoft.com/fwlink/?linkid=870924
Comentário:
    1950€/mes, suministros incluidos, para 4 personas, 4 camas. 800€ de fianza.</t>
      </text>
    </comment>
    <comment ref="F2044" authorId="1651" shapeId="0" xr:uid="{418B0BD7-4599-4EEE-B35B-5234B4EF8D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45" authorId="1652" shapeId="0" xr:uid="{DE828EF5-6D8E-4C1F-A109-E928F43C830B}">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046" authorId="1653" shapeId="0" xr:uid="{EE329E6B-3AAC-4ADA-99BB-A2DCB6404D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47" authorId="1654" shapeId="0" xr:uid="{DA7A0D56-920B-4B61-BFE3-1BEF339E39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49" authorId="1655" shapeId="0" xr:uid="{EFED7CE5-1EF7-4908-8234-557E36A934AB}">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053" authorId="1656" shapeId="0" xr:uid="{6DAD2732-963D-4200-8734-E00368E27C29}">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54" authorId="1657" shapeId="0" xr:uid="{67430AE1-EA0B-4309-93BD-542933FD9ED3}">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2055" authorId="1658" shapeId="0" xr:uid="{2881A653-1F80-4F81-BFFA-66127A9A9D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56" authorId="1659" shapeId="0" xr:uid="{C0BFF3CD-B783-497C-8222-45F72DE4B9A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62" authorId="1660" shapeId="0" xr:uid="{A43B8709-C8E1-40EA-9DE0-B525D2D400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063" authorId="1661" shapeId="0" xr:uid="{80788F59-1BFA-414C-97ED-0C4462CCEDE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2065" authorId="1662" shapeId="0" xr:uid="{6672A5CE-394F-4E34-8BE6-30099A3AA00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66" authorId="1663" shapeId="0" xr:uid="{7BDBF64E-4D2A-4EDB-A800-AA9DB6B6C1F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67" authorId="1664" shapeId="0" xr:uid="{D4C1DE88-DBEB-46E2-90CF-26BFB71AC773}">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68" authorId="1665" shapeId="0" xr:uid="{1CDBD47B-F5AF-4C1D-BB6A-D3463EB7AAD7}">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70" authorId="1666" shapeId="0" xr:uid="{C93DC880-752D-40CF-9B5B-32B1C99C97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71" authorId="1667" shapeId="0" xr:uid="{D78671BA-30C6-4D2D-A53B-863A54C4DB2B}">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73" authorId="1668" shapeId="0" xr:uid="{37577E0C-97D5-4BD1-8375-CBCF38C0F3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74" authorId="1669" shapeId="0" xr:uid="{22197E4E-3EE9-4638-BDB7-FA1583D12F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77" authorId="1670" shapeId="0" xr:uid="{0669E6D6-DA2C-47C9-9D16-898293FD19C8}">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78" authorId="1671" shapeId="0" xr:uid="{A5025598-F5C4-4964-B3F2-4C801561FB1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2079" authorId="1672" shapeId="0" xr:uid="{DEC15FEB-5A9E-4A34-B77F-9E54F850AE28}">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80" authorId="1673" shapeId="0" xr:uid="{EECE20D0-DD48-4216-B551-D79F66C268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081" authorId="1674" shapeId="0" xr:uid="{BB2F8EDE-A199-49CA-B165-E2E867593D4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083" authorId="1675" shapeId="0" xr:uid="{6C21ABAC-B901-4E76-8E29-C7779BEEB0C6}">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 camas individuales</t>
      </text>
    </comment>
    <comment ref="F2084" authorId="1676" shapeId="0" xr:uid="{16C051C8-2F3C-4168-8FE7-038F475C822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086" authorId="1677" shapeId="0" xr:uid="{8F5888D2-9E1D-4DBD-B5BA-A7473E945646}">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 camas individuales</t>
      </text>
    </comment>
    <comment ref="F2097" authorId="1678" shapeId="0" xr:uid="{BA3BD916-41F7-4F3A-94DE-38E3625F8D0D}">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098" authorId="1679" shapeId="0" xr:uid="{E21A503B-AA8B-4DE9-B828-3D4D690C4D53}">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099" authorId="1680" shapeId="0" xr:uid="{0A197F8C-385E-4AF2-884F-76DA106B547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100" authorId="1681" shapeId="0" xr:uid="{7B81ED82-A211-4DA0-94B2-90DB9A4AD635}">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101" authorId="1682" shapeId="0" xr:uid="{23A5832A-B696-476C-B49D-F902A1FF91F3}">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102" authorId="1683" shapeId="0" xr:uid="{735E7101-AD7E-4491-AA34-2F337BBC4896}">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109" authorId="1684" shapeId="0" xr:uid="{72E88979-E60C-4053-AD46-CEC402F18E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CAMAS Y 1 SOFA CAMA </t>
      </text>
    </comment>
    <comment ref="F2110" authorId="1685" shapeId="0" xr:uid="{F96D5498-F84B-484D-8BC2-80D30FE47E5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2 CAMAS Y 1 SOFA CAMA </t>
      </text>
    </comment>
    <comment ref="F2114" authorId="1686" shapeId="0" xr:uid="{C83FAB06-FD55-4893-B81F-5854BCD49C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15" authorId="1687" shapeId="0" xr:uid="{FED21BAD-6718-4A85-ACA1-04EAD234BA7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16" authorId="1688" shapeId="0" xr:uid="{F487E092-CF31-41E4-871F-67656ABAC2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17" authorId="1689" shapeId="0" xr:uid="{46B4E560-2783-46A1-A47C-93CB21AF191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18" authorId="1690" shapeId="0" xr:uid="{56A6B936-FBEC-4888-8F76-03369C95019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20" authorId="1691" shapeId="0" xr:uid="{B0A10FE1-443A-42BC-BA5B-ABCCB0BFAD1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122" authorId="1692" shapeId="0" xr:uid="{175B3DB1-A244-4984-9024-ADAFC19EAEDD}">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123" authorId="1693" shapeId="0" xr:uid="{A3476080-5921-4B32-8F95-4BF81103D934}">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2124" authorId="1694" shapeId="0" xr:uid="{52687091-71FA-482A-A5BE-A22F34762B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25" authorId="1695" shapeId="0" xr:uid="{E92015AD-1E2D-4ADC-BDA7-9AECE6E94FF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27" authorId="1696" shapeId="0" xr:uid="{1339B034-DFF0-4747-A66F-44D660052B6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28" authorId="1697" shapeId="0" xr:uid="{60018AB2-D635-4A91-B18E-AB2A0BEAB7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29" authorId="1698" shapeId="0" xr:uid="{A3AE7F66-8353-412C-9B26-B39E4A600B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30" authorId="1699" shapeId="0" xr:uid="{B911F372-2D4A-44E8-B6E3-45961EB2B0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31" authorId="1700" shapeId="0" xr:uid="{B6567417-18BB-41D7-AE28-1C99CE0FC7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32" authorId="1701" shapeId="0" xr:uid="{321751A5-BEB8-4C66-839C-0437FA2F6EC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33" authorId="1702" shapeId="0" xr:uid="{1347AD27-1D6C-40EC-8946-CB257A2489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34" authorId="1703" shapeId="0" xr:uid="{605FBB63-DB19-4A9E-A635-656581C771B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35" authorId="1704" shapeId="0" xr:uid="{D9F79545-F3AE-4CDB-B211-3F1F2228263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36" authorId="1705" shapeId="0" xr:uid="{F11B7D1E-BAA1-4DA9-A01D-81269D1B2F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37" authorId="1706" shapeId="0" xr:uid="{DC46FC13-2176-4B20-92EE-1B489F71CF1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38" authorId="1707" shapeId="0" xr:uid="{17F16C86-D4F1-4D08-8C77-A8277EC01F6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39" authorId="1708" shapeId="0" xr:uid="{5319F430-1ACE-45A1-9045-FD8544256C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40" authorId="1709" shapeId="0" xr:uid="{C189B74F-F7BA-4FF2-B159-5567113C26A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141" authorId="1710" shapeId="0" xr:uid="{4A987758-7788-40EF-B679-645987A8E2F2}">
      <text>
        <t>[Comentário encadeado]
Sua versão do Excel permite que você leia este comentário encadeado, no entanto, as edições serão removidas se o arquivo for aberto em uma versão mais recente do Excel. Saiba mais: https://go.microsoft.com/fwlink/?linkid=870924
Comentário:
    3 habitaciones,apto para 4 personas, 1300 alquiler+50 Limpieza</t>
      </text>
    </comment>
    <comment ref="F2142" authorId="1711" shapeId="0" xr:uid="{86AEF386-01F9-4048-857B-8F492FBD7ADC}">
      <text>
        <t>[Comentário encadeado]
Sua versão do Excel permite que você leia este comentário encadeado, no entanto, as edições serão removidas se o arquivo for aberto em uma versão mais recente do Excel. Saiba mais: https://go.microsoft.com/fwlink/?linkid=870924
Comentário:
    3 habitaciones,apto para 4 personas, 1300 alquiler+50 Limpieza</t>
      </text>
    </comment>
    <comment ref="F2143" authorId="1712" shapeId="0" xr:uid="{B9CD90E8-7544-435A-86CA-66A7D5BDC71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44" authorId="1713" shapeId="0" xr:uid="{210D2D4C-FE5D-4289-86A9-D3E46AEADB62}">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46" authorId="1714" shapeId="0" xr:uid="{F4777D80-11B4-49DB-8348-04F6D1F03A0D}">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47" authorId="1715" shapeId="0" xr:uid="{BE27A595-BD50-438F-852C-DC6114E4AB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48" authorId="1716" shapeId="0" xr:uid="{E853A0C2-06FE-4141-9840-59798AAE9D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49" authorId="1717" shapeId="0" xr:uid="{E40A82C0-6540-4F73-B885-ADDE086CC9C1}">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50" authorId="1718" shapeId="0" xr:uid="{A5388FDA-4B8D-4730-8138-2AC07FC19EDD}">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51" authorId="1719" shapeId="0" xr:uid="{16CF1250-8C51-48F4-842D-7DCC370B5524}">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52" authorId="1720" shapeId="0" xr:uid="{7BF94D5B-982E-4233-8720-22D2CD22556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53" authorId="1721" shapeId="0" xr:uid="{A2FEA436-2F93-4B81-B833-F3498774DDED}">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154" authorId="1722" shapeId="0" xr:uid="{A6E222AD-A751-4C63-BEBC-74309FC9CD43}">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2155" authorId="1723" shapeId="0" xr:uid="{889F5D1F-917E-4FE6-B996-AB0C44DBD075}">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2156" authorId="1724" shapeId="0" xr:uid="{1AB8E151-9BF6-4988-969E-3BF4C1BB43DF}">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2157" authorId="1725" shapeId="0" xr:uid="{A9F2DE0C-5F4A-4729-B803-9D570CFCB6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58" authorId="1726" shapeId="0" xr:uid="{EEE0772D-CBFA-4226-8DBF-23EC6E1D292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59" authorId="1727" shapeId="0" xr:uid="{9B74BEB8-F201-4844-AFB4-58D71722B3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60" authorId="1728" shapeId="0" xr:uid="{2F34EF88-3448-417E-81B9-72BE5D114D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61" authorId="1729" shapeId="0" xr:uid="{DF10A3B7-8543-4A4C-8BE5-34FEA717E67C}">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162" authorId="1730" shapeId="0" xr:uid="{92129F7D-C0E9-4531-A0B5-B523116A9107}">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2163" authorId="1731" shapeId="0" xr:uid="{B188BB15-D3DC-4319-84AE-45496519128B}">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164" authorId="1732" shapeId="0" xr:uid="{0D9DDE1D-A7E6-4A38-80CF-ED8D5D40685E}">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165" authorId="1733" shapeId="0" xr:uid="{79CF0AAE-EFDF-4E6E-8BA3-0FEA14FF3C5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66" authorId="1734" shapeId="0" xr:uid="{6F316C35-7ADD-42CF-BBFE-3E881DA61E76}">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167" authorId="1735" shapeId="0" xr:uid="{77587A8E-A347-489C-B532-1F6489D564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68" authorId="1736" shapeId="0" xr:uid="{8EA2D645-E4D9-4D91-8550-382995E5723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70" authorId="1737" shapeId="0" xr:uid="{E515ECF5-C7AA-47AF-A120-A9D78CE765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71" authorId="1738" shapeId="0" xr:uid="{3E9879B9-D44A-4F7E-A4B4-A381109370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73" authorId="1739" shapeId="0" xr:uid="{84566AF3-BE75-443E-B238-62677C4B74E3}">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2174" authorId="1740" shapeId="0" xr:uid="{60505E95-5F97-4573-97FB-D0BDC39C9A9C}">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2175" authorId="1741" shapeId="0" xr:uid="{9267A58A-B7F7-4B9F-9DB6-DFC32DA435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76" authorId="1742" shapeId="0" xr:uid="{FF3B064B-E5BA-4E4E-BB80-202926D87D8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renta mes,1.200€ Fianza, 3 Habitacines con 4 camas </t>
      </text>
    </comment>
    <comment ref="F2178" authorId="1743" shapeId="0" xr:uid="{25E5D916-68B1-44E7-943B-52BDCB13FC1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79" authorId="1744" shapeId="0" xr:uid="{8D1380A8-E8FC-4C26-AF08-76F748A476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2180" authorId="1745" shapeId="0" xr:uid="{7A8C4646-1EFE-4077-8B63-36327E292A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81" authorId="1746" shapeId="0" xr:uid="{F0037078-B4DD-46B0-8977-3E796BD20F53}">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182" authorId="1747" shapeId="0" xr:uid="{57006A81-469B-4F0F-81BF-C2B0DF8D36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83" authorId="1748" shapeId="0" xr:uid="{F5795818-7A2A-45A0-83AC-D2209312AB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84" authorId="1749" shapeId="0" xr:uid="{16464B3F-1F1A-4A39-9848-5E1CB657F379}">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185" authorId="1750" shapeId="0" xr:uid="{410B65C0-9CE2-4B5C-BC16-060ECB908D85}">
      <text>
        <t>[Comentário encadeado]
Sua versão do Excel permite que você leia este comentário encadeado, no entanto, as edições serão removidas se o arquivo for aberto em uma versão mais recente do Excel. Saiba mais: https://go.microsoft.com/fwlink/?linkid=870924
Comentário:
    Casa de 3 dormitorios
Dormitorio 1-2 camas individuales
Dormitorio 2-2 camas individuales
Dormitorio 3-2 sofás cama
Sala de estar 1 sofá cama</t>
      </text>
    </comment>
    <comment ref="F2186" authorId="1751" shapeId="0" xr:uid="{CE48A41C-038A-4D52-A597-A16CD01EC4E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2188" authorId="1752" shapeId="0" xr:uid="{229D3DFA-1116-4D98-9DA4-6061D8BC8D93}">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2189" authorId="1753" shapeId="0" xr:uid="{6B783625-6B11-44FE-B001-8D22BB4EC84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1" authorId="1754" shapeId="0" xr:uid="{CAB7CC19-1B46-4555-AD4E-90B5E6E836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2" authorId="1755" shapeId="0" xr:uid="{542DB335-9013-449E-95C6-D91C0250FC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3" authorId="1756" shapeId="0" xr:uid="{E741C822-8CFB-4170-A9FA-7BBB7C46658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t>
      </text>
    </comment>
    <comment ref="F2194" authorId="1757" shapeId="0" xr:uid="{228B2325-51F2-4992-8FF1-85DA55D39A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5" authorId="1758" shapeId="0" xr:uid="{D722D606-6239-4383-AA5D-65D093F6BF6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6" authorId="1759" shapeId="0" xr:uid="{E452B997-C369-4484-905E-6F102F13719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199" authorId="1760" shapeId="0" xr:uid="{941771CA-D0B4-4745-956E-6C1AEE07FC7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0" authorId="1761" shapeId="0" xr:uid="{AD76E855-5695-4663-834F-498B7EBF954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1" authorId="1762" shapeId="0" xr:uid="{416469CF-7102-4CD2-8606-CA35AE864DB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3" authorId="1763" shapeId="0" xr:uid="{431AA456-9971-43D6-9B86-4B95BFA9517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4" authorId="1764" shapeId="0" xr:uid="{E39F179D-6B72-49B2-9087-15FCFAAD10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5" authorId="1765" shapeId="0" xr:uid="{E0C472D7-D85F-458C-91AA-818A897676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6" authorId="1766" shapeId="0" xr:uid="{E3DCC9EF-999C-444B-BC67-6FC946E3C55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7" authorId="1767" shapeId="0" xr:uid="{69E4FB2C-E50C-4BF5-8B91-E8EE1F1C98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08" authorId="1768" shapeId="0" xr:uid="{5997C73D-46BA-4376-857F-02C456C4E1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208" authorId="1769" shapeId="0" xr:uid="{555F826A-AFE9-4D68-883F-6AF052CF69EC}">
      <text>
        <t>[Comentário encadeado]
Sua versão do Excel permite que você leia este comentário encadeado, no entanto, as edições serão removidas se o arquivo for aberto em uma versão mais recente do Excel. Saiba mais: https://go.microsoft.com/fwlink/?linkid=870924
Comentário:
    ESTA FIANZA PASA A CRISTIAN PEDIDO 509</t>
      </text>
    </comment>
    <comment ref="F2209" authorId="1770" shapeId="0" xr:uid="{B7DDBC42-C430-48DF-B2FF-396C279D7528}">
      <text>
        <t>[Comentário encadeado]
Sua versão do Excel permite que você leia este comentário encadeado, no entanto, as edições serão removidas se o arquivo for aberto em uma versão mais recente do Excel. Saiba mais: https://go.microsoft.com/fwlink/?linkid=870924
Comentário:
    04 camas, 500€ alquiler, 500€ fianza</t>
      </text>
    </comment>
    <comment ref="F2210" authorId="1771" shapeId="0" xr:uid="{3A6A647A-972E-43E7-A17E-A24FFE5B25F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11" authorId="1772" shapeId="0" xr:uid="{68E1966D-0AAD-4A3E-BB10-9C7EBC459677}">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2212" authorId="1773" shapeId="0" xr:uid="{EECAEE15-EFE0-4DF7-BC66-123E527AE9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14" authorId="1774" shapeId="0" xr:uid="{161C8A28-FB00-4B26-883F-D6B0A3C5681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15" authorId="1775" shapeId="0" xr:uid="{7A06506B-8D8A-4A81-8816-75D9D6E02C91}">
      <text>
        <t>[Comentário encadeado]
Sua versão do Excel permite que você leia este comentário encadeado, no entanto, as edições serão removidas se o arquivo for aberto em uma versão mais recente do Excel. Saiba mais: https://go.microsoft.com/fwlink/?linkid=870924
Comentário:
    1200€ ALQUILER, 300€ FIANZA, 04 CAMAS</t>
      </text>
    </comment>
    <comment ref="F2217" authorId="1776" shapeId="0" xr:uid="{0D242457-7F70-4561-A691-666E472D6A5F}">
      <text>
        <t>[Comentário encadeado]
Sua versão do Excel permite que você leia este comentário encadeado, no entanto, as edições serão removidas se o arquivo for aberto em uma versão mais recente do Excel. Saiba mais: https://go.microsoft.com/fwlink/?linkid=870924
Comentário:
    Renta 560+30(servicios)
Fianza 1120
Habitaciones 5</t>
      </text>
    </comment>
    <comment ref="F2218" authorId="1777" shapeId="0" xr:uid="{F33707E7-111C-4C45-9F47-BF0FEAF053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19" authorId="1778" shapeId="0" xr:uid="{0FF9F707-2BFC-4395-9902-720E27A133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20" authorId="1779" shapeId="0" xr:uid="{2CE526ED-5259-4374-A79A-529194A2DB46}">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21" authorId="1780" shapeId="0" xr:uid="{EAEE38AB-39C1-48A1-8256-21333DA99FBE}">
      <text>
        <t>[Comentário encadeado]
Sua versão do Excel permite que você leia este comentário encadeado, no entanto, as edições serão removidas se o arquivo for aberto em uma versão mais recente do Excel. Saiba mais: https://go.microsoft.com/fwlink/?linkid=870924
Comentário:
    600€ alquiler, 600€ fianza, 05 camas</t>
      </text>
    </comment>
    <comment ref="F2222" authorId="1781" shapeId="0" xr:uid="{9FFD4223-1FB0-40CB-971F-8D287BB3BD39}">
      <text>
        <t>[Comentário encadeado]
Sua versão do Excel permite que você leia este comentário encadeado, no entanto, as edições serão removidas se o arquivo for aberto em uma versão mais recente do Excel. Saiba mais: https://go.microsoft.com/fwlink/?linkid=870924
Comentário:
    600€ alquiler, 600€ fianza, 05 camas</t>
      </text>
    </comment>
    <comment ref="F2223" authorId="1782" shapeId="0" xr:uid="{6F1DDA76-D501-44BD-BFE8-A4085CFF361E}">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2224" authorId="1783" shapeId="0" xr:uid="{6DE02D0D-89D3-4B47-9834-13D4252D0E7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25" authorId="1784" shapeId="0" xr:uid="{187205F2-49B8-4D7F-B454-B6857011FF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26" authorId="1785" shapeId="0" xr:uid="{6F6344B4-C6BC-45DD-AD65-1E40A4BB09E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27" authorId="1786" shapeId="0" xr:uid="{7C5191B3-0A15-4F0F-A3E0-E1485657B3C6}">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28" authorId="1787" shapeId="0" xr:uid="{CBF7C822-4FC4-498D-9280-51770837FDBB}">
      <text>
        <t>[Comentário encadeado]
Sua versão do Excel permite que você leia este comentário encadeado, no entanto, as edições serão removidas se o arquivo for aberto em uma versão mais recente do Excel. Saiba mais: https://go.microsoft.com/fwlink/?linkid=870924
Comentário:
    Renta 560+30(servicios)
Fianza 1120
Habitaciones 5</t>
      </text>
    </comment>
    <comment ref="F2229" authorId="1788" shapeId="0" xr:uid="{0B779F55-B03C-4EF7-92DF-8C7B4B4E0BB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0" authorId="1789" shapeId="0" xr:uid="{A1F0F24B-6FC3-41B4-93F3-EA0668CC12B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1" authorId="1790" shapeId="0" xr:uid="{98876C22-CFEB-42DF-AB8A-A8465E93AF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2" authorId="1791" shapeId="0" xr:uid="{C724FDDE-9805-4D66-A976-AC3CC43DF9D4}">
      <text>
        <t>[Comentário encadeado]
Sua versão do Excel permite que você leia este comentário encadeado, no entanto, as edições serão removidas se o arquivo for aberto em uma versão mais recente do Excel. Saiba mais: https://go.microsoft.com/fwlink/?linkid=870924
Comentário:
    Renta 560+30(servicios)
Fianza 1120
Habitaciones 5</t>
      </text>
    </comment>
    <comment ref="F2233" authorId="1792" shapeId="0" xr:uid="{E9E25485-0458-427E-8688-8D81CC15B5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4" authorId="1793" shapeId="0" xr:uid="{BE272833-445F-4ABA-96AB-37316FB57B61}">
      <text>
        <t>[Comentário encadeado]
Sua versão do Excel permite que você leia este comentário encadeado, no entanto, as edições serão removidas se o arquivo for aberto em uma versão mais recente do Excel. Saiba mais: https://go.microsoft.com/fwlink/?linkid=870924
Comentário:
    600€ alquiler, 600€ fianza, 05 camas</t>
      </text>
    </comment>
    <comment ref="F2235" authorId="1794" shapeId="0" xr:uid="{63C89257-0599-4D28-B29C-F7393A326105}">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36" authorId="1795" shapeId="0" xr:uid="{F8E2D3CF-2C16-4161-B27B-B2F5D11E75E6}">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37" authorId="1796" shapeId="0" xr:uid="{0DB4D1AA-17CA-4FFB-A033-6265A6B317B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8" authorId="1797" shapeId="0" xr:uid="{A8CDC210-D949-4257-8C53-375D55F937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39" authorId="1798" shapeId="0" xr:uid="{7E249BDE-94C6-4AA2-A4CC-CBAA84FC8C2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40" authorId="1799" shapeId="0" xr:uid="{B54F1AE4-8E6A-4EBF-AB21-4149A6FC865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240" authorId="1800" shapeId="0" xr:uid="{C1F12C6F-0A86-4009-B47D-63D88834A01D}">
      <text>
        <t>[Comentário encadeado]
Sua versão do Excel permite que você leia este comentário encadeado, no entanto, as edições serão removidas se o arquivo for aberto em uma versão mais recente do Excel. Saiba mais: https://go.microsoft.com/fwlink/?linkid=870924
Comentário:
    Fianza devuelta 22/05 enviada a Thalía para confirmar
Responder:
    800 €</t>
      </text>
    </comment>
    <comment ref="F2241" authorId="1801" shapeId="0" xr:uid="{F6394A5B-AC90-4F74-BCF6-C301D0AB273C}">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2242" authorId="1802" shapeId="0" xr:uid="{04B98907-8E13-41B7-9658-745520CA459B}">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Nº1</t>
      </text>
    </comment>
    <comment ref="F2243" authorId="1803" shapeId="0" xr:uid="{A4889048-85AC-4A7A-9B79-1A62E79256B2}">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2244" authorId="1804" shapeId="0" xr:uid="{E423C56C-A81E-4CA3-B47A-A58076849374}">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F2245" authorId="1805" shapeId="0" xr:uid="{6E761BC9-5710-4129-994A-92BBC13911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46" authorId="1806" shapeId="0" xr:uid="{66DA6B16-0035-4B8D-83ED-A00AF9AFDD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47" authorId="1807" shapeId="0" xr:uid="{62B01716-7FA9-41EB-8DF3-AF98BDBEEB51}">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48" authorId="1808" shapeId="0" xr:uid="{2E7B530D-D490-426A-9CC0-D14743B8937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49" authorId="1809" shapeId="0" xr:uid="{22723084-2A1D-4B30-BEDF-4E4DA5E43CD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0" authorId="1810" shapeId="0" xr:uid="{AAB03809-B4C5-4A8B-9C19-C30EB01478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1" authorId="1811" shapeId="0" xr:uid="{DC189287-1617-42B5-8D42-6BD88E9738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4" authorId="1812" shapeId="0" xr:uid="{57414CD8-3E35-4FF1-9B4E-46FCBF5F30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5" authorId="1813" shapeId="0" xr:uid="{CEEB494D-4F38-4CE5-ABEC-67159B15933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6" authorId="1814" shapeId="0" xr:uid="{D505183C-54CD-41EF-A9FE-880CC4B31F1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2257" authorId="1815" shapeId="0" xr:uid="{4CBCFBDB-C713-4D16-880D-E93C0DDE36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58" authorId="1816" shapeId="0" xr:uid="{2468BAC4-F26A-466E-B904-795A07A26F5D}">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2259" authorId="1817" shapeId="0" xr:uid="{0AA8B842-3FC9-45F8-A2D6-02B39E652F0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0" authorId="1818" shapeId="0" xr:uid="{7510E215-B4E5-4E21-A2A5-32707472413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con 2 dos camas
01 cama en la sala
01 terraza </t>
      </text>
    </comment>
    <comment ref="F2261" authorId="1819" shapeId="0" xr:uid="{00D39532-75EB-4115-8E6F-4F1D4A51646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2" authorId="1820" shapeId="0" xr:uid="{BF711707-B70A-4EE6-8425-392FE6C9D26D}">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V2262" authorId="1821" shapeId="0" xr:uid="{2093BBC3-8810-45F1-A8B2-FDB64EE6BA21}">
      <text>
        <t>[Comentário encadeado]
Sua versão do Excel permite que você leia este comentário encadeado, no entanto, as edições serão removidas se o arquivo for aberto em uma versão mais recente do Excel. Saiba mais: https://go.microsoft.com/fwlink/?linkid=870924
Comentário:
    Deben pasar a temporal y volver el 21/04</t>
      </text>
    </comment>
    <comment ref="F2263" authorId="1822" shapeId="0" xr:uid="{C65803E6-F800-4FDD-9AA1-FBA82E311774}">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V2263" authorId="1823" shapeId="0" xr:uid="{1C9966FD-E98C-4C98-A31F-35E8BFFC7E58}">
      <text>
        <t>[Comentário encadeado]
Sua versão do Excel permite que você leia este comentário encadeado, no entanto, as edições serão removidas se o arquivo for aberto em uma versão mais recente do Excel. Saiba mais: https://go.microsoft.com/fwlink/?linkid=870924
Comentário:
    Deben pasar a temporal y volver el 21/04</t>
      </text>
    </comment>
    <comment ref="F2264" authorId="1824" shapeId="0" xr:uid="{2D562556-2EA1-476C-AB8D-EB3BD15D427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5" authorId="1825" shapeId="0" xr:uid="{B24F08C5-0973-4D22-B449-56C0CA35385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6" authorId="1826" shapeId="0" xr:uid="{93958B6D-D17A-4BE8-9EB1-E1C3FEEBC1BC}">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W2266" authorId="1827" shapeId="0" xr:uid="{79933BD7-6DBD-41F5-B873-051538004088}">
      <text>
        <t>[Comentário encadeado]
Sua versão do Excel permite que você leia este comentário encadeado, no entanto, as edições serão removidas se o arquivo for aberto em uma versão mais recente do Excel. Saiba mais: https://go.microsoft.com/fwlink/?linkid=870924
Comentário:
    La fianzas d Rodrigo pasa a Diego
Responder:
    Esta fianza pasa a Luis Alberto Zuñiga pedido 436</t>
      </text>
    </comment>
    <comment ref="F2267" authorId="1828" shapeId="0" xr:uid="{2BA8BD99-6BB4-43FC-AB2D-75A4E57B95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8" authorId="1829" shapeId="0" xr:uid="{CA787D32-EB50-4863-B928-B942E97D7F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69" authorId="1830" shapeId="0" xr:uid="{1B646DED-F5E3-4353-8B94-31B3872DCE9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0" authorId="1831" shapeId="0" xr:uid="{CAEFCEA1-3EB7-4735-9DA9-9049DA5E90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2" authorId="1832" shapeId="0" xr:uid="{5E021349-7FD5-420B-91A9-F19FC6173439}">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73" authorId="1833" shapeId="0" xr:uid="{C72122EE-90C1-4634-AA09-8EE15A68F3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4" authorId="1834" shapeId="0" xr:uid="{3F263281-E5A3-4B55-838C-CDB7CAAFDC1D}">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75" authorId="1835" shapeId="0" xr:uid="{E15BE97D-995C-4BB7-9CD2-7A579898139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6" authorId="1836" shapeId="0" xr:uid="{7A37A0DA-6121-475A-AED7-3C2983823F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7" authorId="1837" shapeId="0" xr:uid="{B7FFF255-A47B-4E43-8F8A-B7AE00977D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8" authorId="1838" shapeId="0" xr:uid="{763C23AE-D84A-4845-94E6-899F489A296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79" authorId="1839" shapeId="0" xr:uid="{AC20ABB4-7272-44D5-9CDC-B549DAD3ECBA}">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280" authorId="1840" shapeId="0" xr:uid="{387DB0AA-8C85-4FBA-A7D3-B3DE1296CAA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1" authorId="1841" shapeId="0" xr:uid="{FDF3ED2D-3CDC-4041-8D7F-C33A76BB9E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2" authorId="1842" shapeId="0" xr:uid="{6E5288EC-096A-4F7F-8C66-64C9899498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3" authorId="1843" shapeId="0" xr:uid="{BB54CE82-44CA-4777-8B8F-C7B528101521}">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84" authorId="1844" shapeId="0" xr:uid="{4B0DE6A6-8994-4C26-B2FF-872FF76893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5" authorId="1845" shapeId="0" xr:uid="{7E08816A-1BBC-4C47-B28E-337B6AD540CE}">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286" authorId="1846" shapeId="0" xr:uid="{FCB1867F-88BB-4ED4-B967-22F1E802BA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7" authorId="1847" shapeId="0" xr:uid="{59E7EA66-09A9-47A2-AD9C-9CD4CDA11A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8" authorId="1848" shapeId="0" xr:uid="{25658296-4A22-43CE-A4A7-1FF3C0ED10F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89" authorId="1849" shapeId="0" xr:uid="{BA2E2306-A5C5-4647-9124-B9161D91229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0" authorId="1850" shapeId="0" xr:uid="{9165F5E7-1E45-4614-A0A1-4B9C127025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1" authorId="1851" shapeId="0" xr:uid="{933443DA-DE01-4725-B44D-6AD9334473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2" authorId="1852" shapeId="0" xr:uid="{2BD94E2F-1531-42DD-882A-037E35EFDF3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3" authorId="1853" shapeId="0" xr:uid="{11F786F4-A72B-4549-9BDA-58CEC8E06B4F}">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294" authorId="1854" shapeId="0" xr:uid="{D16B6647-80DC-4B12-89DC-ACB32D6C29D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5" authorId="1855" shapeId="0" xr:uid="{2C4FC35A-6BD0-4C14-83D7-83EBABBDAD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6" authorId="1856" shapeId="0" xr:uid="{4094A6D8-8EB3-4660-A5BF-9ACF33F51E0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7" authorId="1857" shapeId="0" xr:uid="{5D7406E2-287E-45D8-9AAB-B9BF14E45BBE}">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298" authorId="1858" shapeId="0" xr:uid="{132FE666-8F34-47D7-92EA-81D60D055C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299" authorId="1859" shapeId="0" xr:uid="{EEC831FD-6748-46EA-8477-96E43EB7DA3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2301" authorId="1860" shapeId="0" xr:uid="{BE35CA68-987E-4F72-A0ED-3B983AE40A0F}">
      <text>
        <t>[Comentário encadeado]
Sua versão do Excel permite que você leia este comentário encadeado, no entanto, as edições serão removidas se o arquivo for aberto em uma versão mais recente do Excel. Saiba mais: https://go.microsoft.com/fwlink/?linkid=870924
Comentário:
    05 CAMAS, 2200€ ALQUILER, N/A APLICA</t>
      </text>
    </comment>
    <comment ref="F2302" authorId="1861" shapeId="0" xr:uid="{8FD6454D-6A1A-46EB-8FCE-205A5F5176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04" authorId="1862" shapeId="0" xr:uid="{DFEB0038-7F4D-49E3-9C8C-B61DD5C6B2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05" authorId="1863" shapeId="0" xr:uid="{08BBDFE9-576C-408D-8925-4B1B1412AC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06" authorId="1864" shapeId="0" xr:uid="{B16EDC1F-8710-42C4-AE9A-700EABFFF0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07" authorId="1865" shapeId="0" xr:uid="{B5352CF7-FBEF-44AB-8546-6CCE8BDF2DF8}">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2308" authorId="1866" shapeId="0" xr:uid="{377E8AB6-5107-4D81-A063-2A47102CFCEC}">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310" authorId="1867" shapeId="0" xr:uid="{F29A3ED5-021D-42A1-96BA-422C4F36816E}">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311" authorId="1868" shapeId="0" xr:uid="{20D22262-7666-48BC-AF05-8D40A159C30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12" authorId="1869" shapeId="0" xr:uid="{DF28CD1C-FFED-4CA3-8B24-161BA888B8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14" authorId="1870" shapeId="0" xr:uid="{DA87B226-D51D-4BE0-922F-363610E93335}">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2315" authorId="1871" shapeId="0" xr:uid="{04D820A2-8E49-4482-8BC6-A582513BD7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16" authorId="1872" shapeId="0" xr:uid="{DE7C1C1B-D073-44E9-82CF-C983173A43F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18" authorId="1873" shapeId="0" xr:uid="{F5BD6FD6-529F-4256-995A-D8ECEA66F4C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19" authorId="1874" shapeId="0" xr:uid="{22CAD64E-0EA8-4DE1-BD4B-FEC3FBF758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0" authorId="1875" shapeId="0" xr:uid="{3D54AA07-FB5E-4C17-9C75-F62F781D164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1" authorId="1876" shapeId="0" xr:uid="{6E08BF71-FC9E-4B8D-94E5-EBA44B6D684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2" authorId="1877" shapeId="0" xr:uid="{70F6BBE7-7E26-486F-B305-9272351626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3" authorId="1878" shapeId="0" xr:uid="{A055033C-36B7-410E-A048-925E58C668AF}">
      <text>
        <t>[Comentário encadeado]
Sua versão do Excel permite que você leia este comentário encadeado, no entanto, as edições serão removidas se o arquivo for aberto em uma versão mais recente do Excel. Saiba mais: https://go.microsoft.com/fwlink/?linkid=870924
Comentário:
     Alquiler 400€ Fianza 400€</t>
      </text>
    </comment>
    <comment ref="F2324" authorId="1879" shapeId="0" xr:uid="{A3183741-96B1-402E-9A07-528C0694E639}">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325" authorId="1880" shapeId="0" xr:uid="{BC2854A4-C49B-4364-A9F4-10C5BADDCE8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6" authorId="1881" shapeId="0" xr:uid="{96F9F356-29B7-4C64-AF98-B583960F0F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7" authorId="1882" shapeId="0" xr:uid="{19FE3094-0CFE-4F46-AA7C-F4E15C4A98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327" authorId="1883" shapeId="0" xr:uid="{EA16C7FD-6F49-4130-AB91-9C6CE695ECA9}">
      <text>
        <t>[Comentário encadeado]
Sua versão do Excel permite que você leia este comentário encadeado, no entanto, as edições serão removidas se o arquivo for aberto em uma versão mais recente do Excel. Saiba mais: https://go.microsoft.com/fwlink/?linkid=870924
Comentário:
    fianza de 200 de Alirio</t>
      </text>
    </comment>
    <comment ref="F2328" authorId="1884" shapeId="0" xr:uid="{4D88D0E1-6B82-4E7F-B606-FB4B57E8207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29" authorId="1885" shapeId="0" xr:uid="{246DF8D3-B4CD-4D45-95CC-9B88C3695D8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0" authorId="1886" shapeId="0" xr:uid="{21CDA2F6-98DB-40AA-A1C1-D921664D7D8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1" authorId="1887" shapeId="0" xr:uid="{F380D842-B39F-47A9-96C2-5173F4760E8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2" authorId="1888" shapeId="0" xr:uid="{447DE43B-39E7-44F6-BA84-79D6C32CF3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3" authorId="1889" shapeId="0" xr:uid="{B6080D09-C65D-4002-99AA-6FA7C14395D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4" authorId="1890" shapeId="0" xr:uid="{6B0DB5F6-E390-44F3-BF98-1B8CAE01AD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5" authorId="1891" shapeId="0" xr:uid="{E50B94E0-B76E-4082-8320-46580F1E67D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6" authorId="1892" shapeId="0" xr:uid="{294D4058-0086-471A-B322-12CEE4D763F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37" authorId="1893" shapeId="0" xr:uid="{F8B1ED81-07FE-4EE6-A473-73A79F1519D6}">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2340" authorId="1894" shapeId="0" xr:uid="{5C8EE077-E68F-4269-BAEA-E0EA2B2ADA4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1" authorId="1895" shapeId="0" xr:uid="{7AEB5E99-E767-46C2-8FD0-F157F302E7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2" authorId="1896" shapeId="0" xr:uid="{3A713161-BD03-44C0-A037-5B32461701E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3" authorId="1897" shapeId="0" xr:uid="{7D069F75-0F0C-409E-9327-455AE00981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4" authorId="1898" shapeId="0" xr:uid="{49EF7C84-72A2-4279-A996-D1DD8D5DF2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5" authorId="1899" shapeId="0" xr:uid="{6FB74FB9-24B4-45DC-98C9-74F44F83C4F2}">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46" authorId="1900" shapeId="0" xr:uid="{81AFA60F-AA52-4633-8891-8AC9A38C00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47" authorId="1901" shapeId="0" xr:uid="{4C53B3AF-E677-434E-B18A-8174F75FE1D8}">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48" authorId="1902" shapeId="0" xr:uid="{6E549CB3-444C-41D3-8B01-89E8272FEA4D}">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2349" authorId="1903" shapeId="0" xr:uid="{AF5B96D6-24B8-4E5D-B115-4F22E58BAC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0" authorId="1904" shapeId="0" xr:uid="{5C01C513-71DF-4170-87FE-1D24C6813C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1" authorId="1905" shapeId="0" xr:uid="{20668BB8-D9A1-432A-852F-E4B7672CAEF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2" authorId="1906" shapeId="0" xr:uid="{6E887578-42CF-4A76-AA44-585338C918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3" authorId="1907" shapeId="0" xr:uid="{C4B8D68D-AC52-44EE-89F1-DEAA3BC9B5A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4" authorId="1908" shapeId="0" xr:uid="{55EEB4F0-9451-4F1B-8724-49B7F262B7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5" authorId="1909" shapeId="0" xr:uid="{F30B4646-DF4F-4AF2-B413-00A4F662590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6" authorId="1910" shapeId="0" xr:uid="{1EBBADE5-B665-43A7-89FB-E2B2003E0F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7" authorId="1911" shapeId="0" xr:uid="{B9B8546C-7B76-43CE-920C-09FB160CEB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58" authorId="1912" shapeId="0" xr:uid="{3A8B3B1A-887B-421D-8CEB-441D4F0B74A8}">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59" authorId="1913" shapeId="0" xr:uid="{C6C25D43-8227-461B-86D1-4D0DC1CF08C0}">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60" authorId="1914" shapeId="0" xr:uid="{54CBBC76-A995-413C-A001-8095538A239F}">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61" authorId="1915" shapeId="0" xr:uid="{BD76A0CF-4A53-4E31-B7BE-D151598BE40D}">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362" authorId="1916" shapeId="0" xr:uid="{7B668C2D-D815-4E2C-B5AE-0629B8BB0531}">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363" authorId="1917" shapeId="0" xr:uid="{17D6D688-D73F-4293-88AD-825B0235DD5B}">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2364" authorId="1918" shapeId="0" xr:uid="{2205D7CC-C084-403D-985A-F5EEBF2651C4}">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365" authorId="1919" shapeId="0" xr:uid="{D047F8EC-C1DF-4C49-9EDA-05B2E741FB2F}">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366" authorId="1920" shapeId="0" xr:uid="{5481DD85-13E0-47BB-9DD3-AFFEF64574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67" authorId="1921" shapeId="0" xr:uid="{A43F806E-7D74-4979-A0F8-63F1470C13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68" authorId="1922" shapeId="0" xr:uid="{8C99AA6A-CBF1-4EB0-B1DF-6B19576CB85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69" authorId="1923" shapeId="0" xr:uid="{CBA123EE-3696-42BC-AF01-43EDA8B80C9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70" authorId="1924" shapeId="0" xr:uid="{55E8B5DA-D1A4-449E-90D9-3B75D03B688D}">
      <text>
        <t>[Comentário encadeado]
Sua versão do Excel permite que você leia este comentário encadeado, no entanto, as edições serão removidas se o arquivo for aberto em uma versão mais recente do Excel. Saiba mais: https://go.microsoft.com/fwlink/?linkid=870924
Comentário:
     Alquiler 400€ Fianza 400€</t>
      </text>
    </comment>
    <comment ref="F2371" authorId="1925" shapeId="0" xr:uid="{A29F5ED5-0DCB-4EC0-8EFA-0E46CEDC1E0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72" authorId="1926" shapeId="0" xr:uid="{D012F213-1658-4150-9CAD-DE9C9A841D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73" authorId="1927" shapeId="0" xr:uid="{261402FD-9594-49AE-BA66-EA6F1C416FBF}">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1500 €, fianza 150€</t>
      </text>
    </comment>
    <comment ref="F2374" authorId="1928" shapeId="0" xr:uid="{FFAA1210-97B3-4D13-BF81-1D38A9C307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75" authorId="1929" shapeId="0" xr:uid="{FB845D28-EFF7-45DC-ABDC-F71A67EE344D}">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1500 €, fianza 150€</t>
      </text>
    </comment>
    <comment ref="F2376" authorId="1930" shapeId="0" xr:uid="{433A922A-7664-480B-8FDE-322ACEB0D76A}">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1500 €, fianza 150€</t>
      </text>
    </comment>
    <comment ref="F2377" authorId="1931" shapeId="0" xr:uid="{6B31CA17-3FC2-4E4D-9D2B-4608DC1BDF5C}">
      <text>
        <t>[Comentário encadeado]
Sua versão do Excel permite que você leia este comentário encadeado, no entanto, as edições serão removidas se o arquivo for aberto em uma versão mais recente do Excel. Saiba mais: https://go.microsoft.com/fwlink/?linkid=870924
Comentário:
    1 Habitacion Alquiler 450 fianza 150</t>
      </text>
    </comment>
    <comment ref="F2378" authorId="1932" shapeId="0" xr:uid="{E51F1358-F37C-4327-89F1-32D8D930CFC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t>
      </text>
    </comment>
    <comment ref="F2383" authorId="1933" shapeId="0" xr:uid="{0D65C2D5-6589-4C17-9F63-684AED771864}">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2384" authorId="1934" shapeId="0" xr:uid="{E0A3AC4B-D395-431B-A165-B712214172D7}">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385" authorId="1935" shapeId="0" xr:uid="{5D2F9E16-C5CD-47E9-AA22-64517E821AC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86" authorId="1936" shapeId="0" xr:uid="{693BC26D-A48E-4B84-B1F0-BE6BA69D1701}">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387" authorId="1937" shapeId="0" xr:uid="{DAC7E129-539F-4612-AF9A-A2D8E51EA457}">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388" authorId="1938" shapeId="0" xr:uid="{5C033EE9-55F2-477E-8501-4C3C9DEAFE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89" authorId="1939" shapeId="0" xr:uid="{DBD758CC-EC4A-41C5-ACB6-127CF36BEDAB}">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390" authorId="1940" shapeId="0" xr:uid="{0A6A6754-8134-4384-AC2A-D3A4A5816697}">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391" authorId="1941" shapeId="0" xr:uid="{78DDCEDF-99C2-427B-9C75-C83BD3DA4C0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92" authorId="1942" shapeId="0" xr:uid="{1285D21E-5EA1-4DE9-AB1D-0171FE9210A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93" authorId="1943" shapeId="0" xr:uid="{ECE18B1B-F78F-402B-A6F1-0E731F20DCF2}">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395" authorId="1944" shapeId="0" xr:uid="{83FBB019-9783-467F-A0A9-FF62C175E57C}">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396" authorId="1945" shapeId="0" xr:uid="{EF8BAABC-3240-4208-AD4C-F9D1F7C95A4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397" authorId="1946" shapeId="0" xr:uid="{2C10CC82-0FF7-4431-9EB8-2ED64E8551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2398" authorId="1947" shapeId="0" xr:uid="{CCDF0946-2E54-4A55-8199-FA7020FD4F3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2399" authorId="1948" shapeId="0" xr:uid="{DF1845FE-66D1-4C09-ADB3-45EA532A13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2400" authorId="1949" shapeId="0" xr:uid="{4AF588FD-0D81-4B8D-AEF7-FC1010115D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1" authorId="1950" shapeId="0" xr:uid="{A5185E6C-D709-4D55-87F5-40FF5B6FEC5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2" authorId="1951" shapeId="0" xr:uid="{B187DF59-2CF5-4195-8202-D0D2388C8A1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3" authorId="1952" shapeId="0" xr:uid="{43F537CB-087E-46E8-8B6D-B971567A8B3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4" authorId="1953" shapeId="0" xr:uid="{42275A8E-66C8-4D38-B350-C43DC13552D8}">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2405" authorId="1954" shapeId="0" xr:uid="{F6820FAF-3FE9-4C55-BADA-152ED38F575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6" authorId="1955" shapeId="0" xr:uid="{7F150BEA-3B87-4419-92F1-4DAA54B1726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F2407" authorId="1956" shapeId="0" xr:uid="{D5B01AD7-0755-4458-B436-51C0AB446BD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8" authorId="1957" shapeId="0" xr:uid="{6B7B68E7-DBF3-41B6-A93E-1B64A2EDDE1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09" authorId="1958" shapeId="0" xr:uid="{685124BA-D22C-4029-9D84-2BE3BC7816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0" authorId="1959" shapeId="0" xr:uid="{4B48CF1E-7F1C-4893-927B-B7AD8342841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1" authorId="1960" shapeId="0" xr:uid="{4AE38F95-AC06-4704-B2EC-B6027A00A7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2" authorId="1961" shapeId="0" xr:uid="{BCABF072-1716-409D-A5F7-AB0AFB48858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3" authorId="1962" shapeId="0" xr:uid="{BB2BA1C1-143E-4C08-BF28-7003F7A0A6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4" authorId="1963" shapeId="0" xr:uid="{1D2E15EF-2E4F-470E-9AB0-084C198AB3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5" authorId="1964" shapeId="0" xr:uid="{D6AE9EE4-B718-467C-9C5F-51745FE10B65}">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17" authorId="1965" shapeId="0" xr:uid="{621B67B7-E1C3-42C3-B606-1BEF109ADD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8" authorId="1966" shapeId="0" xr:uid="{6F9A1424-8DF6-42BD-8EE6-094BBCC886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19" authorId="1967" shapeId="0" xr:uid="{B9562922-6F57-40C3-9946-2772C2907AE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0" authorId="1968" shapeId="0" xr:uid="{DA8FC120-A24C-4D98-8E03-BA48341E22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1" authorId="1969" shapeId="0" xr:uid="{71CB1C5E-C6A5-4501-B330-8EE0971194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2" authorId="1970" shapeId="0" xr:uid="{24EBA6A0-72BC-4645-82DF-039947BF07BB}">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23" authorId="1971" shapeId="0" xr:uid="{35E0B631-08A3-41B7-8E14-2659B7CFEC38}">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24" authorId="1972" shapeId="0" xr:uid="{B8318727-B83D-428D-AD52-7736C2BA7A3E}">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2425" authorId="1973" shapeId="0" xr:uid="{23617D4D-DD85-4C3B-9691-066691A92E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6" authorId="1974" shapeId="0" xr:uid="{E3808B97-F6B0-4093-BB21-DF0C8FF9CC71}">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27" authorId="1975" shapeId="0" xr:uid="{9E39C598-3EC7-4823-941E-639CDDB679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8" authorId="1976" shapeId="0" xr:uid="{7CE3B7F5-3543-4433-AEA4-2F5819CD1B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29" authorId="1977" shapeId="0" xr:uid="{C4455906-3665-4950-A2F3-CA075DFC354D}">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430" authorId="1978" shapeId="0" xr:uid="{07FD733B-69C3-4FB0-B0F8-12B435EEDB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1" authorId="1979" shapeId="0" xr:uid="{70E488A4-6841-4156-99DE-D70069886C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2" authorId="1980" shapeId="0" xr:uid="{FAA6FE7E-7D9A-41DF-9DB4-551D251D3F5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3" authorId="1981" shapeId="0" xr:uid="{07B6BC9C-F4E5-4F56-BFB7-0130E017D1E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4" authorId="1982" shapeId="0" xr:uid="{CFA29449-E5D4-4A5E-922A-3A34BCDCF9D0}">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2435" authorId="1983" shapeId="0" xr:uid="{B45C6B1C-D211-4EC8-94C6-3C51970911B9}">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2437" authorId="1984" shapeId="0" xr:uid="{D19FE4C4-65C0-42D3-808B-BCE55529953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39" authorId="1985" shapeId="0" xr:uid="{2A5AF6CD-EB78-4AD2-9738-170156A626F5}">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40" authorId="1986" shapeId="0" xr:uid="{3BB829CE-4B43-44E9-B619-C03DC196B7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1" authorId="1987" shapeId="0" xr:uid="{A8E7EB17-2F2B-4A73-A39C-C70414F438C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2" authorId="1988" shapeId="0" xr:uid="{C8180BD5-3F06-4BC7-890E-E8507414430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3" authorId="1989" shapeId="0" xr:uid="{7EEE4374-1EFF-49E0-9444-CF172E391A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4" authorId="1990" shapeId="0" xr:uid="{615C9AF3-BFE6-413B-8433-F9E9DD9E4405}">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45" authorId="1991" shapeId="0" xr:uid="{5CBB0BE1-8051-4E99-83F9-EFC4512753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6" authorId="1992" shapeId="0" xr:uid="{A0C61DAA-C777-487D-A6CB-8B1665AF16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47" authorId="1993" shapeId="0" xr:uid="{8430AD09-02D1-4888-B126-73992F6A4F9B}">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48" authorId="1994" shapeId="0" xr:uid="{E07C35D1-668B-414F-98AE-04C50C15AD26}">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49" authorId="1995" shapeId="0" xr:uid="{CBCC1736-EEFE-45D0-87B9-FD5FF63B77E5}">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2450" authorId="1996" shapeId="0" xr:uid="{7B6D67DA-8EA6-4C15-9841-16355F76C3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1" authorId="1997" shapeId="0" xr:uid="{E7373AF4-CE06-4EA5-A874-AFEDCBBD701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2" authorId="1998" shapeId="0" xr:uid="{C37A1781-8C43-486F-9335-A81FCDC501F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4" authorId="1999" shapeId="0" xr:uid="{AEE7547A-FFC5-4552-968B-5FEBB20107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5" authorId="2000" shapeId="0" xr:uid="{47434A8D-CF82-4D6F-8462-48EEFF9B58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6" authorId="2001" shapeId="0" xr:uid="{6FBC54D4-4070-4307-88DD-C4493957160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7" authorId="2002" shapeId="0" xr:uid="{78E38A57-6FF5-4031-A80F-969202E039D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58" authorId="2003" shapeId="0" xr:uid="{728794E5-E11A-449D-B2A8-8D9A04822F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1536.26€ 2 Habitaciones 4 Camas </t>
      </text>
    </comment>
    <comment ref="F2459" authorId="2004" shapeId="0" xr:uid="{50C16B4A-8AAC-4888-9C76-6E9C4DDFA8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W2459" authorId="2005" shapeId="0" xr:uid="{E956E7D1-9AD6-43DB-B2E0-746CA92E7FA7}">
      <text>
        <t>[Comentário encadeado]
Sua versão do Excel permite que você leia este comentário encadeado, no entanto, as edições serão removidas se o arquivo for aberto em uma versão mais recente do Excel. Saiba mais: https://go.microsoft.com/fwlink/?linkid=870924
Comentário:
    Fianza usada en el pedido de Ferreras</t>
      </text>
    </comment>
    <comment ref="F2460" authorId="2006" shapeId="0" xr:uid="{A520EF5C-F766-4AB8-8AB6-C97B7F1D2F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1" authorId="2007" shapeId="0" xr:uid="{A52821E1-AB85-43B0-8AD7-315F115822D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2" authorId="2008" shapeId="0" xr:uid="{3A6E3916-AAD6-4FF3-A593-018E9D2C673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3" authorId="2009" shapeId="0" xr:uid="{8954F162-4145-4C7C-A8A9-63AF82912A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4" authorId="2010" shapeId="0" xr:uid="{2D03C6AC-1A29-4DDF-B971-D0292C0F0A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5" authorId="2011" shapeId="0" xr:uid="{49EA8AAC-8327-4304-95B2-5EDE757868B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6" authorId="2012" shapeId="0" xr:uid="{7CEA4FFE-EB03-44FC-856B-6D56636708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67" authorId="2013" shapeId="0" xr:uid="{D130A9D9-616F-4686-B002-DAEE0A434C86}">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2468" authorId="2014" shapeId="0" xr:uid="{A87AB57D-6ADC-4729-B2EA-8E4717F6FDBE}">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469" authorId="2015" shapeId="0" xr:uid="{E009BB59-C42E-4BDB-8689-80E12D868A0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0" authorId="2016" shapeId="0" xr:uid="{3BE5BF52-416A-469C-99AD-449A0B1BC2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1" authorId="2017" shapeId="0" xr:uid="{7596A425-DA28-45AB-860B-CFDD78EA93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3" authorId="2018" shapeId="0" xr:uid="{046A5014-23A3-4847-85E2-FEA4313B0B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4" authorId="2019" shapeId="0" xr:uid="{AEF79EFE-6AB8-4F24-A9C3-2F93107DFE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5" authorId="2020" shapeId="0" xr:uid="{C25CFE4F-FC2B-4A29-87CD-56FB52D69026}">
      <text>
        <t>[Comentário encadeado]
Sua versão do Excel permite que você leia este comentário encadeado, no entanto, as edições serão removidas se o arquivo for aberto em uma versão mais recente do Excel. Saiba mais: https://go.microsoft.com/fwlink/?linkid=870924
Comentário:
    01 apartamento para 3 personas y 03 apartamentos para 2 personas</t>
      </text>
    </comment>
    <comment ref="F2476" authorId="2021" shapeId="0" xr:uid="{C875B442-E7C9-4509-97BE-0DF656378A4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1536.26€ 2 Habitaciones 4 Camas </t>
      </text>
    </comment>
    <comment ref="F2477" authorId="2022" shapeId="0" xr:uid="{52AFD5D3-44F9-4D7E-9244-069C6AB08880}">
      <text>
        <t>[Comentário encadeado]
Sua versão do Excel permite que você leia este comentário encadeado, no entanto, as edições serão removidas se o arquivo for aberto em uma versão mais recente do Excel. Saiba mais: https://go.microsoft.com/fwlink/?linkid=870924
Comentário:
    900 alquiler, 1800 fianza, 3 habitaciones</t>
      </text>
    </comment>
    <comment ref="F2478" authorId="2023" shapeId="0" xr:uid="{94F2C0E3-B878-439D-A972-AF153EC479D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79" authorId="2024" shapeId="0" xr:uid="{1E8FAE20-A7E3-4BB3-89D1-0E9F5DF377BD}">
      <text>
        <t>[Comentário encadeado]
Sua versão do Excel permite que você leia este comentário encadeado, no entanto, as edições serão removidas se o arquivo for aberto em uma versão mais recente do Excel. Saiba mais: https://go.microsoft.com/fwlink/?linkid=870924
Comentário:
    3 Habitaciones, Capacidad para 4 trabajadores, Alquiler 600€, Fianza 600€</t>
      </text>
    </comment>
    <comment ref="F2481" authorId="2025" shapeId="0" xr:uid="{682030DC-F801-41B3-B696-C61BC457F2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83" authorId="2026" shapeId="0" xr:uid="{756CC3DD-037D-488D-AF38-4B2E9C7B1B21}">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2484" authorId="2027" shapeId="0" xr:uid="{0E37781D-D23C-43E1-A5F6-B12A7B2844A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1536.26€ 2 Habitaciones 4 Camas </t>
      </text>
    </comment>
    <comment ref="F2485" authorId="2028" shapeId="0" xr:uid="{FD676ECC-A98C-4193-BE3A-9C4B57004B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486" authorId="2029" shapeId="0" xr:uid="{2CEF69D3-783B-4284-917B-6F5282C4751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87" authorId="2030" shapeId="0" xr:uid="{9B62A764-6345-4960-A7BD-14CB4F29C0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89" authorId="2031" shapeId="0" xr:uid="{CF6EB31B-7314-4CA9-B988-B1328FC5114B}">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2497" authorId="2032" shapeId="0" xr:uid="{0D203E9C-85BD-4DEB-B12E-2C3661131F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499" authorId="2033" shapeId="0" xr:uid="{931B6EF3-00C6-43A5-A942-E2964CEF89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01" authorId="2034" shapeId="0" xr:uid="{86B09624-780C-47EE-8305-C17A93158025}">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2502" authorId="2035" shapeId="0" xr:uid="{EB2E0CC3-9D10-4390-A272-324B7344D35E}">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2503" authorId="2036" shapeId="0" xr:uid="{F0E66064-510C-4C24-A711-2A00CB36B994}">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506" authorId="2037" shapeId="0" xr:uid="{D70F79A3-110D-47FC-A87D-81F6D5BF16A9}">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2507" authorId="2038" shapeId="0" xr:uid="{603C6260-4B4B-47A2-844D-27B7FC9A9D6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08" authorId="2039" shapeId="0" xr:uid="{684120C7-59E7-4384-9899-570BD32E9FE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09" authorId="2040" shapeId="0" xr:uid="{CBD0224E-5A7C-4294-96D5-0B2AE34618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10" authorId="2041" shapeId="0" xr:uid="{8F67624B-DB04-4F9C-A0D0-6AE46C40E3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24" authorId="2042" shapeId="0" xr:uid="{D33B4A80-6161-400C-801C-BD6EB00100D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65€ la noche</t>
      </text>
    </comment>
    <comment ref="F2525" authorId="2043" shapeId="0" xr:uid="{46140F05-2FD6-4CE7-AE0D-2B9774DBCDD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65€ la noche</t>
      </text>
    </comment>
    <comment ref="F2526" authorId="2044" shapeId="0" xr:uid="{642685A5-4C40-4A9D-AED1-BECBA32A62A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65€ la noche</t>
      </text>
    </comment>
    <comment ref="F2532" authorId="2045" shapeId="0" xr:uid="{45332408-AD93-4E4A-906E-7CF65E579165}">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
Responder:
    Se adicionan 2 Habitaciones el día 23/05 por valor de  350€ C/U + 350€ fianzas C/U. Total 700€ fianza.</t>
      </text>
    </comment>
    <comment ref="F2533" authorId="2046" shapeId="0" xr:uid="{47F80F70-DD98-4350-AB9D-CCCF7956A12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34" authorId="2047" shapeId="0" xr:uid="{43594B00-EF84-42CA-94BA-9EFC06D5D8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35" authorId="2048" shapeId="0" xr:uid="{904EA384-0B8C-4FDA-8E37-9779ED05CE3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36" authorId="2049" shapeId="0" xr:uid="{82D9034B-40C1-40A8-8BD8-7D341239A882}">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2537" authorId="2050" shapeId="0" xr:uid="{82523D33-1507-40F0-9D6A-E8FF10D53EE2}">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2538" authorId="2051" shapeId="0" xr:uid="{F18B1625-07F4-40EF-AA0A-567D01D9ED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39" authorId="2052" shapeId="0" xr:uid="{94772DE9-7C4B-4922-813A-CD3EFDFC403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40" authorId="2053" shapeId="0" xr:uid="{746C58CD-9309-41ED-944F-608290CD84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45" authorId="2054" shapeId="0" xr:uid="{BDA0AB13-99BF-476C-B974-714AF187690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546" authorId="2055" shapeId="0" xr:uid="{0B6CA1A8-E2DB-443F-9032-C4862AAC781B}">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F2550" authorId="2056" shapeId="0" xr:uid="{05FB54DE-2FCD-4A61-A3DD-823270FC8155}">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551" authorId="2057" shapeId="0" xr:uid="{D73C9005-7A70-4D26-A1D7-CC142254C9F7}">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2552" authorId="2058" shapeId="0" xr:uid="{E19BEF28-A4BA-418D-996C-7CF09172F2F5}">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53" authorId="2059" shapeId="0" xr:uid="{455E907E-899B-48ED-8F26-08EAA6A8501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54" authorId="2060" shapeId="0" xr:uid="{BAB2BD51-0E3B-4105-9DE9-94CFE3461E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55" authorId="2061" shapeId="0" xr:uid="{9CCD8762-7CF9-4C06-9AD4-289D8C6681B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1536.26€ 2 Habitaciones 4 Camas </t>
      </text>
    </comment>
    <comment ref="F2559" authorId="2062" shapeId="0" xr:uid="{518A286D-7AE8-4D46-BFBF-1161589CD3BC}">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560" authorId="2063" shapeId="0" xr:uid="{C1EFEC94-CEB7-475C-8147-32648CE0ECF3}">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561" authorId="2064" shapeId="0" xr:uid="{7C2A2A25-DC5C-4D39-A0E4-0CF7A24F5D78}">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2562" authorId="2065" shapeId="0" xr:uid="{931E79F3-7045-471C-A5E0-FDFC08445D9F}">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563" authorId="2066" shapeId="0" xr:uid="{FF480BCD-3866-484C-AFB2-E7DE01EEA85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564" authorId="2067" shapeId="0" xr:uid="{AED67A53-7FDC-4138-95B0-0E025921C7FC}">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2565" authorId="2068" shapeId="0" xr:uid="{4D1C3758-F3FE-4495-85AA-69208EF39C4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66" authorId="2069" shapeId="0" xr:uid="{3D2023AB-ED14-49EB-B7B0-C58696630EF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67" authorId="2070" shapeId="0" xr:uid="{80EA5A92-8BD2-46EF-A129-852534741C6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72" authorId="2071" shapeId="0" xr:uid="{FF40CC60-7CA4-44DF-A7D0-F49A3CB66AB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73" authorId="2072" shapeId="0" xr:uid="{3FA163AF-FD66-4D8F-8CFD-243E5E1A6B9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74" authorId="2073" shapeId="0" xr:uid="{2D42933A-6B3F-44F5-ADCB-29A1125E3B7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76" authorId="2074" shapeId="0" xr:uid="{EE3EDA8E-163E-4887-86A4-7A41A8750B9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2 apartamentos triples (301-302)</t>
      </text>
    </comment>
    <comment ref="F2577" authorId="2075" shapeId="0" xr:uid="{9B9A62DC-1643-4C72-89F8-0E63E656664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2578" authorId="2076" shapeId="0" xr:uid="{5490D24C-0EF8-43A6-A0C4-39296FA1B47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2 apartamentos triples (301-302)</t>
      </text>
    </comment>
    <comment ref="F2579" authorId="2077" shapeId="0" xr:uid="{F698D51C-97AC-415E-A7D8-1E585FE235E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2 apartamentos triples (301-302)</t>
      </text>
    </comment>
    <comment ref="F2580" authorId="2078" shapeId="0" xr:uid="{121CACF3-4D37-4B3C-967B-84B2E670299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2 apartamentos triples (301-302)</t>
      </text>
    </comment>
    <comment ref="F2582" authorId="2079" shapeId="0" xr:uid="{B4F4A972-67A8-4139-B34C-D0ED201231D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2 apartamentos triples (301-302)</t>
      </text>
    </comment>
    <comment ref="F2583" authorId="2080" shapeId="0" xr:uid="{56258962-BBDA-4AE2-AB8E-1EAEA4BE1B79}">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584" authorId="2081" shapeId="0" xr:uid="{84B55FDE-26A8-4CBD-83BB-0BB99FF0A302}">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585" authorId="2082" shapeId="0" xr:uid="{F20F98A0-870B-452F-A1DE-FFD16CE9396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586" authorId="2083" shapeId="0" xr:uid="{04F220B4-53CB-4ED0-B4D4-B377BA3F2E75}">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587" authorId="2084" shapeId="0" xr:uid="{A429786D-5E78-478E-8471-44E6AE441770}">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2588" authorId="2085" shapeId="0" xr:uid="{71BA4977-CEFF-44CC-8427-E99381C59F07}">
      <text>
        <t>[Comentário encadeado]
Sua versão do Excel permite que você leia este comentário encadeado, no entanto, as edições serão removidas se o arquivo for aberto em uma versão mais recente do Excel. Saiba mais: https://go.microsoft.com/fwlink/?linkid=870924
Comentário:
    ( 03- Habitación - 430€ Mensual - Fecha de pago 01/05)</t>
      </text>
    </comment>
    <comment ref="F2589" authorId="2086" shapeId="0" xr:uid="{0BC2FA7C-B3DE-443C-AB1E-D08D25183777}">
      <text>
        <t>[Comentário encadeado]
Sua versão do Excel permite que você leia este comentário encadeado, no entanto, as edições serão removidas se o arquivo for aberto em uma versão mais recente do Excel. Saiba mais: https://go.microsoft.com/fwlink/?linkid=870924
Comentário:
    ( 03- Habitación - 430€ Mensual - Fecha de pago 01/05)</t>
      </text>
    </comment>
    <comment ref="F2590" authorId="2087" shapeId="0" xr:uid="{E855A4E9-D736-473A-B7CA-D885969274AB}">
      <text>
        <t>[Comentário encadeado]
Sua versão do Excel permite que você leia este comentário encadeado, no entanto, as edições serão removidas se o arquivo for aberto em uma versão mais recente do Excel. Saiba mais: https://go.microsoft.com/fwlink/?linkid=870924
Comentário:
    ( 03- Habitación - 430€ Mensual - Fecha de pago 01/05)</t>
      </text>
    </comment>
    <comment ref="F2591" authorId="2088" shapeId="0" xr:uid="{C9456D3C-A870-4159-8941-EEE44AD5982B}">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2594" authorId="2089" shapeId="0" xr:uid="{148A4A3A-30B0-4947-940A-6855E79E7451}">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2595" authorId="2090" shapeId="0" xr:uid="{4E27D2E0-3A22-46AC-8631-0FFB48BF9556}">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596" authorId="2091" shapeId="0" xr:uid="{1C4F1E61-6F84-40F0-8448-4952AE343B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2597" authorId="2092" shapeId="0" xr:uid="{8AEE860D-1183-4889-B05B-DEAAA8C1CF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2598" authorId="2093" shapeId="0" xr:uid="{AD00DEBF-D57B-430B-8487-FA151EF7C50A}">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2599" authorId="2094" shapeId="0" xr:uid="{46C753EC-04FA-4B85-9C8E-434E4F856D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02" authorId="2095" shapeId="0" xr:uid="{8C3DE8F3-05AB-4168-BEC8-C19E342AF02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2603" authorId="2096" shapeId="0" xr:uid="{87EB1F5C-5574-4D40-9FA2-75E7967C8ED0}">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604" authorId="2097" shapeId="0" xr:uid="{4E1813E6-6A5B-4BCC-871A-86117E47E514}">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F2605" authorId="2098" shapeId="0" xr:uid="{E3834761-5A8D-437C-8F9F-557289AC9A38}">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F2606" authorId="2099" shapeId="0" xr:uid="{A00F0435-3424-4EEF-8AF5-8AC0D9C82AE2}">
      <text>
        <t>[Comentário encadeado]
Sua versão do Excel permite que você leia este comentário encadeado, no entanto, as edições serão removidas se o arquivo for aberto em uma versão mais recente do Excel. Saiba mais: https://go.microsoft.com/fwlink/?linkid=870924
Comentário:
    04 camas, 2000€ alquiler, sin fianza</t>
      </text>
    </comment>
    <comment ref="F2607" authorId="2100" shapeId="0" xr:uid="{5088D5DC-48BC-4805-89F8-8F36E3312A1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08" authorId="2101" shapeId="0" xr:uid="{D66F31F2-E5D7-4FDA-B023-7AD5B1E003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09" authorId="2102" shapeId="0" xr:uid="{4B3F078B-949D-4EA3-8F11-70D118DC21FD}">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612" authorId="2103" shapeId="0" xr:uid="{4A65DE68-11B0-46B5-96B3-6835F4F8C2D2}">
      <text>
        <t>[Comentário encadeado]
Sua versão do Excel permite que você leia este comentário encadeado, no entanto, as edições serão removidas se o arquivo for aberto em uma versão mais recente do Excel. Saiba mais: https://go.microsoft.com/fwlink/?linkid=870924
Comentário:
    2 habitaciones</t>
      </text>
    </comment>
    <comment ref="F2613" authorId="2104" shapeId="0" xr:uid="{5AE8A0CB-85A7-4B7F-B91C-CB6DC6C7A9D6}">
      <text>
        <t>[Comentário encadeado]
Sua versão do Excel permite que você leia este comentário encadeado, no entanto, as edições serão removidas se o arquivo for aberto em uma versão mais recente do Excel. Saiba mais: https://go.microsoft.com/fwlink/?linkid=870924
Comentário:
    600€ cada habitación
300€ fianza cada habitación</t>
      </text>
    </comment>
    <comment ref="F2614" authorId="2105" shapeId="0" xr:uid="{67ECF2B7-B52A-4E13-AD4A-9EEFAA3A8AE8}">
      <text>
        <t>[Comentário encadeado]
Sua versão do Excel permite que você leia este comentário encadeado, no entanto, as edições serão removidas se o arquivo for aberto em uma versão mais recente do Excel. Saiba mais: https://go.microsoft.com/fwlink/?linkid=870924
Comentário:
    600€ cada habitación
300€ fianza cada habitación</t>
      </text>
    </comment>
    <comment ref="F2615" authorId="2106" shapeId="0" xr:uid="{9B4EEE7E-F191-41E4-A683-CCAE6E744C39}">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 camas separadas</t>
      </text>
    </comment>
    <comment ref="F2616" authorId="2107" shapeId="0" xr:uid="{37E3F296-1DC3-493C-AF3D-FA6194173E32}">
      <text>
        <t>[Comentário encadeado]
Sua versão do Excel permite que você leia este comentário encadeado, no entanto, as edições serão removidas se o arquivo for aberto em uma versão mais recente do Excel. Saiba mais: https://go.microsoft.com/fwlink/?linkid=870924
Comentário:
    380€ Alquiler + 50€ suministros</t>
      </text>
    </comment>
    <comment ref="F2621" authorId="2108" shapeId="0" xr:uid="{54253667-8AC5-465F-93ED-21CC264ABE23}">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2" authorId="2109" shapeId="0" xr:uid="{A1803526-F184-4B90-954F-4D67914CA345}">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3" authorId="2110" shapeId="0" xr:uid="{867E6CFE-0A8C-4976-9859-1055F7D4CA38}">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4" authorId="2111" shapeId="0" xr:uid="{7BE96521-3916-4F71-9B6C-1DE4EECB101B}">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5" authorId="2112" shapeId="0" xr:uid="{41C0F061-B4AE-4CC0-845D-586F5147C71E}">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6" authorId="2113" shapeId="0" xr:uid="{863452E6-0092-4163-91E2-C5D3E4A4C67B}">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7" authorId="2114" shapeId="0" xr:uid="{D6E1E7C0-C9A0-4504-BFC0-584880C2BC18}">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F2628" authorId="2115" shapeId="0" xr:uid="{EF4D63AB-CED2-48A6-ABE9-485E8AFB35A3}">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29" authorId="2116" shapeId="0" xr:uid="{0F3E5C9E-3EB1-4E68-9889-C0BA34B1B24B}">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0" authorId="2117" shapeId="0" xr:uid="{D0CF3238-DE9A-431A-B095-C22A81572ACE}">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1" authorId="2118" shapeId="0" xr:uid="{9152F5DE-0821-450F-A640-62FDBD15B6C9}">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2" authorId="2119" shapeId="0" xr:uid="{56875918-882C-4BAD-B96B-E65A0D272714}">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3" authorId="2120" shapeId="0" xr:uid="{E606BF67-12A9-45A7-9C41-89C06E9529B1}">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4" authorId="2121" shapeId="0" xr:uid="{C9AA584F-0E0F-41B7-A1EC-7F31DBCADF5A}">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5" authorId="2122" shapeId="0" xr:uid="{EF4B8D4E-6243-4CEC-9149-BE0EF6A61A3A}">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6" authorId="2123" shapeId="0" xr:uid="{A22B8345-974A-4FC7-BA7E-FB23F8C1B715}">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37" authorId="2124" shapeId="0" xr:uid="{EFD82216-37FB-4FD1-9880-4A8F942380DC}">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 fianza 1700€</t>
      </text>
    </comment>
    <comment ref="F2643" authorId="2125" shapeId="0" xr:uid="{D903FF15-9F33-42CC-865F-1B75985E66BB}">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2644" authorId="2126" shapeId="0" xr:uid="{053D3CAB-E358-4012-BE37-E34475DDE81A}">
      <text>
        <t>[Comentário encadeado]
Sua versão do Excel permite que você leia este comentário encadeado, no entanto, as edições serão removidas se o arquivo for aberto em uma versão mais recente do Excel. Saiba mais: https://go.microsoft.com/fwlink/?linkid=870924
Comentário:
    Renta vivienda  1.050€ + Servicio de limpieza 302,50€ TOTAL 1.302,50€. 04 habitaciones</t>
      </text>
    </comment>
    <comment ref="F2646" authorId="2127" shapeId="0" xr:uid="{646BAC81-1755-418B-9B09-2CFDAC24E1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47" authorId="2128" shapeId="0" xr:uid="{932EA5D5-A813-4601-8368-C48AA198430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48" authorId="2129" shapeId="0" xr:uid="{A1045487-7C69-444A-A7E4-CE985A406F98}">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49" authorId="2130" shapeId="0" xr:uid="{6B4C8598-97DF-4888-B430-3C33FAB4C6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50" authorId="2131" shapeId="0" xr:uid="{96B153E4-52EC-4776-AC40-2CC8A2AF081B}">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1" authorId="2132" shapeId="0" xr:uid="{C9DA9CAD-F3C0-468C-B139-4AC9B6465558}">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2" authorId="2133" shapeId="0" xr:uid="{03A7AD9F-BCE7-4C95-B111-5EA296175980}">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3" authorId="2134" shapeId="0" xr:uid="{EAE1F463-2F4E-4A46-9313-938BC6742ADF}">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4" authorId="2135" shapeId="0" xr:uid="{D246B2F7-C190-4CBA-BFD7-0BF590DB7499}">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5" authorId="2136" shapeId="0" xr:uid="{06C9E1AB-15AA-41D3-9687-6664CA787711}">
      <text>
        <t>[Comentário encadeado]
Sua versão do Excel permite que você leia este comentário encadeado, no entanto, as edições serão removidas se o arquivo for aberto em uma versão mais recente do Excel. Saiba mais: https://go.microsoft.com/fwlink/?linkid=870924
Comentário:
    1.500€ Alquiler 1.500€ Fianza 4 Camas</t>
      </text>
    </comment>
    <comment ref="F2656" authorId="2137" shapeId="0" xr:uid="{B5F314B0-307A-4DF4-ADCD-52BD5E295CC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2658" authorId="2138" shapeId="0" xr:uid="{466F0367-7865-401E-A7AF-816BD208379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59" authorId="2139" shapeId="0" xr:uid="{3893B38C-3062-4884-8F50-FB564DA3AF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60" authorId="2140" shapeId="0" xr:uid="{B06A3694-4063-4313-B8FA-8FDC412369C1}">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664" authorId="2141" shapeId="0" xr:uid="{3B042C07-B03A-4F9B-A46E-94B2BB74F7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67" authorId="2142" shapeId="0" xr:uid="{AC93A16E-961D-4B25-9081-BC2E4E2577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70" authorId="2143" shapeId="0" xr:uid="{5FF6AFBE-1A4B-495B-9FED-9FB874A389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680" authorId="2144" shapeId="0" xr:uid="{D87518C3-C1AA-4CFE-B861-D464743DD0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1536.26€ 2 Habitaciones 4 Camas </t>
      </text>
    </comment>
    <comment ref="F2682" authorId="2145" shapeId="0" xr:uid="{7543A920-3D41-4926-A0B6-A49BF038F01E}">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2683" authorId="2146" shapeId="0" xr:uid="{8546B1C9-471F-40F5-96DB-7FC0B476CA46}">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2708" authorId="2147" shapeId="0" xr:uid="{B4EEDF5A-FDCE-4501-91D8-3302ABA4AD1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renta mes,1.200€ Fianza, 3 Habitacines con 4 camas </t>
      </text>
    </comment>
    <comment ref="F2710" authorId="2148" shapeId="0" xr:uid="{443CA99B-041D-47DE-819A-4F9425C3F22C}">
      <text>
        <t>[Comentário encadeado]
Sua versão do Excel permite que você leia este comentário encadeado, no entanto, as edições serão removidas se o arquivo for aberto em uma versão mais recente do Excel. Saiba mais: https://go.microsoft.com/fwlink/?linkid=870924
Comentário:
    03 habitaciones.04 camas 600 la mensualidad. 1200 fianza.
01 Cama de Kotrik</t>
      </text>
    </comment>
    <comment ref="F2711" authorId="2149" shapeId="0" xr:uid="{3710B3D9-814D-42C2-B7C6-7BE8D47F0898}">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2712" authorId="2150" shapeId="0" xr:uid="{294B8D8D-DA4E-44F7-A5DA-4A01FF42154E}">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2713" authorId="2151" shapeId="0" xr:uid="{317CC584-FE22-4246-BB11-9ABCED689E76}">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V2713" authorId="2152" shapeId="0" xr:uid="{15BF9573-A74A-4484-8513-2555CF52E1DA}">
      <text>
        <t>[Comentário encadeado]
Sua versão do Excel permite que você leia este comentário encadeado, no entanto, as edições serão removidas se o arquivo for aberto em uma versão mais recente do Excel. Saiba mais: https://go.microsoft.com/fwlink/?linkid=870924
Comentário:
    VUELVEN AL ALOJAMIENTO DE NADJA 2020/08</t>
      </text>
    </comment>
    <comment ref="F2718" authorId="2153" shapeId="0" xr:uid="{422352EE-57E4-4F54-9C14-10B6E454277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719" authorId="2154" shapeId="0" xr:uid="{5355ED96-E002-40F2-9151-C726F935455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720" authorId="2155" shapeId="0" xr:uid="{D7E93AC0-2E89-41E4-9B2F-D5D1E53BB985}">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721" authorId="2156" shapeId="0" xr:uid="{E1DA70E6-A3C2-445B-991C-94B1E4FD644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7 personas 3.990€</t>
      </text>
    </comment>
    <comment ref="F2722" authorId="2157" shapeId="0" xr:uid="{472E2D68-50D7-4258-887C-E7E98336813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23" authorId="2158" shapeId="0" xr:uid="{DFAF5692-8E7B-449E-B8CD-67630FE86319}">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2728" authorId="2159" shapeId="0" xr:uid="{BCDD841B-CE23-4C68-A99F-23C5BDF5F294}">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729" authorId="2160" shapeId="0" xr:uid="{7CE74F9C-CFA4-46F5-9C28-8C4D258C913E}">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2730" authorId="2161" shapeId="0" xr:uid="{81AF24E7-6C5F-4F21-ABD6-33D67911D4EE}">
      <text>
        <t>[Comentário encadeado]
Sua versão do Excel permite que você leia este comentário encadeado, no entanto, as edições serão removidas se o arquivo for aberto em uma versão mais recente do Excel. Saiba mais: https://go.microsoft.com/fwlink/?linkid=870924
Comentário:
    Casa de 3 dormitorios
Dormitorio 1-2 camas individuales
Dormitorio 2-2 camas individuales
Dormitorio 3-2 sofás cama
Sala de estar 1 sofá cama</t>
      </text>
    </comment>
    <comment ref="F2731" authorId="2162" shapeId="0" xr:uid="{460D1A26-CCEE-4BF0-9A8A-09A27562DB2B}">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732" authorId="2163" shapeId="0" xr:uid="{938011A5-E2A9-407D-B02F-0CEEE403FCD1}">
      <text>
        <t>[Comentário encadeado]
Sua versão do Excel permite que você leia este comentário encadeado, no entanto, as edições serão removidas se o arquivo for aberto em uma versão mais recente do Excel. Saiba mais: https://go.microsoft.com/fwlink/?linkid=870924
Comentário:
    4 Habitaciones 370/cu</t>
      </text>
    </comment>
    <comment ref="F2733" authorId="2164" shapeId="0" xr:uid="{F3411CDF-2715-495A-AC22-3DF1A528EB1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2735" authorId="2165" shapeId="0" xr:uid="{741BBE40-EBE0-4819-BB24-83BC4059EC4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2742" authorId="2166" shapeId="0" xr:uid="{85644C1A-758F-4ACC-9AEA-24AC3F2B1DC3}">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2743" authorId="2167" shapeId="0" xr:uid="{D2D4A9BF-563D-459C-8458-AAAD03EADD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45" authorId="2168" shapeId="0" xr:uid="{3287D8C9-7F14-4A11-A3E1-A3B69CA2895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2746" authorId="2169" shapeId="0" xr:uid="{A8FD9E24-8739-4257-84C5-376F32B527B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747" authorId="2170" shapeId="0" xr:uid="{4382530F-FE72-4BEA-92E5-59E22E08342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748" authorId="2171" shapeId="0" xr:uid="{8EEE411B-0F8E-472C-9D4A-CFD3AA753A1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749" authorId="2172" shapeId="0" xr:uid="{880A2DE3-1CB2-484F-A8A0-2737787DA961}">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2750" authorId="2173" shapeId="0" xr:uid="{E241BB5A-8F0E-4335-960D-FFAA7392E476}">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2751" authorId="2174" shapeId="0" xr:uid="{3CB85716-9CEE-44E2-8194-2FDBC623642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52" authorId="2175" shapeId="0" xr:uid="{EC1D6C01-4164-4AAB-8FDC-3D1EF38D7FD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759" authorId="2176" shapeId="0" xr:uid="{205F88E9-604A-49D0-B687-15523CC63248}">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760" authorId="2177" shapeId="0" xr:uid="{C75C2AEF-5293-40AA-BDA1-DDD2034AC139}">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761" authorId="2178" shapeId="0" xr:uid="{6D409C58-4DC9-4627-BB03-022DD3138644}">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762" authorId="2179" shapeId="0" xr:uid="{A3CBB155-EDA6-44F9-9FC9-35F9EB8C904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3" authorId="2180" shapeId="0" xr:uid="{94B6079C-DFA5-4509-A10D-1B7B637E3BE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4" authorId="2181" shapeId="0" xr:uid="{CA924A15-0F80-4D39-99DB-366BA48879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5" authorId="2182" shapeId="0" xr:uid="{F9C19A35-17AF-41BD-A503-724CBC0CAB25}">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2766" authorId="2183" shapeId="0" xr:uid="{9D3C71F7-8FFC-4AEC-80E1-428465C7C87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7" authorId="2184" shapeId="0" xr:uid="{131CC299-19AA-4E1C-9620-54C3CC5DAB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68" authorId="2185" shapeId="0" xr:uid="{609B4009-6BDC-4E8F-A253-D8371A3C0F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1200 Fianza 1200 5 camas </t>
      </text>
    </comment>
    <comment ref="F2771" authorId="2186" shapeId="0" xr:uid="{39C02177-93B8-4477-BE67-3AD57999D34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05 CAMAS </t>
      </text>
    </comment>
    <comment ref="F2773" authorId="2187" shapeId="0" xr:uid="{E010EAB9-5F66-4D5E-8D04-FBF181AD7D90}">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2775" authorId="2188" shapeId="0" xr:uid="{7747633C-0C70-49D4-AC01-0C2DD38107E4}">
      <text>
        <t>[Comentário encadeado]
Sua versão do Excel permite que você leia este comentário encadeado, no entanto, as edições serão removidas se o arquivo for aberto em uma versão mais recente do Excel. Saiba mais: https://go.microsoft.com/fwlink/?linkid=870924
Comentário:
    2000 alquiler, 2000 fianza del piso (Carrer del Monestir de Poblet, 42, 1, Campanar, 46015 València), 04 camas</t>
      </text>
    </comment>
    <comment ref="F2777" authorId="2189" shapeId="0" xr:uid="{2FC0DC7F-D0ED-4038-B0B4-AE0C94A3F1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79" authorId="2190" shapeId="0" xr:uid="{457AF185-6D69-40C4-AE41-24213C80FC3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780" authorId="2191" shapeId="0" xr:uid="{3E2FE9F0-0C12-4BE0-B073-E4587DF1B97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2781" authorId="2192" shapeId="0" xr:uid="{D98B8C8D-40EA-47A3-A1DE-61E6CA2718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2782" authorId="2193" shapeId="0" xr:uid="{0FEAAA42-2E24-4DEC-81FA-0073AE8477EA}">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t>
      </text>
    </comment>
    <comment ref="F2783" authorId="2194" shapeId="0" xr:uid="{258D2516-5E7F-4886-B582-9A7948450FD7}">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t>
      </text>
    </comment>
    <comment ref="F2784" authorId="2195" shapeId="0" xr:uid="{6A6D5C6D-456C-4722-B7B5-66A6BE1894C9}">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2785" authorId="2196" shapeId="0" xr:uid="{E959FF42-443C-4A1E-A4D4-AC373FCEBAD6}">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2786" authorId="2197" shapeId="0" xr:uid="{20CADCE5-6196-4EE3-A0FC-7076B37200D1}">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2787" authorId="2198" shapeId="0" xr:uid="{8AB6158D-6CAF-4B5E-B46B-A945768B90D2}">
      <text>
        <t>[Comentário encadeado]
Sua versão do Excel permite que você leia este comentário encadeado, no entanto, as edições serão removidas se o arquivo for aberto em uma versão mais recente do Excel. Saiba mais: https://go.microsoft.com/fwlink/?linkid=870924
Comentário:
    04 camas, 650€ alquiler</t>
      </text>
    </comment>
    <comment ref="F2791" authorId="2199" shapeId="0" xr:uid="{9610ABBB-4191-400D-962E-FEFE8A68BACC}">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792" authorId="2200" shapeId="0" xr:uid="{420B58F4-EB6C-46CA-9313-B339832F360D}">
      <text>
        <t>[Comentário encadeado]
Sua versão do Excel permite que você leia este comentário encadeado, no entanto, as edições serão removidas se o arquivo for aberto em uma versão mais recente do Excel. Saiba mais: https://go.microsoft.com/fwlink/?linkid=870924
Comentário:
    7 Habitaciones Dobles</t>
      </text>
    </comment>
    <comment ref="F2793" authorId="2201" shapeId="0" xr:uid="{7C353C79-B725-413C-8A39-C702071E8B58}">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t>
      </text>
    </comment>
    <comment ref="F2794" authorId="2202" shapeId="0" xr:uid="{9CF9BA46-B705-4EB0-A088-56F4B8BA2C8F}">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t>
      </text>
    </comment>
    <comment ref="F2795" authorId="2203" shapeId="0" xr:uid="{A764C11E-5A7A-47E7-84E6-08C79A84CF4C}">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t>
      </text>
    </comment>
    <comment ref="F2796" authorId="2204" shapeId="0" xr:uid="{06E90986-1C4E-4B7F-BD08-23527C338B6E}">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t>
      </text>
    </comment>
    <comment ref="F2800" authorId="2205" shapeId="0" xr:uid="{53A4E360-42D5-47A8-8C49-229BC0B27816}">
      <text>
        <t>[Comentário encadeado]
Sua versão do Excel permite que você leia este comentário encadeado, no entanto, as edições serão removidas se o arquivo for aberto em uma versão mais recente do Excel. Saiba mais: https://go.microsoft.com/fwlink/?linkid=870924
Comentário:
    Alquiler 1500€+fianza 400€+limpieza 100€</t>
      </text>
    </comment>
    <comment ref="F2801" authorId="2206" shapeId="0" xr:uid="{45B03AC3-4520-4C16-AA66-33C3C5F355D0}">
      <text>
        <t>[Comentário encadeado]
Sua versão do Excel permite que você leia este comentário encadeado, no entanto, as edições serão removidas se o arquivo for aberto em uma versão mais recente do Excel. Saiba mais: https://go.microsoft.com/fwlink/?linkid=870924
Comentário:
    Alquiler 1500€+fianza 400€+limpieza 100€</t>
      </text>
    </comment>
    <comment ref="F2802" authorId="2207" shapeId="0" xr:uid="{3B11651D-E8DF-47A6-82DD-7BDB6540FB2E}">
      <text>
        <t>[Comentário encadeado]
Sua versão do Excel permite que você leia este comentário encadeado, no entanto, as edições serão removidas se o arquivo for aberto em uma versão mais recente do Excel. Saiba mais: https://go.microsoft.com/fwlink/?linkid=870924
Comentário:
    Alquiler 1500€+fianza 400€+limpieza 100€</t>
      </text>
    </comment>
    <comment ref="F2803" authorId="2208" shapeId="0" xr:uid="{A7905C27-3813-4556-BEC1-C6326CFC0BD4}">
      <text>
        <t>[Comentário encadeado]
Sua versão do Excel permite que você leia este comentário encadeado, no entanto, as edições serão removidas se o arquivo for aberto em uma versão mais recente do Excel. Saiba mais: https://go.microsoft.com/fwlink/?linkid=870924
Comentário:
    1800€ alquiler, 400€ fianza, 100€ limpieza, 04 camas</t>
      </text>
    </comment>
    <comment ref="F2804" authorId="2209" shapeId="0" xr:uid="{C5C91E3C-3709-4F0D-9FD0-5606F383ADBD}">
      <text>
        <t>[Comentário encadeado]
Sua versão do Excel permite que você leia este comentário encadeado, no entanto, as edições serão removidas se o arquivo for aberto em uma versão mais recente do Excel. Saiba mais: https://go.microsoft.com/fwlink/?linkid=870924
Comentário:
    1800€ alquiler, 400€ fianza, 100€ limpieza, 04 camas</t>
      </text>
    </comment>
    <comment ref="F2805" authorId="2210" shapeId="0" xr:uid="{239445DE-3AE2-4209-8036-B85502A09E30}">
      <text>
        <t>[Comentário encadeado]
Sua versão do Excel permite que você leia este comentário encadeado, no entanto, as edições serão removidas se o arquivo for aberto em uma versão mais recente do Excel. Saiba mais: https://go.microsoft.com/fwlink/?linkid=870924
Comentário:
    1800€ alquiler, 400€ fianza, 100€ limpieza, 04 camas</t>
      </text>
    </comment>
    <comment ref="F2806" authorId="2211" shapeId="0" xr:uid="{5AC736A0-D56D-47E3-B959-05E2425BD2A0}">
      <text>
        <t>[Comentário encadeado]
Sua versão do Excel permite que você leia este comentário encadeado, no entanto, as edições serão removidas se o arquivo for aberto em uma versão mais recente do Excel. Saiba mais: https://go.microsoft.com/fwlink/?linkid=870924
Comentário:
    1800€ alquiler, 400€ fianza, 100€ limpieza, 04 camas</t>
      </text>
    </comment>
    <comment ref="F2809" authorId="2212" shapeId="0" xr:uid="{16F7C748-D9E7-434D-9415-D264D7F30F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2813" authorId="2213" shapeId="0" xr:uid="{4933AB99-A2FE-4284-A503-35D1E0BA9C4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816" authorId="2214" shapeId="0" xr:uid="{861D648B-F216-47CF-8836-33B6DC314D15}">
      <text>
        <t>[Comentário encadeado]
Sua versão do Excel permite que você leia este comentário encadeado, no entanto, as edições serão removidas se o arquivo for aberto em uma versão mais recente do Excel. Saiba mais: https://go.microsoft.com/fwlink/?linkid=870924
Comentário:
    Habitación 400 € Mes con servicios incluidos</t>
      </text>
    </comment>
    <comment ref="F2817" authorId="2215" shapeId="0" xr:uid="{F011DAA4-74C3-469A-82CF-963F7FD3990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con 2 dos camas
01 cama en la sala
01 terraza </t>
      </text>
    </comment>
    <comment ref="F2820" authorId="2216" shapeId="0" xr:uid="{04A56BC5-9AB3-4EC8-AD69-30569B5ACCE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821" authorId="2217" shapeId="0" xr:uid="{D96A9382-ED49-42DA-9AA2-D8D3265E490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 3.750€</t>
      </text>
    </comment>
    <comment ref="F2822" authorId="2218" shapeId="0" xr:uid="{2615437B-1CA0-48C5-BB6B-E90449698B1A}">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2823" authorId="2219" shapeId="0" xr:uid="{33574BFF-AC4A-465E-8611-1546F145C4FA}">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2824" authorId="2220" shapeId="0" xr:uid="{948DC993-64B9-4C44-A58D-02E939BEB367}">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2825" authorId="2221" shapeId="0" xr:uid="{686D43EC-7146-4119-B95D-7FFE3E445FB1}">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2826" authorId="2222" shapeId="0" xr:uid="{E0675D5D-DE4B-42F1-ADA2-278DF1511EC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con 2 dos camas
01 cama en la sala
01 terraza </t>
      </text>
    </comment>
    <comment ref="F2827" authorId="2223" shapeId="0" xr:uid="{5EC495C7-589A-4AA8-A502-00D3F05A0BE2}">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2830" authorId="2224" shapeId="0" xr:uid="{D6C59B17-DDAE-42EE-90A2-8EB57CFC037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800€</t>
      </text>
    </comment>
    <comment ref="F2836" authorId="2225" shapeId="0" xr:uid="{7EA1C98D-0D20-434E-B535-447B9D80CBAA}">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
Responder:
    Se adicionan 2 Habitaciones el día 23/05 por valor de  350€ C/U + 350€ fianzas C/U. Total 700€ fianza.</t>
      </text>
    </comment>
    <comment ref="F2837" authorId="2226" shapeId="0" xr:uid="{5A467F46-2CCA-43E4-970E-3634B6EFBBE2}">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2838" authorId="2227" shapeId="0" xr:uid="{D8A7BC53-37F0-4F9B-89FF-0F18A8546EF4}">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2840" authorId="2228" shapeId="0" xr:uid="{3B558F00-76E4-45B6-83FD-96AF7CFB10FA}">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2841" authorId="2229" shapeId="0" xr:uid="{960DD529-A319-4F20-9ABB-E542970C03C2}">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2842" authorId="2230" shapeId="0" xr:uid="{D3B328BF-AB61-4DF0-B480-A8CF50ECE304}">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2843" authorId="2231" shapeId="0" xr:uid="{7F2D3845-ED27-4C91-BA75-98D9CB27BB83}">
      <text>
        <t>[Comentário encadeado]
Sua versão do Excel permite que você leia este comentário encadeado, no entanto, as edições serão removidas se o arquivo for aberto em uma versão mais recente do Excel. Saiba mais: https://go.microsoft.com/fwlink/?linkid=870924
Comentário:
    Habitación  1- 360€ alquiler + 55€ suministros (235€ parte proporcional mayo)
             500€ fianza</t>
      </text>
    </comment>
    <comment ref="F2844" authorId="2232" shapeId="0" xr:uid="{9BE05512-C719-4F56-BBA2-8E5606BEADC0}">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2845" authorId="2233" shapeId="0" xr:uid="{F16AE2A5-AFB6-47AB-B3F5-84E469A365F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46" authorId="2234" shapeId="0" xr:uid="{AB0028CA-1815-4534-BA6F-DF8A3A97FD3E}">
      <text>
        <t>[Comentário encadeado]
Sua versão do Excel permite que você leia este comentário encadeado, no entanto, as edições serão removidas se o arquivo for aberto em uma versão mais recente do Excel. Saiba mais: https://go.microsoft.com/fwlink/?linkid=870924
Comentário:
    2 Habitaciones Dobles</t>
      </text>
    </comment>
    <comment ref="F2848" authorId="2235" shapeId="0" xr:uid="{04B95037-BB3A-4DD8-8256-9D08E8578EFA}">
      <text>
        <t>[Comentário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Responder:
    01 habitación individual
01 habitación 02 camas
01 cama en la sala (cajón)</t>
      </text>
    </comment>
    <comment ref="F2849" authorId="2236" shapeId="0" xr:uid="{0F610A30-0E41-4668-AFBE-7720DAFF727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2867" authorId="2237" shapeId="0" xr:uid="{6E2DE739-1A8A-4794-A670-6EA0D2628F55}">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2868" authorId="2238" shapeId="0" xr:uid="{D78FAB0B-CB16-4D08-A1F4-FD5FFA78954C}">
      <text>
        <t>[Comentário encadeado]
Sua versão do Excel permite que você leia este comentário encadeado, no entanto, as edições serão removidas se o arquivo for aberto em uma versão mais recente do Excel. Saiba mais: https://go.microsoft.com/fwlink/?linkid=870924
Comentário:
    1650€/Alquiler
1650€/Fianza
5 camas</t>
      </text>
    </comment>
    <comment ref="F2869" authorId="2239" shapeId="0" xr:uid="{19C6AC16-484A-42FA-B20E-A9E5239EB6F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875" authorId="2240" shapeId="0" xr:uid="{896D578D-79AD-4824-B003-6EEBBDCABA3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1200 Fianza 1200 5 camas </t>
      </text>
    </comment>
    <comment ref="F2876" authorId="2241" shapeId="0" xr:uid="{92114F88-9285-4CF4-A13D-41FDEC635D9F}">
      <text>
        <t>[Comentário encadeado]
Sua versão do Excel permite que você leia este comentário encadeado, no entanto, as edições serão removidas se o arquivo for aberto em uma versão mais recente do Excel. Saiba mais: https://go.microsoft.com/fwlink/?linkid=870924
Comentário:
    05 CAMAS, 2200€ ALQUILER, N/A APLICA</t>
      </text>
    </comment>
    <comment ref="F2888" authorId="2242" shapeId="0" xr:uid="{ECAE9F78-5CE9-4582-8714-6D62699D2808}">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
Responder:
    01 habitación con 2 camas
01 cama en la sala
01 terraza</t>
      </text>
    </comment>
    <comment ref="F2889" authorId="2243" shapeId="0" xr:uid="{1D82E2AB-2AF6-4370-9AE7-5488E681B6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2896" authorId="2244" shapeId="0" xr:uid="{987E8A30-783F-499B-8E61-F151EABBE109}">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2897" authorId="2245" shapeId="0" xr:uid="{A636EDFA-B1C4-4833-8260-2FC8E06F592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2898" authorId="2246" shapeId="0" xr:uid="{0424AAAF-E880-41B5-BD71-071CAFA62D17}">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899" authorId="2247" shapeId="0" xr:uid="{621BF81A-F461-4F28-8E04-DA3A692878EF}">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2900" authorId="2248" shapeId="0" xr:uid="{CC74E1C4-3D27-4A8A-900D-962EAF874615}">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2901" authorId="2249" shapeId="0" xr:uid="{3FB2BB9B-27E5-4EE2-8034-23A8631D730F}">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2910" authorId="2250" shapeId="0" xr:uid="{7669439E-10AA-401E-A7DB-524B370E1C4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12" authorId="2251" shapeId="0" xr:uid="{0EA6BDB2-5720-4335-99D8-044474D95CF6}">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2913" authorId="2252" shapeId="0" xr:uid="{CA10A2CC-F981-490D-B0B4-65A934EEF9CD}">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2914" authorId="2253" shapeId="0" xr:uid="{A1984988-95EE-4118-ACBC-5980F5562E5F}">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2922" authorId="2254" shapeId="0" xr:uid="{362C20A7-90B4-4BB0-A9F9-1DB6141830D1}">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2929" authorId="2255" shapeId="0" xr:uid="{2EFF9D21-0F68-40CB-9562-73E5C99A356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30" authorId="2256" shapeId="0" xr:uid="{595458F1-D20F-4520-8F48-EDE0FD0166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33" authorId="2257" shapeId="0" xr:uid="{BB14C389-23D8-4A0A-86CE-78C88F5527C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2934" authorId="2258" shapeId="0" xr:uid="{E9F8B5D1-8A9C-4785-AA7A-962EBA26591D}">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935" authorId="2259" shapeId="0" xr:uid="{5CB27764-97E9-492E-AE28-0FAE25F40941}">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936" authorId="2260" shapeId="0" xr:uid="{2F0FC940-297B-4525-8DB5-A840D4C35C98}">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2937" authorId="2261" shapeId="0" xr:uid="{ED71820C-CA45-4F67-94D7-C585F7D00A2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2938" authorId="2262" shapeId="0" xr:uid="{536E75DE-BB77-49B4-B35B-3D5E8633F4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39" authorId="2263" shapeId="0" xr:uid="{D12B8A3A-3CA9-4ED1-9FFF-297D03E49CA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2945" authorId="2264" shapeId="0" xr:uid="{EE2629D4-5963-4B0C-89ED-3F59F844E5E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46" authorId="2265" shapeId="0" xr:uid="{0E9F85D9-5BDC-41AC-985B-94494DED14F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2947" authorId="2266" shapeId="0" xr:uid="{E874C7C2-99FF-43D8-BEE6-FBCD8F6CFD2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2948" authorId="2267" shapeId="0" xr:uid="{9F13A78A-2420-4EE2-84B4-67E3DAE4C109}">
      <text>
        <t>[Comentário encadeado]
Sua versão do Excel permite que você leia este comentário encadeado, no entanto, as edições serão removidas se o arquivo for aberto em uma versão mais recente do Excel. Saiba mais: https://go.microsoft.com/fwlink/?linkid=870924
Comentário:
    06 camas</t>
      </text>
    </comment>
    <comment ref="F2950" authorId="2268" shapeId="0" xr:uid="{F928BF28-4ABC-4F43-9560-5494BA94E0E8}">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2951" authorId="2269" shapeId="0" xr:uid="{19C7FD53-15BE-4E36-9F0E-36D395C9D55D}">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2952" authorId="2270" shapeId="0" xr:uid="{1952299A-2AD6-46BA-9734-FF7D2EC082DA}">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2958" authorId="2271" shapeId="0" xr:uid="{1B9F3649-A18B-4DE9-8D14-1BC9DFA93641}">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2959" authorId="2272" shapeId="0" xr:uid="{1BAF5650-91C6-4C9F-A0C8-631450BB5547}">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2960" authorId="2273" shapeId="0" xr:uid="{D9E765B2-9151-48D1-B1A5-2B07D78FE681}">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961" authorId="2274" shapeId="0" xr:uid="{1B911595-6688-4548-9AB5-DE3139F56848}">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962" authorId="2275" shapeId="0" xr:uid="{8ED27AAD-A3C5-45B1-BE60-DFD4FBFDEE8D}">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963" authorId="2276" shapeId="0" xr:uid="{E8250900-9BD1-444A-9DB8-473E7806103D}">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964" authorId="2277" shapeId="0" xr:uid="{FD0BD98E-6066-4E31-9D9C-7A52C8C25462}">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2966" authorId="2278" shapeId="0" xr:uid="{C36EAF0C-7A35-4C77-BA6D-424F955F28C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2971" authorId="2279" shapeId="0" xr:uid="{AD115D50-8248-4909-809C-1683D991A66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2973" authorId="2280" shapeId="0" xr:uid="{29AFEDF2-7793-43FC-A507-59830E75DD6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5 Camas Alquiler 1.100€ + limpieza 100€ </t>
      </text>
    </comment>
    <comment ref="F2974" authorId="2281" shapeId="0" xr:uid="{C7D8C960-0492-4A58-9284-136E196BF8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5 Camas Alquiler 1.100€ + limpieza 100€ </t>
      </text>
    </comment>
    <comment ref="F2975" authorId="2282" shapeId="0" xr:uid="{B29A54B8-A462-474D-8D56-E40E25D718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5 Camas Alquiler 1.100€ + limpieza 100€ </t>
      </text>
    </comment>
    <comment ref="F2976" authorId="2283" shapeId="0" xr:uid="{16AE4510-DE6A-412A-89D7-2F7B85C905C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5 Camas Alquiler 1.100€ + limpieza 100€ </t>
      </text>
    </comment>
    <comment ref="F2977" authorId="2284" shapeId="0" xr:uid="{FDE6287D-4D52-42B1-80BB-D92290B7790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Habitaciones  5 Camas Alquiler 1.100€ + limpieza 100€ </t>
      </text>
    </comment>
    <comment ref="F2980" authorId="2285" shapeId="0" xr:uid="{0822C4F1-6611-40F0-9DEC-7721FB2CCA64}">
      <text>
        <t>[Comentário encadeado]
Sua versão do Excel permite que você leia este comentário encadeado, no entanto, as edições serão removidas se o arquivo for aberto em uma versão mais recente do Excel. Saiba mais: https://go.microsoft.com/fwlink/?linkid=870924
Comentário:
    2 Habitaciones de 350€ y                   1 Habitación de 375€</t>
      </text>
    </comment>
    <comment ref="F2982" authorId="2286" shapeId="0" xr:uid="{4F11D80E-6B97-4C74-9D4A-FC444E13AF77}">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2983" authorId="2287" shapeId="0" xr:uid="{BF8147F4-8EC2-4BC5-9E46-31889505C8D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635 fianza1.270</t>
      </text>
    </comment>
    <comment ref="F2984" authorId="2288" shapeId="0" xr:uid="{43B1CEF7-673F-4A54-8318-ED5845EA086F}">
      <text>
        <t>[Comentário encadeado]
Sua versão do Excel permite que você leia este comentário encadeado, no entanto, as edições serão removidas se o arquivo for aberto em uma versão mais recente do Excel. Saiba mais: https://go.microsoft.com/fwlink/?linkid=870924
Comentário:
    03 camas, 1300€ alquiler, 200€ fianza</t>
      </text>
    </comment>
    <comment ref="F2985" authorId="2289" shapeId="0" xr:uid="{06474BC7-A665-40E9-97BC-9D2651C118F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635 fianza1.270</t>
      </text>
    </comment>
    <comment ref="F2986" authorId="2290" shapeId="0" xr:uid="{C34854FC-2B38-414E-A9FF-93F39AD121DF}">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635 fianza1.270</t>
      </text>
    </comment>
    <comment ref="F2987" authorId="2291" shapeId="0" xr:uid="{F619EEF3-329D-45AB-870F-8FE199C5E147}">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2988" authorId="2292" shapeId="0" xr:uid="{DC361676-C221-4596-A012-E1D61ADD7B2D}">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2989" authorId="2293" shapeId="0" xr:uid="{CA0DC513-8609-48CB-AED7-B7EAA2F5D8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340€ ALQULER + 55€ SUMINISTROS =395€ TOTAL. 500 FIANZA
</t>
      </text>
    </comment>
    <comment ref="F2990" authorId="2294" shapeId="0" xr:uid="{292F3CC5-FDDD-44E9-B962-72207A38172C}">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2992" authorId="2295" shapeId="0" xr:uid="{BB95BA19-79CD-4FFF-9EB2-AA3FF132D0A3}">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2993" authorId="2296" shapeId="0" xr:uid="{5CBC1DFF-3CE5-4E14-A34B-355A3D74029B}">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2994" authorId="2297" shapeId="0" xr:uid="{5C24C4EA-DF8E-45B8-B8A5-8B140059CF71}">
      <text>
        <t>[Comentário encadeado]
Sua versão do Excel permite que você leia este comentário encadeado, no entanto, as edições serão removidas se o arquivo for aberto em uma versão mais recente do Excel. Saiba mais: https://go.microsoft.com/fwlink/?linkid=870924
Comentário:
    Fianza     550€  ,Alquiler 550€   </t>
      </text>
    </comment>
    <comment ref="F2995" authorId="2298" shapeId="0" xr:uid="{CB29E387-5837-4683-98C6-6CF96F2BA574}">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2996" authorId="2299" shapeId="0" xr:uid="{0BA38D9C-0C16-4266-8484-AB94D73D5E6C}">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2999" authorId="2300" shapeId="0" xr:uid="{E8642BDC-BD0F-473A-BE6D-D82A95E48598}">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3000" authorId="2301" shapeId="0" xr:uid="{B5DA7392-ACD4-4E93-804C-A36A058A0D1F}">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300 CAMAS 3
Responder:
    Alquiler 1200€, fianza 300€, 04 camas</t>
      </text>
    </comment>
    <comment ref="F3001" authorId="2302" shapeId="0" xr:uid="{3D5CC75F-0046-408A-B6C8-38111BAB9836}">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3002" authorId="2303" shapeId="0" xr:uid="{E7366E81-49AC-49D0-9C17-A46F15D3F86E}">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3003" authorId="2304" shapeId="0" xr:uid="{299EDD2E-944E-4192-A51E-C348B337E0E9}">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3004" authorId="2305" shapeId="0" xr:uid="{31CA74C1-33BA-4898-8B39-4BF848991857}">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3005" authorId="2306" shapeId="0" xr:uid="{1DCA0481-CED4-4C23-AB66-E773FD2D851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3006" authorId="2307" shapeId="0" xr:uid="{78DA4A05-AB3B-4A0D-A223-7F7CD304A454}">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800€</t>
      </text>
    </comment>
    <comment ref="F3010" authorId="2308" shapeId="0" xr:uid="{CE9A2332-96B2-4ECB-A7CA-0155653B5005}">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800€</t>
      </text>
    </comment>
    <comment ref="F3014" authorId="2309" shapeId="0" xr:uid="{AFEECD59-9129-4D3C-B082-26AEAB206E7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3017" authorId="2310" shapeId="0" xr:uid="{89082619-B363-4B53-A4B6-B8C42C9DA3C4}">
      <text>
        <t>[Comentário encadeado]
Sua versão do Excel permite que você leia este comentário encadeado, no entanto, as edições serão removidas se o arquivo for aberto em uma versão mais recente do Excel. Saiba mais: https://go.microsoft.com/fwlink/?linkid=870924
Comentário:
    05 CAMAS, 2200€ ALQUILER, N/A APLICA</t>
      </text>
    </comment>
    <comment ref="F3018" authorId="2311" shapeId="0" xr:uid="{A7EA5386-409A-4728-BB8D-E618010EE29F}">
      <text>
        <t>[Comentário encadeado]
Sua versão do Excel permite que você leia este comentário encadeado, no entanto, as edições serão removidas se o arquivo for aberto em uma versão mais recente do Excel. Saiba mais: https://go.microsoft.com/fwlink/?linkid=870924
Comentário:
    05 CAMAS, 2200€ ALQUILER, N/A APLICA</t>
      </text>
    </comment>
    <comment ref="F3019" authorId="2312" shapeId="0" xr:uid="{177BF0A8-980E-4484-9DA7-5F44A4B5D5D5}">
      <text>
        <t>[Comentário encadeado]
Sua versão do Excel permite que você leia este comentário encadeado, no entanto, as edições serão removidas se o arquivo for aberto em uma versão mais recente do Excel. Saiba mais: https://go.microsoft.com/fwlink/?linkid=870924
Comentário:
    4 Habitaciones con Capacidad para 5 trabajadores, Alquiler 900€, Fianza 900€</t>
      </text>
    </comment>
    <comment ref="F3020" authorId="2313" shapeId="0" xr:uid="{32F64603-0756-4A86-9AF0-309EA293B0ED}">
      <text>
        <t>[Comentário encadeado]
Sua versão do Excel permite que você leia este comentário encadeado, no entanto, as edições serão removidas se o arquivo for aberto em uma versão mais recente do Excel. Saiba mais: https://go.microsoft.com/fwlink/?linkid=870924
Comentário:
    4 Habitaciones con Capacidad para 5 trabajadores, Alquiler 900€, Fianza 900€</t>
      </text>
    </comment>
    <comment ref="F3021" authorId="2314" shapeId="0" xr:uid="{3AEFF68C-B265-4017-A0E5-55AA17B8C59D}">
      <text>
        <t>[Comentário encadeado]
Sua versão do Excel permite que você leia este comentário encadeado, no entanto, as edições serão removidas se o arquivo for aberto em uma versão mais recente do Excel. Saiba mais: https://go.microsoft.com/fwlink/?linkid=870924
Comentário:
    4 Habitaciones con Capacidad para 5 trabajadores, Alquiler 900€, Fianza 900€</t>
      </text>
    </comment>
    <comment ref="F3022" authorId="2315" shapeId="0" xr:uid="{857C8E70-88EC-4DA3-ADB3-6C51608AF6B5}">
      <text>
        <t>[Comentário encadeado]
Sua versão do Excel permite que você leia este comentário encadeado, no entanto, as edições serão removidas se o arquivo for aberto em uma versão mais recente do Excel. Saiba mais: https://go.microsoft.com/fwlink/?linkid=870924
Comentário:
    4 Habitaciones con Capacidad para 5 trabajadores, Alquiler 900€, Fianza 900€</t>
      </text>
    </comment>
    <comment ref="F3026" authorId="2316" shapeId="0" xr:uid="{2A851922-B3A3-49A7-8906-B662897D0B00}">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3027" authorId="2317" shapeId="0" xr:uid="{EB554097-8D26-4540-85E1-A0C838EA2479}">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3028" authorId="2318" shapeId="0" xr:uid="{5B3AF700-35ED-4AF9-A611-9E1614BE10EA}">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3029" authorId="2319" shapeId="0" xr:uid="{463577E1-3EBF-45C6-A588-1B0632B942CA}">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F3031" authorId="2320" shapeId="0" xr:uid="{0A72F956-F63D-4F9F-A3E6-2448A657E332}">
      <text>
        <t>[Comentário encadeado]
Sua versão do Excel permite que você leia este comentário encadeado, no entanto, as edições serão removidas se o arquivo for aberto em uma versão mais recente do Excel. Saiba mais: https://go.microsoft.com/fwlink/?linkid=870924
Comentário:
    1 apartamento (para 2 personas)</t>
      </text>
    </comment>
    <comment ref="F3032" authorId="2321" shapeId="0" xr:uid="{D6F1FD8A-62E6-4F0D-9043-F36845721B3C}">
      <text>
        <t>[Comentário encadeado]
Sua versão do Excel permite que você leia este comentário encadeado, no entanto, as edições serão removidas se o arquivo for aberto em uma versão mais recente do Excel. Saiba mais: https://go.microsoft.com/fwlink/?linkid=870924
Comentário:
    1 apartamento (para 2 personas)</t>
      </text>
    </comment>
    <comment ref="F3033" authorId="2322" shapeId="0" xr:uid="{FCF36572-2B05-4863-9636-A0B7A9EA75AC}">
      <text>
        <t>[Comentário encadeado]
Sua versão do Excel permite que você leia este comentário encadeado, no entanto, as edições serão removidas se o arquivo for aberto em uma versão mais recente do Excel. Saiba mais: https://go.microsoft.com/fwlink/?linkid=870924
Comentário:
    4 Habitaciones Dobles</t>
      </text>
    </comment>
    <comment ref="F3035" authorId="2323" shapeId="0" xr:uid="{641BFAD5-F6BE-4D01-9CCF-35796A811B69}">
      <text>
        <t>[Comentário encadeado]
Sua versão do Excel permite que você leia este comentário encadeado, no entanto, as edições serão removidas se o arquivo for aberto em uma versão mais recente do Excel. Saiba mais: https://go.microsoft.com/fwlink/?linkid=870924
Comentário:
    Capacidad 06 camas- 1980€</t>
      </text>
    </comment>
    <comment ref="F3036" authorId="2324" shapeId="0" xr:uid="{DA78E5F4-5303-49C0-AC13-549BCFAD83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
Responder:
    ALQUILER  1500€ + I.V.A. 21% =315€  TOTAL A PAGAR: 1,815€  FIANZA     3000€   </t>
      </text>
    </comment>
    <comment ref="F3038" authorId="2325" shapeId="0" xr:uid="{2F0DFA03-47E7-4D7C-8640-7F2DF9C97FB2}">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F3039" authorId="2326" shapeId="0" xr:uid="{2B01FE5B-087E-4D4D-A588-C6F90CB4B14D}">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040" authorId="2327" shapeId="0" xr:uid="{0E0DAD47-39E2-43D0-B1B5-0D0121B7D673}">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3041" authorId="2328" shapeId="0" xr:uid="{996326AD-4EF5-405F-BECD-96C7E500C145}">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3042" authorId="2329" shapeId="0" xr:uid="{04EB0B1B-BCE5-4EFB-8304-3CFF4120E592}">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3043" authorId="2330" shapeId="0" xr:uid="{B7B0A851-166F-43F9-B0DC-EB6FA1858C45}">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3051" authorId="2331" shapeId="0" xr:uid="{AC0CE087-C849-4FB2-BBB5-A703276179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52" authorId="2332" shapeId="0" xr:uid="{8FBD7AC1-331C-47D9-ADC7-FA7691F7F2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55" authorId="2333" shapeId="0" xr:uid="{0B4726B0-1E23-454C-946A-A363DE00D912}">
      <text>
        <t>[Comentário encadeado]
Sua versão do Excel permite que você leia este comentário encadeado, no entanto, as edições serão removidas se o arquivo for aberto em uma versão mais recente do Excel. Saiba mais: https://go.microsoft.com/fwlink/?linkid=870924
Comentário:
    1 habitación</t>
      </text>
    </comment>
    <comment ref="F3056" authorId="2334" shapeId="0" xr:uid="{8158D4FB-F625-481C-9280-B1DDDAB10497}">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3062" authorId="2335" shapeId="0" xr:uid="{E5C71874-5A48-46BD-B812-50A126C28352}">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063" authorId="2336" shapeId="0" xr:uid="{33E66B6E-0FD6-4254-8858-1301E6AE98A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064" authorId="2337" shapeId="0" xr:uid="{81ADD382-C018-4432-B383-93383D38C68C}">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065" authorId="2338" shapeId="0" xr:uid="{4E9713A0-8498-48FD-B98F-DDD49BBDB501}">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066" authorId="2339" shapeId="0" xr:uid="{C8741010-5B9A-4FBB-8972-F93261A8F266}">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3070" authorId="2340" shapeId="0" xr:uid="{2BBADF0A-1367-4029-907E-0F2C1A862C3E}">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V3070" authorId="2341" shapeId="0" xr:uid="{B5168642-7295-4DD9-88B5-9D72921EBCC9}">
      <text>
        <t>[Comentário encadeado]
Sua versão do Excel permite que você leia este comentário encadeado, no entanto, as edições serão removidas se o arquivo for aberto em uma versão mais recente do Excel. Saiba mais: https://go.microsoft.com/fwlink/?linkid=870924
Comentário:
    VUELVEN AL ALOJAMIENTO DE NADJA 2020/08</t>
      </text>
    </comment>
    <comment ref="F3072" authorId="2342" shapeId="0" xr:uid="{F6C3C609-75EF-43D8-9C0F-23CB38A94032}">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1 cama · 1 huésped</t>
      </text>
    </comment>
    <comment ref="F3073" authorId="2343" shapeId="0" xr:uid="{4D2F8AB4-319A-4477-8E76-35AB59C0A28D}">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3074" authorId="2344" shapeId="0" xr:uid="{EB1B8398-9A0A-4943-8CA5-F07D3393AB1C}">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
Responder:
    Se adicionan 2 Habitaciones el día 23/05 por valor de  350€ C/U + 350€ fianzas C/U. Total 700€ fianza.</t>
      </text>
    </comment>
    <comment ref="F3075" authorId="2345" shapeId="0" xr:uid="{D2DF3B3E-CCF3-4C8D-8EB2-C7D071FDDD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3076" authorId="2346" shapeId="0" xr:uid="{7E029A31-40AF-40B9-8F1D-05FB29BFECB6}">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077" authorId="2347" shapeId="0" xr:uid="{FD48149F-017D-49B4-B1FC-29599FD66CC3}">
      <text>
        <t>[Comentário encadeado]
Sua versão do Excel permite que você leia este comentário encadeado, no entanto, as edições serão removidas se o arquivo for aberto em uma versão mais recente do Excel. Saiba mais: https://go.microsoft.com/fwlink/?linkid=870924
Comentário:
    Capacidad 06 camas- 1980€</t>
      </text>
    </comment>
    <comment ref="F3078" authorId="2348" shapeId="0" xr:uid="{E5DC46AC-8134-4909-A462-698088CC01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3079" authorId="2349" shapeId="0" xr:uid="{6793F90C-22F8-4FDA-8FF4-00B8F4C99408}">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3080" authorId="2350" shapeId="0" xr:uid="{746C678A-7163-4215-B066-EDA34E3A44EE}">
      <text>
        <t>[Comentário encadeado]
Sua versão do Excel permite que você leia este comentário encadeado, no entanto, as edições serão removidas se o arquivo for aberto em uma versão mais recente do Excel. Saiba mais: https://go.microsoft.com/fwlink/?linkid=870924
Comentário:
    Capacidad 06 camas- 1980€</t>
      </text>
    </comment>
    <comment ref="F3086" authorId="2351" shapeId="0" xr:uid="{3F0FE560-F993-4D5C-9141-07FBB10E74E7}">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3087" authorId="2352" shapeId="0" xr:uid="{A1CC7404-D225-4372-B0BC-CE6980303C82}">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
Responder:
    Se adicionan 2 Habitaciones el día 23/05 por valor de  350€ C/U + 350€ fianzas C/U. Total 700€ fianza.</t>
      </text>
    </comment>
    <comment ref="F3088" authorId="2353" shapeId="0" xr:uid="{536A9B31-0A9B-4D77-A38B-6567E33A034A}">
      <text>
        <t>[Comentário encadeado]
Sua versão do Excel permite que você leia este comentário encadeado, no entanto, as edições serão removidas se o arquivo for aberto em uma versão mais recente do Excel. Saiba mais: https://go.microsoft.com/fwlink/?linkid=870924
Comentário:
    Capacidad 06 camas- 1980€</t>
      </text>
    </comment>
    <comment ref="F3089" authorId="2354" shapeId="0" xr:uid="{F5D86780-D307-4393-9FA8-BF29A3B1FE42}">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090" authorId="2355" shapeId="0" xr:uid="{08B4EBF3-5E95-41BE-A50C-A01722D433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3091" authorId="2356" shapeId="0" xr:uid="{9ABD3EAE-A184-411A-AF26-3A4E067170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3092" authorId="2357" shapeId="0" xr:uid="{23CC948C-4A3A-4D2D-BD64-9D77AAB74046}">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095" authorId="2358" shapeId="0" xr:uid="{DAE14D08-7695-4F0F-8E0C-70013F4FCAD4}">
      <text>
        <t>[Comentário encadeado]
Sua versão do Excel permite que você leia este comentário encadeado, no entanto, as edições serão removidas se o arquivo for aberto em uma versão mais recente do Excel. Saiba mais: https://go.microsoft.com/fwlink/?linkid=870924
Comentário:
    Alquiler 300€, suministros 50€</t>
      </text>
    </comment>
    <comment ref="F3096" authorId="2359" shapeId="0" xr:uid="{5B09E469-973C-4AB7-A9CE-DD799C69CDF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097" authorId="2360" shapeId="0" xr:uid="{3CC1E136-26E4-4548-8CF6-1ECB6232C1DB}">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098" authorId="2361" shapeId="0" xr:uid="{A767EFDB-B37C-4730-98F4-B20E1083E90A}">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102" authorId="2362" shapeId="0" xr:uid="{52367791-5699-4F05-AD96-5EE3DE5F9A6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105" authorId="2363" shapeId="0" xr:uid="{941F2F20-B359-4F88-BF55-4229976E4B72}">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3106" authorId="2364" shapeId="0" xr:uid="{C5DD0392-DC36-4F5D-A77E-2FA0273CBD6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
Responder:
    ALQUILER  1500€ + I.V.A. 21% =315€  TOTAL A PAGAR: 1,815€  FIANZA     3000€   </t>
      </text>
    </comment>
    <comment ref="F3109" authorId="2365" shapeId="0" xr:uid="{6FC2F55B-E1F6-4863-B563-C70A39FAD165}">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1 cama · 1 huésped</t>
      </text>
    </comment>
    <comment ref="F3111" authorId="2366" shapeId="0" xr:uid="{330AF555-C126-45FD-8C9D-FB49C803B1F5}">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 camas separadas</t>
      </text>
    </comment>
    <comment ref="F3112" authorId="2367" shapeId="0" xr:uid="{1F5630A5-63D2-4432-927A-F2EE5D7E83A6}">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 camas separadas</t>
      </text>
    </comment>
    <comment ref="F3117" authorId="2368" shapeId="0" xr:uid="{3AE1478C-3191-4BE2-A14B-7AEA43C3D02F}">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18" authorId="2369" shapeId="0" xr:uid="{E774ED23-1481-45A4-AA16-CE8862D67BAE}">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19" authorId="2370" shapeId="0" xr:uid="{BFBB6C8C-C91A-4585-A575-3E06D4572BB9}">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20" authorId="2371" shapeId="0" xr:uid="{5E6B3241-C791-43A2-BBA8-B7144D1BFA60}">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21" authorId="2372" shapeId="0" xr:uid="{769FFCE6-C3D0-4865-99EE-3297DB40AE32}">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22" authorId="2373" shapeId="0" xr:uid="{0FFA3F8A-5CB5-4934-BCDC-73C041BFC41B}">
      <text>
        <t>[Comentário encadeado]
Sua versão do Excel permite que você leia este comentário encadeado, no entanto, as edições serão removidas se o arquivo for aberto em uma versão mais recente do Excel. Saiba mais: https://go.microsoft.com/fwlink/?linkid=870924
Comentário:
    1000€ ALQUILER, 1000€ FIANZA, 06 CAMAS</t>
      </text>
    </comment>
    <comment ref="F3134" authorId="2374" shapeId="0" xr:uid="{AB7468E0-5BA1-4F20-91D3-1DFF6E43509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135" authorId="2375" shapeId="0" xr:uid="{F204826D-8182-497E-B8B0-4511D21913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136" authorId="2376" shapeId="0" xr:uid="{1F0B6F2D-49AA-43A9-BF98-E8CC1CB5395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147" authorId="2377" shapeId="0" xr:uid="{330C0663-68AD-49B7-ABF6-27CF9F6784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48" authorId="2378" shapeId="0" xr:uid="{405FB5B9-0FF3-4052-A9FF-4897D9E8037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49" authorId="2379" shapeId="0" xr:uid="{1EC99EA9-5209-4ACD-8C1A-64C6835DEFD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50" authorId="2380" shapeId="0" xr:uid="{D54D64AF-76B8-47FE-B45C-890263746C8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152" authorId="2381" shapeId="0" xr:uid="{3BF68714-E1BE-46A5-97CF-6F7B8AAE5B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3153" authorId="2382" shapeId="0" xr:uid="{1274F073-92E7-4291-8270-C246C2D502DA}">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3154" authorId="2383" shapeId="0" xr:uid="{91BB2D13-B776-44BC-A9B7-1B75C1959C6C}">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155" authorId="2384" shapeId="0" xr:uid="{CDD48107-DE3B-4061-8863-64264500CD07}">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3162" authorId="2385" shapeId="0" xr:uid="{9E87FE1D-500E-4D9A-B184-29641126764D}">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163" authorId="2386" shapeId="0" xr:uid="{88E8D1BC-BB88-4415-89C1-2A65C2218014}">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3164" authorId="2387" shapeId="0" xr:uid="{4D54166A-2B36-4365-AEDB-D0E83F7E54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167" authorId="2388" shapeId="0" xr:uid="{1EA133A0-1269-446B-92CC-C1E619400306}">
      <text>
        <t>[Comentário encadeado]
Sua versão do Excel permite que você leia este comentário encadeado, no entanto, as edições serão removidas se o arquivo for aberto em uma versão mais recente do Excel. Saiba mais: https://go.microsoft.com/fwlink/?linkid=870924
Comentário:
    05 camas, fianza 100€</t>
      </text>
    </comment>
    <comment ref="F3168" authorId="2389" shapeId="0" xr:uid="{63169611-ACE5-471A-A85C-17DC9CA1D544}">
      <text>
        <t>[Comentário encadeado]
Sua versão do Excel permite que você leia este comentário encadeado, no entanto, as edições serão removidas se o arquivo for aberto em uma versão mais recente do Excel. Saiba mais: https://go.microsoft.com/fwlink/?linkid=870924
Comentário:
    05 camas, fianza 100€</t>
      </text>
    </comment>
    <comment ref="F3169" authorId="2390" shapeId="0" xr:uid="{761BA719-E99A-496C-ADEB-BAC898A1DD7F}">
      <text>
        <t>[Comentário encadeado]
Sua versão do Excel permite que você leia este comentário encadeado, no entanto, as edições serão removidas se o arquivo for aberto em uma versão mais recente do Excel. Saiba mais: https://go.microsoft.com/fwlink/?linkid=870924
Comentário:
    05 camas, fianza 100€</t>
      </text>
    </comment>
    <comment ref="F3170" authorId="2391" shapeId="0" xr:uid="{93FF0930-C8CE-4095-AFD4-2EA6345DDE7D}">
      <text>
        <t>[Comentário encadeado]
Sua versão do Excel permite que você leia este comentário encadeado, no entanto, as edições serão removidas se o arquivo for aberto em uma versão mais recente do Excel. Saiba mais: https://go.microsoft.com/fwlink/?linkid=870924
Comentário:
    05 camas, fianza 100€</t>
      </text>
    </comment>
    <comment ref="F3174" authorId="2392" shapeId="0" xr:uid="{A567B307-59A0-4C1C-902A-912A29E1F016}">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3175" authorId="2393" shapeId="0" xr:uid="{1219E53B-8CAC-4011-8662-3C72E06805C8}">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3180" authorId="2394" shapeId="0" xr:uid="{3064F75A-6B4C-46A6-8915-17416AB0FACE}">
      <text>
        <t>[Comentário encadeado]
Sua versão do Excel permite que você leia este comentário encadeado, no entanto, as edições serão removidas se o arquivo for aberto em uma versão mais recente do Excel. Saiba mais: https://go.microsoft.com/fwlink/?linkid=870924
Comentário:
    03 camas, 750€ alquiler, 750€ fianza</t>
      </text>
    </comment>
    <comment ref="F3181" authorId="2395" shapeId="0" xr:uid="{8910BF2E-67DA-49BE-85D5-8B533ABE90A7}">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185" authorId="2396" shapeId="0" xr:uid="{5AD4BBB6-4ED8-415C-B63B-088CF293CDD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3187" authorId="2397" shapeId="0" xr:uid="{DDD353AF-FC2D-433B-9A23-776299D28981}">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3199" authorId="2398" shapeId="0" xr:uid="{603BB9D3-15B3-48B7-9C18-1C7537B544EE}">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3200" authorId="2399" shapeId="0" xr:uid="{78D0194A-2539-44E7-9B0D-6B30FB90CFBA}">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3201" authorId="2400" shapeId="0" xr:uid="{DBAB89B7-1C1C-4DB5-B33D-564D3D959BDA}">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3202" authorId="2401" shapeId="0" xr:uid="{33340280-2C4C-44E3-894F-AE8DD3BFE516}">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3203" authorId="2402" shapeId="0" xr:uid="{3F03F01B-29AF-4AEB-9269-F79428AD5DF8}">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3204" authorId="2403" shapeId="0" xr:uid="{9D9ACAFC-25F5-4128-84DF-10125D46119C}">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3205" authorId="2404" shapeId="0" xr:uid="{4DEEA09C-A251-41CB-B5B8-072F594499B2}">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206" authorId="2405" shapeId="0" xr:uid="{3FC47DFD-750B-4D60-9E81-1E55FE781B58}">
      <text>
        <t>[Comentário encadeado]
Sua versão do Excel permite que você leia este comentário encadeado, no entanto, as edições serão removidas se o arquivo for aberto em uma versão mais recente do Excel. Saiba mais: https://go.microsoft.com/fwlink/?linkid=870924
Comentário:
    06 CAMAS, 1200€ ALQUILER+200€FIANZA= 1400€, 990 FIANZA</t>
      </text>
    </comment>
    <comment ref="F3207" authorId="2406" shapeId="0" xr:uid="{6B6707F0-72FC-4CBE-A2E0-AF292925E924}">
      <text>
        <t>[Comentário encadeado]
Sua versão do Excel permite que você leia este comentário encadeado, no entanto, as edições serão removidas se o arquivo for aberto em uma versão mais recente do Excel. Saiba mais: https://go.microsoft.com/fwlink/?linkid=870924
Comentário:
    06 CAMAS, 1200€ ALQUILER+200€FIANZA= 1400€, 990 FIANZA</t>
      </text>
    </comment>
    <comment ref="F3210" authorId="2407" shapeId="0" xr:uid="{FA2E57AD-A1F4-41C3-9DA8-3AC2ECBE719A}">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211" authorId="2408" shapeId="0" xr:uid="{2202554E-B33C-4C3E-B5B5-5D65F3C2D2B8}">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212" authorId="2409" shapeId="0" xr:uid="{D97D5DEE-FA8D-42DC-8C27-BE945A791840}">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213" authorId="2410" shapeId="0" xr:uid="{BD9EF908-A1AE-4613-B59C-FD33C278F26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3224" authorId="2411" shapeId="0" xr:uid="{306482F5-F8D3-438D-B300-523418C8A36F}">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229" authorId="2412" shapeId="0" xr:uid="{E538093D-510C-4DC6-B9C4-53FAAAB626AE}">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237" authorId="2413" shapeId="0" xr:uid="{A96E9ADC-4CD9-4403-937B-E075448C47E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3241" authorId="2414" shapeId="0" xr:uid="{B637C8F2-A45A-4096-B48E-DFD6442779F9}">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242" authorId="2415" shapeId="0" xr:uid="{0E4BE236-D976-4694-B189-BF97C59E4E5A}">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248" authorId="2416" shapeId="0" xr:uid="{26921666-49C8-4BE4-990A-8B99F9ED7B3A}">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3249" authorId="2417" shapeId="0" xr:uid="{8A7C1183-4596-4B56-A8C8-AEB04C9B085A}">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3253" authorId="2418" shapeId="0" xr:uid="{B40296F4-43B2-4D18-A2EA-DDB9D0C57A31}">
      <text>
        <t>[Comentário encadeado]
Sua versão do Excel permite que você leia este comentário encadeado, no entanto, as edições serão removidas se o arquivo for aberto em uma versão mais recente do Excel. Saiba mais: https://go.microsoft.com/fwlink/?linkid=870924
Comentário:
    4 Camas, 800€ FIANZA
800€ ALQUILER</t>
      </text>
    </comment>
    <comment ref="F3256" authorId="2419" shapeId="0" xr:uid="{AF8866BE-2DF9-4CAA-9735-58AFD1403D78}">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3257" authorId="2420" shapeId="0" xr:uid="{94B0ACDC-7AB0-4B9F-8723-673B21725C38}">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3258" authorId="2421" shapeId="0" xr:uid="{605A869B-EE1F-457D-AFE9-62F5D265EFE4}">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3259" authorId="2422" shapeId="0" xr:uid="{79C452EB-92E7-4A87-8441-7A3062108A5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1.450€ + Servicio de Limpieza 302,50€ =TOTAL 1.752,50€. Fianza 950€
</t>
      </text>
    </comment>
    <comment ref="F3260" authorId="2423" shapeId="0" xr:uid="{E4E038BB-31D6-4A2F-AAC1-5DABA4BD5D91}">
      <text>
        <t>[Comentário encadeado]
Sua versão do Excel permite que você leia este comentário encadeado, no entanto, as edições serão removidas se o arquivo for aberto em uma versão mais recente do Excel. Saiba mais: https://go.microsoft.com/fwlink/?linkid=870924
Comentário:
    2 habitaciones</t>
      </text>
    </comment>
    <comment ref="F3261" authorId="2424" shapeId="0" xr:uid="{4D072CC9-8F62-4640-918D-5221B24CDDA6}">
      <text>
        <t>[Comentário encadeado]
Sua versão do Excel permite que você leia este comentário encadeado, no entanto, as edições serão removidas se o arquivo for aberto em uma versão mais recente do Excel. Saiba mais: https://go.microsoft.com/fwlink/?linkid=870924
Comentário:
    2 habitaciones</t>
      </text>
    </comment>
    <comment ref="F3262" authorId="2425" shapeId="0" xr:uid="{7E4DEE03-068D-4240-AC4A-F9680335C01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3" authorId="2426" shapeId="0" xr:uid="{2F7EFF8B-7A47-4A17-A35E-3527628804F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4" authorId="2427" shapeId="0" xr:uid="{FD9C941E-C1F4-4AC5-881A-CFBEF9992A4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5" authorId="2428" shapeId="0" xr:uid="{B64BBC42-3CE4-4E4E-BE04-8509342CB2B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6" authorId="2429" shapeId="0" xr:uid="{99D3E448-4FA5-4E99-A60A-C12EBCBD92F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7" authorId="2430" shapeId="0" xr:uid="{629BB58E-E516-4885-B6AD-19680B9D6A3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8" authorId="2431" shapeId="0" xr:uid="{5F79F586-FA87-48E2-9F26-ACE7CC92A5F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69" authorId="2432" shapeId="0" xr:uid="{2E9FE2F7-7915-474E-893A-3A4799BC799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8 camas, Alquiler 1500€/mes 
Fianza 1000€ </t>
      </text>
    </comment>
    <comment ref="F3270" authorId="2433" shapeId="0" xr:uid="{F8F16B23-C23F-4109-8B67-364074B0BFAB}">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3271" authorId="2434" shapeId="0" xr:uid="{92597938-2E3F-4082-BED0-CCC48D6F936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3281" authorId="2435" shapeId="0" xr:uid="{45FA3F03-F739-4FE4-A3D6-51FFD246571D}">
      <text>
        <t>[Comentário encadeado]
Sua versão do Excel permite que você leia este comentário encadeado, no entanto, as edições serão removidas se o arquivo for aberto em uma versão mais recente do Excel. Saiba mais: https://go.microsoft.com/fwlink/?linkid=870924
Comentário:
    Capacidad para 6 personas</t>
      </text>
    </comment>
    <comment ref="F3282" authorId="2436" shapeId="0" xr:uid="{13EDD2E2-731E-4CF1-91BA-682FE6C26EC2}">
      <text>
        <t>[Comentário encadeado]
Sua versão do Excel permite que você leia este comentário encadeado, no entanto, as edições serão removidas se o arquivo for aberto em uma versão mais recente do Excel. Saiba mais: https://go.microsoft.com/fwlink/?linkid=870924
Comentário:
    Capacidad para 6 personas</t>
      </text>
    </comment>
    <comment ref="F3283" authorId="2437" shapeId="0" xr:uid="{4F0FA8BA-5CE7-49FE-B497-0927465929F7}">
      <text>
        <t>[Comentário encadeado]
Sua versão do Excel permite que você leia este comentário encadeado, no entanto, as edições serão removidas se o arquivo for aberto em uma versão mais recente do Excel. Saiba mais: https://go.microsoft.com/fwlink/?linkid=870924
Comentário:
    Capacidad para 6 personas</t>
      </text>
    </comment>
    <comment ref="F3284" authorId="2438" shapeId="0" xr:uid="{4A45A2AC-F426-4975-9486-69ED8A9F81CD}">
      <text>
        <t>[Comentário encadeado]
Sua versão do Excel permite que você leia este comentário encadeado, no entanto, as edições serão removidas se o arquivo for aberto em uma versão mais recente do Excel. Saiba mais: https://go.microsoft.com/fwlink/?linkid=870924
Comentário:
    Capacidad para 6 personas</t>
      </text>
    </comment>
    <comment ref="F3293" authorId="2439" shapeId="0" xr:uid="{17CAE662-E3EF-4664-BBC4-DFA9C6CE84EF}">
      <text>
        <t>[Comentário encadeado]
Sua versão do Excel permite que você leia este comentário encadeado, no entanto, as edições serão removidas se o arquivo for aberto em uma versão mais recente do Excel. Saiba mais: https://go.microsoft.com/fwlink/?linkid=870924
Comentário:
    4 camas 700 alquiler</t>
      </text>
    </comment>
    <comment ref="F3294" authorId="2440" shapeId="0" xr:uid="{BAC27246-4571-44F8-976C-5B8F9802DB10}">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3297" authorId="2441" shapeId="0" xr:uid="{3879B45C-DFD6-4A0A-BEE1-82A95594D88F}">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3303" authorId="2442" shapeId="0" xr:uid="{A2BBCA38-C39F-4291-877D-955CA699E5E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04" authorId="2443" shapeId="0" xr:uid="{2E119FAB-6B74-4162-B450-AE0A83EB7AAA}">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313" authorId="2444" shapeId="0" xr:uid="{8F98E019-EE9F-4915-B219-D466324D6643}">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315" authorId="2445" shapeId="0" xr:uid="{A61631BC-2E4F-494C-87B6-6ED50159DAB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16" authorId="2446" shapeId="0" xr:uid="{B69759B8-20CC-4D55-8B1C-F16E189CA3E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17" authorId="2447" shapeId="0" xr:uid="{07C1715B-B16A-4C6F-8F8E-19A8F1C360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18" authorId="2448" shapeId="0" xr:uid="{0DF72082-81C9-42E0-8B11-9AAC4823C4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20" authorId="2449" shapeId="0" xr:uid="{498802E6-1A9C-4526-AC40-2E5DB2F7DF7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25" authorId="2450" shapeId="0" xr:uid="{BFD0A3FA-7D87-40C1-91F4-D34622B57FAF}">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326" authorId="2451" shapeId="0" xr:uid="{024073FA-E089-4797-8493-493879F7A594}">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27" authorId="2452" shapeId="0" xr:uid="{6A22BF19-35A2-4DA9-96CB-A3D877F43976}">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29" authorId="2453" shapeId="0" xr:uid="{A54418D2-4F10-404D-AF52-C7AB640D21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330" authorId="2454" shapeId="0" xr:uid="{2E057CCF-D83F-424A-8CDB-10467D75670C}">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1" authorId="2455" shapeId="0" xr:uid="{4D48CE08-484F-413C-AE3C-9529198880AF}">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2" authorId="2456" shapeId="0" xr:uid="{D85DD310-F26D-4390-B4A5-02D33F526277}">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3" authorId="2457" shapeId="0" xr:uid="{910E30CA-3C7A-493B-8DC0-990316633816}">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4" authorId="2458" shapeId="0" xr:uid="{CDC6AE33-D082-44A8-A0FD-7C5484A9AD93}">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5" authorId="2459" shapeId="0" xr:uid="{19E2CF98-9822-49FC-BCC9-D727876E7C38}">
      <text>
        <t>[Comentário encadeado]
Sua versão do Excel permite que você leia este comentário encadeado, no entanto, as edições serão removidas se o arquivo for aberto em uma versão mais recente do Excel. Saiba mais: https://go.microsoft.com/fwlink/?linkid=870924
Comentário:
    6 Camas 2.400€ Alquiler.</t>
      </text>
    </comment>
    <comment ref="F3336" authorId="2460" shapeId="0" xr:uid="{1B59E44C-FAAE-49AF-9596-E053EE3EB1A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3337" authorId="2461" shapeId="0" xr:uid="{C1B8BD61-A615-4749-970B-AB2B66930ADE}">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3338" authorId="2462" shapeId="0" xr:uid="{51B86A22-EE38-4559-BB7F-437BA140CF1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680 fianza1.360</t>
      </text>
    </comment>
    <comment ref="F3339" authorId="2463" shapeId="0" xr:uid="{9090ABD9-CAC6-48F7-8E1F-83C34D11BDBB}">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3340" authorId="2464" shapeId="0" xr:uid="{83ED5102-C4AF-4CCB-B047-519EB8BBB50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41" authorId="2465" shapeId="0" xr:uid="{B04D74F7-C7C2-4E7D-9FD7-210B0144AD6F}">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342" authorId="2466" shapeId="0" xr:uid="{B898F1C0-5D14-4E4C-8962-C6FD8DBCC51A}">
      <text>
        <t>[Comentário encadeado]
Sua versão do Excel permite que você leia este comentário encadeado, no entanto, as edições serão removidas se o arquivo for aberto em uma versão mais recente do Excel. Saiba mais: https://go.microsoft.com/fwlink/?linkid=870924
Comentário:
    1 Habitacion</t>
      </text>
    </comment>
    <comment ref="F3347" authorId="2467" shapeId="0" xr:uid="{F0F4B3AC-34D0-46EE-9848-7BCA99E91084}">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3348" authorId="2468" shapeId="0" xr:uid="{B3E6C547-3176-4C1E-A224-6B1AA7A3F915}">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3350" authorId="2469" shapeId="0" xr:uid="{4D18895A-9E25-45CF-B92D-CC6685713CB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51" authorId="2470" shapeId="0" xr:uid="{8EAEC8DF-6DEE-4411-965E-CD2A8D81C1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52" authorId="2471" shapeId="0" xr:uid="{35AD16B7-0B96-452E-99EC-056C34DCDB61}">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3353" authorId="2472" shapeId="0" xr:uid="{172FCF0E-11CD-4266-9920-46313B48BFFF}">
      <text>
        <t>[Comentário encadeado]
Sua versão do Excel permite que você leia este comentário encadeado, no entanto, as edições serão removidas se o arquivo for aberto em uma versão mais recente do Excel. Saiba mais: https://go.microsoft.com/fwlink/?linkid=870924
Comentário:
    06 CAMAS, 1200€ ALQUILER+200€FIANZA= 1400€, 990 FIANZA</t>
      </text>
    </comment>
    <comment ref="F3361" authorId="2473" shapeId="0" xr:uid="{BC792874-A7E9-4484-B2B0-8D003350B07F}">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635 fianza1.270</t>
      </text>
    </comment>
    <comment ref="F3362" authorId="2474" shapeId="0" xr:uid="{22FE0545-B132-465F-B72B-F86FE21AA6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05 CAMAS </t>
      </text>
    </comment>
    <comment ref="F3363" authorId="2475" shapeId="0" xr:uid="{003F00A7-22AB-43E2-A3EF-D2AF2217192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05 CAMAS </t>
      </text>
    </comment>
    <comment ref="F3364" authorId="2476" shapeId="0" xr:uid="{98A680C0-FFF0-4CF3-8B59-2C8BA18D7E4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05 CAMAS </t>
      </text>
    </comment>
    <comment ref="F3366" authorId="2477" shapeId="0" xr:uid="{A53FF653-E9C9-41B7-AD61-3D54ED2C997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05 CAMAS </t>
      </text>
    </comment>
    <comment ref="Y3373" authorId="2478" shapeId="0" xr:uid="{C369737E-F30A-4D88-9096-594B17DD31D0}">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de la reserva 1350€.</t>
      </text>
    </comment>
    <comment ref="F3378" authorId="2479" shapeId="0" xr:uid="{47051E25-6C40-4EA6-9C41-CC3234016A1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379" authorId="2480" shapeId="0" xr:uid="{87E69C1F-6154-4447-B65F-29201FFEC000}">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3380" authorId="2481" shapeId="0" xr:uid="{34CBFF7F-2375-4D82-8F87-69C08E21F8BC}">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3381" authorId="2482" shapeId="0" xr:uid="{E2D54788-89E3-409D-B81A-9EBD486FC8A4}">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3383" authorId="2483" shapeId="0" xr:uid="{AA538E75-B4C7-45D5-A7E9-6307F052F778}">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3384" authorId="2484" shapeId="0" xr:uid="{0D82E1AC-9412-42DF-BB73-962CA8A10AC9}">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3385" authorId="2485" shapeId="0" xr:uid="{6F076383-2B72-4863-B893-5382AEB82999}">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386" authorId="2486" shapeId="0" xr:uid="{48399676-4B4F-46A4-9E4E-A79D0C56B278}">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389" authorId="2487" shapeId="0" xr:uid="{49244CD8-B86D-4297-ACA0-F30AB1BE49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3390" authorId="2488" shapeId="0" xr:uid="{649CA31E-206B-4E6D-8F87-5527960E897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3391" authorId="2489" shapeId="0" xr:uid="{90D114B9-B7F7-4F46-8421-188959E2320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3392" authorId="2490" shapeId="0" xr:uid="{85663759-0A3F-4D17-BA6D-67AF80D47A8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3393" authorId="2491" shapeId="0" xr:uid="{8FE14285-D702-4450-AC55-D25803C7B4B1}">
      <text>
        <t>[Comentário encadeado]
Sua versão do Excel permite que você leia este comentário encadeado, no entanto, as edições serão removidas se o arquivo for aberto em uma versão mais recente do Excel. Saiba mais: https://go.microsoft.com/fwlink/?linkid=870924
Comentário:
    03 camas, 750€ alquiler, 750€ fianza</t>
      </text>
    </comment>
    <comment ref="F3398" authorId="2492" shapeId="0" xr:uid="{D45CED43-08D9-489F-99D7-4D84A274C1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399" authorId="2493" shapeId="0" xr:uid="{082DCBA2-3949-44B4-A316-FAA2D9CC569F}">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400" authorId="2494" shapeId="0" xr:uid="{4DA18FE1-B288-4417-AF68-AB2CD88A67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3401" authorId="2495" shapeId="0" xr:uid="{BD0C0E22-697D-45E0-BF93-3D81A4BD7E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3402" authorId="2496" shapeId="0" xr:uid="{5D4CEF90-7D51-47DE-B2C8-395625E27A85}">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t>
      </text>
    </comment>
    <comment ref="F3403" authorId="2497" shapeId="0" xr:uid="{EF9B2435-EB39-405F-9543-3BE9FA794076}">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3404" authorId="2498" shapeId="0" xr:uid="{0BC45148-C115-4ADA-BFCB-999382946AF0}">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3406" authorId="2499" shapeId="0" xr:uid="{DE7F7FB0-E704-4941-A002-12A0B234D13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3410" authorId="2500" shapeId="0" xr:uid="{BF00BF45-A59A-4C08-8DC4-C1A4083D661F}">
      <text>
        <t>[Comentário encadeado]
Sua versão do Excel permite que você leia este comentário encadeado, no entanto, as edições serão removidas se o arquivo for aberto em uma versão mais recente do Excel. Saiba mais: https://go.microsoft.com/fwlink/?linkid=870924
Comentário:
    Tipo de cama: 4 camas individuales (90-130 cm de ancho), 1 cama doble (131-150 cm de ancho), 1 sofá cama (Tamaño variable).</t>
      </text>
    </comment>
    <comment ref="F3420" authorId="2501" shapeId="0" xr:uid="{F9D1D3A8-9F25-4416-817A-18C9C967C427}">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22" authorId="2502" shapeId="0" xr:uid="{93C8DD70-346E-467E-A0F9-72FF1F57CE69}">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23" authorId="2503" shapeId="0" xr:uid="{33BA4182-0EC1-4F99-A4B7-FFE651F5A195}">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25" authorId="2504" shapeId="0" xr:uid="{A3C3D329-B94B-4234-822E-9026E522D0C8}">
      <text>
        <t>[Comentário encadeado]
Sua versão do Excel permite que você leia este comentário encadeado, no entanto, as edições serão removidas se o arquivo for aberto em uma versão mais recente do Excel. Saiba mais: https://go.microsoft.com/fwlink/?linkid=870924
Comentário:
    06 CAMAS, 1200€ ALQUILER+200€FIANZA= 1400€, 990 FIANZA</t>
      </text>
    </comment>
    <comment ref="F3426" authorId="2505" shapeId="0" xr:uid="{DD426C12-8D6C-4BF7-BC00-2173DE28E133}">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28" authorId="2506" shapeId="0" xr:uid="{3321A15A-0646-41D9-8B28-BC4E1CA2E6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3429" authorId="2507" shapeId="0" xr:uid="{3398AB10-DFA1-4CF6-8F44-1B8B592D1F4B}">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30" authorId="2508" shapeId="0" xr:uid="{23917369-7D95-4F75-AFD0-E946E7B8721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3433" authorId="2509" shapeId="0" xr:uid="{350E9918-D7DE-43A1-B68C-3CB2D37E8655}">
      <text>
        <t>[Comentário encadeado]
Sua versão do Excel permite que você leia este comentário encadeado, no entanto, as edições serão removidas se o arquivo for aberto em uma versão mais recente do Excel. Saiba mais: https://go.microsoft.com/fwlink/?linkid=870924
Comentário:
    lojamiento entero · 4 camas · 4 viajeros </t>
      </text>
    </comment>
    <comment ref="F3434" authorId="2510" shapeId="0" xr:uid="{9F54791E-CB63-4A35-8FFB-F14A8AEBB899}">
      <text>
        <t>[Comentário encadeado]
Sua versão do Excel permite que você leia este comentário encadeado, no entanto, as edições serão removidas se o arquivo for aberto em uma versão mais recente do Excel. Saiba mais: https://go.microsoft.com/fwlink/?linkid=870924
Comentário:
    lojamiento entero · 4 camas · 4 viajeros </t>
      </text>
    </comment>
    <comment ref="F3437" authorId="2511" shapeId="0" xr:uid="{2E5AB5B4-CDE5-40AB-BAA2-9D414B751A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438" authorId="2512" shapeId="0" xr:uid="{4C69A0E1-3DF0-409C-A67E-18B88579FB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439" authorId="2513" shapeId="0" xr:uid="{BB9109C3-F3BD-4F67-8E09-8E1B26F4E7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442" authorId="2514" shapeId="0" xr:uid="{3E3412BB-4B7B-4A51-A879-01DD936FD170}">
      <text>
        <t>[Comentário encadeado]
Sua versão do Excel permite que você leia este comentário encadeado, no entanto, as edições serão removidas se o arquivo for aberto em uma versão mais recente do Excel. Saiba mais: https://go.microsoft.com/fwlink/?linkid=870924
Comentário:
    lojamiento entero · 4 camas · 4 viajeros </t>
      </text>
    </comment>
    <comment ref="F3443" authorId="2515" shapeId="0" xr:uid="{B32641ED-C7B6-426C-81CB-CCE0422B276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46" authorId="2516" shapeId="0" xr:uid="{C1617EDF-5094-4ED7-827C-4B44378024D6}">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t>
      </text>
    </comment>
    <comment ref="F3447" authorId="2517" shapeId="0" xr:uid="{D0EAF4FF-3220-42D7-A227-305ACC360FCC}">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3448" authorId="2518" shapeId="0" xr:uid="{2A18E5A0-BB05-4FE6-BF4A-48232278DF8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
Responder:
    Alojamiento para 4 personas, Valor 1.300€
Responder:
    Alojamiento para 4 personas, Valor 900€</t>
      </text>
    </comment>
    <comment ref="F3449" authorId="2519" shapeId="0" xr:uid="{89530158-DD9D-43C1-95CF-2D805DA22DC7}">
      <text>
        <t>[Comentário encadeado]
Sua versão do Excel permite que você leia este comentário encadeado, no entanto, as edições serão removidas se o arquivo for aberto em uma versão mais recente do Excel. Saiba mais: https://go.microsoft.com/fwlink/?linkid=870924
Comentário:
    1 Camas Alquiler 650</t>
      </text>
    </comment>
    <comment ref="F3450" authorId="2520" shapeId="0" xr:uid="{96F9D4AC-C242-46F0-9B05-A74C81DDF8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452" authorId="2521" shapeId="0" xr:uid="{61ED0CAE-3D58-4767-9855-2526AE93CFCC}">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455" authorId="2522" shapeId="0" xr:uid="{29B68F25-5BE8-4748-AB30-D1EC1C76C03D}">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de la reserva 1350€.</t>
      </text>
    </comment>
    <comment ref="F3456" authorId="2523" shapeId="0" xr:uid="{3A453C17-3064-43F6-9095-E700116030B3}">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de la reserva 1350€.</t>
      </text>
    </comment>
    <comment ref="F3457" authorId="2524" shapeId="0" xr:uid="{DE3141B1-8EA6-4F82-BCB4-BCF900D94B57}">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de la reserva 1350€.</t>
      </text>
    </comment>
    <comment ref="F3458" authorId="2525" shapeId="0" xr:uid="{73DB17F2-B3BD-4652-A78F-1F734A295383}">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de la reserva 1350€.</t>
      </text>
    </comment>
    <comment ref="F3459" authorId="2526" shapeId="0" xr:uid="{3CDDC04E-F48F-40CC-B2B5-DAC1ED155A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3460" authorId="2527" shapeId="0" xr:uid="{A6E876D5-608B-42E3-9C88-A2CD7F36181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465" authorId="2528" shapeId="0" xr:uid="{01598AFF-AAEE-4B78-AC95-C47B1DA03DB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66" authorId="2529" shapeId="0" xr:uid="{1ECB7218-9914-4D32-BD8F-81B2818335E3}">
      <text>
        <t>[Comentário encadeado]
Sua versão do Excel permite que você leia este comentário encadeado, no entanto, as edições serão removidas se o arquivo for aberto em uma versão mais recente do Excel. Saiba mais: https://go.microsoft.com/fwlink/?linkid=870924
Comentário:
    02 Habitaciones 
Hab 01 - 325€ Alquiler Mensual
Hab 02 - 325€ Alquiler Mensual</t>
      </text>
    </comment>
    <comment ref="F3468" authorId="2530" shapeId="0" xr:uid="{415622D6-0172-4383-AF4D-B8637288F98D}">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469" authorId="2531" shapeId="0" xr:uid="{37A92C3D-4F87-443A-885E-16DDE9285DE6}">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470" authorId="2532" shapeId="0" xr:uid="{F9382AC6-8EC4-454D-BC50-6A95A6BDC6CB}">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3471" authorId="2533" shapeId="0" xr:uid="{7084F3E6-B327-4834-9873-E8053F1B52C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3477" authorId="2534" shapeId="0" xr:uid="{7B6F84C4-6588-4CBD-9872-9D493D6C4B6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78" authorId="2535" shapeId="0" xr:uid="{FDE8D6E4-17DD-434C-BF78-B6ED6E53BC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81" authorId="2536" shapeId="0" xr:uid="{B2557E5F-F7ED-4F97-816B-DD95AF93602E}">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482" authorId="2537" shapeId="0" xr:uid="{D604602C-D1A9-411A-996A-EA5524536177}">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483" authorId="2538" shapeId="0" xr:uid="{6688FB90-246B-456B-BF34-1D42487B3DF2}">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484" authorId="2539" shapeId="0" xr:uid="{74CA2C2B-A9A8-48A7-9381-B318C61B3F9A}">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487" authorId="2540" shapeId="0" xr:uid="{EAB080D3-7028-4678-A77B-B06590B4926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488" authorId="2541" shapeId="0" xr:uid="{71BA20D5-CCE0-400E-B983-DECA4D8F9F5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489" authorId="2542" shapeId="0" xr:uid="{06C79EAA-A93D-4F09-80BB-8D00836D031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491" authorId="2543" shapeId="0" xr:uid="{E63008A0-E356-4A08-8EDB-63BD3D6EA2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96" authorId="2544" shapeId="0" xr:uid="{D4B1ACA8-F3CA-4DB3-837E-53745BD8F746}">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3497" authorId="2545" shapeId="0" xr:uid="{D775778B-0264-4454-A06C-0E0988872E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499" authorId="2546" shapeId="0" xr:uid="{C0137ED6-90BC-4E12-B5F6-C783DA7B383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01" authorId="2547" shapeId="0" xr:uid="{ADB912BD-FE17-4A6C-B626-220BECDC318A}">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3508" authorId="2548" shapeId="0" xr:uid="{ED8F7453-AA0D-4E3F-BF15-E8AFF502808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3509" authorId="2549" shapeId="0" xr:uid="{AEF63FBE-B511-4F89-9315-EA1AC7DC733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3510" authorId="2550" shapeId="0" xr:uid="{ADD663BB-71BC-4763-AC52-2E5771D191E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3511" authorId="2551" shapeId="0" xr:uid="{FD391530-8417-464A-B8D7-858B4D0D1F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t>
      </text>
    </comment>
    <comment ref="F3514" authorId="2552" shapeId="0" xr:uid="{B4E00271-55C2-4B57-B7B8-E507199C8E09}">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t>
      </text>
    </comment>
    <comment ref="F3515" authorId="2553" shapeId="0" xr:uid="{E012D76E-9BD2-4ABA-BE0F-9F1CDD3EF95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3516" authorId="2554" shapeId="0" xr:uid="{C0C5F6E5-6716-4D96-A7E0-874822B20F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17" authorId="2555" shapeId="0" xr:uid="{72F51FBF-8801-4040-8D14-AE7A83FCD614}">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518" authorId="2556" shapeId="0" xr:uid="{36A25A4A-EF0A-402C-BA58-3B106C6254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520" authorId="2557" shapeId="0" xr:uid="{060FBFE7-BAA3-4D18-9407-51F8B1DC9A27}">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3521" authorId="2558" shapeId="0" xr:uid="{3C5A0556-95F3-4C72-B15B-5F581BEC841B}">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3522" authorId="2559" shapeId="0" xr:uid="{1C392AAD-AB2B-4DF6-A862-1960C5843715}">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3523" authorId="2560" shapeId="0" xr:uid="{D363CACA-1857-4B06-9CFB-64EA0497A5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24" authorId="2561" shapeId="0" xr:uid="{025A69C9-BC2F-4B9A-B69F-E2D53B31E6D8}">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3532" authorId="2562" shapeId="0" xr:uid="{072523C6-2E54-4808-84E6-FCCBFF570C49}">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536" authorId="2563" shapeId="0" xr:uid="{3FD99B5A-AC80-4945-A69E-0A3593EF8E01}">
      <text>
        <t>[Comentário encadeado]
Sua versão do Excel permite que você leia este comentário encadeado, no entanto, as edições serão removidas se o arquivo for aberto em uma versão mais recente do Excel. Saiba mais: https://go.microsoft.com/fwlink/?linkid=870924
Comentário:
    03 habitaciones.04 camas 600 la mensualidad. 1200 fianza.
01 Cama de Kotrik</t>
      </text>
    </comment>
    <comment ref="F3538" authorId="2564" shapeId="0" xr:uid="{20E648FF-754E-4F42-B320-BA68A2BC79EB}">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539" authorId="2565" shapeId="0" xr:uid="{25317CA1-E6D1-4952-B153-10F3D2D9BDB4}">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3540" authorId="2566" shapeId="0" xr:uid="{DCB58205-858B-47B9-8A8A-69F8464D77C8}">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541" authorId="2567" shapeId="0" xr:uid="{23FCB753-544E-43DA-A046-97628393183B}">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3542" authorId="2568" shapeId="0" xr:uid="{21B32967-3937-4263-924E-6F215D5B761F}">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3544" authorId="2569" shapeId="0" xr:uid="{9F6B1829-32F7-451D-91AC-76379C216303}">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3545" authorId="2570" shapeId="0" xr:uid="{05D300E9-CFFB-42E0-A504-1AA584370AB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546" authorId="2571" shapeId="0" xr:uid="{57A002EF-4B58-45FB-AAF0-AB78943E8B5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547" authorId="2572" shapeId="0" xr:uid="{176CEB83-9AFF-4BD2-B90A-420B79CFE57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548" authorId="2573" shapeId="0" xr:uid="{ED0A7776-B3DB-4DE7-9A54-F8BF0D0617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549" authorId="2574" shapeId="0" xr:uid="{99C4E7A5-987D-47D8-BCBE-717FA44B30B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3550" authorId="2575" shapeId="0" xr:uid="{B7465C36-0B9F-4EB7-A125-13CBB3742982}">
      <text>
        <t>[Comentário encadeado]
Sua versão do Excel permite que você leia este comentário encadeado, no entanto, as edições serão removidas se o arquivo for aberto em uma versão mais recente do Excel. Saiba mais: https://go.microsoft.com/fwlink/?linkid=870924
Comentário:
    7 Camas</t>
      </text>
    </comment>
    <comment ref="F3569" authorId="2576" shapeId="0" xr:uid="{DBAC4A76-691D-4642-A1EE-29A034E88DB6}">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t>
      </text>
    </comment>
    <comment ref="F3571" authorId="2577" shapeId="0" xr:uid="{2A275099-36CD-4521-9F60-9599277C1E22}">
      <text>
        <t>[Comentário encadeado]
Sua versão do Excel permite que você leia este comentário encadeado, no entanto, as edições serão removidas se o arquivo for aberto em uma versão mais recente do Excel. Saiba mais: https://go.microsoft.com/fwlink/?linkid=870924
Comentário:
    1 Habitación, 28€/ Noche un mes entrando el 20/09</t>
      </text>
    </comment>
    <comment ref="F3572" authorId="2578" shapeId="0" xr:uid="{E54CF192-58DD-4DB0-B428-DD7B973F4B7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3575" authorId="2579" shapeId="0" xr:uid="{96883EE8-3173-4EBC-B12B-D0E0A2E1FD9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576" authorId="2580" shapeId="0" xr:uid="{27671C0E-BE45-443B-888B-699E9057E61E}">
      <text>
        <t>[Comentário encadeado]
Sua versão do Excel permite que você leia este comentário encadeado, no entanto, as edições serão removidas se o arquivo for aberto em uma versão mais recente do Excel. Saiba mais: https://go.microsoft.com/fwlink/?linkid=870924
Comentário:
    1 Habitación 300€ ALQUILER
300€ FIANZA</t>
      </text>
    </comment>
    <comment ref="F3581" authorId="2581" shapeId="0" xr:uid="{60669196-5C27-4792-9FB8-45512752C833}">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584" authorId="2582" shapeId="0" xr:uid="{5D7BC9A1-6BBD-4BC1-A211-1DF1F0A24C02}">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585" authorId="2583" shapeId="0" xr:uid="{933DA8A8-4601-4A3D-B871-41A6DA058553}">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3586" authorId="2584" shapeId="0" xr:uid="{0AC0B287-452D-4D7D-8F06-5690C0A6612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3587" authorId="2585" shapeId="0" xr:uid="{BB42F8E7-17A6-4EDC-ACED-75DD797803A3}">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590" authorId="2586" shapeId="0" xr:uid="{F3A1E825-3F78-4EC4-AC74-E269EE204A5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3592" authorId="2587" shapeId="0" xr:uid="{D4DA41A0-9756-46A1-A8EE-99AF4A4C4107}">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597" authorId="2588" shapeId="0" xr:uid="{902EA8F1-20F5-49A1-A9C5-B2ED1820DE64}">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3598" authorId="2589" shapeId="0" xr:uid="{99C46D2E-CEED-471C-B274-A35463A81ED6}">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3599" authorId="2590" shapeId="0" xr:uid="{27DF2588-58EE-491B-9D90-CA1ED38C1AC3}">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600" authorId="2591" shapeId="0" xr:uid="{6693E675-E2CB-4805-853D-A5DF302879B1}">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601" authorId="2592" shapeId="0" xr:uid="{041FAB15-44E4-4E89-9BB8-F1C78F212156}">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603" authorId="2593" shapeId="0" xr:uid="{6F90B259-5330-492B-9C0E-B57BE473C4DD}">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605" authorId="2594" shapeId="0" xr:uid="{6F367FC7-A694-48A8-9E15-EF3692C19009}">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
Responder:
    100€ 1 Cama adicional</t>
      </text>
    </comment>
    <comment ref="F3620" authorId="2595" shapeId="0" xr:uid="{D8992398-294B-4C35-B33C-151F429C212B}">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621" authorId="2596" shapeId="0" xr:uid="{F60810FC-1E6B-448F-91F5-2A93EED25014}">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DE BAÑO COMPARTIDO (2 CAMAS)</t>
      </text>
    </comment>
    <comment ref="F3622" authorId="2597" shapeId="0" xr:uid="{EC7D4640-E903-4E51-9DC7-FAC1429F298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3626" authorId="2598" shapeId="0" xr:uid="{E1E4F2AC-A7B1-4856-ADA7-7196B736F89C}">
      <text>
        <t>[Comentário encadeado]
Sua versão do Excel permite que você leia este comentário encadeado, no entanto, as edições serão removidas se o arquivo for aberto em uma versão mais recente do Excel. Saiba mais: https://go.microsoft.com/fwlink/?linkid=870924
Comentário:
    03 habitaciones.04 camas 600 la mensualidad. 1200 fianza.
01 Cama de Kotrik</t>
      </text>
    </comment>
    <comment ref="F3627" authorId="2599" shapeId="0" xr:uid="{4A873D36-38F7-4096-ADCA-6956D3625D4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28" authorId="2600" shapeId="0" xr:uid="{23D75984-8A3C-4EA3-AD72-EE5D9E49A39B}">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
Responder:
    100€ 1 Cama adicional</t>
      </text>
    </comment>
    <comment ref="F3629" authorId="2601" shapeId="0" xr:uid="{89BAC427-3019-4DA6-B582-50A67327CA8C}">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631" authorId="2602" shapeId="0" xr:uid="{743C87CE-BB50-4F29-B87D-89055BAF3BAC}">
      <text>
        <t>[Comentário encadeado]
Sua versão do Excel permite que você leia este comentário encadeado, no entanto, as edições serão removidas se o arquivo for aberto em uma versão mais recente do Excel. Saiba mais: https://go.microsoft.com/fwlink/?linkid=870924
Comentário:
    4 Camas, 800€ FIANZA
800€ ALQUILER</t>
      </text>
    </comment>
    <comment ref="F3632" authorId="2603" shapeId="0" xr:uid="{7EEB8DE2-F9A4-45E4-B551-30A1012CAA69}">
      <text>
        <t>[Comentário encadeado]
Sua versão do Excel permite que você leia este comentário encadeado, no entanto, as edições serão removidas se o arquivo for aberto em uma versão mais recente do Excel. Saiba mais: https://go.microsoft.com/fwlink/?linkid=870924
Comentário:
    4 Camas, 800€ FIANZA
800€ ALQUILER</t>
      </text>
    </comment>
    <comment ref="F3633" authorId="2604" shapeId="0" xr:uid="{3B59CE7E-E3EF-42AB-9DBE-C94C45B8F28B}">
      <text>
        <t>[Comentário encadeado]
Sua versão do Excel permite que você leia este comentário encadeado, no entanto, as edições serão removidas se o arquivo for aberto em uma versão mais recente do Excel. Saiba mais: https://go.microsoft.com/fwlink/?linkid=870924
Comentário:
    4 Camas, 800€ FIANZA
800€ ALQUILER</t>
      </text>
    </comment>
    <comment ref="F3634" authorId="2605" shapeId="0" xr:uid="{2210D30B-3279-4163-A020-BCC141D08C40}">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3635" authorId="2606" shapeId="0" xr:uid="{CA1C5FBD-CCDB-4AE8-8CB8-8DC96C9E704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647" authorId="2607" shapeId="0" xr:uid="{7596A6C7-8F0E-4B01-AB77-D3956254FCE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3649" authorId="2608" shapeId="0" xr:uid="{6313BB56-3BA6-42CE-929D-2ACA3666B0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50" authorId="2609" shapeId="0" xr:uid="{3903E6BC-13E2-4EBF-B19D-8C04BD3F2B1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651" authorId="2610" shapeId="0" xr:uid="{A3B165A7-7FC8-4C69-9726-2D8AC7A727F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2 PERSONAS</t>
      </text>
    </comment>
    <comment ref="F3653" authorId="2611" shapeId="0" xr:uid="{6F12D15F-3360-4F28-9967-582C43FBA1AF}">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654" authorId="2612" shapeId="0" xr:uid="{8D3DED8D-A219-4903-823B-C360D0F646BB}">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655" authorId="2613" shapeId="0" xr:uid="{60085503-953D-46C7-AB5E-E5216D6BC028}">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DE BAÑO COMPARTIDO (2 CAMAS)</t>
      </text>
    </comment>
    <comment ref="F3662" authorId="2614" shapeId="0" xr:uid="{0551D8B0-1C2F-447F-BA61-A54EF900DAAB}">
      <text>
        <t>[Comentário encadeado]
Sua versão do Excel permite que você leia este comentário encadeado, no entanto, as edições serão removidas se o arquivo for aberto em uma versão mais recente do Excel. Saiba mais: https://go.microsoft.com/fwlink/?linkid=870924
Comentário:
    1 Habitación.</t>
      </text>
    </comment>
    <comment ref="F3664" authorId="2615" shapeId="0" xr:uid="{D6C294DB-9B31-4EF7-A05A-D3BBE83C59F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665" authorId="2616" shapeId="0" xr:uid="{6DFED20F-3C0E-44BB-AD1F-92DE35400E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666" authorId="2617" shapeId="0" xr:uid="{A2AE359F-A06E-49E6-9B86-2943EC8193C8}">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3667" authorId="2618" shapeId="0" xr:uid="{6CEF72C9-EA5C-4846-BF8D-073C4444673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668" authorId="2619" shapeId="0" xr:uid="{B6B925A9-3A12-4F82-9007-4D971458265B}">
      <text>
        <t>[Comentário encadeado]
Sua versão do Excel permite que você leia este comentário encadeado, no entanto, as edições serão removidas se o arquivo for aberto em uma versão mais recente do Excel. Saiba mais: https://go.microsoft.com/fwlink/?linkid=870924
Comentário:
    06 CAMAS, 1320€ ALQUILER, 990 FIANZA</t>
      </text>
    </comment>
    <comment ref="F3669" authorId="2620" shapeId="0" xr:uid="{91CDA9E5-29D7-4A02-ADAA-B18A49A2715C}">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3670" authorId="2621" shapeId="0" xr:uid="{9DCC1BDB-43E7-4586-805C-DBC29F1E8449}">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3671" authorId="2622" shapeId="0" xr:uid="{55169048-F96B-4D47-8474-09C0C905D558}">
      <text>
        <t>[Comentário encadeado]
Sua versão do Excel permite que você leia este comentário encadeado, no entanto, as edições serão removidas se o arquivo for aberto em uma versão mais recente do Excel. Saiba mais: https://go.microsoft.com/fwlink/?linkid=870924
Comentário:
    06 CAMAS, 1320€ ALQUILER, 990 FIANZA</t>
      </text>
    </comment>
    <comment ref="F3681" authorId="2623" shapeId="0" xr:uid="{962B8A22-6748-453F-A4E7-5D14BDF8A685}">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3691" authorId="2624" shapeId="0" xr:uid="{A4BA6A22-B35F-4A78-9F5C-283EF8CFF563}">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697" authorId="2625" shapeId="0" xr:uid="{29BAC3A0-BB6E-493F-BE46-E1B7CD7F715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04" authorId="2626" shapeId="0" xr:uid="{A893CB3B-5D71-4735-A548-351F4C6E34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renta mes,1.200€ Fianza, 3 Habitacines con 4 camas </t>
      </text>
    </comment>
    <comment ref="F3705" authorId="2627" shapeId="0" xr:uid="{C94776B6-2157-48F0-9123-58273EA0004B}">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triple(para 3 personas)</t>
      </text>
    </comment>
    <comment ref="F3706" authorId="2628" shapeId="0" xr:uid="{AA9C2400-44FB-4ED9-8D99-EC92CD49290F}">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triple(para 3 personas)</t>
      </text>
    </comment>
    <comment ref="F3707" authorId="2629" shapeId="0" xr:uid="{82B1CFD5-A8F3-4158-BC5E-BA5635079421}">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triple(para 3 personas)</t>
      </text>
    </comment>
    <comment ref="F3710" authorId="2630" shapeId="0" xr:uid="{9100802B-9665-4B09-87BC-C1DA6531E150}">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3711" authorId="2631" shapeId="0" xr:uid="{44961C2E-3D83-4CDE-8548-5BE1C74315C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712" authorId="2632" shapeId="0" xr:uid="{B23F7DD1-AFB3-47A7-A3C5-9F3526C5613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714" authorId="2633" shapeId="0" xr:uid="{3F2B2DFC-1D87-4A5C-BE23-0FF06C3DDC76}">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3715" authorId="2634" shapeId="0" xr:uid="{556A6E27-8EF6-4496-8EF8-B136E18D9295}">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3716" authorId="2635" shapeId="0" xr:uid="{4618C570-7FE5-4ABF-B593-2D86C5DDB80A}">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3722" authorId="2636" shapeId="0" xr:uid="{A8CD1CA5-BBEE-4542-B942-D28B039C2AD5}">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3723" authorId="2637" shapeId="0" xr:uid="{E88B63DE-EBB8-4FED-84D3-43FED283461A}">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724" authorId="2638" shapeId="0" xr:uid="{ABC1646E-3F07-4A44-9705-C66626003A9F}">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725" authorId="2639" shapeId="0" xr:uid="{1849024A-59E2-47EC-A934-6BCBD224848D}">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3726" authorId="2640" shapeId="0" xr:uid="{0D5EA32B-F2FE-4461-AEF9-C3034FA58EAA}">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3728" authorId="2641" shapeId="0" xr:uid="{92076DCA-8C19-494E-B268-480C2E119BF1}">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3731" authorId="2642" shapeId="0" xr:uid="{64F68569-A6FA-4DE8-A752-CAD86FD8A6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732" authorId="2643" shapeId="0" xr:uid="{A7A2C59A-9064-47D3-BDE0-76943F7A476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3735" authorId="2644" shapeId="0" xr:uid="{41E41A38-2044-4396-9E7E-8205ADDC0B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738" authorId="2645" shapeId="0" xr:uid="{3C4ED14B-34B6-4BDD-A9A9-34F83CDDA888}">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739" authorId="2646" shapeId="0" xr:uid="{6CB2815E-D138-46F2-9346-B41EFA00DBE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3742" authorId="2647" shapeId="0" xr:uid="{E091D5FD-5859-45E9-BF8E-FC89871D9E16}">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
Responder:
    100€ 1 Cama adicional</t>
      </text>
    </comment>
    <comment ref="F3746" authorId="2648" shapeId="0" xr:uid="{E749C406-94C8-4A49-8A20-4A0417E2162F}">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1 cama · 1 huésped</t>
      </text>
    </comment>
    <comment ref="F3747" authorId="2649" shapeId="0" xr:uid="{EFE0A5BF-F469-40D2-8717-11B0E03CDE7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3748" authorId="2650" shapeId="0" xr:uid="{8F079594-CC5A-4906-8ABC-94EB8F5A2B6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3750" authorId="2651" shapeId="0" xr:uid="{596BE934-396B-4619-864A-8FE7F730B0F0}">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3752" authorId="2652" shapeId="0" xr:uid="{95096654-B988-443B-9CE6-FFB50945650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753" authorId="2653" shapeId="0" xr:uid="{2B4FF363-474E-4CB5-ABA0-86609EDB9E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754" authorId="2654" shapeId="0" xr:uid="{CAA6FB88-F79B-4CBC-92D5-AA1E09DC6EF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3755" authorId="2655" shapeId="0" xr:uid="{11B4D533-4B03-46A9-9D99-D57DFA921C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3762" authorId="2656" shapeId="0" xr:uid="{D91053CF-603A-475F-94EA-00A7B1C325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72" authorId="2657" shapeId="0" xr:uid="{3A952557-4EDD-4089-B1BC-CE39D1CC77BF}">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3773" authorId="2658" shapeId="0" xr:uid="{2D8EE770-EE5A-4FF5-B5C8-16B402A0B02B}">
      <text>
        <t>[Comentário encadeado]
Sua versão do Excel permite que você leia este comentário encadeado, no entanto, as edições serão removidas se o arquivo for aberto em uma versão mais recente do Excel. Saiba mais: https://go.microsoft.com/fwlink/?linkid=870924
Comentário:
    4 CAMAS 2.600€ Alquiler</t>
      </text>
    </comment>
    <comment ref="F3777" authorId="2659" shapeId="0" xr:uid="{3CA48A1F-7B92-458E-B8D1-803928B242D8}">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3778" authorId="2660" shapeId="0" xr:uid="{E5C4491B-2342-4D77-8589-E75CB64BF544}">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779" authorId="2661" shapeId="0" xr:uid="{34BBE77E-33AF-4C46-9AB5-7E3F5ABB9FF5}">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3780" authorId="2662" shapeId="0" xr:uid="{7A01C0B2-F52E-4DFE-9E6A-E5CB57E1ECD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781" authorId="2663" shapeId="0" xr:uid="{52B7CA2F-188D-4807-A0A7-96B8E9A2E613}">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3788" authorId="2664" shapeId="0" xr:uid="{7983D4D8-9957-4D8E-A7EF-E43BEB3B3E5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t>
      </text>
    </comment>
    <comment ref="F3789" authorId="2665" shapeId="0" xr:uid="{9C4CD642-A4C6-4168-99EF-D137A750508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90" authorId="2666" shapeId="0" xr:uid="{ED1EF2E0-A974-415E-865F-093E59758A4D}">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3792" authorId="2667" shapeId="0" xr:uid="{D9F43E6D-ABC5-4FC6-999F-9626F954AAA5}">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1 cama · 1 huésped</t>
      </text>
    </comment>
    <comment ref="F3795" authorId="2668" shapeId="0" xr:uid="{73698E4D-3631-4F0A-9D57-B08C6F4A7B6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797" authorId="2669" shapeId="0" xr:uid="{4E37636F-34F0-4B67-ABA2-E5A535DB44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798" authorId="2670" shapeId="0" xr:uid="{285E3AEE-96DD-4158-8F62-72B1857A6D55}">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3799" authorId="2671" shapeId="0" xr:uid="{A1BF0094-5F6E-4610-BCEF-E30E6030497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3800" authorId="2672" shapeId="0" xr:uid="{BA92EC98-5165-44AB-AE43-9357423A232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3801" authorId="2673" shapeId="0" xr:uid="{B17D2292-E284-4A78-B596-2B67F8BB98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3802" authorId="2674" shapeId="0" xr:uid="{50B7CA02-E491-4BED-BCA1-671A49F264C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3803" authorId="2675" shapeId="0" xr:uid="{C2B480BD-6034-49DB-9186-585EE7514A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06" authorId="2676" shapeId="0" xr:uid="{1DAD0B23-FCD1-406C-AEF7-254F40C20B05}">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3807" authorId="2677" shapeId="0" xr:uid="{335DFF45-F61D-4892-A746-98BCCB2BEBB6}">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808" authorId="2678" shapeId="0" xr:uid="{CC83C4DC-C906-4371-BEB2-44387688AC6F}">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809" authorId="2679" shapeId="0" xr:uid="{A1E91C76-7AAC-411A-9BD4-A84EB37EF5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3815" authorId="2680" shapeId="0" xr:uid="{B6EDE74C-2DBA-45C0-B1FF-FA301B591BA7}">
      <text>
        <t>[Comentário encadeado]
Sua versão do Excel permite que você leia este comentário encadeado, no entanto, as edições serão removidas se o arquivo for aberto em uma versão mais recente do Excel. Saiba mais: https://go.microsoft.com/fwlink/?linkid=870924
Comentário:
    450€ ALQUILER
450€ FIANZA</t>
      </text>
    </comment>
    <comment ref="F3817" authorId="2681" shapeId="0" xr:uid="{E6C1A454-CCE5-442C-AA90-C1288B48552B}">
      <text>
        <t>[Comentário encadeado]
Sua versão do Excel permite que você leia este comentário encadeado, no entanto, as edições serão removidas se o arquivo for aberto em uma versão mais recente do Excel. Saiba mais: https://go.microsoft.com/fwlink/?linkid=870924
Comentário:
    3 Camas----&gt;Estancia 1 mes Habitación doble Alquiler 500€+ fianza: 500€
Estancia 1 mes Habitación individual Alquiler 365€ + fianza: 365€</t>
      </text>
    </comment>
    <comment ref="F3818" authorId="2682" shapeId="0" xr:uid="{B000C5E3-942F-4D75-BA16-534E334F52B3}">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3821" authorId="2683" shapeId="0" xr:uid="{786C815D-5D2C-435F-B0B0-05E5BC18E90B}">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3823" authorId="2684" shapeId="0" xr:uid="{4147A98F-BB87-43F3-B40D-90D6A8CF0A0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824" authorId="2685" shapeId="0" xr:uid="{F93DD627-432A-43B5-8A0D-1CEB6523013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825" authorId="2686" shapeId="0" xr:uid="{A78D2C33-E5D4-4CE2-A8BA-F921B9459CA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826" authorId="2687" shapeId="0" xr:uid="{9FB1B0D9-56A3-417C-B131-450F9D81FF4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3827" authorId="2688" shapeId="0" xr:uid="{F66C45A8-B31B-4699-AFA5-9B22171A4EBC}">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3828" authorId="2689" shapeId="0" xr:uid="{68C6A49C-ED06-4C71-9DED-21678BA6DEFD}">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831" authorId="2690" shapeId="0" xr:uid="{4B096392-0F37-4C0C-9BC4-186114405685}">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3833" authorId="2691" shapeId="0" xr:uid="{056F332A-16CD-4A7D-B6BD-20B004FB2431}">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840" authorId="2692" shapeId="0" xr:uid="{A7403897-3C3E-4154-AD44-7AE08F75DEA4}">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3844" authorId="2693" shapeId="0" xr:uid="{430AF534-9F63-4AD2-BB89-DD9CD195AA4E}">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849" authorId="2694" shapeId="0" xr:uid="{AB6455C4-17FA-49F2-A8F5-F68BA0728F4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3850" authorId="2695" shapeId="0" xr:uid="{EAC9CAC8-DB63-4A6B-935B-633F4963455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3851" authorId="2696" shapeId="0" xr:uid="{2A781D0F-1545-4E8F-B05A-F704FBE70AF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3852" authorId="2697" shapeId="0" xr:uid="{A41B5AA5-969D-40D0-877B-AADA6FD4ECF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3853" authorId="2698" shapeId="0" xr:uid="{B6BB02CE-0321-4F6C-928D-4AD787682AD6}">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3854" authorId="2699" shapeId="0" xr:uid="{135C2474-C58C-4156-AB90-1207B102D00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55" authorId="2700" shapeId="0" xr:uid="{39496E85-4E0C-491B-ABCF-4BC99F43211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57" authorId="2701" shapeId="0" xr:uid="{A44A9A6E-8157-4B94-A53F-F729EE17ABA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858" authorId="2702" shapeId="0" xr:uid="{DDBAD852-7CB8-426A-B458-A17CDCCFB0BD}">
      <text>
        <t>[Comentário encadeado]
Sua versão do Excel permite que você leia este comentário encadeado, no entanto, as edições serão removidas se o arquivo for aberto em uma versão mais recente do Excel. Saiba mais: https://go.microsoft.com/fwlink/?linkid=870924
Comentário:
    Alquiler vivienda para 2 personas</t>
      </text>
    </comment>
    <comment ref="F3859" authorId="2703" shapeId="0" xr:uid="{A8CFAF6D-1243-43F5-8401-067591F79A11}">
      <text>
        <t>[Comentário encadeado]
Sua versão do Excel permite que você leia este comentário encadeado, no entanto, as edições serão removidas se o arquivo for aberto em uma versão mais recente do Excel. Saiba mais: https://go.microsoft.com/fwlink/?linkid=870924
Comentário:
    Alquiler vivienda para 2 personas</t>
      </text>
    </comment>
    <comment ref="F3860" authorId="2704" shapeId="0" xr:uid="{E5289EF9-2536-44F6-8491-B9F7787CB46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861" authorId="2705" shapeId="0" xr:uid="{E41DD1A4-C3AC-4E64-8581-CDE5B97E4ED6}">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3862" authorId="2706" shapeId="0" xr:uid="{5AE3595C-298B-450D-AF3F-F75D3A48E3ED}">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863" authorId="2707" shapeId="0" xr:uid="{27FA4AE2-C4A4-47A0-AE84-4EE71F19E855}">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3865" authorId="2708" shapeId="0" xr:uid="{9B22F1AC-6935-471D-BC95-6DB52A4EE1C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con camas individuales.
2 Habitaciones camas individuales
</t>
      </text>
    </comment>
    <comment ref="F3869" authorId="2709" shapeId="0" xr:uid="{A6AA03A8-90C8-4348-8891-52D3E3CDE5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3870" authorId="2710" shapeId="0" xr:uid="{35D48414-CACD-41E3-81D6-082EE4EC847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3871" authorId="2711" shapeId="0" xr:uid="{910C0763-2AA8-4E8A-BF52-7962150C5CC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3872" authorId="2712" shapeId="0" xr:uid="{7FD9F992-904B-44E6-BB53-0E4BE0A2987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3873" authorId="2713" shapeId="0" xr:uid="{ABE6F771-1542-4210-97AA-240AF83824E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3874" authorId="2714" shapeId="0" xr:uid="{12C7FEF4-B1E3-4F88-AB50-5BDE5CA25B35}">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3875" authorId="2715" shapeId="0" xr:uid="{F213B1EF-C2D2-4F54-93E1-48406B54DAD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3876" authorId="2716" shapeId="0" xr:uid="{FE77DAAB-0357-4D81-94C0-4CCB9608927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3878" authorId="2717" shapeId="0" xr:uid="{BD6AC9AC-FBB1-4682-97AB-4C87A2532B41}">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F3879" authorId="2718" shapeId="0" xr:uid="{36248885-9A3A-4B7B-976E-CF7C60FDD3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3880" authorId="2719" shapeId="0" xr:uid="{0B1955D2-584E-42AF-9873-85B3B6D11815}">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F3881" authorId="2720" shapeId="0" xr:uid="{94F054FD-ABD6-4A12-9865-4AFACD08885B}">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3882" authorId="2721" shapeId="0" xr:uid="{49A523EB-64DD-470F-82CD-B82162935772}">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883" authorId="2722" shapeId="0" xr:uid="{22C827D0-8129-4696-9CC1-AAD26CC574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3886" authorId="2723" shapeId="0" xr:uid="{6DB76A80-7643-43A0-8A1E-9BA0B4352E7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2 apartamento DOBLES </t>
      </text>
    </comment>
    <comment ref="F3887" authorId="2724" shapeId="0" xr:uid="{4A4DDB47-A989-443A-B0DF-27FF618087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340€ ALQULER + 55€ SUMINISTROS =395€ TOTAL. 500 FIANZA
</t>
      </text>
    </comment>
    <comment ref="F3889" authorId="2725" shapeId="0" xr:uid="{E1F71160-FE33-4600-90C2-43448DA9477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355€ ALQULER + 55€ SUMINISTROS =410€ TOTAL. 500 FIANZA
</t>
      </text>
    </comment>
    <comment ref="F3890" authorId="2726" shapeId="0" xr:uid="{6EB51223-09B7-4726-9195-B8698E7D2A7C}">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 2 Camas, Alquiler 620€ + 110€ suministros, Fianza 600€</t>
      </text>
    </comment>
    <comment ref="F3891" authorId="2727" shapeId="0" xr:uid="{190F54D3-154D-4865-9F6B-86A0F347E102}">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 2 Camas, Alquiler 620€ + 110€ suministros, Fianza 600€</t>
      </text>
    </comment>
    <comment ref="F3892" authorId="2728" shapeId="0" xr:uid="{DC21B7CB-BB74-47CA-B57C-335DB3863C59}">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893" authorId="2729" shapeId="0" xr:uid="{6031CFD4-A3B2-45D2-B2DC-C23F719D5753}">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3898" authorId="2730" shapeId="0" xr:uid="{DE3F4BE7-FA14-430C-B935-B66E4DBCD5D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3900" authorId="2731" shapeId="0" xr:uid="{44622A25-972D-4EDD-80A5-3C7203A9704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01" authorId="2732" shapeId="0" xr:uid="{67F28724-FFEA-4F4A-83E1-EAE6CCFAEA8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02" authorId="2733" shapeId="0" xr:uid="{2B97B696-3D37-4B90-A193-96E9FC42845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con camas individuales.
2 Habitaciones camas individuales
</t>
      </text>
    </comment>
    <comment ref="F3903" authorId="2734" shapeId="0" xr:uid="{4CA4072E-BB58-409B-BDA9-8B9FD41F5320}">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904" authorId="2735" shapeId="0" xr:uid="{7F8E20A3-149E-4896-9E5F-EAC2074F0F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355€ ALQULER + 55€ SUMINISTROS =410€ TOTAL. 500 FIANZA
</t>
      </text>
    </comment>
    <comment ref="F3905" authorId="2736" shapeId="0" xr:uid="{010BAD96-6B9F-4876-8043-840E95DF814B}">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3906" authorId="2737" shapeId="0" xr:uid="{CC54B2F6-A7B1-4DDC-A494-7120D630773A}">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3907" authorId="2738" shapeId="0" xr:uid="{55F7AE48-AAA9-4C58-8B46-211844D0A2A1}">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3908" authorId="2739" shapeId="0" xr:uid="{F7A458D9-6BCE-46E9-BA98-EB2C50A603AD}">
      <text>
        <t>[Comentário encadeado]
Sua versão do Excel permite que você leia este comentário encadeado, no entanto, as edições serão removidas se o arquivo for aberto em uma versão mais recente do Excel. Saiba mais: https://go.microsoft.com/fwlink/?linkid=870924
Comentário:
    Alquiler vivienda para 2 personas</t>
      </text>
    </comment>
    <comment ref="F3909" authorId="2740" shapeId="0" xr:uid="{EA0F1A22-4EAC-4FC8-AB41-C3EB87CBFBAD}">
      <text>
        <t>[Comentário encadeado]
Sua versão do Excel permite que você leia este comentário encadeado, no entanto, as edições serão removidas se o arquivo for aberto em uma versão mais recente do Excel. Saiba mais: https://go.microsoft.com/fwlink/?linkid=870924
Comentário:
    Alquiler vivienda para 2 personas</t>
      </text>
    </comment>
    <comment ref="F3910" authorId="2741" shapeId="0" xr:uid="{567867A3-F88F-45D2-8F26-6DB8DF706778}">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3911" authorId="2742" shapeId="0" xr:uid="{9B944A17-D379-49D5-A3AD-52C36CD3D92A}">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3912" authorId="2743" shapeId="0" xr:uid="{2894F2D0-7EF5-48FA-90E6-5627E3C2ED4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3913" authorId="2744" shapeId="0" xr:uid="{10E9F77F-CCDE-4EBD-94B7-B7E756F91480}">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3916" authorId="2745" shapeId="0" xr:uid="{9D40B6D9-D59C-4918-A5B6-8A5A2B3D7D7F}">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3922" authorId="2746" shapeId="0" xr:uid="{FA5D0AEF-F0E0-4319-BD68-111AF05F19E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40€ por noche</t>
      </text>
    </comment>
    <comment ref="F3926" authorId="2747" shapeId="0" xr:uid="{7B994293-2E65-4A17-8E88-903DF9C4376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3928" authorId="2748" shapeId="0" xr:uid="{E7BC8CE5-EAC6-4A3A-90A0-9774853171C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30" authorId="2749" shapeId="0" xr:uid="{7F90B996-C320-43A5-8A7F-E543CF352950}">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3931" authorId="2750" shapeId="0" xr:uid="{42CC47EC-550F-4446-9734-FF885F975A1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32" authorId="2751" shapeId="0" xr:uid="{E7349FB4-C15D-4857-9E94-013B918A260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33" authorId="2752" shapeId="0" xr:uid="{711BC88B-9E76-4D39-B691-EAAB238946D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40" authorId="2753" shapeId="0" xr:uid="{C3807482-304D-48A1-B8F1-46C82DEBC30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1" authorId="2754" shapeId="0" xr:uid="{18EB2D62-D22E-4D43-937E-EF33E0DA920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2" authorId="2755" shapeId="0" xr:uid="{C0B4650D-CE23-40DD-A4AD-FA458D582E6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3" authorId="2756" shapeId="0" xr:uid="{6C9B537D-D654-4ACB-9BCC-6CFF54A87FD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4" authorId="2757" shapeId="0" xr:uid="{DFDFC593-4770-4FD8-A3C9-CD6062E76F8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5" authorId="2758" shapeId="0" xr:uid="{42A92063-6607-4484-A9F6-BF8AE513A81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6" authorId="2759" shapeId="0" xr:uid="{E471EEF9-F729-4625-AAEE-04E60EE2F8C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7" authorId="2760" shapeId="0" xr:uid="{989FE166-F0CB-423B-BF08-8BFC8BBE767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49" authorId="2761" shapeId="0" xr:uid="{4F5F9436-753A-44C4-A337-8F965B3D573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50" authorId="2762" shapeId="0" xr:uid="{0636CDB5-F62A-49EC-B890-029EB4CFEAA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51" authorId="2763" shapeId="0" xr:uid="{8555CEFE-985B-44B5-B602-850E529AF75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52" authorId="2764" shapeId="0" xr:uid="{505F59F7-7BF4-4781-923E-9C70FB8E5A7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53" authorId="2765" shapeId="0" xr:uid="{FBB9F597-61EC-4F4A-8A52-0E355CD8978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54" authorId="2766" shapeId="0" xr:uid="{DFB33D53-3180-4E51-9775-9C98840262A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55" authorId="2767" shapeId="0" xr:uid="{C35B22E5-5D61-487A-BCBB-CAF6045BA0EB}">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3956" authorId="2768" shapeId="0" xr:uid="{A0345D4E-926A-498B-B611-DDB3F8F7F41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3957" authorId="2769" shapeId="0" xr:uid="{AA761B4C-FE86-4B26-B55D-F529F76BCE39}">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3958" authorId="2770" shapeId="0" xr:uid="{868FB969-E31D-43EB-AE88-737F59DB4743}">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3960" authorId="2771" shapeId="0" xr:uid="{22A62B61-E651-4DB4-8C9E-7BA69D98B51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61" authorId="2772" shapeId="0" xr:uid="{B7C110C3-9F4E-4AA5-BB33-91B1B5952EE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62" authorId="2773" shapeId="0" xr:uid="{2CEE2724-87F9-4150-A886-8057AFA12BA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3963" authorId="2774" shapeId="0" xr:uid="{0F0018E8-A865-4C7A-90FF-FC2D02BAD34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3964" authorId="2775" shapeId="0" xr:uid="{4A585AA7-A5BC-4B7F-BCD4-F37DA5290A4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3965" authorId="2776" shapeId="0" xr:uid="{65CEB44A-0715-4E36-9D11-8C8F1BA3E4E7}">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t>
      </text>
    </comment>
    <comment ref="F3966" authorId="2777" shapeId="0" xr:uid="{7CAD85BC-83B2-498F-B239-CF21A6A39EAE}">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
Responder:
    100€ 1 Cama adicional</t>
      </text>
    </comment>
    <comment ref="F3967" authorId="2778" shapeId="0" xr:uid="{A59BD844-E3DE-4C7F-B335-48F487CBD7BA}">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970" authorId="2779" shapeId="0" xr:uid="{5133082F-F16B-490B-BCF3-495FA57FDDD8}">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
Responder:
    3 Camas Alquiler 1950€</t>
      </text>
    </comment>
    <comment ref="F3971" authorId="2780" shapeId="0" xr:uid="{F218E3FB-6138-4BC7-AFBE-E640BDB829B5}">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
Responder:
    3 Camas Alquiler 1950€</t>
      </text>
    </comment>
    <comment ref="F3972" authorId="2781" shapeId="0" xr:uid="{71FA86C8-0C25-4591-961A-819B3DCF0F0E}">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1300
Responder:
    3 Camas Alquiler 1950€</t>
      </text>
    </comment>
    <comment ref="F3975" authorId="2782" shapeId="0" xr:uid="{C9B7B64A-CFB6-40AD-A0DD-0445DBDEBAAE}">
      <text>
        <t>[Comentário encadeado]
Sua versão do Excel permite que você leia este comentário encadeado, no entanto, as edições serão removidas se o arquivo for aberto em uma versão mais recente do Excel. Saiba mais: https://go.microsoft.com/fwlink/?linkid=870924
Comentário:
    Alquiler Habitación - Septiembre-Octubre 310€
Fianza - 310€</t>
      </text>
    </comment>
    <comment ref="F3976" authorId="2783" shapeId="0" xr:uid="{17A8D90E-7D2C-4181-A69C-357A207515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3977" authorId="2784" shapeId="0" xr:uid="{CBE40A64-61B3-43AA-96B7-356A1378CF12}">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3978" authorId="2785" shapeId="0" xr:uid="{E3B4EFBC-39DA-4B9C-A2EE-BCC2F9DB85C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3980" authorId="2786" shapeId="0" xr:uid="{D6F4D2EB-B6ED-4D17-A6E0-98AFBC8ED589}">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3984" authorId="2787" shapeId="0" xr:uid="{F3A70356-79B6-42FA-BCFD-45197A7528D8}">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3989" authorId="2788" shapeId="0" xr:uid="{BB29BEF1-31AB-4ECC-BC6F-CD249A794FB0}">
      <text>
        <t>[Comentário encadeado]
Sua versão do Excel permite que você leia este comentário encadeado, no entanto, as edições serão removidas se o arquivo for aberto em uma versão mais recente do Excel. Saiba mais: https://go.microsoft.com/fwlink/?linkid=870924
Comentário:
    04 camas, 650€ alquiler</t>
      </text>
    </comment>
    <comment ref="F3990" authorId="2789" shapeId="0" xr:uid="{3C9BDDB6-3B65-429A-8EC4-AA411D240F61}">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3991" authorId="2790" shapeId="0" xr:uid="{61DBCD86-641D-4E44-80C3-9928F29EE0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3993" authorId="2791" shapeId="0" xr:uid="{1F6D7A4B-E473-4FC7-B926-8CD7CD16B896}">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3994" authorId="2792" shapeId="0" xr:uid="{C5C97FBE-925E-4077-A460-1D7EA49C6AE6}">
      <text>
        <t>[Comentário encadeado]
Sua versão do Excel permite que você leia este comentário encadeado, no entanto, as edições serão removidas se o arquivo for aberto em uma versão mais recente do Excel. Saiba mais: https://go.microsoft.com/fwlink/?linkid=870924
Comentário:
    Alquiler 500€ Fianza 300€</t>
      </text>
    </comment>
    <comment ref="F3995" authorId="2793" shapeId="0" xr:uid="{3368C7CB-9A2A-4438-9DEC-D65DFEC072C6}">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 camas individuales</t>
      </text>
    </comment>
    <comment ref="F3996" authorId="2794" shapeId="0" xr:uid="{58702381-B691-4867-9A35-D7578844A620}">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 camas individuales</t>
      </text>
    </comment>
    <comment ref="F3997" authorId="2795" shapeId="0" xr:uid="{F6079674-9364-411D-BFE7-B6E3B9866255}">
      <text>
        <t>[Comentário encadeado]
Sua versão do Excel permite que você leia este comentário encadeado, no entanto, as edições serão removidas se o arquivo for aberto em uma versão mais recente do Excel. Saiba mais: https://go.microsoft.com/fwlink/?linkid=870924
Comentário:
    1 Habitación triple, camas individuales</t>
      </text>
    </comment>
    <comment ref="F3998" authorId="2796" shapeId="0" xr:uid="{CE8FD150-074E-4BF1-9E88-9C5A5EEE6107}">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3999" authorId="2797" shapeId="0" xr:uid="{DF5A4B61-C963-43DD-AD65-3321A580C633}">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000" authorId="2798" shapeId="0" xr:uid="{3CD27F6E-1A94-4C3D-B0AE-05E19ED5E623}">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001" authorId="2799" shapeId="0" xr:uid="{923F3E8C-F202-4AF1-A140-9B2E295DCBA2}">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003" authorId="2800" shapeId="0" xr:uid="{B9E3A56C-C9C6-4DA7-B39F-F7A36CE43C7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2 camas · 1 huésped</t>
      </text>
    </comment>
    <comment ref="F4004" authorId="2801" shapeId="0" xr:uid="{C86A710F-EC06-4CE8-92BE-EED516F9A02F}">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4005" authorId="2802" shapeId="0" xr:uid="{0257A37C-A916-49F8-9983-936641E23C12}">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4006" authorId="2803" shapeId="0" xr:uid="{11C9539A-4C1A-413A-9876-80B199DE8331}">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4010" authorId="2804" shapeId="0" xr:uid="{9E986D02-9D6B-4B50-A9AE-F72ECB36B91A}">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012" authorId="2805" shapeId="0" xr:uid="{11909258-04C5-4513-B5BD-3D47E57F387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013" authorId="2806" shapeId="0" xr:uid="{D1DFED61-0C49-4E1D-A142-A103DAC2F80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014" authorId="2807" shapeId="0" xr:uid="{4F822932-B095-4F4F-A73C-F6F6F77CA6A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015" authorId="2808" shapeId="0" xr:uid="{691FD3E5-FE45-41D3-BD77-9DF043CEF4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16" authorId="2809" shapeId="0" xr:uid="{234E1A91-A7CF-4D7C-BA17-C8D8BF83FA7A}">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017" authorId="2810" shapeId="0" xr:uid="{54E79E39-41D5-4788-8A8A-976C5CB840B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4018" authorId="2811" shapeId="0" xr:uid="{129EF0D8-26B0-4AEA-ACCD-A269F482353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4019" authorId="2812" shapeId="0" xr:uid="{057B7BE8-9F77-4507-A965-6935071E5315}">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4024" authorId="2813" shapeId="0" xr:uid="{42AA905B-309B-4707-82AD-FBB75A05E7C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Camas, Alquiler 550€ Fianza 550€ </t>
      </text>
    </comment>
    <comment ref="F4025" authorId="2814" shapeId="0" xr:uid="{65EC3D51-2F39-4479-8DC5-3E30F0120AF2}">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4028" authorId="2815" shapeId="0" xr:uid="{BB473BCA-A3E4-43D5-A821-5A47ACBE1CEE}">
      <text>
        <t>[Comentário encadeado]
Sua versão do Excel permite que você leia este comentário encadeado, no entanto, as edições serão removidas se o arquivo for aberto em uma versão mais recente do Excel. Saiba mais: https://go.microsoft.com/fwlink/?linkid=870924
Comentário:
    06 camas, 500€ fianza</t>
      </text>
    </comment>
    <comment ref="F4029" authorId="2816" shapeId="0" xr:uid="{1770E2A7-B5AA-41E6-AD08-502A3ACB62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Y4029" authorId="155" shapeId="0" xr:uid="{10066215-9EFC-4E13-AFA2-99C206663893}">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2500 alquiler</t>
        </r>
      </text>
    </comment>
    <comment ref="F4030" authorId="2817" shapeId="0" xr:uid="{027311DB-73C8-45D5-92C4-8FB19E48A0A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32" authorId="2818" shapeId="0" xr:uid="{AED0448C-BF9B-43D7-BC24-C2C5E4E77734}">
      <text>
        <t>[Comentário encadeado]
Sua versão do Excel permite que você leia este comentário encadeado, no entanto, as edições serão removidas se o arquivo for aberto em uma versão mais recente do Excel. Saiba mais: https://go.microsoft.com/fwlink/?linkid=870924
Comentário:
    Habitación  1- 360€ alquiler + 55€ suministros (235€ parte proporcional mayo)
             500€ fianza</t>
      </text>
    </comment>
    <comment ref="F4033" authorId="2819" shapeId="0" xr:uid="{6A37A654-8C12-439E-92EC-86F5F66BA89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34" authorId="2820" shapeId="0" xr:uid="{0C51C226-9EDA-4588-9C85-0C670784B7D9}">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035" authorId="2821" shapeId="0" xr:uid="{29A5D592-6F09-445A-B87D-8D607516732D}">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4036" authorId="2822" shapeId="0" xr:uid="{A8B31F09-0593-493D-B164-63BA7FCA334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37" authorId="2823" shapeId="0" xr:uid="{C5CCDE92-E7B4-4305-8168-5EC1392159E2}">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4038" authorId="2824" shapeId="0" xr:uid="{9F45CF2A-8246-41BF-B50F-E095E19DE79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39" authorId="2825" shapeId="0" xr:uid="{B0BD99ED-A3C6-4087-9E0D-2F02B7B9359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40" authorId="2826" shapeId="0" xr:uid="{68393B3A-A6F5-4FC7-B71D-230119FA784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4041" authorId="2827" shapeId="0" xr:uid="{D6722568-BB79-4DFB-8022-161D9D69B5E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4042" authorId="2828" shapeId="0" xr:uid="{BD95149F-1F53-4CA7-8E37-D973F6B5F236}">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4043" authorId="2829" shapeId="0" xr:uid="{BE29CB1B-4416-46C0-AAC3-11B57EEDBE36}">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4044" authorId="2830" shapeId="0" xr:uid="{A1D1D80C-7608-40D5-A42C-F597465B1656}">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4045" authorId="2831" shapeId="0" xr:uid="{87DEF89A-4E79-4254-9C08-5F32F45F78D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46" authorId="2832" shapeId="0" xr:uid="{E926FC4E-B6C2-4F34-A9BE-1E8C2C7DF36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47" authorId="2833" shapeId="0" xr:uid="{BB066540-E72E-4CAB-B222-5672FC7A6D3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48" authorId="2834" shapeId="0" xr:uid="{42823856-5FF8-4C94-A889-E1BFCC9CBD0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49" authorId="2835" shapeId="0" xr:uid="{AAEF8A8E-8C67-4E7D-A195-C8AEB95943F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50" authorId="2836" shapeId="0" xr:uid="{7F3AAC35-561D-4F83-926E-A9259584B37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51" authorId="2837" shapeId="0" xr:uid="{B99B68E1-F6B8-40E0-A14B-69EC4127716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54" authorId="2838" shapeId="0" xr:uid="{7EED2392-EAF6-4CDF-B48A-888CFFB56A1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55" authorId="2839" shapeId="0" xr:uid="{1EA47DF3-9430-465D-901C-679744F1559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056" authorId="2840" shapeId="0" xr:uid="{0739E75B-C051-45C3-8DE6-CCAC97A5419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57" authorId="2841" shapeId="0" xr:uid="{8B86A5FC-1DDA-4129-B364-A961B214C53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58" authorId="2842" shapeId="0" xr:uid="{715C28C7-2018-4AB3-B506-2BD5815140B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59" authorId="2843" shapeId="0" xr:uid="{3B653C2D-F328-4DDA-BD92-581D047FE85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060" authorId="2844" shapeId="0" xr:uid="{AF8E74F6-73DB-4C96-8F97-0EA309D6B16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viajeros</t>
      </text>
    </comment>
    <comment ref="F4061" authorId="2845" shapeId="0" xr:uid="{30F170A7-8096-401A-8131-F91C6E66092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62" authorId="2846" shapeId="0" xr:uid="{567F6199-23F4-48C5-BE9C-C45358CD8C8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065" authorId="2847" shapeId="0" xr:uid="{6FC7AA39-DB88-4992-8610-D5BB45A595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renta mes,1.200€ Fianza, 3 Habitacines con 4 camas </t>
      </text>
    </comment>
    <comment ref="F4066" authorId="2848" shapeId="0" xr:uid="{5FA2191F-BF3A-4376-96E1-2995058E5016}">
      <text>
        <t>[Comentário encadeado]
Sua versão do Excel permite que você leia este comentário encadeado, no entanto, as edições serão removidas se o arquivo for aberto em uma versão mais recente do Excel. Saiba mais: https://go.microsoft.com/fwlink/?linkid=870924
Comentário:
    4 CAMAS 2.600€ Alquiler</t>
      </text>
    </comment>
    <comment ref="F4068" authorId="2849" shapeId="0" xr:uid="{9F8F2F32-E0CF-4AFF-9711-4DFD2C2B6A50}">
      <text>
        <t>[Comentário encadeado]
Sua versão do Excel permite que você leia este comentário encadeado, no entanto, as edições serão removidas se o arquivo for aberto em uma versão mais recente do Excel. Saiba mais: https://go.microsoft.com/fwlink/?linkid=870924
Comentário:
    (para 5 personas)</t>
      </text>
    </comment>
    <comment ref="F4069" authorId="2850" shapeId="0" xr:uid="{942F5EC9-77BC-48C1-8387-0619A47FAB42}">
      <text>
        <t>[Comentário encadeado]
Sua versão do Excel permite que você leia este comentário encadeado, no entanto, as edições serão removidas se o arquivo for aberto em uma versão mais recente do Excel. Saiba mais: https://go.microsoft.com/fwlink/?linkid=870924
Comentário:
    (para 5 personas)</t>
      </text>
    </comment>
    <comment ref="F4070" authorId="2851" shapeId="0" xr:uid="{35871FFA-AF21-407D-AAA5-AF524949E3D9}">
      <text>
        <t>[Comentário encadeado]
Sua versão do Excel permite que você leia este comentário encadeado, no entanto, as edições serão removidas se o arquivo for aberto em uma versão mais recente do Excel. Saiba mais: https://go.microsoft.com/fwlink/?linkid=870924
Comentário:
    (para 5 personas)</t>
      </text>
    </comment>
    <comment ref="F4071" authorId="2852" shapeId="0" xr:uid="{CC606D08-9161-43FF-9A27-0602AA9218A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72" authorId="2853" shapeId="0" xr:uid="{C1B18ADE-BC3D-44BD-B72D-88C9B5C1DE8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4073" authorId="2854" shapeId="0" xr:uid="{564BB934-4EC8-474E-83B7-D6AA5A09C89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4074" authorId="2855" shapeId="0" xr:uid="{ABB8EC05-EDB5-40EB-85DE-B20385616F3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4075" authorId="2856" shapeId="0" xr:uid="{88BC1C20-BEB7-4699-8B50-22A6FBB32E5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76" authorId="2857" shapeId="0" xr:uid="{ABCDC761-8F0F-478B-BD59-8DD21E7A31E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77" authorId="2858" shapeId="0" xr:uid="{5857BD4F-E68C-4EAA-8D44-1966D5D53FB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78" authorId="2859" shapeId="0" xr:uid="{7B3D6223-C3D9-48B8-80B4-F246BBA032A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79" authorId="2860" shapeId="0" xr:uid="{3BCEB0FB-4B98-49AA-B7FE-93E52CB4399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80" authorId="2861" shapeId="0" xr:uid="{0BFE771F-8696-4F5D-BDDC-CB898B8E1F0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81" authorId="2862" shapeId="0" xr:uid="{5F9A5089-A995-4DC2-BC55-5F39BC78F2E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82" authorId="2863" shapeId="0" xr:uid="{A7FBC83E-061E-4773-B555-31C3BB3F9BC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83" authorId="2864" shapeId="0" xr:uid="{59CC910E-2B12-4E5F-80A6-00869F13224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84" authorId="2865" shapeId="0" xr:uid="{EEB8122A-829B-4455-B057-B3C79E68303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085" authorId="2866" shapeId="0" xr:uid="{45564437-3EEA-4431-8FC3-884BF3A75C5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86" authorId="2867" shapeId="0" xr:uid="{DD1082A8-38C9-4E51-8D9A-5C3DD360CD7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087" authorId="2868" shapeId="0" xr:uid="{5B2089A7-853C-4829-8B78-E364134F740D}">
      <text>
        <t>[Comentário encadeado]
Sua versão do Excel permite que você leia este comentário encadeado, no entanto, as edições serão removidas se o arquivo for aberto em uma versão mais recente do Excel. Saiba mais: https://go.microsoft.com/fwlink/?linkid=870924
Comentário:
    4 apartamentos (para 8 personas) </t>
      </text>
    </comment>
    <comment ref="F4088" authorId="2869" shapeId="0" xr:uid="{533F90A3-3504-47B8-8F67-37311FE1AE7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t>
      </text>
    </comment>
    <comment ref="F4089" authorId="2870" shapeId="0" xr:uid="{F65DB190-CE53-4A91-8DE4-DAA4D6A387A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t>
      </text>
    </comment>
    <comment ref="F4090" authorId="2871" shapeId="0" xr:uid="{90319CC2-F890-4D43-904C-42990CDE3CC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t>
      </text>
    </comment>
    <comment ref="F4091" authorId="2872" shapeId="0" xr:uid="{892E5C96-572E-4968-85B3-BF0DB1F4D0A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t>
      </text>
    </comment>
    <comment ref="F4094" authorId="2873" shapeId="0" xr:uid="{3C2EC5EA-7575-49DD-82CF-C825AC87B31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96" authorId="2874" shapeId="0" xr:uid="{D0F63F20-01A3-4983-A501-0246999E1F5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4097" authorId="2875" shapeId="0" xr:uid="{A8F749E1-0D30-4B07-9B40-0C2EAFA97C8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098" authorId="2876" shapeId="0" xr:uid="{EA104E78-6CD8-4FB0-81F7-F363247E7780}">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099" authorId="2877" shapeId="0" xr:uid="{534F553A-0843-4215-88EF-D51878EE9ADB}">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4100" authorId="2878" shapeId="0" xr:uid="{068AAB0F-AD27-4612-BA16-9DC501837E1A}">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4101" authorId="2879" shapeId="0" xr:uid="{FEC333F4-A32A-4D4A-ACE8-5807CE2C316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102" authorId="2880" shapeId="0" xr:uid="{5038BDBC-1293-4EB6-BD6D-B16D32CA926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103" authorId="2881" shapeId="0" xr:uid="{AFE291C1-9929-4F6E-B1F5-BF8E251E5F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104" authorId="2882" shapeId="0" xr:uid="{32144F92-7CA3-4E3E-88F2-9963B0030009}">
      <text>
        <t>[Comentário encadeado]
Sua versão do Excel permite que você leia este comentário encadeado, no entanto, as edições serão removidas se o arquivo for aberto em uma versão mais recente do Excel. Saiba mais: https://go.microsoft.com/fwlink/?linkid=870924
Comentário:
    850€ alquiler, 850€ fianza, 03 camas</t>
      </text>
    </comment>
    <comment ref="F4105" authorId="2883" shapeId="0" xr:uid="{07460396-4682-4AD1-8941-C094940A1281}">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4107" authorId="2884" shapeId="0" xr:uid="{5A2BB269-71B8-4D1A-81C2-218667578A5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108" authorId="2885" shapeId="0" xr:uid="{1CC5F067-664A-4756-B362-0B72098C4EA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109" authorId="2886" shapeId="0" xr:uid="{D3519F78-785C-4CBF-A28A-DB357FA576D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110" authorId="2887" shapeId="0" xr:uid="{E0545591-AC64-4A86-9E80-98DF5B63B4A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40€ por noche</t>
      </text>
    </comment>
    <comment ref="F4111" authorId="2888" shapeId="0" xr:uid="{F868EE03-3860-4C89-80CF-D65F66B4D843}">
      <text>
        <t>[Comentário encadeado]
Sua versão do Excel permite que você leia este comentário encadeado, no entanto, as edições serão removidas se o arquivo for aberto em uma versão mais recente do Excel. Saiba mais: https://go.microsoft.com/fwlink/?linkid=870924
Comentário:
    1Doble - 1 o 2 camas. Baño 
privado 
1-Doble - 1 o 2 camas. Baño 
privado</t>
      </text>
    </comment>
    <comment ref="F4112" authorId="2889" shapeId="0" xr:uid="{FA6CCD81-E6A5-417D-94E9-17F9DFBF83F6}">
      <text>
        <t>[Comentário encadeado]
Sua versão do Excel permite que você leia este comentário encadeado, no entanto, as edições serão removidas se o arquivo for aberto em uma versão mais recente do Excel. Saiba mais: https://go.microsoft.com/fwlink/?linkid=870924
Comentário:
    1Doble - 1 o 2 camas. Baño 
privado 
1-Doble - 1 o 2 camas. Baño 
privado</t>
      </text>
    </comment>
    <comment ref="F4116" authorId="2890" shapeId="0" xr:uid="{A9124E1B-925B-4158-9776-B246899927E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118" authorId="2891" shapeId="0" xr:uid="{ECFB08A5-60BC-42A3-A807-E99EF173873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119" authorId="2892" shapeId="0" xr:uid="{2723C3FA-0D2D-4F50-8D2A-437A497D7EB7}">
      <text>
        <t>[Comentário encadeado]
Sua versão do Excel permite que você leia este comentário encadeado, no entanto, as edições serão removidas se o arquivo for aberto em uma versão mais recente do Excel. Saiba mais: https://go.microsoft.com/fwlink/?linkid=870924
Comentário:
    1Doble - 1 o 2 camas. Baño 
privado 
1-Doble - 1 o 2 camas. Baño 
privado</t>
      </text>
    </comment>
    <comment ref="F4121" authorId="2893" shapeId="0" xr:uid="{6935ACDC-0C21-426A-8DBA-9FFF66173420}">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122" authorId="2894" shapeId="0" xr:uid="{23A7212A-EDF3-491C-A243-70252EBEF56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123" authorId="2895" shapeId="0" xr:uid="{9D5CBC30-2957-4678-91C2-4DE9861B19C5}">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124" authorId="2896" shapeId="0" xr:uid="{83E649B2-C81D-4B93-88C4-ECA8147AAE6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125" authorId="2897" shapeId="0" xr:uid="{20F4B43E-D351-4DE0-91A7-40D63F250BF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126" authorId="2898" shapeId="0" xr:uid="{B8675434-5B63-4F61-9FCD-209D741BC3E6}">
      <text>
        <t>[Comentário encadeado]
Sua versão do Excel permite que você leia este comentário encadeado, no entanto, as edições serão removidas se o arquivo for aberto em uma versão mais recente do Excel. Saiba mais: https://go.microsoft.com/fwlink/?linkid=870924
Comentário:
    (para 4 personas) </t>
      </text>
    </comment>
    <comment ref="F4127" authorId="2899" shapeId="0" xr:uid="{85363CCC-1AF0-45CB-B965-798D385A0CF0}">
      <text>
        <t>[Comentário encadeado]
Sua versão do Excel permite que você leia este comentário encadeado, no entanto, as edições serão removidas se o arquivo for aberto em uma versão mais recente do Excel. Saiba mais: https://go.microsoft.com/fwlink/?linkid=870924
Comentário:
    (para 4 personas) </t>
      </text>
    </comment>
    <comment ref="F4128" authorId="2900" shapeId="0" xr:uid="{7FD0AE40-0633-435F-932B-0B9C15A0C260}">
      <text>
        <t>[Comentário encadeado]
Sua versão do Excel permite que você leia este comentário encadeado, no entanto, as edições serão removidas se o arquivo for aberto em uma versão mais recente do Excel. Saiba mais: https://go.microsoft.com/fwlink/?linkid=870924
Comentário:
    (para 4 personas) </t>
      </text>
    </comment>
    <comment ref="F4129" authorId="2901" shapeId="0" xr:uid="{C022ED0C-0266-4DF6-A6C3-88000D4126B6}">
      <text>
        <t>[Comentário encadeado]
Sua versão do Excel permite que você leia este comentário encadeado, no entanto, as edições serão removidas se o arquivo for aberto em uma versão mais recente do Excel. Saiba mais: https://go.microsoft.com/fwlink/?linkid=870924
Comentário:
    (para 4 personas) </t>
      </text>
    </comment>
    <comment ref="F4130" authorId="2902" shapeId="0" xr:uid="{E75B4531-6C35-42FF-8602-CF0E6F3EA862}">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131" authorId="2903" shapeId="0" xr:uid="{43375050-0906-4F6B-9660-61971B5D2B9F}">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132" authorId="2904" shapeId="0" xr:uid="{174FD9AA-3DA6-4E0A-A9A2-26835C87595E}">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133" authorId="2905" shapeId="0" xr:uid="{9A8E29D8-59DF-41FE-8E46-D0856523DF67}">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134" authorId="2906" shapeId="0" xr:uid="{73AE3BF7-B4A6-4FF8-87AB-AC000B7D47D8}">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4135" authorId="2907" shapeId="0" xr:uid="{66522F8F-48FE-4316-AFD5-DB6597DD6C0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4138" authorId="2908" shapeId="0" xr:uid="{CA87E1F5-738A-4A34-BE2E-5755291C59C1}">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140" authorId="2909" shapeId="0" xr:uid="{3D85DD4D-14C1-4AB4-A7BD-756FF6C8CC64}">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143" authorId="2910" shapeId="0" xr:uid="{DFA2C535-4119-4D84-8935-C27E2697A11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4144" authorId="2911" shapeId="0" xr:uid="{1A0795BC-A081-48FB-A213-74AF107E6BB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145" authorId="2912" shapeId="0" xr:uid="{EC2F284F-8B73-4EC7-8203-807854C3030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con camas individuales.
2 Habitaciones camas individuales
</t>
      </text>
    </comment>
    <comment ref="F4146" authorId="2913" shapeId="0" xr:uid="{F53EB438-311F-40F6-83C4-4678E437A4B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con camas individuales.
2 Habitaciones camas individuales
</t>
      </text>
    </comment>
    <comment ref="F4147" authorId="2914" shapeId="0" xr:uid="{F3154989-A3CB-46ED-83F7-47813EBE8E9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4148" authorId="2915" shapeId="0" xr:uid="{8558FC23-6721-4D2C-8CA3-37C1ABE20FC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149" authorId="2916" shapeId="0" xr:uid="{646E461B-6666-464B-9958-DBC394F33B93}">
      <text>
        <t>[Comentário encadeado]
Sua versão do Excel permite que você leia este comentário encadeado, no entanto, as edições serão removidas se o arquivo for aberto em uma versão mais recente do Excel. Saiba mais: https://go.microsoft.com/fwlink/?linkid=870924
Comentário:
    (para 5 personas)</t>
      </text>
    </comment>
    <comment ref="F4150" authorId="2917" shapeId="0" xr:uid="{9ABBF391-0FD3-432A-A66D-3AD30310469B}">
      <text>
        <t>[Comentário encadeado]
Sua versão do Excel permite que você leia este comentário encadeado, no entanto, as edições serão removidas se o arquivo for aberto em uma versão mais recente do Excel. Saiba mais: https://go.microsoft.com/fwlink/?linkid=870924
Comentário:
    (para 5 personas)</t>
      </text>
    </comment>
    <comment ref="F4151" authorId="2918" shapeId="0" xr:uid="{B993039C-A312-456D-94FF-FB6202FD1F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5 adultos - 3 semanas, 1 apartamento
</t>
      </text>
    </comment>
    <comment ref="F4152" authorId="2919" shapeId="0" xr:uid="{C2AC839F-9470-4AE3-81F5-E2237681D4F4}">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153" authorId="2920" shapeId="0" xr:uid="{5EABFC21-ECF3-4B33-93B3-D30561FD1360}">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154" authorId="2921" shapeId="0" xr:uid="{2A89633B-ACB0-428D-8EC7-4E8CFB7B3FFD}">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155" authorId="2922" shapeId="0" xr:uid="{DE7C3A5A-BBFC-43E9-88CD-CB4174E1177E}">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t>
      </text>
    </comment>
    <comment ref="F4156" authorId="2923" shapeId="0" xr:uid="{7C452EB9-48FC-4101-BDAB-27AC6029544D}">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4157" authorId="2924" shapeId="0" xr:uid="{C8DDFD1D-5CB3-4B2B-91A3-4A3113B53BE4}">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4158" authorId="2925" shapeId="0" xr:uid="{DB4619D2-0154-439F-93CC-31EDFAD42274}">
      <text>
        <t>[Comentário encadeado]
Sua versão do Excel permite que você leia este comentário encadeado, no entanto, as edições serão removidas se o arquivo for aberto em uma versão mais recente do Excel. Saiba mais: https://go.microsoft.com/fwlink/?linkid=870924
Comentário:
    04 camas, 1460€ alquiler, 1400€ fianza</t>
      </text>
    </comment>
    <comment ref="F4159" authorId="2926" shapeId="0" xr:uid="{9AB0638E-F6F4-43F8-9EC2-D29899EB1205}">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4160" authorId="2927" shapeId="0" xr:uid="{EBCBAEA3-3534-4F5E-9D05-C96100666D1E}">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4161" authorId="2928" shapeId="0" xr:uid="{1EC3AB5D-C207-440E-8207-C456DED80FF7}">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4162" authorId="2929" shapeId="0" xr:uid="{7AC702D5-405F-4C4A-99E4-EC3338BA5839}">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4163" authorId="2930" shapeId="0" xr:uid="{CC411A9E-F04A-46FD-8EEC-1EEA9A2B2B59}">
      <text>
        <t>[Comentário encadeado]
Sua versão do Excel permite que você leia este comentário encadeado, no entanto, as edições serão removidas se o arquivo for aberto em uma versão mais recente do Excel. Saiba mais: https://go.microsoft.com/fwlink/?linkid=870924
Comentário:
    500,00€ ( Alquiler/Mensual)
225€ (50% Fianza)
Total 725,00€</t>
      </text>
    </comment>
    <comment ref="F4164" authorId="2931" shapeId="0" xr:uid="{5ACAEF9A-FFCF-4D81-B039-DA49B671CBBF}">
      <text>
        <t>[Comentário encadeado]
Sua versão do Excel permite que você leia este comentário encadeado, no entanto, as edições serão removidas se o arquivo for aberto em uma versão mais recente do Excel. Saiba mais: https://go.microsoft.com/fwlink/?linkid=870924
Comentário:
    350€ALQUILER, 350€FIANZA, SE PAGO ABRIL</t>
      </text>
    </comment>
    <comment ref="F4165" authorId="2932" shapeId="0" xr:uid="{F857EA0B-2B40-4252-AC03-1077CBC8A525}">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4166" authorId="2933" shapeId="0" xr:uid="{9F73AF35-C47E-42A1-934C-F0EC46C1AA68}">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4167" authorId="2934" shapeId="0" xr:uid="{8C5E079F-5EDD-4793-A4C2-E0FC0E14A503}">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4168" authorId="2935" shapeId="0" xr:uid="{FD514486-DD8A-4661-94BF-5F04ED4505EB}">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F4169" authorId="2936" shapeId="0" xr:uid="{F72EC20A-2D83-4E2E-B075-C69719E93481}">
      <text>
        <t>[Comentário encadeado]
Sua versão do Excel permite que você leia este comentário encadeado, no entanto, as edições serão removidas se o arquivo for aberto em uma versão mais recente do Excel. Saiba mais: https://go.microsoft.com/fwlink/?linkid=870924
Comentário:
    1 Habitacion Alquiler 450</t>
      </text>
    </comment>
    <comment ref="F4170" authorId="2937" shapeId="0" xr:uid="{8B6F36B8-7FC8-4F75-8C5D-B3C011AAF2B7}">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alquiler 2250€.</t>
      </text>
    </comment>
    <comment ref="F4171" authorId="2938" shapeId="0" xr:uid="{8FDA4706-A78D-4ECF-A414-703D17AB5E69}">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alquiler 2250€.</t>
      </text>
    </comment>
    <comment ref="F4172" authorId="2939" shapeId="0" xr:uid="{D4AB0BBD-D526-4635-BD68-42BC44D79525}">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173" authorId="2940" shapeId="0" xr:uid="{88D40EB0-5C65-4360-8C2E-163AE1E28947}">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174" authorId="2941" shapeId="0" xr:uid="{49D550A4-9CF1-438C-98C9-3F4D9563AA0C}">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175" authorId="2942" shapeId="0" xr:uid="{5991FEA8-70A8-4BB6-AFBD-BAC1549B6C61}">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176" authorId="2943" shapeId="0" xr:uid="{34C4FBA9-0926-4DD9-BBA4-6DED8A7EE12C}">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177" authorId="2944" shapeId="0" xr:uid="{EED968C3-8C28-4A0A-959B-AF9260CF2F1A}">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178" authorId="2945" shapeId="0" xr:uid="{720E8BF8-5C2C-411C-B3AD-64193631BD01}">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179" authorId="2946" shapeId="0" xr:uid="{C8CF4D1C-F720-4F28-B851-3D2056CA7A84}">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t>
      </text>
    </comment>
    <comment ref="F4181" authorId="2947" shapeId="0" xr:uid="{3510F1E4-0434-4B33-9A95-BB5128CE7B32}">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182" authorId="2948" shapeId="0" xr:uid="{0D9077D0-0ABC-4D17-A1A9-0E6AFDDCD3ED}">
      <text>
        <t>[Comentário encadeado]
Sua versão do Excel permite que você leia este comentário encadeado, no entanto, as edições serão removidas se o arquivo for aberto em uma versão mais recente do Excel. Saiba mais: https://go.microsoft.com/fwlink/?linkid=870924
Comentário:
    Habitación  1- 360€ alquiler + 55€ suministros (235€ parte proporcional mayo)
             500€ fianza</t>
      </text>
    </comment>
    <comment ref="F4183" authorId="2949" shapeId="0" xr:uid="{95F32181-4CF7-407C-ACDB-2B7958F0C01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355€ ALQULER + 55€ SUMINISTROS =410€ TOTAL. 500 FIANZA
</t>
      </text>
    </comment>
    <comment ref="F4184" authorId="2950" shapeId="0" xr:uid="{2D2D64F6-C21A-4AC2-AF8A-77D628FB58F3}">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185" authorId="2951" shapeId="0" xr:uid="{8D5EAF15-B610-4925-AFC6-C1F3EFE4161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4186" authorId="2952" shapeId="0" xr:uid="{9F9B541D-F1AE-4D6E-8669-5F81F112F865}">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t>
      </text>
    </comment>
    <comment ref="F4187" authorId="2953" shapeId="0" xr:uid="{B128BA48-3BB1-4038-A9CC-CC8B26CD6A1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9 camas · 5 viajeros</t>
      </text>
    </comment>
    <comment ref="F4188" authorId="2954" shapeId="0" xr:uid="{FCD8AC17-F42B-49EB-9683-C86803314B9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9 camas · 5 viajeros</t>
      </text>
    </comment>
    <comment ref="F4189" authorId="2955" shapeId="0" xr:uid="{2CCFD572-CB38-4144-B58C-6A16510BF0B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9 camas · 5 viajeros</t>
      </text>
    </comment>
    <comment ref="F4190" authorId="2956" shapeId="0" xr:uid="{B5DE34D1-B3FD-4213-9BD5-1EE764CF032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9 camas · 5 viajeros</t>
      </text>
    </comment>
    <comment ref="F4191" authorId="2957" shapeId="0" xr:uid="{E7A0A277-9C22-4D97-8A45-A00E85B7D96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9 camas · 5 viajeros</t>
      </text>
    </comment>
    <comment ref="F4195" authorId="2958" shapeId="0" xr:uid="{05F0483A-4F9E-44E3-863B-F349560DDE5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4196" authorId="2959" shapeId="0" xr:uid="{6E3332E1-A2B2-4727-914F-D6FEB88A65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05 habitaciones, 400€fianza
Responder:
    +2 HABITACIONES (29-09-25) Total piso 1800€ </t>
      </text>
    </comment>
    <comment ref="F4197" authorId="2960" shapeId="0" xr:uid="{35CCFE31-6237-4A05-9ADD-D174C91F54A3}">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198" authorId="2961" shapeId="0" xr:uid="{52A64052-B31A-4FA6-B0B6-6A008D3D8136}">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202" authorId="2962" shapeId="0" xr:uid="{E0DE6C5C-D48C-435F-91DC-5B25C4E1BE7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3" authorId="2963" shapeId="0" xr:uid="{B9544222-EA3A-45C9-ADD0-B46099F904C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4" authorId="2964" shapeId="0" xr:uid="{F218A17E-230F-4B5F-8C6B-36CBD7D0BBD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5" authorId="2965" shapeId="0" xr:uid="{661FCB8A-657B-4B2F-B248-1FE942595CD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6" authorId="2966" shapeId="0" xr:uid="{6E8DE7D7-0556-4E57-9E33-58375B8CE12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7" authorId="2967" shapeId="0" xr:uid="{AE0D57F3-ADF4-4614-81BF-D485CB9FC31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personas. Alquiler mes 1.600€ todos los gastos incluidos y sin fianza</t>
      </text>
    </comment>
    <comment ref="F4208" authorId="2968" shapeId="0" xr:uid="{B00BAB9A-42BE-4A8C-B37F-5581A14B04D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209" authorId="2969" shapeId="0" xr:uid="{4B8F25D3-3D41-448A-83B6-6FCBB18D9A0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210" authorId="2970" shapeId="0" xr:uid="{3790896D-88A7-42BA-B52B-0810E964468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211" authorId="2971" shapeId="0" xr:uid="{F294D568-E07D-4173-9B9A-0832D23B0FB7}">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3 camas · 3 viajeros</t>
      </text>
    </comment>
    <comment ref="F4212" authorId="2972" shapeId="0" xr:uid="{AE4E72DD-7059-4A00-B69C-B67ACA31985A}">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3 camas · 3 viajeros</t>
      </text>
    </comment>
    <comment ref="F4213" authorId="2973" shapeId="0" xr:uid="{A6829656-34EA-4E68-9174-14076412FEFF}">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3 camas · 3 viajeros</t>
      </text>
    </comment>
    <comment ref="F4214" authorId="2974" shapeId="0" xr:uid="{80E3546E-DAF5-4418-91F5-5B2FF1B45509}">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215" authorId="2975" shapeId="0" xr:uid="{69688362-1C88-4C72-BCC3-AA80BDE07430}">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216" authorId="2976" shapeId="0" xr:uid="{4D02456A-4632-4169-92B4-A6F7E8FDE4FD}">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217" authorId="2977" shapeId="0" xr:uid="{778501FA-58CB-4063-9719-643F4E85B21A}">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218" authorId="2978" shapeId="0" xr:uid="{1851C9A4-D626-4CDB-8214-2BEB153469B0}">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219" authorId="2979" shapeId="0" xr:uid="{09557747-7DE3-40B1-B2E0-C3CF4FDD271E}">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220" authorId="2980" shapeId="0" xr:uid="{E8FA13DE-8634-4140-B37D-BDEB07DF70B2}">
      <text>
        <t>[Comentário encadeado]
Sua versão do Excel permite que você leia este comentário encadeado, no entanto, as edições serão removidas se o arquivo for aberto em uma versão mais recente do Excel. Saiba mais: https://go.microsoft.com/fwlink/?linkid=870924
Comentário:
    03 habitaciones.04 camas 600 la mensualidad. 1200 fianza.
01 Cama de Kotrik</t>
      </text>
    </comment>
    <comment ref="F4221" authorId="2981" shapeId="0" xr:uid="{61AFD450-8E01-4C22-80A5-97D68E0403AE}">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223" authorId="2982" shapeId="0" xr:uid="{DA68B5AA-A40F-4A6D-B23C-910DB2C8CB4D}">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225" authorId="2983" shapeId="0" xr:uid="{8C7684DD-0E0E-4DD9-978F-93239E0CA073}">
      <text>
        <t>[Comentário encadeado]
Sua versão do Excel permite que você leia este comentário encadeado, no entanto, as edições serão removidas se o arquivo for aberto em uma versão mais recente do Excel. Saiba mais: https://go.microsoft.com/fwlink/?linkid=870924
Comentário:
    1 habitacion con 2 camas dobles</t>
      </text>
    </comment>
    <comment ref="F4227" authorId="2984" shapeId="0" xr:uid="{2697ADF7-521D-40E4-A117-ADA2940897D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4230" authorId="2985" shapeId="0" xr:uid="{EAE56747-38ED-478E-BC62-DFAE940ACE9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231" authorId="2986" shapeId="0" xr:uid="{4CA85A92-5E79-4CEA-ABE1-DB583D88AF1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32" authorId="2987" shapeId="0" xr:uid="{99E8C042-71B2-455F-B522-3D042FD38A7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33" authorId="2988" shapeId="0" xr:uid="{D77DF53A-568C-4A90-B27C-22650AB24A4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234" authorId="2989" shapeId="0" xr:uid="{AA36E9BA-D457-4B4E-BE6E-98178DEDE14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235" authorId="2990" shapeId="0" xr:uid="{3E348A7E-ACEF-4A6D-8DE1-CAE4157A070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236" authorId="2991" shapeId="0" xr:uid="{9D7694F8-3433-4374-954D-E946193A77B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37" authorId="2992" shapeId="0" xr:uid="{27BBF888-0CBC-4FDF-9CF0-8366C6C0761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38" authorId="2993" shapeId="0" xr:uid="{0727E67E-B519-4B99-89C9-BFFC6A479B6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39" authorId="2994" shapeId="0" xr:uid="{296830CF-FC7C-4325-93C5-6E5B294852C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243" authorId="2995" shapeId="0" xr:uid="{171A70E3-C7D6-4973-AE1B-36CD9166BE8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huésped</t>
      </text>
    </comment>
    <comment ref="F4246" authorId="2996" shapeId="0" xr:uid="{655F46F7-7D11-4389-8DB7-539378BAB5F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247" authorId="2997" shapeId="0" xr:uid="{E818DDAE-9469-4495-A2D4-C6EACB9A1522}">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4254" authorId="2998" shapeId="0" xr:uid="{315B906F-7C8D-4DAB-B391-BE6332B122A7}">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F4255" authorId="2999" shapeId="0" xr:uid="{FD2DFD61-C5D3-45B2-9860-464EE3D34411}">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256" authorId="3000" shapeId="0" xr:uid="{71DB94E2-5B3B-4638-A5EC-98E28E9475FA}">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F4257" authorId="3001" shapeId="0" xr:uid="{392ECBF8-B87F-449D-96FC-5A1B82A59C6B}">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F4258" authorId="3002" shapeId="0" xr:uid="{F50FF12D-84C2-407F-9936-A7F3F348BB06}">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 Fianza 900€</t>
      </text>
    </comment>
    <comment ref="F4259" authorId="3003" shapeId="0" xr:uid="{3774804C-A7FD-4E18-AB83-E048391F9DA7}">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 Fianza 900€</t>
      </text>
    </comment>
    <comment ref="F4260" authorId="3004" shapeId="0" xr:uid="{43B077DD-94E0-475F-923F-E5BA6EC133F7}">
      <text>
        <t>[Comentário encadeado]
Sua versão do Excel permite que você leia este comentário encadeado, no entanto, as edições serão removidas se o arquivo for aberto em uma versão mais recente do Excel. Saiba mais: https://go.microsoft.com/fwlink/?linkid=870924
Comentário:
    400€ cada habitación =800€.
400€ fianza</t>
      </text>
    </comment>
    <comment ref="F4261" authorId="3005" shapeId="0" xr:uid="{C72678B7-A3E4-4FCB-92A0-278504B7DEC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62" authorId="3006" shapeId="0" xr:uid="{D356C849-FD47-456F-B371-9303D23C3719}">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4263" authorId="3007" shapeId="0" xr:uid="{8594329A-CA42-4B96-8EF1-DD277217A667}">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264" authorId="3008" shapeId="0" xr:uid="{16FA8E88-DF65-4024-A985-7BD74105160F}">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265" authorId="3009" shapeId="0" xr:uid="{74492215-B33B-4399-8DC6-97A193B9DCA3}">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266" authorId="3010" shapeId="0" xr:uid="{64E27B4A-741E-4FEF-A0EE-D89BA82B4BF4}">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267" authorId="3011" shapeId="0" xr:uid="{EFA575E2-C43C-4B69-BFC2-AF5C2F6691CA}">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268" authorId="3012" shapeId="0" xr:uid="{F3FDAADD-77E5-4170-B06F-EBB6981F3B1D}">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269" authorId="3013" shapeId="0" xr:uid="{AE963827-B0AA-4BC7-9550-110020FDBC76}">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F4273" authorId="3014" shapeId="0" xr:uid="{06DE87CF-9A40-4364-AAEC-88F58FD7689A}">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274" authorId="3015" shapeId="0" xr:uid="{490E1C55-8AEC-4496-B5CE-A13988CC39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4275" authorId="3016" shapeId="0" xr:uid="{F86929AE-B6DB-4AF7-B206-14EC8E37ADCE}">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4277" authorId="3017" shapeId="0" xr:uid="{34ABB60F-62BF-4E37-A735-9E1ECD607DBE}">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279" authorId="3018" shapeId="0" xr:uid="{4221BF27-10A4-41F9-A167-68372A4521DF}">
      <text>
        <t>[Comentário encadeado]
Sua versão do Excel permite que você leia este comentário encadeado, no entanto, as edições serão removidas se o arquivo for aberto em uma versão mais recente do Excel. Saiba mais: https://go.microsoft.com/fwlink/?linkid=870924
Comentário:
    02 Habitaciones 
Hab 01 - 325€ Alquiler Mensual
Hab 02 - 325€ Alquiler Mensual</t>
      </text>
    </comment>
    <comment ref="F4282" authorId="3019" shapeId="0" xr:uid="{3A5AAF2A-180E-496E-A4C0-893B106DB563}">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283" authorId="3020" shapeId="0" xr:uid="{B2E8397C-EDE1-4684-BC48-1DC70C64DE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286" authorId="3021" shapeId="0" xr:uid="{4A2D5D49-C97C-4B96-987A-15A0B750B31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287" authorId="3022" shapeId="0" xr:uid="{35851337-EAE2-430F-87A1-CA6C3E2F85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t>
      </text>
    </comment>
    <comment ref="F4288" authorId="3023" shapeId="0" xr:uid="{542FD217-B259-4AF6-BD26-E2B84243EE92}">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4289" authorId="3024" shapeId="0" xr:uid="{5FF66D8F-B57A-47C1-8160-E6B258BD4C77}">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2 camas · 2 viajeros</t>
      </text>
    </comment>
    <comment ref="F4290" authorId="3025" shapeId="0" xr:uid="{78F4D019-4692-4C06-82C1-ACCBFAE1025E}">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292" authorId="3026" shapeId="0" xr:uid="{87943DE7-1230-437F-82EC-3FEFD106DDE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4293" authorId="3027" shapeId="0" xr:uid="{4857FAA0-3327-4716-A080-5AC8480A798D}">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294" authorId="3028" shapeId="0" xr:uid="{CB858678-D053-4B09-B3E3-7997D58C30A1}">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4299" authorId="3029" shapeId="0" xr:uid="{440E659E-E2C9-4601-9A89-B26DE205FFF2}">
      <text>
        <t>[Comentário encadeado]
Sua versão do Excel permite que você leia este comentário encadeado, no entanto, as edições serão removidas se o arquivo for aberto em uma versão mais recente do Excel. Saiba mais: https://go.microsoft.com/fwlink/?linkid=870924
Comentário:
    Habitacion 480€</t>
      </text>
    </comment>
    <comment ref="F4301" authorId="3030" shapeId="0" xr:uid="{E7D4E69E-FD43-46BD-AFD2-F569421BC03A}">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302" authorId="3031" shapeId="0" xr:uid="{0DFC647E-6D22-4AEE-982A-C74D13974280}">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303" authorId="3032" shapeId="0" xr:uid="{BC2567F3-C972-40A2-940F-1DC0DB3BDC2D}">
      <text>
        <t>[Comentário encadeado]
Sua versão do Excel permite que você leia este comentário encadeado, no entanto, as edições serão removidas se o arquivo for aberto em uma versão mais recente do Excel. Saiba mais: https://go.microsoft.com/fwlink/?linkid=870924
Comentário:
    04 camas, 650€ alquiler</t>
      </text>
    </comment>
    <comment ref="F4304" authorId="3033" shapeId="0" xr:uid="{094243BB-1681-43DB-81C1-4BB9137170A5}">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F4305" authorId="3034" shapeId="0" xr:uid="{B7B491AC-B495-44E1-893D-743FFC301E63}">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4306" authorId="3035" shapeId="0" xr:uid="{24710DE6-B89F-4639-A5D3-D3F176FB3366}">
      <text>
        <t>[Comentário encadeado]
Sua versão do Excel permite que você leia este comentário encadeado, no entanto, as edições serão removidas se o arquivo for aberto em uma versão mais recente do Excel. Saiba mais: https://go.microsoft.com/fwlink/?linkid=870924
Comentário:
    3 Camas----&gt;Estancia 1 mes Habitación doble Alquiler 500€+ fianza: 500€
Estancia 1 mes Habitación individual Alquiler 365€ + fianza: 365€</t>
      </text>
    </comment>
    <comment ref="F4307" authorId="3036" shapeId="0" xr:uid="{3C6014CE-CFA3-4FE2-A31D-C5F2921832AC}">
      <text>
        <t>[Comentário encadeado]
Sua versão do Excel permite que você leia este comentário encadeado, no entanto, as edições serão removidas se o arquivo for aberto em uma versão mais recente do Excel. Saiba mais: https://go.microsoft.com/fwlink/?linkid=870924
Comentário:
    04 camas, 650€ alquiler</t>
      </text>
    </comment>
    <comment ref="F4310" authorId="3037" shapeId="0" xr:uid="{8725E037-36DC-40FF-AD4F-99D9CE8049E2}">
      <text>
        <t>[Comentário encadeado]
Sua versão do Excel permite que você leia este comentário encadeado, no entanto, as edições serão removidas se o arquivo for aberto em uma versão mais recente do Excel. Saiba mais: https://go.microsoft.com/fwlink/?linkid=870924
Comentário:
    Habitaciones: para 5 personas.
Precio reserva: 1.500€
Fianza 150€
Total, pagado: 1.650€</t>
      </text>
    </comment>
    <comment ref="F4311" authorId="3038" shapeId="0" xr:uid="{4BF5618B-ABD9-4DDF-B30F-038A73B953DD}">
      <text>
        <t>[Comentário encadeado]
Sua versão do Excel permite que você leia este comentário encadeado, no entanto, as edições serão removidas se o arquivo for aberto em uma versão mais recente do Excel. Saiba mais: https://go.microsoft.com/fwlink/?linkid=870924
Comentário:
    Habitaciones: para 5 personas.
Precio reserva: 1.500€
Fianza 150€
Total, pagado: 1.650€</t>
      </text>
    </comment>
    <comment ref="F4312" authorId="3039" shapeId="0" xr:uid="{0DAD1B9D-6401-465F-98DC-BC7822B80EED}">
      <text>
        <t>[Comentário encadeado]
Sua versão do Excel permite que você leia este comentário encadeado, no entanto, as edições serão removidas se o arquivo for aberto em uma versão mais recente do Excel. Saiba mais: https://go.microsoft.com/fwlink/?linkid=870924
Comentário:
    Habitaciones: para 5 personas.
Precio reserva: 1.500€
Fianza 150€
Total, pagado: 1.650€</t>
      </text>
    </comment>
    <comment ref="F4313" authorId="3040" shapeId="0" xr:uid="{1CBBFE91-BE3F-44DE-8757-AA995252E940}">
      <text>
        <t>[Comentário encadeado]
Sua versão do Excel permite que você leia este comentário encadeado, no entanto, as edições serão removidas se o arquivo for aberto em uma versão mais recente do Excel. Saiba mais: https://go.microsoft.com/fwlink/?linkid=870924
Comentário:
    Habitaciones: para 5 personas.
Precio reserva: 1.500€
Fianza 150€
Total, pagado: 1.650€</t>
      </text>
    </comment>
    <comment ref="F4314" authorId="3041" shapeId="0" xr:uid="{4145F1F6-789A-4829-9B26-2A8CE976DBFA}">
      <text>
        <t>[Comentário encadeado]
Sua versão do Excel permite que você leia este comentário encadeado, no entanto, as edições serão removidas se o arquivo for aberto em uma versão mais recente do Excel. Saiba mais: https://go.microsoft.com/fwlink/?linkid=870924
Comentário:
    Habitaciones: para 5 personas.
Precio reserva: 1.500€
Fianza 150€
Total, pagado: 1.650€</t>
      </text>
    </comment>
    <comment ref="F4315" authorId="3042" shapeId="0" xr:uid="{E4AE0704-7206-4A4B-94AA-1C72378966C1}">
      <text>
        <t>[Comentário encadeado]
Sua versão do Excel permite que você leia este comentário encadeado, no entanto, as edições serão removidas se o arquivo for aberto em uma versão mais recente do Excel. Saiba mais: https://go.microsoft.com/fwlink/?linkid=870924
Comentário:
    200€ FIANZA
350€ alquiler octubre</t>
      </text>
    </comment>
    <comment ref="F4316" authorId="3043" shapeId="0" xr:uid="{6881FB55-30A6-4978-B50F-E903BEF7E713}">
      <text>
        <t>[Comentário encadeado]
Sua versão do Excel permite que você leia este comentário encadeado, no entanto, as edições serão removidas se o arquivo for aberto em uma versão mais recente do Excel. Saiba mais: https://go.microsoft.com/fwlink/?linkid=870924
Comentário:
    (para 5 personas) </t>
      </text>
    </comment>
    <comment ref="F4317" authorId="3044" shapeId="0" xr:uid="{9BA7F632-14D5-4EA6-8DA6-5C4016459F53}">
      <text>
        <t>[Comentário encadeado]
Sua versão do Excel permite que você leia este comentário encadeado, no entanto, as edições serão removidas se o arquivo for aberto em uma versão mais recente do Excel. Saiba mais: https://go.microsoft.com/fwlink/?linkid=870924
Comentário:
    (para 5 personas) </t>
      </text>
    </comment>
    <comment ref="F4319" authorId="3045" shapeId="0" xr:uid="{C62951F9-73B0-4B7A-AF78-5E01B57F3735}">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320" authorId="3046" shapeId="0" xr:uid="{E335EF78-0698-48D7-B2DD-E42C4ABC3F1A}">
      <text>
        <t>[Comentário encadeado]
Sua versão do Excel permite que você leia este comentário encadeado, no entanto, as edições serão removidas se o arquivo for aberto em uma versão mais recente do Excel. Saiba mais: https://go.microsoft.com/fwlink/?linkid=870924
Comentário:
    (para 5 personas) </t>
      </text>
    </comment>
    <comment ref="F4321" authorId="3047" shapeId="0" xr:uid="{3B7A3C19-E334-4B4F-AA38-FBE7E1858D10}">
      <text>
        <t>[Comentário encadeado]
Sua versão do Excel permite que você leia este comentário encadeado, no entanto, as edições serão removidas se o arquivo for aberto em uma versão mais recente do Excel. Saiba mais: https://go.microsoft.com/fwlink/?linkid=870924
Comentário:
    (para 5 personas) </t>
      </text>
    </comment>
    <comment ref="F4322" authorId="3048" shapeId="0" xr:uid="{2F49B2C8-FEE9-441E-B232-7315A1C3965A}">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4323" authorId="3049" shapeId="0" xr:uid="{CBE5E6FB-F13D-43DA-9A25-F90322A8A659}">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4324" authorId="3050" shapeId="0" xr:uid="{F9F6CDF3-BCD1-4B45-88A1-B59276FCAE0F}">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4325" authorId="3051" shapeId="0" xr:uid="{2C10E89A-BAEF-4F5F-AFF9-E8C2FCEA3A98}">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4329" authorId="3052" shapeId="0" xr:uid="{8AEC85B3-45BC-4337-95A2-EB65FDCFA378}">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330" authorId="3053" shapeId="0" xr:uid="{4A312563-9C90-46A4-AEA9-69C1C97A17E3}">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331" authorId="3054" shapeId="0" xr:uid="{C2FA71BD-AF7D-4C5A-A729-2464AF9ECE78}">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332" authorId="3055" shapeId="0" xr:uid="{FB532608-91F9-460D-A696-166108D2A466}">
      <text>
        <t>[Comentário encadeado]
Sua versão do Excel permite que você leia este comentário encadeado, no entanto, as edições serão removidas se o arquivo for aberto em uma versão mais recente do Excel. Saiba mais: https://go.microsoft.com/fwlink/?linkid=870924
Comentário:
    200€ FIANZA
350€ alquiler octubre</t>
      </text>
    </comment>
    <comment ref="F4336" authorId="3056" shapeId="0" xr:uid="{3CFCA9A0-89B1-40D8-80FA-C69437D72D34}">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4337" authorId="3057" shapeId="0" xr:uid="{5F85B6EF-67D7-42CF-89AE-3DF64EB7C1A8}">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4338" authorId="3058" shapeId="0" xr:uid="{7F317F48-FC7D-43BC-BCB8-A979941D9AA4}">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4339" authorId="3059" shapeId="0" xr:uid="{D26B65C0-2AD9-4450-BC20-380153A6C08A}">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4340" authorId="3060" shapeId="0" xr:uid="{0D942875-0A1F-433A-B205-C784A551C851}">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4341" authorId="3061" shapeId="0" xr:uid="{A693AE60-6187-4C37-AF91-6A7594048FB5}">
      <text>
        <t>[Comentário encadeado]
Sua versão do Excel permite que você leia este comentário encadeado, no entanto, as edições serão removidas se o arquivo for aberto em uma versão mais recente do Excel. Saiba mais: https://go.microsoft.com/fwlink/?linkid=870924
Comentário:
    350€ALQUILER, 350€FIANZA, SE PAGO ABRIL</t>
      </text>
    </comment>
    <comment ref="F4342" authorId="3062" shapeId="0" xr:uid="{DE9FD754-E116-405F-B4B9-675865BEC201}">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4343" authorId="3063" shapeId="0" xr:uid="{A2FD90F4-F96F-4526-B106-6F64F22CB656}">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344" authorId="3064" shapeId="0" xr:uid="{B9ACB7D3-3A55-4304-859E-DE55881F0F32}">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345" authorId="3065" shapeId="0" xr:uid="{50177E3B-5CAC-4FA1-AB75-069A9028325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4346" authorId="3066" shapeId="0" xr:uid="{535A3D92-18AC-4037-A11E-8E5DE1F6753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4347" authorId="3067" shapeId="0" xr:uid="{FFF1F034-F688-4F5C-83B2-19B2A35A333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4348" authorId="3068" shapeId="0" xr:uid="{27DEE315-0B00-4AF7-85C4-AE656D9EFE0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huésped
Responder:
    Alquiler 2000€</t>
      </text>
    </comment>
    <comment ref="F4350" authorId="3069" shapeId="0" xr:uid="{CBB9DB85-C484-487E-8D50-CA4731D487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450€ Alquiler </t>
      </text>
    </comment>
    <comment ref="F4352" authorId="3070" shapeId="0" xr:uid="{2380B0D1-A2B7-44B1-A79F-FA72BD177CFF}">
      <text>
        <t>[Comentário encadeado]
Sua versão do Excel permite que você leia este comentário encadeado, no entanto, as edições serão removidas se o arquivo for aberto em uma versão mais recente do Excel. Saiba mais: https://go.microsoft.com/fwlink/?linkid=870924
Comentário:
    Fianza     550€  ,Alquiler 550€   
Responder:
    +200€ porque se adiciona una cama
Responder:
    3 CAMAS</t>
      </text>
    </comment>
    <comment ref="F4353" authorId="3071" shapeId="0" xr:uid="{F0E998B1-FCD8-45E1-ADD5-12FEDDAE9791}">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4354" authorId="3072" shapeId="0" xr:uid="{BECFC749-0188-40C1-A89C-DE985012E1C1}">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4355" authorId="3073" shapeId="0" xr:uid="{00AF5D83-E4A3-4942-B0D1-AA72A2E61C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450€ Alquiler </t>
      </text>
    </comment>
    <comment ref="F4357" authorId="3074" shapeId="0" xr:uid="{E1023A78-3ED4-41C0-B166-764FAB136616}">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358" authorId="3075" shapeId="0" xr:uid="{2A837623-31A6-4BE5-B049-6B1E9D5017C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359" authorId="3076" shapeId="0" xr:uid="{01087729-90B1-4FB0-A373-C55CFC9954D1}">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3 trabajadores en Huelva.</t>
      </text>
    </comment>
    <comment ref="F4362" authorId="3077" shapeId="0" xr:uid="{CA6EE77D-A187-482F-9400-8BC337ED6D5F}">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4363" authorId="3078" shapeId="0" xr:uid="{56E74C0F-1232-4FCD-BC30-29AC927DE593}">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368" authorId="3079" shapeId="0" xr:uid="{90A79C4F-F0FF-4540-B0A4-BC4290B9E03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369" authorId="3080" shapeId="0" xr:uid="{C475BC85-4165-4B11-AE6C-5FC69BDF484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370" authorId="3081" shapeId="0" xr:uid="{BE109C29-5027-4017-829C-89412C130C3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376" authorId="3082" shapeId="0" xr:uid="{020D61DD-54C1-4ACB-83CE-280C314F5ECD}">
      <text>
        <t>[Comentário encadeado]
Sua versão do Excel permite que você leia este comentário encadeado, no entanto, as edições serão removidas se o arquivo for aberto em uma versão mais recente do Excel. Saiba mais: https://go.microsoft.com/fwlink/?linkid=870924
Comentário:
    Ocupación 5 adultos precio noche 75€/noche, Total alquiler 2250€.</t>
      </text>
    </comment>
    <comment ref="F4379" authorId="3083" shapeId="0" xr:uid="{D4276691-BE92-4BBE-A40F-0EFE16C5D27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45€ por noche</t>
      </text>
    </comment>
    <comment ref="F4380" authorId="3084" shapeId="0" xr:uid="{5BD97F82-C408-4CDA-A2BD-D5C7C21E3E81}">
      <text>
        <t>[Comentário encadeado]
Sua versão do Excel permite que você leia este comentário encadeado, no entanto, as edições serão removidas se o arquivo for aberto em uma versão mais recente do Excel. Saiba mais: https://go.microsoft.com/fwlink/?linkid=870924
Comentário:
    Estancia 1 mes Habitación individual Alquiler 365€ + fianza: 365€</t>
      </text>
    </comment>
    <comment ref="F4381" authorId="3085" shapeId="0" xr:uid="{369A0C8B-2FB2-44AA-A353-0F6F5013C98F}">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4382" authorId="3086" shapeId="0" xr:uid="{0CD57B38-91AB-4C09-933F-5DCCE789368B}">
      <text>
        <t>[Comentário encadeado]
Sua versão do Excel permite que você leia este comentário encadeado, no entanto, as edições serão removidas se o arquivo for aberto em uma versão mais recente do Excel. Saiba mais: https://go.microsoft.com/fwlink/?linkid=870924
Comentário:
    Alquiler 1000€ Fianza 1000€ 4 camas</t>
      </text>
    </comment>
    <comment ref="F4383" authorId="3087" shapeId="0" xr:uid="{AEEFD4F7-4514-4F08-989D-568FE2335F8F}">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384" authorId="3088" shapeId="0" xr:uid="{E8B463C8-4C43-4B24-B515-2F8F3CC0F4EA}">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385" authorId="3089" shapeId="0" xr:uid="{C9EFE55E-9807-4332-A274-800D6FC0A15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386" authorId="3090" shapeId="0" xr:uid="{D444D3FB-59BC-4680-BBEC-5D3C7599C86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387" authorId="3091" shapeId="0" xr:uid="{7244A66D-5596-49E5-B467-06695359961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388" authorId="3092" shapeId="0" xr:uid="{70FE9277-7938-4AB1-AB25-E30EE26ED61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camas individuales</t>
      </text>
    </comment>
    <comment ref="F4389" authorId="3093" shapeId="0" xr:uid="{5C55EA5A-C78E-41E8-B65C-1491098E9086}">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394" authorId="3094" shapeId="0" xr:uid="{8F8E4E48-B658-44E5-A115-4BB9F152D7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4395" authorId="3095" shapeId="0" xr:uid="{FFB63BC7-0640-46D8-A867-A84A378225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4398" authorId="3096" shapeId="0" xr:uid="{01B297EB-92BC-413E-AF1F-5B1B2BA71225}">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t>
      </text>
    </comment>
    <comment ref="F4403" authorId="3097" shapeId="0" xr:uid="{44590E03-05DC-4F65-9830-B2D9DB7E4038}">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406" authorId="3098" shapeId="0" xr:uid="{1CE4BEBA-D096-422B-BA47-0B973F0F21BB}">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4409" authorId="3099" shapeId="0" xr:uid="{EEA02A4F-B580-4275-95B0-DDFDED32E5E7}">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410" authorId="3100" shapeId="0" xr:uid="{9F2A55A8-2334-4207-9BEA-35173BB277DE}">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411" authorId="3101" shapeId="0" xr:uid="{280BFE0D-5F84-4DB6-A843-964629620B1D}">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412" authorId="3102" shapeId="0" xr:uid="{3D1DBC44-319B-4196-ACF9-6D132C444AD1}">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413" authorId="3103" shapeId="0" xr:uid="{C2890A34-F158-4379-8584-3F77C7549907}">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414" authorId="3104" shapeId="0" xr:uid="{7B0ACCC0-DFE1-435B-92F7-BA454B1E208B}">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416" authorId="3105" shapeId="0" xr:uid="{E4B2BE91-4892-4A89-BBC7-93C295C12B0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417" authorId="3106" shapeId="0" xr:uid="{0DA09000-F06E-4AD6-8733-AF0D9F5433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418" authorId="3107" shapeId="0" xr:uid="{A6C61A1D-D756-4761-A317-DE3BB02EFD35}">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419" authorId="3108" shapeId="0" xr:uid="{A28637C0-2B14-4D70-9031-D6192D677EE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Alquiler 450€ </t>
      </text>
    </comment>
    <comment ref="F4420" authorId="3109" shapeId="0" xr:uid="{40D6BC37-98F7-4D9C-843C-B6C597206E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421" authorId="3110" shapeId="0" xr:uid="{39AADDD0-B446-476C-964E-8A2E2988EF43}">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422" authorId="3111" shapeId="0" xr:uid="{6CC93C3F-768A-4D94-8678-FE8D3B250E53}">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423" authorId="3112" shapeId="0" xr:uid="{1DB998C6-9AA1-49C5-A73C-AC9727772911}">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424" authorId="3113" shapeId="0" xr:uid="{245B4AF1-BEA0-41F9-B3AD-2D0EA5A96C37}">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2800€ Fianza 500€</t>
      </text>
    </comment>
    <comment ref="F4425" authorId="3114" shapeId="0" xr:uid="{D64E2ADC-05CC-49A1-A92C-087FF445DDD8}">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2800€ Fianza 500€</t>
      </text>
    </comment>
    <comment ref="F4426" authorId="3115" shapeId="0" xr:uid="{D51D4040-02B6-4FC5-8FA9-20ADC8E88572}">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427" authorId="3116" shapeId="0" xr:uid="{5B91335F-74BB-42B0-90CB-75629BFD528F}">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4428" authorId="3117" shapeId="0" xr:uid="{C52F0155-B6AF-4B72-B18B-1EDBD702360E}">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4429" authorId="3118" shapeId="0" xr:uid="{1A7EFE99-C7A5-4184-B3B5-7889B4A5FE4D}">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F4430" authorId="3119" shapeId="0" xr:uid="{0BF422FA-591A-4F03-8661-F908B3796C6E}">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F4431" authorId="3120" shapeId="0" xr:uid="{F0867D88-E768-4683-8243-A856E5034C5A}">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432" authorId="3121" shapeId="0" xr:uid="{1BDDC849-B1D3-4EE8-A4F6-3D1DF41F6E01}">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4433" authorId="3122" shapeId="0" xr:uid="{8DFFA13B-EA9E-4468-BDD5-CE692EA83C73}">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2800€ Fianza 500€</t>
      </text>
    </comment>
    <comment ref="F4434" authorId="3123" shapeId="0" xr:uid="{E4D0C9C9-1D26-4548-BA26-AFCA910ED2D0}">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2800€ Fianza 500€</t>
      </text>
    </comment>
    <comment ref="F4435" authorId="3124" shapeId="0" xr:uid="{B196B864-CA6C-4C49-B2B5-689967104C48}">
      <text>
        <t>[Comentário encadeado]
Sua versão do Excel permite que você leia este comentário encadeado, no entanto, as edições serão removidas se o arquivo for aberto em uma versão mais recente do Excel. Saiba mais: https://go.microsoft.com/fwlink/?linkid=870924
Comentário:
    5 Camas Alquiler 2800€ Fianza 500€</t>
      </text>
    </comment>
    <comment ref="F4436" authorId="3125" shapeId="0" xr:uid="{9CA05BF2-B3DC-48D5-AF8F-525C3247DDE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437" authorId="3126" shapeId="0" xr:uid="{6899CDCA-20FC-49EF-AA1B-A113E6CE43E5}">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438" authorId="3127" shapeId="0" xr:uid="{BF3DB313-998E-4813-91F9-EC572E421273}">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439" authorId="3128" shapeId="0" xr:uid="{A6939960-38B7-4A67-9DBD-5412B23071E7}">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440" authorId="3129" shapeId="0" xr:uid="{31C3AD6D-3458-4F0D-955A-09632566674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4441" authorId="3130" shapeId="0" xr:uid="{52B08803-AD5F-46FE-8C71-19B5ECA1500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 Camas Alquiler 2.500€ </t>
      </text>
    </comment>
    <comment ref="F4442" authorId="3131" shapeId="0" xr:uid="{2442A526-6B94-4754-B19E-5314E974F368}">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2.800€ + 500€ Fianza</t>
      </text>
    </comment>
    <comment ref="F4443" authorId="3132" shapeId="0" xr:uid="{4AC63452-B739-4E4B-9324-045DF15DFED0}">
      <text>
        <t>[Comentário encadeado]
Sua versão do Excel permite que você leia este comentário encadeado, no entanto, as edições serão removidas se o arquivo for aberto em uma versão mais recente do Excel. Saiba mais: https://go.microsoft.com/fwlink/?linkid=870924
Comentário:
    Alquiler 2.800€ Fianza 500€ 6 camas 
Responder:
    Alquiler mes de octubre= 2.500€</t>
      </text>
    </comment>
    <comment ref="F4444" authorId="3133" shapeId="0" xr:uid="{ABD406FA-67A0-44AF-8C31-80434592AE1A}">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445" authorId="3134" shapeId="0" xr:uid="{CFF768F6-7B61-4413-9798-702C3BEE64A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446" authorId="3135" shapeId="0" xr:uid="{F9985FBE-F823-4194-921F-0CAFACA3498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447" authorId="3136" shapeId="0" xr:uid="{D9CF5595-1CD4-46B2-BF2A-11CF464741B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448" authorId="3137" shapeId="0" xr:uid="{43B7FAAF-4B55-46E7-8EC8-57CE0A8F65F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449" authorId="3138" shapeId="0" xr:uid="{2E8725AF-2FCF-4D9E-87B4-F55A43DCAEF0}">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450" authorId="3139" shapeId="0" xr:uid="{92E3D381-5E3F-4B58-8FE7-7E9D1194B178}">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H4451" authorId="3140" shapeId="0" xr:uid="{35FF7DC4-20A4-48E3-93EF-DE04B5E3B30C}">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452" authorId="3141" shapeId="0" xr:uid="{A0107420-A322-45A4-BE79-FA0C21468E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H4452" authorId="3142" shapeId="0" xr:uid="{A13A9361-9361-4C9F-A749-A7234ADE8F9F}">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453" authorId="3143" shapeId="0" xr:uid="{7675930E-5F2A-40C6-91C3-171A1B23C671}">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4454" authorId="3144" shapeId="0" xr:uid="{36B5E4B8-7FC5-40BB-8E35-4C7673059C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H4454" authorId="3145" shapeId="0" xr:uid="{49898B17-03EB-463D-83CD-E8D62788E0C3}">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455" authorId="3146" shapeId="0" xr:uid="{4FFCAEA6-3739-404C-BD00-02212B9DBF7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H4455" authorId="3147" shapeId="0" xr:uid="{EEF9CCDA-4775-43C0-B654-828FCD6956E0}">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456" authorId="3148" shapeId="0" xr:uid="{9CD4A01D-B58C-460D-A7BB-48DCE884C4FC}">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457" authorId="3149" shapeId="0" xr:uid="{DF74DFEE-3DF3-4924-864B-91CD715BF8A5}">
      <text>
        <t>[Comentário encadeado]
Sua versão do Excel permite que você leia este comentário encadeado, no entanto, as edições serão removidas se o arquivo for aberto em uma versão mais recente do Excel. Saiba mais: https://go.microsoft.com/fwlink/?linkid=870924
Comentário:
    12 Camas</t>
      </text>
    </comment>
    <comment ref="F4460" authorId="3150" shapeId="0" xr:uid="{50BE2B37-36B6-4ADB-87D6-BCC03426097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468" authorId="3151" shapeId="0" xr:uid="{E226C6F7-1B3A-461A-BF69-5E1390A37A92}">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469" authorId="3152" shapeId="0" xr:uid="{F7F91DB9-23A9-43C9-8782-2030E7A554D5}">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2 camas · 2 viajeros</t>
      </text>
    </comment>
    <comment ref="F4470" authorId="3153" shapeId="0" xr:uid="{C8593A41-BF4E-4CD0-86AE-EDF92B1465B9}">
      <text>
        <t>[Comentário encadeado]
Sua versão do Excel permite que você leia este comentário encadeado, no entanto, as edições serão removidas se o arquivo for aberto em uma versão mais recente do Excel. Saiba mais: https://go.microsoft.com/fwlink/?linkid=870924
Comentário:
    Alquiler 350€ Fianza 350€ </t>
      </text>
    </comment>
    <comment ref="F4471" authorId="3154" shapeId="0" xr:uid="{04537735-8C6B-4E76-968B-41C2BE14DE27}">
      <text>
        <t>[Comentário encadeado]
Sua versão do Excel permite que você leia este comentário encadeado, no entanto, as edições serão removidas se o arquivo for aberto em uma versão mais recente do Excel. Saiba mais: https://go.microsoft.com/fwlink/?linkid=870924
Comentário:
    Alquiler 350€ Fianza 350€ </t>
      </text>
    </comment>
    <comment ref="F4472" authorId="3155" shapeId="0" xr:uid="{D2CDB4AB-FAF0-41E0-B37E-5E207D5F9803}">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4473" authorId="3156" shapeId="0" xr:uid="{151A9831-81A6-494D-B8A3-49BBDFE34EED}">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4474" authorId="3157" shapeId="0" xr:uid="{9C536B79-917B-4764-8765-076789EA8328}">
      <text>
        <t>[Comentário encadeado]
Sua versão do Excel permite que você leia este comentário encadeado, no entanto, as edições serão removidas se o arquivo for aberto em uma versão mais recente do Excel. Saiba mais: https://go.microsoft.com/fwlink/?linkid=870924
Comentário:
    6 Camas Alquiler 2.700€  Fianza 500€</t>
      </text>
    </comment>
    <comment ref="F4475" authorId="3158" shapeId="0" xr:uid="{8BF2B552-1FBF-4A2D-9A09-697BD45EE8C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4476" authorId="3159" shapeId="0" xr:uid="{ADA6E793-E778-42DA-97C0-2F3B9EE8B69F}">
      <text>
        <t>[Comentário encadeado]
Sua versão do Excel permite que você leia este comentário encadeado, no entanto, as edições serão removidas se o arquivo for aberto em uma versão mais recente do Excel. Saiba mais: https://go.microsoft.com/fwlink/?linkid=870924
Comentário:
    Habitación Alquiler 350€ + Suministros</t>
      </text>
    </comment>
    <comment ref="F4477" authorId="3160" shapeId="0" xr:uid="{6044F9D6-4B7F-4A98-ACBF-36B2A3DBBB3E}">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478" authorId="3161" shapeId="0" xr:uid="{8D3C83F5-9CC9-46AC-A250-6BDB2AE70B7F}">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4479" authorId="3162" shapeId="0" xr:uid="{33440A6A-D7FA-447F-8B90-D96FA23AB598}">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483" authorId="3163" shapeId="0" xr:uid="{D778FE81-6BEC-49C1-BD0D-12289D0CB3F0}">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4485" authorId="3164" shapeId="0" xr:uid="{6F9B00FF-EA95-4B89-82C8-A8A4CF5D92A5}">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486" authorId="3165" shapeId="0" xr:uid="{C59989D9-2CDE-42DC-9AE6-AE651470568B}">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4487" authorId="3166" shapeId="0" xr:uid="{F10BC7AA-7565-4D11-AADC-6B226191090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489" authorId="3167" shapeId="0" xr:uid="{A63F44D8-2233-4A79-8ECB-803BBBC61672}">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494" authorId="3168" shapeId="0" xr:uid="{CCD88832-3BBD-4986-935C-3CFB0B493265}">
      <text>
        <t>[Comentário encadeado]
Sua versão do Excel permite que você leia este comentário encadeado, no entanto, as edições serão removidas se o arquivo for aberto em uma versão mais recente do Excel. Saiba mais: https://go.microsoft.com/fwlink/?linkid=870924
Comentário:
    02 Habitaciones 
Hab 01 - 325€ Alquiler Mensual
Hab 02 - 325€ Alquiler Mensual</t>
      </text>
    </comment>
    <comment ref="F4496" authorId="3169" shapeId="0" xr:uid="{1BCCD62B-D893-476A-B827-C307EFCE89B2}">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497" authorId="3170" shapeId="0" xr:uid="{B09F1C3E-3FAA-410E-BC1B-F9A7B5435EF7}">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4506" authorId="3171" shapeId="0" xr:uid="{C1DCB262-9F7D-43FF-9953-BE1A6E0CC684}">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507" authorId="3172" shapeId="0" xr:uid="{D51FA5C7-9BAF-43AC-9639-CA6AFC2CDA1F}">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508" authorId="3173" shapeId="0" xr:uid="{4FC8580A-4643-4010-88ED-89154A2C9C35}">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509" authorId="3174" shapeId="0" xr:uid="{A802BC48-0E85-4EB6-908E-090725E866B3}">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515" authorId="3175" shapeId="0" xr:uid="{87124703-551A-4386-BD58-BCF39F82B5EA}">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huésped
Responder:
    Alquiler 2000€</t>
      </text>
    </comment>
    <comment ref="F4517" authorId="3176" shapeId="0" xr:uid="{0CC2312F-E1A2-4D13-80C7-CB33FE77B299}">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4519" authorId="3177" shapeId="0" xr:uid="{9C13E3F6-F3A7-4413-96E6-CC6D9C73C42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huésped
Responder:
    Alquiler 2000€</t>
      </text>
    </comment>
    <comment ref="F4520" authorId="3178" shapeId="0" xr:uid="{F40C1175-8F2B-4618-AA49-13E3A06F0B26}">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521" authorId="3179" shapeId="0" xr:uid="{D5224B75-1C18-4F45-9A7E-AC33B5B54F8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 Fianza 2200  Camas 4
</t>
      </text>
    </comment>
    <comment ref="F4530" authorId="3180" shapeId="0" xr:uid="{971806EC-B451-4937-8521-8BD552E22DB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531" authorId="3181" shapeId="0" xr:uid="{52659580-04B4-433C-AECD-798D6D6AED7E}">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532" authorId="3182" shapeId="0" xr:uid="{CB923901-3A84-46BC-9E21-8DF43CE1F5DB}">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534" authorId="3183" shapeId="0" xr:uid="{AE118684-CEDB-4422-A9CC-E5B14C3F6754}">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535" authorId="3184" shapeId="0" xr:uid="{9E532F3B-3178-443E-BB86-30EF06B3BE2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340€ ALQULER + 55€ SUMINISTROS =395€ TOTAL. 500 FIANZA
</t>
      </text>
    </comment>
    <comment ref="F4537" authorId="3185" shapeId="0" xr:uid="{2F4CCDD8-FF38-4E17-8A0D-0EA97829AEF3}">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3 trabajadores en Huelva.</t>
      </text>
    </comment>
    <comment ref="F4538" authorId="3186" shapeId="0" xr:uid="{A9EB0C81-B2EF-47A7-81B6-30D56D7ADA15}">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3 trabajadores en Huelva.</t>
      </text>
    </comment>
    <comment ref="F4539" authorId="3187" shapeId="0" xr:uid="{1ED3C506-EAB8-47A9-96EB-2988B35B38FE}">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4540" authorId="3188" shapeId="0" xr:uid="{CAF1AC30-20CB-45E0-8F1D-DBB4803149D2}">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H4540" authorId="3189" shapeId="0" xr:uid="{BBC135EB-7D2A-4B7C-8820-2FFA9B7C4E14}">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541" authorId="3190" shapeId="0" xr:uid="{E2FC2746-AAF5-4060-9F0E-A57B3F2C3C55}">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H4541" authorId="3191" shapeId="0" xr:uid="{E4044AA6-F9AF-4DBA-A043-A40829BB04A8}">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542" authorId="3192" shapeId="0" xr:uid="{F5FAF626-C0EE-46AF-8CDA-8CABB1C92BDC}">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H4542" authorId="3193" shapeId="0" xr:uid="{C56BE479-50B1-4025-9939-A7D4C5B7F943}">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543" authorId="3194" shapeId="0" xr:uid="{DF91549B-B8A3-4A7E-9396-6EA60D48BEE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544" authorId="3195" shapeId="0" xr:uid="{B8DB7A50-1D80-4549-BF56-CC301688C533}">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545" authorId="3196" shapeId="0" xr:uid="{CAFAECFC-6A19-41FC-BB55-9817381D2B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546" authorId="3197" shapeId="0" xr:uid="{D07EC193-CA13-41E5-8B79-A0B2F9FF055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547" authorId="3198" shapeId="0" xr:uid="{8CDE2949-13B3-4CED-85B5-7B24C22B5C2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548" authorId="3199" shapeId="0" xr:uid="{36319378-409B-4FC1-9FB4-0438FAB1912C}">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4549" authorId="3200" shapeId="0" xr:uid="{EB3550A1-CF45-4665-B24D-48344FB4662D}">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4551" authorId="3201" shapeId="0" xr:uid="{E82DE2E5-114E-4669-9042-1EA04F52569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H4551" authorId="3202" shapeId="0" xr:uid="{416F7936-35C3-4E34-9864-EEDFF56A858A}">
      <text>
        <t>[Comentário encadeado]
Sua versão do Excel permite que você leia este comentário encadeado, no entanto, as edições serão removidas se o arquivo for aberto em uma versão mais recente do Excel. Saiba mais: https://go.microsoft.com/fwlink/?linkid=870924
Comentário:
    2026/678</t>
      </text>
    </comment>
    <comment ref="F4554" authorId="3203" shapeId="0" xr:uid="{331F0B36-6083-4E77-8A10-4502069D04CF}">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4555" authorId="3204" shapeId="0" xr:uid="{37287891-D74D-4A7E-8F77-8B93D6464F90}">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4556" authorId="3205" shapeId="0" xr:uid="{516AC51F-9079-45A1-86AB-5273F48987BE}">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4557" authorId="3206" shapeId="0" xr:uid="{4B27A90D-88C7-4B6E-9959-E8239B7ADD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4558" authorId="3207" shapeId="0" xr:uid="{B79B5008-32C9-4892-ADC3-EAD0E50D5F44}">
      <text>
        <t>[Comentário encadeado]
Sua versão do Excel permite que você leia este comentário encadeado, no entanto, as edições serão removidas se o arquivo for aberto em uma versão mais recente do Excel. Saiba mais: https://go.microsoft.com/fwlink/?linkid=870924
Comentário:
    450€ Alquiler</t>
      </text>
    </comment>
    <comment ref="F4559" authorId="3208" shapeId="0" xr:uid="{E333F4CF-926A-4680-8EAE-8AEE40E63C73}">
      <text>
        <t>[Comentário encadeado]
Sua versão do Excel permite que você leia este comentário encadeado, no entanto, as edições serão removidas se o arquivo for aberto em uma versão mais recente do Excel. Saiba mais: https://go.microsoft.com/fwlink/?linkid=870924
Comentário:
    450€ Alquiler</t>
      </text>
    </comment>
    <comment ref="F4560" authorId="3209" shapeId="0" xr:uid="{F893FBA0-2FC1-44B4-87BD-559AA07228DA}">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561" authorId="3210" shapeId="0" xr:uid="{C6FB0133-5423-4728-820F-AD0EC7E4BD0A}">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562" authorId="3211" shapeId="0" xr:uid="{29AF7592-AD49-4C04-9570-90F671CE4E4C}">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563" authorId="3212" shapeId="0" xr:uid="{33825878-D9E1-46B0-9A38-10ED49CD0DB6}">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564" authorId="3213" shapeId="0" xr:uid="{B363F983-EAD3-45CE-A657-3E5270B2000C}">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565" authorId="3214" shapeId="0" xr:uid="{F9E319EF-BD6E-4473-8C47-E1F6BF2C3343}">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566" authorId="3215" shapeId="0" xr:uid="{00B34022-E015-406B-9609-CD312A06280C}">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567" authorId="3216" shapeId="0" xr:uid="{BA5FF295-FF7F-4445-9804-BACD4481494B}">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568" authorId="3217" shapeId="0" xr:uid="{8F68F7E7-8AE5-4E8D-8B8C-ADA415B7A910}">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569" authorId="3218" shapeId="0" xr:uid="{C5EB1BCF-1E96-438A-B21A-DED75D380B90}">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4572" authorId="3219" shapeId="0" xr:uid="{6813443B-CC63-4A0D-9EE5-2AC8A93A72AE}">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573" authorId="3220" shapeId="0" xr:uid="{3F36FA81-C666-4BAA-B07A-3AFB1F69FEDF}">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4576" authorId="3221" shapeId="0" xr:uid="{3FAB38CD-2F61-4442-A7A8-7985D502484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578" authorId="3222" shapeId="0" xr:uid="{A5CAC596-8E7B-4AD5-89E3-44C16B5742A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 </t>
      </text>
    </comment>
    <comment ref="F4579" authorId="3223" shapeId="0" xr:uid="{B72AFF61-198E-466E-B813-EC6F579A9BDA}">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4581" authorId="3224" shapeId="0" xr:uid="{8AB34F09-7D5A-49AB-BB4B-B40D2B1089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582" authorId="3225" shapeId="0" xr:uid="{CD1A86F4-C18C-428B-81C5-007264557FC2}">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4583" authorId="3226" shapeId="0" xr:uid="{63BFA9D8-E8D9-4F7D-86BC-C9B8866AB85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584" authorId="3227" shapeId="0" xr:uid="{FC2B128E-8D1F-4589-9939-FCD6102FB47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585" authorId="3228" shapeId="0" xr:uid="{C4E8EABE-5829-4311-8A38-23E66A30DC43}">
      <text>
        <t>[Comentário encadeado]
Sua versão do Excel permite que você leia este comentário encadeado, no entanto, as edições serão removidas se o arquivo for aberto em uma versão mais recente do Excel. Saiba mais: https://go.microsoft.com/fwlink/?linkid=870924
Comentário:
    1 Habitación, 28€/ Noche un mes entrando el 20/09</t>
      </text>
    </comment>
    <comment ref="F4587" authorId="3229" shapeId="0" xr:uid="{42E60862-8C3B-442A-B05C-C0BD41AACF1C}">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4588" authorId="3230" shapeId="0" xr:uid="{1BED6D68-D1C0-4894-B8AC-9C49D38E17E6}">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4593" authorId="3231" shapeId="0" xr:uid="{D25161FD-EC7F-47A3-B332-3B899BA2A9C6}">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4594" authorId="3232" shapeId="0" xr:uid="{A61F43AE-FA4D-4440-93B9-8D74BC49EB50}">
      <text>
        <t>[Comentário encadeado]
Sua versão do Excel permite que você leia este comentário encadeado, no entanto, as edições serão removidas se o arquivo for aberto em uma versão mais recente do Excel. Saiba mais: https://go.microsoft.com/fwlink/?linkid=870924
Comentário:
    Habitación 450€ Alquiler</t>
      </text>
    </comment>
    <comment ref="F4595" authorId="3233" shapeId="0" xr:uid="{D842E134-B5CA-44D7-8194-0DB5BB9CA8A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4599" authorId="3234" shapeId="0" xr:uid="{913F2C53-8735-46FD-ACC7-DD50A11A267A}">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6 trabajadores en Huelva.</t>
      </text>
    </comment>
    <comment ref="F4600" authorId="3235" shapeId="0" xr:uid="{286B2734-5EC7-40CB-B0F7-8C8844B0BDF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6 camas · 5 huésped
Responder:
    Alquiler 2000€</t>
      </text>
    </comment>
    <comment ref="F4601" authorId="3236" shapeId="0" xr:uid="{09706697-41EC-4A8B-BB99-5E888C4E696F}">
      <text>
        <t>[Comentário encadeado]
Sua versão do Excel permite que você leia este comentário encadeado, no entanto, as edições serão removidas se o arquivo for aberto em uma versão mais recente do Excel. Saiba mais: https://go.microsoft.com/fwlink/?linkid=870924
Comentário:
    1650 FIANZA, 1200 ALQUILER,4 habitaciones</t>
      </text>
    </comment>
    <comment ref="F4602" authorId="3237" shapeId="0" xr:uid="{AE7A7C0E-794E-44E4-905F-16A7FDA3ACD5}">
      <text>
        <t>[Comentário encadeado]
Sua versão do Excel permite que você leia este comentário encadeado, no entanto, as edições serão removidas se o arquivo for aberto em uma versão mais recente do Excel. Saiba mais: https://go.microsoft.com/fwlink/?linkid=870924
Comentário:
    1650 FIANZA, 1236 ALQUILER,4 habitaciones</t>
      </text>
    </comment>
    <comment ref="F4606" authorId="3238" shapeId="0" xr:uid="{3A93C990-46DF-4D17-94EA-BAA26FA17C9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07" authorId="3239" shapeId="0" xr:uid="{6F328AB2-3200-48B3-9F65-49785A6F63BB}">
      <text>
        <t>[Comentário encadeado]
Sua versão do Excel permite que você leia este comentário encadeado, no entanto, as edições serão removidas se o arquivo for aberto em uma versão mais recente do Excel. Saiba mais: https://go.microsoft.com/fwlink/?linkid=870924
Comentário:
    1  habitación con todos los servicios incluidos es de 300€. fianza de 100€</t>
      </text>
    </comment>
    <comment ref="F4609" authorId="3240" shapeId="0" xr:uid="{D72C72B4-28AF-4B9D-A1FA-C6FFE60072E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 </t>
      </text>
    </comment>
    <comment ref="F4610" authorId="3241" shapeId="0" xr:uid="{5F7013EA-285D-4566-9850-53996E2735C4}">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613" authorId="3242" shapeId="0" xr:uid="{EB9BF370-7831-4846-BEAC-C10B1DEFA09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4614" authorId="3243" shapeId="0" xr:uid="{C5D4D430-9637-4D12-A5B3-4E5E3C7F8F92}">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615" authorId="3244" shapeId="0" xr:uid="{7DD17E0D-B063-403F-AC26-FFBC0E121F5A}">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4617" authorId="3245" shapeId="0" xr:uid="{DC255B41-3B0A-4EF5-9E4D-EA73BAA7CCB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
Responder:
    ALQUILER  1500€ + I.V.A. 21% =315€  TOTAL A PAGAR: 1,815€  FIANZA     3000€   </t>
      </text>
    </comment>
    <comment ref="F4618" authorId="3246" shapeId="0" xr:uid="{9C73E05C-F3BA-4863-8404-546734531FFF}">
      <text>
        <t>[Comentário encadeado]
Sua versão do Excel permite que você leia este comentário encadeado, no entanto, as edições serão removidas se o arquivo for aberto em uma versão mais recente do Excel. Saiba mais: https://go.microsoft.com/fwlink/?linkid=870924
Comentário:
    Habitación 3  400€ alquiler + 55€ suministros (255€ parte proporcional mayo)
             500€ fianza</t>
      </text>
    </comment>
    <comment ref="F4620" authorId="3247" shapeId="0" xr:uid="{C46E4A46-5E30-47C8-9037-FDED793CFACB}">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621" authorId="3248" shapeId="0" xr:uid="{1CE1E6D0-9AAC-444F-9942-3969A927C252}">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622" authorId="3249" shapeId="0" xr:uid="{198088F6-D48B-45F2-9E4E-886D0C68F209}">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623" authorId="3250" shapeId="0" xr:uid="{1729E68E-F716-47A5-AC13-0459887992D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4624" authorId="3251" shapeId="0" xr:uid="{70D429EB-C018-4C08-99D8-68CD5FFDA9B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4625" authorId="3252" shapeId="0" xr:uid="{2768DB99-1E2D-424E-8421-EF23307D80E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4626" authorId="3253" shapeId="0" xr:uid="{DFE4CA40-9C5B-487F-80B8-30499CD6316F}">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627" authorId="3254" shapeId="0" xr:uid="{A44A6233-73C8-47A5-A3ED-730302A3801C}">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628" authorId="3255" shapeId="0" xr:uid="{3A31FA35-14CA-4642-90B6-E16E82B9569B}">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629" authorId="3256" shapeId="0" xr:uid="{15B6E5C7-6B33-44D8-B26E-2B04DC84310A}">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F4631" authorId="3257" shapeId="0" xr:uid="{687E547E-6C43-45F2-9927-AD707721A037}">
      <text>
        <t>[Comentário encadeado]
Sua versão do Excel permite que você leia este comentário encadeado, no entanto, as edições serão removidas se o arquivo for aberto em uma versão mais recente do Excel. Saiba mais: https://go.microsoft.com/fwlink/?linkid=870924
Comentário:
    La propietaria solicita los pagos efectuados entre el 01 y 02 días de cada mes ya que tiene compromisos urgentes que pagar. Alquiler 450€</t>
      </text>
    </comment>
    <comment ref="F4636" authorId="3258" shapeId="0" xr:uid="{073A0D67-F1BC-47BD-AB06-D67D0E9109A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4637" authorId="3259" shapeId="0" xr:uid="{5C2BEC5C-F038-4BFD-941A-8D95DD79202D}">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638" authorId="3260" shapeId="0" xr:uid="{73D06DA1-2296-4F90-AF63-FD08888BF7A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4639" authorId="3261" shapeId="0" xr:uid="{8B438E39-4831-452D-9ACE-C090EED46977}">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4640" authorId="3262" shapeId="0" xr:uid="{BC301D3A-068A-439F-A80D-8915917A9CFD}">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F4641" authorId="3263" shapeId="0" xr:uid="{707EEAFD-3A20-4209-80DD-67B1007C188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1.800€ Fianza 500€ -4 Camas </t>
      </text>
    </comment>
    <comment ref="F4642" authorId="3264" shapeId="0" xr:uid="{0E522FAA-BDDC-4D9D-96FC-944CC68C9255}">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43" authorId="3265" shapeId="0" xr:uid="{7D0AF5F8-2CD8-4E04-AC34-DDF1F475C160}">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44" authorId="3266" shapeId="0" xr:uid="{E1DABC0E-C353-4CE3-85D5-22D517E58A0C}">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645" authorId="3267" shapeId="0" xr:uid="{1F3A452A-1E7F-4319-AB29-028CE399A88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4646" authorId="3268" shapeId="0" xr:uid="{D5A6C402-B783-4864-B6C7-BDEE5268C8E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47" authorId="3269" shapeId="0" xr:uid="{76FF66B9-8D2D-4A10-ABF6-9882AE442EE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649" authorId="3270" shapeId="0" xr:uid="{AA673390-D6D4-4F94-9319-F64ABD9276C5}">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650" authorId="3271" shapeId="0" xr:uid="{E83C8E08-C529-44F3-9634-896E4E386D74}">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651" authorId="3272" shapeId="0" xr:uid="{5623E3FB-A5CD-4DE6-BFDB-1FDD7D971755}">
      <text>
        <t>[Comentário encadeado]
Sua versão do Excel permite que você leia este comentário encadeado, no entanto, as edições serão removidas se o arquivo for aberto em uma versão mais recente do Excel. Saiba mais: https://go.microsoft.com/fwlink/?linkid=870924
Comentário:
    450€ Alquiler</t>
      </text>
    </comment>
    <comment ref="F4654" authorId="3273" shapeId="0" xr:uid="{80615019-7E41-45FE-9AA6-89A8C41847D8}">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655" authorId="3274" shapeId="0" xr:uid="{E9B96AB9-4764-437F-813D-423EB4F26F63}">
      <text>
        <t>[Comentário encadeado]
Sua versão do Excel permite que você leia este comentário encadeado, no entanto, as edições serão removidas se o arquivo for aberto em uma versão mais recente do Excel. Saiba mais: https://go.microsoft.com/fwlink/?linkid=870924
Comentário:
    350€ALQUILER, 350€FIANZA, SE PAGO ABRIL</t>
      </text>
    </comment>
    <comment ref="F4656" authorId="3275" shapeId="0" xr:uid="{D240C99F-DEEB-4B5F-8DB6-375CA2830CB2}">
      <text>
        <t>[Comentário encadeado]
Sua versão do Excel permite que você leia este comentário encadeado, no entanto, as edições serão removidas se o arquivo for aberto em uma versão mais recente do Excel. Saiba mais: https://go.microsoft.com/fwlink/?linkid=870924
Comentário:
    450€ ALQUILER
450€ FIANZA</t>
      </text>
    </comment>
    <comment ref="F4657" authorId="3276" shapeId="0" xr:uid="{F099ABA8-21C1-4818-BF6F-7784F8EE462B}">
      <text>
        <t>[Comentário encadeado]
Sua versão do Excel permite que você leia este comentário encadeado, no entanto, as edições serão removidas se o arquivo for aberto em uma versão mais recente do Excel. Saiba mais: https://go.microsoft.com/fwlink/?linkid=870924
Comentário:
    450€ ALQUILER
450€ FIANZA</t>
      </text>
    </comment>
    <comment ref="F4659" authorId="3277" shapeId="0" xr:uid="{417C5DB5-A3FA-4A3C-A5AC-42DCC73BA30F}">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660" authorId="3278" shapeId="0" xr:uid="{C86E70AE-C0D1-40FA-B846-99943313E723}">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661" authorId="3279" shapeId="0" xr:uid="{BA910156-8451-44C7-945E-596DFAEDDE98}">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662" authorId="3280" shapeId="0" xr:uid="{787786FE-F3CB-474D-A93F-7B67754FCAEC}">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663" authorId="3281" shapeId="0" xr:uid="{A25C8810-28DF-4840-B75F-5E6BD4EC2CA7}">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664" authorId="3282" shapeId="0" xr:uid="{8B339885-E030-4CD5-8C3E-76766D7E3198}">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665" authorId="3283" shapeId="0" xr:uid="{4A54AE43-6DFE-43D8-B355-3A4916385ADF}">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750€ - Fianza 500€ Total Alojamiento para 3 personas</t>
      </text>
    </comment>
    <comment ref="F4666" authorId="3284" shapeId="0" xr:uid="{7524F969-0213-4715-B628-4D37D11D8006}">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4667" authorId="3285" shapeId="0" xr:uid="{CAD31AC6-C139-41F6-8217-DC6374E4ACF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4668" authorId="3286" shapeId="0" xr:uid="{AFA761A6-B41D-47C9-99BC-A2D512B5824E}">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4670" authorId="3287" shapeId="0" xr:uid="{113F3235-2DCB-435A-8D6D-9795395220B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 </t>
      </text>
    </comment>
    <comment ref="F4671" authorId="3288" shapeId="0" xr:uid="{60D7069A-3D52-4D49-9C61-F36B982D8C2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 </t>
      </text>
    </comment>
    <comment ref="F4672" authorId="3289" shapeId="0" xr:uid="{425963E2-C942-4D14-963A-DF175B3B7AC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 </t>
      </text>
    </comment>
    <comment ref="F4673" authorId="3290" shapeId="0" xr:uid="{1ED398AF-C6CA-4CC3-B76A-36F2CF7F9D46}">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F4674" authorId="3291" shapeId="0" xr:uid="{51D5E92E-E172-4607-B4EA-346B4720CF3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4675" authorId="3292" shapeId="0" xr:uid="{90684F83-0A63-4B45-8687-7FC8476822A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4676" authorId="3293" shapeId="0" xr:uid="{A7E7361A-4E5F-4883-975B-219639FA37B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4677" authorId="3294" shapeId="0" xr:uid="{148588D7-CCCC-4CF2-A2C4-990D48B26F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4681" authorId="3295" shapeId="0" xr:uid="{FEA79671-26EC-4CBE-9CC0-A5D9E50A78F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4682" authorId="3296" shapeId="0" xr:uid="{A12E4147-A2CB-4395-B2DD-D029D5987652}">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4683" authorId="3297" shapeId="0" xr:uid="{6D8731C1-4741-4DCE-A76C-9F88BEB19D09}">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84" authorId="3298" shapeId="0" xr:uid="{A72AD7BC-3351-4484-8D2B-0DF33596843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85" authorId="3299" shapeId="0" xr:uid="{5DF7DF6E-213D-4CC9-8C7B-31DAD4D59CB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86" authorId="3300" shapeId="0" xr:uid="{01D70855-7BBA-466C-8155-6A28C92E478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87" authorId="3301" shapeId="0" xr:uid="{CFC99A82-5AEB-4DB3-A866-5486F5DC5B45}">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88" authorId="3302" shapeId="0" xr:uid="{A2C8A327-B869-47CD-911D-8A8D2C7A90A9}">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690" authorId="3303" shapeId="0" xr:uid="{AA7C7621-4FF3-42FB-ABCC-846926226B05}">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691" authorId="3304" shapeId="0" xr:uid="{CA610EBC-D0F6-4054-8772-B81FAF4C3A3C}">
      <text>
        <t>[Comentário encadeado]
Sua versão do Excel permite que você leia este comentário encadeado, no entanto, as edições serão removidas se o arquivo for aberto em uma versão mais recente do Excel. Saiba mais: https://go.microsoft.com/fwlink/?linkid=870924
Comentário:
    04 CAMAS (01 KOTRIK) ALQUILER 1300€-FIANZA 1300€</t>
      </text>
    </comment>
    <comment ref="F4692" authorId="3305" shapeId="0" xr:uid="{9E0884AA-C2D4-478C-BC4E-B6B5C11216EA}">
      <text>
        <t>[Comentário encadeado]
Sua versão do Excel permite que você leia este comentário encadeado, no entanto, as edições serão removidas se o arquivo for aberto em uma versão mais recente do Excel. Saiba mais: https://go.microsoft.com/fwlink/?linkid=870924
Comentário:
    Habitación Nº5</t>
      </text>
    </comment>
    <comment ref="F4693" authorId="3306" shapeId="0" xr:uid="{61E14AA3-D3C9-4A8C-A2BE-BA9B2A7B8EF6}">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 Alquiler 590€ Fianza 350€</t>
      </text>
    </comment>
    <comment ref="F4694" authorId="3307" shapeId="0" xr:uid="{EF02F0BB-2F41-4973-906E-3740DDBF645B}">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696" authorId="3308" shapeId="0" xr:uid="{62FE43A2-185C-4667-A360-9337EE4EA24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97" authorId="3309" shapeId="0" xr:uid="{3EDEDBEE-DE03-428E-9993-8C64D635335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98" authorId="3310" shapeId="0" xr:uid="{BDA519BC-E700-440C-9C35-F7C48CD514F1}">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699" authorId="3311" shapeId="0" xr:uid="{766EA35F-8FE5-4D5D-9B84-09F0A96475D7}">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00" authorId="3312" shapeId="0" xr:uid="{6D47EDB6-0B05-4B09-9A68-30F54EEC696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01" authorId="3313" shapeId="0" xr:uid="{B7415924-5A97-4D1C-B631-1925D996F7D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4702" authorId="3314" shapeId="0" xr:uid="{FAA18AB2-7248-43FA-9778-24FA8246ED6D}">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4704" authorId="3315" shapeId="0" xr:uid="{6119CC51-A133-4A04-B026-7FDC22CFDB2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05" authorId="3316" shapeId="0" xr:uid="{DA19864C-ADF0-4DE9-9108-1DACDF0255AA}">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707" authorId="3317" shapeId="0" xr:uid="{552F2753-B2A5-4F43-9BA6-517609AB0AC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709" authorId="3318" shapeId="0" xr:uid="{A695290A-9E15-4B5F-9070-DF45B864DD0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340€ ALQULER + 50€ SUMINISTROS =390€ TOTAL. 500 FIANZA
</t>
      </text>
    </comment>
    <comment ref="F4710" authorId="3319" shapeId="0" xr:uid="{B807D914-8FD2-42A6-8C33-63434E8C92AC}">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750€ - Fianza 500€ Total Alojamiento para 3 personas</t>
      </text>
    </comment>
    <comment ref="F4711" authorId="3320" shapeId="0" xr:uid="{3AB4CDBD-91C1-4C59-8588-25FA0887742E}">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750€ - Fianza 500€ Total Alojamiento para 3 personas</t>
      </text>
    </comment>
    <comment ref="F4712" authorId="3321" shapeId="0" xr:uid="{7B86A7A5-2A9D-495B-A0CE-25D47D9FB7D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16" authorId="3322" shapeId="0" xr:uid="{8B37CB18-DC14-436D-A078-5F7BAB6A07C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 </t>
      </text>
    </comment>
    <comment ref="F4717" authorId="3323" shapeId="0" xr:uid="{B9D28521-D272-4BA6-A117-DD8901F3CD7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718" authorId="3324" shapeId="0" xr:uid="{D01BDFC2-BAE8-4D67-BB2B-075699A5106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719" authorId="3325" shapeId="0" xr:uid="{F8E532EA-E53B-402D-9ED2-E4B0D490368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720" authorId="3326" shapeId="0" xr:uid="{D08755F0-F236-4224-BC66-A48F44CFFA5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 </t>
      </text>
    </comment>
    <comment ref="F4721" authorId="3327" shapeId="0" xr:uid="{BE14B3D9-5E3C-4019-83AE-34DFE8D1FB4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 </t>
      </text>
    </comment>
    <comment ref="F4722" authorId="3328" shapeId="0" xr:uid="{49685FE7-0548-42A9-9DB7-8EC7178650D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 </t>
      </text>
    </comment>
    <comment ref="F4723" authorId="3329" shapeId="0" xr:uid="{38BBCEA5-C41B-4902-BBDC-924FCC8A2620}">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724" authorId="3330" shapeId="0" xr:uid="{B6C74081-7C28-4E73-88AC-BE1E092ABB21}">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725" authorId="3331" shapeId="0" xr:uid="{522BFAB5-77BA-4A3D-845D-002031B44084}">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726" authorId="3332" shapeId="0" xr:uid="{102B9DA0-0173-41DD-840A-36D0F52BAB0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 </t>
      </text>
    </comment>
    <comment ref="F4728" authorId="3333" shapeId="0" xr:uid="{AAFC51DB-CD6C-43B8-97CD-82C68073375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5 viajeros</t>
      </text>
    </comment>
    <comment ref="F4729" authorId="3334" shapeId="0" xr:uid="{C9F1463C-5A3B-4B5B-B30F-65A2DC61DEE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30" authorId="3335" shapeId="0" xr:uid="{31820610-B224-441B-B149-B25ABB93680D}">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736" authorId="3336" shapeId="0" xr:uid="{146FDCD2-AEF2-491E-82F1-807BE87BFCEA}">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739" authorId="3337" shapeId="0" xr:uid="{11300F6D-92EE-410C-883F-38E19924544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740" authorId="3338" shapeId="0" xr:uid="{AEF2BC99-594C-41E1-91D3-E8E7E13F549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4741" authorId="3339" shapeId="0" xr:uid="{5A44440B-06CF-4223-A650-13B86055982C}">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43" authorId="3340" shapeId="0" xr:uid="{113C4AA6-FCC5-4449-8BA9-F24D52A4A239}">
      <text>
        <t>[Comentário encadeado]
Sua versão do Excel permite que você leia este comentário encadeado, no entanto, as edições serão removidas se o arquivo for aberto em uma versão mais recente do Excel. Saiba mais: https://go.microsoft.com/fwlink/?linkid=870924
Comentário:
    Habitación doble con dos camas y con baño privado para 15 días continuados 500€. Si continúan para mes completo sería solo 200€ más.</t>
      </text>
    </comment>
    <comment ref="F4744" authorId="3341" shapeId="0" xr:uid="{90E7D87E-2AF2-41DA-BE1E-65C99D9B7D6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745" authorId="3342" shapeId="0" xr:uid="{BF0CAC23-D6DE-4349-9862-B44857F1D38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746" authorId="3343" shapeId="0" xr:uid="{58B642E3-E2F7-4369-8BB8-7478920AB5D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747" authorId="3344" shapeId="0" xr:uid="{5337B050-D94D-4104-8C37-94DE3C8B934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748" authorId="3345" shapeId="0" xr:uid="{DDEE494B-316A-455E-A2FD-CFE40100CAD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749" authorId="3346" shapeId="0" xr:uid="{AA94C30D-B2B6-488D-A8C6-01C1A5674C25}">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50" authorId="3347" shapeId="0" xr:uid="{91FF3D09-310B-4B78-8C7B-BEF341B68CE5}">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52" authorId="3348" shapeId="0" xr:uid="{82F6962D-E982-4D55-912B-9CCF3417B18A}">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4754" authorId="3349" shapeId="0" xr:uid="{C5D60653-BFC9-4672-8D05-6DFC2DEEC1E2}">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757" authorId="3350" shapeId="0" xr:uid="{14497984-F840-4378-BBE9-B8A69040FDF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4758" authorId="3351" shapeId="0" xr:uid="{993A236B-06BE-431F-8271-064BB044446E}">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761" authorId="3352" shapeId="0" xr:uid="{1F3FECCE-D207-4604-91F5-5D34F8DDFA74}">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Responder:
    840€ Alquiler Mensual</t>
      </text>
    </comment>
    <comment ref="F4762" authorId="3353" shapeId="0" xr:uid="{AE4E37B6-BA8A-43EA-A7FE-744DD16078D7}">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F4763" authorId="3354" shapeId="0" xr:uid="{A4455DF7-45D7-4CED-845E-8C50831A0B15}">
      <text>
        <t>[Comentário encadeado]
Sua versão do Excel permite que você leia este comentário encadeado, no entanto, as edições serão removidas se o arquivo for aberto em uma versão mais recente do Excel. Saiba mais: https://go.microsoft.com/fwlink/?linkid=870924
Comentário:
    978.63€ PISO 04 HABITACIONES
Responder:
    04 camas</t>
      </text>
    </comment>
    <comment ref="F4764" authorId="3355" shapeId="0" xr:uid="{A20E7172-39D8-40E6-89A5-EBEF3C95CE99}">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765" authorId="3356" shapeId="0" xr:uid="{C1244DD3-9485-4FC0-A595-DDD39DCCB44B}">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766" authorId="3357" shapeId="0" xr:uid="{A4F5031A-8A32-4C94-86D2-19EC3CC0474B}">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4767" authorId="3358" shapeId="0" xr:uid="{850F1C5B-1D15-481E-9A34-ADD2BD69F6B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768" authorId="3359" shapeId="0" xr:uid="{6E030190-74EC-4E38-B95E-DCD049E51D56}">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1 cama · 1 viajero</t>
      </text>
    </comment>
    <comment ref="F4769" authorId="3360" shapeId="0" xr:uid="{83362D3E-9FDC-4E5B-A553-5AF6CCF380E2}">
      <text>
        <t>[Comentário encadeado]
Sua versão do Excel permite que você leia este comentário encadeado, no entanto, as edições serão removidas se o arquivo for aberto em uma versão mais recente do Excel. Saiba mais: https://go.microsoft.com/fwlink/?linkid=870924
Comentário:
    355€ ALQULER + 55€ SUMINISTROS =410€ TOTAL. 500 FIANZA</t>
      </text>
    </comment>
    <comment ref="F4774" authorId="3361" shapeId="0" xr:uid="{9A978AA7-2CE4-4096-8461-358D29514F58}">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775" authorId="3362" shapeId="0" xr:uid="{4B9A1187-6AED-4599-880E-E18DEC0B358A}">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4776" authorId="3363" shapeId="0" xr:uid="{4A7FCE7E-D4AC-468B-BD9F-932A40A39740}">
      <text>
        <t>[Comentário encadeado]
Sua versão do Excel permite que você leia este comentário encadeado, no entanto, as edições serão removidas se o arquivo for aberto em uma versão mais recente do Excel. Saiba mais: https://go.microsoft.com/fwlink/?linkid=870924
Comentário:
    Habitación Nº5</t>
      </text>
    </comment>
    <comment ref="F4777" authorId="3364" shapeId="0" xr:uid="{B2F8716D-CE1A-4F15-B0DE-FCB815F30E7E}">
      <text>
        <t>[Comentário encadeado]
Sua versão do Excel permite que você leia este comentário encadeado, no entanto, as edições serão removidas se o arquivo for aberto em uma versão mais recente do Excel. Saiba mais: https://go.microsoft.com/fwlink/?linkid=870924
Comentário:
    lojamiento entero · 4 camas · 4 viajeros </t>
      </text>
    </comment>
    <comment ref="F4780" authorId="3365" shapeId="0" xr:uid="{562576DB-8243-42DC-9FC7-0C47F83BA615}">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4781" authorId="3366" shapeId="0" xr:uid="{2CBAC85C-FFC9-41E0-811B-5BF32CF58BC2}">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F4782" authorId="3367" shapeId="0" xr:uid="{9FD5DA8E-EAC7-40A5-9690-54F16278DF9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783" authorId="3368" shapeId="0" xr:uid="{4D85BEB7-83DE-48E0-8C1B-AB6E6EE3FD8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t>
      </text>
    </comment>
    <comment ref="F4784" authorId="3369" shapeId="0" xr:uid="{525B13C8-BB9F-4A8F-A8CC-C440846AC51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790" authorId="3370" shapeId="0" xr:uid="{69238265-4A34-4AD9-B6C5-C3F3140D685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4791" authorId="3371" shapeId="0" xr:uid="{D65F165C-FB37-4BFF-80AB-D31EAEA3068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793" authorId="3372" shapeId="0" xr:uid="{0C39E5EF-7BCD-4196-A754-54A65762A33C}">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4795" authorId="3373" shapeId="0" xr:uid="{D829355D-3D61-4894-B65A-A56EC27191A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796" authorId="3374" shapeId="0" xr:uid="{9623204F-6EFD-467E-A570-FEA163636161}">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797" authorId="3375" shapeId="0" xr:uid="{3B45ED92-B8D2-4D6E-9528-7EADD9CD613B}">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4798" authorId="3376" shapeId="0" xr:uid="{2EC941D4-5393-4251-9499-D96D9054B344}">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4802" authorId="3377" shapeId="0" xr:uid="{5E7CA71F-F79E-45D4-8029-2AB9E2F0A09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4805" authorId="3378" shapeId="0" xr:uid="{41D53E97-518A-4E33-BDE8-692F64D2D7DE}">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06" authorId="3379" shapeId="0" xr:uid="{8DDF821C-ECCF-440C-88A1-BAE12D557BAF}">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07" authorId="3380" shapeId="0" xr:uid="{A21291A5-2AAD-464C-B479-515ED4DE5ABD}">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808" authorId="3381" shapeId="0" xr:uid="{6065C33D-B7CD-4435-A7FF-B9D5A75B3A5B}">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811" authorId="3382" shapeId="0" xr:uid="{4948A699-A30B-4479-B880-ADD8D1A67F17}">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4812" authorId="3383" shapeId="0" xr:uid="{3826B722-4B70-44F9-B6F7-6B634817463D}">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13" authorId="3384" shapeId="0" xr:uid="{73EE01AC-6134-49DC-9ADB-08C98A63CA11}">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18" authorId="3385" shapeId="0" xr:uid="{7EFFDA82-9842-4BA6-8814-80237DB3AA86}">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19" authorId="3386" shapeId="0" xr:uid="{ABCAAFC8-4BD1-40EF-8773-3D32F2201FF5}">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20" authorId="3387" shapeId="0" xr:uid="{4CAD61BE-782E-4A69-93A2-90413464B576}">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21" authorId="3388" shapeId="0" xr:uid="{18F01764-7D36-400F-9F9E-AA8BC1741E21}">
      <text>
        <t>[Comentário encadeado]
Sua versão do Excel permite que você leia este comentário encadeado, no entanto, as edições serão removidas se o arquivo for aberto em uma versão mais recente do Excel. Saiba mais: https://go.microsoft.com/fwlink/?linkid=870924
Comentário:
    Alquiler 903.20€ 4 camas</t>
      </text>
    </comment>
    <comment ref="F4822" authorId="3389" shapeId="0" xr:uid="{483BB358-D9F3-4B73-8B15-A87A9A2A73EE}">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23" authorId="3390" shapeId="0" xr:uid="{D539277C-7427-48DE-B4A3-2DE9F2B39266}">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24" authorId="3391" shapeId="0" xr:uid="{660FD610-AEA1-4272-A72D-4857849F3C9D}">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825" authorId="3392" shapeId="0" xr:uid="{20536419-4A57-4EA1-9F8F-DAF0489BBA3B}">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826" authorId="3393" shapeId="0" xr:uid="{6DE675EF-8DA9-49FB-AE89-7A76CC663BA6}">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4827" authorId="3394" shapeId="0" xr:uid="{38A78DD6-9A08-4E21-A666-A86D3782059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828" authorId="3395" shapeId="0" xr:uid="{1D572542-F2F4-4D0A-9832-E6A3839932D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829" authorId="3396" shapeId="0" xr:uid="{F642D572-CE61-4A94-BB51-51681E093CB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 </t>
      </text>
    </comment>
    <comment ref="F4830" authorId="3397" shapeId="0" xr:uid="{8514E19C-2166-4975-B12F-0E27CF9883C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 </t>
      </text>
    </comment>
    <comment ref="F4831" authorId="3398" shapeId="0" xr:uid="{938567E8-B89E-49BA-80A4-BEA6480CAD60}">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832" authorId="3399" shapeId="0" xr:uid="{F43B51BC-EC90-4DFB-8D97-E98E3711011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833" authorId="3400" shapeId="0" xr:uid="{CDE40DC4-2FE8-4E04-8DC8-ADA9DD70E44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4834" authorId="3401" shapeId="0" xr:uid="{6C9E8461-FF0B-4B2E-9D3A-C5D1C467BBF7}">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835" authorId="3402" shapeId="0" xr:uid="{F6A4D40F-529C-4A09-B92A-8BC1C0F999C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t>
      </text>
    </comment>
    <comment ref="F4836" authorId="3403" shapeId="0" xr:uid="{675D0ADE-5968-42F7-89E5-6872D1D9911F}">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 3 viajeros </t>
      </text>
    </comment>
    <comment ref="F4840" authorId="3404" shapeId="0" xr:uid="{985507AF-5EBB-4FB7-B48A-867938EE507D}">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841" authorId="3405" shapeId="0" xr:uid="{B513D792-E786-4B69-870F-19100E7B881E}">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4842" authorId="3406" shapeId="0" xr:uid="{3DCDEEE4-EC5D-4F71-AD1E-E39F4A866A6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43" authorId="3407" shapeId="0" xr:uid="{35D8C8BE-1192-4B12-8347-7B5ED1A60505}">
      <text>
        <t>[Comentário encadeado]
Sua versão do Excel permite que você leia este comentário encadeado, no entanto, as edições serão removidas se o arquivo for aberto em uma versão mais recente do Excel. Saiba mais: https://go.microsoft.com/fwlink/?linkid=870924
Comentário:
    1650 FIANZA, 1236 ALQUILER,4 habitaciones</t>
      </text>
    </comment>
    <comment ref="F4846" authorId="3408" shapeId="0" xr:uid="{E613FD66-A715-4BAA-A3FF-4D9C2A5C01C3}">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847" authorId="3409" shapeId="0" xr:uid="{8AECD33C-905F-441F-ABB9-F4A5A564B6B4}">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848" authorId="3410" shapeId="0" xr:uid="{25B4600D-6497-4F69-BB3C-F328A0175991}">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4849" authorId="3411" shapeId="0" xr:uid="{7E4FA9EB-F199-4A2F-B61F-5788B9194926}">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4850" authorId="3412" shapeId="0" xr:uid="{B9A2A7AA-29E4-47DF-B223-734F59FF0E38}">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4858" authorId="3413" shapeId="0" xr:uid="{6C0C3C8D-F427-41BE-8CD3-64F961E325B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859" authorId="3414" shapeId="0" xr:uid="{4CB71DB4-0C09-4F05-BB57-0C0F67BFA0A4}">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61" authorId="3415" shapeId="0" xr:uid="{4F5C3A50-97CC-40EA-9608-DB94F2EDC425}">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2" authorId="3416" shapeId="0" xr:uid="{19DE84D3-41F6-4758-9907-125E5238897F}">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3" authorId="3417" shapeId="0" xr:uid="{E3141B84-6041-48B8-B52A-FA7383EF30BB}">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4" authorId="3418" shapeId="0" xr:uid="{7910CF30-3895-4A95-A40B-21FC7A3ED1E2}">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5" authorId="3419" shapeId="0" xr:uid="{6048AC7E-DCEF-4D95-B4D7-75DCE481AEC9}">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6" authorId="3420" shapeId="0" xr:uid="{15802CF2-0771-4385-939E-17BCCD73A37C}">
      <text>
        <t>[Comentário encadeado]
Sua versão do Excel permite que você leia este comentário encadeado, no entanto, as edições serão removidas se o arquivo for aberto em uma versão mais recente do Excel. Saiba mais: https://go.microsoft.com/fwlink/?linkid=870924
Comentário:
    (para 6 personas) </t>
      </text>
    </comment>
    <comment ref="F4867" authorId="3421" shapeId="0" xr:uid="{B228D377-5634-4C9F-A8C4-EDA1DD93D80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45€ por noche</t>
      </text>
    </comment>
    <comment ref="F4868" authorId="3422" shapeId="0" xr:uid="{73243A2A-2C4A-45FB-935B-3147D1215AF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 45€ por noche</t>
      </text>
    </comment>
    <comment ref="F4869" authorId="3423" shapeId="0" xr:uid="{3EEB6C71-79B2-4320-A5A2-7C9E684BC1B2}">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4870" authorId="3424" shapeId="0" xr:uid="{2CE71BDD-889E-4572-B8C6-84E479333306}">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4871" authorId="3425" shapeId="0" xr:uid="{7D9DC79F-7E47-4255-8A49-C3E4B53144A9}">
      <text>
        <t>[Comentário encadeado]
Sua versão do Excel permite que você leia este comentário encadeado, no entanto, as edições serão removidas se o arquivo for aberto em uma versão mais recente do Excel. Saiba mais: https://go.microsoft.com/fwlink/?linkid=870924
Comentário:
    (para 2 personas)</t>
      </text>
    </comment>
    <comment ref="F4878" authorId="3426" shapeId="0" xr:uid="{A7D090EE-FC1E-4BFF-94BA-59ECB999BB5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879" authorId="3427" shapeId="0" xr:uid="{23DDFB67-FCFC-42A0-88FA-7EED900DEFC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4884" authorId="3428" shapeId="0" xr:uid="{AA857C6D-87F4-4EBA-8922-14956E9CB925}">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4887" authorId="3429" shapeId="0" xr:uid="{95B19F00-55E9-4369-9A03-158B9F8AFF80}">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900€ Fianza 900€</t>
      </text>
    </comment>
    <comment ref="F4888" authorId="3430" shapeId="0" xr:uid="{892E4867-238E-4585-95C3-9C68C96C8F5D}">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4890" authorId="3431" shapeId="0" xr:uid="{6ED86042-CD41-4D8A-93B4-52C548C0EA57}">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91" authorId="3432" shapeId="0" xr:uid="{0C5169C9-DAC0-4F61-AF30-38100642822B}">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92" authorId="3433" shapeId="0" xr:uid="{DF012F57-A4BB-4737-B98D-DFDCC8A76CD0}">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2.600€ - Fianza 500€ Total Alojamiento para 7 personas</t>
      </text>
    </comment>
    <comment ref="F4895" authorId="3434" shapeId="0" xr:uid="{B376930B-59F4-4A19-BCDE-46E0E0B1C2C1}">
      <text>
        <t>[Comentário encadeado]
Sua versão do Excel permite que você leia este comentário encadeado, no entanto, as edições serão removidas se o arquivo for aberto em uma versão mais recente do Excel. Saiba mais: https://go.microsoft.com/fwlink/?linkid=870924
Comentário:
    Habitación 500€ Alquiler, Fianza 300€</t>
      </text>
    </comment>
    <comment ref="F4896" authorId="3435" shapeId="0" xr:uid="{9EF5B168-6B9B-466F-BB1D-7485714BE591}">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4897" authorId="3436" shapeId="0" xr:uid="{52C41C89-BCC8-48A7-A7DC-AB3D95C69C9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898" authorId="3437" shapeId="0" xr:uid="{1DDB0DDD-E6CB-4671-9266-B875B195CCC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899" authorId="3438" shapeId="0" xr:uid="{52F140E8-2F15-4569-985E-3D30B49FEB5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0" authorId="3439" shapeId="0" xr:uid="{F12E5633-5418-4627-9799-13D2FDC7572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1" authorId="3440" shapeId="0" xr:uid="{5956440B-71DC-43F1-81C0-AC705CC7363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2" authorId="3441" shapeId="0" xr:uid="{A8575C8C-C3C9-4B77-96E4-23477CD642D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3" authorId="3442" shapeId="0" xr:uid="{72605202-941B-427B-B842-5B4683DB8F1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4" authorId="3443" shapeId="0" xr:uid="{EC4A258F-CBD6-465F-9E8A-1D6AEEBF46C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5" authorId="3444" shapeId="0" xr:uid="{60DDE542-7FC4-49FC-9157-1E0EE51C5D9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6" authorId="3445" shapeId="0" xr:uid="{577FF748-896A-4CC8-8F76-B0AC4DF2538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7" authorId="3446" shapeId="0" xr:uid="{A63B4078-9CF3-48F2-82E3-0A9C4ECCD4E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8" authorId="3447" shapeId="0" xr:uid="{33748E50-98EE-4739-9FBC-75A7E077D83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12 camas · 12 viajeros </t>
      </text>
    </comment>
    <comment ref="F4909" authorId="3448" shapeId="0" xr:uid="{0A0C0E4C-889E-4D0B-9767-E42EBD23904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10" authorId="3449" shapeId="0" xr:uid="{450BE0CF-EB9E-4951-B7B6-9645C0C18375}">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4911" authorId="3450" shapeId="0" xr:uid="{6096EC9B-EAE3-44F8-BFCD-A9098BB55B05}">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4912" authorId="3451" shapeId="0" xr:uid="{F9BA62B2-D0B0-4E8F-AD8A-87D1316A0EFF}">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F4913" authorId="3452" shapeId="0" xr:uid="{B38EFDC7-AD5A-4114-A067-8562467BE584}">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914" authorId="3453" shapeId="0" xr:uid="{10883725-363E-46D8-914B-C90AB6DB4178}">
      <text>
        <t>[Comentário encadeado]
Sua versão do Excel permite que você leia este comentário encadeado, no entanto, as edições serão removidas se o arquivo for aberto em uma versão mais recente do Excel. Saiba mais: https://go.microsoft.com/fwlink/?linkid=870924
Comentário:
    05 camas, 1200€ alquiler,+ 250€ SUMINISTROS+ 1200€ fianza</t>
      </text>
    </comment>
    <comment ref="F4915" authorId="3454" shapeId="0" xr:uid="{913B14FD-0FEF-4684-BB15-5DEB6758010D}">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4916" authorId="3455" shapeId="0" xr:uid="{723E4758-66B0-440E-B065-2E7D6D30B4B8}">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4917" authorId="3456" shapeId="0" xr:uid="{7284F027-C276-44CF-AA70-CD532519536F}">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4918" authorId="3457" shapeId="0" xr:uid="{FCE92750-6FD3-4CE2-9190-47FB85E20F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19" authorId="3458" shapeId="0" xr:uid="{6DF43633-1295-4D64-8B02-CF95BC45C0CA}">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920" authorId="3459" shapeId="0" xr:uid="{EFEBBAD4-83CA-44D3-A894-3A21AB3F2B00}">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921" authorId="3460" shapeId="0" xr:uid="{E1DDEBA9-AD67-404E-A505-422CA25C0D9A}">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924" authorId="3461" shapeId="0" xr:uid="{37C1EDE7-0465-4535-AD01-DB6DD22A67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27" authorId="3462" shapeId="0" xr:uid="{EB303109-C11E-407B-9A39-DE9CCF34A639}">
      <text>
        <t>[Comentário encadeado]
Sua versão do Excel permite que você leia este comentário encadeado, no entanto, as edições serão removidas se o arquivo for aberto em uma versão mais recente do Excel. Saiba mais: https://go.microsoft.com/fwlink/?linkid=870924
Comentário:
    03 camas, 1050€ alquiler+150€suministros.
2100€ fianza</t>
      </text>
    </comment>
    <comment ref="F4928" authorId="3463" shapeId="0" xr:uid="{A8D9AF36-BFCD-4DDE-A83D-EDD2A734D5E1}">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929" authorId="3464" shapeId="0" xr:uid="{AC1792E4-E180-49E8-8B89-200077F94A5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4930" authorId="3465" shapeId="0" xr:uid="{D53C3318-5BF6-4E83-A8B1-775DDBC85C95}">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4931" authorId="3466" shapeId="0" xr:uid="{66DE91A5-7182-410C-BA60-ACE6245FBE04}">
      <text>
        <t>[Comentário encadeado]
Sua versão do Excel permite que você leia este comentário encadeado, no entanto, as edições serão removidas se o arquivo for aberto em uma versão mais recente do Excel. Saiba mais: https://go.microsoft.com/fwlink/?linkid=870924
Comentário:
    Fianza     550€  ,Alquiler 550€   
Responder:
    +200€ porque se adiciona una cama</t>
      </text>
    </comment>
    <comment ref="F4932" authorId="3467" shapeId="0" xr:uid="{3989063F-15B5-493B-B68A-E4389969D5D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933" authorId="3468" shapeId="0" xr:uid="{921DEAFF-0BB3-4700-9097-9D421B4E89E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934" authorId="3469" shapeId="0" xr:uid="{0ECA6AA8-B7A9-462C-924E-7E8A0838DA2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935" authorId="3470" shapeId="0" xr:uid="{FD8D5907-3E50-4254-8FCB-44C0B2AF032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4936" authorId="3471" shapeId="0" xr:uid="{A6DAE12F-73AC-484E-9B58-E60334226AC5}">
      <text>
        <t>[Comentário encadeado]
Sua versão do Excel permite que você leia este comentário encadeado, no entanto, as edições serão removidas se o arquivo for aberto em uma versão mais recente do Excel. Saiba mais: https://go.microsoft.com/fwlink/?linkid=870924
Comentário:
    Fianza     550€  ,Alquiler 550€   
Responder:
    +200€ porque se adiciona una cama
Responder:
    3 CAMAS</t>
      </text>
    </comment>
    <comment ref="F4939" authorId="3472" shapeId="0" xr:uid="{96DA95EA-F354-4C9B-8E5F-D60E0E6B5A3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55" authorId="3473" shapeId="0" xr:uid="{59441955-A1F9-4976-A343-E112E90F952B}">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4962" authorId="3474" shapeId="0" xr:uid="{D028CA74-94F1-4FA4-8211-1CAD41EB4E22}">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4 trabajadores en Huelva.</t>
      </text>
    </comment>
    <comment ref="F4963" authorId="3475" shapeId="0" xr:uid="{2E9BD458-CDF9-493C-A5D4-EFB7FF5B8B3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4964" authorId="3476" shapeId="0" xr:uid="{BF603E65-7CF4-4E60-A61F-37ADB4A61794}">
      <text>
        <t>[Comentário encadeado]
Sua versão do Excel permite que você leia este comentário encadeado, no entanto, as edições serão removidas se o arquivo for aberto em uma versão mais recente do Excel. Saiba mais: https://go.microsoft.com/fwlink/?linkid=870924
Comentário:
     Alquiler 400€ Fianza 400€</t>
      </text>
    </comment>
    <comment ref="F4965" authorId="3477" shapeId="0" xr:uid="{A02D27C1-2A44-4558-A832-825F72B27EE8}">
      <text>
        <t>[Comentário encadeado]
Sua versão do Excel permite que você leia este comentário encadeado, no entanto, as edições serão removidas se o arquivo for aberto em uma versão mais recente do Excel. Saiba mais: https://go.microsoft.com/fwlink/?linkid=870924
Comentário:
    Alquiler 350€ Fianza 350€ </t>
      </text>
    </comment>
    <comment ref="F4967" authorId="3478" shapeId="0" xr:uid="{DDC1A9F5-2A6E-4D8F-84E2-68277D212F9C}">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968" authorId="3479" shapeId="0" xr:uid="{4774D231-31A4-4D51-8AC6-E7C751DB7C13}">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969" authorId="3480" shapeId="0" xr:uid="{F499617A-0E22-4E84-9731-9F6E9BCA37E1}">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970" authorId="3481" shapeId="0" xr:uid="{B56A41CA-BB03-4CB4-A3C5-908253E6BA44}">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972" authorId="3482" shapeId="0" xr:uid="{4130A4A6-68DC-4408-B118-C0DE1A2B347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73" authorId="3483" shapeId="0" xr:uid="{F7FACFA8-30C9-4069-8D36-D4E79FAEE6F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4974" authorId="3484" shapeId="0" xr:uid="{667DEDEC-F2D9-448A-AA14-0B93B3AB7FAE}">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975" authorId="3485" shapeId="0" xr:uid="{A63189D8-810D-4728-BB2A-33A53FFBED54}">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4976" authorId="3486" shapeId="0" xr:uid="{426B13CE-CA59-4F28-8E2B-8164D8D4660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1438,80€    3 camas </t>
      </text>
    </comment>
    <comment ref="F4978" authorId="3487" shapeId="0" xr:uid="{AD61413F-7419-4240-B2B5-16DA14ED60C1}">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4979" authorId="3488" shapeId="0" xr:uid="{6C81144E-FFAE-4515-A9B7-80C040B26187}">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t>
      </text>
    </comment>
    <comment ref="F4980" authorId="3489" shapeId="0" xr:uid="{E17F2731-DD09-4273-85C5-3C9B24476C9D}">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t>
      </text>
    </comment>
    <comment ref="F4983" authorId="3490" shapeId="0" xr:uid="{5803924E-4805-4C73-BB72-198BFA312030}">
      <text>
        <t>[Comentário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Responder:
    Lo bajo a 1.500 € porque solo hay dos alojados; vuelve a 2.000 € cuando estén completos.</t>
      </text>
    </comment>
    <comment ref="F4984" authorId="3491" shapeId="0" xr:uid="{3B7CA6E2-8EB3-42BE-810C-72B827E6C0C9}">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4986" authorId="3492" shapeId="0" xr:uid="{0588E133-AB58-4D71-9522-DE77A97407AD}">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750€
Fianza 750€</t>
      </text>
    </comment>
    <comment ref="F4987" authorId="3493" shapeId="0" xr:uid="{3C0A2091-AE55-454A-A735-5B1D771313EE}">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750€
Fianza 750€</t>
      </text>
    </comment>
    <comment ref="F4988" authorId="3494" shapeId="0" xr:uid="{26536386-B83C-4176-B9B2-07B19337EBA4}">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989" authorId="3495" shapeId="0" xr:uid="{63A1B868-8346-4D94-AAC9-6D0C9AB67707}">
      <text>
        <t>[Comentário encadeado]
Sua versão do Excel permite que você leia este comentário encadeado, no entanto, as edições serão removidas se o arquivo for aberto em uma versão mais recente do Excel. Saiba mais: https://go.microsoft.com/fwlink/?linkid=870924
Comentário:
    03 camas, 1500€ alquiler, 600€ fianza</t>
      </text>
    </comment>
    <comment ref="F4990" authorId="3496" shapeId="0" xr:uid="{47303304-9107-42DC-A44A-5B960383CD33}">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991" authorId="3497" shapeId="0" xr:uid="{DDB752AE-D994-42EA-9D46-2E7BF03D068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1.800€</t>
      </text>
    </comment>
    <comment ref="F4992" authorId="3498" shapeId="0" xr:uid="{75C353FF-B84C-4893-95CA-60C73DDB6797}">
      <text>
        <t>[Comentário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Responder:
    Lo bajo a 1.500 € porque solo hay dos alojados; vuelve a 2.000 € cuando estén completos.</t>
      </text>
    </comment>
    <comment ref="F4996" authorId="3499" shapeId="0" xr:uid="{FF61A1EC-7DB8-4E90-8A58-87E2DE2C2F16}">
      <text>
        <t>[Comentário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Responder:
    Lo bajo a 1.500 € porque solo hay dos alojados; vuelve a 2.000 € cuando estén completos.</t>
      </text>
    </comment>
    <comment ref="F4997" authorId="3500" shapeId="0" xr:uid="{18A48394-53EE-4878-83CD-B40CF061755D}">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4998" authorId="3501" shapeId="0" xr:uid="{8C514729-E07C-436E-94B4-2726D7B3B3A0}">
      <text>
        <t>[Comentário encadeado]
Sua versão do Excel permite que você leia este comentário encadeado, no entanto, as edições serão removidas se o arquivo for aberto em uma versão mais recente do Excel. Saiba mais: https://go.microsoft.com/fwlink/?linkid=870924
Comentário:
    1 Habitación, Alquiler 400€ Fianza 300€</t>
      </text>
    </comment>
    <comment ref="F4999" authorId="3502" shapeId="0" xr:uid="{166A1565-C2A2-4EF3-8529-AC58A70CD43D}">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00" authorId="3503" shapeId="0" xr:uid="{351246C6-0316-4DEE-B16A-D091C49170C5}">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01" authorId="3504" shapeId="0" xr:uid="{D6FEADC2-23DD-4157-B3B7-868A4B16AC2F}">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02" authorId="3505" shapeId="0" xr:uid="{1DF30009-AA56-451B-AF0D-17573D355EEB}">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03" authorId="3506" shapeId="0" xr:uid="{A171552C-43BA-4E89-A547-0AB438E6592C}">
      <text>
        <t>[Comentário encadeado]
Sua versão do Excel permite que você leia este comentário encadeado, no entanto, as edições serão removidas se o arquivo for aberto em uma versão mais recente do Excel. Saiba mais: https://go.microsoft.com/fwlink/?linkid=870924
Comentário:
    Alquiler 250€ + gastos</t>
      </text>
    </comment>
    <comment ref="F5004" authorId="3507" shapeId="0" xr:uid="{182DC743-11F1-413B-86CF-04B65F3E56CF}">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5005" authorId="3508" shapeId="0" xr:uid="{BDAEA383-84D9-42F5-AAAA-42E6EE4F56E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5006" authorId="3509" shapeId="0" xr:uid="{E0E04B18-865C-44F8-92A5-3735861B1BC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5007" authorId="3510" shapeId="0" xr:uid="{EFA13EF6-AB21-4EB8-A39E-630A85E16EA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08" authorId="3511" shapeId="0" xr:uid="{3582F773-4BAB-40A1-B5B4-C7787F9EFFB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09" authorId="3512" shapeId="0" xr:uid="{682B38B9-D451-4E69-9F49-1EDFC3EC895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10" authorId="3513" shapeId="0" xr:uid="{A8672FE7-032C-41E6-BEAA-79E0AC8998BB}">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11" authorId="3514" shapeId="0" xr:uid="{F9618C15-4126-422A-B049-5DE7D883793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12" authorId="3515" shapeId="0" xr:uid="{25089353-0055-471B-99E4-7005C441683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9
SIN FIANZA. El pago se realizará mediante transferencia. La mensualidad es: TRES MIL QUINIENTOS EUROS, (3.500€) Incluidos suministros.</t>
      </text>
    </comment>
    <comment ref="F5013" authorId="3516" shapeId="0" xr:uid="{9C60DD16-4C1E-4ACD-9C50-392DB2D0BA9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5014" authorId="3517" shapeId="0" xr:uid="{A33C9BE8-1B2A-412F-8374-E09B489A3F14}">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5
SIN FIANZA. El pago se realizará mediante transferencia. La mensualidad es: DOS MIL QUINIENTOS EUROS, (2.500€) Incluidos suministros.</t>
      </text>
    </comment>
    <comment ref="F5015" authorId="3518" shapeId="0" xr:uid="{69D55B37-4C32-4C06-A31C-24238999024D}">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16" authorId="3519" shapeId="0" xr:uid="{59BF362B-776B-45BC-8C5B-CDC864DE1999}">
      <text>
        <t>[Comentário encadeado]
Sua versão do Excel permite que você leia este comentário encadeado, no entanto, as edições serão removidas se o arquivo for aberto em uma versão mais recente do Excel. Saiba mais: https://go.microsoft.com/fwlink/?linkid=870924
Comentário:
    1 Habitación, 28€/ Noche un mes entrando el 20/09</t>
      </text>
    </comment>
    <comment ref="F5021" authorId="3520" shapeId="0" xr:uid="{9332081E-6DE5-48C6-B102-21CCA07F5E93}">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5022" authorId="3521" shapeId="0" xr:uid="{703C359D-335E-4EB5-9861-D460D8EDA93E}">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5023" authorId="3522" shapeId="0" xr:uid="{F277D741-1620-4421-8072-025FA21B1796}">
      <text>
        <t>[Comentário encadeado]
Sua versão do Excel permite que você leia este comentário encadeado, no entanto, as edições serão removidas se o arquivo for aberto em uma versão mais recente do Excel. Saiba mais: https://go.microsoft.com/fwlink/?linkid=870924
Comentário:
    (Piso con 4 Camas)
Alquiler 1400 
Fianza 1400€</t>
      </text>
    </comment>
    <comment ref="F5024" authorId="3523" shapeId="0" xr:uid="{A09BD215-6F91-4EC9-9711-5BCF3B953D8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025" authorId="3524" shapeId="0" xr:uid="{6A27B53F-CDFA-4286-AB18-8773D00428B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029" authorId="3525" shapeId="0" xr:uid="{8F5B950F-FD5E-43FF-AB3B-6694BEE862F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t>
      </text>
    </comment>
    <comment ref="F5031" authorId="3526" shapeId="0" xr:uid="{A04C8C57-20C0-432F-B0B4-8C36713274D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t>
      </text>
    </comment>
    <comment ref="F5032" authorId="3527" shapeId="0" xr:uid="{9106E9A5-FE74-4818-86F8-8FC36310ADE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t>
      </text>
    </comment>
    <comment ref="F5033" authorId="3528" shapeId="0" xr:uid="{20124366-2F46-46A8-9B0A-77E3A3F41001}">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3 viajeros</t>
      </text>
    </comment>
    <comment ref="F5035" authorId="3529" shapeId="0" xr:uid="{BF27C050-F618-489D-B30E-25F23477D99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 habitaciones, 2000€ ALQUILER
</t>
      </text>
    </comment>
    <comment ref="F5036" authorId="3530" shapeId="0" xr:uid="{D7EC811C-F5B3-4AE7-A7B6-EE6F6932D4CD}">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5037" authorId="3531" shapeId="0" xr:uid="{114ED222-AFDE-46B5-9379-7C52287BC0B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38" authorId="3532" shapeId="0" xr:uid="{88C689AE-FA89-499D-8704-7AC9B02EF99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39" authorId="3533" shapeId="0" xr:uid="{F5EAEEE3-B711-40A3-A324-9E01B7F53D53}">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t>
      </text>
    </comment>
    <comment ref="F5040" authorId="3534" shapeId="0" xr:uid="{20B98CAF-69FC-409A-9D6B-018B981E91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41" authorId="3535" shapeId="0" xr:uid="{D3C86F93-1BBA-4B89-A314-BC915E697F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42" authorId="3536" shapeId="0" xr:uid="{4EA1A1EF-CCF0-4740-AC96-474E359B276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43" authorId="3537" shapeId="0" xr:uid="{2FC577E5-ACCC-4C7B-BC45-8DF2FD6C99D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44" authorId="3538" shapeId="0" xr:uid="{3F6A99C0-F386-4943-A42F-82E20BB82FC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
Responder:
    ALQUILER  1500€ + I.V.A. 21% =315€  TOTAL A PAGAR: 1,815€  FIANZA     3000€   </t>
      </text>
    </comment>
    <comment ref="F5045" authorId="3539" shapeId="0" xr:uid="{E4174F4A-41F6-4083-9566-DA51DA08E08C}">
      <text>
        <t>[Comentário encadeado]
Sua versão do Excel permite que você leia este comentário encadeado, no entanto, as edições serão removidas se o arquivo for aberto em uma versão mais recente do Excel. Saiba mais: https://go.microsoft.com/fwlink/?linkid=870924
Comentário:
    3 habitaciones, 4 camas</t>
      </text>
    </comment>
    <comment ref="F5046" authorId="3540" shapeId="0" xr:uid="{B891D7D2-0025-4413-B24B-D00A2929246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V5046" authorId="3541" shapeId="0" xr:uid="{C8E7BE5B-FB1B-46AF-90E5-F1D555ABBA1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hotel desde 27/07 al 05/08. martes 06/08 vuelven a la casa hasta el 31/08
</t>
      </text>
    </comment>
    <comment ref="F5047" authorId="3542" shapeId="0" xr:uid="{3EEFF511-F3CE-42CA-ACB3-EBBAB413E0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V5047" authorId="3543" shapeId="0" xr:uid="{9031A28E-F273-4FA2-B69F-5073E97E84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Buscar hotel desde 27/07 al 05/08. martes 06/08 vuelven a la casa hasta el 31/08
</t>
      </text>
    </comment>
    <comment ref="F5049" authorId="3544" shapeId="0" xr:uid="{E6A772BD-A116-4746-BC62-4A8672B4EA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0" authorId="3545" shapeId="0" xr:uid="{6B4AA036-5507-45CE-A5FB-50D9010EB52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1" authorId="3546" shapeId="0" xr:uid="{B637FA47-EAE0-44C0-AB89-51358E5CA7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2" authorId="3547" shapeId="0" xr:uid="{8F15D538-0332-48FA-A4F5-9E43E2D34D1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053" authorId="3548" shapeId="0" xr:uid="{6C065E43-603F-42FD-A656-CE0F0B0E50A2}">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054" authorId="3549" shapeId="0" xr:uid="{BBD9A737-8945-4F47-9393-B194FDCB264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5" authorId="3550" shapeId="0" xr:uid="{EB3523BB-5D33-44AF-A109-9618EC69BC0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56" authorId="3551" shapeId="0" xr:uid="{94F83F66-58B3-4032-847E-F25B01517EAA}">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F5057" authorId="3552" shapeId="0" xr:uid="{204655EA-C814-4821-A67B-9419891E745D}">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5059" authorId="3553" shapeId="0" xr:uid="{DC4CA376-5113-4187-81AB-A87AC65BD0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60" authorId="3554" shapeId="0" xr:uid="{E1FE530F-4492-4032-BA42-2E424FDE771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061" authorId="3555" shapeId="0" xr:uid="{70E689F8-C949-4B3E-AC7C-1ED7559C4DF8}">
      <text>
        <t>[Comentário encadeado]
Sua versão do Excel permite que você leia este comentário encadeado, no entanto, as edições serão removidas se o arquivo for aberto em uma versão mais recente do Excel. Saiba mais: https://go.microsoft.com/fwlink/?linkid=870924
Comentário:
    2 Habitaciones de 350€ y                   1 Habitación de 375€</t>
      </text>
    </comment>
    <comment ref="F5064" authorId="3556" shapeId="0" xr:uid="{3B89A3BE-3DC7-4FD8-845B-3BE24FC7E36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67" authorId="3557" shapeId="0" xr:uid="{6F169C66-0CB1-458A-A609-BB3BEF28DED7}">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F5068" authorId="3558" shapeId="0" xr:uid="{58A360D4-8348-47F6-B00B-B4D0C72708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0" authorId="3559" shapeId="0" xr:uid="{1397FCB9-3622-4DE6-BFE5-80904C9E5C1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1" authorId="3560" shapeId="0" xr:uid="{EF383B31-B0B0-4CE0-829B-19D4AEBE91E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2" authorId="3561" shapeId="0" xr:uid="{2AFA0EF5-C54E-4ED1-BD16-30D95A07593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3" authorId="3562" shapeId="0" xr:uid="{C184832C-43B0-451E-B52F-F4531E95BFE1}">
      <text>
        <t>[Comentário encadeado]
Sua versão do Excel permite que você leia este comentário encadeado, no entanto, as edições serão removidas se o arquivo for aberto em uma versão mais recente do Excel. Saiba mais: https://go.microsoft.com/fwlink/?linkid=870924
Comentário:
    1 Habitaciòn</t>
      </text>
    </comment>
    <comment ref="F5077" authorId="3563" shapeId="0" xr:uid="{EB926D99-3DB3-421D-BA66-3CB5A142952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078" authorId="3564" shapeId="0" xr:uid="{8B2AC819-3E4E-4EC1-87EA-3F71AAE4CB4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79" authorId="3565" shapeId="0" xr:uid="{67DAC9B6-4E4F-48A5-81B0-98A4ED51FA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80" authorId="3566" shapeId="0" xr:uid="{2E46155A-4EDD-4431-A0B4-651B7ED80FE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082" authorId="3567" shapeId="0" xr:uid="{BB393D80-9021-4F0C-8531-382A63E69CAB}">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Y5082" authorId="3568" shapeId="0" xr:uid="{607368BF-AADB-4B71-AD79-DD4A21F06D33}">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t>
      </text>
    </comment>
    <comment ref="F5086" authorId="3569" shapeId="0" xr:uid="{4EFC2F66-6936-46BF-B949-A539740D09DA}">
      <text>
        <t>[Comentário encadeado]
Sua versão do Excel permite que você leia este comentário encadeado, no entanto, as edições serão removidas se o arquivo for aberto em uma versão mais recente do Excel. Saiba mais: https://go.microsoft.com/fwlink/?linkid=870924
Comentário:
    1 Habitacion</t>
      </text>
    </comment>
    <comment ref="F5088" authorId="3570" shapeId="0" xr:uid="{46708966-708C-40B4-BFF9-50B0C4EDFC5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5089" authorId="3571" shapeId="0" xr:uid="{CC0AD11F-9C77-40B9-9C00-458CCC0F30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0" authorId="3572" shapeId="0" xr:uid="{0A439BA0-3AA5-4913-BA02-A697033DBD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1" authorId="3573" shapeId="0" xr:uid="{8DE681F0-3982-4B79-AE5E-9135180C375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2" authorId="3574" shapeId="0" xr:uid="{4992BC56-0A8E-43B9-BA30-3D77CC2C26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3" authorId="3575" shapeId="0" xr:uid="{E96929A9-1798-4DE9-BA9F-A4F08F85B28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4" authorId="3576" shapeId="0" xr:uid="{5C7728B5-972D-4511-9AAB-1909F47D9CD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095" authorId="3577" shapeId="0" xr:uid="{C6274D6F-A6DB-4F0F-85AD-FB6B0DE30D14}">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F5097" authorId="3578" shapeId="0" xr:uid="{E1B6B535-DB2F-4171-AFA3-BFF6246681A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098" authorId="3579" shapeId="0" xr:uid="{161279DE-E7C3-459B-836B-E5ED62E95B2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00" authorId="3580" shapeId="0" xr:uid="{5349B22B-76F2-484B-A27E-FBAC9EE724D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02" authorId="3581" shapeId="0" xr:uid="{87B13811-A853-4966-8880-C3B92F26E1F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5105" authorId="3582" shapeId="0" xr:uid="{C4A520FF-524B-4F65-A7CF-265E4020EEDA}">
      <text>
        <t>[Comentário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+50€ luz =2150€</t>
      </text>
    </comment>
    <comment ref="F5106" authorId="3583" shapeId="0" xr:uid="{034386F4-B5DE-4CBA-8772-C60E111EF9A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107" authorId="3584" shapeId="0" xr:uid="{6F3CDA12-239D-40E7-8FA6-D2358E8B440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14" authorId="3585" shapeId="0" xr:uid="{6A937A49-B978-48DB-B32F-23608318C255}">
      <text>
        <t>[Comentário encadeado]
Sua versão do Excel permite que você leia este comentário encadeado, no entanto, as edições serão removidas se o arquivo for aberto em uma versão mais recente do Excel. Saiba mais: https://go.microsoft.com/fwlink/?linkid=870924
Comentário:
    3 Habitaciones, Capacidad para 4 trabajadores, Alquiler 600€, Fianza 600€</t>
      </text>
    </comment>
    <comment ref="F5115" authorId="3586" shapeId="0" xr:uid="{134CAF8D-124E-4D9D-B02A-C89516D0B329}">
      <text>
        <t>[Comentário encadeado]
Sua versão do Excel permite que você leia este comentário encadeado, no entanto, as edições serão removidas se o arquivo for aberto em uma versão mais recente do Excel. Saiba mais: https://go.microsoft.com/fwlink/?linkid=870924
Comentário:
    3 Habitaciones, Capacidad para 4 trabajadores, Alquiler 600€, Fianza 600€</t>
      </text>
    </comment>
    <comment ref="F5118" authorId="3587" shapeId="0" xr:uid="{9F9050AC-541E-4B99-A369-2F8B39AA9841}">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5120" authorId="3588" shapeId="0" xr:uid="{7474A29A-020A-431A-AD8E-E5B2A17421DE}">
      <text>
        <t>[Comentário encadeado]
Sua versão do Excel permite que você leia este comentário encadeado, no entanto, as edições serão removidas se o arquivo for aberto em uma versão mais recente do Excel. Saiba mais: https://go.microsoft.com/fwlink/?linkid=870924
Comentário:
    2400€ alquiler, 2400€ fianza, 05 camas</t>
      </text>
    </comment>
    <comment ref="F5121" authorId="3589" shapeId="0" xr:uid="{4E8581CA-EB47-4A4B-A5D6-2E7D0C294E47}">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5122" authorId="3590" shapeId="0" xr:uid="{C9F095A7-00C8-4CA1-8919-91F02DEB03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24" authorId="3591" shapeId="0" xr:uid="{2BD902BF-BA7C-483A-950C-F7806448A55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27" authorId="3592" shapeId="0" xr:uid="{2EFBFF81-AAFD-460C-B392-C8EF5D0C4A7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28" authorId="3593" shapeId="0" xr:uid="{47D6F7F9-711B-4548-B26B-CF7533B0B79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31" authorId="3594" shapeId="0" xr:uid="{118FB02D-676F-47DC-A100-7E25AA096338}">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4 trabajadores en Huelva.</t>
      </text>
    </comment>
    <comment ref="F5136" authorId="3595" shapeId="0" xr:uid="{588CBEA5-0A20-428D-B260-03ADD05217EA}">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4 trabajadores en Huelva.</t>
      </text>
    </comment>
    <comment ref="F5138" authorId="3596" shapeId="0" xr:uid="{C7E66917-0D0A-4CBD-BAF9-7878D0C84EC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139" authorId="3597" shapeId="0" xr:uid="{2D523FD6-823E-4C69-9428-C067B2D8E61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141" authorId="3598" shapeId="0" xr:uid="{6DD90847-5478-409B-95AE-0FF0DBF1FBD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142" authorId="3599" shapeId="0" xr:uid="{A3119AE7-49BF-4602-87FE-F1076D528BB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143" authorId="3600" shapeId="0" xr:uid="{3EE539DF-FED4-4F52-891C-5506161ACE39}">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V5143" authorId="3601" shapeId="0" xr:uid="{82BAFF75-3EB8-4DC5-9685-CF4F770B04A3}">
      <text>
        <t>[Comentário encadeado]
Sua versão do Excel permite que você leia este comentário encadeado, no entanto, as edições serão removidas se o arquivo for aberto em uma versão mais recente do Excel. Saiba mais: https://go.microsoft.com/fwlink/?linkid=870924
Comentário:
    VUELVEN AL ALOJAMIENTO DE NADJA 2020/08</t>
      </text>
    </comment>
    <comment ref="F5144" authorId="3602" shapeId="0" xr:uid="{CC2161DF-0FAD-4BD4-BA0D-260B517FDF7F}">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5145" authorId="3603" shapeId="0" xr:uid="{C1AA7695-BA00-4FC6-8245-0FB16F4241AD}">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5146" authorId="3604" shapeId="0" xr:uid="{700B2765-27F9-4934-A41B-CF060E6120C4}">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5149" authorId="3605" shapeId="0" xr:uid="{F0657823-D08F-4844-BDE7-3318A9D2CB42}">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5150" authorId="3606" shapeId="0" xr:uid="{2E9C1A38-D214-427D-B075-C7850B425671}">
      <text>
        <t>[Comentário encadeado]
Sua versão do Excel permite que você leia este comentário encadeado, no entanto, as edições serão removidas se o arquivo for aberto em uma versão mais recente do Excel. Saiba mais: https://go.microsoft.com/fwlink/?linkid=870924
Comentário:
    4 Habitaciones con Capacidad para 5 trabajadores, Alquiler 900€, Fianza 900€</t>
      </text>
    </comment>
    <comment ref="F5152" authorId="3607" shapeId="0" xr:uid="{CD58D924-E992-4C2F-84EC-FFCDB1FAE5E1}">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5153" authorId="3608" shapeId="0" xr:uid="{0B1D627E-91C2-4556-A50A-B9C50D8D849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55" authorId="3609" shapeId="0" xr:uid="{375AC896-9DC4-4F6B-842C-F1E27D168A9D}">
      <text>
        <t>[Comentário encadeado]
Sua versão do Excel permite que você leia este comentário encadeado, no entanto, as edições serão removidas se o arquivo for aberto em uma versão mais recente do Excel. Saiba mais: https://go.microsoft.com/fwlink/?linkid=870924
Comentário:
    Alojamiento 3 camas</t>
      </text>
    </comment>
    <comment ref="F5156" authorId="3610" shapeId="0" xr:uid="{345C5CBD-4782-4AD5-BDC8-F2AAED712F50}">
      <text>
        <t>[Comentário encadeado]
Sua versão do Excel permite que você leia este comentário encadeado, no entanto, as edições serão removidas se o arquivo for aberto em uma versão mais recente do Excel. Saiba mais: https://go.microsoft.com/fwlink/?linkid=870924
Comentário:
    Alojamiento 3 camas</t>
      </text>
    </comment>
    <comment ref="F5157" authorId="3611" shapeId="0" xr:uid="{392C223F-99EB-4014-A152-35BBCD2F061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59" authorId="3612" shapeId="0" xr:uid="{AC390B86-47C9-419D-BCE1-BECA4575F16D}">
      <text>
        <t>[Comentário encadeado]
Sua versão do Excel permite que você leia este comentário encadeado, no entanto, as edições serão removidas se o arquivo for aberto em uma versão mais recente do Excel. Saiba mais: https://go.microsoft.com/fwlink/?linkid=870924
Comentário:
    Alojamiento 3 camas</t>
      </text>
    </comment>
    <comment ref="F5160" authorId="3613" shapeId="0" xr:uid="{A1648A11-CA26-4E73-BD89-5C5F0DB05F1E}">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F5163" authorId="3614" shapeId="0" xr:uid="{EA57CA69-6614-4029-8525-DB9256C206F5}">
      <text>
        <t>[Comentário encadeado]
Sua versão do Excel permite que você leia este comentário encadeado, no entanto, as edições serão removidas se o arquivo for aberto em uma versão mais recente do Excel. Saiba mais: https://go.microsoft.com/fwlink/?linkid=870924
Comentário:
    Asignación de piso para 4 trabajadores en Huelva.</t>
      </text>
    </comment>
    <comment ref="F5166" authorId="3615" shapeId="0" xr:uid="{350A3895-8B9B-4505-9DAA-C85EB8700C6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t>
      </text>
    </comment>
    <comment ref="F5169" authorId="3616" shapeId="0" xr:uid="{87FF95E6-50C1-45A3-9F2E-633FE1978401}">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 camas individuales, Alquiler 590€ Fianza 350€</t>
      </text>
    </comment>
    <comment ref="F5172" authorId="3617" shapeId="0" xr:uid="{2F37ED8A-C5D2-4AE5-94F9-132839F4CB19}">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180" authorId="3618" shapeId="0" xr:uid="{0EB696EB-9232-451F-882F-D9C37A901E0A}">
      <text>
        <t>[Comentário encadeado]
Sua versão do Excel permite que você leia este comentário encadeado, no entanto, as edições serão removidas se o arquivo for aberto em uma versão mais recente do Excel. Saiba mais: https://go.microsoft.com/fwlink/?linkid=870924
Comentário:
    06 camas, Renta vivienda 1.380€+ Servicio limpieza 302,50€ =TOTAL 1.682,50€. Fianza 950€ fianza</t>
      </text>
    </comment>
    <comment ref="F5182" authorId="3619" shapeId="0" xr:uid="{08F78114-8DE5-420E-818A-25FE9A6399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2 apartamento DOBLES </t>
      </text>
    </comment>
    <comment ref="F5183" authorId="3620" shapeId="0" xr:uid="{4982E014-E36C-4840-99D6-877436C2872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185" authorId="3621" shapeId="0" xr:uid="{FD0AB877-3586-49EC-8FAD-38E18D026246}">
      <text>
        <t>[Comentário encadeado]
Sua versão do Excel permite que você leia este comentário encadeado, no entanto, as edições serão removidas se o arquivo for aberto em uma versão mais recente do Excel. Saiba mais: https://go.microsoft.com/fwlink/?linkid=870924
Comentário:
    Alojamiento con 4 Habitaciones 3 Camas.
Alquiler: 1.200€
Fianza 1.200€</t>
      </text>
    </comment>
    <comment ref="F5186" authorId="3622" shapeId="0" xr:uid="{90132B2C-6683-4119-970D-94C542B1920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87" authorId="3623" shapeId="0" xr:uid="{2BCE6124-0D8F-4ED5-9029-D2B4EFF8CB9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88" authorId="3624" shapeId="0" xr:uid="{8B09294A-3DBA-4B79-97A9-F6845F2112B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189" authorId="3625" shapeId="0" xr:uid="{186F35DC-B8F0-430B-91C6-E84144B834B4}">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190" authorId="3626" shapeId="0" xr:uid="{09293104-6504-4BE7-BCAE-4BECE56A48C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 + 01 sofa cama. Alquiler 600€. Fianza 600€
</t>
      </text>
    </comment>
    <comment ref="F5191" authorId="3627" shapeId="0" xr:uid="{38262500-5814-4DCC-B88F-FBD0F2C206CD}">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F5200" authorId="3628" shapeId="0" xr:uid="{DD076CCF-D35F-4D7F-85D4-575AB1C89D5D}">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5202" authorId="3629" shapeId="0" xr:uid="{D5C04536-C9FB-4E3C-972C-AA9C1198AA7F}">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205" authorId="3630" shapeId="0" xr:uid="{1EF3F73E-9ECA-4338-9DD4-068F31F26351}">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206" authorId="3631" shapeId="0" xr:uid="{F08BE064-7CEA-4F04-99F0-F51F80D2BE4E}">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207" authorId="3632" shapeId="0" xr:uid="{7BB49DCD-6C13-4F3D-BED7-E53907FB98F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Y5207" authorId="155" shapeId="0" xr:uid="{860A7635-0334-450A-8321-7AECFD19FBEE}">
      <text>
        <r>
          <rPr>
            <sz val="11"/>
            <color theme="1"/>
            <rFont val="Calibri"/>
            <family val="2"/>
            <scheme val="minor"/>
          </rPr>
          <t>Comentario:
    1800 mensual</t>
        </r>
      </text>
    </comment>
    <comment ref="F5208" authorId="3633" shapeId="0" xr:uid="{79359813-590B-4ECF-AE33-F09F3D010BBD}">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209" authorId="3634" shapeId="0" xr:uid="{00B79A15-DC10-493F-BB9A-AB49ADE64E47}">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5210" authorId="3635" shapeId="0" xr:uid="{50BE9A96-094A-4984-BD88-397098882B9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212" authorId="3636" shapeId="0" xr:uid="{55AFACBA-6027-4361-91D1-2C1D199584D1}">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5213" authorId="3637" shapeId="0" xr:uid="{3DD089C0-45CE-4975-80CC-475C2791B70B}">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5214" authorId="3638" shapeId="0" xr:uid="{75F07ABA-04BA-4CCA-AEDB-F603E562FF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Alquiler 450€ </t>
      </text>
    </comment>
    <comment ref="F5215" authorId="3639" shapeId="0" xr:uid="{2D326DF6-9674-4944-8CB3-D6C08398D977}">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W5215" authorId="3640" shapeId="0" xr:uid="{2185BD6B-89A9-4C31-91A4-E203750E765B}">
      <text>
        <t>[Comentário encadeado]
Sua versão do Excel permite que você leia este comentário encadeado, no entanto, as edições serão removidas se o arquivo for aberto em uma versão mais recente do Excel. Saiba mais: https://go.microsoft.com/fwlink/?linkid=870924
Comentário:
    Esta fianza pasa al piso Calle Escalante 345, Valencia</t>
      </text>
    </comment>
    <comment ref="F5217" authorId="3641" shapeId="0" xr:uid="{3A57C591-7533-4F18-BB5F-55FAFD01D41C}">
      <text>
        <t>[Comentário encadeado]
Sua versão do Excel permite que você leia este comentário encadeado, no entanto, as edições serão removidas se o arquivo for aberto em uma versão mais recente do Excel. Saiba mais: https://go.microsoft.com/fwlink/?linkid=870924
Comentário:
    Alojamiento con 4 Habitaciones 3 Camas.
Alquiler: 1.200€
Fianza 1.200€</t>
      </text>
    </comment>
    <comment ref="F5218" authorId="3642" shapeId="0" xr:uid="{C7D74E7D-F4A2-4BE8-959D-10392BA7C79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219" authorId="3643" shapeId="0" xr:uid="{3DA01EF9-AD80-4833-9C46-99801349DB81}">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5220" authorId="3644" shapeId="0" xr:uid="{0DEEF3D3-10C1-4854-AC32-54AB675D6838}">
      <text>
        <t>[Comentário encadeado]
Sua versão do Excel permite que você leia este comentário encadeado, no entanto, as edições serão removidas se o arquivo for aberto em uma versão mais recente do Excel. Saiba mais: https://go.microsoft.com/fwlink/?linkid=870924
Comentário:
    4 camas
Responder:
    2000 alquiler- 2000 fianza</t>
      </text>
    </comment>
    <comment ref="F5221" authorId="3645" shapeId="0" xr:uid="{30C20D1C-7E9C-4532-B814-BC3CC93E9784}">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222" authorId="3646" shapeId="0" xr:uid="{13964E32-FB90-44EE-A01E-08648861B5B1}">
      <text>
        <t>[Comentário encadeado]
Sua versão do Excel permite que você leia este comentário encadeado, no entanto, as edições serão removidas se o arquivo for aberto em uma versão mais recente do Excel. Saiba mais: https://go.microsoft.com/fwlink/?linkid=870924
Comentário:
    02 camas, 700€ alquiler, 500€ fianza</t>
      </text>
    </comment>
    <comment ref="F5224" authorId="3647" shapeId="0" xr:uid="{937D8151-5F9F-49BA-A199-571B1EECA8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25" authorId="3648" shapeId="0" xr:uid="{79F53B03-B0F3-437B-A19D-659F226A9718}">
      <text>
        <t>[Comentário encadeado]
Sua versão do Excel permite que você leia este comentário encadeado, no entanto, as edições serão removidas se o arquivo for aberto em uma versão mais recente do Excel. Saiba mais: https://go.microsoft.com/fwlink/?linkid=870924
Comentário:
    06 camas
Responder:
    +1 Cama</t>
      </text>
    </comment>
    <comment ref="F5226" authorId="3649" shapeId="0" xr:uid="{4EB06852-4748-4ADA-B81A-3B8A57F4A017}">
      <text>
        <t>[Comentário encadeado]
Sua versão do Excel permite que você leia este comentário encadeado, no entanto, as edições serão removidas se o arquivo for aberto em uma versão mais recente do Excel. Saiba mais: https://go.microsoft.com/fwlink/?linkid=870924
Comentário:
    03 CAMAS, 1450€ ALQUILER, 600€ FIANZA. SE PAGO MARZO</t>
      </text>
    </comment>
    <comment ref="F5227" authorId="3650" shapeId="0" xr:uid="{D7A56342-5EB4-46F1-9496-E3AB4AB629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29" authorId="3651" shapeId="0" xr:uid="{E92D699F-D4FD-48E9-8BD7-9EA680ABF16A}">
      <text>
        <t>[Comentário encadeado]
Sua versão do Excel permite que você leia este comentário encadeado, no entanto, as edições serão removidas se o arquivo for aberto em uma versão mais recente do Excel. Saiba mais: https://go.microsoft.com/fwlink/?linkid=870924
Comentário:
    03 camas, 1100€ alquiler, 200€ fianza</t>
      </text>
    </comment>
    <comment ref="F5231" authorId="3652" shapeId="0" xr:uid="{6E3065E9-6AD9-478C-BE87-98C8C374AEC7}">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1.000€ - Fianza 500€ Total Alojamiento para 4 personas</t>
      </text>
    </comment>
    <comment ref="F5232" authorId="3653" shapeId="0" xr:uid="{E9D56C7B-3BC4-41EC-B01B-C8F9AE51BB0E}">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1.000€ - Fianza 500€ Total Alojamiento para 4 personas</t>
      </text>
    </comment>
    <comment ref="F5234" authorId="3654" shapeId="0" xr:uid="{9C25A297-96E6-4757-ADEF-3467FA3413E5}">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235" authorId="3655" shapeId="0" xr:uid="{D73A4A3F-156F-444D-8C87-743E6EC1E43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240" authorId="3656" shapeId="0" xr:uid="{438F7337-8967-46F0-BF6D-F910E3B6CA1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41" authorId="3657" shapeId="0" xr:uid="{F3703F22-EA66-44C8-977F-10B49C407EE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42" authorId="3658" shapeId="0" xr:uid="{29B6247D-4747-4352-8DFE-BDA591C65BE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43" authorId="3659" shapeId="0" xr:uid="{67330351-450D-4471-97CE-4E7BD653B712}">
      <text>
        <t>[Comentário encadeado]
Sua versão do Excel permite que você leia este comentário encadeado, no entanto, as edições serão removidas se o arquivo for aberto em uma versão mais recente do Excel. Saiba mais: https://go.microsoft.com/fwlink/?linkid=870924
Comentário:
    Alquiler Mensual 1.000€ - Fianza 500€ Total Alojamiento para 4 personas</t>
      </text>
    </comment>
    <comment ref="F5244" authorId="3660" shapeId="0" xr:uid="{D8141D01-A870-4AE5-8981-1C468740755C}">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245" authorId="3661" shapeId="0" xr:uid="{30CF7A7E-3EB4-4FFE-A1E0-F327BE660B25}">
      <text>
        <t>[Comentário encadeado]
Sua versão do Excel permite que você leia este comentário encadeado, no entanto, as edições serão removidas se o arquivo for aberto em uma versão mais recente do Excel. Saiba mais: https://go.microsoft.com/fwlink/?linkid=870924
Comentário:
    Habitación:400€ 
Finanza:100€</t>
      </text>
    </comment>
    <comment ref="F5246" authorId="3662" shapeId="0" xr:uid="{95601A5E-23D4-4692-8AB4-D612549BAE1C}">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247" authorId="3663" shapeId="0" xr:uid="{18AEDD86-7407-4851-80C4-02A49351D689}">
      <text>
        <t>[Comentário encadeado]
Sua versão do Excel permite que você leia este comentário encadeado, no entanto, as edições serão removidas se o arquivo for aberto em uma versão mais recente do Excel. Saiba mais: https://go.microsoft.com/fwlink/?linkid=870924
Comentário:
    Alojamiento con 4 Habitaciones 3 Camas.
Alquiler: 1.200€
Fianza 1.200€</t>
      </text>
    </comment>
    <comment ref="F5248" authorId="3664" shapeId="0" xr:uid="{1B3F7DE9-4DD9-4E6F-99C5-EE647AAD3F94}">
      <text>
        <t>[Comentário encadeado]
Sua versão do Excel permite que você leia este comentário encadeado, no entanto, as edições serão removidas se o arquivo for aberto em uma versão mais recente do Excel. Saiba mais: https://go.microsoft.com/fwlink/?linkid=870924
Comentário:
    Habitacion 480€</t>
      </text>
    </comment>
    <comment ref="F5249" authorId="3665" shapeId="0" xr:uid="{4532AEA5-70D0-4B0D-967F-D14D7241D92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50" authorId="3666" shapeId="0" xr:uid="{A9F892DD-6737-4863-9E2E-8A3FE5E67F2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251" authorId="3667" shapeId="0" xr:uid="{B09DFFF8-6D5F-4DF8-8808-727A2ED4ABA9}">
      <text>
        <t>[Comentário encadeado]
Sua versão do Excel permite que você leia este comentário encadeado, no entanto, as edições serão removidas se o arquivo for aberto em uma versão mais recente do Excel. Saiba mais: https://go.microsoft.com/fwlink/?linkid=870924
Comentário:
    1 Habitación individual</t>
      </text>
    </comment>
    <comment ref="F5252" authorId="3668" shapeId="0" xr:uid="{52AA2783-C634-48C4-B70D-E316BC9126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253" authorId="3669" shapeId="0" xr:uid="{44EC00BC-97CD-4DFB-8029-F77F5E01AF60}">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5254" authorId="3670" shapeId="0" xr:uid="{B5E8D458-08EB-4767-BB08-58B07FCA7515}">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5255" authorId="3671" shapeId="0" xr:uid="{AA619F11-47E5-4663-B720-F31AC51B7945}">
      <text>
        <t>[Comentário encadeado]
Sua versão do Excel permite que você leia este comentário encadeado, no entanto, as edições serão removidas se o arquivo for aberto em uma versão mais recente do Excel. Saiba mais: https://go.microsoft.com/fwlink/?linkid=870924
Comentário:
    Alquiler 250€ + gastos</t>
      </text>
    </comment>
    <comment ref="F5257" authorId="3672" shapeId="0" xr:uid="{756B5A9C-5885-4418-9662-3318A55F6B9C}">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5259" authorId="3673" shapeId="0" xr:uid="{7335622A-2C23-47AD-8E19-1B29D9CFC76B}">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60" authorId="3674" shapeId="0" xr:uid="{AA9FB3F1-4A4A-4BBA-875E-8CAADA589C06}">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5261" authorId="3675" shapeId="0" xr:uid="{3F0EF049-1883-436F-B5CF-B6E433C6184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263" authorId="3676" shapeId="0" xr:uid="{BF7D2935-AB02-487A-A266-764530B494B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64" authorId="3677" shapeId="0" xr:uid="{59AC706B-91D4-4A03-8659-A0E484AB875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265" authorId="3678" shapeId="0" xr:uid="{24CC0EEA-C2BF-4B20-8E56-451598C34B7C}">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266" authorId="3679" shapeId="0" xr:uid="{494109A5-F0C1-4206-814F-BA545EF66EA6}">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267" authorId="3680" shapeId="0" xr:uid="{528695D2-0608-49C9-B0F7-21311B43714F}">
      <text>
        <t>[Comentário encadeado]
Sua versão do Excel permite que você leia este comentário encadeado, no entanto, as edições serão removidas se o arquivo for aberto em uma versão mais recente do Excel. Saiba mais: https://go.microsoft.com/fwlink/?linkid=870924
Comentário:
    01 cama, sin fianza, transferencia al trabajador</t>
      </text>
    </comment>
    <comment ref="F5268" authorId="3681" shapeId="0" xr:uid="{450082CC-A69C-4204-B14A-8EE4F46277C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269" authorId="3682" shapeId="0" xr:uid="{76A3292F-06A3-47A9-B65A-89A49DB8CB7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70" authorId="3683" shapeId="0" xr:uid="{CBFEA5EB-18BF-4C8F-8787-320D047BE53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2 PERSONAS</t>
      </text>
    </comment>
    <comment ref="F5271" authorId="3684" shapeId="0" xr:uid="{4F419714-B856-44FE-AEEE-97EA67C0812E}">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72" authorId="3685" shapeId="0" xr:uid="{95F97DB3-384A-40D5-AE61-69FEB2391235}">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73" authorId="3686" shapeId="0" xr:uid="{04FF223B-F202-44FD-B321-9E758C7F1EB1}">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74" authorId="3687" shapeId="0" xr:uid="{03C736C0-2804-4EB3-AD95-24355D6075E2}">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75" authorId="3688" shapeId="0" xr:uid="{CCECD547-8356-428E-9A58-7C8053B4054A}">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2800 Camas 6
Responder:
    +01 cama Kotrik llevada 28/12</t>
      </text>
    </comment>
    <comment ref="F5276" authorId="3689" shapeId="0" xr:uid="{B2853BBB-ACAA-4BE8-BDDF-58521E8A4BF7}">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279" authorId="3690" shapeId="0" xr:uid="{FAAEAA0A-4C42-4326-B649-D1E1F5CC4F1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Camas </t>
      </text>
    </comment>
    <comment ref="F5280" authorId="3691" shapeId="0" xr:uid="{4CF9C1B9-5A4B-4092-8DBB-855FA96190D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Camas </t>
      </text>
    </comment>
    <comment ref="F5281" authorId="3692" shapeId="0" xr:uid="{EB4D8B97-52A7-4975-A8DC-1D7A835481F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3 Camas </t>
      </text>
    </comment>
    <comment ref="F5284" authorId="3693" shapeId="0" xr:uid="{6A5957D9-A234-4099-B777-4D240136548B}">
      <text>
        <t>[Comentário encadeado]
Sua versão do Excel permite que você leia este comentário encadeado, no entanto, as edições serão removidas se o arquivo for aberto em uma versão mais recente do Excel. Saiba mais: https://go.microsoft.com/fwlink/?linkid=870924
Comentário:
    Alquiler 1400 3 Habitaciones 5 camas</t>
      </text>
    </comment>
    <comment ref="F5285" authorId="3694" shapeId="0" xr:uid="{11A86788-2BE0-4BF3-993A-1C7AB77F07B3}">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286" authorId="3695" shapeId="0" xr:uid="{7BEAF2E6-A44A-4AA8-B1B5-3F1A91E1A394}">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287" authorId="3696" shapeId="0" xr:uid="{43D3B202-F234-4092-8D45-362A8E1CAE60}">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289" authorId="3697" shapeId="0" xr:uid="{A36D5AE2-A2D9-41B4-B16E-BE34B785E715}">
      <text>
        <t>[Comentário encadeado]
Sua versão do Excel permite que você leia este comentário encadeado, no entanto, as edições serão removidas se o arquivo for aberto em uma versão mais recente do Excel. Saiba mais: https://go.microsoft.com/fwlink/?linkid=870924
Comentário:
    Alquiler 2300 Camas 5</t>
      </text>
    </comment>
    <comment ref="F5290" authorId="3698" shapeId="0" xr:uid="{B708AA1F-A10F-4DDA-80BD-58149682A83B}">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5291" authorId="3699" shapeId="0" xr:uid="{15A5ED21-0EC6-4A31-859B-383487E9FEED}">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292" authorId="3700" shapeId="0" xr:uid="{BB220B95-ABCE-43E3-A5E1-88E3987ED2C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3" authorId="3701" shapeId="0" xr:uid="{A06C019E-1513-470E-A969-4C48342789A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4" authorId="3702" shapeId="0" xr:uid="{DAFDE24E-19BA-42A8-B578-201D505B1A0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5" authorId="3703" shapeId="0" xr:uid="{5B86D4AA-09F3-4F6E-9968-2EB10899685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6" authorId="3704" shapeId="0" xr:uid="{BD14852B-2F1A-4C76-8331-7EEF19C99A5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297" authorId="3705" shapeId="0" xr:uid="{241E7E29-E9AC-447A-A915-7FB705A3052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8" authorId="3706" shapeId="0" xr:uid="{A8199491-5C3B-4989-9E2D-52744A683FB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299" authorId="3707" shapeId="0" xr:uid="{F67A8F2E-42FD-4C1C-8251-9C7D36F193D3}">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300" authorId="3708" shapeId="0" xr:uid="{D30F24D6-F560-4EDF-81A2-DD539A6D2F97}">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301" authorId="3709" shapeId="0" xr:uid="{7922C092-EB26-4632-9ACF-81499249700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02" authorId="3710" shapeId="0" xr:uid="{C4916E16-2EE9-4903-9332-89BC12414CDF}">
      <text>
        <t>[Comentário encadeado]
Sua versão do Excel permite que você leia este comentário encadeado, no entanto, as edições serão removidas se o arquivo for aberto em uma versão mais recente do Excel. Saiba mais: https://go.microsoft.com/fwlink/?linkid=870924
Comentário:
    Alquiler 600€, fianza 300€ 3 CAMAS</t>
      </text>
    </comment>
    <comment ref="F5303" authorId="3711" shapeId="0" xr:uid="{4B6DB16A-EF78-45A8-827F-2F812B502094}">
      <text>
        <t>[Comentário encadeado]
Sua versão do Excel permite que você leia este comentário encadeado, no entanto, as edições serão removidas se o arquivo for aberto em uma versão mais recente do Excel. Saiba mais: https://go.microsoft.com/fwlink/?linkid=870924
Comentário:
    Capacidad 06 camas- 1980€</t>
      </text>
    </comment>
    <comment ref="F5305" authorId="3712" shapeId="0" xr:uid="{80ABDFD9-984B-468C-A687-0C15AE790F7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695€Alquiler
695€ Fianza
4 camas </t>
      </text>
    </comment>
    <comment ref="F5306" authorId="3713" shapeId="0" xr:uid="{B3083B43-93A5-4C49-BB05-FFBFF9173718}">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+ 200€suministros+ 2400€ fianza. 04 camas</t>
      </text>
    </comment>
    <comment ref="F5307" authorId="3714" shapeId="0" xr:uid="{C105BF32-958E-4C35-80A5-267CCA3A74AA}">
      <text>
        <t>[Comentário encadeado]
Sua versão do Excel permite que você leia este comentário encadeado, no entanto, as edições serão removidas se o arquivo for aberto em uma versão mais recente do Excel. Saiba mais: https://go.microsoft.com/fwlink/?linkid=870924
Comentário:
    Alquiler 600€, fianza 300€ 3 CAMAS</t>
      </text>
    </comment>
    <comment ref="F5308" authorId="3715" shapeId="0" xr:uid="{E752BCFE-1C02-442B-B0D8-825366FDC078}">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309" authorId="3716" shapeId="0" xr:uid="{3D24F730-8D97-4395-BFE5-85B1CEC3E86B}">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310" authorId="3717" shapeId="0" xr:uid="{96F5119D-7D03-4966-9058-0AAD3FB5BE14}">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311" authorId="3718" shapeId="0" xr:uid="{08800E5C-A248-432A-AB57-3D860E87E0F4}">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12" authorId="3719" shapeId="0" xr:uid="{CC3E3839-A0A3-47AF-BDB1-6B7996693271}">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5313" authorId="3720" shapeId="0" xr:uid="{CD57FB72-A888-4A12-9323-7AB89AF8D0CD}">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t>
      </text>
    </comment>
    <comment ref="F5315" authorId="3721" shapeId="0" xr:uid="{52B21C18-B795-491E-9D0C-D0F337D1C2E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Alquiler 450€ Fianza 450€ </t>
      </text>
    </comment>
    <comment ref="F5318" authorId="3722" shapeId="0" xr:uid="{3503559B-3C08-4159-99D8-25673E1596FD}">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24" authorId="3723" shapeId="0" xr:uid="{A6E874A7-523F-4254-916A-67B469B1EC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29" authorId="3724" shapeId="0" xr:uid="{C5235C98-AC84-4017-A7BC-F70221895772}">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330" authorId="3725" shapeId="0" xr:uid="{F5F25DD6-3D55-4906-A4CE-C313A1CB04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31" authorId="3726" shapeId="0" xr:uid="{B1493088-1D8B-4601-8D1E-CF7887FE9343}">
      <text>
        <t>[Comentário encadeado]
Sua versão do Excel permite que você leia este comentário encadeado, no entanto, as edições serão removidas se o arquivo for aberto em uma versão mais recente do Excel. Saiba mais: https://go.microsoft.com/fwlink/?linkid=870924
Comentário:
    Fianza 1000, alquiler 1250, 05 camas. Nuevo Contrato Febrero 2025</t>
      </text>
    </comment>
    <comment ref="F5333" authorId="3727" shapeId="0" xr:uid="{F7F28148-2A69-4F16-88B5-8641D3915BA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5334" authorId="3728" shapeId="0" xr:uid="{C7998847-5E6B-4082-BE9F-30DEF6EF15D3}">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335" authorId="3729" shapeId="0" xr:uid="{5CA59D68-AF0F-4E4D-ABFF-4BC0657098C4}">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336" authorId="3730" shapeId="0" xr:uid="{64A125F6-D24A-4BCD-AAE4-CDABCDE0CED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38" authorId="3731" shapeId="0" xr:uid="{4344C62C-41A0-4047-9C8F-0297598E7646}">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F5341" authorId="3732" shapeId="0" xr:uid="{A5EB5708-7B79-4714-AE64-A5A290E6146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342" authorId="3733" shapeId="0" xr:uid="{38408C70-417D-45F6-BC02-BC42822249E6}">
      <text>
        <t>[Comentário encadeado]
Sua versão do Excel permite que você leia este comentário encadeado, no entanto, as edições serão removidas se o arquivo for aberto em uma versão mais recente do Excel. Saiba mais: https://go.microsoft.com/fwlink/?linkid=870924
Comentário:
    Alquiler 1700, fianza 1700 6 CAMAS
Responder:
    5 habitaciones</t>
      </text>
    </comment>
    <comment ref="F5343" authorId="3734" shapeId="0" xr:uid="{D2CFA462-FB5F-40C5-B157-99483B9DB2FD}">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45" authorId="3735" shapeId="0" xr:uid="{CF65B94D-017C-4F9D-B65A-5D32C8FF8A63}">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346" authorId="3736" shapeId="0" xr:uid="{6C7BF800-8743-451D-A8A7-5C11A936275D}">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347" authorId="3737" shapeId="0" xr:uid="{723AA6DE-0245-40FC-B3A7-973F6CFCF7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50" authorId="3738" shapeId="0" xr:uid="{2C93A420-4755-43BE-A1E4-5C9F5777648B}">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54" authorId="3739" shapeId="0" xr:uid="{89AEE74B-11B2-4898-81EE-25C8C26BF0DB}">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355" authorId="3740" shapeId="0" xr:uid="{AF128957-204E-4FB7-AD9A-1AC0A7F788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56" authorId="3741" shapeId="0" xr:uid="{F1667895-BEA3-43DE-98D5-24BC0395176D}">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357" authorId="3742" shapeId="0" xr:uid="{633FDAB7-A8E5-4C4B-A5B1-D6F8B8677253}">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358" authorId="3743" shapeId="0" xr:uid="{68BB5851-3F55-43A6-9E41-2E6752226BD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59" authorId="3744" shapeId="0" xr:uid="{AB806535-29CC-4E8C-B4DE-04CDB52E8734}">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360" authorId="3745" shapeId="0" xr:uid="{FE0245EE-D91A-431D-8E91-11F11F3CD294}">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361" authorId="3746" shapeId="0" xr:uid="{1E0F079B-14CC-40D2-B81D-215F02E857DB}">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362" authorId="3747" shapeId="0" xr:uid="{9F0529E3-C92D-4B67-928F-285F05AC686E}">
      <text>
        <t>[Comentário encadeado]
Sua versão do Excel permite que você leia este comentário encadeado, no entanto, as edições serão removidas se o arquivo for aberto em uma versão mais recente do Excel. Saiba mais: https://go.microsoft.com/fwlink/?linkid=870924
Comentário:
    Alquiler 1380 Fianza 2760 Camas 5</t>
      </text>
    </comment>
    <comment ref="F5364" authorId="3748" shapeId="0" xr:uid="{D69E16DF-C313-4C23-BC7A-61698C23736A}">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365" authorId="3749" shapeId="0" xr:uid="{E8DFF2BF-2C01-4766-9B98-4FD7A69DAF5F}">
      <text>
        <t>[Comentário encadeado]
Sua versão do Excel permite que você leia este comentário encadeado, no entanto, as edições serão removidas se o arquivo for aberto em uma versão mais recente do Excel. Saiba mais: https://go.microsoft.com/fwlink/?linkid=870924
Comentário:
    4 camas 700 alquiler</t>
      </text>
    </comment>
    <comment ref="F5366" authorId="3750" shapeId="0" xr:uid="{8B330202-E22F-4EB6-BB3C-76140535CDAD}">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367" authorId="3751" shapeId="0" xr:uid="{69A6FDA4-4B53-4047-84E3-213E97315C3E}">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368" authorId="3752" shapeId="0" xr:uid="{AF3B5EFB-68C1-41C4-A718-52DD8C7210D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5369" authorId="3753" shapeId="0" xr:uid="{F61B8BFB-6E80-4145-831A-E476CF66E7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70" authorId="3754" shapeId="0" xr:uid="{D5A3633B-19E3-435B-A66A-49C8661D8EF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71" authorId="3755" shapeId="0" xr:uid="{C424E18C-478D-4985-8499-0DF2D0D4FC6B}">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5372" authorId="1076" shapeId="0" xr:uid="{8E3AC2CE-B9E3-4F06-AA14-ECCCA855BBEE}">
      <text>
        <r>
          <rPr>
            <sz val="11"/>
            <color theme="1"/>
            <rFont val="Calibri"/>
            <family val="2"/>
            <scheme val="minor"/>
          </rPr>
          <t>Leidys:
El pago correspondiente a Diciembre ya fue realizado. En octubre se efectuó un doble pago.</t>
        </r>
      </text>
    </comment>
    <comment ref="F5373" authorId="3756" shapeId="0" xr:uid="{24CAE4FE-DE77-4087-B9E4-2BCF444044B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5374" authorId="3757" shapeId="0" xr:uid="{2E412A2A-C3A3-4260-9F34-AC1385CE142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5375" authorId="3758" shapeId="0" xr:uid="{B7096445-A3BE-4AEA-89A4-E3898080828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5376" authorId="3759" shapeId="0" xr:uid="{610DC482-E9DE-4785-9F80-539994B6F38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07 CAMAS, ALQUILER 2117,50€,  FIANZA1750€ </t>
      </text>
    </comment>
    <comment ref="F5377" authorId="3760" shapeId="0" xr:uid="{3BF3626F-E07D-48FE-AF62-6B5CB53B60A1}">
      <text>
        <t>[Comentário encadeado]
Sua versão do Excel permite que você leia este comentário encadeado, no entanto, as edições serão removidas se o arquivo for aberto em uma versão mais recente do Excel. Saiba mais: https://go.microsoft.com/fwlink/?linkid=870924
Comentário:
    250€ cada habitaciòn * 4 =1000
Fianza 1000€</t>
      </text>
    </comment>
    <comment ref="F5378" authorId="3761" shapeId="0" xr:uid="{868BC976-E5DB-4E37-8D69-3EAE8D4DADF6}">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5379" authorId="3762" shapeId="0" xr:uid="{41129EF2-F023-4CDE-B07D-EE609769D2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80" authorId="3763" shapeId="0" xr:uid="{5E93D9A6-BD4C-4E4F-B8F6-6B74D3C9EAC9}">
      <text>
        <t>[Comentário encadeado]
Sua versão do Excel permite que você leia este comentário encadeado, no entanto, as edições serão removidas se o arquivo for aberto em uma versão mais recente do Excel. Saiba mais: https://go.microsoft.com/fwlink/?linkid=870924
Comentário:
    2 Camas
600€ alquiler
600€ Fianza </t>
      </text>
    </comment>
    <comment ref="F5381" authorId="1076" shapeId="0" xr:uid="{8FA7D53F-C9E5-4F2D-A166-0D668B3A8E58}">
      <text>
        <r>
          <rPr>
            <sz val="11"/>
            <color theme="1"/>
            <rFont val="Calibri"/>
            <family val="2"/>
            <scheme val="minor"/>
          </rPr>
          <t>Leidys:
El pago correspondiente a diciembre ya fue realizado. En octubre se efectuó un doble pago.</t>
        </r>
      </text>
    </comment>
    <comment ref="F5382" authorId="3764" shapeId="0" xr:uid="{A05D2CA2-1FEB-4E02-B1CB-CEAC8A8B3D7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383" authorId="3765" shapeId="0" xr:uid="{194FFD0D-47EC-4361-A73F-FF9C7FFCCE5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84" authorId="3766" shapeId="0" xr:uid="{7AB0420C-CFF4-467A-9A85-960356F63D3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385" authorId="3767" shapeId="0" xr:uid="{9219DDD5-B497-485D-B2F4-C1C4AB3FF7FF}">
      <text>
        <t>[Comentário encadeado]
Sua versão do Excel permite que você leia este comentário encadeado, no entanto, as edições serão removidas se o arquivo for aberto em uma versão mais recente do Excel. Saiba mais: https://go.microsoft.com/fwlink/?linkid=870924
Comentário:
    2 Camas
600€ alquiler
600€ Fianza </t>
      </text>
    </comment>
    <comment ref="F5386" authorId="3768" shapeId="0" xr:uid="{7B94A7C7-252C-4252-88DB-3D2896DC5E9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F5387" authorId="3769" shapeId="0" xr:uid="{100AE616-C8ED-472E-8894-520568A5089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388" authorId="3770" shapeId="0" xr:uid="{C7412A72-04A0-46AB-A046-0E5E0F82FC9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F5390" authorId="3771" shapeId="0" xr:uid="{4ABC10F8-B250-4DD7-9DD8-8FDC41FC8153}">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91" authorId="3772" shapeId="0" xr:uid="{DECC6699-06C5-4D15-A71D-A4C375CB3054}">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393" authorId="3773" shapeId="0" xr:uid="{0ACA66DB-03BA-4D39-AAC2-3E6554688F8B}">
      <text>
        <t>[Comentário encadeado]
Sua versão do Excel permite que você leia este comentário encadeado, no entanto, as edições serão removidas se o arquivo for aberto em uma versão mais recente do Excel. Saiba mais: https://go.microsoft.com/fwlink/?linkid=870924
Comentário:
    Tenéis que hacer el ingreso de su medio mes 700€. Igualmente si continúan otros 15 días la cuantía sería sólo de 200€ más</t>
      </text>
    </comment>
    <comment ref="F5394" authorId="3774" shapeId="0" xr:uid="{4212293B-CAD8-4C5A-8D73-A9C0A736217E}">
      <text>
        <t>[Comentário encadeado]
Sua versão do Excel permite que você leia este comentário encadeado, no entanto, as edições serão removidas se o arquivo for aberto em uma versão mais recente do Excel. Saiba mais: https://go.microsoft.com/fwlink/?linkid=870924
Comentário:
    250€ cada habitaciòn * 4 =1000
Fianza 1000€</t>
      </text>
    </comment>
    <comment ref="F5395" authorId="3775" shapeId="0" xr:uid="{4118BE8D-810A-4576-BC2B-FBA51AE98BC2}">
      <text>
        <t>[Comentário encadeado]
Sua versão do Excel permite que você leia este comentário encadeado, no entanto, as edições serão removidas se o arquivo for aberto em uma versão mais recente do Excel. Saiba mais: https://go.microsoft.com/fwlink/?linkid=870924
Comentário:
    250€ cada habitaciòn * 4 =1000
Fianza 1000€</t>
      </text>
    </comment>
    <comment ref="F5396" authorId="3776" shapeId="0" xr:uid="{C2C94DCE-D6FF-4083-9858-BF8632BCD86F}">
      <text>
        <t>[Comentário encadeado]
Sua versão do Excel permite que você leia este comentário encadeado, no entanto, as edições serão removidas se o arquivo for aberto em uma versão mais recente do Excel. Saiba mais: https://go.microsoft.com/fwlink/?linkid=870924
Comentário:
    habitación cuádruple</t>
      </text>
    </comment>
    <comment ref="F5397" authorId="3777" shapeId="0" xr:uid="{162A34F2-E845-4434-8888-3F03ADA1C89E}">
      <text>
        <t>[Comentário encadeado]
Sua versão do Excel permite que você leia este comentário encadeado, no entanto, as edições serão removidas se o arquivo for aberto em uma versão mais recente do Excel. Saiba mais: https://go.microsoft.com/fwlink/?linkid=870924
Comentário:
    habitación cuádruple</t>
      </text>
    </comment>
    <comment ref="F5398" authorId="3778" shapeId="0" xr:uid="{A6859043-B67C-4598-A539-08BAC755F100}">
      <text>
        <t>[Comentário encadeado]
Sua versão do Excel permite que você leia este comentário encadeado, no entanto, as edições serão removidas se o arquivo for aberto em uma versão mais recente do Excel. Saiba mais: https://go.microsoft.com/fwlink/?linkid=870924
Comentário:
    250€ cada habitaciòn * 4 =1000
Fianza 1000€</t>
      </text>
    </comment>
    <comment ref="F5399" authorId="3779" shapeId="0" xr:uid="{06EC981F-428B-4A39-85F4-322980D45086}">
      <text>
        <t>[Comentário encadeado]
Sua versão do Excel permite que você leia este comentário encadeado, no entanto, as edições serão removidas se o arquivo for aberto em uma versão mais recente do Excel. Saiba mais: https://go.microsoft.com/fwlink/?linkid=870924
Comentário:
    250€ cada habitaciòn * 4 =1000
Fianza 1000€</t>
      </text>
    </comment>
    <comment ref="F5402" authorId="3780" shapeId="0" xr:uid="{1EE17199-05AB-4A65-AB85-ECAA66344C8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403" authorId="3781" shapeId="0" xr:uid="{844EB527-D698-4EF2-BCCE-CDB478EC84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5404" authorId="3782" shapeId="0" xr:uid="{A986BA9F-58E4-4AAB-B15D-18E07858BC33}">
      <text>
        <t>[Comentário encadeado]
Sua versão do Excel permite que você leia este comentário encadeado, no entanto, as edições serão removidas se o arquivo for aberto em uma versão mais recente do Excel. Saiba mais: https://go.microsoft.com/fwlink/?linkid=870924
Comentário:
    Habitación alquiler 450/mes
Fianza 150</t>
      </text>
    </comment>
    <comment ref="F5406" authorId="3783" shapeId="0" xr:uid="{D00187E9-2F02-41A7-A0C4-0935C9249A7F}">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407" authorId="3784" shapeId="0" xr:uid="{A9CA097B-4C64-49F5-A7A7-6829876CA1DC}">
      <text>
        <t>[Comentário encadeado]
Sua versão do Excel permite que você leia este comentário encadeado, no entanto, as edições serão removidas se o arquivo for aberto em uma versão mais recente do Excel. Saiba mais: https://go.microsoft.com/fwlink/?linkid=870924
Comentário:
    Alojamiento 4 Camas Alquiler 1.122€ Fianza 2.200€</t>
      </text>
    </comment>
    <comment ref="F5408" authorId="3785" shapeId="0" xr:uid="{CEEA0F9C-034A-4964-A151-20CA5C0B2667}">
      <text>
        <t>[Comentário encadeado]
Sua versão do Excel permite que você leia este comentário encadeado, no entanto, as edições serão removidas se o arquivo for aberto em uma versão mais recente do Excel. Saiba mais: https://go.microsoft.com/fwlink/?linkid=870924
Comentário:
    Alquiler 280€- fianza de 260€</t>
      </text>
    </comment>
    <comment ref="F5409" authorId="3786" shapeId="0" xr:uid="{73BB6D72-6354-4282-88C1-A2FE3E3F13B2}">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411" authorId="3787" shapeId="0" xr:uid="{002E6AA1-6612-4D9D-A7F0-933803F99785}">
      <text>
        <t>[Comentário encadeado]
Sua versão do Excel permite que você leia este comentário encadeado, no entanto, as edições serão removidas se o arquivo for aberto em uma versão mais recente do Excel. Saiba mais: https://go.microsoft.com/fwlink/?linkid=870924
Comentário:
    habitación cuádruple</t>
      </text>
    </comment>
    <comment ref="F5412" authorId="3788" shapeId="0" xr:uid="{763E657F-5EB2-446F-B733-7FF8B5DA6D13}">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416" authorId="3789" shapeId="0" xr:uid="{C3C128E7-2D1A-4BF7-9F6B-5F1E5F5F96A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Alquiler 450€ </t>
      </text>
    </comment>
    <comment ref="F5420" authorId="3790" shapeId="0" xr:uid="{1F79FE6F-B7A7-4C54-B8C7-1D06E9730C6F}">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5423" authorId="3791" shapeId="0" xr:uid="{52A1EB67-DE50-46BB-B876-F821F2096F4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429" authorId="3792" shapeId="0" xr:uid="{29221E12-E006-44A1-A4FB-994174E725E2}">
      <text>
        <t>[Comentário encadeado]
Sua versão do Excel permite que você leia este comentário encadeado, no entanto, as edições serão removidas se o arquivo for aberto em uma versão mais recente do Excel. Saiba mais: https://go.microsoft.com/fwlink/?linkid=870924
Comentário:
    2000 alquiler, 2000 fianza del piso (Carrer del Monestir de Poblet, 42, 1, Campanar, 46015 València), 04 camas</t>
      </text>
    </comment>
    <comment ref="U5429" authorId="3793" shapeId="0" xr:uid="{504F23B8-2DC2-40C1-B4B2-05FEC56C86BF}">
      <text>
        <t>[Comentário encadeado]
Sua versão do Excel permite que você leia este comentário encadeado, no entanto, as edições serão removidas se o arquivo for aberto em uma versão mais recente do Excel. Saiba mais: https://go.microsoft.com/fwlink/?linkid=870924
Comentário:
    PTE POR CORREGIR FECHA, ELLOS AÙN NO HAN INGRESADO</t>
      </text>
    </comment>
    <comment ref="F5453" authorId="3794" shapeId="0" xr:uid="{7EE79DCB-3370-46CF-A97B-CB9FB730ED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57" authorId="3795" shapeId="0" xr:uid="{4FCAACAC-EB84-40DC-8E0F-C8A065FD281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64" authorId="3796" shapeId="0" xr:uid="{D76B022C-D7B5-40C5-B838-75F69C532FD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65" authorId="3797" shapeId="0" xr:uid="{26614AFE-06CF-4F9B-BFDD-11061B02910E}">
      <text>
        <t>[Comentário encadeado]
Sua versão do Excel permite que você leia este comentário encadeado, no entanto, as edições serão removidas se o arquivo for aberto em uma versão mais recente do Excel. Saiba mais: https://go.microsoft.com/fwlink/?linkid=870924
Comentário:
    3 habitaciones</t>
      </text>
    </comment>
    <comment ref="F5466" authorId="3798" shapeId="0" xr:uid="{59F2349E-67C6-4041-B3DD-CD65EDA667B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467" authorId="3799" shapeId="0" xr:uid="{FD9D020A-2B42-43FE-86C5-8DDDD5F69747}">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5470" authorId="3800" shapeId="0" xr:uid="{EAE47709-9956-4F9F-9FF1-C2E78BAF201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471" authorId="3801" shapeId="0" xr:uid="{6A0634CF-4DED-45E5-B74B-6F4E1CB90A1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472" authorId="3802" shapeId="0" xr:uid="{4EA70170-F4DF-46B3-B1C6-13DAE9D5DF0B}">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t>
      </text>
    </comment>
    <comment ref="F5473" authorId="3803" shapeId="0" xr:uid="{2277B0E9-911F-4A55-9F09-0E978C5D30EA}">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t>
      </text>
    </comment>
    <comment ref="F5474" authorId="3804" shapeId="0" xr:uid="{D2BE7518-C717-4641-9E59-D6D81F02A55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475" authorId="3805" shapeId="0" xr:uid="{EF1CEC07-2FF6-45E1-B351-B3EA6F6ED6FB}">
      <text>
        <t>[Comentário encadeado]
Sua versão do Excel permite que você leia este comentário encadeado, no entanto, as edições serão removidas se o arquivo for aberto em uma versão mais recente do Excel. Saiba mais: https://go.microsoft.com/fwlink/?linkid=870924
Comentário:
    1 Habitación Doble.</t>
      </text>
    </comment>
    <comment ref="F5476" authorId="3806" shapeId="0" xr:uid="{7C715CE6-D34B-4499-AF5C-6556DAF55A6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1438,80€    3 camas </t>
      </text>
    </comment>
    <comment ref="F5480" authorId="3807" shapeId="0" xr:uid="{4A3849A1-8DC3-4AD9-84C0-9DC33B3505D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1400€ ALQUILER, 5 CAMAS
</t>
      </text>
    </comment>
    <comment ref="F5481" authorId="3808" shapeId="0" xr:uid="{6206483F-AC26-4103-BF75-0EF15154BF5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t>
      </text>
    </comment>
    <comment ref="F5482" authorId="3809" shapeId="0" xr:uid="{60701B13-5C48-4A37-90F3-128F26EB2587}">
      <text>
        <t>[Comentário encadeado]
Sua versão do Excel permite que você leia este comentário encadeado, no entanto, as edições serão removidas se o arquivo for aberto em uma versão mais recente do Excel. Saiba mais: https://go.microsoft.com/fwlink/?linkid=870924
Comentário:
    4 CAMAS 2.600€ Alquiler</t>
      </text>
    </comment>
    <comment ref="F5486" authorId="3810" shapeId="0" xr:uid="{E7FFCEC0-4213-48A3-BE9A-0CB36287EAE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1150 , Fianza 2200  Camas 4
</t>
      </text>
    </comment>
    <comment ref="F5489" authorId="3811" shapeId="0" xr:uid="{56DD34FE-B753-4512-A2BB-0D405148B49D}">
      <text>
        <t>[Comentário encadeado]
Sua versão do Excel permite que você leia este comentário encadeado, no entanto, as edições serão removidas se o arquivo for aberto em uma versão mais recente do Excel. Saiba mais: https://go.microsoft.com/fwlink/?linkid=870924
Comentário:
    La propietaria solicita los pagos efectuados entre el 01 y 02 días de cada mes ya que tiene compromisos urgentes que pagar. Alquiler 350€</t>
      </text>
    </comment>
    <comment ref="F5492" authorId="3812" shapeId="0" xr:uid="{EC0E0539-12FE-44F4-A8CD-918B3C3C0B1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5499" authorId="3813" shapeId="0" xr:uid="{E2CD9722-A342-4872-83EF-C1FF8D33DC4E}">
      <text>
        <t>[Comentário encadeado]
Sua versão do Excel permite que você leia este comentário encadeado, no entanto, as edições serão removidas se o arquivo for aberto em uma versão mais recente do Excel. Saiba mais: https://go.microsoft.com/fwlink/?linkid=870924
Comentário:
    1 Habitación, 28€/ Noche un mes entrando el 20/09</t>
      </text>
    </comment>
    <comment ref="F5500" authorId="3814" shapeId="0" xr:uid="{00DF20ED-D736-439E-B522-3B2A5B9C1C7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480€ Habitación </t>
      </text>
    </comment>
    <comment ref="F5502" authorId="3815" shapeId="0" xr:uid="{1DD9250C-A269-4B9D-904E-DD750C11002C}">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03" authorId="3816" shapeId="0" xr:uid="{9DCD5736-E492-4A31-BFB6-64AB83A85545}">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507" authorId="3817" shapeId="0" xr:uid="{66500881-CDB3-4B04-8A29-2C1EEAB7C6DB}">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508" authorId="3818" shapeId="0" xr:uid="{F1871E11-4F71-46B0-A573-C6AA1438D94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11" authorId="3819" shapeId="0" xr:uid="{1A5F1788-F197-4BD8-918E-C9558C180B8B}">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12" authorId="3820" shapeId="0" xr:uid="{31C01841-D53A-4416-8C32-18B3DC7787DB}">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13" authorId="3821" shapeId="0" xr:uid="{0B26B382-7C17-4217-8CFF-FDB7F1FAE520}">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15" authorId="3822" shapeId="0" xr:uid="{65F1C391-8565-4C32-A121-75F5A97749F1}">
      <text>
        <t>[Comentário encadeado]
Sua versão do Excel permite que você leia este comentário encadeado, no entanto, as edições serão removidas se o arquivo for aberto em uma versão mais recente do Excel. Saiba mais: https://go.microsoft.com/fwlink/?linkid=870924
Comentário:
    La propietaria solicita los pagos efectuados entre el 01 y 02 días de cada mes ya que tiene compromisos urgentes que pagar. Alquiler 450€</t>
      </text>
    </comment>
    <comment ref="F5516" authorId="3823" shapeId="0" xr:uid="{8E00D63F-8DD0-4AB1-8D17-523766EFA59D}">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17" authorId="3824" shapeId="0" xr:uid="{305EB46D-AD94-4CBD-865D-DA9830769CCF}">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518" authorId="3825" shapeId="0" xr:uid="{5519AB2E-869F-4010-96DB-CA6201C6EC96}">
      <text>
        <t>[Comentário encadeado]
Sua versão do Excel permite que você leia este comentário encadeado, no entanto, as edições serão removidas se o arquivo for aberto em uma versão mais recente do Excel. Saiba mais: https://go.microsoft.com/fwlink/?linkid=870924
Comentário:
    Alquiler Habitación - Septiembre-Octubre 350€
Fianza - 350€</t>
      </text>
    </comment>
    <comment ref="F5519" authorId="3826" shapeId="0" xr:uid="{56B0F0F8-6201-4414-9377-584C63F5DA5B}">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520" authorId="3827" shapeId="0" xr:uid="{4CD05D6F-E0C1-4EEE-B59E-F6CF12C8ED73}">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525" authorId="3828" shapeId="0" xr:uid="{CD3FCE7A-6B7B-4011-B348-E37670C467D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t>
      </text>
    </comment>
    <comment ref="F5526" authorId="3829" shapeId="0" xr:uid="{AEDB5143-E0C9-4E5E-B2E9-891AD5CFBDD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27" authorId="3830" shapeId="0" xr:uid="{FA0DA7A4-F5F7-43CA-83EB-4AD6B61C619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528" authorId="3831" shapeId="0" xr:uid="{FD57C8EA-2E1A-4996-89BC-074484A6D22E}">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30" authorId="3832" shapeId="0" xr:uid="{50C86E7A-E1D9-431F-9126-F7BFDF53EE2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31" authorId="3833" shapeId="0" xr:uid="{C3281146-C82E-45E6-9791-AA95D465D81F}">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máss</t>
      </text>
    </comment>
    <comment ref="F5532" authorId="3834" shapeId="0" xr:uid="{43989B25-4287-4073-A2FC-D2C8944E195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33" authorId="3835" shapeId="0" xr:uid="{CFE000CF-9B50-4081-AE33-777EE87EB004}">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5534" authorId="3836" shapeId="0" xr:uid="{9DF9FE50-0F98-4563-BE40-B04A427D58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5535" authorId="3837" shapeId="0" xr:uid="{E738A0E6-A9A8-4EC8-BFAB-187AB69B0FF8}">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536" authorId="3838" shapeId="0" xr:uid="{CAB4CEE6-F140-4A5C-AF71-6868B79C0ED4}">
      <text>
        <t>[Comentário encadeado]
Sua versão do Excel permite que você leia este comentário encadeado, no entanto, as edições serão removidas se o arquivo for aberto em uma versão mais recente do Excel. Saiba mais: https://go.microsoft.com/fwlink/?linkid=870924
Comentário:
    1 Habitacion Doble: Tenéis que hacer el ingreso de su medio mes 500€. Igualmente si continúan otros 15 días la cuantía sería sólo de 200€ máss</t>
      </text>
    </comment>
    <comment ref="F5538" authorId="3839" shapeId="0" xr:uid="{A209B56D-958F-4A93-B370-40A821080FF1}">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543" authorId="3840" shapeId="0" xr:uid="{B69F6A45-7E53-4452-865A-A4951FD19233}">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5544" authorId="3841" shapeId="0" xr:uid="{D47762D7-4243-409D-AC40-FB00A6C90413}">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45" authorId="3842" shapeId="0" xr:uid="{A3AEEFB6-4BBA-401A-B737-B4B972CEA8F1}">
      <text>
        <t>[Comentário encadeado]
Sua versão do Excel permite que você leia este comentário encadeado, no entanto, as edições serão removidas se o arquivo for aberto em uma versão mais recente do Excel. Saiba mais: https://go.microsoft.com/fwlink/?linkid=870924
Comentário:
    3 Habitaciones triples camas separadas- 9 Camas</t>
      </text>
    </comment>
    <comment ref="F5546" authorId="3843" shapeId="0" xr:uid="{97FDD5A0-EE06-4528-97A2-68C71AAC32FD}">
      <text>
        <t>[Comentário encadeado]
Sua versão do Excel permite que você leia este comentário encadeado, no entanto, as edições serão removidas se o arquivo for aberto em uma versão mais recente do Excel. Saiba mais: https://go.microsoft.com/fwlink/?linkid=870924
Comentário:
    1HABITACIONES 500 C/U
Limpieza       30</t>
      </text>
    </comment>
    <comment ref="F5547" authorId="3844" shapeId="0" xr:uid="{C4BFFAD3-FED9-4ACE-970B-A9226CF09B57}">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48" authorId="3845" shapeId="0" xr:uid="{1671EDB4-3A43-482A-A593-6BBEB184E04E}">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5549" authorId="3846" shapeId="0" xr:uid="{4E359B72-182F-4A44-A7EB-774046ECD887}">
      <text>
        <t>[Comentário encadeado]
Sua versão do Excel permite que você leia este comentário encadeado, no entanto, as edições serão removidas se o arquivo for aberto em uma versão mais recente do Excel. Saiba mais: https://go.microsoft.com/fwlink/?linkid=870924
Comentário:
    2 Camas alquiler 900€</t>
      </text>
    </comment>
    <comment ref="F5552" authorId="3847" shapeId="0" xr:uid="{02E8F980-B80F-496A-8EE9-888442237C0D}">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Responder:
    840€ Alquiler Mensual</t>
      </text>
    </comment>
    <comment ref="H5552" authorId="3848" shapeId="0" xr:uid="{B38BE23F-9E61-4B99-B06F-709416D21332}">
      <text>
        <t>[Comentário encadeado]
Sua versão do Excel permite que você leia este comentário encadeado, no entanto, as edições serão removidas se o arquivo for aberto em uma versão mais recente do Excel. Saiba mais: https://go.microsoft.com/fwlink/?linkid=870924
Comentário:
    2026/680</t>
      </text>
    </comment>
    <comment ref="F5554" authorId="3849" shapeId="0" xr:uid="{70D35C9C-57F2-4E71-A6D7-7FF212729222}">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55" authorId="3850" shapeId="0" xr:uid="{7C669793-EFA4-4CE3-AC77-E03540B76F5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56" authorId="3851" shapeId="0" xr:uid="{DD04C533-F32E-426F-B4C5-0DAD36A4AA9C}">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1450€
Fianza 1450€
Limpieza 120€</t>
      </text>
    </comment>
    <comment ref="F5558" authorId="3852" shapeId="0" xr:uid="{C9D002B8-D652-4F9D-925A-E09966D5FF31}">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59" authorId="3853" shapeId="0" xr:uid="{0C6EB042-865C-424F-803E-7F09441C2B4A}">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560" authorId="3854" shapeId="0" xr:uid="{A6BFB2AC-58C2-419D-993F-B4B55707AF35}">
      <text>
        <t>[Comentário encadeado]
Sua versão do Excel permite que você leia este comentário encadeado, no entanto, as edições serão removidas se o arquivo for aberto em uma versão mais recente do Excel. Saiba mais: https://go.microsoft.com/fwlink/?linkid=870924
Comentário:
    2000 alquiler, 2000 fianza del piso (Carrer del Monestir de Poblet, 42, 1, Campanar, 46015 València), 04 camas</t>
      </text>
    </comment>
    <comment ref="U5560" authorId="3855" shapeId="0" xr:uid="{DAD26A0C-E99C-46A7-9B61-4C7521522E1E}">
      <text>
        <t>[Comentário encadeado]
Sua versão do Excel permite que você leia este comentário encadeado, no entanto, as edições serão removidas se o arquivo for aberto em uma versão mais recente do Excel. Saiba mais: https://go.microsoft.com/fwlink/?linkid=870924
Comentário:
    PTE POR CORREGIR FECHA, ELLOS AÙN NO HAN INGRESADO</t>
      </text>
    </comment>
    <comment ref="F5561" authorId="3856" shapeId="0" xr:uid="{C9CFA8C7-8A5A-4AEA-866D-8AC4F9ADD0CC}">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t>
      </text>
    </comment>
    <comment ref="F5562" authorId="3857" shapeId="0" xr:uid="{3D019ED4-66A6-429C-BE30-7A1211C6905E}">
      <text>
        <t>[Comentário encadeado]
Sua versão do Excel permite que você leia este comentário encadeado, no entanto, as edições serão removidas se o arquivo for aberto em uma versão mais recente do Excel. Saiba mais: https://go.microsoft.com/fwlink/?linkid=870924
Comentário:
    7 Camas
Responder:
    FIANZA 1900€, ALQUILER 1900€
Responder:
     ALQUILER 1500€</t>
      </text>
    </comment>
    <comment ref="F5563" authorId="3858" shapeId="0" xr:uid="{58C69831-764B-4679-808E-EE8DF73DAFC6}">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564" authorId="3859" shapeId="0" xr:uid="{32A4D4A8-FA2F-41B1-A1EE-AA733F7AE2E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5565" authorId="3860" shapeId="0" xr:uid="{15DCE067-9329-49E8-AD7B-7752E58A19FC}">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569" authorId="3861" shapeId="0" xr:uid="{BE86D05F-D974-4711-B339-EF614F7C8C26}">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570" authorId="3862" shapeId="0" xr:uid="{684DF946-AA7A-41F1-82A2-9D5D3D6C0AFB}">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74" authorId="3863" shapeId="0" xr:uid="{C0068E47-A57C-4857-919C-6FF6E238E292}">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575" authorId="3864" shapeId="0" xr:uid="{BBEF8CCB-D1C9-410E-BDC2-F712573ABAC0}">
      <text>
        <t>[Comentário encadeado]
Sua versão do Excel permite que você leia este comentário encadeado, no entanto, as edições serão removidas se o arquivo for aberto em uma versão mais recente do Excel. Saiba mais: https://go.microsoft.com/fwlink/?linkid=870924
Comentário:
    2 Camas</t>
      </text>
    </comment>
    <comment ref="F5576" authorId="3865" shapeId="0" xr:uid="{E61F3994-3E5E-476B-90C1-A9FF9D04A4D9}">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577" authorId="3866" shapeId="0" xr:uid="{B8C308D6-06FA-4ABB-9A92-47D9540C2465}">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F5578" authorId="3867" shapeId="0" xr:uid="{50FD4D49-82A1-495C-8CBC-D4E2F0A0BB4D}">
      <text>
        <t>[Comentário encadeado]
Sua versão do Excel permite que você leia este comentário encadeado, no entanto, as edições serão removidas se o arquivo for aberto em uma versão mais recente do Excel. Saiba mais: https://go.microsoft.com/fwlink/?linkid=870924
Comentário:
    1 HABITACIÒN 15 DIAS= 250 C/U 
LIMPIEZA 30</t>
      </text>
    </comment>
    <comment ref="F5580" authorId="3868" shapeId="0" xr:uid="{147A3CD0-6A8B-42CF-BB0E-5B70CD3F3B56}">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581" authorId="3869" shapeId="0" xr:uid="{D1459F73-10C8-4ECE-87C3-F95237E1C2D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584" authorId="3870" shapeId="0" xr:uid="{8775C90C-4A73-43EE-944A-D6AAF210C1D6}">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F5585" authorId="3871" shapeId="0" xr:uid="{4E73EED7-223F-459C-9065-7D793855E15C}">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586" authorId="3872" shapeId="0" xr:uid="{A589B7B3-E3B5-4EA8-9ABE-0F319BDC2072}">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589" authorId="3873" shapeId="0" xr:uid="{7931AD5D-8C78-4DF2-BC95-C7D8FEEA18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590" authorId="3874" shapeId="0" xr:uid="{1C520854-FC03-49E2-A216-E8D965539E7E}">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591" authorId="3875" shapeId="0" xr:uid="{A011BA90-C30D-44DF-9B5D-FC24FEF8EA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9 Camas, Alquiler 2300€, Fianza 700€
Responder:
    Descuento a 2000€ </t>
      </text>
    </comment>
    <comment ref="F5592" authorId="3876" shapeId="0" xr:uid="{E24CDC58-EAB4-4382-AAA3-4B1CEE15148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3" authorId="3877" shapeId="0" xr:uid="{0A5626FD-AC47-4409-AA35-E4DF7AFB3D6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4" authorId="3878" shapeId="0" xr:uid="{D1B12B1F-FEF8-4213-BF3C-37778F8233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5" authorId="3879" shapeId="0" xr:uid="{12D1325A-39C4-461C-88F2-AB801F45D98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6" authorId="3880" shapeId="0" xr:uid="{CFA202B1-6836-4F3E-A355-B06A15DCD65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7" authorId="3881" shapeId="0" xr:uid="{C9F078A6-77E1-442F-8654-869337D81D3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8" authorId="3882" shapeId="0" xr:uid="{1D5801DE-C382-40B3-8CE0-362E3E7B0F8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599" authorId="3883" shapeId="0" xr:uid="{1F7911A4-A481-4E30-BE65-80FEB6453FB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0" authorId="3884" shapeId="0" xr:uid="{F906CA81-9B87-4C77-940E-C973271D709E}">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601" authorId="3885" shapeId="0" xr:uid="{5B50FB6F-F40A-46BE-9AF4-C7462BD8522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2" authorId="3886" shapeId="0" xr:uid="{2B8F42AA-E827-4641-A3D1-761CFFD938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4" authorId="3887" shapeId="0" xr:uid="{F072ED13-C228-449E-B87A-A740B03897C3}">
      <text>
        <t>[Comentário encadeado]
Sua versão do Excel permite que você leia este comentário encadeado, no entanto, as edições serão removidas se o arquivo for aberto em uma versão mais recente do Excel. Saiba mais: https://go.microsoft.com/fwlink/?linkid=870924
Comentário:
    2 Habitaciones de 350€ y                   1 Habitación de 375€</t>
      </text>
    </comment>
    <comment ref="F5606" authorId="3888" shapeId="0" xr:uid="{DCA765C0-62DD-4B0A-B849-AA46CFC7B4E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7" authorId="3889" shapeId="0" xr:uid="{D53CCD1D-7020-451A-B4B0-0FEEFF78E64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08" authorId="3890" shapeId="0" xr:uid="{554C0E4C-F8DF-4E98-83C1-B783C9EE2A6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0" authorId="3891" shapeId="0" xr:uid="{8B9594E6-03C0-422B-8677-9A5D9EBAED0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1" authorId="3892" shapeId="0" xr:uid="{30DC173E-A916-4201-B56E-FD89F13857A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2" authorId="3893" shapeId="0" xr:uid="{4DC61D8F-293E-4649-849C-C258047F740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4" authorId="3894" shapeId="0" xr:uid="{87852538-2473-4141-9E6B-649BB246D5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5" authorId="3895" shapeId="0" xr:uid="{307F7BC9-DA70-449A-89F0-4860455DE9A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6" authorId="3896" shapeId="0" xr:uid="{104E2E60-3D77-43F5-A187-85E252C9D6D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17" authorId="3897" shapeId="0" xr:uid="{B8EBD682-47DE-4A0A-862A-22E50036D0C6}">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620" authorId="3898" shapeId="0" xr:uid="{6CF54B80-2620-4679-91A3-E2E73B2B78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1" authorId="3899" shapeId="0" xr:uid="{BE99122A-715F-4A46-91EB-525B103902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2" authorId="3900" shapeId="0" xr:uid="{2F5F4367-570F-4303-A5A1-DDF2F37790CF}">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623" authorId="3901" shapeId="0" xr:uid="{DDDC4030-42C6-4B3F-9992-BC4E4F67EE0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624" authorId="3902" shapeId="0" xr:uid="{03DB8DEF-F602-465B-AFF5-DECEC366C4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5" authorId="3903" shapeId="0" xr:uid="{F708675E-B762-4098-A5E1-F9FA3B4156A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6" authorId="3904" shapeId="0" xr:uid="{1CFAB6B5-CBA9-406B-B716-4C88BCB6D3A6}">
      <text>
        <t>[Comentário encadeado]
Sua versão do Excel permite que você leia este comentário encadeado, no entanto, as edições serão removidas se o arquivo for aberto em uma versão mais recente do Excel. Saiba mais: https://go.microsoft.com/fwlink/?linkid=870924
Comentário:
    Renta 450, fianza 450</t>
      </text>
    </comment>
    <comment ref="F5628" authorId="3905" shapeId="0" xr:uid="{87DE02CD-6BC7-4AE4-AFEA-54F10ABC993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29" authorId="3906" shapeId="0" xr:uid="{24AE6BC1-9B56-4D49-98FE-A3EC99BA73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0" authorId="3907" shapeId="0" xr:uid="{C738543F-5649-40D9-AC64-DFC18B5BA41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1" authorId="3908" shapeId="0" xr:uid="{4840EAF1-455C-4F08-A49E-ECB04DF176E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2" authorId="3909" shapeId="0" xr:uid="{ED05F45D-7F2B-46AA-99BA-9605F51627F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5633" authorId="3910" shapeId="0" xr:uid="{53D5B84D-7533-41F2-B9DB-E179BBFD32F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5" authorId="3911" shapeId="0" xr:uid="{7DF57CB1-623B-4EC6-B85F-0EC73001166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6" authorId="3912" shapeId="0" xr:uid="{360389EB-378B-4844-BAFA-54ACC7FD456F}">
      <text>
        <t>[Comentário encadeado]
Sua versão do Excel permite que você leia este comentário encadeado, no entanto, as edições serão removidas se o arquivo for aberto em uma versão mais recente do Excel. Saiba mais: https://go.microsoft.com/fwlink/?linkid=870924
Comentário:
    Alojamiento 2 personas 15 días por 400€</t>
      </text>
    </comment>
    <comment ref="F5637" authorId="3913" shapeId="0" xr:uid="{6568EB30-6625-4B77-A392-FF2234F00F9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39" authorId="3914" shapeId="0" xr:uid="{83026454-CE99-4C0C-9117-268FEA367AD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0" authorId="3915" shapeId="0" xr:uid="{BA605E5A-3496-4D49-B72D-7C6F5FE3934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1" authorId="3916" shapeId="0" xr:uid="{A90BC87D-0E51-45C4-AC1E-952B1D5E3789}">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2" authorId="3917" shapeId="0" xr:uid="{CCBB3E53-1050-4101-B584-FC7652ADB0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3" authorId="3918" shapeId="0" xr:uid="{447C9E21-AC70-405D-AFA4-93B934D19C7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4" authorId="3919" shapeId="0" xr:uid="{027794AA-DEFE-4DC4-88B5-9F66702F95E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5" authorId="3920" shapeId="0" xr:uid="{E380807E-0C8D-4BDC-8C9F-5E75DDB6800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6" authorId="3921" shapeId="0" xr:uid="{07206801-80CC-49D0-BCDD-D605D39C8A2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7" authorId="3922" shapeId="0" xr:uid="{9EFAB77B-03A6-439E-9FCD-ED44214F7D6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8" authorId="3923" shapeId="0" xr:uid="{514913A7-1A3A-437E-B199-591173AA9AC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49" authorId="3924" shapeId="0" xr:uid="{793D624F-7AC3-4211-9C91-55F6E303199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0" authorId="3925" shapeId="0" xr:uid="{DE516858-A704-48E5-AA3D-789378350FC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1" authorId="3926" shapeId="0" xr:uid="{3537B5A4-8115-4330-A234-A934D345EA2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2" authorId="3927" shapeId="0" xr:uid="{C94B998A-4789-489F-A9EE-F27836D662B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3" authorId="3928" shapeId="0" xr:uid="{99EC636C-8508-478B-8E54-1EDE536DCB1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4" authorId="3929" shapeId="0" xr:uid="{0381ACB9-550E-403D-BFF6-3D13F7A51F0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5" authorId="3930" shapeId="0" xr:uid="{BE0A3AE7-1844-4E51-9F1B-FF958CE44D0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6" authorId="3931" shapeId="0" xr:uid="{FAE57729-BA4C-4142-B0AD-EDEEA0D6F30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7" authorId="3932" shapeId="0" xr:uid="{DBA00C0E-EF9F-4DFB-ABA8-7EBE004DF26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59" authorId="3933" shapeId="0" xr:uid="{8D7C2A4C-C2FE-46B1-A620-BAB6F99D64F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0" authorId="3934" shapeId="0" xr:uid="{7642743F-6B98-46E7-90D9-06B77F7272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1" authorId="3935" shapeId="0" xr:uid="{1FFED5B1-250A-4434-AA8B-0B4F3C9030D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2" authorId="3936" shapeId="0" xr:uid="{4F1C0B2B-5E59-427E-8EE1-3AFAB15CF48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3" authorId="3937" shapeId="0" xr:uid="{6BA74BFC-DDC4-4DFB-BC8E-1445085C6D7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5" authorId="3938" shapeId="0" xr:uid="{3DD9477F-20A7-48AB-8C11-03DA93E19540}">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66" authorId="3939" shapeId="0" xr:uid="{277E12BF-E495-42FB-8904-D2BDAA0FAEC9}">
      <text>
        <t>[Comentário encadeado]
Sua versão do Excel permite que você leia este comentário encadeado, no entanto, as edições serão removidas se o arquivo for aberto em uma versão mais recente do Excel. Saiba mais: https://go.microsoft.com/fwlink/?linkid=870924
Comentário:
    Alojamiento 2 personas 15 días por 400€</t>
      </text>
    </comment>
    <comment ref="F5669" authorId="3940" shapeId="0" xr:uid="{B1B9DA38-65D1-4C38-B481-4C926498BA00}">
      <text>
        <t>[Comentário encadeado]
Sua versão do Excel permite que você leia este comentário encadeado, no entanto, as edições serão removidas se o arquivo for aberto em uma versão mais recente do Excel. Saiba mais: https://go.microsoft.com/fwlink/?linkid=870924
Comentário:
    (para 3 personas)</t>
      </text>
    </comment>
    <comment ref="F5670" authorId="3941" shapeId="0" xr:uid="{45D1DC42-DBB2-424E-868A-2B2CE4F6DDC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71" authorId="3942" shapeId="0" xr:uid="{FB8A9C50-44D1-422D-971A-26D7B0775EA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72" authorId="3943" shapeId="0" xr:uid="{1C656B5C-64A4-40D2-AD37-BAC310CB79C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75" authorId="3944" shapeId="0" xr:uid="{9222ACF6-4503-4670-9C3F-684BD79A81D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77" authorId="3945" shapeId="0" xr:uid="{52422F03-F005-4175-B6C5-D02B038E4B77}">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5678" authorId="3946" shapeId="0" xr:uid="{C9C155E2-2C16-4356-A530-01678E72542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79" authorId="3947" shapeId="0" xr:uid="{093A203C-29AA-4BB9-BDC1-DA38B1DAD31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0" authorId="3948" shapeId="0" xr:uid="{241B365B-8F8B-44F8-B1DE-1DFC2628EF4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1" authorId="3949" shapeId="0" xr:uid="{44AE5BD3-9CB3-41B3-916C-8C55D1A03A0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2" authorId="3950" shapeId="0" xr:uid="{DBDAD241-4C6C-4C9F-83F8-2EC6E9FA62B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3" authorId="3951" shapeId="0" xr:uid="{1BA4C8EB-6C48-40F1-B218-05B6B4730E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4" authorId="3952" shapeId="0" xr:uid="{D74FCC6D-0E03-43A0-B149-62009019691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5" authorId="3953" shapeId="0" xr:uid="{F6C949F7-1A58-4DB7-92A4-06DB72F0CBF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6" authorId="3954" shapeId="0" xr:uid="{3C565C82-6EA3-4511-93B9-ADA11B98065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7" authorId="3955" shapeId="0" xr:uid="{8564DD20-59B5-4979-9135-82E2FF54BF6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8" authorId="3956" shapeId="0" xr:uid="{D3F61DB6-181E-4C5C-9CDF-49998E40795F}">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89" authorId="3957" shapeId="0" xr:uid="{9C3A1621-47AB-4A73-B14B-EC82BAC6144B}">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90" authorId="3958" shapeId="0" xr:uid="{CDEA4467-D351-48B1-9ABF-BDBCDF497085}">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91" authorId="3959" shapeId="0" xr:uid="{F66AA34D-AC21-4276-81AC-A8A6957B985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695" authorId="3960" shapeId="0" xr:uid="{EDCB689C-6372-4AF4-A882-420748B7C45D}">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5704" authorId="3961" shapeId="0" xr:uid="{5058C5A4-A89A-4DD7-801E-692577809D63}">
      <text>
        <t>[Comentário encadeado]
Sua versão do Excel permite que você leia este comentário encadeado, no entanto, as edições serão removidas se o arquivo for aberto em uma versão mais recente do Excel. Saiba mais: https://go.microsoft.com/fwlink/?linkid=870924
Comentário:
    08 CAMAS, 2500€ alquiler, 2500€ fianza</t>
      </text>
    </comment>
    <comment ref="F5706" authorId="3962" shapeId="0" xr:uid="{6F6B2311-E7E0-488B-BD2D-B522F231B2F7}">
      <text>
        <t>[Comentário encadeado]
Sua versão do Excel permite que você leia este comentário encadeado, no entanto, as edições serão removidas se o arquivo for aberto em uma versão mais recente do Excel. Saiba mais: https://go.microsoft.com/fwlink/?linkid=870924
Comentário:
    1 Habitacion Doble: Tenéis que hacer el ingreso de su medio mes 500€. Igualmente si continúan otros 15 días la cuantía sería sólo de 200€ máss</t>
      </text>
    </comment>
    <comment ref="F5707" authorId="3963" shapeId="0" xr:uid="{3830DCA8-9D18-4D28-91EC-8AACFF2A6637}">
      <text>
        <t>[Comentário encadeado]
Sua versão do Excel permite que você leia este comentário encadeado, no entanto, as edições serão removidas se o arquivo for aberto em uma versão mais recente do Excel. Saiba mais: https://go.microsoft.com/fwlink/?linkid=870924
Comentário:
    Habitación triple con tres camas, baño privado y cocina para 15 días continuados 700€. Si continúan el mes completo sería solo 200€ más </t>
      </text>
    </comment>
    <comment ref="F5709" authorId="3964" shapeId="0" xr:uid="{DD35540E-61C8-4CF2-8059-AAA26A1086F9}">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712" authorId="3965" shapeId="0" xr:uid="{132C8FDB-DE7B-4A1C-A11F-B0CB48CA5AF9}">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13" authorId="3966" shapeId="0" xr:uid="{F7AEB643-D6D2-4AF6-8E01-26344F45B9B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15" authorId="3967" shapeId="0" xr:uid="{29CC9947-9367-4810-B475-8AB33242A732}">
      <text>
        <t>[Comentário encadeado]
Sua versão do Excel permite que você leia este comentário encadeado, no entanto, as edições serão removidas se o arquivo for aberto em uma versão mais recente do Excel. Saiba mais: https://go.microsoft.com/fwlink/?linkid=870924
Comentário:
    1 Habitación 1 Cama
Responder:
    682€</t>
      </text>
    </comment>
    <comment ref="F5716" authorId="3968" shapeId="0" xr:uid="{2FC9BB9C-E896-4D0E-BE53-2BEA0C57DB0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17" authorId="3969" shapeId="0" xr:uid="{9E4EE341-6DD2-42E9-B33D-BF704FC7782D}">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718" authorId="3970" shapeId="0" xr:uid="{F76804D8-D4F8-4336-B3EF-BD1AD028AAE9}">
      <text>
        <t>[Comentário encadeado]
Sua versão do Excel permite que você leia este comentário encadeado, no entanto, as edições serão removidas se o arquivo for aberto em uma versão mais recente do Excel. Saiba mais: https://go.microsoft.com/fwlink/?linkid=870924
Comentário:
    Casa de 3 dormitorios
Dormitorio 1-2 camas individuales
Dormitorio 2-2 camas individuales
Dormitorio 3-2 sofás cama
Sala de estar 1 sofá cama</t>
      </text>
    </comment>
    <comment ref="F5721" authorId="3971" shapeId="0" xr:uid="{73D7D2A2-C129-4ACE-937B-D6BA05ECAE1F}">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Nº2</t>
      </text>
    </comment>
    <comment ref="F5722" authorId="3972" shapeId="0" xr:uid="{E470496B-7C5A-478C-8B9F-239CDFECBB1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724" authorId="3973" shapeId="0" xr:uid="{5A2C25C9-E05A-4B48-BF88-31DC0B8CC38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 </t>
      </text>
    </comment>
    <comment ref="F5725" authorId="3974" shapeId="0" xr:uid="{E9D026CE-5422-4C24-B96C-344E28F27854}">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730" authorId="3975" shapeId="0" xr:uid="{3083D44F-3920-4225-B1D5-EED588B4D04E}">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731" authorId="3976" shapeId="0" xr:uid="{ED180267-5C1B-4B4A-A433-E2115F9CC02E}">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732" authorId="3977" shapeId="0" xr:uid="{96ECF0A6-6427-4DDA-AD02-A6E05010C00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5733" authorId="3978" shapeId="0" xr:uid="{66C48A50-D2CD-41A8-8901-9F4BE6D586B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5737" authorId="3979" shapeId="0" xr:uid="{30957445-2F46-43DB-96FB-FBEB92C57723}">
      <text>
        <t>[Comentário encadeado]
Sua versão do Excel permite que você leia este comentário encadeado, no entanto, as edições serão removidas se o arquivo for aberto em uma versão mais recente do Excel. Saiba mais: https://go.microsoft.com/fwlink/?linkid=870924
Comentário:
    300€ Alquiler +10€ agua
300€ Fianza
2 Habitaciones.</t>
      </text>
    </comment>
    <comment ref="F5742" authorId="3980" shapeId="0" xr:uid="{78DFEFCA-F4B6-43DE-8F26-7AE3D17E851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743" authorId="3981" shapeId="0" xr:uid="{25B56068-92A2-4D09-81B2-7210ACBB4AD9}">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46" authorId="3982" shapeId="0" xr:uid="{D8CF33CF-809E-4142-840D-FB9BFD69C86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48" authorId="3983" shapeId="0" xr:uid="{96934A35-8623-405B-A9E2-E1684C92C1E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51" authorId="3984" shapeId="0" xr:uid="{C3BC2B69-4591-459A-8707-A92064C4E131}">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52" authorId="3985" shapeId="0" xr:uid="{8A35CA7F-2ED0-43A6-AF26-D80B425DD63A}">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56" authorId="3986" shapeId="0" xr:uid="{F5B0CDBF-3F2A-4162-A4FC-C66726078BF7}">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57" authorId="3987" shapeId="0" xr:uid="{2F74E83B-95E3-4A33-9107-BB51AE3660D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58" authorId="3988" shapeId="0" xr:uid="{2BA41CC2-1B48-43D0-80EE-D385C20CD2AC}">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59" authorId="3989" shapeId="0" xr:uid="{584CFF41-AC9B-43E5-B77F-E8ED93AF40B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60" authorId="3990" shapeId="0" xr:uid="{8F38D0DE-45BE-4785-BD85-3A02C23D365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1600 Fianza 1600 camas 5
</t>
      </text>
    </comment>
    <comment ref="F5761" authorId="3991" shapeId="0" xr:uid="{5B505717-2EBC-47EF-B60A-1D27112B045F}">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762" authorId="3992" shapeId="0" xr:uid="{A9488E64-16F8-4E65-8621-0416D765F51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63" authorId="3993" shapeId="0" xr:uid="{47490351-1EFF-49F5-B181-2BB8D842E6B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67" authorId="3994" shapeId="0" xr:uid="{C7EEF74B-6DFF-499D-90C8-AAD17CBB925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5769" authorId="3995" shapeId="0" xr:uid="{CA17FD48-B07C-48E7-B2AB-ED0CD53F8D3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5770" authorId="3996" shapeId="0" xr:uid="{55D9D937-0468-45B9-8EE4-88AB7238AA23}">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771" authorId="3997" shapeId="0" xr:uid="{450E71F2-628B-46AF-895F-5B8E13C2D762}">
      <text>
        <t>[Comentário encadeado]
Sua versão do Excel permite que você leia este comentário encadeado, no entanto, as edições serão removidas se o arquivo for aberto em uma versão mais recente do Excel. Saiba mais: https://go.microsoft.com/fwlink/?linkid=870924
Comentário:
    habitación cuádruple</t>
      </text>
    </comment>
    <comment ref="F5772" authorId="3998" shapeId="0" xr:uid="{1D523B4C-5EE4-461D-8719-8D544DA6364B}">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773" authorId="3999" shapeId="0" xr:uid="{4A6268C1-4AE9-4A2A-8B2A-C362D5BC271D}">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774" authorId="4000" shapeId="0" xr:uid="{93201D24-FA1C-40A3-BBD5-3F57220E2F2D}">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775" authorId="4001" shapeId="0" xr:uid="{2CA31121-F4D5-4C86-8C23-89E96CA4B139}">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776" authorId="4002" shapeId="0" xr:uid="{BD15C738-3792-4A1E-89B5-7C591D9803FF}">
      <text>
        <t>[Comentário encadeado]
Sua versão do Excel permite que você leia este comentário encadeado, no entanto, as edições serão removidas se o arquivo for aberto em uma versão mais recente do Excel. Saiba mais: https://go.microsoft.com/fwlink/?linkid=870924
Comentário:
    Fianza 2.400€, Alquiler 1.200€, 6 Camas.
Responder:
    Sube el ipc segun contrato 3%, queda alquiler total a pagar: 1.236€</t>
      </text>
    </comment>
    <comment ref="F5778" authorId="4003" shapeId="0" xr:uid="{9D00C76D-E994-4F25-A46F-B1268A676B68}">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779" authorId="4004" shapeId="0" xr:uid="{6D0EAD05-6C48-4121-9DB1-13F366159F2C}">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81" authorId="4005" shapeId="0" xr:uid="{FDDDA988-9907-45B8-8DC6-03062B34AB5C}">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82" authorId="4006" shapeId="0" xr:uid="{23612806-EFD8-4836-B719-003418B037E4}">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83" authorId="4007" shapeId="0" xr:uid="{63BF07DA-E030-4B35-BFA6-2C4592FCE8C6}">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84" authorId="4008" shapeId="0" xr:uid="{DBA4AE9F-6D2B-4092-8CD7-A238CEF708E2}">
      <text>
        <t>[Comentário encadeado]
Sua versão do Excel permite que você leia este comentário encadeado, no entanto, as edições serão removidas se o arquivo for aberto em uma versão mais recente do Excel. Saiba mais: https://go.microsoft.com/fwlink/?linkid=870924
Comentário:
    Alquiler 1.500€, 3camas, Fianza 500€</t>
      </text>
    </comment>
    <comment ref="F5785" authorId="4009" shapeId="0" xr:uid="{F34A734F-D148-492C-BD77-C50D0876CD05}">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1450€
Fianza 1450€
Limpieza 120€</t>
      </text>
    </comment>
    <comment ref="F5786" authorId="4010" shapeId="0" xr:uid="{776E4169-E788-48DC-B3BE-2170542625FB}">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1450€
Fianza 1450€
Limpieza 120€</t>
      </text>
    </comment>
    <comment ref="F5787" authorId="4011" shapeId="0" xr:uid="{9A7D3393-4A00-419C-BBD5-BB5B430F4A5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789" authorId="4012" shapeId="0" xr:uid="{04484063-F56A-4232-963D-0B1179F36E63}">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792" authorId="4013" shapeId="0" xr:uid="{B4D829EE-B664-4E77-A6C2-70A6BF6DF7B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6 personas</t>
      </text>
    </comment>
    <comment ref="F5793" authorId="4014" shapeId="0" xr:uid="{28F9F93A-38F8-4D44-9E23-C5CD7A8B22B9}">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794" authorId="4015" shapeId="0" xr:uid="{798C0200-6154-45EA-BB18-C300696A8AB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795" authorId="4016" shapeId="0" xr:uid="{0D337F51-6973-4AB6-AADD-8FF9E866E179}">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796" authorId="4017" shapeId="0" xr:uid="{91D70112-4E49-4BB9-B10F-DFD76B2BFA05}">
      <text>
        <t>[Comentário encadeado]
Sua versão do Excel permite que você leia este comentário encadeado, no entanto, as edições serão removidas se o arquivo for aberto em uma versão mais recente do Excel. Saiba mais: https://go.microsoft.com/fwlink/?linkid=870924
Comentário:
    Alquiler 1.500€, 3camas, Fianza 500€</t>
      </text>
    </comment>
    <comment ref="F5797" authorId="4018" shapeId="0" xr:uid="{53B1206F-81DC-47D4-BA98-444E3AFC30B4}">
      <text>
        <t>[Comentário encadeado]
Sua versão do Excel permite que você leia este comentário encadeado, no entanto, as edições serão removidas se o arquivo for aberto em uma versão mais recente do Excel. Saiba mais: https://go.microsoft.com/fwlink/?linkid=870924
Comentário:
    Alquiler 1.500€, 3camas, Fianza 500€</t>
      </text>
    </comment>
    <comment ref="F5798" authorId="4019" shapeId="0" xr:uid="{42B0D111-BF69-45FD-84D2-2880E753CFA0}">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1450€
Fianza 1450€
Limpieza 120€</t>
      </text>
    </comment>
    <comment ref="F5799" authorId="4020" shapeId="0" xr:uid="{049E8AE2-C6D7-4D1B-ACFA-40350D63FB85}">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800" authorId="4021" shapeId="0" xr:uid="{4ACC9DB9-932E-41ED-AA54-DAB4D2BF7CF6}">
      <text>
        <t>[Comentário encadeado]
Sua versão do Excel permite que você leia este comentário encadeado, no entanto, as edições serão removidas se o arquivo for aberto em uma versão mais recente do Excel. Saiba mais: https://go.microsoft.com/fwlink/?linkid=870924
Comentário:
    Alquiler 940, fianza 1880, 03 camas</t>
      </text>
    </comment>
    <comment ref="F5801" authorId="4022" shapeId="0" xr:uid="{C60F3797-0A55-49D1-A903-7177D2F3A790}">
      <text>
        <t>[Comentário encadeado]
Sua versão do Excel permite que você leia este comentário encadeado, no entanto, as edições serão removidas se o arquivo for aberto em uma versão mais recente do Excel. Saiba mais: https://go.microsoft.com/fwlink/?linkid=870924
Comentário:
    Alquiler 940, fianza 1880, 03 camas</t>
      </text>
    </comment>
    <comment ref="F5802" authorId="4023" shapeId="0" xr:uid="{5BB34F2D-4984-4CD0-BA2E-A8433E783105}">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Nº2</t>
      </text>
    </comment>
    <comment ref="F5803" authorId="4024" shapeId="0" xr:uid="{93847C17-22CF-49C4-A443-32644012345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804" authorId="4025" shapeId="0" xr:uid="{13FEA084-ED9A-4A14-BF37-FE7FA55541A7}">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807" authorId="4026" shapeId="0" xr:uid="{E45B232E-0DC5-48B5-8746-845BB7FB879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t>
      </text>
    </comment>
    <comment ref="F5810" authorId="4027" shapeId="0" xr:uid="{62A56CF6-04E8-4AC7-94DD-FF11626722B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t>
      </text>
    </comment>
    <comment ref="F5812" authorId="4028" shapeId="0" xr:uid="{16E771E2-E5D1-43F8-955F-AAE58ED0A954}">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5814" authorId="4029" shapeId="0" xr:uid="{32ED9021-45F5-41F2-9BF9-7991E99C1761}">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5816" authorId="4030" shapeId="0" xr:uid="{C54296EC-F922-4140-B597-C3137C335DC2}">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819" authorId="4031" shapeId="0" xr:uid="{C0E3D2DA-D0A8-40BB-BDB0-88B7B61699A6}">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20" authorId="4032" shapeId="0" xr:uid="{D65F2162-3B8B-4474-87E5-6F0ADA742036}">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F5821" authorId="4033" shapeId="0" xr:uid="{42CB1C38-DE96-43E7-B964-401374A32387}">
      <text>
        <t>[Comentário encadeado]
Sua versão do Excel permite que você leia este comentário encadeado, no entanto, as edições serão removidas se o arquivo for aberto em uma versão mais recente do Excel. Saiba mais: https://go.microsoft.com/fwlink/?linkid=870924
Comentário:
    Habitación individual</t>
      </text>
    </comment>
    <comment ref="F5822" authorId="4034" shapeId="0" xr:uid="{12FC17F4-A9E5-408C-B152-CF56DB882D0C}">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823" authorId="4035" shapeId="0" xr:uid="{35C17556-C553-4B55-9D17-145F1A20BC3B}">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824" authorId="4036" shapeId="0" xr:uid="{5A60FD36-9A1E-49B7-9DFB-FB1D2F506D43}">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5826" authorId="4037" shapeId="0" xr:uid="{FF54729C-9592-4E93-84DC-565B4E1AE041}">
      <text>
        <t>[Comentário encadeado]
Sua versão do Excel permite que você leia este comentário encadeado, no entanto, as edições serão removidas se o arquivo for aberto em uma versão mais recente do Excel. Saiba mais: https://go.microsoft.com/fwlink/?linkid=870924
Comentário:
    Alquiler 260€ cada habitacion, 400€fianza
Responder:
    +2 HABITACIONES (29-09-25) Total piso 1800€ 
Responder:
    Alquiler por habitación 260€</t>
      </text>
    </comment>
    <comment ref="F5827" authorId="4038" shapeId="0" xr:uid="{37D9AF6B-0F38-4F57-8BFE-625FD9DBB4EE}">
      <text>
        <t>[Comentário encadeado]
Sua versão do Excel permite que você leia este comentário encadeado, no entanto, as edições serão removidas se o arquivo for aberto em uma versão mais recente do Excel. Saiba mais: https://go.microsoft.com/fwlink/?linkid=870924
Comentário:
    Tipo de cama: 4 camas individuales (90-130 cm de ancho), 1 cama doble (131-150 cm de ancho), 1 sofá cama (Tamaño variable).</t>
      </text>
    </comment>
    <comment ref="F5830" authorId="4039" shapeId="0" xr:uid="{D60B54B2-8A18-4BCA-B296-1EEAC1CD0E17}">
      <text>
        <t>[Comentário encadeado]
Sua versão do Excel permite que você leia este comentário encadeado, no entanto, as edições serão removidas se o arquivo for aberto em uma versão mais recente do Excel. Saiba mais: https://go.microsoft.com/fwlink/?linkid=870924
Comentário:
    Tipo de cama: 4 camas individuales (90-130 cm de ancho), 1 cama doble (131-150 cm de ancho), 1 sofá cama (Tamaño variable).</t>
      </text>
    </comment>
    <comment ref="F5831" authorId="4040" shapeId="0" xr:uid="{584B59B5-2362-4414-BE85-ED0F84D06D50}">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832" authorId="4041" shapeId="0" xr:uid="{72E7FA92-6557-4460-9CD3-51E9B17ECCD1}">
      <text>
        <t>[Comentário encadeado]
Sua versão do Excel permite que você leia este comentário encadeado, no entanto, as edições serão removidas se o arquivo for aberto em uma versão mais recente do Excel. Saiba mais: https://go.microsoft.com/fwlink/?linkid=870924
Comentário:
    Tipo de cama: 4 camas individuales (90-130 cm de ancho), 1 cama doble (131-150 cm de ancho), 1 sofá cama (Tamaño variable).</t>
      </text>
    </comment>
    <comment ref="F5833" authorId="4042" shapeId="0" xr:uid="{B0CD2D5F-68CD-4002-A91A-E32C08E041C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835" authorId="4043" shapeId="0" xr:uid="{D5670C94-BB6E-4FDB-BE80-F2E015ED9C59}">
      <text>
        <t>[Comentário encadeado]
Sua versão do Excel permite que você leia este comentário encadeado, no entanto, as edições serão removidas se o arquivo for aberto em uma versão mais recente do Excel. Saiba mais: https://go.microsoft.com/fwlink/?linkid=870924
Comentário:
    Apto 2</t>
      </text>
    </comment>
    <comment ref="F5836" authorId="4044" shapeId="0" xr:uid="{6C324AA5-A1E0-47B8-905A-5C44D360DD9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838" authorId="4045" shapeId="0" xr:uid="{E30DAB4B-6678-4F87-BE20-92CAC0F163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09 camas, 2100€ fianza, 2100€ alquiler =2100€.
A partir de Marzo 2026 se adicionan 200€ anticipo de suministros </t>
      </text>
    </comment>
    <comment ref="F5839" authorId="4046" shapeId="0" xr:uid="{5F87D287-7CCA-4F4B-AB63-6A6E26B09171}">
      <text>
        <t>[Comentário encadeado]
Sua versão do Excel permite que você leia este comentário encadeado, no entanto, as edições serão removidas se o arquivo for aberto em uma versão mais recente do Excel. Saiba mais: https://go.microsoft.com/fwlink/?linkid=870924
Comentário:
    A partir de mayo alquiler 450€ suministros incluidos (mensaje de whatsapp del propietario)</t>
      </text>
    </comment>
    <comment ref="F5841" authorId="4047" shapeId="0" xr:uid="{0C8FF131-FAF3-4A70-A153-C657AEDC7C1D}">
      <text>
        <t>[Comentário encadeado]
Sua versão do Excel permite que você leia este comentário encadeado, no entanto, as edições serão removidas se o arquivo for aberto em uma versão mais recente do Excel. Saiba mais: https://go.microsoft.com/fwlink/?linkid=870924
Comentário:
    (para 4 personas)</t>
      </text>
    </comment>
    <comment ref="F5844" authorId="4048" shapeId="0" xr:uid="{D55CDDD9-3743-47C6-8820-3CADF0589B8F}">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845" authorId="4049" shapeId="0" xr:uid="{C0663518-6EDA-4747-8FA1-BAF387DA9A67}">
      <text>
        <t>[Comentário encadeado]
Sua versão do Excel permite que você leia este comentário encadeado, no entanto, as edições serão removidas se o arquivo for aberto em uma versão mais recente do Excel. Saiba mais: https://go.microsoft.com/fwlink/?linkid=870924
Comentário:
    650 € ALQUILER FEBRERO
650 € FIANZA -5 CAMAS</t>
      </text>
    </comment>
    <comment ref="F5848" authorId="4050" shapeId="0" xr:uid="{917B050F-7CA2-41BE-A4C5-1EAF896A87F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CAMAS.ALQUILER 1500€. FIANZA 1500€
Responder:
    01 Habitación doble
01 habitación 2 camas </t>
      </text>
    </comment>
    <comment ref="F5849" authorId="4051" shapeId="0" xr:uid="{4D0F604D-A09A-4654-A32F-943AFFA953B1}">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CAMAS.ALQUILER 1500€. FIANZA 1500€
Responder:
    01 Habitación doble
01 habitación 2 camas </t>
      </text>
    </comment>
    <comment ref="F5853" authorId="4052" shapeId="0" xr:uid="{7610708C-D480-4856-BFE0-FD751D0E85A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03 CAMAS.ALQUILER 1500€. FIANZA 1500€
Responder:
    01 Habitación doble
01 habitación 2 camas </t>
      </text>
    </comment>
    <comment ref="F5854" authorId="4053" shapeId="0" xr:uid="{CD4717DA-3BC7-4D25-A9A9-100311401D76}">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856" authorId="4054" shapeId="0" xr:uid="{D4F9C3B0-12E8-4872-979F-9B3863C299A3}">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Nº1</t>
      </text>
    </comment>
    <comment ref="F5858" authorId="4055" shapeId="0" xr:uid="{1F486CCD-73D1-4507-AE65-189977C9F8E2}">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4 camas · 4 viajeros</t>
      </text>
    </comment>
    <comment ref="F5859" authorId="4056" shapeId="0" xr:uid="{E110691A-27D9-4C72-91D5-E3E8ED64A49B}">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Fianza 300€</t>
      </text>
    </comment>
    <comment ref="F5860" authorId="4057" shapeId="0" xr:uid="{3860E940-D708-454F-A948-5760C2E0B858}">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Fianza 300€</t>
      </text>
    </comment>
    <comment ref="F5861" authorId="4058" shapeId="0" xr:uid="{A6278C23-DB56-40B4-8A05-D127B69828E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3 camas Fianza 300€</t>
      </text>
    </comment>
    <comment ref="F5862" authorId="4059" shapeId="0" xr:uid="{ECC35CEF-DE9B-48E4-8BEF-F8F8A6BECA50}">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865" authorId="4060" shapeId="0" xr:uid="{528A533A-FBE7-4B49-952E-B7E16D3CD5E8}">
      <text>
        <t>[Comentário encadeado]
Sua versão do Excel permite que você leia este comentário encadeado, no entanto, as edições serão removidas se o arquivo for aberto em uma versão mais recente do Excel. Saiba mais: https://go.microsoft.com/fwlink/?linkid=870924
Comentário:
    1 Habitación individual</t>
      </text>
    </comment>
    <comment ref="F5869" authorId="4061" shapeId="0" xr:uid="{5B531373-C5C5-42E5-83EE-BD85EFF90244}">
      <text>
        <t>[Comentário encadeado]
Sua versão do Excel permite que você leia este comentário encadeado, no entanto, as edições serão removidas se o arquivo for aberto em uma versão mais recente do Excel. Saiba mais: https://go.microsoft.com/fwlink/?linkid=870924
Comentário:
    1 Habitación 2 Camas Nº2</t>
      </text>
    </comment>
    <comment ref="F5870" authorId="4062" shapeId="0" xr:uid="{95BE13CE-4710-4F3B-8A2F-61476814EC53}">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5872" authorId="4063" shapeId="0" xr:uid="{EB8DD626-8BCA-45CF-A137-785A3604D91C}">
      <text>
        <t>[Comentário encadeado]
Sua versão do Excel permite que você leia este comentário encadeado, no entanto, as edições serão removidas se o arquivo for aberto em uma versão mais recente do Excel. Saiba mais: https://go.microsoft.com/fwlink/?linkid=870924
Comentário:
    05 camas</t>
      </text>
    </comment>
    <comment ref="F5874" authorId="4064" shapeId="0" xr:uid="{CE5457E1-CC22-43B0-9BE0-031688BBF5CE}">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875" authorId="4065" shapeId="0" xr:uid="{27869088-E1DB-4A0C-BB3F-5B76B1CFD360}">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879" authorId="4066" shapeId="0" xr:uid="{5FB4CFE8-300F-4E10-A795-AB309B0C4DDD}">
      <text>
        <t>[Comentário encadeado]
Sua versão do Excel permite que você leia este comentário encadeado, no entanto, as edições serão removidas se o arquivo for aberto em uma versão mais recente do Excel. Saiba mais: https://go.microsoft.com/fwlink/?linkid=870924
Comentário:
    300€ Alquiler +10€ agua
300€ Fianza
2 Habitaciones.</t>
      </text>
    </comment>
    <comment ref="F5884" authorId="4067" shapeId="0" xr:uid="{DEACAF27-1112-45CE-886D-FC662EB2992F}">
      <text>
        <t>[Comentário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doble
01 habitación con dos camas
01 terraza</t>
      </text>
    </comment>
    <comment ref="F5885" authorId="4068" shapeId="0" xr:uid="{8F3EF6D7-6E7D-4415-9CC0-D6F9B28DC24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886" authorId="4069" shapeId="0" xr:uid="{460992A2-10B6-4A32-9998-19E316CC018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887" authorId="4070" shapeId="0" xr:uid="{76C40D73-C42A-4E06-81B5-E9289208AB84}">
      <text>
        <t>[Comentário encadeado]
Sua versão do Excel permite que você leia este comentário encadeado, no entanto, as edições serão removidas se o arquivo for aberto em uma versão mais recente do Excel. Saiba mais: https://go.microsoft.com/fwlink/?linkid=870924
Comentário:
    04 camas, 550€ alquiler, 550€ fianza</t>
      </text>
    </comment>
    <comment ref="F5888" authorId="4071" shapeId="0" xr:uid="{BA2DEC06-171C-447D-8C61-E386A987C015}">
      <text>
        <t>[Comentário encadeado]
Sua versão do Excel permite que você leia este comentário encadeado, no entanto, as edições serão removidas se o arquivo for aberto em uma versão mais recente do Excel. Saiba mais: https://go.microsoft.com/fwlink/?linkid=870924
Comentário:
    1200€ alquiler, 05 camas, 1200€ fianza</t>
      </text>
    </comment>
    <comment ref="F5889" authorId="4072" shapeId="0" xr:uid="{19991A05-BA52-49D4-AF77-379159CCE7DB}">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890" authorId="4073" shapeId="0" xr:uid="{8C1010E9-0D77-4A45-B9A5-14551B979A6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891" authorId="4074" shapeId="0" xr:uid="{457A1E5D-7E0B-4E8C-84E0-714FCAFF6DF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2 apartamento DOBLES </t>
      </text>
    </comment>
    <comment ref="F5892" authorId="4075" shapeId="0" xr:uid="{14A07815-95C7-4C10-B6D2-17CFC3F22829}">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5893" authorId="4076" shapeId="0" xr:uid="{76F1E9E0-F5A9-4EF2-9177-02B7C71A80DF}">
      <text>
        <t>[Comentário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doble
01 habitación con dos camas
01 terraza</t>
      </text>
    </comment>
    <comment ref="F5894" authorId="4077" shapeId="0" xr:uid="{921FCABE-0FF5-40C6-82AE-441711452E2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895" authorId="4078" shapeId="0" xr:uid="{F0C044B9-6F3D-47AE-882D-3BD8E1A62D7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896" authorId="4079" shapeId="0" xr:uid="{349906DF-D0EE-4D82-B591-D858E1DCA9C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897" authorId="4080" shapeId="0" xr:uid="{AF9C7701-CDC8-49A1-8A5E-21578E2A0E16}">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899" authorId="4081" shapeId="0" xr:uid="{7C011552-F3C1-43A6-AC70-C9A57BE6AF5D}">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01" authorId="4082" shapeId="0" xr:uid="{55BEB29A-53BD-4EDF-86A7-467AC6DA544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02" authorId="4083" shapeId="0" xr:uid="{D336AFD5-664F-41CC-99BB-925C3E5C03A4}">
      <text>
        <t>[Comentário encadeado]
Sua versão do Excel permite que você leia este comentário encadeado, no entanto, as edições serão removidas se o arquivo for aberto em uma versão mais recente do Excel. Saiba mais: https://go.microsoft.com/fwlink/?linkid=870924
Comentário:
    Alquiler 1500, 3 camas 
Responder:
    01 habitación doble
01 habitación con dos camas
01 terraza</t>
      </text>
    </comment>
    <comment ref="F5903" authorId="4084" shapeId="0" xr:uid="{F77E786E-84A8-4EE1-A8EE-21C63C6E758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V5903" authorId="4085" shapeId="0" xr:uid="{6AA2AE88-EC7F-426F-8937-D5F142F85B3A}">
      <text>
        <t>[Comentário encadeado]
Sua versão do Excel permite que você leia este comentário encadeado, no entanto, as edições serão removidas se o arquivo for aberto em uma versão mais recente do Excel. Saiba mais: https://go.microsoft.com/fwlink/?linkid=870924
Comentário:
    Martes 10/12 vuelven al piso</t>
      </text>
    </comment>
    <comment ref="F5904" authorId="4086" shapeId="0" xr:uid="{CDA277FA-AE20-4825-B299-CEDC268424AE}">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06" authorId="4087" shapeId="0" xr:uid="{E944BB83-8236-446D-8A6D-3301CBE91150}">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907" authorId="4088" shapeId="0" xr:uid="{86B07074-E5AA-44C6-9A50-226B192179B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12" authorId="4089" shapeId="0" xr:uid="{028DA5EA-D6CC-4545-8A47-CE99204D960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850€ Fianza 850€ 7 camas </t>
      </text>
    </comment>
    <comment ref="F5914" authorId="4090" shapeId="0" xr:uid="{A43590E7-937C-4EA1-985F-E8FCC0E8F24E}">
      <text>
        <t>[Comentário encadeado]
Sua versão do Excel permite que você leia este comentário encadeado, no entanto, as edições serão removidas se o arquivo for aberto em uma versão mais recente do Excel. Saiba mais: https://go.microsoft.com/fwlink/?linkid=870924
Comentário:
    05 camas, 1600€ alquiler, 1200€ fianza
Responder:
    1 cama supletoria 200€</t>
      </text>
    </comment>
    <comment ref="F5915" authorId="4091" shapeId="0" xr:uid="{4E3244D9-36A0-4614-A220-C9029789FDBD}">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917" authorId="4092" shapeId="0" xr:uid="{B41CE261-A439-4949-B4D2-D7490A8D275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Alquiler 970€ Fianza 970€ </t>
      </text>
    </comment>
    <comment ref="F5919" authorId="4093" shapeId="0" xr:uid="{4EBD9C9A-3FC1-42B3-941B-BBC96AE9C5A7}">
      <text>
        <t>[Comentário encadeado]
Sua versão do Excel permite que você leia este comentário encadeado, no entanto, as edições serão removidas se o arquivo for aberto em uma versão mais recente do Excel. Saiba mais: https://go.microsoft.com/fwlink/?linkid=870924
Comentário:
    1 habitación 
Responder:
    Nuevos datos Bancario para pago de junio:
ES43 2100 0476 9501 0125 6614
Fabiola Pulupa Almachi</t>
      </text>
    </comment>
    <comment ref="F5923" authorId="4094" shapeId="0" xr:uid="{C6C4F567-D91B-47FA-AA7A-77BB9702636F}">
      <text>
        <t>[Comentário encadeado]
Sua versão do Excel permite que você leia este comentário encadeado, no entanto, as edições serão removidas se o arquivo for aberto em uma versão mais recente do Excel. Saiba mais: https://go.microsoft.com/fwlink/?linkid=870924
Comentário:
    1 Habitación 1 cama</t>
      </text>
    </comment>
    <comment ref="F5929" authorId="4095" shapeId="0" xr:uid="{0EF1E375-B863-4031-AE36-ADBD21AD8728}">
      <text>
        <t>[Comentário encadeado]
Sua versão do Excel permite que você leia este comentário encadeado, no entanto, as edições serão removidas se o arquivo for aberto em uma versão mais recente do Excel. Saiba mais: https://go.microsoft.com/fwlink/?linkid=870924
Comentário:
    03 camas, 550€ alquiler, 550€ fianza</t>
      </text>
    </comment>
    <comment ref="F5934" authorId="4096" shapeId="0" xr:uid="{9AE82BA0-80FA-4017-9EA7-C217B8895D8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11 personas.</t>
      </text>
    </comment>
    <comment ref="F5935" authorId="4097" shapeId="0" xr:uid="{13DCE121-E280-45B5-B34C-18304F43221D}">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936" authorId="4098" shapeId="0" xr:uid="{9B31B17C-A54B-438F-845F-B10F58348AB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Alojamiento para 9 personas.
 3 apartamentos triples (101-102-121)
Responder:
    Alojamiento para 6 personas.
 2 apartamentos triples </t>
      </text>
    </comment>
    <comment ref="F5937" authorId="4099" shapeId="0" xr:uid="{58CECF75-A1CB-429C-B11D-0BC0B95E21A1}">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38" authorId="4100" shapeId="0" xr:uid="{D0929C14-F608-465D-83D4-23623AAE6689}">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939" authorId="4101" shapeId="0" xr:uid="{BF702505-B5E5-4144-AF51-4C722B33BF6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5942" authorId="4102" shapeId="0" xr:uid="{D39740BA-5DD9-4B09-BA9F-E0DE757FAB5A}">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943" authorId="4103" shapeId="0" xr:uid="{C1EC29F9-AEC9-46DC-8C8E-442B472B426A}">
      <text>
        <t>[Comentário encadeado]
Sua versão do Excel permite que você leia este comentário encadeado, no entanto, as edições serão removidas se o arquivo for aberto em uma versão mais recente do Excel. Saiba mais: https://go.microsoft.com/fwlink/?linkid=870924
Comentário:
    Apto 2</t>
      </text>
    </comment>
    <comment ref="F5945" authorId="4104" shapeId="0" xr:uid="{26FDBB9D-7F14-4504-B1DC-1089D82B0474}">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948" authorId="4105" shapeId="0" xr:uid="{45CF3968-344B-464B-9119-325BFDDC154B}">
      <text>
        <t>[Comentário encadeado]
Sua versão do Excel permite que você leia este comentário encadeado, no entanto, as edições serão removidas se o arquivo for aberto em uma versão mais recente do Excel. Saiba mais: https://go.microsoft.com/fwlink/?linkid=870924
Comentário:
    04 camas, 400€ alquiler, 400€ fianza</t>
      </text>
    </comment>
    <comment ref="F5951" authorId="4106" shapeId="0" xr:uid="{B96A82EE-422D-4790-86E6-CDA5D11153C4}">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952" authorId="4107" shapeId="0" xr:uid="{CB445EF8-2E39-48D0-8008-BBE970CFAEAC}">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953" authorId="4108" shapeId="0" xr:uid="{2E63EE11-402D-4DFC-AE74-C699789DD655}">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954" authorId="4109" shapeId="0" xr:uid="{F33A8F89-5A47-46B0-BBF9-12F6BE07B5B6}">
      <text>
        <t>[Comentário encadeado]
Sua versão do Excel permite que você leia este comentário encadeado, no entanto, as edições serão removidas se o arquivo for aberto em uma versão mais recente do Excel. Saiba mais: https://go.microsoft.com/fwlink/?linkid=870924
Comentário:
    Alojamiento entero · 5 camas · 4 viajeros</t>
      </text>
    </comment>
    <comment ref="F5956" authorId="4110" shapeId="0" xr:uid="{4DEE3526-BF97-45C3-864F-C6D8212AC7D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3 personas</t>
      </text>
    </comment>
    <comment ref="F5961" authorId="4111" shapeId="0" xr:uid="{5AD5FB3E-1C07-4807-81CE-4687EC4CDC4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62" authorId="4112" shapeId="0" xr:uid="{EACD1E22-2FDA-4EED-978B-858307147F8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Apto 1 </t>
      </text>
    </comment>
    <comment ref="F5963" authorId="4113" shapeId="0" xr:uid="{DABB34B6-8B0F-46CF-A1A6-33EBCBC30BC6}">
      <text>
        <t>[Comentário encadeado]
Sua versão do Excel permite que você leia este comentário encadeado, no entanto, as edições serão removidas se o arquivo for aberto em uma versão mais recente do Excel. Saiba mais: https://go.microsoft.com/fwlink/?linkid=870924
Comentário:
    Apto 2</t>
      </text>
    </comment>
    <comment ref="F5966" authorId="4114" shapeId="0" xr:uid="{2B1CD344-4A79-4928-8752-FF100E7658C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5968" authorId="4115" shapeId="0" xr:uid="{5559CC67-3865-4A56-AECE-C4837E3E1D50}">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973" authorId="4116" shapeId="0" xr:uid="{72BCEA13-23ED-4AC2-9621-045E6A9FFB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F5975" authorId="4117" shapeId="0" xr:uid="{6B1E901E-7A5B-4546-8454-9000E3448E0C}">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
Responder:
    Alojamiento para 4 personas, Valor 1.300€
Responder:
    Alojamiento para 4 personas, Valor 900€</t>
      </text>
    </comment>
    <comment ref="F5976" authorId="4118" shapeId="0" xr:uid="{CFB8A71E-B97E-4655-BA2B-C3A3B72172DF}">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978" authorId="4119" shapeId="0" xr:uid="{28991EB3-CD37-4F60-AC2E-5C98981C33A2}">
      <text>
        <t>[Comentário encadeado]
Sua versão do Excel permite que você leia este comentário encadeado, no entanto, as edições serão removidas se o arquivo for aberto em uma versão mais recente do Excel. Saiba mais: https://go.microsoft.com/fwlink/?linkid=870924
Comentário:
    4 CAMAS</t>
      </text>
    </comment>
    <comment ref="F5979" authorId="4120" shapeId="0" xr:uid="{DFD097E0-C953-4BEC-B739-2F66C8CBB5F8}">
      <text>
        <t>[Comentário encadeado]
Sua versão do Excel permite que você leia este comentário encadeado, no entanto, as edições serão removidas se o arquivo for aberto em uma versão mais recente do Excel. Saiba mais: https://go.microsoft.com/fwlink/?linkid=870924
Comentário:
    1 Habitación Alquiler 285€
Fianza 285€</t>
      </text>
    </comment>
    <comment ref="F5980" authorId="4121" shapeId="0" xr:uid="{0DD4789C-F10B-443C-BB7A-1CDA4FF14126}">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5981" authorId="4122" shapeId="0" xr:uid="{DC196030-CA1F-45A1-BF27-58C38E5BE0F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5983" authorId="4123" shapeId="0" xr:uid="{4F892845-3594-4B4A-A173-071B0172CCB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F5985" authorId="4124" shapeId="0" xr:uid="{61449837-F764-4CA7-8AA6-5AF127111B93}">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F5987" authorId="4125" shapeId="0" xr:uid="{9B99F505-8E93-44B6-9820-C4EB6AF567E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5988" authorId="4126" shapeId="0" xr:uid="{F4876BB9-759A-42C1-99E8-80EFC0F8618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5989" authorId="4127" shapeId="0" xr:uid="{185F6362-575E-47F3-A911-1368781C679F}">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5990" authorId="4128" shapeId="0" xr:uid="{44B2276E-A0A5-4BC5-A67E-C6BE32AB44F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5991" authorId="4129" shapeId="0" xr:uid="{B97A6D08-4BBE-4C59-866E-FB2BE908B50A}">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94" authorId="4130" shapeId="0" xr:uid="{BEF6582F-D44F-40B0-9DAB-16E816924DC4}">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5996" authorId="4131" shapeId="0" xr:uid="{768E27D7-5BD1-475A-993D-1E54408C2875}">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5997" authorId="4132" shapeId="0" xr:uid="{4F6F4EFE-FDC9-4F21-A864-C6E6696ECCF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5998" authorId="4133" shapeId="0" xr:uid="{DC995DD8-0EA8-4D3F-BFA1-DE94A3D53AF2}">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t>
      </text>
    </comment>
    <comment ref="F5999" authorId="4134" shapeId="0" xr:uid="{B2DA91A9-C656-446C-95C6-AABF935816D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6002" authorId="4135" shapeId="0" xr:uid="{341F69E1-28FF-4ED6-89DF-2DCD6AF668A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6003" authorId="4136" shapeId="0" xr:uid="{1A9B2AE0-AE17-4D46-8B70-2CEC6C86419A}">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mes de Julio (14/07 al 14/08)
3000€ dos meses de fianza 
6 Camas
+01 cama Kotrik llevada 28/12/25
</t>
      </text>
    </comment>
    <comment ref="F6005" authorId="4137" shapeId="0" xr:uid="{57CF25CE-C6E9-45F9-850A-DDDCD58ABF4E}">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6006" authorId="4138" shapeId="0" xr:uid="{7498E2E7-0C95-4BA4-B0C9-7EF8D982C728}">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07" authorId="4139" shapeId="0" xr:uid="{132895F2-5D7B-4492-8321-DA2FFD0EA551}">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6008" authorId="4140" shapeId="0" xr:uid="{E07D23BF-01BD-47AB-8FB2-CB56B46B0951}">
      <text>
        <t>[Comentário encadeado]
Sua versão do Excel permite que você leia este comentário encadeado, no entanto, as edições serão removidas se o arquivo for aberto em uma versão mais recente do Excel. Saiba mais: https://go.microsoft.com/fwlink/?linkid=870924
Comentário:
    6 camas 
Renta vivienda 1.250€+ Servicio de Limpieza 363€ =TOTAL 1.613€, fianza 
Responder:
    Renovación contrato vivienda 1.050€+suministros 250€ + Servicio de Limpieza 363€ =TOTAL 1.663€, fianza 950€</t>
      </text>
    </comment>
    <comment ref="F6014" authorId="4141" shapeId="0" xr:uid="{099D5A9E-D47E-4444-8C36-16C313FCA8A5}">
      <text>
        <t>[Comentário encadeado]
Sua versão do Excel permite que você leia este comentário encadeado, no entanto, as edições serão removidas se o arquivo for aberto em uma versão mais recente do Excel. Saiba mais: https://go.microsoft.com/fwlink/?linkid=870924
Comentário:
    Habitación Nº6</t>
      </text>
    </comment>
    <comment ref="F6017" authorId="4142" shapeId="0" xr:uid="{643CB212-F357-4AF7-8443-C8510A2948C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Apto 1 </t>
      </text>
    </comment>
    <comment ref="F6020" authorId="4143" shapeId="0" xr:uid="{D6077D75-C2EB-4E38-A6B6-29AB63EC12E4}">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Apto 1 </t>
      </text>
    </comment>
    <comment ref="F6022" authorId="4144" shapeId="0" xr:uid="{4DBFC779-928B-46E9-8FEE-64E56D9B444B}">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F6023" authorId="4145" shapeId="0" xr:uid="{30144539-3B73-48CB-8298-73F8341ABC24}">
      <text>
        <t>[Comentário encadeado]
Sua versão do Excel permite que você leia este comentário encadeado, no entanto, as edições serão removidas se o arquivo for aberto em uma versão mais recente do Excel. Saiba mais: https://go.microsoft.com/fwlink/?linkid=870924
Comentário:
    Habitación Nº6</t>
      </text>
    </comment>
    <comment ref="F6024" authorId="4146" shapeId="0" xr:uid="{24382248-C254-4C72-8515-2DEB2AD2446D}">
      <text>
        <t>[Comentário encadeado]
Sua versão do Excel permite que você leia este comentário encadeado, no entanto, as edições serão removidas se o arquivo for aberto em uma versão mais recente do Excel. Saiba mais: https://go.microsoft.com/fwlink/?linkid=870924
Comentário:
    10 CAMAS</t>
      </text>
    </comment>
    <comment ref="F6026" authorId="4147" shapeId="0" xr:uid="{FBF3E53D-D32A-40F4-9FF2-FF404012A1E2}">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t>
      </text>
    </comment>
    <comment ref="F6027" authorId="4148" shapeId="0" xr:uid="{FA955A81-CB92-4A2A-B147-39A3914B158D}">
      <text>
        <t>[Comentário encadeado]
Sua versão do Excel permite que você leia este comentário encadeado, no entanto, as edições serão removidas se o arquivo for aberto em uma versão mais recente do Excel. Saiba mais: https://go.microsoft.com/fwlink/?linkid=870924
Comentário:
    Apto 2</t>
      </text>
    </comment>
    <comment ref="F6028" authorId="4149" shapeId="0" xr:uid="{8DB2E076-845D-469B-A461-A719EB77F6B2}">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6029" authorId="4150" shapeId="0" xr:uid="{C5244E33-0267-4688-988D-A7FC71F3C7B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t>
      </text>
    </comment>
    <comment ref="F6030" authorId="4151" shapeId="0" xr:uid="{751DD982-7D85-4D3E-9BDE-B3074CC189C9}">
      <text>
        <t>[Comentário encadeado]
Sua versão do Excel permite que você leia este comentário encadeado, no entanto, as edições serão removidas se o arquivo for aberto em uma versão mais recente do Excel. Saiba mais: https://go.microsoft.com/fwlink/?linkid=870924
Comentário:
    Apto 2</t>
      </text>
    </comment>
    <comment ref="F6032" authorId="4152" shapeId="0" xr:uid="{7B9E5046-A128-4EE9-8295-7EC18B0CAABC}">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F6037" authorId="4153" shapeId="0" xr:uid="{439FAD25-470D-4E7C-9D4B-D1AA8842E324}">
      <text>
        <t>[Comentário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Responder:
    01 habitación individual
01 habitación 02 camas
01 cama en la sala (cajón)</t>
      </text>
    </comment>
    <comment ref="F6038" authorId="4154" shapeId="0" xr:uid="{C09C9B5A-1104-4695-AA04-5DDD7DBB86E9}">
      <text>
        <t>[Comentário encadeado]
Sua versão do Excel permite que você leia este comentário encadeado, no entanto, as edições serão removidas se o arquivo for aberto em uma versão mais recente do Excel. Saiba mais: https://go.microsoft.com/fwlink/?linkid=870924
Comentário:
    Alquiler 1300, Fianza 1300, 3 camas 
Responder:
    01 habitación individual
01 habitación 02 camas
01 cama en la sala (cajón)</t>
      </text>
    </comment>
    <comment ref="F6039" authorId="4155" shapeId="0" xr:uid="{84C50288-8520-4405-A1E9-6E4673F936E7}">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F6040" authorId="4156" shapeId="0" xr:uid="{8B40B7DF-AB57-45A6-8057-8723A1E89B41}">
      <text>
        <t>[Comentário encadeado]
Sua versão do Excel permite que você leia este comentário encadeado, no entanto, as edições serão removidas se o arquivo for aberto em uma versão mais recente do Excel. Saiba mais: https://go.microsoft.com/fwlink/?linkid=870924
Comentário:
    Habitación 300€ + 50€ suministros</t>
      </text>
    </comment>
    <comment ref="F6041" authorId="4157" shapeId="0" xr:uid="{489E2EE2-EA45-480F-8AD7-EB8537D4DF03}">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05 camas
Responder:
    Alquiler 1900€
120€ Limpieza </t>
      </text>
    </comment>
    <comment ref="F6042" authorId="4158" shapeId="0" xr:uid="{14BC4149-BEAC-4525-867C-EBA1D0B00E2E}">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
Responder:
    01 habitación con 2 camas
01 cama en la sala
01 terraza</t>
      </text>
    </comment>
    <comment ref="F6043" authorId="4159" shapeId="0" xr:uid="{47F1D5F7-27AE-40EB-962F-C1D54EA4D012}">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
Responder:
    01 habitación con 2 camas
01 cama en la sala
01 terraza</t>
      </text>
    </comment>
    <comment ref="F6044" authorId="4160" shapeId="0" xr:uid="{4733B809-EDFF-4F1D-979C-458A7BAF5C2B}">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6045" authorId="4161" shapeId="0" xr:uid="{B24D8112-00C1-4FD9-827A-03F40C3C3F89}">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6046" authorId="4162" shapeId="0" xr:uid="{61A866CA-7B18-4AA6-A9BC-D2F46071FF3E}">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F6047" authorId="4163" shapeId="0" xr:uid="{0661D89A-0182-4C53-AB0E-6D299E105D84}">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6048" authorId="4164" shapeId="0" xr:uid="{ABDA29C8-1F12-4B16-8EF6-A01809421AB4}">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
Responder:
    Fianza 955€</t>
      </text>
    </comment>
    <comment ref="F6049" authorId="4165" shapeId="0" xr:uid="{5A39E551-1739-4209-9460-99A8D233D9F7}">
      <text>
        <t>[Comentário encadeado]
Sua versão do Excel permite que você leia este comentário encadeado, no entanto, as edições serão removidas se o arquivo for aberto em uma versão mais recente do Excel. Saiba mais: https://go.microsoft.com/fwlink/?linkid=870924
Comentário:
    5 CAMAS</t>
      </text>
    </comment>
    <comment ref="F6050" authorId="4166" shapeId="0" xr:uid="{4640DCA0-1323-4FF2-91F4-F508375A52DE}">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
Responder:
    Fianza 955€</t>
      </text>
    </comment>
    <comment ref="F6051" authorId="4167" shapeId="0" xr:uid="{CF97244C-6C5A-4752-B863-F760DFDBA43B}">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955€
Responder:
    Fianza 955€</t>
      </text>
    </comment>
    <comment ref="F6052" authorId="4168" shapeId="0" xr:uid="{B8943385-EB84-4408-9D06-E3A95746EA9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53" authorId="4169" shapeId="0" xr:uid="{6DFFF11B-2111-4256-9F3F-7147E08D1AE9}">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54" authorId="4170" shapeId="0" xr:uid="{5B9D2738-78E8-4074-A362-33F8D0226A38}">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55" authorId="4171" shapeId="0" xr:uid="{1709CB24-E7AD-4930-B5CC-D331D1C7EC7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56" authorId="4172" shapeId="0" xr:uid="{52C4BCC8-C960-4DD7-A5A3-D82DBA0AE685}">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57" authorId="4173" shapeId="0" xr:uid="{986DBC58-8DEA-40CB-8DF8-A1161E5FCA12}">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
Responder:
    Alojamiento para 4 personas, Valor 1.300€
Responder:
    Alojamiento para 4 personas, Valor 900€</t>
      </text>
    </comment>
    <comment ref="F6058" authorId="4174" shapeId="0" xr:uid="{D55D6901-1426-42A2-B323-95084629EC2E}">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
Responder:
    Alojamiento para 4 personas, Valor 1.300€
Responder:
    Alojamiento para 4 personas, Valor 900€</t>
      </text>
    </comment>
    <comment ref="F6059" authorId="4175" shapeId="0" xr:uid="{6CABBEE9-7B7C-4219-A685-758991CF166F}">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6060" authorId="4176" shapeId="0" xr:uid="{6D4DD404-86D2-45C6-A701-091D9AD88D9F}">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6061" authorId="4177" shapeId="0" xr:uid="{BB7809B5-3F91-4D1A-B5DB-642FFC850269}">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F6062" authorId="4178" shapeId="0" xr:uid="{0AF16E72-3DD0-4563-ADFB-0330632C608F}">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4 personas, Valor 1.200€
Responder:
    1.000€ para 3 personas
Responder:
    Alojamiento para 4 personas, Valor 1.300€
Responder:
    Alojamiento para 4 personas, Valor 900€</t>
      </text>
    </comment>
    <comment ref="F6063" authorId="4179" shapeId="0" xr:uid="{3E8C9BB7-C785-4FC9-8DE5-61603CECCE4E}">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6064" authorId="4180" shapeId="0" xr:uid="{F309FA8F-FC3C-49A1-A692-CA0AAAD93A00}">
      <text>
        <t>[Comentário encadeado]
Sua versão do Excel permite que você leia este comentário encadeado, no entanto, as edições serão removidas se o arquivo for aberto em uma versão mais recente do Excel. Saiba mais: https://go.microsoft.com/fwlink/?linkid=870924
Comentário:
    4 Habitaciones 5 camas 1 sofá
Responder:
    875,50 alquiler
Responder:
    FIANZA 1700€</t>
      </text>
    </comment>
    <comment ref="F6068" authorId="4181" shapeId="0" xr:uid="{E084ABE9-037E-4CA4-9897-EBA254EE1D64}">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71" authorId="4182" shapeId="0" xr:uid="{64AE641E-8B18-41EE-A0C2-E9329E79B9A7}">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2 camas · 2 viajeros</t>
      </text>
    </comment>
    <comment ref="F6072" authorId="4183" shapeId="0" xr:uid="{DFF1FFA3-6172-47B2-AA26-DA15D5CAED37}">
      <text>
        <t>[Comentário encadeado]
Sua versão do Excel permite que você leia este comentário encadeado, no entanto, as edições serão removidas se o arquivo for aberto em uma versão mais recente do Excel. Saiba mais: https://go.microsoft.com/fwlink/?linkid=870924
Comentário:
    Habitación privada · 2 camas · 2 viajeros</t>
      </text>
    </comment>
    <comment ref="F6073" authorId="4184" shapeId="0" xr:uid="{6A6584F3-E8D7-4B0E-8EE9-6CFE49830691}">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6074" authorId="4185" shapeId="0" xr:uid="{7A996FC6-C71B-4E5F-80BB-45D14A3E05CB}">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6075" authorId="4186" shapeId="0" xr:uid="{66D32450-B71E-48D2-9A2B-A6C2283A5791}">
      <text>
        <t>[Comentário encadeado]
Sua versão do Excel permite que você leia este comentário encadeado, no entanto, as edições serão removidas se o arquivo for aberto em uma versão mais recente do Excel. Saiba mais: https://go.microsoft.com/fwlink/?linkid=870924
Comentário:
    10 CAMAS. ALQUILER 1643.20
Responder:
    FIANZA 3200</t>
      </text>
    </comment>
    <comment ref="F6077" authorId="4187" shapeId="0" xr:uid="{3AD1C9CA-8910-428B-BC9A-C6B6D744768A}">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6078" authorId="4188" shapeId="0" xr:uid="{711FF5D2-9AE1-4963-B6E6-D798800C1DA4}">
      <text>
        <t>[Comentário encadeado]
Sua versão do Excel permite que você leia este comentário encadeado, no entanto, as edições serão removidas se o arquivo for aberto em uma versão mais recente do Excel. Saiba mais: https://go.microsoft.com/fwlink/?linkid=870924
Comentário:
    3 Habitaciones Doble: Tenéis que hacer el ingreso de su medio mes 1.200€. Igualmente si continúan otros 15 días la cuantía sería sólo de 900€ más</t>
      </text>
    </comment>
    <comment ref="F6080" authorId="4189" shapeId="0" xr:uid="{3459BF01-4C78-47B4-A9EA-B4AA9F539C61}">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2 Personas, 30€ por noche</t>
      </text>
    </comment>
    <comment ref="F6081" authorId="4190" shapeId="0" xr:uid="{7F4497F3-E0F2-4C6C-8F19-735023647E9A}">
      <text>
        <t>[Comentário encadeado]
Sua versão do Excel permite que você leia este comentário encadeado, no entanto, as edições serão removidas se o arquivo for aberto em uma versão mais recente do Excel. Saiba mais: https://go.microsoft.com/fwlink/?linkid=870924
Comentário:
    Alojamiento para 2 Personas, 30€ por noche</t>
      </text>
    </comment>
    <comment ref="F6082" authorId="4191" shapeId="0" xr:uid="{F195C005-5055-4C7C-852D-A1C7D552D8F3}">
      <text>
        <t>[Comentário encadeado]
Sua versão do Excel permite que você leia este comentário encadeado, no entanto, as edições serão removidas se o arquivo for aberto em uma versão mais recente do Excel. Saiba mais: https://go.microsoft.com/fwlink/?linkid=870924
Comentário:
    03 camas</t>
      </text>
    </comment>
    <comment ref="F6083" authorId="4192" shapeId="0" xr:uid="{138F6D6D-4C98-47C0-878C-D9E3A90D1C65}">
      <text>
        <t>[Comentário encadeado]
Sua versão do Excel permite que você leia este comentário encadeado, no entanto, as edições serão removidas se o arquivo for aberto em uma versão mais recente do Excel. Saiba mais: https://go.microsoft.com/fwlink/?linkid=870924
Comentário:
    03 camas</t>
      </text>
    </comment>
    <comment ref="F6084" authorId="4193" shapeId="0" xr:uid="{E02361E3-F084-4314-A705-F611B2344649}">
      <text>
        <t>[Comentário encadeado]
Sua versão do Excel permite que você leia este comentário encadeado, no entanto, as edições serão removidas se o arquivo for aberto em uma versão mais recente do Excel. Saiba mais: https://go.microsoft.com/fwlink/?linkid=870924
Comentário:
    03 camas</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tc={07CC9A95-76EE-4655-B644-9725E551189A}</author>
    <author>tc={CB786744-A657-469A-9B86-9E42C6F2A6BF}</author>
    <author>tc={95723963-08F6-4C27-AD4E-A132D33907AF}</author>
    <author>tc={019A4346-600E-47D5-AB6E-E270A08075E6}</author>
    <author>tc={BD158AF3-38B3-4A22-834B-7B7DC0D2C5B8}</author>
    <author>tc={6D12DEB7-4097-46F0-80ED-754FE87AF5AD}</author>
    <author>tc={C96787E6-1003-4BD3-940E-C271D7E54E93}</author>
    <author>tc={B9514D1F-A209-46DC-8A73-2A2CE6C90393}</author>
    <author>tc={71C43D40-D6C1-40AB-BA3E-932F3D58338F}</author>
    <author>tc={418ECFB0-1195-4550-85A9-0B721A948D9F}</author>
    <author>tc={14516883-F8B9-4223-8EB3-58D3A4A4EFD7}</author>
    <author>tc={A3BD0A78-EC17-4ED0-A133-C0F5E29EA5F1}</author>
    <author>tc={9161D8B2-E6E5-4F05-B3D0-8897207E3BC6}</author>
    <author>tc={BE9B0E6F-2B63-4D72-A0B9-57A6C6A16FE7}</author>
    <author>tc={3C027645-F4C7-40EA-AA63-19B31F83CE7B}</author>
    <author>tc={9A94E61C-A755-4AFC-B32E-FDE0C0CD9A7D}</author>
    <author>tc={2AA62654-EBE7-4E8C-9204-A18E98BE034D}</author>
    <author>tc={907D269F-6CFB-4816-A4A7-18E0D3C03C29}</author>
    <author>tc={372614D1-05EE-4D8B-9648-131BF5AA04C2}</author>
    <author>tc={E63793CB-4FC5-4692-A8B8-58DBA84F9B59}</author>
    <author>tc={93E3A096-675C-4A9D-AA9A-05A752F984F6}</author>
    <author>tc={37CDB99C-9657-4680-90C1-64D8D19AC4C5}</author>
    <author>tc={34E7B54E-6FC4-4A9A-AD88-2D64EA828C6F}</author>
    <author>tc={FEA94F8C-EAE4-4490-A82F-27A43D7A4EAF}</author>
    <author>tc={EF36E1E5-086C-4B7B-B8D9-989773B6B104}</author>
    <author>tc={3D23C005-3F01-4552-8457-8FE334783B08}</author>
    <author>tc={8FB4596D-916C-44AE-9288-BA65366C3BCC}</author>
    <author>tc={7B5F1C3C-B946-4603-BC1C-3C3B8A444105}</author>
    <author>tc={6638219A-0879-48E2-B9D0-25BCE0D91086}</author>
    <author>tc={76A8E28E-80C5-481D-9D6A-5ECCC266E06D}</author>
    <author>tc={38421C98-637E-4947-A473-7BAF7FFC3305}</author>
    <author>tc={9DA7A7B7-EE5E-4B3D-8E0B-E58921D25FCC}</author>
    <author>tc={A1BABB5E-F8A4-4898-99EF-F271D5FC6F12}</author>
    <author>tc={9FA1FC10-DADE-40F5-96C8-537B751BB413}</author>
    <author>tc={7A0A9FCD-B319-42D3-90FD-BB5614213E65}</author>
    <author>tc={EB713294-9E19-4A42-A531-0ED6B702EE56}</author>
    <author>tc={33CA76F7-36A8-4770-91BA-E9489596D042}</author>
    <author>tc={A6FACE59-2428-49FB-BF52-BECF29F65B1A}</author>
    <author>tc={26B5F82C-58F5-4D31-A845-17CE15D9ECF5}</author>
    <author>tc={CAB00443-34F7-427A-BAC8-385C546E96CB}</author>
    <author>tc={5732BB56-DDC3-4798-8DBE-84254B9BBE6C}</author>
    <author>tc={97FDAD2B-B7BA-4DED-887B-50D63D5C4A9C}</author>
    <author>tc={4AC6E69A-4FC3-47A5-8284-7DD713D4EFBA}</author>
    <author>tc={530F504D-6D57-43E1-B319-008C0A508051}</author>
    <author>tc={67C1D317-5954-4DFF-848D-A1A50AE88751}</author>
    <author>tc={A4D607D4-FC8A-4D7F-AA3C-E636C11B493A}</author>
    <author>tc={31C47D92-05FE-48A1-AA15-774040BCFDFE}</author>
    <author>tc={5B6BCDE1-B993-41B0-9B83-E3F1CB6C5E0A}</author>
    <author>tc={0C57BF8D-59B1-46A6-8502-BD0A0BEFB3DA}</author>
    <author>tc={77031F27-49C4-4B7F-8059-EBF721CE9D48}</author>
    <author>tc={3ED8E6FD-BA72-471F-8C0F-0C3E78F0AE91}</author>
    <author>tc={6815B1A5-E16C-4EAC-BD0B-576F3938660D}</author>
    <author>tc={41A51EB8-1A2C-40E1-BD34-0F29F503A018}</author>
    <author>tc={EE0684FD-861C-44EC-B2AD-8C5FA2091560}</author>
    <author>tc={7B0CBA79-02F0-4648-B311-898E34BBB187}</author>
    <author>tc={21CEE3D3-988E-407F-B07E-96C8DF5E7237}</author>
    <author>tc={154A50C9-3978-49DF-AF95-9456A3156E0D}</author>
    <author>tc={078FC751-AA6B-4404-8CBB-25F6C76CBB48}</author>
    <author>tc={1CBF411B-7445-4B1A-851E-3B14DD48CBE2}</author>
    <author>tc={3D8CF36E-752B-4844-B724-0BCD23E93765}</author>
    <author>tc={3CBF6B15-079E-45A2-AC20-52F852845453}</author>
    <author>tc={564EFA12-A4B9-4CFF-B085-FE5E294DC1C4}</author>
    <author>tc={4090AAA6-0E31-4330-AE74-1973D436EB20}</author>
    <author>tc={79C3E658-83EF-43F6-8BAC-1486F6471D64}</author>
    <author>tc={DF737AB3-23AC-48A2-BBC2-8736C419F26C}</author>
    <author>tc={D960AD5B-EA8C-40C2-97F0-3C571699A675}</author>
    <author>tc={874AD342-A8A9-4038-A332-3DF3CD696A9B}</author>
    <author>tc={99554C9C-D35E-49A7-92BD-A41DF55321D3}</author>
    <author>tc={56B56926-DA78-40CE-9110-77C6BE370336}</author>
    <author>tc={835072F1-DE04-4AEC-9704-B6114D35FF78}</author>
  </authors>
  <commentList>
    <comment ref="C22" authorId="0" shapeId="0" xr:uid="{07CC9A95-76EE-4655-B644-9725E551189A}">
      <text>
        <t>[Comentário encadeado]
Sua versão do Excel permite que você leia este comentário encadeado, no entanto, as edições serão removidas se o arquivo for aberto em uma versão mais recente do Excel. Saiba mais: https://go.microsoft.com/fwlink/?linkid=870924
Comentário:
    200€ cada habitaciòn, 200€ c/u solo las primeras.</t>
      </text>
    </comment>
    <comment ref="C24" authorId="1" shapeId="0" xr:uid="{CB786744-A657-469A-9B86-9E42C6F2A6BF}">
      <text>
        <t>[Comentário encadeado]
Sua versão do Excel permite que você leia este comentário encadeado, no entanto, as edições serão removidas se o arquivo for aberto em uma versão mais recente do Excel. Saiba mais: https://go.microsoft.com/fwlink/?linkid=870924
Comentário:
    ALQUILER  1500    FIANZA     3000   CAMAS 9
Responder:
    11 camas, 09 acomodadas, 02 pendientes por acomodar</t>
      </text>
    </comment>
    <comment ref="C26" authorId="2" shapeId="0" xr:uid="{95723963-08F6-4C27-AD4E-A132D33907AF}">
      <text>
        <t>[Comentário encadeado]
Sua versão do Excel permite que você leia este comentário encadeado, no entanto, as edições serão removidas se o arquivo for aberto em uma versão mais recente do Excel. Saiba mais: https://go.microsoft.com/fwlink/?linkid=870924
Comentário:
    05 camas, 1580€ alquiler, 1580€ fianza</t>
      </text>
    </comment>
    <comment ref="C27" authorId="3" shapeId="0" xr:uid="{019A4346-600E-47D5-AB6E-E270A08075E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1100 +150 = total alquiler 1250 servicios  Fianza 2200  Camas 4
</t>
      </text>
    </comment>
    <comment ref="C37" authorId="4" shapeId="0" xr:uid="{BD158AF3-38B3-4A22-834B-7B7DC0D2C5B8}">
      <text>
        <t>[Comentário encadeado]
Sua versão do Excel permite que você leia este comentário encadeado, no entanto, as edições serão removidas se o arquivo for aberto em uma versão mais recente do Excel. Saiba mais: https://go.microsoft.com/fwlink/?linkid=870924
Comentário:
    4 Habitaciones Alquiler 810€/mes
Fianza 900€ Suministros 33,28€</t>
      </text>
    </comment>
    <comment ref="J45" authorId="5" shapeId="0" xr:uid="{6D12DEB7-4097-46F0-80ED-754FE87AF5AD}">
      <text>
        <t>[Comentário encadeado]
Sua versão do Excel permite que você leia este comentário encadeado, no entanto, as edições serão removidas se o arquivo for aberto em uma versão mais recente do Excel. Saiba mais: https://go.microsoft.com/fwlink/?linkid=870924
Comentário:
    350 Cada habitaciòn</t>
      </text>
    </comment>
    <comment ref="K45" authorId="6" shapeId="0" xr:uid="{C96787E6-1003-4BD3-940E-C271D7E54E93}">
      <text>
        <t>[Comentário encadeado]
Sua versão do Excel permite que você leia este comentário encadeado, no entanto, as edições serão removidas se o arquivo for aberto em uma versão mais recente do Excel. Saiba mais: https://go.microsoft.com/fwlink/?linkid=870924
Comentário:
    300 contrato inicial agosto 2024 y 600 segundo contrato</t>
      </text>
    </comment>
    <comment ref="C69" authorId="7" shapeId="0" xr:uid="{B9514D1F-A209-46DC-8A73-2A2CE6C90393}">
      <text>
        <t>[Comentário encadeado]
Sua versão do Excel permite que você leia este comentário encadeado, no entanto, as edições serão removidas se o arquivo for aberto em uma versão mais recente do Excel. Saiba mais: https://go.microsoft.com/fwlink/?linkid=870924
Comentário:
    02 camas, 700€ alquiler, 500€ fianza</t>
      </text>
    </comment>
    <comment ref="C108" authorId="8" shapeId="0" xr:uid="{71C43D40-D6C1-40AB-BA3E-932F3D58338F}">
      <text>
        <t>[Comentário encadeado]
Sua versão do Excel permite que você leia este comentário encadeado, no entanto, as edições serão removidas se o arquivo for aberto em uma versão mais recente do Excel. Saiba mais: https://go.microsoft.com/fwlink/?linkid=870924
Comentário:
    04 camas</t>
      </text>
    </comment>
    <comment ref="C136" authorId="9" shapeId="0" xr:uid="{418ECFB0-1195-4550-85A9-0B721A948D9F}">
      <text>
        <t>[Comentário encadeado]
Sua versão do Excel permite que você leia este comentário encadeado, no entanto, as edições serão removidas se o arquivo for aberto em uma versão mais recente do Excel. Saiba mais: https://go.microsoft.com/fwlink/?linkid=870924
Comentário:
    ALQUILER 722.21 FIANZA 150 CAMAS 2</t>
      </text>
    </comment>
    <comment ref="C137" authorId="10" shapeId="0" xr:uid="{14516883-F8B9-4223-8EB3-58D3A4A4EFD7}">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02 habitaciones
</t>
      </text>
    </comment>
    <comment ref="E137" authorId="11" shapeId="0" xr:uid="{A3BD0A78-EC17-4ED0-A133-C0F5E29EA5F1}">
      <text>
        <t>[Comentário encadeado]
Sua versão do Excel permite que você leia este comentário encadeado, no entanto, as edições serão removidas se o arquivo for aberto em uma versão mais recente do Excel. Saiba mais: https://go.microsoft.com/fwlink/?linkid=870924
Comentário:
    02 habitaciones</t>
      </text>
    </comment>
    <comment ref="C145" authorId="12" shapeId="0" xr:uid="{9161D8B2-E6E5-4F05-B3D0-8897207E3BC6}">
      <text>
        <t>[Comentário encadeado]
Sua versão do Excel permite que você leia este comentário encadeado, no entanto, as edições serão removidas se o arquivo for aberto em uma versão mais recente do Excel. Saiba mais: https://go.microsoft.com/fwlink/?linkid=870924
Comentário:
    Alquiler 1453 Fianza 950 Camas 4 ext a 6
Responder:
    Renta  vivienda 1.450€ + Servicio de Limpieza 302,50€ = 1.752,50€ y 950€ fianza</t>
      </text>
    </comment>
    <comment ref="C151" authorId="13" shapeId="0" xr:uid="{BE9B0E6F-2B63-4D72-A0B9-57A6C6A16FE7}">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2870 camas 8</t>
      </text>
    </comment>
    <comment ref="C153" authorId="14" shapeId="0" xr:uid="{3C027645-F4C7-40EA-AA63-19B31F83CE7B}">
      <text>
        <t>[Comentário encadeado]
Sua versão do Excel permite que você leia este comentário encadeado, no entanto, as edições serão removidas se o arquivo for aberto em uma versão mais recente do Excel. Saiba mais: https://go.microsoft.com/fwlink/?linkid=870924
Comentário:
    04 camas 1500€, fianza 1000€</t>
      </text>
    </comment>
    <comment ref="C154" authorId="15" shapeId="0" xr:uid="{9A94E61C-A755-4AFC-B32E-FDE0C0CD9A7D}">
      <text>
        <t>[Comentário encadeado]
Sua versão do Excel permite que você leia este comentário encadeado, no entanto, as edições serão removidas se o arquivo for aberto em uma versão mais recente do Excel. Saiba mais: https://go.microsoft.com/fwlink/?linkid=870924
Comentário:
    Alquiler 2870 Fianza 1435 camas 8</t>
      </text>
    </comment>
    <comment ref="C157" authorId="16" shapeId="0" xr:uid="{2AA62654-EBE7-4E8C-9204-A18E98BE034D}">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1650€  Fianza 1550 € camas 5
</t>
      </text>
    </comment>
    <comment ref="C163" authorId="17" shapeId="0" xr:uid="{907D269F-6CFB-4816-A4A7-18E0D3C03C29}">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650 Fianza 650 camas 4 ( 2 camas dobles propietaria y 2 kotrik) 
</t>
      </text>
    </comment>
    <comment ref="C165" authorId="18" shapeId="0" xr:uid="{372614D1-05EE-4D8B-9648-131BF5AA04C2}">
      <text>
        <t>[Comentário encadeado]
Sua versão do Excel permite que você leia este comentário encadeado, no entanto, as edições serão removidas se o arquivo for aberto em uma versão mais recente do Excel. Saiba mais: https://go.microsoft.com/fwlink/?linkid=870924
Comentário:
    08 CAMAS</t>
      </text>
    </comment>
    <comment ref="C169" authorId="19" shapeId="0" xr:uid="{E63793CB-4FC5-4692-A8B8-58DBA84F9B59}">
      <text>
        <t>[Comentário encadeado]
Sua versão do Excel permite que você leia este comentário encadeado, no entanto, as edições serão removidas se o arquivo for aberto em uma versão mais recente do Excel. Saiba mais: https://go.microsoft.com/fwlink/?linkid=870924
Comentário:
    ALQUILER 580, FIANZA 580, 4 CAMAS. Contrato pago hasta Febrero</t>
      </text>
    </comment>
    <comment ref="C172" authorId="20" shapeId="0" xr:uid="{93E3A096-675C-4A9D-AA9A-05A752F984F6}">
      <text>
        <t>[Comentário encadeado]
Sua versão do Excel permite que você leia este comentário encadeado, no entanto, as edições serão removidas se o arquivo for aberto em uma versão mais recente do Excel. Saiba mais: https://go.microsoft.com/fwlink/?linkid=870924
Comentário:
    10 camas renta 3300</t>
      </text>
    </comment>
    <comment ref="J176" authorId="21" shapeId="0" xr:uid="{37CDB99C-9657-4680-90C1-64D8D19AC4C5}">
      <text>
        <t>[Comentário encadeado]
Sua versão do Excel permite que você leia este comentário encadeado, no entanto, as edições serão removidas se o arquivo for aberto em uma versão mais recente do Excel. Saiba mais: https://go.microsoft.com/fwlink/?linkid=870924
Comentário:
    600€ ALQUILER +100€ SERVICIOS</t>
      </text>
    </comment>
    <comment ref="C180" authorId="22" shapeId="0" xr:uid="{34E7B54E-6FC4-4A9A-AD88-2D64EA828C6F}">
      <text>
        <t>[Comentário encadeado]
Sua versão do Excel permite que você leia este comentário encadeado, no entanto, as edições serão removidas se o arquivo for aberto em uma versão mais recente do Excel. Saiba mais: https://go.microsoft.com/fwlink/?linkid=870924
Comentário:
    03 CAMAS, ALQULER 800. FIANZA 1000, SE PAGO ENERO-FEBRERO</t>
      </text>
    </comment>
    <comment ref="C181" authorId="23" shapeId="0" xr:uid="{FEA94F8C-EAE4-4490-A82F-27A43D7A4EAF}">
      <text>
        <t>[Comentário encadeado]
Sua versão do Excel permite que você leia este comentário encadeado, no entanto, as edições serão removidas se o arquivo for aberto em uma versão mais recente do Excel. Saiba mais: https://go.microsoft.com/fwlink/?linkid=870924
Comentário:
    500€ ALQUILER, 500€ FIANZA, 03 HABITACIONES, 04 CAMAS</t>
      </text>
    </comment>
    <comment ref="C182" authorId="24" shapeId="0" xr:uid="{EF36E1E5-086C-4B7B-B8D9-989773B6B104}">
      <text>
        <t>[Comentário encadeado]
Sua versão do Excel permite que você leia este comentário encadeado, no entanto, as edições serão removidas se o arquivo for aberto em uma versão mais recente do Excel. Saiba mais: https://go.microsoft.com/fwlink/?linkid=870924
Comentário:
    3 habitaciones, 04 CAMAS, 1100€ ALQUILER,</t>
      </text>
    </comment>
    <comment ref="C183" authorId="25" shapeId="0" xr:uid="{3D23C005-3F01-4552-8457-8FE334783B08}">
      <text>
        <t>[Comentário encadeado]
Sua versão do Excel permite que você leia este comentário encadeado, no entanto, as edições serão removidas se o arquivo for aberto em uma versão mais recente do Excel. Saiba mais: https://go.microsoft.com/fwlink/?linkid=870924
Comentário:
    04 camas, alquiler 1100€, sin fianza</t>
      </text>
    </comment>
    <comment ref="C193" authorId="26" shapeId="0" xr:uid="{8FB4596D-916C-44AE-9288-BA65366C3BCC}">
      <text>
        <t>[Comentário encadeado]
Sua versão do Excel permite que você leia este comentário encadeado, no entanto, as edições serão removidas se o arquivo for aberto em uma versão mais recente do Excel. Saiba mais: https://go.microsoft.com/fwlink/?linkid=870924
Comentário:
    355€ ALQULER + 55€ SUMINISTROS =410€ TOTAL. 500 FIANZA</t>
      </text>
    </comment>
    <comment ref="C196" authorId="27" shapeId="0" xr:uid="{7B5F1C3C-B946-4603-BC1C-3C3B8A44410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1.500€ renta mes,1.200€ Fianza, 3 Habitacines con 4 camas </t>
      </text>
    </comment>
    <comment ref="C197" authorId="28" shapeId="0" xr:uid="{6638219A-0879-48E2-B9D0-25BCE0D91086}">
      <text>
        <t>[Comentário encadeado]
Sua versão do Excel permite que você leia este comentário encadeado, no entanto, as edições serão removidas se o arquivo for aberto em uma versão mais recente do Excel. Saiba mais: https://go.microsoft.com/fwlink/?linkid=870924
Comentário:
    3 CAMAS, 600€ALQUILER, 600€FIANZA</t>
      </text>
    </comment>
    <comment ref="C198" authorId="29" shapeId="0" xr:uid="{76A8E28E-80C5-481D-9D6A-5ECCC266E06D}">
      <text>
        <t>[Comentário encadeado]
Sua versão do Excel permite que você leia este comentário encadeado, no entanto, as edições serão removidas se o arquivo for aberto em uma versão mais recente do Excel. Saiba mais: https://go.microsoft.com/fwlink/?linkid=870924
Comentário:
    350€ por cada habitacion
350€ fianza
Responder:
    04 habitaciones x 350 cu. Fianza 350 c/h Total 1400
Responder:
    Se adicionan 03 habitaciones 10/02 x 350 € c/u. Fianza 350€ c/u. Total 1050€fianza
Responder:
    Se adicionan 2 Habitaciones el día 23/05 por valor de  350€ C/U + 350€ fianzas C/U. Total 700€ fianza.</t>
      </text>
    </comment>
    <comment ref="C199" authorId="30" shapeId="0" xr:uid="{38421C98-637E-4947-A473-7BAF7FFC3305}">
      <text>
        <t>[Comentário encadeado]
Sua versão do Excel permite que você leia este comentário encadeado, no entanto, as edições serão removidas se o arquivo for aberto em uma versão mais recente do Excel. Saiba mais: https://go.microsoft.com/fwlink/?linkid=870924
Comentário:
    01 HABITACIÒN, SIN FIANZA, 300+SERVICIOS</t>
      </text>
    </comment>
    <comment ref="C200" authorId="31" shapeId="0" xr:uid="{9DA7A7B7-EE5E-4B3D-8E0B-E58921D25FC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Alquiler1.400€ 2 Habitaciones 4 Camas </t>
      </text>
    </comment>
    <comment ref="C201" authorId="32" shapeId="0" xr:uid="{A1BABB5E-F8A4-4898-99EF-F271D5FC6F12}">
      <text>
        <t>[Comentário encadeado]
Sua versão do Excel permite que você leia este comentário encadeado, no entanto, as edições serão removidas se o arquivo for aberto em uma versão mais recente do Excel. Saiba mais: https://go.microsoft.com/fwlink/?linkid=870924
Comentário:
    01 estudio 02 camas, sin fianza, 750€ alquiler</t>
      </text>
    </comment>
    <comment ref="N202" authorId="33" shapeId="0" xr:uid="{9FA1FC10-DADE-40F5-96C8-537B751BB413}">
      <text>
        <t>[Comentário encadeado]
Sua versão do Excel permite que você leia este comentário encadeado, no entanto, as edições serão removidas se o arquivo for aberto em uma versão mais recente do Excel. Saiba mais: https://go.microsoft.com/fwlink/?linkid=870924
Comentário:
    1 sofacama</t>
      </text>
    </comment>
    <comment ref="C203" authorId="34" shapeId="0" xr:uid="{7A0A9FCD-B319-42D3-90FD-BB5614213E65}">
      <text>
        <t>[Comentário encadeado]
Sua versão do Excel permite que você leia este comentário encadeado, no entanto, as edições serão removidas se o arquivo for aberto em uma versão mais recente do Excel. Saiba mais: https://go.microsoft.com/fwlink/?linkid=870924
Comentário:
    Renta 1.050€ 
Suministros 200€
Huésped extra 150€ ( cuando se requiera ) 
Servicio de limpieza 300€ + IVA ( 363€) </t>
      </text>
    </comment>
    <comment ref="C204" authorId="35" shapeId="0" xr:uid="{EB713294-9E19-4A42-A531-0ED6B702EE56}">
      <text>
        <t>[Comentário encadeado]
Sua versão do Excel permite que você leia este comentário encadeado, no entanto, as edições serão removidas se o arquivo for aberto em uma versão mais recente do Excel. Saiba mais: https://go.microsoft.com/fwlink/?linkid=870924
Comentário:
    3 CAMAS</t>
      </text>
    </comment>
    <comment ref="C207" authorId="36" shapeId="0" xr:uid="{33CA76F7-36A8-4770-91BA-E9489596D042}">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C209" authorId="37" shapeId="0" xr:uid="{A6FACE59-2428-49FB-BF52-BECF29F65B1A}">
      <text>
        <t>[Comentário encadeado]
Sua versão do Excel permite que você leia este comentário encadeado, no entanto, as edições serão removidas se o arquivo for aberto em uma versão mais recente do Excel. Saiba mais: https://go.microsoft.com/fwlink/?linkid=870924
Comentário:
    1 Habitacion Alquiler 450 fianza 150</t>
      </text>
    </comment>
    <comment ref="C210" authorId="38" shapeId="0" xr:uid="{26B5F82C-58F5-4D31-A845-17CE15D9ECF5}">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 Habitación </t>
      </text>
    </comment>
    <comment ref="C211" authorId="39" shapeId="0" xr:uid="{CAB00443-34F7-427A-BAC8-385C546E96CB}">
      <text>
        <t>[Comentário encadeado]
Sua versão do Excel permite que você leia este comentário encadeado, no entanto, as edições serão removidas se o arquivo for aberto em uma versão mais recente do Excel. Saiba mais: https://go.microsoft.com/fwlink/?linkid=870924
Comentário:
    07 CAMAS, 1600€ PARA 4 PERSONAS, 500€ FIANZA</t>
      </text>
    </comment>
    <comment ref="C213" authorId="40" shapeId="0" xr:uid="{5732BB56-DDC3-4798-8DBE-84254B9BBE6C}">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1300€  alquiler
 50€ limpieza
</t>
      </text>
    </comment>
    <comment ref="C215" authorId="41" shapeId="0" xr:uid="{97FDAD2B-B7BA-4DED-887B-50D63D5C4A9C}">
      <text>
        <t>[Comentário encadeado]
Sua versão do Excel permite que você leia este comentário encadeado, no entanto, as edições serão removidas se o arquivo for aberto em uma versão mais recente do Excel. Saiba mais: https://go.microsoft.com/fwlink/?linkid=870924
Comentário:
    Habitacion doble para trabajadores cant 1 Costo 60€/noche
Habitacion triple para trabajadores cant 3 Costo 75€/noche cada una
(camas separadas)</t>
      </text>
    </comment>
    <comment ref="H220" authorId="42" shapeId="0" xr:uid="{4AC6E69A-4FC3-47A5-8284-7DD713D4EFBA}">
      <text>
        <t>[Comentário encadeado]
Sua versão do Excel permite que você leia este comentário encadeado, no entanto, as edições serão removidas se o arquivo for aberto em uma versão mais recente do Excel. Saiba mais: https://go.microsoft.com/fwlink/?linkid=870924
Comentário:
    prorrogable hasta 23/07/2025</t>
      </text>
    </comment>
    <comment ref="C221" authorId="43" shapeId="0" xr:uid="{530F504D-6D57-43E1-B319-008C0A508051}">
      <text>
        <t>[Comentário encadeado]
Sua versão do Excel permite que você leia este comentário encadeado, no entanto, as edições serão removidas se o arquivo for aberto em uma versão mais recente do Excel. Saiba mais: https://go.microsoft.com/fwlink/?linkid=870924
Comentário:
    400€ Por persona alquiler mes, Fianza 500€, 5 Camas.</t>
      </text>
    </comment>
    <comment ref="C223" authorId="44" shapeId="0" xr:uid="{67C1D317-5954-4DFF-848D-A1A50AE88751}">
      <text>
        <t>[Comentário encadeado]
Sua versão do Excel permite que você leia este comentário encadeado, no entanto, as edições serão removidas se o arquivo for aberto em uma versão mais recente do Excel. Saiba mais: https://go.microsoft.com/fwlink/?linkid=870924
Comentário:
    400€ cada habitación =800€.
400€ fianza</t>
      </text>
    </comment>
    <comment ref="J236" authorId="45" shapeId="0" xr:uid="{A4D607D4-FC8A-4D7F-AA3C-E636C11B493A}">
      <text>
        <t>[Comentário encadeado]
Sua versão do Excel permite que você leia este comentário encadeado, no entanto, as edições serão removidas se o arquivo for aberto em uma versão mais recente do Excel. Saiba mais: https://go.microsoft.com/fwlink/?linkid=870924
Comentário:
    2 habitaciones Cada una: 600€ Alquiler del 13/05 al 30/06</t>
      </text>
    </comment>
    <comment ref="C239" authorId="46" shapeId="0" xr:uid="{31C47D92-05FE-48A1-AA15-774040BCFDFE}">
      <text>
        <t>[Comentário encadeado]
Sua versão do Excel permite que você leia este comentário encadeado, no entanto, as edições serão removidas se o arquivo for aberto em uma versão mais recente do Excel. Saiba mais: https://go.microsoft.com/fwlink/?linkid=870924
Comentário:
    Habitación  1- 360€ alquiler + 55€ suministros (235€ parte proporcional mayo)
             500€ fianza</t>
      </text>
    </comment>
    <comment ref="G239" authorId="47" shapeId="0" xr:uid="{5B6BCDE1-B993-41B0-9B83-E3F1CB6C5E0A}">
      <text>
        <t>[Comentário encadeado]
Sua versão do Excel permite que você leia este comentário encadeado, no entanto, as edições serão removidas se o arquivo for aberto em uma versão mais recente do Excel. Saiba mais: https://go.microsoft.com/fwlink/?linkid=870924
Comentário:
    Duración de 1 año, estancia mínima obligatoria de 3 meses.</t>
      </text>
    </comment>
    <comment ref="C240" authorId="48" shapeId="0" xr:uid="{0C57BF8D-59B1-46A6-8502-BD0A0BEFB3DA}">
      <text>
        <t>[Comentário encadeado]
Sua versão do Excel permite que você leia este comentário encadeado, no entanto, as edições serão removidas se o arquivo for aberto em uma versão mais recente do Excel. Saiba mais: https://go.microsoft.com/fwlink/?linkid=870924
Comentário:
    Habitación 3  400€ alquiler + 55€ suministros (255€ parte proporcional mayo)
             500€ fianza</t>
      </text>
    </comment>
    <comment ref="G240" authorId="49" shapeId="0" xr:uid="{77031F27-49C4-4B7F-8059-EBF721CE9D48}">
      <text>
        <t>[Comentário encadeado]
Sua versão do Excel permite que você leia este comentário encadeado, no entanto, as edições serão removidas se o arquivo for aberto em uma versão mais recente do Excel. Saiba mais: https://go.microsoft.com/fwlink/?linkid=870924
Comentário:
    Duración de 1 año, estancia mínima obligatoria de 3 meses.</t>
      </text>
    </comment>
    <comment ref="C241" authorId="50" shapeId="0" xr:uid="{3ED8E6FD-BA72-471F-8C0F-0C3E78F0AE91}">
      <text>
        <t>[Comentário encadeado]
Sua versão do Excel permite que você leia este comentário encadeado, no entanto, as edições serão removidas se o arquivo for aberto em uma versão mais recente do Excel. Saiba mais: https://go.microsoft.com/fwlink/?linkid=870924
Comentário:
    Se adicionan 2 Habitaciones el día 23/05 por valor de  350€ C/U + 350€ fianzas C/U. Total 700€ fianza.</t>
      </text>
    </comment>
    <comment ref="J243" authorId="51" shapeId="0" xr:uid="{6815B1A5-E16C-4EAC-BD0B-576F3938660D}">
      <text>
        <t>[Comentário encadeado]
Sua versão do Excel permite que você leia este comentário encadeado, no entanto, as edições serão removidas se o arquivo for aberto em uma versão mais recente do Excel. Saiba mais: https://go.microsoft.com/fwlink/?linkid=870924
Comentário:
    INCLUYE LIMPIEZA Y 6TA CAMAS 1200€ALQUILER+200€ SUMINISTROS</t>
      </text>
    </comment>
    <comment ref="J246" authorId="52" shapeId="0" xr:uid="{41A51EB8-1A2C-40E1-BD34-0F29F503A018}">
      <text>
        <t>[Comentário encadeado]
Sua versão do Excel permite que você leia este comentário encadeado, no entanto, as edições serão removidas se o arquivo for aberto em uma versão mais recente do Excel. Saiba mais: https://go.microsoft.com/fwlink/?linkid=870924
Comentário:
    1050 alquiler + 150 suministros</t>
      </text>
    </comment>
    <comment ref="J247" authorId="53" shapeId="0" xr:uid="{EE0684FD-861C-44EC-B2AD-8C5FA2091560}">
      <text>
        <t>[Comentário encadeado]
Sua versão do Excel permite que você leia este comentário encadeado, no entanto, as edições serão removidas se o arquivo for aberto em uma versão mais recente do Excel. Saiba mais: https://go.microsoft.com/fwlink/?linkid=870924
Comentário:
    1200€ alquiler + 200€ suministros</t>
      </text>
    </comment>
    <comment ref="C249" authorId="54" shapeId="0" xr:uid="{7B0CBA79-02F0-4648-B311-898E34BBB187}">
      <text>
        <t>[Comentário encadeado]
Sua versão do Excel permite que você leia este comentário encadeado, no entanto, as edições serão removidas se o arquivo for aberto em uma versão mais recente do Excel. Saiba mais: https://go.microsoft.com/fwlink/?linkid=870924
Comentário:
    1300€ ALQUILER- 1300€FIANZA-04 CAMAS</t>
      </text>
    </comment>
    <comment ref="C251" authorId="55" shapeId="0" xr:uid="{21CEE3D3-988E-407F-B07E-96C8DF5E7237}">
      <text>
        <t>[Comentário encadeado]
Sua versão do Excel permite que você leia este comentário encadeado, no entanto, as edições serão removidas se o arquivo for aberto em uma versão mais recente do Excel. Saiba mais: https://go.microsoft.com/fwlink/?linkid=870924
Comentário:
    Alquiler 700€, 02 camas, sin fianza</t>
      </text>
    </comment>
    <comment ref="C253" authorId="56" shapeId="0" xr:uid="{154A50C9-3978-49DF-AF95-9456A3156E0D}">
      <text>
        <t>[Comentário encadeado]
Sua versão do Excel permite que você leia este comentário encadeado, no entanto, as edições serão removidas se o arquivo for aberto em uma versão mais recente do Excel. Saiba mais: https://go.microsoft.com/fwlink/?linkid=870924
Comentário:
    ALQUILER 1400€, FIANZA 1400€ , 06 CAMAS</t>
      </text>
    </comment>
    <comment ref="C254" authorId="57" shapeId="0" xr:uid="{078FC751-AA6B-4404-8CBB-25F6C76CBB48}">
      <text>
        <t>[Comentário encadeado]
Sua versão do Excel permite que você leia este comentário encadeado, no entanto, as edições serão removidas se o arquivo for aberto em uma versão mais recente do Excel. Saiba mais: https://go.microsoft.com/fwlink/?linkid=870924
Comentário:
    03 camas, 750€ alquiler, 750€ fianza</t>
      </text>
    </comment>
    <comment ref="C262" authorId="58" shapeId="0" xr:uid="{1CBF411B-7445-4B1A-851E-3B14DD48CBE2}">
      <text>
        <t>[Comentário encadeado]
Sua versão do Excel permite que você leia este comentário encadeado, no entanto, as edições serão removidas se o arquivo for aberto em uma versão mais recente do Excel. Saiba mais: https://go.microsoft.com/fwlink/?linkid=870924
Comentário:
    1200€ ALQUILER, 1200€ FIANZA, 03 CAMAS DOBLES</t>
      </text>
    </comment>
    <comment ref="C263" authorId="59" shapeId="0" xr:uid="{3D8CF36E-752B-4844-B724-0BCD23E93765}">
      <text>
        <t>[Comentário encadeado]
Sua versão do Excel permite que você leia este comentário encadeado, no entanto, as edições serão removidas se o arquivo for aberto em uma versão mais recente do Excel. Saiba mais: https://go.microsoft.com/fwlink/?linkid=870924
Comentário:
    04 camas, 1200€ alquiler, 1200€ fianza</t>
      </text>
    </comment>
    <comment ref="C269" authorId="60" shapeId="0" xr:uid="{3CBF6B15-079E-45A2-AC20-52F852845453}">
      <text>
        <t>[Comentário encadeado]
Sua versão do Excel permite que você leia este comentário encadeado, no entanto, as edições serão removidas se o arquivo for aberto em uma versão mais recente do Excel. Saiba mais: https://go.microsoft.com/fwlink/?linkid=870924
Comentário:
    1800€ alquiler, 400€ fianza, 100€ limpieza, 04 camas</t>
      </text>
    </comment>
    <comment ref="C273" authorId="61" shapeId="0" xr:uid="{564EFA12-A4B9-4CFF-B085-FE5E294DC1C4}">
      <text>
        <t>[Comentário encadeado]
Sua versão do Excel permite que você leia este comentário encadeado, no entanto, as edições serão removidas se o arquivo for aberto em uma versão mais recente do Excel. Saiba mais: https://go.microsoft.com/fwlink/?linkid=870924
Comentário:
    Alquiler 1500€+fianza 400€+limpieza 100€</t>
      </text>
    </comment>
    <comment ref="C279" authorId="62" shapeId="0" xr:uid="{4090AAA6-0E31-4330-AE74-1973D436EB20}">
      <text>
        <t>[Comentário encadeado]
Sua versão do Excel permite que você leia este comentário encadeado, no entanto, as edições serão removidas se o arquivo for aberto em uma versão mais recente do Excel. Saiba mais: https://go.microsoft.com/fwlink/?linkid=870924
Comentário:
    Alquiler 2.180€, 5camas, Fianza 600€</t>
      </text>
    </comment>
    <comment ref="C280" authorId="63" shapeId="0" xr:uid="{79C3E658-83EF-43F6-8BAC-1486F6471D64}">
      <text>
        <t>[Comentário encadeado]
Sua versão do Excel permite que você leia este comentário encadeado, no entanto, as edições serão removidas se o arquivo for aberto em uma versão mais recente do Excel. Saiba mais: https://go.microsoft.com/fwlink/?linkid=870924
Comentário:
    4 Camas, Alquiler 750€ Fianza 750€</t>
      </text>
    </comment>
    <comment ref="C283" authorId="64" shapeId="0" xr:uid="{DF737AB3-23AC-48A2-BBC2-8736C419F26C}">
      <text>
        <t>[Comentário encadeado]
Sua versão do Excel permite que você leia este comentário encadeado, no entanto, as edições serão removidas se o arquivo for aberto em uma versão mais recente do Excel. Saiba mais: https://go.microsoft.com/fwlink/?linkid=870924
Comentário:
    Alquiler 1.900€ ,4 Camas.</t>
      </text>
    </comment>
    <comment ref="C289" authorId="65" shapeId="0" xr:uid="{D960AD5B-EA8C-40C2-97F0-3C571699A675}">
      <text>
        <t>[Comentário encadeado]
Sua versão do Excel permite que você leia este comentário encadeado, no entanto, as edições serão removidas se o arquivo for aberto em uma versão mais recente do Excel. Saiba mais: https://go.microsoft.com/fwlink/?linkid=870924
Comentário:
    3 Camas----&gt;Estancia 1 mes Habitación doble Alquiler 500€+ fianza: 500€
Estancia 1 mes Habitación individual Alquiler 365€ + fianza: 365€</t>
      </text>
    </comment>
    <comment ref="C293" authorId="66" shapeId="0" xr:uid="{874AD342-A8A9-4038-A332-3DF3CD696A9B}">
      <text>
        <t>[Comentário encadeado]
Sua versão do Excel permite que você leia este comentário encadeado, no entanto, as edições serão removidas se o arquivo for aberto em uma versão mais recente do Excel. Saiba mais: https://go.microsoft.com/fwlink/?linkid=870924
Comentário:
    3 Camas Alquiler 1500€ Fianza 1500€</t>
      </text>
    </comment>
    <comment ref="C301" authorId="67" shapeId="0" xr:uid="{99554C9C-D35E-49A7-92BD-A41DF55321D3}">
      <text>
        <t>[Comentário encadeado]
Sua versão do Excel permite que você leia este comentário encadeado, no entanto, as edições serão removidas se o arquivo for aberto em uma versão mais recente do Excel. Saiba mais: https://go.microsoft.com/fwlink/?linkid=870924
Comentário:
    04 camas, 1500€ alquiler, 1500€ fianza</t>
      </text>
    </comment>
    <comment ref="C302" authorId="68" shapeId="0" xr:uid="{56B56926-DA78-40CE-9110-77C6BE370336}">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 ref="C303" authorId="69" shapeId="0" xr:uid="{835072F1-DE04-4AEC-9704-B6114D35FF78}">
      <text>
        <t xml:space="preserve">[Comentário encadeado]
Sua versão do Excel permite que você leia este comentário encadeado, no entanto, as edições serão removidas se o arquivo for aberto em uma versão mais recente do Excel. Saiba mais: https://go.microsoft.com/fwlink/?linkid=870924
Comentário:
    Alquiler 1500, 3 camas </t>
      </text>
    </comment>
  </commentList>
</comments>
</file>

<file path=xl/sharedStrings.xml><?xml version="1.0" encoding="utf-8"?>
<sst xmlns="http://schemas.openxmlformats.org/spreadsheetml/2006/main" count="82024" uniqueCount="10451">
  <si>
    <t>COD</t>
  </si>
  <si>
    <t>EMPRESA</t>
  </si>
  <si>
    <t>COLABORADOR</t>
  </si>
  <si>
    <t>PAIS</t>
  </si>
  <si>
    <t>LOCALIDAD</t>
  </si>
  <si>
    <t>DIRECCION HOSPEDAJE</t>
  </si>
  <si>
    <t>CONTACTO</t>
  </si>
  <si>
    <t>Nº PEDIDO</t>
  </si>
  <si>
    <t>CLIENTE</t>
  </si>
  <si>
    <t>FECHA INICIO</t>
  </si>
  <si>
    <t xml:space="preserve">FECHA FIN </t>
  </si>
  <si>
    <t>TOTAL DIAS PROYECTO</t>
  </si>
  <si>
    <t>COSTO TEMPORAL</t>
  </si>
  <si>
    <t xml:space="preserve">COSTO FIJO </t>
  </si>
  <si>
    <t>COSTO TOTAL ALOJAMIENTO</t>
  </si>
  <si>
    <t>COSTO COCHE</t>
  </si>
  <si>
    <t>COSTO TOTAL COCHE</t>
  </si>
  <si>
    <t>COSTO PROYECTO</t>
  </si>
  <si>
    <t>PLATAFORMA</t>
  </si>
  <si>
    <t>TIPO ALOJAMIENTO</t>
  </si>
  <si>
    <t>FECHA ENTRADA</t>
  </si>
  <si>
    <t>FECHA SALIDA</t>
  </si>
  <si>
    <t>FIANZA</t>
  </si>
  <si>
    <t>FECHA PAGO</t>
  </si>
  <si>
    <t>OBSERVACIONES</t>
  </si>
  <si>
    <t>ESTATUS</t>
  </si>
  <si>
    <t>LONGITUD</t>
  </si>
  <si>
    <t>LATITUD</t>
  </si>
  <si>
    <t>KOTRIK INDUSTRIAL LDA</t>
  </si>
  <si>
    <t>YOANNY ARQUIMIDES CHAVERRA FLOREZ</t>
  </si>
  <si>
    <t>ESPAÑA</t>
  </si>
  <si>
    <t>BARCELONA</t>
  </si>
  <si>
    <t>Carretera de Prats de Lluçanès, 179 Sabadell  2 Piso Puerta 4</t>
  </si>
  <si>
    <t>Victoria +34 608 89 24 19</t>
  </si>
  <si>
    <t>SCS STRUCTURAL</t>
  </si>
  <si>
    <t>FIJO</t>
  </si>
  <si>
    <t>FINALIZADO</t>
  </si>
  <si>
    <t>DIEGO LEWIS GOMEZ CARRILLO</t>
  </si>
  <si>
    <t>GUADALAJARA</t>
  </si>
  <si>
    <t>Hotel Azuqueca Avenida Alovera, 80 Azuqueca De Henares, España 19200</t>
  </si>
  <si>
    <t>+34 949 26 44 88</t>
  </si>
  <si>
    <t>2024/013</t>
  </si>
  <si>
    <t>MEN PROYECTOS Y MONTAJES INDUSTRIALES</t>
  </si>
  <si>
    <t>GOYA</t>
  </si>
  <si>
    <t>TEMPORAL</t>
  </si>
  <si>
    <t>ALVARO ESPINOSA ALCALDE</t>
  </si>
  <si>
    <t>Pensiòn San Marcos Avenida La Paz, 18 Alovera, España</t>
  </si>
  <si>
    <t>+34 660 03 06 09</t>
  </si>
  <si>
    <t>El 06/02 pasan a Alojamiento fijo de Benito en Guadalajara</t>
  </si>
  <si>
    <t>FREDERY DURANGO DELGADO</t>
  </si>
  <si>
    <t>Pensiòn Galicia Riera, 69, 08420 Canovelles, España</t>
  </si>
  <si>
    <t>+34 938 49 25 02</t>
  </si>
  <si>
    <t>ROVIRA</t>
  </si>
  <si>
    <t>31/01/ hasta  03/02/, luego se reserva 05/02/ hasta 01/03. Finaliza el 16/02 en esta obra/ Viaje a Francia</t>
  </si>
  <si>
    <t>CHARLY DURAN UPEGUI</t>
  </si>
  <si>
    <t>PAMPLONA</t>
  </si>
  <si>
    <t>2024/043</t>
  </si>
  <si>
    <t>CALDERERIA Y ENERGIA SOLAR S.L</t>
  </si>
  <si>
    <t>PROPIO</t>
  </si>
  <si>
    <t>Salida alojamiento propio 24/02</t>
  </si>
  <si>
    <t>BLADIMR MARTINEZ</t>
  </si>
  <si>
    <t>CIUDAD REAL</t>
  </si>
  <si>
    <t>Pensiòn Carlos III C. Carlos III, 82, 13700 Tomelloso, Ciudad Real</t>
  </si>
  <si>
    <t>+34 656 80 40 79</t>
  </si>
  <si>
    <t>PRAMAR</t>
  </si>
  <si>
    <t>Trabajara hasta el 26/02</t>
  </si>
  <si>
    <t>THIAGO ALEXANDREY GOMES DE FREITAS</t>
  </si>
  <si>
    <t>Jacinto Benavente 20 4°1° Mollet del Vallés</t>
  </si>
  <si>
    <t>Juan Carlos +34 638 58 33 79</t>
  </si>
  <si>
    <t>2024/056</t>
  </si>
  <si>
    <t>renuncio 04/03</t>
  </si>
  <si>
    <t>EL MOSTAFA EL KHARFAOUI</t>
  </si>
  <si>
    <t>BELGICA</t>
  </si>
  <si>
    <t>CHARLEROI</t>
  </si>
  <si>
    <t>Rue Puissant, 70, 6040, Charleroi, Belgique</t>
  </si>
  <si>
    <t>Italo Greco</t>
  </si>
  <si>
    <t>2024/012</t>
  </si>
  <si>
    <t>Finaliza Obra</t>
  </si>
  <si>
    <t>FRANCIA</t>
  </si>
  <si>
    <t>NANCY</t>
  </si>
  <si>
    <t>237, rue du Tinturon, 88600 Fays Francia</t>
  </si>
  <si>
    <t>Hairon +33 681237510</t>
  </si>
  <si>
    <t>2024/022</t>
  </si>
  <si>
    <t>SME</t>
  </si>
  <si>
    <t>Airbnb</t>
  </si>
  <si>
    <t>Obra finalizada por el cliente problemas con el material</t>
  </si>
  <si>
    <t>FRAY LUIS ESPITIA LOPEZ</t>
  </si>
  <si>
    <t>MADRID</t>
  </si>
  <si>
    <t>Avenida Aguas Vivas 33, Guadalajara, Bloco 3 andar 4.</t>
  </si>
  <si>
    <t>Benito +34 699 88 30 57</t>
  </si>
  <si>
    <t>Finaliza obra MEN</t>
  </si>
  <si>
    <t>AGUINALDO JOSÉ DA SILVA SOUZA</t>
  </si>
  <si>
    <t>ALMERÍA</t>
  </si>
  <si>
    <t>C. Isla Cristina, 9, 04720 Aguadulce, Almería</t>
  </si>
  <si>
    <t>+34 663 44 92 79</t>
  </si>
  <si>
    <t>2024/067</t>
  </si>
  <si>
    <t>INSTALACIONES Y SISTEMAS HIDRAULICOS</t>
  </si>
  <si>
    <t>Abandono el trabajo 14/03</t>
  </si>
  <si>
    <t>ALEJANDRO HERNANDEZ PIMIENTA</t>
  </si>
  <si>
    <t xml:space="preserve">ESPAÑA </t>
  </si>
  <si>
    <t>GRANADA</t>
  </si>
  <si>
    <t>C. Mariana Pineda, 6, 18670 Vélez de Benaudalla, Granada</t>
  </si>
  <si>
    <t>BORJA CASTRO MÁRQUEZ  +34 607 34 14 37</t>
  </si>
  <si>
    <t>R2025/003/079</t>
  </si>
  <si>
    <t>CESAR AUGUSTO MELENDEZ MECADO</t>
  </si>
  <si>
    <t>Planta primera y sita en calle Remiro de Goñi n.º 8, en Pamplona, Navarra</t>
  </si>
  <si>
    <t>Carlos +34 620 80 99 72</t>
  </si>
  <si>
    <t>C/Acella, 2-bis (frente a Clinica Universitaria),Se Pasan el 02/03/ Alojamiento Fijo Carlos/finaliza 22/03</t>
  </si>
  <si>
    <t>EDINSON MANUEL MARTINEZ SALCEDO</t>
  </si>
  <si>
    <t>LLEIDA</t>
  </si>
  <si>
    <t>SM Apartaments</t>
  </si>
  <si>
    <t>Daniel +34 636 340 341</t>
  </si>
  <si>
    <t>Obra finalizada 22/03 van para IMASA FRANCIA</t>
  </si>
  <si>
    <t>THIAGO DIAS MOURA</t>
  </si>
  <si>
    <t>PUERTOLLANO</t>
  </si>
  <si>
    <t>Casa Hidalgo II C/ Reloj. N 3 Alcolea de Calatrava Ciudad Real</t>
  </si>
  <si>
    <t>Marìa +34 619 34 19 69</t>
  </si>
  <si>
    <t>2024/047</t>
  </si>
  <si>
    <t>HGL</t>
  </si>
  <si>
    <t>No se presento</t>
  </si>
  <si>
    <t>ALBERT IGO SILVA LIMA DE CERQUEIRA</t>
  </si>
  <si>
    <t>C. Benjamín Palencia, 2, portal 3 piso 3 b, 28850 Torrejón de Ardoz, Madrid</t>
  </si>
  <si>
    <t>Erika +34 654 45 37 98</t>
  </si>
  <si>
    <t>2024/068</t>
  </si>
  <si>
    <t>CAYTA</t>
  </si>
  <si>
    <t>Abandono el trabajo el 27/03</t>
  </si>
  <si>
    <t>GERMAN LORZA TORRES</t>
  </si>
  <si>
    <t>SEVILLA</t>
  </si>
  <si>
    <t>Plaza Italia 1-4a Sevilla Dos Hermanas</t>
  </si>
  <si>
    <t>Maria +34 617008305</t>
  </si>
  <si>
    <t>2024/021</t>
  </si>
  <si>
    <t>JAIRO TROYANO LEUDO</t>
  </si>
  <si>
    <t>RSD ENGINEERING SOLUTIONS S.L</t>
  </si>
  <si>
    <t>Salida 26/01 alojamiento particular// Trabajo Finaliza 29/03</t>
  </si>
  <si>
    <t>FABIO NASCIMENTO DE JESUS</t>
  </si>
  <si>
    <t>DIOUF IBOU</t>
  </si>
  <si>
    <t>SARBAZAN</t>
  </si>
  <si>
    <t>Avenue des Thermes le bon accueil, Cazaubon, Occitanie 32150, France</t>
  </si>
  <si>
    <t>Patrik 0604111104</t>
  </si>
  <si>
    <t>2024/077</t>
  </si>
  <si>
    <t>EFP</t>
  </si>
  <si>
    <t>FRANCISCO EDUARDO HERRERA BARRAGAN</t>
  </si>
  <si>
    <t>Appart'City Nancy 10, rue Des Chaligny - 54000 Nancy</t>
  </si>
  <si>
    <t xml:space="preserve"> +33 (0)3 83 33 85 00</t>
  </si>
  <si>
    <t>2024/039</t>
  </si>
  <si>
    <t>B.S.A TUBERIA S.L</t>
  </si>
  <si>
    <t>Finalizan obra 30/03/</t>
  </si>
  <si>
    <t>FABIANIZ GIRADO MARTINEZ</t>
  </si>
  <si>
    <t>CELINIO LEONARDO DELL ARETI ASSIS</t>
  </si>
  <si>
    <t>FOFANA ABASS</t>
  </si>
  <si>
    <t>JORGE IVAN TEHERAN CAUSADO</t>
  </si>
  <si>
    <t>TUDELA</t>
  </si>
  <si>
    <t>INDUSTRIAS COTOMAC SLU</t>
  </si>
  <si>
    <t>Estaba en Pensiòn Las Hojas/ Sale Alojamiento privado a prtir del 24/02// Trabaja hasta 31/03</t>
  </si>
  <si>
    <t>CARLOS DELGADO QUIÑONES</t>
  </si>
  <si>
    <t>C. Ancha, 91, 5a, 13500 Puertollano, Ciudad Real</t>
  </si>
  <si>
    <t>+39 339 384 5545</t>
  </si>
  <si>
    <t>2024/049</t>
  </si>
  <si>
    <t>MIBERICO</t>
  </si>
  <si>
    <t>fincaiza en la obra 02/04</t>
  </si>
  <si>
    <t>FRANK ANTHONY QUIÑODES ALVARADO</t>
  </si>
  <si>
    <t>PORTUGAL</t>
  </si>
  <si>
    <t>SETÚBAL</t>
  </si>
  <si>
    <t>Praça do Brasil 16, 2900-285 Setúbal, Portugal</t>
  </si>
  <si>
    <t>2024/058</t>
  </si>
  <si>
    <t>DIZMAR</t>
  </si>
  <si>
    <t>Terminan en Setùbal 02/04. Se trasladan a Ourence 03/04</t>
  </si>
  <si>
    <t>EDGAR ESTEBAN RODAS GOMEZ</t>
  </si>
  <si>
    <t>Rua Evaristo Vaamonde 26, 1 de O Carbanillo Entrada 18/02 Sale para Situbal 12/03/Terminan en Setùbal 02/04. Se trasladan a Ourence 03/04</t>
  </si>
  <si>
    <t>FRANCISCO DE ASSIS</t>
  </si>
  <si>
    <t>FELIPE FRONCZAK</t>
  </si>
  <si>
    <t>Renuncio</t>
  </si>
  <si>
    <t>FABIANO CARNEIRO SILVA</t>
  </si>
  <si>
    <t>Calle Goya Número 17-2b Puertollano</t>
  </si>
  <si>
    <t>Miriam +34 622 21 13 56</t>
  </si>
  <si>
    <t>2024/070</t>
  </si>
  <si>
    <t>Culmina trabajo 02/04</t>
  </si>
  <si>
    <t>FABIO SANTANA DOS SANTOS</t>
  </si>
  <si>
    <t>Carrer Cardedeu, 4, 08521 Bellavista, Barcelona</t>
  </si>
  <si>
    <t>Pere peries +34647472390</t>
  </si>
  <si>
    <t>2024/051</t>
  </si>
  <si>
    <t>SBV</t>
  </si>
  <si>
    <t>Terminan el miercoles 03/04</t>
  </si>
  <si>
    <t>ANDERSON VITOR DE LIMA</t>
  </si>
  <si>
    <t>Culmina trabajo 03/04</t>
  </si>
  <si>
    <t>BRUNO DE OLIVEIRA GALVÃO DOS SANTOS</t>
  </si>
  <si>
    <t>Rue Sainte-Julienne 57, 4621 Fléron, Bélgica</t>
  </si>
  <si>
    <t>Liliane +32 495 64 43 44</t>
  </si>
  <si>
    <t>2024/044</t>
  </si>
  <si>
    <t>BATIA MOSA GROUP</t>
  </si>
  <si>
    <t>Trabajara hasat el 05/04</t>
  </si>
  <si>
    <t>FRANCISCO FABIO BRAGA VIANA</t>
  </si>
  <si>
    <t>Finaliza 15/04</t>
  </si>
  <si>
    <t>ADNEI BATISTA DOS SANTOS</t>
  </si>
  <si>
    <t>ALAYR PEREIRA DE SOUSA</t>
  </si>
  <si>
    <t>Carmen +34 605 20 47 77</t>
  </si>
  <si>
    <t>AULER SANTOS BAIENSE</t>
  </si>
  <si>
    <t>Calle Alamillo Bajo 4,3b Ciudad Real</t>
  </si>
  <si>
    <t>Rocìo +34 653 09 21 69</t>
  </si>
  <si>
    <t>SAMUEL ANTONIO DA SILVA</t>
  </si>
  <si>
    <t>C. de Tomelloso, 24, 13597 Puertollano, Ciudad Real</t>
  </si>
  <si>
    <t>David +34 677 11 04 85</t>
  </si>
  <si>
    <t>ANDERSON COUTINHO SIMOA MOTTA</t>
  </si>
  <si>
    <t>Carretera De Puertollano,16 Ciudad Real casa 2</t>
  </si>
  <si>
    <t>Dionicio +34 646 96 00 70</t>
  </si>
  <si>
    <t>WELLINGTON FERNANDES DE JESUS</t>
  </si>
  <si>
    <t>Finaliza 16/04</t>
  </si>
  <si>
    <t>SAMUEL LUIZ DE GODOY</t>
  </si>
  <si>
    <t>WANDERSON VAGNER SANTOS BAIENSE</t>
  </si>
  <si>
    <t>ERISVALDO AVELINO</t>
  </si>
  <si>
    <t>Calle Gran Capitán, 11, 13500 Portollano</t>
  </si>
  <si>
    <t>Zacarias +34 620 08 98 74</t>
  </si>
  <si>
    <t>CARLOS EDUARDO TEIXEIRA DA COSTA</t>
  </si>
  <si>
    <t>GIRONA</t>
  </si>
  <si>
    <t>Best Western Premier CMC Girona Carrer Barcelona, 112, 17003 Girona</t>
  </si>
  <si>
    <t>2024/097</t>
  </si>
  <si>
    <t>Trabaja hasta el 19/04/// lo reemplzara Josias Candelo</t>
  </si>
  <si>
    <t>ANDRES LEONARDO QUIROGA</t>
  </si>
  <si>
    <t>LIÈGE</t>
  </si>
  <si>
    <t>Sale alojamiento propio 20/04/2024</t>
  </si>
  <si>
    <t>2024/092</t>
  </si>
  <si>
    <t>Finaliza 21/04/2024</t>
  </si>
  <si>
    <t>WALTER GOMEZ ROJAS</t>
  </si>
  <si>
    <t>Finaliza 23/04</t>
  </si>
  <si>
    <t>OSCAR JACINTO PEÑA SANDOVAL</t>
  </si>
  <si>
    <t>CINTRUÉNIGO</t>
  </si>
  <si>
    <t>Calle Pamplona Nº 31, primera planta, Cintruenigo, Navarra.</t>
  </si>
  <si>
    <t>Gustavo +34 601 54 46 97</t>
  </si>
  <si>
    <t>EPER</t>
  </si>
  <si>
    <t>Sale del Alojamiento Beatriz 16/04</t>
  </si>
  <si>
    <t>JAVIER MELENDEZ ALVARADO</t>
  </si>
  <si>
    <t>letra D, escalera derecha, en planta quinta y sita Pl. los Olmos, 2, 31010 Barañáin, Navarra</t>
  </si>
  <si>
    <t>2024/031</t>
  </si>
  <si>
    <t>CALDERERIA LANDALUZ</t>
  </si>
  <si>
    <t>C/Acella, 2-bis (frente a Clinica Universitaria),Pasan 07/03 alojamiento fijo Carlos///Trabajo hasta 30/04</t>
  </si>
  <si>
    <t>EDUARDO ANTONIO ALVARADO CASTILLO</t>
  </si>
  <si>
    <t>BMG EQUIPAMENTOS, S.L</t>
  </si>
  <si>
    <t>letra D, en planta quinta y sita en calle Valtierra n.º 15, en Pamplona, Navarra</t>
  </si>
  <si>
    <t>PATRICIO ANTONIO CATRICHEO BELMAR</t>
  </si>
  <si>
    <t>Trabajo finaliza el 27/05</t>
  </si>
  <si>
    <t>ALEJANDRO GONZALO URIBE</t>
  </si>
  <si>
    <t>Rue des français nr 133 6020 dampremy Belgique</t>
  </si>
  <si>
    <t>Claudia +32 470 39 85 78</t>
  </si>
  <si>
    <t>Pasan Alojamiento fijo 17/05///Rue de Barvaux 7 7D, Bomal, Wallonie 6941, Bélgica</t>
  </si>
  <si>
    <t>JUAN ANDRES BALANTA DIAZ</t>
  </si>
  <si>
    <t>CANTABRIA</t>
  </si>
  <si>
    <t>Av. Menéndez Pelayo, 22, 39600 Maliaño, Cantabria</t>
  </si>
  <si>
    <t xml:space="preserve">Vanessa Da Silva   +34 631 62 20 09 </t>
  </si>
  <si>
    <t>2024/102</t>
  </si>
  <si>
    <t>IMASA</t>
  </si>
  <si>
    <t>DIEGO ALEJANDRO YANES FAJARDO</t>
  </si>
  <si>
    <t>ANDRES FERNANDO MEDINA VALENCIA</t>
  </si>
  <si>
    <t>VALDECI CARLOS DOS SANTOS</t>
  </si>
  <si>
    <t>VITORIA</t>
  </si>
  <si>
    <t>Calle Reys Navarra 19 4” puerta C Vitoria Gazteiz</t>
  </si>
  <si>
    <t>Patxo +34 607438872</t>
  </si>
  <si>
    <t>TUBAL INSTALACIONES, S.L</t>
  </si>
  <si>
    <t>Trabaja hasta el 10/05</t>
  </si>
  <si>
    <t>SALATIEL SILVA DE SANTANA</t>
  </si>
  <si>
    <t>ZARAGOZA</t>
  </si>
  <si>
    <t>C. la Portaza, 43, 50172 Alfajarín, Zaragoza</t>
  </si>
  <si>
    <t>Rosa +34 692 61 88 57</t>
  </si>
  <si>
    <t>2024/114</t>
  </si>
  <si>
    <t>MOMAR</t>
  </si>
  <si>
    <t>Trabajo hasta el dia 15/05</t>
  </si>
  <si>
    <t>ABDELHALIM LAMRIESS</t>
  </si>
  <si>
    <t>YUTZ</t>
  </si>
  <si>
    <t>1 rue des cerisiers, Homécourt, Grand Est 54310, Francia</t>
  </si>
  <si>
    <t>Xavier +33 6 85 93 15 45</t>
  </si>
  <si>
    <t>2024/120</t>
  </si>
  <si>
    <t>MMTCI AS</t>
  </si>
  <si>
    <t>Trabaja 17/05 despedido por el cliente//PREMIERE CLASSE THIONVILLE 1 rue des Carolingiens, 57970 BasseYutz</t>
  </si>
  <si>
    <t>WILMAN JOSE SANCHEZ ORTIZ</t>
  </si>
  <si>
    <t>2024/003</t>
  </si>
  <si>
    <t>finaliza el 07/10///Ingresan Alojamiento Gustavo 05/06</t>
  </si>
  <si>
    <t>GILBERTO ALMIR FERMIANO</t>
  </si>
  <si>
    <t>CALLE ORÉGANO, 14, 41500 ALCALÁ DE GUADAÍRA, SEVILLA, ESPAÑA</t>
  </si>
  <si>
    <t>Juan Manuel +34 646 09 42 45</t>
  </si>
  <si>
    <t>2024/103</t>
  </si>
  <si>
    <t>IDEMO</t>
  </si>
  <si>
    <t>Esta fianza pasa al pedido MIMESE 189///OBRA FINALIZA 24/05////Salen 23/04Hostal Los Dos Naranjos Autovía Sevilla-Málaga Km 37,4, 41600 El Arahal, España</t>
  </si>
  <si>
    <t>DIONERLIS PEREIRA CRUZ</t>
  </si>
  <si>
    <t>CARLOS ALBERTO CARTAGENA GONZALEZ</t>
  </si>
  <si>
    <t>ALEX SANDRO VALENGA</t>
  </si>
  <si>
    <t>NORBEY BALLESTEROS CRUZ</t>
  </si>
  <si>
    <t>2024/066</t>
  </si>
  <si>
    <t>Ingresa a obra de Alcala de Henares 20/05///Ingresa obra Zaragoza 29/04C. de Mosén Agustín Gericó, 6, San José, 50007 Zaragoza///Sale 27/04 C. Benjamín Palencia, 2, portal 3 piso 3 b, 28850 Torrejón de Ardoz, Madrid,(10/03/2024)</t>
  </si>
  <si>
    <t>YEFRY JAMIR DIAZ DIAZ</t>
  </si>
  <si>
    <t>RAVENNA</t>
  </si>
  <si>
    <t>60 Rue Marcel Cachin maison, Saint-Just-Sauvage, Grand Est 51260, Francia//9, Chemin rural dit fin de maizieres, Romilly-sur-Seine, Grand Est 10100, Francia</t>
  </si>
  <si>
    <t>Veronique +33 6 62 21 60 22</t>
  </si>
  <si>
    <t>2024/060</t>
  </si>
  <si>
    <t>TALLERES MERCIER</t>
  </si>
  <si>
    <t>Trabaja hasta el 29/05/2024</t>
  </si>
  <si>
    <t>ANTHONY YESID BEDOYA TAQUINAS</t>
  </si>
  <si>
    <t>Calle Castelladral nº 48  piso 2º puerta 4ª. Navas</t>
  </si>
  <si>
    <t>Anna +34 670 84 38 70</t>
  </si>
  <si>
    <t>2024/033</t>
  </si>
  <si>
    <t>STANIUM WORLDWISE</t>
  </si>
  <si>
    <t>Trabajara hasta el 31/05////Ingresa a Alojamiento fijo 15/03.Calle Coromina 2 1 2  08670 Balsareny Ryszard +34 667 34 44 05./Cambia de Alojamiento Piso Ana 06/04.</t>
  </si>
  <si>
    <t>EVER ROBINSON LOPEZ CASTRO</t>
  </si>
  <si>
    <t>ALCALA DE HENARES</t>
  </si>
  <si>
    <t>2024/054</t>
  </si>
  <si>
    <t>Pasa a Alojamiento propio 16/05</t>
  </si>
  <si>
    <t>EDWIN MIGUEL CASTILLO NIETO</t>
  </si>
  <si>
    <t>2024/061</t>
  </si>
  <si>
    <t>Finaliza 31/05</t>
  </si>
  <si>
    <t>LUIS ALBERTO DIAZ CLAVIJO</t>
  </si>
  <si>
    <t>finaliza 07/10//Ingresa Alojamiento Gustavo 09/07</t>
  </si>
  <si>
    <t>EDUARDO PINZON DITTA</t>
  </si>
  <si>
    <t>Avenida Pablo Rubio 15, Cintruniego</t>
  </si>
  <si>
    <t xml:space="preserve">Beatriz +34 669 30 88 07 </t>
  </si>
  <si>
    <t>Trabajo hasta el 17/05</t>
  </si>
  <si>
    <t>WALLACE SEGUNDO DOS SANTOS</t>
  </si>
  <si>
    <t>CONNANTRE</t>
  </si>
  <si>
    <t>abandono el trabajo 08/06</t>
  </si>
  <si>
    <t>FREDY RONDON CORDOBA</t>
  </si>
  <si>
    <t xml:space="preserve">MAX METAL </t>
  </si>
  <si>
    <t>Trabajo cancelado 13/06</t>
  </si>
  <si>
    <t>CARLOS ALBERTO CABEZAS IBARGUEN</t>
  </si>
  <si>
    <t>Place Georges Clemenceau, Fère-Champenoise, Grand Est</t>
  </si>
  <si>
    <t>Valentín em 0617563066</t>
  </si>
  <si>
    <t>trabaja hasta el 15/06</t>
  </si>
  <si>
    <t>trabaja 15/06///Reemplazo de Josias</t>
  </si>
  <si>
    <t>ALBERTO MARTINEZ ARRIETA</t>
  </si>
  <si>
    <t>Trabaja 15/06///A partir del 15/01 sale alojamiento por su cuenta</t>
  </si>
  <si>
    <t>OSCAR FERNANDO NEIRA LAMUS</t>
  </si>
  <si>
    <t>Trabaja 15/06///Sale de Alojamiento 16/05 Erika C. Benjamín Palencia, 2, portal 3 piso 3 b, 28850 Torrejón de Ardoz, Madrid</t>
  </si>
  <si>
    <t>JONATAN ROBINSON CEBALLOS PEREZ</t>
  </si>
  <si>
    <t>Trabaja 15/06///se traslada al alojamiento de Guadalajara el 27/05///C. Benjamín Palencia, 2, portal 3 piso 3 b, 28850 Torrejón de Ardoz, Madrid</t>
  </si>
  <si>
    <t>EZEQUIEL BISPO RIBEIRO</t>
  </si>
  <si>
    <t>2024/153</t>
  </si>
  <si>
    <t>MC&amp;S METAL CONCEPT &amp; STABILITE</t>
  </si>
  <si>
    <t>abandono trabajo 18/06</t>
  </si>
  <si>
    <t>Avenida dos Combatentes 25 3 andar, Sesimbra, Setúbal 2970, Portugal</t>
  </si>
  <si>
    <t>Sofia +351 912 553 790</t>
  </si>
  <si>
    <t>2024/130</t>
  </si>
  <si>
    <t>DIEGO JONATAN MALGIOGLIO</t>
  </si>
  <si>
    <t>WILL ALEXANDER CASTILLA</t>
  </si>
  <si>
    <t>Calle San Blas, Burlada, Navarra 31600, España</t>
  </si>
  <si>
    <t>Paula +34 679 25 15 56</t>
  </si>
  <si>
    <t>2024/196</t>
  </si>
  <si>
    <t>Desistio no se presento</t>
  </si>
  <si>
    <t>WANDERSON FERREIRA LEMES</t>
  </si>
  <si>
    <t>Carrer del Papa Pius XI, 20,  2° puerta 1  08208 Sabadell</t>
  </si>
  <si>
    <t>Francesc Majoral +34 610 27 75 73</t>
  </si>
  <si>
    <t>2024/178</t>
  </si>
  <si>
    <t>AZERO BUILDING S.L</t>
  </si>
  <si>
    <t>Finaliza 06/24</t>
  </si>
  <si>
    <t>EXEARIO ENRIQUE SANCHEZ</t>
  </si>
  <si>
    <t>2024/046</t>
  </si>
  <si>
    <t>Ultimo dia trabajo 25/06///C/Acella, 2-bis (frente a Clinica Universitaria)/Se Pasan el 02/03/ Alojamiento Fijo Carlos</t>
  </si>
  <si>
    <t>CAMILO ANDRES PINEDA MORENO</t>
  </si>
  <si>
    <t>Trabajo 25/06///C/Acella, 2-bis (frente a Clinica Universitaria)/Se Pasan el 02/03/ Alojamiento Fijo Carlos</t>
  </si>
  <si>
    <t>GEIDER PATIÑO QUIROGA</t>
  </si>
  <si>
    <t>renuncio esta hasta el 28/06//trabaja hasta 15/06</t>
  </si>
  <si>
    <t>2024/137</t>
  </si>
  <si>
    <t>AZERO METALISTRY S.L</t>
  </si>
  <si>
    <t>Trabaja 04/07//Reemplazo de Jhair</t>
  </si>
  <si>
    <t>ALBACETE</t>
  </si>
  <si>
    <t xml:space="preserve"> Av Rosalind Franklin 27 Bajo</t>
  </si>
  <si>
    <t>Isabel +34 608 99 72 60</t>
  </si>
  <si>
    <t>RU2025/007/R003/079</t>
  </si>
  <si>
    <t>ADRIANO DOS SANTOS DE CARVALHO</t>
  </si>
  <si>
    <t>Finaliza 09/07</t>
  </si>
  <si>
    <t>WELTON MARQUES PEREIRA</t>
  </si>
  <si>
    <t>2024/177</t>
  </si>
  <si>
    <t>Trabaja 09/07</t>
  </si>
  <si>
    <t>KOTRIK ROSAS, UNIPESSOAL LDA</t>
  </si>
  <si>
    <t>ERICK NILSON SANCHEZ BARRIOS</t>
  </si>
  <si>
    <t>CARTAGENA</t>
  </si>
  <si>
    <t>Calle Mariano Ruiz Funes, 12 1ºC, Murcia, Región de Murcia 30007</t>
  </si>
  <si>
    <t>Ana +34 659 01 23 80</t>
  </si>
  <si>
    <t>2024/216</t>
  </si>
  <si>
    <t>TALLERES MAXIMILIANO, S.L.</t>
  </si>
  <si>
    <t xml:space="preserve">No fue aprobado por el cliente
</t>
  </si>
  <si>
    <t>2024/189</t>
  </si>
  <si>
    <t>MIMESE</t>
  </si>
  <si>
    <t>Trabajas hasta el 10/07</t>
  </si>
  <si>
    <t>RONALD ALBERTO ORTEGA PATERNINA</t>
  </si>
  <si>
    <t>TARRAGONA</t>
  </si>
  <si>
    <t>Sergi Mensa Laguna +34 667 86 32 99</t>
  </si>
  <si>
    <t>SORIGUE</t>
  </si>
  <si>
    <t>Av. de Ramón y Cajal, 58, 43005 Tarragona</t>
  </si>
  <si>
    <t>CARLOS EDUARDO FORBES MARIN</t>
  </si>
  <si>
    <t>BACHILLER</t>
  </si>
  <si>
    <t>18-12-23</t>
  </si>
  <si>
    <t>sale alojamiento propio 31/05</t>
  </si>
  <si>
    <t>CARLOS URIEL CASTRO NIEVA</t>
  </si>
  <si>
    <t xml:space="preserve">Calle General Fernández d Rodas  Numero 1.  Segundo derecha
 </t>
  </si>
  <si>
    <t>Josefa+34 638 72 67 04</t>
  </si>
  <si>
    <t>2024/176</t>
  </si>
  <si>
    <t>SUP &amp; TRAPS S.L</t>
  </si>
  <si>
    <t>obra de Antequera finalizada 12/07//Pasan al piso fijo 13/06///Hostal Colon C. Infante Don Fernando, 31, 29200 Antequera, Málaga</t>
  </si>
  <si>
    <t>CRISTIAN JAVIER MOGOLLON ZAPATA</t>
  </si>
  <si>
    <t>Trabajo en Bachiller 12/07</t>
  </si>
  <si>
    <t>2024/170</t>
  </si>
  <si>
    <t>PIMAN S.L</t>
  </si>
  <si>
    <t>Finaliza 13/07</t>
  </si>
  <si>
    <t>SERGIO JULIO CHARRIS YUNEZ</t>
  </si>
  <si>
    <t>FELIPE DA SILVA LEAL</t>
  </si>
  <si>
    <t>FRANKLIN MUÑOZ RODRIGUEZ</t>
  </si>
  <si>
    <t>Hostal La Romànica Carrer de Fra Juníper Serra nº 20, 08204 Sabadell, España</t>
  </si>
  <si>
    <t>Booking</t>
  </si>
  <si>
    <t>Avenida Luxemburgo, s/n, 30353 Cartagena, España</t>
  </si>
  <si>
    <t>2024/198</t>
  </si>
  <si>
    <t>METALMECANICA HERJIMAR S.L</t>
  </si>
  <si>
    <t>No paso la prueba</t>
  </si>
  <si>
    <t>WILLIAM HERNAN JARAMILLO RUIZ</t>
  </si>
  <si>
    <t>Carrer del Bisbe Morgades, 31, 08500 Vic, Barcelona</t>
  </si>
  <si>
    <t>Fabian +34 642 03 84 26</t>
  </si>
  <si>
    <t>2024/244</t>
  </si>
  <si>
    <t>METALLIC SOLUTIONS</t>
  </si>
  <si>
    <t>Trabajan hasta el 16/07/el cliente solicito reemplazo</t>
  </si>
  <si>
    <t>JORGE ALBERTO CACHAYA CARDOSO</t>
  </si>
  <si>
    <t>VALENCIA</t>
  </si>
  <si>
    <t xml:space="preserve">calle Democracia Nº 49, Valencia </t>
  </si>
  <si>
    <t>Oriana +34 658 11 55 70</t>
  </si>
  <si>
    <t>2024/223</t>
  </si>
  <si>
    <t>TALLERES PEIDRO S.L</t>
  </si>
  <si>
    <t>ultimo dìa de trabajo 18/07///Pasan a alojamiento fijo desde el 18/07</t>
  </si>
  <si>
    <t>JUAN CARLOS MUNOZ</t>
  </si>
  <si>
    <t>VIZCAYA</t>
  </si>
  <si>
    <t>Hotel Montero Sestao Bilbao barrio elguero 33, 48510 Trapagaran, España</t>
  </si>
  <si>
    <t xml:space="preserve">+34 647 51 23 47 </t>
  </si>
  <si>
    <t>2024/050</t>
  </si>
  <si>
    <t>ARA TRANSFERENCIAS TERMICAS S.L</t>
  </si>
  <si>
    <t>Pasan a Alojamiento fijo/Despedido 29/02</t>
  </si>
  <si>
    <t>JARDEL RICARDO ROBINSON</t>
  </si>
  <si>
    <t>BILBAO</t>
  </si>
  <si>
    <t>Pensión La Burgalesa C/ Blas de Otero, 4 – 1.º (Cruces)
48903 Barakaldo, Vizcaya</t>
  </si>
  <si>
    <t>+34 944 903 382</t>
  </si>
  <si>
    <t>Pasan a Alojamiento fijo</t>
  </si>
  <si>
    <t>JEISON DAVID RONDON CARVAJAL</t>
  </si>
  <si>
    <t>2024/186</t>
  </si>
  <si>
    <t>Reemplazo de Ricardo Maya // alojamiento en tudela Calle Rúa 17 Bajo  INMA +34 616 95 39 86  FINAZA 350/ cambio a tauste 05/08// HOSTAL CASA PEPE  C. Sta. Clara, 7, BAJOS, 50660 Tauste, Zaragoza 976855832// Sale Al Fijo 28/08 Calle Navarra 92, Gallur, Zaragoza // SALE A ALOJAMIENTO PROPIO EL 22/09</t>
  </si>
  <si>
    <t>DANIEL SEGUNDO ALVIS MONTES</t>
  </si>
  <si>
    <t>Despedido por el cliente 22/07</t>
  </si>
  <si>
    <t>CARLOS ANDRES JIMENEZ OROZCO</t>
  </si>
  <si>
    <t>Despedido por el cliente 23/07</t>
  </si>
  <si>
    <t>BRAYAN ESTEBAN NIETO DIAZ</t>
  </si>
  <si>
    <t xml:space="preserve">Trabaja hasta el 23/07. </t>
  </si>
  <si>
    <t>DANIEL ADRIAN GARCIA QUINTERO</t>
  </si>
  <si>
    <t>ALCONERA</t>
  </si>
  <si>
    <t>HOSTAL ARIAS  Ctra. Badajoz Granada, 9, 06300 Zafra, Badajoz</t>
  </si>
  <si>
    <t>2024/200</t>
  </si>
  <si>
    <t>Finaliza 26/07/// HOTEL HACIENDA LA PLATA Vista, Calle Eugenio Hermoso, s/n, 06380 Jerez de los Caballeros, Badajoz</t>
  </si>
  <si>
    <t>BADAJOZ</t>
  </si>
  <si>
    <t>HOSTAL ARIAS 924554855</t>
  </si>
  <si>
    <t>2024/201</t>
  </si>
  <si>
    <t>ELIECER MARTINEZ MENDOZA</t>
  </si>
  <si>
    <t>Carrer de Collserola, 3,  3º 08207 Sabadell, Barcelona</t>
  </si>
  <si>
    <t>Albert Peguera +34 660339835</t>
  </si>
  <si>
    <t>2024/242</t>
  </si>
  <si>
    <t>S.A. DE MATERIALES AUXILIARES</t>
  </si>
  <si>
    <t xml:space="preserve">Pedido Cancelado por el cliente </t>
  </si>
  <si>
    <t>ALVARO DAZA MESA</t>
  </si>
  <si>
    <t>ALFONSO DE JESUS YANES CABARCAS</t>
  </si>
  <si>
    <t>ALEXANDER MANUEL LOPEZ ROJAS</t>
  </si>
  <si>
    <t>2024/218</t>
  </si>
  <si>
    <t>Trabaja 26/07///Reemplazo 189</t>
  </si>
  <si>
    <t>FREDY ALBERTO CORDOBA BEJARANO</t>
  </si>
  <si>
    <t>Pasa Alojamiento  propio 30/06///Cambia de Alojamiento Piso Ana 06/04.</t>
  </si>
  <si>
    <t>FREILY JOSE CARO VILORIA</t>
  </si>
  <si>
    <t>2024/111</t>
  </si>
  <si>
    <t>Trabajo 31/07</t>
  </si>
  <si>
    <t>DIEGO ANTON PEÑARANDA</t>
  </si>
  <si>
    <t>Salio de vacaciones agosto 2023 y no regreso</t>
  </si>
  <si>
    <t>ALEXIS HAIR GALEANO BOTELLO</t>
  </si>
  <si>
    <t>calle José Herráinz Caraballo, 8, portal 3, D-4 </t>
  </si>
  <si>
    <t>José Ramón Hurtado Mije 652407574</t>
  </si>
  <si>
    <t>Obra de Ecija 02/087//Pasan a piso fijo 23/06//Hostal Santiago Avenida Del Genil 18 41400 Écija España</t>
  </si>
  <si>
    <t>JOSE ELMES PASTES DOMINGUEZ</t>
  </si>
  <si>
    <t>Trabajo 17/05/</t>
  </si>
  <si>
    <t>2024/006</t>
  </si>
  <si>
    <t>FRANKLIN RAFAEL RODRIGUEZ BELTRAN</t>
  </si>
  <si>
    <t>OURENSE</t>
  </si>
  <si>
    <t xml:space="preserve">Rua ADOLFO OTERO LANDEIRO # 1 </t>
  </si>
  <si>
    <t>JOSE CARBALLINO+34 613 20 86 32</t>
  </si>
  <si>
    <t>2024/233</t>
  </si>
  <si>
    <t>1.  Rúa República de Arxentina, 21, 32500 O Carballiño, Ourense  hostal 988271202// 2. alojamiento FIJO HABITACIÓN 31/07/2024 /Finalizan trabajo 09/08</t>
  </si>
  <si>
    <t>FLINMAN ALEXANDER RAMIREZ TOBA</t>
  </si>
  <si>
    <t xml:space="preserve">O Carballiño, C/Circunvalaciòn del parque, Nº1- Piso 5 G </t>
  </si>
  <si>
    <t>Rebeca +34 666 45 55 12</t>
  </si>
  <si>
    <t>2024/100</t>
  </si>
  <si>
    <t>Finalizan trabajo 09/08</t>
  </si>
  <si>
    <t>DIEGO ARMANDO SANCHEZ OSPITIA</t>
  </si>
  <si>
    <t>Carrer del Rat-Penat, 6, 46940 Collado, València</t>
  </si>
  <si>
    <t>Pedro +34 647 71 99 66</t>
  </si>
  <si>
    <t>2024/123</t>
  </si>
  <si>
    <t>COIME SOLUCIONES EN METAL</t>
  </si>
  <si>
    <t>JOSE ALBERTO MOROSTOQUE MARULANDA</t>
  </si>
  <si>
    <t>2024/011</t>
  </si>
  <si>
    <t>Trabaja hasta 31/05///Sale Alojamiento Beatriz 16/04</t>
  </si>
  <si>
    <t>C/ QUINTANAR Nº 12 de la ciudad de CASASIMARRO</t>
  </si>
  <si>
    <t>Ursula +34 664 19 55 81</t>
  </si>
  <si>
    <r>
      <t>CARTA DE RESICION HASTA:</t>
    </r>
    <r>
      <rPr>
        <b/>
        <sz val="11"/>
        <color theme="1"/>
        <rFont val="Calibri"/>
        <family val="2"/>
        <scheme val="minor"/>
      </rPr>
      <t xml:space="preserve"> 28/05/2025</t>
    </r>
  </si>
  <si>
    <t>ANDERSON SOARES DA SILVA</t>
  </si>
  <si>
    <t xml:space="preserve"> +34 620 03 23 44</t>
  </si>
  <si>
    <t>2024/225</t>
  </si>
  <si>
    <t>abandono el trabajo 15/08///Cliente cubre alojamiento</t>
  </si>
  <si>
    <t>MARIO ALEXANDER PEÑALOZA GARCIA</t>
  </si>
  <si>
    <t>SALAMANCA</t>
  </si>
  <si>
    <t>Calle transportistas Nº 7-11, Segundo , Salamanca</t>
  </si>
  <si>
    <t xml:space="preserve">Inmonova +34624219342 </t>
  </si>
  <si>
    <t>2024/158</t>
  </si>
  <si>
    <t>PREMETALIC</t>
  </si>
  <si>
    <t>Calle Estrecha, 2, Santa Marta de Tormes, Castilla y León 37900, España actualmente 06/11//Se pasan alojamiento fijo 17/06///Carretera de Madrid, KM.4, 37900 Santa Marta de Tormes, España//C. Gustavo Doré, 20 - 24, bloque 1 portal 2, bajo B, 37007 Salamanca salida 15/08/2024///CAMBIO DE ALOJAMIENTO PROPIO</t>
  </si>
  <si>
    <t>CRISTIAN DAVID SOTO ÂNGULO</t>
  </si>
  <si>
    <t>Finaliza 16/08</t>
  </si>
  <si>
    <t>EDWARD IGNACIO DIAZ AVILA</t>
  </si>
  <si>
    <t xml:space="preserve">Carrer de Rovira i Virgili, 74, 08130 Santa Perpètua de Mogoda, Barcelona </t>
  </si>
  <si>
    <t>Raquel +34 633 24 62 31</t>
  </si>
  <si>
    <t>2024/203</t>
  </si>
  <si>
    <t>INFLUI SA</t>
  </si>
  <si>
    <t>DIEGO FERNEY GONZALEZ CEBALLOS</t>
  </si>
  <si>
    <t>Cam. de Bárboles, 65, 50011 Zaragoza</t>
  </si>
  <si>
    <t>JOAQUINA +34 628 66 51 40</t>
  </si>
  <si>
    <t>2024/217</t>
  </si>
  <si>
    <r>
      <rPr>
        <sz val="11"/>
        <color rgb="FFFF0000"/>
        <rFont val="Calibri"/>
        <family val="2"/>
      </rPr>
      <t>renuncia 21/11///Alojamiento hasta 21/10</t>
    </r>
    <r>
      <rPr>
        <sz val="11"/>
        <color rgb="FF305496"/>
        <rFont val="Calibri"/>
        <family val="2"/>
      </rPr>
      <t xml:space="preserve"> cambia de alojamiento 03-10///C. la Portaza, 43, 50172 Alfajarín, Zaragoza// Calle grupo Alferez Rojas 41BD Zaragoza.Josè Daniel Roman +34 645 86 07 02 cambio de alojamiento 21/10</t>
    </r>
  </si>
  <si>
    <t>JUAN ISRAEL BARONA NARVAEZ</t>
  </si>
  <si>
    <t>FANOR ENRIQUE BAHOS OVIEDO</t>
  </si>
  <si>
    <t>HOTEL ALFINDEN - Barrionuevo, 45, 50171 la puebla de alfinde, España</t>
  </si>
  <si>
    <t>2024/293</t>
  </si>
  <si>
    <t>Santa Maria de Miralles, provincia de Barcelona, Carretera C-37 (de Igualada a Valls) km 49, masia Mas Vilà</t>
  </si>
  <si>
    <t>Marta +34 669 66 84 10</t>
  </si>
  <si>
    <t>2024/232</t>
  </si>
  <si>
    <t>GRUPO LOAFA S.L</t>
  </si>
  <si>
    <t xml:space="preserve">TEMPORAL </t>
  </si>
  <si>
    <t>1.Hostal Sant JoanCarrer Sant Joan, 12, 08760 Martorell, Barcelona 2.// Pasan a Fijo 06/08 hasta 31/08// Finaliza 22/08</t>
  </si>
  <si>
    <t>Ripollet Pau Casals 47</t>
  </si>
  <si>
    <t>Pilar +34 620 40 15 04</t>
  </si>
  <si>
    <t>2024/287</t>
  </si>
  <si>
    <t>Finaliza 22/08</t>
  </si>
  <si>
    <t>BRAYAN ESTIVEN SANCHEZ LINARES</t>
  </si>
  <si>
    <t>CHRISTIAN ALBERTO VALENCIA LOBON</t>
  </si>
  <si>
    <t>2024/023</t>
  </si>
  <si>
    <t>Finaliza 23/08/2024</t>
  </si>
  <si>
    <t>JAEN</t>
  </si>
  <si>
    <t>Carrer Divino Maestro Nº 1 Bj Drcha de Marmolejo</t>
  </si>
  <si>
    <t>Loli Rios +34 646 11 80 22</t>
  </si>
  <si>
    <t>2024/294</t>
  </si>
  <si>
    <t>COIMPUL SL</t>
  </si>
  <si>
    <t>Finaliza 23/08</t>
  </si>
  <si>
    <t xml:space="preserve">carretera Utrera-Sevilla, 4 </t>
  </si>
  <si>
    <t xml:space="preserve"> 674 61 33 04  Nicanor</t>
  </si>
  <si>
    <t>2024/272</t>
  </si>
  <si>
    <t xml:space="preserve">IDEMO </t>
  </si>
  <si>
    <t>trabaja 23/08///1. Habitación con costo 250 euros y fianza 150 PASAN ALOJAMIENTO FIJO 02-08</t>
  </si>
  <si>
    <t>SERGIO ANDRES LANDINES BARRIOS</t>
  </si>
  <si>
    <t>Cliente cubre alojamiento / Finaliza T 23/08</t>
  </si>
  <si>
    <t>CAMILO ANDRES RAMIREZ BAHAMON</t>
  </si>
  <si>
    <t>FERNANDO VIVEROS PASTES</t>
  </si>
  <si>
    <t>Calle de Remiro de Goñi 38, Ermitagaña-Mendebaldea-Etxabakoitz, Pamplona - Iruña</t>
  </si>
  <si>
    <t>2024/099</t>
  </si>
  <si>
    <t>1. 4/14/2024 Cam. de Bárboles, 65, 50011 Zaragoza// 2. Cambian a Pamplona  C/abajita bidea Nº 5 31171 Ororbia Navarra //3. Cambian a alojamiento fijo 01/08/2024 / Finalizan T 24/08</t>
  </si>
  <si>
    <t>CRISTHIAN MOLINA AGUILAR</t>
  </si>
  <si>
    <t>Plaça d'Andalusia, 7, 17007 Germans Sàbat, Girona</t>
  </si>
  <si>
    <t>Casilda Cruz 972 209 159</t>
  </si>
  <si>
    <t>2024/078</t>
  </si>
  <si>
    <t>AILLAMENTS 98 S.L</t>
  </si>
  <si>
    <t>//Reemplzo de Jhon Eduard</t>
  </si>
  <si>
    <t>Pje. de Napoleón, 6, Gracia, 08023 Barcelona  6, 2n 1</t>
  </si>
  <si>
    <t xml:space="preserve">Casa Influisa </t>
  </si>
  <si>
    <t>2024/264</t>
  </si>
  <si>
    <t>1. Ctra. de Terrassa, 114, 08206 Sabadell, Barcelona //02/08/2024 cambian Al. FIJO casa Influisa</t>
  </si>
  <si>
    <t>SANTIAGO AGUILAR HURTADO</t>
  </si>
  <si>
    <t>Avenida Reyes Catolicos, 50 , 28802 Alcala de Henares</t>
  </si>
  <si>
    <t xml:space="preserve">Mercedes Alkila +34 648 02 59 39 </t>
  </si>
  <si>
    <t>2024/246</t>
  </si>
  <si>
    <t>GRUPO FERRERAS SL</t>
  </si>
  <si>
    <t>Finaliza 28/08//Pasan Alojamiento fijo 19/07//C. Cánovas del Castillo, 4, 28807 Alcalá de Henares</t>
  </si>
  <si>
    <t>TOMELLOSO</t>
  </si>
  <si>
    <t xml:space="preserve">Avenida Cristo Rey, número 25 3b. De Villarrubia de los Ojos. </t>
  </si>
  <si>
    <t>Angel +34 667 44 27 98</t>
  </si>
  <si>
    <t>2024/126</t>
  </si>
  <si>
    <t>TUBYTANK GRUP</t>
  </si>
  <si>
    <t>Fecha fin prevista 27/08.Pasan 16/05 alojamiento fijo///Calle de Doña Crisanta, 30, 13700 Tomelloso, Ciudad Real</t>
  </si>
  <si>
    <t>2024/182</t>
  </si>
  <si>
    <t>Fecha fin prevista 27/08.REEMPLAZO LUIS RIASCOS</t>
  </si>
  <si>
    <t>EGIDIO JOSÉ FARIA ALVAREZ</t>
  </si>
  <si>
    <t>Calle Castillo 3B, 01194 Vitoria Gazteiz, Alava</t>
  </si>
  <si>
    <t>METALICAS LEKUNBERRI</t>
  </si>
  <si>
    <t>Finaliza 29/08 //Salen de Alojamiento Alicia Calle Busturbi Kalea, 7 7, Gamarra Nagusia 21/03</t>
  </si>
  <si>
    <t>ALEX DAVID GOMEZ VILLADA</t>
  </si>
  <si>
    <t>Calle Menorca 3 Aguadulce</t>
  </si>
  <si>
    <t>2024/016</t>
  </si>
  <si>
    <t>BLADIMIR BARRAZA DIAZ</t>
  </si>
  <si>
    <t>2024/251</t>
  </si>
  <si>
    <t>TABAR INSTALACIONES INDUSTRIALES DE FLUIDOS S.L</t>
  </si>
  <si>
    <t>Finaliza Trab 30/08</t>
  </si>
  <si>
    <t>STIBENSON ARDILA ACUÑA</t>
  </si>
  <si>
    <t>2024/253</t>
  </si>
  <si>
    <t>renuncio trabaja 16/08//22/07/2024 Calle Barquillo, 1, Salamanca, Castilla y León 37008  Ana María +34 607 02 91 03// pasan a piso fijo</t>
  </si>
  <si>
    <t>JOELSON RODRIGUES</t>
  </si>
  <si>
    <t>Calle Anaitasuna nº 18 – 4º derecha, de cruces-Barakaldo (C.P 48903)</t>
  </si>
  <si>
    <t>Marìa Aranzazu +34 652 75 39 43</t>
  </si>
  <si>
    <t>OBRA BARALKALDO//Trabaja hasta el 19/04///Fianza devuelta enviada a Thalia y verificada</t>
  </si>
  <si>
    <t>BRAULIO JOSE ORTIZ LLORENTE</t>
  </si>
  <si>
    <t>LEGAZPI</t>
  </si>
  <si>
    <t>Pensión Zelai Legazpi Kalea, 5, 20700 Zumarraga, Gipuzkoa</t>
  </si>
  <si>
    <t>Antonia Pensión Zelai  +34 670 26 49 22</t>
  </si>
  <si>
    <t>2024/262</t>
  </si>
  <si>
    <t>CALDERERIA HAIZEBERRI S.L</t>
  </si>
  <si>
    <t>Finalizan 30/08//1. Alojamiento temporal  3-08// cambio alojamiento fijo 07-08</t>
  </si>
  <si>
    <t>ALEX MENDOZA ALCAZAR</t>
  </si>
  <si>
    <t>LUMINOUS ALLEY LDA</t>
  </si>
  <si>
    <t>BRAYAN STEVEN BARRIOS MIÑO</t>
  </si>
  <si>
    <t>BURGOS</t>
  </si>
  <si>
    <t>Calle Fidel Garcia 9 5º D Miranda de Ebro, Burgos 09200</t>
  </si>
  <si>
    <t>Mark Reynolds Tel 661822690</t>
  </si>
  <si>
    <t>2024/219</t>
  </si>
  <si>
    <t>DOHERCO MIRANDA SL</t>
  </si>
  <si>
    <t xml:space="preserve">FIJO </t>
  </si>
  <si>
    <t>Finaliza 30/08//1.HOSTAL CASTILLA  C. Arenal 110 bajo. Mesón La Parrilla. Cp09200. Miranda de Ebro. Burgos.// pasan a Al fijo 13/08/2024</t>
  </si>
  <si>
    <t>GLECIO DOS SANTOS ANDRADE</t>
  </si>
  <si>
    <t xml:space="preserve">Juan Carlos Sale 29/02 despedido por le cliente/Glecio ingresa 05/03//Fianza devuelta enviada a Thalía 25/04 para verificación
</t>
  </si>
  <si>
    <t>CARLOS AUGUSTO SOLANO GRISALES</t>
  </si>
  <si>
    <t>Posadas España Avenida Luxemburgo, s/n, 30353 Cartagena, España</t>
  </si>
  <si>
    <t>2024/199</t>
  </si>
  <si>
    <t xml:space="preserve">FINALIZADO </t>
  </si>
  <si>
    <t>JOSE LUIS PETRO GENES</t>
  </si>
  <si>
    <t>INMOBILIARIA IMPERIAL  +34 667 86 32 99</t>
  </si>
  <si>
    <t xml:space="preserve">C/ de Sant Miquel, 12 1-1 , 43004 Tarragona </t>
  </si>
  <si>
    <t xml:space="preserve">OBRA BARALKALDO///Fianza devuelta enviada a Thalía 25/04 para verificación
</t>
  </si>
  <si>
    <t>JOSE JAVIER CASTRO OBANDO</t>
  </si>
  <si>
    <t>VALLADOLID</t>
  </si>
  <si>
    <t>Calle Trafalgar Valladolid</t>
  </si>
  <si>
    <t>Angela +34 666 01 56 84</t>
  </si>
  <si>
    <t>2024/257</t>
  </si>
  <si>
    <t>JAVIAN MANTENIMIENTO Y SERVICIOS, S.L_x000D_</t>
  </si>
  <si>
    <t>Finalizan 30/08</t>
  </si>
  <si>
    <t>IVAN DARIO GARCIA CHIQUIZA</t>
  </si>
  <si>
    <t>ANSONY RODRIGUEZ PORRAS</t>
  </si>
  <si>
    <t>Calle torrent de Rosanes número 5</t>
  </si>
  <si>
    <t>Adrian  +34 634 50 25 84</t>
  </si>
  <si>
    <t>2024/288</t>
  </si>
  <si>
    <t>KISEKI</t>
  </si>
  <si>
    <t>Finalliza 30/08 1.Alojamiento hasta 03/09</t>
  </si>
  <si>
    <t>JAVIER VARGAS</t>
  </si>
  <si>
    <t>1.Hostal Sant JoanCarrer Sant Joan, 12, 08760 Martorell, Barcelona 2.// Pasan a Fijo 06/08 hasta 31/08</t>
  </si>
  <si>
    <t>FABIO NELSON ROSERO GONZALEZ</t>
  </si>
  <si>
    <t>2024/093</t>
  </si>
  <si>
    <r>
      <rPr>
        <sz val="11"/>
        <color rgb="FFFF0000"/>
        <rFont val="Calibri"/>
        <family val="2"/>
      </rPr>
      <t>Trabajo 06/09</t>
    </r>
    <r>
      <rPr>
        <sz val="11"/>
        <color rgb="FF305496"/>
        <rFont val="Calibri"/>
        <family val="2"/>
      </rPr>
      <t>///31/05ALOJAMIENTO PROPIO//Salen del hotel Aviaciòn 17/04 a hospedaje fijo</t>
    </r>
  </si>
  <si>
    <t>JAIRO JOSE DOMINGUEZ BARRERA</t>
  </si>
  <si>
    <t>2024/173</t>
  </si>
  <si>
    <t xml:space="preserve">PROPIO </t>
  </si>
  <si>
    <t>JAILSON FERREIRA BARBOSA</t>
  </si>
  <si>
    <t>CORDOBA</t>
  </si>
  <si>
    <t>Calle Torrijos N 42 Fuente Palmera CP 14120 Cordoba</t>
  </si>
  <si>
    <t>Dolores +34 696 56 85 51</t>
  </si>
  <si>
    <t>2024/376</t>
  </si>
  <si>
    <t>Hotel Restaurante Carlos III,Paseo Blas Infante, 0, 14120 Fuente Palmera, Córdoba</t>
  </si>
  <si>
    <t>DUFRAY ANDRES ARDILA BELTRAN</t>
  </si>
  <si>
    <t>2024/150</t>
  </si>
  <si>
    <t>Finaliza el 06-09</t>
  </si>
  <si>
    <t>SERGIO ANDRES LUENGAS CASTELLANOS</t>
  </si>
  <si>
    <t>Trabaja hasta el 09/08</t>
  </si>
  <si>
    <t>YAFARD LOPEZ PASTES</t>
  </si>
  <si>
    <t>Calle Nicaragua piso 6 apto 6</t>
  </si>
  <si>
    <t xml:space="preserve">Mari Mendez +34 665 35 03 56 </t>
  </si>
  <si>
    <t>2024/042</t>
  </si>
  <si>
    <t>Finaliza 09/09/2024</t>
  </si>
  <si>
    <t>WILMAN CEBALLOS SINISTERRA</t>
  </si>
  <si>
    <t>ALAVA</t>
  </si>
  <si>
    <t>2024/312</t>
  </si>
  <si>
    <t xml:space="preserve">HORMECAL S.L </t>
  </si>
  <si>
    <t>Calle Larrakotorre, 52-piso 3 Dcha</t>
  </si>
  <si>
    <t>IGOR FOLIO SAN MARTIN +34 669 19 30 09</t>
  </si>
  <si>
    <t>2024/231</t>
  </si>
  <si>
    <t>MEVASA</t>
  </si>
  <si>
    <t>Finaliza trabajo 30/08//1.PENSION MIRIVILLA C. Juan de Garay, 35, Ibaiondo, 48003 Bilbao, Vizcaya 7/14/2024  944105710 //2. Pasan Alojamiento fijo Salida 30/08/2024 12 am</t>
  </si>
  <si>
    <t>SERGIO DANIEL GOMEZ ARAMBURO</t>
  </si>
  <si>
    <t>AUBAGNE</t>
  </si>
  <si>
    <t>9 Place de Guin, Aubagne, Provenza-Alpes-Costa Azul 13400, Francia</t>
  </si>
  <si>
    <t>Julien +33 6 49 52 96 79</t>
  </si>
  <si>
    <t>2024/159</t>
  </si>
  <si>
    <t>ADUS METAL</t>
  </si>
  <si>
    <t>Finaliza el 13/09</t>
  </si>
  <si>
    <t>GILSON PINHEIRO DOS SANTOS</t>
  </si>
  <si>
    <t>Finalizo contrato 13/03</t>
  </si>
  <si>
    <t>ADRIAN RICARDO BAQUERO GONZALEZ</t>
  </si>
  <si>
    <t xml:space="preserve">C/ Torrehermosa, 41016 Sevilla </t>
  </si>
  <si>
    <t>Sebastián  646983609</t>
  </si>
  <si>
    <t>2024/213</t>
  </si>
  <si>
    <t>Finaliza 13/09</t>
  </si>
  <si>
    <t>ALICANTE</t>
  </si>
  <si>
    <t>Carrer Andalucia, 2, Novelda, Comunidad Valenciana 03660, España</t>
  </si>
  <si>
    <t>Yaneris +34 622 46 00 58</t>
  </si>
  <si>
    <t>vuelven a alojmaiento de Nadja el 20/08/25 ya esta pago</t>
  </si>
  <si>
    <t>FRANCISCO JAVIER RAMIREZ RODRIGUEZ</t>
  </si>
  <si>
    <t>C. de Mosén Agustín Gericó, 6, San José, 50007 Zaragoza</t>
  </si>
  <si>
    <t>Olga +34 659 54 48 33</t>
  </si>
  <si>
    <t>2024/184</t>
  </si>
  <si>
    <t>ALEXANDER DE LA OSSA VEGA</t>
  </si>
  <si>
    <r>
      <rPr>
        <sz val="11"/>
        <color rgb="FFFF0000"/>
        <rFont val="Calibri"/>
        <family val="2"/>
      </rPr>
      <t>Finaliza 13/09//1</t>
    </r>
    <r>
      <rPr>
        <sz val="11"/>
        <color rgb="FF305496"/>
        <rFont val="Calibri"/>
        <family val="2"/>
      </rPr>
      <t>. CALLE ORÉGANO, 14, 41500 ALCALÁ DE GUADAÍRA, SEVILLA, ESPAÑA  Juan Manuel +34 646 09 42 45//</t>
    </r>
  </si>
  <si>
    <t>ORLANDO JANNCARLO ACEVEDO GUZMAN</t>
  </si>
  <si>
    <t>Calle José Miguel de Barandiaran Kalea, 1, Ibaiondo, 48006 Bilbao, Vizcaya</t>
  </si>
  <si>
    <t>Cristina Inmobiliaria Infinity Bilbao +34 602 25 46 84</t>
  </si>
  <si>
    <t>2025/320</t>
  </si>
  <si>
    <t>BEKOTER INSTALACIONES INDUSTRIALES, SL</t>
  </si>
  <si>
    <t>Fecha de Cierre: 14/08/2026 Motivo: Finalización del trabajo//actividad prevista hasta el dia 30 octubre.//La previsión mínima de trabajo es hasta el 27/05, con posibilidad de prórroga para más tiempo.//Reemplazo Orlando janncarlo FECHA DE INICIO: 05/06/2025</t>
  </si>
  <si>
    <t>EN CURSO</t>
  </si>
  <si>
    <t>ALVARO ANDRES QUIÑONES ZUÑIGA</t>
  </si>
  <si>
    <t>2024/133</t>
  </si>
  <si>
    <t>ANDRES GUILLERMO VALENCIO PARRA</t>
  </si>
  <si>
    <t>Calle Virgen de la cabeza, 25 Tudela</t>
  </si>
  <si>
    <t xml:space="preserve">Carolina +34 632 20 51 91 </t>
  </si>
  <si>
    <t xml:space="preserve">15/09 Pasa a obra a  Leòn </t>
  </si>
  <si>
    <t>2024/259</t>
  </si>
  <si>
    <t>1.Pension las hojas P Pamplona, Navarra 2,3B</t>
  </si>
  <si>
    <t>WISEOWE, LDA</t>
  </si>
  <si>
    <t>Calle Concepciòn 10 de la villa de Fuente Palmera Cordoba</t>
  </si>
  <si>
    <t>Alberto 667 71 21 17</t>
  </si>
  <si>
    <t>REUBICACION 1 MES// ESTABA EN ALICANTE VOLVIO A FUENTE PALMERA</t>
  </si>
  <si>
    <t>Carrer del Forn, 28 Sabadell, Barcelona</t>
  </si>
  <si>
    <t>CASA KOTRIK</t>
  </si>
  <si>
    <t>2024/307</t>
  </si>
  <si>
    <t>CALDERERIA MONDRAC S.L</t>
  </si>
  <si>
    <t>/1. Jacinto Benavente 20 4°1° Mollet del Vallés Juan Carlos +34 638 58 33 79 /7</t>
  </si>
  <si>
    <t>CÀCERES</t>
  </si>
  <si>
    <t xml:space="preserve"> Travesía de la plaza n5. 10990 Estorninos Alcántara, Cáceres.</t>
  </si>
  <si>
    <t>M. Trinidad Blanco Cava +34 649 41 31 16</t>
  </si>
  <si>
    <t>2024/273</t>
  </si>
  <si>
    <r>
      <rPr>
        <sz val="11"/>
        <color rgb="FFFF0000"/>
        <rFont val="Calibri"/>
        <family val="2"/>
      </rPr>
      <t>Finaliza 18/09</t>
    </r>
    <r>
      <rPr>
        <sz val="11"/>
        <color rgb="FF305496"/>
        <rFont val="Calibri"/>
        <family val="2"/>
      </rPr>
      <t xml:space="preserve"> 1. habitación con costo 335// C. Antonio Moreno, 9, 10513 Cedillo, Cáceres Golli +34 638815593 //2. Cambia alojamiento en alcantara 01/09</t>
    </r>
  </si>
  <si>
    <t>SERGIO ALONSO ANDRADE CASTRILLON</t>
  </si>
  <si>
    <t>2024/260</t>
  </si>
  <si>
    <t>INDUSTRIAS BALMES S.A</t>
  </si>
  <si>
    <t>SAMUEL DIAZ MORA</t>
  </si>
  <si>
    <t>2024/229</t>
  </si>
  <si>
    <r>
      <rPr>
        <sz val="11"/>
        <color rgb="FFFF0000"/>
        <rFont val="Calibri"/>
        <family val="2"/>
      </rPr>
      <t xml:space="preserve">Finaliza 16/9 </t>
    </r>
    <r>
      <rPr>
        <sz val="11"/>
        <color rgb="FF305496"/>
        <rFont val="Calibri"/>
        <family val="2"/>
      </rPr>
      <t>1. Hotel Checkin Montserrat Carrer Querol, 08293 Collbató, Barcelona// AL fijo 02/08/2024</t>
    </r>
  </si>
  <si>
    <t>DORIAN DE JESUS OSPINO MARTINEZ</t>
  </si>
  <si>
    <t>2024/296</t>
  </si>
  <si>
    <t>Finaliza 20/09</t>
  </si>
  <si>
    <t>TAUSTE</t>
  </si>
  <si>
    <t>Calle Navarra 92, Gallur, Zaragoza</t>
  </si>
  <si>
    <t>Cristina  662177636</t>
  </si>
  <si>
    <t>2026/RU093</t>
  </si>
  <si>
    <t xml:space="preserve">A partir del 01/06/2026 pasan alojamiento por cuenta del cliente//1 MES </t>
  </si>
  <si>
    <t>DIVINSO JOSE LARA PERALTA</t>
  </si>
  <si>
    <r>
      <rPr>
        <sz val="11"/>
        <color rgb="FFFF0000"/>
        <rFont val="Calibri"/>
        <family val="2"/>
      </rPr>
      <t>APROX 20/09/</t>
    </r>
    <r>
      <rPr>
        <sz val="11"/>
        <color rgb="FF305496"/>
        <rFont val="Calibri"/>
        <family val="2"/>
      </rPr>
      <t>//Pasan a alojamiento fijo desde el 18/07</t>
    </r>
  </si>
  <si>
    <t xml:space="preserve">FRANCIA </t>
  </si>
  <si>
    <t>ETREPAGNY</t>
  </si>
  <si>
    <t>42 Rte du Camp Caillot, 76220 Beauvoir-en-Lyons, France</t>
  </si>
  <si>
    <t xml:space="preserve">Vanessa  +33 6 08 30 33 42 </t>
  </si>
  <si>
    <t>2024/313</t>
  </si>
  <si>
    <t>ALEJANDRO JOSE BORJA MANGA</t>
  </si>
  <si>
    <t>ADRIAN BERNAL GOMEZ</t>
  </si>
  <si>
    <t>RUBEN DARIO ZAPATA QUINTERO</t>
  </si>
  <si>
    <t>ITALIA</t>
  </si>
  <si>
    <t>L'indirizzo è via Mario Montanari 54, quarto piano con ascensore</t>
  </si>
  <si>
    <t>federica +39 339 384 5545</t>
  </si>
  <si>
    <t>2024/221</t>
  </si>
  <si>
    <t>CAM IMPIANTI INDUSTRIALI SRL</t>
  </si>
  <si>
    <t>Pasan Alojaminto fijo 12/07///Via Fornace,  Riolo Terme, Emilia-Romaña 48025, Italia</t>
  </si>
  <si>
    <t>FREDY MANCERA URIBE</t>
  </si>
  <si>
    <r>
      <rPr>
        <sz val="11"/>
        <color rgb="FF305496"/>
        <rFont val="Calibri"/>
        <family val="2"/>
      </rPr>
      <t>1.Hostal Sant JoanCarrer Sant Joan, 12, 08</t>
    </r>
    <r>
      <rPr>
        <sz val="11"/>
        <color rgb="FF203764"/>
        <rFont val="Calibri"/>
        <family val="2"/>
      </rPr>
      <t>760 Martorell, Barcelona 2.// Pasan a Fijo 06/08 hasta 31/08Santa Maria de Miralles, provincia de Barcelona, Carretera C-37 (de Igualada a Valls) km 49, masia Mas Vilà//3. CAMBIAN ALOJAMIENTO FIJO 29/08 //c/HORTES 30, HABITACIONES  2, y 3, PB en  ESPARRAGUERA (08292)</t>
    </r>
  </si>
  <si>
    <t>WILSON RODRIGUEZ AGUDELO</t>
  </si>
  <si>
    <t>Carrer dels Filadors,18, 2° 3 puerta 08208 Sabadell</t>
  </si>
  <si>
    <t>Ruslana +34 667 91 16 16</t>
  </si>
  <si>
    <t>2024/180</t>
  </si>
  <si>
    <t>Finaliza 23/09</t>
  </si>
  <si>
    <t>EDINSON LOZANO TELLEZ</t>
  </si>
  <si>
    <t>Finaliza 22/09 //1. Hotel Checkin Montserrat Carrer Querol, 08293 Collbató, Barcelona// AL fijo 02/08/2024</t>
  </si>
  <si>
    <t>GEICKOLL DAVID PUERTO TORRES</t>
  </si>
  <si>
    <t>JOSE ENRIQUE BURITICA BURITICA</t>
  </si>
  <si>
    <t>Carrer d'Isaac Albéniz, 2-10, 43481 Platja de la Pineda, Tarragona</t>
  </si>
  <si>
    <t>Jacob +34 699 80 92 03</t>
  </si>
  <si>
    <t>2024/029</t>
  </si>
  <si>
    <t>No se pudo realizar documentaciòn no aprobada</t>
  </si>
  <si>
    <t>DEIVIS DAVID CASTRO MARTINEZ</t>
  </si>
  <si>
    <t>Calle Busturbi Kalea, 7 7, Gamarra Nagusia, País Vasco</t>
  </si>
  <si>
    <t>Alicia +34 656 43 18 05</t>
  </si>
  <si>
    <t>2024/125</t>
  </si>
  <si>
    <t>INDUSTRIAS KALDEA</t>
  </si>
  <si>
    <t>Ingresa habitaciones Alicia 3/07</t>
  </si>
  <si>
    <t>JUAN GUILLERMO ACOSTA LENIS</t>
  </si>
  <si>
    <t>Calle Panama , 9, Vitoria Gasteiz</t>
  </si>
  <si>
    <t xml:space="preserve">Erika +34 641 70 40 26 </t>
  </si>
  <si>
    <t>FIN 26/09</t>
  </si>
  <si>
    <t>2024/306</t>
  </si>
  <si>
    <t xml:space="preserve">Finaliza aprx 27/09 // Se quedarian en el salón </t>
  </si>
  <si>
    <t>PABLO ALEXIS PUERTO CRUZ</t>
  </si>
  <si>
    <t>Reubicacion alicante</t>
  </si>
  <si>
    <t>DIEGO ARMANDO COLLAZOS NOVOA</t>
  </si>
  <si>
    <t>Calle Escultor Esteve 8, Játiva, Comunidad Valenciana 46800, España</t>
  </si>
  <si>
    <t>2024/318</t>
  </si>
  <si>
    <t>TECEMU</t>
  </si>
  <si>
    <t>ELTON JHONNY GONGORA BELTRAN</t>
  </si>
  <si>
    <t>2024/326</t>
  </si>
  <si>
    <t>ZAMORA</t>
  </si>
  <si>
    <t xml:space="preserve">Guindal Garrafal, Toro, piso 6 3C </t>
  </si>
  <si>
    <t>Roberto Ramos +34 662 92 65 65</t>
  </si>
  <si>
    <t>2024/300</t>
  </si>
  <si>
    <t>TALLERES TAPIA</t>
  </si>
  <si>
    <t>Finalizan 27/09 // Alojamiento hasta el 15-10</t>
  </si>
  <si>
    <t>FRANCISCO JAVIER BENITEZ RESTREPO</t>
  </si>
  <si>
    <t>Dirección Cale Cid 17-15 Alaquàs</t>
  </si>
  <si>
    <t>Victor + 34 623198581</t>
  </si>
  <si>
    <t>2024/238</t>
  </si>
  <si>
    <t>MATEU INOXWELDING S.L</t>
  </si>
  <si>
    <t>Finaliza 27/09// 1. Hotel Aviación Calle Juan de la Cierva, 17, 46940 Manises, Valencia 961538603 // 2. Al fijo 14/08/2024</t>
  </si>
  <si>
    <t>RYAN ARAUJO DE MELO</t>
  </si>
  <si>
    <t>C/ Cervantes nº 7, Albox, Almeria</t>
  </si>
  <si>
    <t>Rosa +34 626 17 80 51</t>
  </si>
  <si>
    <t>2024/212</t>
  </si>
  <si>
    <t>ALVINOX</t>
  </si>
  <si>
    <r>
      <rPr>
        <sz val="11"/>
        <color rgb="FFFF0000"/>
        <rFont val="Calibri"/>
        <family val="2"/>
      </rPr>
      <t>trabaja hasta el 27/09</t>
    </r>
    <r>
      <rPr>
        <sz val="11"/>
        <color theme="1"/>
        <rFont val="Calibri"/>
        <family val="2"/>
      </rPr>
      <t>///Pasan a lojamiento fijo 16/07</t>
    </r>
  </si>
  <si>
    <t>FOUED BOULOUEDNINE</t>
  </si>
  <si>
    <t>1320 Avenue du Houga, Mont-de-Marsan, Nouvelle-Aquitaine 40000, Francia</t>
  </si>
  <si>
    <t>Patricia +33 6 78 65 49 22</t>
  </si>
  <si>
    <t>FINALIZA EL VIERNES 27/09//RETOMAN LABORES 29/06///3 Rue de la Tannerie, Mont-de-Marsan, Nouvelle-Aquitaine 40000, France Françoise +33 6 86 92 01 33</t>
  </si>
  <si>
    <t>ABDELFAHAM OUBOUZID</t>
  </si>
  <si>
    <t>WILINGTON ORDOÑEZ REYES</t>
  </si>
  <si>
    <t xml:space="preserve">Salen de Alojamiento Alicia Calle Busturbi Kalea, 7 7, Gamarra Nagusia 21/03 //Calle Castillo 3B, 01194 Vitoria Gazteiz, Alava </t>
  </si>
  <si>
    <t>JOSE LUIS GONZALEZ ALVAREZ</t>
  </si>
  <si>
    <t>Sale alojamiento propio 13/08///Calle Castillo 3B, 01194 Vitoria Gazteiz, Alava//Salen de Alojamiento Alicia Calle Busturbi Kalea, 7 7, Gamarra Nagusia 21/03</t>
  </si>
  <si>
    <t>WELLINGTON GERONIMO DANTAS</t>
  </si>
  <si>
    <r>
      <rPr>
        <sz val="11"/>
        <color rgb="FF305496"/>
        <rFont val="Calibri"/>
        <family val="2"/>
      </rPr>
      <t xml:space="preserve">Pasan a lojamiento fijo 16/07 // </t>
    </r>
    <r>
      <rPr>
        <sz val="11"/>
        <color rgb="FFFF0000"/>
        <rFont val="Calibri"/>
        <family val="2"/>
      </rPr>
      <t>Fin aprox 28/09</t>
    </r>
  </si>
  <si>
    <t>ALEX JAVIER LEONEL OTAVO</t>
  </si>
  <si>
    <t>Apartamentos Puerta del Sur C. El Compás, s/n, 41014 Bellavista, Sevilla</t>
  </si>
  <si>
    <t>Antonio +34 954693808</t>
  </si>
  <si>
    <t>2025/583</t>
  </si>
  <si>
    <t>Prevision 31 de Diciembre de 2025</t>
  </si>
  <si>
    <r>
      <rPr>
        <sz val="11"/>
        <color rgb="FFFF0000"/>
        <rFont val="Calibri"/>
        <family val="2"/>
      </rPr>
      <t>fecha fin aprox 30/09/</t>
    </r>
    <r>
      <rPr>
        <sz val="11"/>
        <color rgb="FF305496"/>
        <rFont val="Calibri"/>
        <family val="2"/>
      </rPr>
      <t>/Reemplazo de Isaac</t>
    </r>
  </si>
  <si>
    <t>YUNNIS ARROYO CASTILLO</t>
  </si>
  <si>
    <t>LA RIOJA</t>
  </si>
  <si>
    <t>PENSIÓN IRATI Avenida de Aldeanueva Nº 23   26550 – Rincón de Soto LA RIOJA</t>
  </si>
  <si>
    <t>634469640 - 652261740</t>
  </si>
  <si>
    <t>2024/282</t>
  </si>
  <si>
    <r>
      <rPr>
        <sz val="11"/>
        <color rgb="FFFF0000"/>
        <rFont val="Calibri"/>
        <family val="2"/>
      </rPr>
      <t xml:space="preserve">Finalizado 10/09 </t>
    </r>
    <r>
      <rPr>
        <sz val="11"/>
        <color rgb="FF305496"/>
        <rFont val="Calibri"/>
        <family val="2"/>
      </rPr>
      <t>//1. Se ha pagado desde el 13/08/2024 hasta 30/09/2024 ( costo mes 300)</t>
    </r>
  </si>
  <si>
    <t>ALEJANDRO QUINCENO ROA</t>
  </si>
  <si>
    <t>sant Josep de calassan, 11</t>
  </si>
  <si>
    <t>IRLANDA +34 658 82 46 63</t>
  </si>
  <si>
    <t>2024/197</t>
  </si>
  <si>
    <t>FERIMET S.L</t>
  </si>
  <si>
    <t>Sale alojamiento propio 09/07///Pension Galicia C/ Riera, 69, 08420 Canovelles, Barcelona</t>
  </si>
  <si>
    <t>Finaliza trabajo 30/08//1.PENSION MIRIVILLA C. Juan de Garay, 35, Ibaiondo, 48003 Bilbao, Vizcaya 14/7/2024  944105710 //2. Pasan Alojamiento fijo Salida 30/08/2024 12 am</t>
  </si>
  <si>
    <t>DAVID ALBERTO INSAURRALDE</t>
  </si>
  <si>
    <t>Finaliza 05/10</t>
  </si>
  <si>
    <t>Carretera los santos de maimona</t>
  </si>
  <si>
    <t xml:space="preserve"> Sra Marga +34 672 26 89 60</t>
  </si>
  <si>
    <t>2024/345</t>
  </si>
  <si>
    <t>ALORA SLU</t>
  </si>
  <si>
    <t>YOVANY ALEXANDER GIL GARCIA</t>
  </si>
  <si>
    <t>finaliza el 07/10</t>
  </si>
  <si>
    <t>XAVIER DE LOS ANGELES FERIA ALMANZA</t>
  </si>
  <si>
    <t>Despedido por faltar sin justificaciòn///Sale del alojamiento de Beatriz a propio 15/06</t>
  </si>
  <si>
    <t>SERGIO TUNJANO GOMEZ</t>
  </si>
  <si>
    <t>Posadas De España Cartagena Avenida Luxemburgo, s/n, 30353 Cartagena, España</t>
  </si>
  <si>
    <t>2024/334</t>
  </si>
  <si>
    <t>RUBEN DARIO MORENO VARGAS</t>
  </si>
  <si>
    <t>no se presento</t>
  </si>
  <si>
    <t>JORGE ARMANDO HURTADO RODRIGUEZ</t>
  </si>
  <si>
    <t>WALTER HURTADO MINA</t>
  </si>
  <si>
    <t>HUELVA</t>
  </si>
  <si>
    <t>CALLE CARTAYA Nº15, 3ºB (HUELVA)</t>
  </si>
  <si>
    <t xml:space="preserve"> M.ª DEL PILAR MÁRQUEZ CONTRERAS 669 368 376</t>
  </si>
  <si>
    <t>2024/185</t>
  </si>
  <si>
    <t>MONTAJES CALPRISA SL</t>
  </si>
  <si>
    <t>Ingresan a piso fijo 01/07///Hotel Carabela Santa María Av.de Los Conquistadores, 21130 Mazagón, España // CALLE DOCTOR ASUERO 11/ 13 2B HUELVA Miguel Rodriguez +34 649 47 50 15// cambian alojamiento 01/09</t>
  </si>
  <si>
    <t>FERNANDO SAUCEDO ALVEAR</t>
  </si>
  <si>
    <t>2024/160</t>
  </si>
  <si>
    <t>BRAYAN JAIR SALAZAR ORTEGA</t>
  </si>
  <si>
    <t>CLAUDIO MARTIN DIAZ MANJARREZ</t>
  </si>
  <si>
    <t xml:space="preserve">CALLE RASCON 52, 3 PLTA HUELVA </t>
  </si>
  <si>
    <t>Cristina Martinez 609675521</t>
  </si>
  <si>
    <t>2024/281</t>
  </si>
  <si>
    <t>2024/247</t>
  </si>
  <si>
    <r>
      <rPr>
        <sz val="11"/>
        <color rgb="FFFF0000"/>
        <rFont val="Calibri"/>
        <family val="2"/>
      </rPr>
      <t>Finaliza 14/10</t>
    </r>
    <r>
      <rPr>
        <sz val="11"/>
        <color rgb="FF305496"/>
        <rFont val="Calibri"/>
        <family val="2"/>
      </rPr>
      <t>//ALOJAMIENTO PROPIO</t>
    </r>
  </si>
  <si>
    <t>ALVARO JAVIER NARVAEZ MUÑOZ</t>
  </si>
  <si>
    <t>Carrer de les Escoles, 3, 17132 Foixà, Girona</t>
  </si>
  <si>
    <t>Eduard +34 607 54 96 72</t>
  </si>
  <si>
    <t>2024/317</t>
  </si>
  <si>
    <t>Finaliza 15/10</t>
  </si>
  <si>
    <t>JHON ALEJANDRO GONZALEZ PRADO</t>
  </si>
  <si>
    <t>BENJAMIN HERRERA MANOTAS</t>
  </si>
  <si>
    <t>ELGOIBAR</t>
  </si>
  <si>
    <t>2024/008</t>
  </si>
  <si>
    <t>EGONDO S.L</t>
  </si>
  <si>
    <t>trabajo 17/10//Alojamiento propio 01/10</t>
  </si>
  <si>
    <t>JAVIER ALEGRIA ARBOLEDA</t>
  </si>
  <si>
    <t>HONNY YEIMER COMBINDO DALANTA</t>
  </si>
  <si>
    <t>INSTUIF S.L</t>
  </si>
  <si>
    <t>TRABAJA HASTA EL 06/11</t>
  </si>
  <si>
    <t>FLABIO JOSE ASCUNTAR CASTILLO</t>
  </si>
  <si>
    <t>2024/081</t>
  </si>
  <si>
    <t>Finaliza 21/10/2024</t>
  </si>
  <si>
    <t>Avenida Carlos III, 109, 14100 La Carlota, España</t>
  </si>
  <si>
    <t>2024/335</t>
  </si>
  <si>
    <r>
      <rPr>
        <sz val="11"/>
        <color rgb="FFFF0000"/>
        <rFont val="Calibri"/>
        <family val="2"/>
      </rPr>
      <t>Finaliza 21/10</t>
    </r>
    <r>
      <rPr>
        <sz val="11"/>
        <color rgb="FF305496"/>
        <rFont val="Calibri"/>
        <family val="2"/>
      </rPr>
      <t>. ALOJAMIENTO SUMINISTRADO POR EL CLIENTE</t>
    </r>
  </si>
  <si>
    <t>JUAN HUMBERTO ROSALES BAZAN</t>
  </si>
  <si>
    <t>Daniel +34 636 340 340</t>
  </si>
  <si>
    <t>IVAN DARIO CASTRO BLANCO</t>
  </si>
  <si>
    <t>Daniel +34 636 340 339</t>
  </si>
  <si>
    <t>2024/038</t>
  </si>
  <si>
    <t>Finaliza el 02/04/</t>
  </si>
  <si>
    <t xml:space="preserve">EDUARDO PINZON DITTA </t>
  </si>
  <si>
    <t>Lleida C/ARIBAU nº2 7º</t>
  </si>
  <si>
    <t>Jaume +34 637 42 46 07</t>
  </si>
  <si>
    <t>2024/171</t>
  </si>
  <si>
    <t>Traslado a Lleida 18/08//Rda. de San Antonio María Claret, 28, 17002 Girona//Pasan alojamiento fijo 5/07///Hotel Tall de Conill Plaça Angel Guimerà, 11, 08786 Capellades, Barcelona///Santa Maria de Miralles, provincia de Barcelona, Carretera C-37 (de Igualada a Valls) km 49, masia Mas Vilà Marta +34 669 66 84 10</t>
  </si>
  <si>
    <t>2024/381</t>
  </si>
  <si>
    <t>EMIRO ALEJANDRO HENRIQUEZ ROMERO</t>
  </si>
  <si>
    <t>Finaliza 24/10 Pasan Alojamiento fijo 20/07//C. Cánovas del Castillo, 4, 28807 Alcalá de Henares</t>
  </si>
  <si>
    <r>
      <rPr>
        <sz val="11"/>
        <color rgb="FFFF0000"/>
        <rFont val="Calibri"/>
        <family val="2"/>
      </rPr>
      <t>Finalizan 25/10</t>
    </r>
    <r>
      <rPr>
        <sz val="11"/>
        <color rgb="FF305496"/>
        <rFont val="Calibri"/>
        <family val="2"/>
      </rPr>
      <t xml:space="preserve"> 1.HOSTAL CASA PEPE  C. Sta. Clara, 7, BAJOS, 50660 Tauste, Zaragoza//</t>
    </r>
  </si>
  <si>
    <t>EDWIN DAYAN BENITEZ RIOS</t>
  </si>
  <si>
    <t>Calle de Carretera de Castellet nº 61. Navas</t>
  </si>
  <si>
    <t>2024/168</t>
  </si>
  <si>
    <t>EMYPRO S.A</t>
  </si>
  <si>
    <r>
      <rPr>
        <sz val="11"/>
        <color rgb="FFFF0000"/>
        <rFont val="Calibri"/>
        <family val="2"/>
      </rPr>
      <t>trabaja 25/10/</t>
    </r>
    <r>
      <rPr>
        <sz val="11"/>
        <color rgb="FF305496"/>
        <rFont val="Calibri"/>
        <family val="2"/>
      </rPr>
      <t xml:space="preserve">//Pasan Alojamiento fijo 28/06///Ca La Gràcia  5 Plaça la Plaça, 08650 Cabrianas, España / </t>
    </r>
    <r>
      <rPr>
        <sz val="11"/>
        <color rgb="FFFF0000"/>
        <rFont val="Calibri"/>
        <family val="2"/>
      </rPr>
      <t>FECHA FIN APROX 20/12</t>
    </r>
  </si>
  <si>
    <t>TIRZO GONZALEZ BOLIVAR</t>
  </si>
  <si>
    <t>2024/383</t>
  </si>
  <si>
    <t>TRATERGA</t>
  </si>
  <si>
    <t>Finaliza 31/10  Calle Aiala, 2, 01470 Amurrio, Álava // Teléfono 945890452</t>
  </si>
  <si>
    <t>LUIS ALFONSO RIASCOS TORRES</t>
  </si>
  <si>
    <t>Calle Sant Gregori 89 Girona  7° 1" puerta</t>
  </si>
  <si>
    <t xml:space="preserve">Alla Maksimova +34 682 80 68 71 </t>
  </si>
  <si>
    <t xml:space="preserve">ATTSU TECNIVAP, S.A </t>
  </si>
  <si>
    <t>Trabaja hasta el 26/04</t>
  </si>
  <si>
    <t>JORMAN ELCIN AGUDELO PEREZ</t>
  </si>
  <si>
    <r>
      <rPr>
        <sz val="11"/>
        <color rgb="FFFF0000"/>
        <rFont val="Calibri"/>
        <family val="2"/>
      </rPr>
      <t>Trabaja hasta el 19/11/</t>
    </r>
    <r>
      <rPr>
        <sz val="11"/>
        <color rgb="FF305496"/>
        <rFont val="Calibri"/>
        <family val="2"/>
      </rPr>
      <t>//Pasan Alojaminto fijo 12/07///Via Fornace,  Riolo Terme, Emilia-Romaña 48025, Italia</t>
    </r>
  </si>
  <si>
    <t>JORGE ENRIQUE GUERRA VEGA</t>
  </si>
  <si>
    <t>LUIS MANUEL MEJIA AYALA</t>
  </si>
  <si>
    <t>Piazza Marmirolo, 15, 48024 Massa Lombarda RA, Italy</t>
  </si>
  <si>
    <t>Silvana +39 329 378 2982</t>
  </si>
  <si>
    <t>finaliza 20/09//Pasan Alojaminto fijo 12/07///Via Fornace,  Riolo Terme, Emilia-Romaña 48025, Italia</t>
  </si>
  <si>
    <t>FAIBER EDUARDO URRIAGO CARDENAS</t>
  </si>
  <si>
    <t>Residence Villa Marina Viale della Pace, 465, 48122 Ravenna</t>
  </si>
  <si>
    <t>2024/249</t>
  </si>
  <si>
    <t>ALVARO SOLARTE VARON</t>
  </si>
  <si>
    <t>2024/091</t>
  </si>
  <si>
    <r>
      <rPr>
        <sz val="11"/>
        <color rgb="FF305496"/>
        <rFont val="Calibri"/>
        <family val="2"/>
      </rPr>
      <t>Se cambian al piso el 31/05/</t>
    </r>
    <r>
      <rPr>
        <sz val="11"/>
        <color rgb="FFFF0000"/>
        <rFont val="Calibri"/>
        <family val="2"/>
      </rPr>
      <t>Finaliza t 31/10</t>
    </r>
  </si>
  <si>
    <t>JAIDER ASTAIZA TOSE</t>
  </si>
  <si>
    <r>
      <rPr>
        <sz val="11"/>
        <color rgb="FF305496"/>
        <rFont val="Calibri"/>
        <family val="2"/>
      </rPr>
      <t xml:space="preserve">Se cambian al piso el 31/05 / </t>
    </r>
    <r>
      <rPr>
        <sz val="11"/>
        <color rgb="FFFF0000"/>
        <rFont val="Calibri"/>
        <family val="2"/>
      </rPr>
      <t>Finaliza t 31/10</t>
    </r>
  </si>
  <si>
    <t>CH TORREJON 10694 Villa Real de San Carlos</t>
  </si>
  <si>
    <t>Pilar Jorrillo  +34 678330598</t>
  </si>
  <si>
    <t>2024/292</t>
  </si>
  <si>
    <t>DIEGO ARMANDO RAMIREZ ACEVEDO</t>
  </si>
  <si>
    <t>AMOREBIETA-ECHANO</t>
  </si>
  <si>
    <t>Calle Kurutziaga, 2 Durango-Vizcaya</t>
  </si>
  <si>
    <t>Maia +34 626 43 08 81</t>
  </si>
  <si>
    <t>2024/228</t>
  </si>
  <si>
    <t>COMECARAN S.A</t>
  </si>
  <si>
    <t>Finaliza 31/10</t>
  </si>
  <si>
    <t>FILIBERTO GAITAN PEREZ</t>
  </si>
  <si>
    <t>Calle Hernan Nº 2 Esc 1º Planta 3º Puerta A en Alcala de Henares</t>
  </si>
  <si>
    <t>Mercedes Alkila +34 648 02 59 39</t>
  </si>
  <si>
    <t>2024/276</t>
  </si>
  <si>
    <t xml:space="preserve"> CAYTA </t>
  </si>
  <si>
    <t>CONTINUA///Finaliza 20/09 (serà reemplazado)</t>
  </si>
  <si>
    <t>CHRISTIAN ANDRES IZQUIERDO LOURIDO</t>
  </si>
  <si>
    <t>2024/305</t>
  </si>
  <si>
    <t>Pensión San Marcos Av. Virgen de la Paz, 18, 19208 Alovera, Guadalajara</t>
  </si>
  <si>
    <t>SERGIO ANDRES LOBO BARRIOS</t>
  </si>
  <si>
    <t>BRAYAN ANDRES CAMACHO BURGOS</t>
  </si>
  <si>
    <t>Santurtzi-Bizkaia, C/ Grupo Serantes nº1 – 1º DR</t>
  </si>
  <si>
    <t>Maria Mercedes López  61966642</t>
  </si>
  <si>
    <t>2024/243</t>
  </si>
  <si>
    <t>EUROTUBOS DEL NORTE SL</t>
  </si>
  <si>
    <t xml:space="preserve">1.PENSION MIRIVILLA C. Juan de Garay, 35, Ibaiondo, 48003 Bilbao, Vizcaya//  Pasan a alojamieto fijo 02/08/2024 </t>
  </si>
  <si>
    <t>DEYVI JOHAN ROMERO MARIN</t>
  </si>
  <si>
    <t>9, Rue de la Marne, 57120 Rombas, France apto 102</t>
  </si>
  <si>
    <t>CARINE +33 6 79 76 85 84</t>
  </si>
  <si>
    <t>Pasan a lojamiento fijo 05/07//////1 rue des cerisiers, Homécourt, Grand Est 54310, FranciaXavier +33 6 85 93 15 45//PREMIERE CLASSE THIONVILLE 1 rue des Carolingiens, 57970 BasseYutz</t>
  </si>
  <si>
    <t>JOSE ANTONIO MORALES HURTADO</t>
  </si>
  <si>
    <t>2024/392</t>
  </si>
  <si>
    <t>Calle Acella, 2 (bis Por la Avenida De Navarra Seguidamente a la terraza del, Restaurante 29 (ex Harmony), 31008 Pamplona, Navarra, España Estadia hasta 01-11-24</t>
  </si>
  <si>
    <t>JOSE ANDRES BLANCO IBARRA</t>
  </si>
  <si>
    <t>2024/241</t>
  </si>
  <si>
    <t>MONTAJES NAVEA S.L</t>
  </si>
  <si>
    <t xml:space="preserve">Fin aprox 04-09.// </t>
  </si>
  <si>
    <t>C. Carmen Baroja Nessi, 8, 31014 Pamplona, Navarra</t>
  </si>
  <si>
    <t>Cesar +34 602 44 34 05</t>
  </si>
  <si>
    <t>DIEGO ALEJANDRO CRUZ LOPEZ</t>
  </si>
  <si>
    <t>ENRIQUE PEREZ CARREAZO</t>
  </si>
  <si>
    <t>Via Pompeo Torchi 12 massa lombarda</t>
  </si>
  <si>
    <t>ANDRES FELIPE CHAMIZO CERON</t>
  </si>
  <si>
    <t>STOCCO, LDA</t>
  </si>
  <si>
    <t>DIEGO ARMANDO LEIVA SOTO</t>
  </si>
  <si>
    <t>Pasaje las Antillas n2 7D</t>
  </si>
  <si>
    <t>Edwin +34 693 39 54 47</t>
  </si>
  <si>
    <t>2024/384</t>
  </si>
  <si>
    <t>Calle Busturbi Kalea, 7 7, Gamarra Nagusia, País Vasco ALOAJMIENTO HASTA 25/10//</t>
  </si>
  <si>
    <t>WALDIR ENRIQUE VERGARA PACHECO</t>
  </si>
  <si>
    <t>ASTURIAS</t>
  </si>
  <si>
    <t xml:space="preserve">Raices (Castrillón), calle Juan de Austria nº 9-2ºD. </t>
  </si>
  <si>
    <t>34 651 82 80 41 Carmen</t>
  </si>
  <si>
    <t>2024/351</t>
  </si>
  <si>
    <t>IQUORD</t>
  </si>
  <si>
    <t>Finaliza 08/11//C. de Llaranes Viejo, 8, 33460 Avilés, Asturias 616097205</t>
  </si>
  <si>
    <t xml:space="preserve">Traslado a Lleida 18/08//Rda. de San Antonio María Claret, 28, 17002 Girona//Pasan alojamiento fijo 5/07///Hotel Tall de Conill Plaça Angel Guimerà, 11, 08786 Capellades, Barcelona///Santa Maria de Miralles, provincia de Barcelona, Carretera C-37 (de Igualada a Valls) km 49, masia Mas Vilà Marta +34 669 66 84 10/Hotel Ciutat de Girona &amp; Apartaments </t>
  </si>
  <si>
    <t>LUIS MARCO YUGSI GUANOTUÑA</t>
  </si>
  <si>
    <t>2024/179</t>
  </si>
  <si>
    <t>CALDEMECA S.L</t>
  </si>
  <si>
    <t>trabaja 12/11</t>
  </si>
  <si>
    <t>Sant Boi de Lluçanès, Catalunya, España</t>
  </si>
  <si>
    <t>+34667756800 Jaume</t>
  </si>
  <si>
    <t>2024/299</t>
  </si>
  <si>
    <t>Pasan Alojamiento fijo 3/09//1. Residencia Universitaria Pere Claret Rda. de San Antonio María Claret, 28, 17002 Girona//2,Hostal Sant Bernat Ubicación: Ctra. les Feixes, 29-31, 17800 Olot, Girona</t>
  </si>
  <si>
    <t>EDGARDO LUIS GARCIA JULIO</t>
  </si>
  <si>
    <t>SNEYDER JESUS ALCALA JIMENEZ</t>
  </si>
  <si>
    <t>1. Hotel Checkin Montserrat Carrer Querol, 08293 Collbató, Barcelona// AL fijo 02/08/2024</t>
  </si>
  <si>
    <t>DANIEL ANDRES MARULANDA BOLAÑOS</t>
  </si>
  <si>
    <t>c/HORTES 30, HABITACIONES  2, y 3, PB en  ESPARRAGUERA (08292)</t>
  </si>
  <si>
    <t>David +34 622 49 35 74</t>
  </si>
  <si>
    <r>
      <rPr>
        <sz val="11"/>
        <color rgb="FFFF0000"/>
        <rFont val="Calibri"/>
        <family val="2"/>
      </rPr>
      <t>Finaliza 15/11</t>
    </r>
    <r>
      <rPr>
        <sz val="11"/>
        <color rgb="FF305496"/>
        <rFont val="Calibri"/>
        <family val="2"/>
      </rPr>
      <t>.1.Hostal Sant JoanCarrer Sant Joan, 12, 08</t>
    </r>
    <r>
      <rPr>
        <sz val="11"/>
        <color rgb="FF203764"/>
        <rFont val="Calibri"/>
        <family val="2"/>
      </rPr>
      <t>760 Martorell, Barcelona 2.// Pasan a Fijo 06/08 hasta 31/08Santa Maria de Miralles, provincia de Barcelona, Carretera C-37 (de Igualada a Valls) km 49, masia Mas Vilà//3. CAMBIAN ALOJAMIENTO FIJO 29/08</t>
    </r>
  </si>
  <si>
    <t>Calle San Nicolás 4, 3ºA, 09006, Burgos</t>
  </si>
  <si>
    <t>Miguel Arcángel Muñoz+34 606 58 39 69</t>
  </si>
  <si>
    <t>2024/337</t>
  </si>
  <si>
    <t>CRISTIAN DARIO VILLADA CATAÑO</t>
  </si>
  <si>
    <t>2024/222</t>
  </si>
  <si>
    <t>ANDRES VARON</t>
  </si>
  <si>
    <t>Calle Sainz y trevilla 56 tercero izquierda, Guarnizo, Cantabria</t>
  </si>
  <si>
    <t>Violeta +34 665 49 63 84</t>
  </si>
  <si>
    <t>2024/118</t>
  </si>
  <si>
    <t>Trabajo hasta el 03/05</t>
  </si>
  <si>
    <t>EUSEBIO DE JESUS MEJIA DE LA ROSA</t>
  </si>
  <si>
    <t>2024/301</t>
  </si>
  <si>
    <t>MONTAJES GOMUR S.L</t>
  </si>
  <si>
    <t>finaliza el 18/10</t>
  </si>
  <si>
    <t>Residencial Clarín, Bo. la Somadilla, 28, 39764 La Maza, Cantabria</t>
  </si>
  <si>
    <t>Alejandra +34 647421037 - 603577235</t>
  </si>
  <si>
    <t>2024/352</t>
  </si>
  <si>
    <t>Salen viernes 22/11 Residencial Clarín, Bo. la Somadilla, 28, 39764 La Maza, Cantabria Alejandra +34 658 06 64 09///Se pago mes de octubre</t>
  </si>
  <si>
    <t>LESIGNAN CORBIERES</t>
  </si>
  <si>
    <t>9 Rue Molière, Lézignan-Corbières, Occitanie 11200, Francia</t>
  </si>
  <si>
    <t>Sci Salha Dakhmou +33 7 57 67 93 30</t>
  </si>
  <si>
    <t>2024/308</t>
  </si>
  <si>
    <t>Finalizan 22/11</t>
  </si>
  <si>
    <t>ALBEIRO ENRIQUE AMOR AGUILAR</t>
  </si>
  <si>
    <t>Alice +39 346 734 3783 steel mec</t>
  </si>
  <si>
    <t>2024/250</t>
  </si>
  <si>
    <t>ELIECER ANTONIO ZURITA CORDDOBA</t>
  </si>
  <si>
    <t>2024/426</t>
  </si>
  <si>
    <r>
      <rPr>
        <sz val="11"/>
        <color rgb="FFFF0000"/>
        <rFont val="Calibri"/>
        <family val="2"/>
      </rPr>
      <t>Finaliza 22/11.</t>
    </r>
    <r>
      <rPr>
        <sz val="11"/>
        <color rgb="FF305496"/>
        <rFont val="Calibri"/>
        <family val="2"/>
      </rPr>
      <t xml:space="preserve"> Carrer Divino Maestro Nº 1 Bj Drcha de Marmolejo Loli Rios +34 646 11 80 22</t>
    </r>
  </si>
  <si>
    <t>FERNEY ALEXANDER VARGAS SERRANO</t>
  </si>
  <si>
    <t>C/ Roncal 88.Valladolid</t>
  </si>
  <si>
    <t xml:space="preserve">Angela +34 666 01 56 84 </t>
  </si>
  <si>
    <t>2024/002</t>
  </si>
  <si>
    <t>(finalizó el 10/04/2026):Reubicados a partir del 08/03 pedido 2026/RU091</t>
  </si>
  <si>
    <t>C. Tierra del Pan 47010 Valladolid</t>
  </si>
  <si>
    <t>2024/367</t>
  </si>
  <si>
    <t>BIANNA RECYCLING</t>
  </si>
  <si>
    <t>YAMID EDUARDO GARCIA GONZALEZ</t>
  </si>
  <si>
    <t>CARLOS RAMIRO BERRIO TORRES</t>
  </si>
  <si>
    <t>ROBER JOUTE LABIO OCAMPO</t>
  </si>
  <si>
    <t>trabaja 05/10</t>
  </si>
  <si>
    <t>EMILIANO CUADROS LAGUADO</t>
  </si>
  <si>
    <t>Calle Estrecha, 2, Santa Marta de Tormes, Castilla y León 37900, España</t>
  </si>
  <si>
    <t>Mercedes +34 676 86 05 28</t>
  </si>
  <si>
    <t>Se pasan alojamiento fijo 17/06///Carretera de Madrid, KM.4, 37900 Santa Marta de Tormes, España//C. Gustavo Doré, 20 - 24, bloque 1 portal 2, bajo B, 37007 Salamanca salida 15/08/2024</t>
  </si>
  <si>
    <t>JOSE EDER VALLEJO YAMA</t>
  </si>
  <si>
    <t>FINALIZA 11/27/2024</t>
  </si>
  <si>
    <t>LUIS MIGUEL DIAZ GUTIERREZ</t>
  </si>
  <si>
    <t>2024/285</t>
  </si>
  <si>
    <t>1. 01-09 Carrer del Forn, 28 Sabadell, Barcelona/ pasa a alojamiento propio 01/09</t>
  </si>
  <si>
    <t>JOHN EDGAR QUIMBAYO TORO</t>
  </si>
  <si>
    <t>2024/175</t>
  </si>
  <si>
    <t>1. Calle Roger de Lluria número 6 Urbanización, Can Parellada, Masquefa, Barcelona 08783, España Marian +34 686 83 11 16// 2.PASA ALOJAMIENTO PROPIO 01/08/2024</t>
  </si>
  <si>
    <t>JAIVER JOSE POLANCO PEREZ</t>
  </si>
  <si>
    <r>
      <t>1. Hotel Checkin Montserrat Carrer Querol, 08293 Collbató, Barcelona// AL fijo 02/08/2024 //</t>
    </r>
    <r>
      <rPr>
        <b/>
        <sz val="11"/>
        <color rgb="FF305496"/>
        <rFont val="Calibri"/>
        <family val="2"/>
      </rPr>
      <t xml:space="preserve"> PASA A LOJAMIENTO PROPIO 01/09/2024</t>
    </r>
  </si>
  <si>
    <t>YERSON RENE CALA NAVARRO</t>
  </si>
  <si>
    <r>
      <rPr>
        <sz val="11"/>
        <color rgb="FFFF0000"/>
        <rFont val="Calibri"/>
        <family val="2"/>
      </rPr>
      <t xml:space="preserve">Finaliza 29/11. </t>
    </r>
    <r>
      <rPr>
        <sz val="11"/>
        <color rgb="FF305496"/>
        <rFont val="Calibri"/>
        <family val="2"/>
      </rPr>
      <t xml:space="preserve">1.PENSION MIRIVILLA C. Juan de Garay, 35, Ibaiondo, 48003 Bilbao, Vizcaya//  Pasan a alojamieto fijo 02/08/2024 </t>
    </r>
  </si>
  <si>
    <t>Plaza Arantzadi, 6 Zarautz Urola Kosta, Guipúzcoa</t>
  </si>
  <si>
    <t>Iñaki Sarasola Piso Zarautz+34 659 18 44 00</t>
  </si>
  <si>
    <t>2024/406</t>
  </si>
  <si>
    <t>CALDENOR</t>
  </si>
  <si>
    <r>
      <rPr>
        <sz val="11"/>
        <color rgb="FFFF0000"/>
        <rFont val="Calibri"/>
        <family val="2"/>
      </rPr>
      <t>finaliza el día 29/11</t>
    </r>
    <r>
      <rPr>
        <sz val="11"/>
        <color rgb="FF305496"/>
        <rFont val="Calibri"/>
        <family val="2"/>
      </rPr>
      <t>.Pensión Txiki Polit  +34 943 83 53 57</t>
    </r>
  </si>
  <si>
    <t>2024/413</t>
  </si>
  <si>
    <t>JUAN MANUEL CIRO</t>
  </si>
  <si>
    <t xml:space="preserve">PENSION MIRIVILLA C. Juan de Garay, 35, Ibaiondo, 48003 Bilbao, Vizcaya </t>
  </si>
  <si>
    <t>trabaja 30/07</t>
  </si>
  <si>
    <t>MARTINIANO ALFONSO DEANTONIO</t>
  </si>
  <si>
    <r>
      <rPr>
        <sz val="11"/>
        <color rgb="FFFF0000"/>
        <rFont val="Calibri"/>
        <family val="2"/>
      </rPr>
      <t xml:space="preserve">Finaliza 19/10 </t>
    </r>
    <r>
      <rPr>
        <sz val="11"/>
        <color rgb="FF305496"/>
        <rFont val="Calibri"/>
        <family val="2"/>
      </rPr>
      <t>1.PENSION MIRIVILLA C. Juan de Garay, 35, Ibaiondo, 48003 Bilbao, Vizcaya /Hotel Naval /2. Pasa a Fijo 07/08</t>
    </r>
  </si>
  <si>
    <t xml:space="preserve">HECTOR GARZON SANCHEZ </t>
  </si>
  <si>
    <r>
      <rPr>
        <sz val="11"/>
        <color rgb="FFFF0000"/>
        <rFont val="Calibri"/>
        <family val="2"/>
      </rPr>
      <t>Finaliza 13/12.</t>
    </r>
    <r>
      <rPr>
        <sz val="11"/>
        <color rgb="FF305496"/>
        <rFont val="Calibri"/>
        <family val="2"/>
      </rPr>
      <t xml:space="preserve">1.PENSION MIRIVILLA C. Juan de Garay, 35, Ibaiondo, 48003 Bilbao, Vizcaya//  Pasan a alojamieto fijo 02/08/2024 </t>
    </r>
  </si>
  <si>
    <r>
      <rPr>
        <sz val="11"/>
        <color rgb="FFFF0000"/>
        <rFont val="Calibri"/>
        <family val="2"/>
      </rPr>
      <t>Finaliza 29/11</t>
    </r>
    <r>
      <rPr>
        <sz val="11"/>
        <color rgb="FF305496"/>
        <rFont val="Calibri"/>
        <family val="2"/>
      </rPr>
      <t>-Sale de Alojamiento 16/05 Erika C. Benjamín Palencia, 2, portal 3 piso 3 b, 28850 Torrejón de Ardoz, Madrid</t>
    </r>
  </si>
  <si>
    <t>EDWIN GOMEZ ROJAS</t>
  </si>
  <si>
    <t>Finaliza 29/11</t>
  </si>
  <si>
    <t>BRUNO ARIEL WINTER COMANDO</t>
  </si>
  <si>
    <t>Direccion C/ Linares, 28, 23220, en Vilches (Jaén)</t>
  </si>
  <si>
    <t xml:space="preserve">Contacto Manuel Marin +34 657 02 65 22 </t>
  </si>
  <si>
    <t>2024/325</t>
  </si>
  <si>
    <t>BIO BEX S.L</t>
  </si>
  <si>
    <r>
      <rPr>
        <sz val="11"/>
        <color rgb="FFFF0000"/>
        <rFont val="Calibri"/>
        <family val="2"/>
      </rPr>
      <t xml:space="preserve">Finalizan 29/11  </t>
    </r>
    <r>
      <rPr>
        <sz val="11"/>
        <color rgb="FF305496"/>
        <rFont val="Calibri"/>
        <family val="2"/>
      </rPr>
      <t>//1.Carrer Divino Maestro Nº 1 Bj Drcha de Marmolejo Loli Rios +34 646 11 80 22 //</t>
    </r>
    <r>
      <rPr>
        <sz val="11"/>
        <color rgb="FFFF0000"/>
        <rFont val="Calibri"/>
        <family val="2"/>
      </rPr>
      <t xml:space="preserve"> contrato alquiler hasta el 17/11</t>
    </r>
  </si>
  <si>
    <t>2024/341</t>
  </si>
  <si>
    <t>Finalizan 31/11 ALOJAMIENTO HASTA 02-11</t>
  </si>
  <si>
    <t>AUBIN</t>
  </si>
  <si>
    <t>32 Ldt Longcourt, Juranville, Centre-Val de Loire 45340, Francia</t>
  </si>
  <si>
    <t xml:space="preserve"> Philippe +33 6 83 10 60 78</t>
  </si>
  <si>
    <t>2024/360</t>
  </si>
  <si>
    <t>Finalizan 30/12</t>
  </si>
  <si>
    <t>RICHARD ALBERTO NIETO VASQUEZ</t>
  </si>
  <si>
    <t>Finaliza 26/07. lo reemplza Juan Balanta</t>
  </si>
  <si>
    <t xml:space="preserve">Sra Marga +34 672 26 89 60 </t>
  </si>
  <si>
    <t>sale a alojamiento propio 15/11Sra Marga +34 672 26 89 60 PAGO HASTA EL 30/11 /// Carretera los santos de maimona</t>
  </si>
  <si>
    <t>JAIME ANTONIO PERTUZ VALDIRIS</t>
  </si>
  <si>
    <r>
      <rPr>
        <sz val="11"/>
        <color rgb="FFFF0000"/>
        <rFont val="Calibri"/>
        <family val="2"/>
      </rPr>
      <t>Finaliza 29/11.</t>
    </r>
    <r>
      <rPr>
        <sz val="11"/>
        <color rgb="FF305496"/>
        <rFont val="Calibri"/>
        <family val="2"/>
      </rPr>
      <t>1.PENSION MIRIVILLA C. Juan de Garay, 35, Ibaiondo, 48003 Bilbao, Vizcaya /2.Hotel Naval /3.07/08/2024 Pasa a Fijo</t>
    </r>
  </si>
  <si>
    <t>VICTOR HUGO GOSSO</t>
  </si>
  <si>
    <t>2024/452</t>
  </si>
  <si>
    <t>CALDERERIA PINTEÑO S.L</t>
  </si>
  <si>
    <t>FRED ALBERTO SOLANO GALLO</t>
  </si>
  <si>
    <t>2024/378</t>
  </si>
  <si>
    <t>GRUPO MAINSA</t>
  </si>
  <si>
    <t>Finaliza 03/12/2024</t>
  </si>
  <si>
    <t>ALOJAMIENTO POR CUENTA DEL CLIENTE</t>
  </si>
  <si>
    <t>2024/464</t>
  </si>
  <si>
    <t>Jose Luis +34 678 98 61 69</t>
  </si>
  <si>
    <t>2024/129</t>
  </si>
  <si>
    <t>Sale alojamiento fijo 04/06///Hostal Restaurante Julián C. Dominicos, 53, 49800 Toro, Zamora</t>
  </si>
  <si>
    <t>SAMERS SOLMER JOHAO VARON LARA</t>
  </si>
  <si>
    <t>2024/202</t>
  </si>
  <si>
    <t>Se pasará a partir del 30/09</t>
  </si>
  <si>
    <t>THIAGO FELIPE DA SILVA</t>
  </si>
  <si>
    <t>GHISLENGHIEN</t>
  </si>
  <si>
    <t>Rue de Condé 18, Chièvres, Région Wallonne 7950, Bélgica</t>
  </si>
  <si>
    <t>Christophe +32 473 96 11 94</t>
  </si>
  <si>
    <t>2024/443</t>
  </si>
  <si>
    <t xml:space="preserve"> ATELIER FERRARI </t>
  </si>
  <si>
    <t>cambio de alojamiento</t>
  </si>
  <si>
    <t>FABIO ANDRES LUJAN ARANGO</t>
  </si>
  <si>
    <t>2024/435</t>
  </si>
  <si>
    <t>Hostal Sant Bernat Ctra. les Feixes, 29-31, 17800 Olot, Girona 972261919</t>
  </si>
  <si>
    <t>2024/321</t>
  </si>
  <si>
    <t>BRYAN ELIUT GAITAN GOMEZ</t>
  </si>
  <si>
    <t>Calle. Bonifacio González Carreño, 15, piso 1 IZQ 33900 Langreo, Asturias</t>
  </si>
  <si>
    <t>Jefferson Palencia  +34 627 87 94 33</t>
  </si>
  <si>
    <t>2024/405</t>
  </si>
  <si>
    <t>C. de Llaranes Viejo, 8, 33460 Avilés, Asturias 616097205/// INCAPACITADO</t>
  </si>
  <si>
    <t>PALENCIA</t>
  </si>
  <si>
    <t>calle Pintor Oliva, núm. 16, 4ºA, en Palencia</t>
  </si>
  <si>
    <t>Ana +34 602 82 00 49</t>
  </si>
  <si>
    <t>2024/319</t>
  </si>
  <si>
    <t>ESTRUCTURAS METALICAS PALENTINAS</t>
  </si>
  <si>
    <t>Calle Trafalgar Valladolid // C. Tierra del Pan 47010 Valladolid Angela +34 666 01 56 84 //Hostal Becares /Hostal Restaurante Ceres Pl. España, 12, 34220 Magaz de Pisuerga,Palencia 
C. Cardenal Almaraz, 21, 34005 Palencia</t>
  </si>
  <si>
    <t>2024/434</t>
  </si>
  <si>
    <t>WILDERSON PERAFAN PEDRAHITA</t>
  </si>
  <si>
    <t>2024/261</t>
  </si>
  <si>
    <t>1. Se ha pagado desde el 28/07/2024 hasta 30/09/2024 ( costo mes 300)</t>
  </si>
  <si>
    <t>KILMER RAFAEL ALVAREZ GUZMAN</t>
  </si>
  <si>
    <t>Via del Delfino, 54, 48122 Punta Marina RA, Italia</t>
  </si>
  <si>
    <t>Federica +39 339 384 5545</t>
  </si>
  <si>
    <t>MAX ALEX MELENDREZ CAYOTOPA</t>
  </si>
  <si>
    <t>via della Pineta 124 Punta Marina</t>
  </si>
  <si>
    <t>PEDRO NEL CANO RUEDA</t>
  </si>
  <si>
    <t>MAURICIO TORO RAMIREZ</t>
  </si>
  <si>
    <t>LUIS FERNANDO CUBILLOS SILVA</t>
  </si>
  <si>
    <t>HOSTAL CARRICOLA Carrer del Bot, 6, 46869 Carrícola, Valencia</t>
  </si>
  <si>
    <t>Sr ORETO +34 629 33 50 10</t>
  </si>
  <si>
    <t>2024/474</t>
  </si>
  <si>
    <t>FRANCISCO JAVIER MERCADO MELENDEZ</t>
  </si>
  <si>
    <t xml:space="preserve">Hotel Gobeo Park  Av. de Los Huetos, 48, 01010 Vitoria-Gasteiz, </t>
  </si>
  <si>
    <t>Susana   945199000</t>
  </si>
  <si>
    <t>2024/482</t>
  </si>
  <si>
    <t>PREST - INSTALACIONES Y MONTAJES S.L.</t>
  </si>
  <si>
    <t>JUAN CARLOS VELASQUEZ PUENTES</t>
  </si>
  <si>
    <t>22/07/2024 Calle Barquillo, 1, Salamanca, Castilla y León 37008  Ana María +34 607 02 91 03// pasan a piso fijo</t>
  </si>
  <si>
    <t>ANTONIO JOSE NASCIMENTO SILVA</t>
  </si>
  <si>
    <t>El 30/03 se ira alojamiento por cuenta propia.//Cambia a alojamiento de la empresa a partir del 11/12</t>
  </si>
  <si>
    <t>MILTON JONATHAN OSORIO MARTINEZ</t>
  </si>
  <si>
    <t>CADIZ</t>
  </si>
  <si>
    <t>DEL MAR HOTEL &amp; SPA C. Babor, 5, 11500 El Puerto de Sta María, Cádiz</t>
  </si>
  <si>
    <t>Contacto  956875911</t>
  </si>
  <si>
    <t>2024/498</t>
  </si>
  <si>
    <t>INDUSTRIAS AERONAUTICAS LATORRE S.L</t>
  </si>
  <si>
    <t>CAMBIO DE ALOJAMIENTO</t>
  </si>
  <si>
    <t>LEANDRO VARGAS BETANCOURTH</t>
  </si>
  <si>
    <t>JUAN CARLOS GALAN ALMENDRA</t>
  </si>
  <si>
    <t>EVELIO ANGULO ANGULO</t>
  </si>
  <si>
    <t>EDWIN FERNANDO LINARES MACA</t>
  </si>
  <si>
    <t>DAMIAN ZAMBRANO TULANDE</t>
  </si>
  <si>
    <t>EDILBERTO DOMINGUEZ PEREIRA</t>
  </si>
  <si>
    <t>LUIS CARLOS CASTRO ARBOLEDA</t>
  </si>
  <si>
    <t>CARLOS ARTURO ALARCON CAMACHO</t>
  </si>
  <si>
    <t>Trabajo 10/05/2024</t>
  </si>
  <si>
    <t>LUIS GONCALVES DA SILVA</t>
  </si>
  <si>
    <t>HERMAN COLLAZOS MURCIA</t>
  </si>
  <si>
    <t>Carrer Cristófol de Boleda, 16, 25006 Lleida</t>
  </si>
  <si>
    <t>2024/144</t>
  </si>
  <si>
    <r>
      <rPr>
        <sz val="11"/>
        <color rgb="FFFF0000"/>
        <rFont val="Calibri"/>
        <family val="2"/>
      </rPr>
      <t xml:space="preserve">Finalizado 23/09 </t>
    </r>
    <r>
      <rPr>
        <sz val="11"/>
        <color rgb="FF305496"/>
        <rFont val="Calibri"/>
        <family val="2"/>
      </rPr>
      <t xml:space="preserve">// calle Camí alt 2 . Segur de calsfell//Pasan Alojamiento fijo 04/06///Pierre &amp; Vacances Comarruga Avinguda Palfuriana 133, 43880 Comarruga //Carrer de les Escoles, 3, 17132 Foixà, Girona </t>
    </r>
  </si>
  <si>
    <t>C/ Roncal 88. Apt 2Valladolid</t>
  </si>
  <si>
    <t>2024/456</t>
  </si>
  <si>
    <t xml:space="preserve"> TALLERES TAPIA</t>
  </si>
  <si>
    <t>2024/339</t>
  </si>
  <si>
    <t>fin 14/12</t>
  </si>
  <si>
    <t>H28 Camas Calle de La Sta. Cruz, 9, 41900 Camas, Sevilla</t>
  </si>
  <si>
    <t>Contacto 954391299</t>
  </si>
  <si>
    <t>2024/490</t>
  </si>
  <si>
    <t>ANDRES FELIPE MARULANDA ARAQUE</t>
  </si>
  <si>
    <t>Casa cortijo olivar C. Z, 97, 41703 Dos Hermanas, Sevilla</t>
  </si>
  <si>
    <t>PACO  636 230816</t>
  </si>
  <si>
    <t>2024/476</t>
  </si>
  <si>
    <t>METALIA ESTRUCTURAS CUBIERTAS Y MONTAJES, S.L.</t>
  </si>
  <si>
    <t>FABIAN ANDRES BERNAL MONTENEGRO</t>
  </si>
  <si>
    <t>EDWARD FABIAN CRUZ HURTADO</t>
  </si>
  <si>
    <t>Sant Jaume de Llierca, núm. 4</t>
  </si>
  <si>
    <t>Sr. Joaquim Prujà Roca +34 604 49 14 91</t>
  </si>
  <si>
    <t>2024/368</t>
  </si>
  <si>
    <r>
      <rPr>
        <sz val="11"/>
        <color rgb="FFFF0000"/>
        <rFont val="Calibri"/>
        <family val="2"/>
      </rPr>
      <t>Finaliza 15/12</t>
    </r>
    <r>
      <rPr>
        <sz val="11"/>
        <color rgb="FF305496"/>
        <rFont val="Calibri"/>
        <family val="2"/>
      </rPr>
      <t>. Ripollet Pau Casals 47 // Hostal Sant Bernat Ctra. les Feixes, 29-31, 17800 Olot, Girona Teléfono 972261919</t>
    </r>
  </si>
  <si>
    <t>2024/311</t>
  </si>
  <si>
    <t xml:space="preserve">MIMESE </t>
  </si>
  <si>
    <r>
      <rPr>
        <sz val="11"/>
        <color rgb="FFFF0000"/>
        <rFont val="Calibri"/>
        <family val="2"/>
      </rPr>
      <t>FINALIZAN 30/11.</t>
    </r>
    <r>
      <rPr>
        <sz val="11"/>
        <color rgb="FF305496"/>
        <rFont val="Calibri"/>
        <family val="2"/>
      </rPr>
      <t>SALEN 10/11 CULMINACIÒN CONTRATO ALOJAMIENTO C/ MINAS DE RIOTINTO1, URB. LAS CANOAS, EDIF. ANGELA MARISA, PORTAL 1, 1ºF. PUNTA UMBRÍA (HUELVA). CARLOS ALVAREZ-URIBARRI MOYA 606 60 59 08</t>
    </r>
  </si>
  <si>
    <t>ISMAEL EDUARDO RAMOS GOMEZ</t>
  </si>
  <si>
    <t>2024/036</t>
  </si>
  <si>
    <t>MARTIN ALONSO SEGURA BENITEZ</t>
  </si>
  <si>
    <t>c/ calvari 54 puerta 14 olesa d Montserrat</t>
  </si>
  <si>
    <t>2024/459</t>
  </si>
  <si>
    <t xml:space="preserve"> CALDERERIA DAYMA S.L</t>
  </si>
  <si>
    <t>WALTER RAMIREZ LONDOÑO</t>
  </si>
  <si>
    <t>ABRAHAM DAVID HOYOS ALVAREZ</t>
  </si>
  <si>
    <t>DARIO RUBEN LOBOS</t>
  </si>
  <si>
    <t>fin 17/12</t>
  </si>
  <si>
    <t>HECTOR GIOVANNI MORENO SUSA</t>
  </si>
  <si>
    <t>Hotel Plaza Feria Av. de la Diag., 11, 50197 Zaragoza</t>
  </si>
  <si>
    <t>Contacto:   876768300</t>
  </si>
  <si>
    <t>2024/515</t>
  </si>
  <si>
    <t>CONSTRUCCIONES METALICAS CONTINENTE SL</t>
  </si>
  <si>
    <t>ANDERSSON CANAVAL NUÑEZ</t>
  </si>
  <si>
    <t xml:space="preserve">Alojamiento propio 05/10//Cambio de Alojamiento 31/08//Pasa Alojamiento fijo 16/07Calle caridad 7 piso segunda planta//Posadas España Avenida Luxemburgo, s/n, 30353 Cartagena, España </t>
  </si>
  <si>
    <t xml:space="preserve">Alojamiento propio 05/10///Cambio de Alojamiento 31/08//Pasa Alojamiento fijo 16/07Calle caridad 7 piso segunda planta//Posadas España Avenida Luxemburgo, s/n, 30353 Cartagena, España </t>
  </si>
  <si>
    <t>MIGUEL FERNANDO OLARTE PRADILLA</t>
  </si>
  <si>
    <t>c/ SANT JORDI, 8, PUIG-REIG 08692, BARCELONA, ESPAÑA</t>
  </si>
  <si>
    <t>D. Pol +34 667 85 88 25</t>
  </si>
  <si>
    <t>2024/427</t>
  </si>
  <si>
    <t xml:space="preserve"> EVOLUCIO METAL.LICA, S.L</t>
  </si>
  <si>
    <t>La Paz, Bake kalea, 15, 1, 01004 Vitoria-Gasteiz, Álava</t>
  </si>
  <si>
    <t>JUAN 680494224</t>
  </si>
  <si>
    <t>ARLEMAR RAFAEL CAMPOS WOLFF</t>
  </si>
  <si>
    <r>
      <rPr>
        <sz val="11"/>
        <color rgb="FF305496"/>
        <rFont val="Calibri"/>
        <family val="2"/>
      </rPr>
      <t xml:space="preserve">1.Hostal Sant JoanCarrer Sant Joan, 12, 08760 Martorell, Barcelona 2.// Pasan a Fijo 06/08 </t>
    </r>
    <r>
      <rPr>
        <sz val="11"/>
        <color rgb="FFFF0000"/>
        <rFont val="Calibri"/>
        <family val="2"/>
      </rPr>
      <t>hasta 31/08 Ripollet Pau Casals 47</t>
    </r>
  </si>
  <si>
    <t>Hotel cogullada Calle Albert Einstein, 3 Zaragoza // ALOJAMIENTO POR CUENTA DEL CLIENTE</t>
  </si>
  <si>
    <t>2024/453</t>
  </si>
  <si>
    <t>TALLERES QUINTANA, S.L</t>
  </si>
  <si>
    <t>ALEXANDER ANTHONY ZAMORA ALMENDARIZ</t>
  </si>
  <si>
    <t>+34 954693808</t>
  </si>
  <si>
    <t>2025/169</t>
  </si>
  <si>
    <t>WILLIAM AMAURY ROJAS FUENTES</t>
  </si>
  <si>
    <t>ALVARO ENRIQUE ROJAS DE LA OSSA</t>
  </si>
  <si>
    <t>FINALIZAN 30/08</t>
  </si>
  <si>
    <t>Edingseweg 440 Tiny houses en stacaravans, Geraardsbergen, Región Flamenca 9500, Bélgica</t>
  </si>
  <si>
    <t>Francis +32 468 23 32 33</t>
  </si>
  <si>
    <t>2024/280</t>
  </si>
  <si>
    <t>Estaba en proyecto SAMA 242 desde 26/07/2024</t>
  </si>
  <si>
    <t>DUFRAY ARDILA MONROY</t>
  </si>
  <si>
    <t>2024/396</t>
  </si>
  <si>
    <t>BRAYAN ANDRES VASQUEZ AGUIRRE</t>
  </si>
  <si>
    <t>2024/275</t>
  </si>
  <si>
    <t>Finalizan 22/10</t>
  </si>
  <si>
    <t>ABDALLAH SAMMAR</t>
  </si>
  <si>
    <t>Calle Sant Josep 9, puerta 4 Quart de Poblet 46930</t>
  </si>
  <si>
    <t>Francisco Zapata +34 667 33 38 87</t>
  </si>
  <si>
    <t>2024/369</t>
  </si>
  <si>
    <t>ALEXANDER PERAFAN GONZALEZ</t>
  </si>
  <si>
    <t>calle Kurutziaga, 2 Durango-Vizcaya</t>
  </si>
  <si>
    <t>2024/004</t>
  </si>
  <si>
    <t>EDERKALDE</t>
  </si>
  <si>
    <t>CAMBIO DE ALOJAMIENTO POR CUENTA PROPIA 20-12</t>
  </si>
  <si>
    <t>CESAR FARID PADILLA MORENO</t>
  </si>
  <si>
    <t>CAMBIO DE ALOJAMIENTOO</t>
  </si>
  <si>
    <t>Las Hojas pensión Paseo Pamplona nº 2, 3º B 31500 TUDELA</t>
  </si>
  <si>
    <t>2024/432</t>
  </si>
  <si>
    <t xml:space="preserve">Calle Busturbi Kalea, 7 7, Gamarra Nagusia, País Vasco </t>
  </si>
  <si>
    <t>2024/450</t>
  </si>
  <si>
    <t xml:space="preserve"> METALICAS LEKUNBERRI</t>
  </si>
  <si>
    <t>DIEGO FERNANDO BOCANEGRA RAMIREZ</t>
  </si>
  <si>
    <t>MICHAEL YESID CUBILLOS CORTES</t>
  </si>
  <si>
    <t>CARLOS JAIRO CORREA MEJIA</t>
  </si>
  <si>
    <t>trabaja 24/12//Hotel Sallès//Hotel Altamira 28/03 al 03/04//07/04 Pasan a alojamiento fijo///Teixidores 2, 1-3 SALT salen de este alojamiento 22/04</t>
  </si>
  <si>
    <t>DEYVIS OSPINA DADUL</t>
  </si>
  <si>
    <t>Lugar Santa Rosa, 15, 33614 Santa Rosa, Asturias</t>
  </si>
  <si>
    <t>Antonio +34 606 33 64 25</t>
  </si>
  <si>
    <t>2024/131</t>
  </si>
  <si>
    <t>TALLERES METALICOS DINAMETAL</t>
  </si>
  <si>
    <t>Ingresan Alojamiento fijo 26/05///HOTEL Alda Miramar Rooms C. Sta. Lucía, 9, Centro, 33206 Gijón, Asturias +34984506500//CAMBIA ALOJAMIENTO PROPIO 29-11 DESPUES DEL PAGO</t>
  </si>
  <si>
    <t>DANIEL HERNAN ESCARRAGA BERMUDEZ</t>
  </si>
  <si>
    <t>Ingresan Alojamiento fijo 26/05///HOTEL Alda Miramar Rooms C. Sta. Lucía, 9, Centro, 33206 Gijón, Asturias +34984506500//CAMBIA DE ALOJAMIENTO FIN DE CONTRATO DE ALQUILER</t>
  </si>
  <si>
    <t>CESAR ORLANDO PEDRAZA LANCHEROS</t>
  </si>
  <si>
    <t>2024/194</t>
  </si>
  <si>
    <t>//1. Jacinto Benavente 20 4°1° Mollet del Vallés Juan Carlos +34 638 58 33 79 /7</t>
  </si>
  <si>
    <t>VICTOR BLANCO BRAVO</t>
  </si>
  <si>
    <t>1550 €</t>
  </si>
  <si>
    <t>CAMBIO DE ALOJAMIENTO///C. de Llaranes Viejo, 8, 33460 Avilés, Asturias 616097205</t>
  </si>
  <si>
    <t>GONZALO RENE RIVAS GAVIRIA</t>
  </si>
  <si>
    <t>NODIER FLOREZ QUINTERO</t>
  </si>
  <si>
    <t>Sale alojamiento propio 01/12/PENSIÓN IRATI Avenida de Aldeanueva Nº 23   26550 – Rincón de Soto LA RIOJA/1. Se ha pagado desde el 28/07/2024 hasta 30/09/2024 ( costo mes 300) /trabaja 14/01/25</t>
  </si>
  <si>
    <t>CALLE CARABELA 21100 PUNTA UMBRIA, ESPAÑA</t>
  </si>
  <si>
    <t xml:space="preserve"> Vicente +34 685 13 59 88</t>
  </si>
  <si>
    <t>2024/496</t>
  </si>
  <si>
    <t>DOMINION TANKS DIMOIN</t>
  </si>
  <si>
    <t>ESNEYDER TORRES ULLOA</t>
  </si>
  <si>
    <t>Vivienda puerta 14 del edificio número 59 de la Avda. Conde de Torrefiel, en Ontinyent (Valencia)</t>
  </si>
  <si>
    <t>Diana +34 674 35 32 12</t>
  </si>
  <si>
    <t>PAGO HASTA FEBRERO</t>
  </si>
  <si>
    <t>2024/497</t>
  </si>
  <si>
    <t>Alojamiento propio 18-12-2024</t>
  </si>
  <si>
    <t>2024/391</t>
  </si>
  <si>
    <t>Trabaja hasta el 25/11</t>
  </si>
  <si>
    <t>BOURBOURG</t>
  </si>
  <si>
    <t>287 Rue Duguay Trouin Rdc Gauche, Calais, Hauts-de-France 62100, Francia</t>
  </si>
  <si>
    <t xml:space="preserve"> Katia +33 7 82 61 74 48</t>
  </si>
  <si>
    <t>2024/494</t>
  </si>
  <si>
    <t>ABIS CALORIFUGE</t>
  </si>
  <si>
    <t>EDIMSON OMAR CARREÑO PINTO</t>
  </si>
  <si>
    <t xml:space="preserve">ALVARO ESPINOSA ALCALDE </t>
  </si>
  <si>
    <t>JAHIR SURLEY DELGADO AGREDO</t>
  </si>
  <si>
    <t>Granollers Isaac albeniz 7</t>
  </si>
  <si>
    <t>Eva Simòn +34 667 23 34 10</t>
  </si>
  <si>
    <t>2024/266</t>
  </si>
  <si>
    <t>FELIX VERDUGO MELERO</t>
  </si>
  <si>
    <r>
      <rPr>
        <sz val="11"/>
        <color rgb="FFFF0000"/>
        <rFont val="Calibri"/>
        <family val="2"/>
      </rPr>
      <t>Finaliza 02/10</t>
    </r>
    <r>
      <rPr>
        <sz val="11"/>
        <color rgb="FF305496"/>
        <rFont val="Calibri"/>
        <family val="2"/>
      </rPr>
      <t xml:space="preserve"> 1. TMP. Carrer Sant Joan Bosco, 6, 8, 08150 Parets del Vallès, Barcelona// 2. ALJ FIJO 08/08/2024</t>
    </r>
  </si>
  <si>
    <t>CARLOS ALFREDO ESCORCIA MORENO</t>
  </si>
  <si>
    <t>2025/024</t>
  </si>
  <si>
    <t>Hostal Restaurante La Niña C/ Juan de la Cosa, 37, 21810 Palos de la Frontera, Huelva</t>
  </si>
  <si>
    <t>Contacto: 959530360</t>
  </si>
  <si>
    <t>FARID SAMUEL URUETA HEREDIA</t>
  </si>
  <si>
    <t>2024/487</t>
  </si>
  <si>
    <t>MACHINE SCOUT, S.L</t>
  </si>
  <si>
    <t>culmina proyecto 07/01/2025</t>
  </si>
  <si>
    <t>EMIRO ARRAZOLA MAZA</t>
  </si>
  <si>
    <t>Pension Mayte Av. de Pío XII, 34, 31008 Pamplona, Navarra</t>
  </si>
  <si>
    <t xml:space="preserve"> Maite 686479966</t>
  </si>
  <si>
    <t>2024/466</t>
  </si>
  <si>
    <t>ISLAS GROUP INGENIERIA E INSTALACIONES S.L</t>
  </si>
  <si>
    <t>ADILSON ESCOBAR OREJUELA</t>
  </si>
  <si>
    <t>CARLOS FABIAN ACERO BAUTISTA</t>
  </si>
  <si>
    <t>Avinguda d'Olímpia, 3, #5-3. 08500 Vic, Barcelona</t>
  </si>
  <si>
    <t>Tatiana +34 603 92 93 84</t>
  </si>
  <si>
    <t>2024/403</t>
  </si>
  <si>
    <t>CALDERERIA OSONA</t>
  </si>
  <si>
    <t>Carrer Mossèn Antoni M. Alcover, 11, 08500 Vic, Barcelona, Spain  Pedro +34 629 25 69 01</t>
  </si>
  <si>
    <t>HUMBERTO HERRERA GAVIRIA</t>
  </si>
  <si>
    <t>WILMAN ARBEY ROMERO GONZALEZ</t>
  </si>
  <si>
    <t>ALEMANIA</t>
  </si>
  <si>
    <t>SELB</t>
  </si>
  <si>
    <t>Wilhelmstraße 16, 95100 Selb, Alemania</t>
  </si>
  <si>
    <t>Mit herzlichen Grüßen  + 49 9233-4007-14</t>
  </si>
  <si>
    <t>2025/023</t>
  </si>
  <si>
    <t>ATELIER FERRARI</t>
  </si>
  <si>
    <t xml:space="preserve"> nos confirma que el pasado mes de diciembre hasta el 31/12/2025//Prevision 31 de Diciembre de 2025</t>
  </si>
  <si>
    <t>EDGAR ESTIVEN NARANJO RUIZ</t>
  </si>
  <si>
    <t>2025/012</t>
  </si>
  <si>
    <t>2024/346</t>
  </si>
  <si>
    <t xml:space="preserve">Ripollet Pau Casals 47 Pilar </t>
  </si>
  <si>
    <t>finaliza 10/01/2025</t>
  </si>
  <si>
    <t>Centro comercial Vistahermosa, edificio Vistahermosa. Avenida Juan Melgarejo número 4. Puerto de Santa María,,11500. Cadiz</t>
  </si>
  <si>
    <t>Gregorio Fernández Vázquez  +34 698 97 27 80</t>
  </si>
  <si>
    <t>finaliza el 10/01</t>
  </si>
  <si>
    <t>GIOVANNI DAVID MORAN RODRIGUEZ</t>
  </si>
  <si>
    <t>2024/104</t>
  </si>
  <si>
    <t>LEANDRO ANTONIO GONZALEZ BOLIBAR</t>
  </si>
  <si>
    <r>
      <rPr>
        <sz val="11"/>
        <color rgb="FFFF0000"/>
        <rFont val="Calibri"/>
        <family val="2"/>
      </rPr>
      <t xml:space="preserve"> Finaliza 13/12 </t>
    </r>
    <r>
      <rPr>
        <sz val="11"/>
        <color rgb="FF305496"/>
        <rFont val="Calibri"/>
        <family val="2"/>
      </rPr>
      <t>Ingresan a piso 10/07</t>
    </r>
  </si>
  <si>
    <t>BLADIMIRO DIAZ MARTINEZ</t>
  </si>
  <si>
    <t>1.HOSTAL CASTILLA  C. Arenal 110 bajo. Mesón La Parrilla. Cp09200. Miranda de Ebro. Burgos.// pasan a Al fijo 13/08/2024/// cambio de alojamiento propio</t>
  </si>
  <si>
    <t>ALAN FRANCISCO NAVAS DIAZ</t>
  </si>
  <si>
    <t>CAMBIO DE ALOJAMIENTO///1.HOSTAL CASTILLA  C. Arenal 110 bajo. Mesón La Parrilla. Cp09200. Miranda de Ebro. Burgos.// pasan a Al fijo 13/08/2024</t>
  </si>
  <si>
    <t>2024/451</t>
  </si>
  <si>
    <t>2024/439</t>
  </si>
  <si>
    <t>EMAT 2022, S.L</t>
  </si>
  <si>
    <t>HOTELES ARAL, SL. CTRA. N-II, KM. 309 50012 ZARAGOZA</t>
  </si>
  <si>
    <t>Hotel Restaurante El Cisne 976 33 20 00</t>
  </si>
  <si>
    <t>2025/002</t>
  </si>
  <si>
    <t>Cambio de alojamiento</t>
  </si>
  <si>
    <t>VICTOR RAMON TUANAMA GARCIA</t>
  </si>
  <si>
    <t>2025/064</t>
  </si>
  <si>
    <t>A partir del 01/06/2026 pasan alojamiento por cuenta del cliente//</t>
  </si>
  <si>
    <t>VICTOR ALFONSO QUINONEZ ALVARADO</t>
  </si>
  <si>
    <t>2025/025</t>
  </si>
  <si>
    <t>INCOMESA</t>
  </si>
  <si>
    <t>PAGO HASTA FEBRERO// Cambio a alojamiento propio desde enero y no informo sino hasta mayo 2025</t>
  </si>
  <si>
    <t>2024/478</t>
  </si>
  <si>
    <t>Se adicionaron 450 costo de calefacciòn</t>
  </si>
  <si>
    <t>DIEGO DIAZ LUNA</t>
  </si>
  <si>
    <t>CRISTIAN DAVID ORTIZ MADRID</t>
  </si>
  <si>
    <t>2025/029</t>
  </si>
  <si>
    <t>VILSON GARCIA</t>
  </si>
  <si>
    <t>Mungialde Etorbidea, 3, 1º, 48160 Derio, Bizkaia</t>
  </si>
  <si>
    <t>YOLANDA 691573152</t>
  </si>
  <si>
    <t>FRAY DAVID GIL VALENCIA</t>
  </si>
  <si>
    <t>Calle San Isidro, 12 Cintruniego</t>
  </si>
  <si>
    <t>Trabaja hasta el 31/05</t>
  </si>
  <si>
    <t>2024/161</t>
  </si>
  <si>
    <t>proyecto culmina 17/01/25</t>
  </si>
  <si>
    <t>JHON JAIRO CASTAÑO POSADA</t>
  </si>
  <si>
    <t>C/Cristofol de Boleda 14-16   5006 - LLEIDA</t>
  </si>
  <si>
    <t>2024/145</t>
  </si>
  <si>
    <t>Se trasladan a MB PAPELES 22/07//Carrer de les Escoles, 3, 17132 Foixà, Girona//Santa Maria de Miralles, provincia de Barcelona, Carretera C-37 (de Igualada a Valls) km 49, masia Mas Vilà Marta +34 669 66 84 10//Rda. de San Antonio María Claret, 28, 17002 Girona hasta 18/08/2024 //Carrer de les Escoles, 3, 17132 Foixà, Girona</t>
  </si>
  <si>
    <t>Cl Concepción nº 27 y trastero nº 1, de Fuente Palmera</t>
  </si>
  <si>
    <t>Encarni +34 636 48 83 62</t>
  </si>
  <si>
    <t>2024/164</t>
  </si>
  <si>
    <t>c/ Arroz y Tartana, 13 – Edificio G7 – Berenguer VALENCIA</t>
  </si>
  <si>
    <t>JOSE +34 744 70 70 70</t>
  </si>
  <si>
    <t>2025/010</t>
  </si>
  <si>
    <t>MANTENIMIENTOS Y MONTAJES CORDOBA S.L</t>
  </si>
  <si>
    <t>GUIPUZCOA</t>
  </si>
  <si>
    <t>Hotel Zarauz Nafarroa Kalea, 26, 20800 Zarautz, Gipuzkoa</t>
  </si>
  <si>
    <t>Contacto: 943830200</t>
  </si>
  <si>
    <t>2025/041</t>
  </si>
  <si>
    <t>ABEL ANTONIO CUESTA CIFUENTES</t>
  </si>
  <si>
    <t xml:space="preserve">ITALIA </t>
  </si>
  <si>
    <t>Via Gian Battista Bassi, 12 Interno 11, Massa Lombarda, Emilia-Romaña 48024, Italia</t>
  </si>
  <si>
    <t>Cosimo +39 346 086 0128</t>
  </si>
  <si>
    <t>2025/035</t>
  </si>
  <si>
    <t>EFISIO IGNAZIO FAIS</t>
  </si>
  <si>
    <t>CRISTIAN DAVID CADAVID MENESES</t>
  </si>
  <si>
    <t>MALAGA</t>
  </si>
  <si>
    <t>APARTAMENTOS LA MUNDIAL C. Escritor Andeyro Castillo, 1, Málaga-Este, 29017 Málaga</t>
  </si>
  <si>
    <t>Doña Rosa 620945880</t>
  </si>
  <si>
    <t>2024/488</t>
  </si>
  <si>
    <t>CALLE CALDERÓN DE LA BARCA, 11 1ºA</t>
  </si>
  <si>
    <t>+34 630 97 06 59~Anita</t>
  </si>
  <si>
    <t>2025/039</t>
  </si>
  <si>
    <t>ALAN GERSON RAMIREZ ACARO</t>
  </si>
  <si>
    <t>Calle Escalante 345, Valencia</t>
  </si>
  <si>
    <t>javier +34 645 80 00 74</t>
  </si>
  <si>
    <t>2025/487</t>
  </si>
  <si>
    <t>TALLERES LASAFE SLU</t>
  </si>
  <si>
    <t>05/08/2026 informan: Fecha de Cierre: 31/07/2026 Motivo: Finalizacion de trabajo.//Se encuentra en Portugal, cuando retorne se alojara aquí</t>
  </si>
  <si>
    <t>BILLY ADOLFO MONSALVO VERGARA</t>
  </si>
  <si>
    <t>2024/239</t>
  </si>
  <si>
    <t>1.Hotel San Pedro C. Melquiades Álvarez, 81, 33930 Langreo, Asturias Ana 985693211 // Pasan a alojamiento propio 01/09</t>
  </si>
  <si>
    <t>2024/357</t>
  </si>
  <si>
    <t>INDUSTRIAS AJA DE LLIÇÀ S.L</t>
  </si>
  <si>
    <t>cambio de alojamiento//Ripollet Pau Casals 47 Pilar +34 620 40 15 04// dario ultimo dia 21/04/2025</t>
  </si>
  <si>
    <t>2024/463</t>
  </si>
  <si>
    <t>2024/343</t>
  </si>
  <si>
    <t>1.Calle Acella, 2 (bis Por la Avenida De Navarra Seguidamente a la terraza del, Restaurante 29 (ex Harmony), 31008 Pamplona, Navarra, España//sale alojamiento propio 08/10</t>
  </si>
  <si>
    <t>HECTOR FABIAN ROJAS GOMEZ</t>
  </si>
  <si>
    <t>Traslado a Lleida 18/08////calle Camí alt 2 . Segur de calsfell//Pasan Alojamiento fijo 04/06///Pierre &amp; Vacances Comarruga Avinguda Palfuriana 133, 43880 Comarruga//Hotel El Castell Calafell 977694567//Carrer de les Escoles, 3, 17132 Foixà, GironaEduard +34 607 54 96 72</t>
  </si>
  <si>
    <t>Traslado a Lleida 18/08////calle Camí alt 2 . Segur de calsfell//Pasan Alojamiento fijo 04/06 Carrer Tarragona, tarragona 43820 ///Pierre &amp; Vacances Comarruga Avinguda Palfuriana 133, 43880 Comarruga//Hotel El Castell Calafell 977694567//Carrer de les Escoles, 3, 17132 Foixà, GironaEduard +34 607 54 96 72//</t>
  </si>
  <si>
    <t>Calle Marijata 1,bloque 1 2 C izquierda, El Portil, Andalucía 21459, España</t>
  </si>
  <si>
    <t>Manuela +34 609 58 46 26</t>
  </si>
  <si>
    <t>2025/040</t>
  </si>
  <si>
    <t>ELKIN JAVIER ARIZA PERALTA</t>
  </si>
  <si>
    <t xml:space="preserve">Hotel Naval </t>
  </si>
  <si>
    <t>2024/230</t>
  </si>
  <si>
    <t>NAVACEL PROCESS INDUSTRIES LDA</t>
  </si>
  <si>
    <t>C. Carmen Baroja Nessi, 8, 31014 Pamplona, Navarra Cesar +34 602 44 34 05</t>
  </si>
  <si>
    <t>YONNY ALEXANDER HERNANDEZ CHALACAN</t>
  </si>
  <si>
    <t>2024/513</t>
  </si>
  <si>
    <t>C. de Miluze, 6, 31008 Pamplona, Navarra</t>
  </si>
  <si>
    <t>Nirza +34 690 95 34 00</t>
  </si>
  <si>
    <t>2024/522</t>
  </si>
  <si>
    <t>WILLIAN ALFREDO RUSSO LINERO</t>
  </si>
  <si>
    <t>CASTELLON</t>
  </si>
  <si>
    <t>C. del Romano, 36, 12400 Segorbe, Castellón</t>
  </si>
  <si>
    <t>Lucia +34 629 73 97 58</t>
  </si>
  <si>
    <t>2025/051</t>
  </si>
  <si>
    <t>MONTAJES EISSEN, S.A</t>
  </si>
  <si>
    <t>EMANUEL NICOLAS MUNOZ FERNANDEZ</t>
  </si>
  <si>
    <t>2024/425</t>
  </si>
  <si>
    <t>Passatge de Ferran Llàcer, 18, 3° puerta 1" 08208 Sabadell</t>
  </si>
  <si>
    <t>Rosa Oliva +34 629 24 62 13</t>
  </si>
  <si>
    <t>PN</t>
  </si>
  <si>
    <t>KOTRIK</t>
  </si>
  <si>
    <t>cambio de alojamiento de Carretera de Prats de Lluçanès, 179 Sabadell  2 Piso Puerta 4 21/01</t>
  </si>
  <si>
    <t>ADRIAN CARLOSAMA CHAVEZ</t>
  </si>
  <si>
    <t>2024/516</t>
  </si>
  <si>
    <t>SANTIFER SPRL</t>
  </si>
  <si>
    <t>AARTSELAAR</t>
  </si>
  <si>
    <t>83 Plantin en Moretuslei, Amberes (Término Municipal), 2018 Amberes, Bélgica</t>
  </si>
  <si>
    <t>Yana +32 468 51 41 50 Olena+32 495 57 52 09</t>
  </si>
  <si>
    <t>2025/021</t>
  </si>
  <si>
    <t>EMANUEL JOSE LOBOS GATICA</t>
  </si>
  <si>
    <t>2024/422</t>
  </si>
  <si>
    <t xml:space="preserve"> 29/10 los chicos no pueden entrar a la obra , y se cancelan todos los servicios y trabajos con TUBAL//trabaja hasta el 27/01 y vuelve 01/03</t>
  </si>
  <si>
    <t>2025/047</t>
  </si>
  <si>
    <t>DANEYSON CHARRY</t>
  </si>
  <si>
    <t>VICTOR DANIEL ARIAS GONZALEZ</t>
  </si>
  <si>
    <t>2025/088</t>
  </si>
  <si>
    <t xml:space="preserve">NUNCA SE ALOJO AQUÍ </t>
  </si>
  <si>
    <t>2024/417</t>
  </si>
  <si>
    <t>Traslado a Girona</t>
  </si>
  <si>
    <t>2024/502</t>
  </si>
  <si>
    <t>Apartamento LAS PALOMAS Calle Comarca de Doñana nº34 21830 Bonares (Huelva)</t>
  </si>
  <si>
    <t>Begoña +34 629 47 33 54</t>
  </si>
  <si>
    <t>2025/114</t>
  </si>
  <si>
    <t xml:space="preserve">EXEARIO ENRIQUE SANCHEZ </t>
  </si>
  <si>
    <t>Plaza de Josep Tarradellas, 6, 2º 3ª 08191 Rubí, Barcelona</t>
  </si>
  <si>
    <t>Marc +34 647 55 20 58</t>
  </si>
  <si>
    <t>2024/183</t>
  </si>
  <si>
    <t>AURO-TUB, S.L.</t>
  </si>
  <si>
    <t>Pasan Aloojamiento fijo 12/07//AS Porta de Barcelona Autopista AP7, Km 165 (Área de Servicio de Porta de Barcelona), 08755 Castellbisbal, España</t>
  </si>
  <si>
    <t>EVARISTO ERNESTO MILANDO</t>
  </si>
  <si>
    <t>BERGERAC</t>
  </si>
  <si>
    <t>6 Boulevard Albert Claveille, Bergerac, Nouvelle-Aquitaine 24100, Francia</t>
  </si>
  <si>
    <t>Joel +33 6 09 61 46 97</t>
  </si>
  <si>
    <t>2024/472</t>
  </si>
  <si>
    <t>CHAUDRONNERIE LESCAUT</t>
  </si>
  <si>
    <t>Rúa Manuel Fernández Pousa, 8, 32500 O Carballiño, Ourense</t>
  </si>
  <si>
    <t>2024/094</t>
  </si>
  <si>
    <t>Trasladados para Setubal 10/05/</t>
  </si>
  <si>
    <t>WILLIAM DARIO CUERVO ANGULO</t>
  </si>
  <si>
    <t>Olot, Carrer Major, núm. 21.</t>
  </si>
  <si>
    <t>Joaquim Prujà Roca +34 604 49 14 91</t>
  </si>
  <si>
    <t>FABIO FONSECA PINHEIRO</t>
  </si>
  <si>
    <t>2024/116</t>
  </si>
  <si>
    <t>HUGO ALFREDO DE LA OSSA DE LA CRUZ</t>
  </si>
  <si>
    <t>2025/013</t>
  </si>
  <si>
    <t>ALVARO ANDRES ARBELAEZ</t>
  </si>
  <si>
    <t>Calle Rúa 17 Bajo</t>
  </si>
  <si>
    <t>INMACULADA +34 616 95 39 86</t>
  </si>
  <si>
    <t>2024/320</t>
  </si>
  <si>
    <t>Calle SAN FRANCISCO 2-4 (piso situado en 1a Planta) de Cintruenigo</t>
  </si>
  <si>
    <t>MOISES CHAUX MUÑOZ</t>
  </si>
  <si>
    <t>2024/389</t>
  </si>
  <si>
    <t>Lourdes +34 606 06 88 29</t>
  </si>
  <si>
    <t>2024/037</t>
  </si>
  <si>
    <t xml:space="preserve">Trabaja hasta el 31/05//Ingresan al Alojamiento fijo 23/03 </t>
  </si>
  <si>
    <t>ALFREDO ENRIQUE RODRIGUEZ NOGUERA</t>
  </si>
  <si>
    <t>2025/125</t>
  </si>
  <si>
    <t>los siguientes trabajadores de taller y obra de Sevilla, a partir del día de hoy 28/04/2025 se quedan parados</t>
  </si>
  <si>
    <t>2 Boulevard Robert Schuman, Thionville, Gran Este 57100</t>
  </si>
  <si>
    <t>Nico +33 6 32 65 28 88</t>
  </si>
  <si>
    <t>2024/373</t>
  </si>
  <si>
    <t>TOLEDO</t>
  </si>
  <si>
    <t>Calle las Encinas 8, Cubas de la Sagra, Comunidad de Madrid 28978, España</t>
  </si>
  <si>
    <t>Nacho+34 685 96 65 66</t>
  </si>
  <si>
    <t>2025/011</t>
  </si>
  <si>
    <t>finalizan el día 08 de febrero</t>
  </si>
  <si>
    <t>RAPHAEL ALMEIDA  OLIVEIRA</t>
  </si>
  <si>
    <t>JOHN EDWARD VELEZ GRISALES</t>
  </si>
  <si>
    <t>2024/404</t>
  </si>
  <si>
    <t>WILSON VALLEJO HERRERA</t>
  </si>
  <si>
    <t>2024/508</t>
  </si>
  <si>
    <t>FREDY ULISES LEON SANTIAGO</t>
  </si>
  <si>
    <t>Carrer Sant Pere, 7, 17853 Tortellà, Girona</t>
  </si>
  <si>
    <t>Hostal Sant Bernat Ctra. les Feixes, 29-31, 17800 Olot, Girona  Teléfono 972261919</t>
  </si>
  <si>
    <t>AGNER MARTINEZ CARREAZO</t>
  </si>
  <si>
    <t xml:space="preserve">Calle olaguibel 46, 6to izquierda </t>
  </si>
  <si>
    <t>Bryan Alzamora 643 18 82 44</t>
  </si>
  <si>
    <t>2024/355</t>
  </si>
  <si>
    <t>Alojamiento pasa a STOCCO</t>
  </si>
  <si>
    <t>2024/421</t>
  </si>
  <si>
    <t>ENRI JAIME CALDAS BERMUDES</t>
  </si>
  <si>
    <t>2025/076</t>
  </si>
  <si>
    <t>Barrio la Somadilla, 64 Portal 1, 2c, Bádames, Cantabria 39764, España</t>
  </si>
  <si>
    <t>Renata +34 649 00 90 21</t>
  </si>
  <si>
    <t>2024/437</t>
  </si>
  <si>
    <t xml:space="preserve"> IMASA</t>
  </si>
  <si>
    <t>2024/467</t>
  </si>
  <si>
    <t xml:space="preserve"> COMESA SL</t>
  </si>
  <si>
    <t>REF. PEDIDO 2025/001 STOCCO</t>
  </si>
  <si>
    <t xml:space="preserve"> STOCCO, LDA</t>
  </si>
  <si>
    <t>ALVARO PUERTA ESPITIA</t>
  </si>
  <si>
    <t>C. Museo del Prado, 15, 14120 Fuente Palmera, Córdoba</t>
  </si>
  <si>
    <t>Evaristo +34 696 44 56 54</t>
  </si>
  <si>
    <t>2025/501</t>
  </si>
  <si>
    <t>nos confirma que el pasado 17/12/2025 finalizó el siguiente oeprario</t>
  </si>
  <si>
    <t>BORIS ALI CHUNGA LUJAN</t>
  </si>
  <si>
    <t>Carrer de M.M. Escolàpies, 4, 08350 Arenys de Mar, Barcelona</t>
  </si>
  <si>
    <t>Contacto +34 658 42 38 25-+34 931285378</t>
  </si>
  <si>
    <t>2025/074</t>
  </si>
  <si>
    <t>ERBIA 2017, S. L</t>
  </si>
  <si>
    <t>1. Calle Roger de Lluria número 6 Urbanización, Can Parellada, Masquefa, Barcelona 08783, España Marian +34 686 83 11 16//2. pasan a fijo 01/08/2024</t>
  </si>
  <si>
    <t>Fianliza 28/12</t>
  </si>
  <si>
    <t>KEVIN STEVEN RAMIREZ CARDONA</t>
  </si>
  <si>
    <t>2025/105</t>
  </si>
  <si>
    <t>Barriada de la Estación, 1, 04869 Fines, Almería</t>
  </si>
  <si>
    <t>Teléfono +34 668 69 55 20</t>
  </si>
  <si>
    <t>2025/116</t>
  </si>
  <si>
    <t>CARLOS MARIO JARAMILLO LOPEZ</t>
  </si>
  <si>
    <t>2025/015</t>
  </si>
  <si>
    <t>PMA ESTRUCTURAS 318, SL</t>
  </si>
  <si>
    <t>Ampliamos el contrato de los 2 operarios 1 mes mas, hasta el 7 de mayo Saludos// cambio de alojamiento 13/04</t>
  </si>
  <si>
    <t>VICTOR ANGEL NIQUE YZAGUIRRE</t>
  </si>
  <si>
    <t>2025/211</t>
  </si>
  <si>
    <t>Cambio de alojamiento 13/04/2025</t>
  </si>
  <si>
    <t>YIMIS RAMIRO PEREZ ARRIETA</t>
  </si>
  <si>
    <t>2025/060</t>
  </si>
  <si>
    <t xml:space="preserve"> miguel</t>
  </si>
  <si>
    <t>GUERMAIN ISAAC SAJAMIN PANDURO</t>
  </si>
  <si>
    <t>RU2025/009/145</t>
  </si>
  <si>
    <t>ARFAXAD SALINAS TORRES</t>
  </si>
  <si>
    <t>cambio de alojamiento (pago hasta el 28/02)</t>
  </si>
  <si>
    <t>WILFREDO ALONSO QUISPESAYHUA CARRION</t>
  </si>
  <si>
    <t>2025/106</t>
  </si>
  <si>
    <t>TORRAVAL COOLING S.L</t>
  </si>
  <si>
    <t>ALDO LUIS CHACON BALAREZO</t>
  </si>
  <si>
    <t>ALBEIRO OBANDO MICOLTA</t>
  </si>
  <si>
    <t xml:space="preserve">Carrer de Roig, 5-7,1º 2  43201 Reus, Tarragona </t>
  </si>
  <si>
    <t>SERGI TORRELLO  +34 669 03 35 65</t>
  </si>
  <si>
    <t>2024/208</t>
  </si>
  <si>
    <t>SCHWARTZ MONTAJES Y SERVICIOS S.L</t>
  </si>
  <si>
    <t>DIEGO ARMANDO PEDRAZA CHOQUE</t>
  </si>
  <si>
    <t>2024/479</t>
  </si>
  <si>
    <t>2025/050</t>
  </si>
  <si>
    <t xml:space="preserve">SBV </t>
  </si>
  <si>
    <t>GEORGE BILLY CIENFUEGOS SUAREZ</t>
  </si>
  <si>
    <t>2025/059</t>
  </si>
  <si>
    <t>calle sarda 76 74 72 sabadell</t>
  </si>
  <si>
    <t>david oliva coello +34 692 49 35 95</t>
  </si>
  <si>
    <t>2024/509</t>
  </si>
  <si>
    <t>DUMAR EFREN RAMIREZ MENDOZA</t>
  </si>
  <si>
    <t>Publicaciones teams: finalizan el día 08 de febrero//Finalizan el 15/02//Fecha fin aproximada día 28/02</t>
  </si>
  <si>
    <t>FABIAN LEONARDO CERON VALENCIA</t>
  </si>
  <si>
    <t>CRISTIAN RICARDO LLONTOP SANTISTEBAN</t>
  </si>
  <si>
    <t>ALOJAMIENTO PAGO HASTA EL 28/02 NO INFORMO A TIEMPO</t>
  </si>
  <si>
    <t>2024/309</t>
  </si>
  <si>
    <t>ALBERTO ENRIQUE MACIAS TEHERAN</t>
  </si>
  <si>
    <t>Carrer de Rovira i Virgili, 74, 08130 Santa Perpètua de Mogoda, Barcelona</t>
  </si>
  <si>
    <t>2024/106</t>
  </si>
  <si>
    <t>MAURICIO ALVAREZ NIEVA</t>
  </si>
  <si>
    <t>calle Camí alt 2 . Segur de calsfell//Pasan Alojamiento fijo 04/06///Pierre &amp; Vacances Comarruga Avinguda Palfuriana 133, 43880 Comarruga/Carrer de les Escoles, 3, 17132 Foixà, GironaEduard +34 607 54 96 72</t>
  </si>
  <si>
    <t>125 rue Voltaire 62100 Calais</t>
  </si>
  <si>
    <t>ANDRES FELIPE GOMEZ PUERTA</t>
  </si>
  <si>
    <t>2025/175</t>
  </si>
  <si>
    <t>YAMIR CUTIVA SANCHEZ</t>
  </si>
  <si>
    <t>Calle. Bonifacio González Carreño, 9, 33900 Langreo, Asturias</t>
  </si>
  <si>
    <r>
      <rPr>
        <sz val="11"/>
        <color rgb="FF305496"/>
        <rFont val="Calibri"/>
        <family val="2"/>
      </rPr>
      <t>1.Hotel San Pedro C. Melquiades Álvarez, 81, 33930 Langreo, Asturias Ana 985693211 // Pasan alojamiento</t>
    </r>
    <r>
      <rPr>
        <sz val="11"/>
        <color rgb="FFFF0000"/>
        <rFont val="Calibri"/>
        <family val="2"/>
      </rPr>
      <t xml:space="preserve"> 03/09  hasta 30/09// CARTA DE RESICION Hasta el 26/02/2025</t>
    </r>
  </si>
  <si>
    <t>WILFREDO MAYORGA DURAN</t>
  </si>
  <si>
    <t>Aloj propio 26/10 Pasan alojamiento fijo Antonio 07/07/Hotel San Pedro Lugar Santa Rosa, 15, 33614 Santa Rosa, Asturias // Lugar Santa Rosa, 15, 33614 Santa Rosa, Asturias Antonio +34 606 33 64 25//Todos los trabajadores finalizarán el día 21/02</t>
  </si>
  <si>
    <t>CAMBIO ALOJMAIENTO PROPIO 17/07</t>
  </si>
  <si>
    <t>WALLYSSON FEITOSA BARBOSA</t>
  </si>
  <si>
    <t>ALISSON ANTONIO SOUSA DOS SANTOS</t>
  </si>
  <si>
    <t>DALMIRO SOTO RAMOS</t>
  </si>
  <si>
    <t>Jefferson Palencia  +34 627 87 94 33</t>
  </si>
  <si>
    <r>
      <rPr>
        <sz val="11"/>
        <color rgb="FF305496"/>
        <rFont val="Calibri"/>
        <family val="2"/>
      </rPr>
      <t>1.Hotel San Pedro C. Melquiades Álvarez, 81, 33930 Langreo, Asturias Ana 985693211 // Pasan alojamiento</t>
    </r>
    <r>
      <rPr>
        <sz val="11"/>
        <color rgb="FFFF0000"/>
        <rFont val="Calibri"/>
        <family val="2"/>
      </rPr>
      <t xml:space="preserve"> 03/09  hasta 30/09 // Todos los trabajadores finalizarán el día 21/02</t>
    </r>
  </si>
  <si>
    <t>DANIEL DOMINGO MARCHENA AGURTO</t>
  </si>
  <si>
    <t>Calle Acella, 2 (bis Por la Avenida De Navarra Seguidamente a la terraza del, Restaurante 29 (ex Harmony), 31008 Pamplona, Navarra, España</t>
  </si>
  <si>
    <t>Contacto: +34 640 56 07 39</t>
  </si>
  <si>
    <t>IMEGUISA: INDUSTRIAS METALICAS DE GIPUZKOA, S.A.</t>
  </si>
  <si>
    <t>CRISTHIAN ANDRES CURAY LAZARO</t>
  </si>
  <si>
    <t>2025/001</t>
  </si>
  <si>
    <t>2025/057</t>
  </si>
  <si>
    <t>METALICAS DEL HENARES, SLU</t>
  </si>
  <si>
    <t>EDUARDO BAMBAREN CISTERNA</t>
  </si>
  <si>
    <t>2025/141</t>
  </si>
  <si>
    <t>APLICACIONES METALAYM SL</t>
  </si>
  <si>
    <t>Pedido sin fecha de inicio confirmada</t>
  </si>
  <si>
    <t>PREAVISO HASTA: 18/02/2025//Todos los trabajadores finalizarán el día 21/02</t>
  </si>
  <si>
    <t>DAGOBERTO OSPINO COLLANTE</t>
  </si>
  <si>
    <t>Alojamiento propio 25/10 Ingresan Alojamiento fijo 26/05///HOTEL Alda Miramar Rooms C. Sta. Lucía, 9, Centro, 33206 Gijón, Asturias +34984506500 // Lugar Santa Rosa, 15, 33614 Santa Rosa, Asturias Antonio +34 606 33 64 25//Finalizan 21/02</t>
  </si>
  <si>
    <t>ERLEIN GOMEZ RAMOS</t>
  </si>
  <si>
    <t>2024/475</t>
  </si>
  <si>
    <t>renuncia 21/02</t>
  </si>
  <si>
    <t>Todos los trabajadores finalizarán el día 21/02</t>
  </si>
  <si>
    <t>ALONSO SOLANO GOMEZ</t>
  </si>
  <si>
    <t>2024/302</t>
  </si>
  <si>
    <r>
      <rPr>
        <sz val="11"/>
        <color rgb="FF305496"/>
        <rFont val="Calibri"/>
        <family val="2"/>
      </rPr>
      <t>1.Hotel San Pedro C. Melquiades Álvarez, 81, 33930 Langreo, Asturias Ana 985693211 // Pasan alojamiento</t>
    </r>
    <r>
      <rPr>
        <sz val="11"/>
        <color rgb="FFFF0000"/>
        <rFont val="Calibri"/>
        <family val="2"/>
      </rPr>
      <t xml:space="preserve"> Fijo 03/09// pasa alojamiento propio 24/09 Falta entregar contrato o recibo del alojamiento //PREAVISO HASTA: 18/02/2025//Finalizan 21/02</t>
    </r>
  </si>
  <si>
    <t>ALOJAMIENTO DEL CLIENTE</t>
  </si>
  <si>
    <t>EDGAR FERNEY JAIMES RODRIGUEZ</t>
  </si>
  <si>
    <t>2025/135</t>
  </si>
  <si>
    <t>TOKIO METAL SL</t>
  </si>
  <si>
    <t>AljaLux Sevilla Bormujos 5 Avenida del Barrerillo, 41930 Bormujos, España</t>
  </si>
  <si>
    <t xml:space="preserve">Nuria +34 619 21 53 34 </t>
  </si>
  <si>
    <t>ANDRÉS FELIPE GÓMEZ PUERTA (Último día: 28/07/2026) Motivo: Ambos trabajadores presentaron su renuncia tras obtener la documentación de regularización.</t>
  </si>
  <si>
    <t xml:space="preserve"> Hotel IRAIPE Gorbea, Teodoro Gonzalez De Zarate, 50, 01007 Vitoria, España</t>
  </si>
  <si>
    <t>945 14 49 26</t>
  </si>
  <si>
    <t>2025/142</t>
  </si>
  <si>
    <t>ARGEMIRO JAVIER CORTES CALDERON</t>
  </si>
  <si>
    <t>2025/642</t>
  </si>
  <si>
    <r>
      <rPr>
        <sz val="12"/>
        <color rgb="FF000000"/>
        <rFont val="Aptos"/>
        <family val="2"/>
      </rPr>
      <t>nos confirman que hoy viernes </t>
    </r>
    <r>
      <rPr>
        <b/>
        <sz val="12"/>
        <color rgb="FF000000"/>
        <rFont val="Aptos"/>
        <family val="2"/>
      </rPr>
      <t>07/11/2025//que deberían haber empezado hoy 06/11/20205//</t>
    </r>
  </si>
  <si>
    <t>CESAR AUGUSTO LONDOÑO GASCA</t>
  </si>
  <si>
    <t>C. de Juan María Guelbenzu Kalea, 48, 31005 Pamplona, 2 izquierda</t>
  </si>
  <si>
    <t>2024/085</t>
  </si>
  <si>
    <t>Pasa alojamiento fijo 30/06//Calle San Blas, Burlada, Navarra 31600 Paula  +34 679 25 15 56 ///Cambia de Alojamiento a Olloky a partir 26/06</t>
  </si>
  <si>
    <t>Avenida de España, 22, Mijas, Andalucía 29649, España</t>
  </si>
  <si>
    <t>Ignacio +34 952 93 32 63</t>
  </si>
  <si>
    <t>2025/022</t>
  </si>
  <si>
    <t>ENRIQUE SABALZA RODRIGUEZ</t>
  </si>
  <si>
    <t>DIEGO FERNANDO VIVEROS CORREA</t>
  </si>
  <si>
    <t>CARLOS JOSUE CUMPA TALLEDO</t>
  </si>
  <si>
    <t>Apartamento LAS GACELAS Calle Fray Junipero Serra nº33 1º Izq 21130 Mazagón (Huelva)</t>
  </si>
  <si>
    <t>2025/138</t>
  </si>
  <si>
    <t>MARBELLA</t>
  </si>
  <si>
    <t>SOLGUEST APARTAMENTO II NAPOLEÓN Avenida Jacaranda 6 Las Chapas, 29604 Marbella, España</t>
  </si>
  <si>
    <t xml:space="preserve">+34 637 96 96 50 </t>
  </si>
  <si>
    <t>FRANCO CESAR GONZALES CUMPA</t>
  </si>
  <si>
    <t>C. de San Asturio Serrano, 1, 2  1º B 28802 Alcalá de Henares, Madrid</t>
  </si>
  <si>
    <t xml:space="preserve">Rooms Salomons +34 658 13 23 00
</t>
  </si>
  <si>
    <t>2025/140</t>
  </si>
  <si>
    <t>Calle Cádiz, Nº1, Bajo Izquierda, C.P: 04869, Fines, (Almería)</t>
  </si>
  <si>
    <t>Calle cerrada  9 toro  zamora</t>
  </si>
  <si>
    <t>Helen Rodiguez +34 632 76 92 79</t>
  </si>
  <si>
    <t>CAMBIO DE ALOJAMIENTO 04/12</t>
  </si>
  <si>
    <t>OSCAR ANDRES RIVAS ESCALANTE</t>
  </si>
  <si>
    <t>2024/083</t>
  </si>
  <si>
    <t xml:space="preserve">Pasa alojamiento propio 23/07///ngresa a Tudela 26/04///Valor autorizado por Thalìa sale 26/04 Ctra. Cuéllar, 60, 40297 Sanchonuño, Segovia Ana +34 648 69 55 68 // 15/09 Pasa a Léon </t>
  </si>
  <si>
    <t>2024/416</t>
  </si>
  <si>
    <t>Vuelve a propio 4/11</t>
  </si>
  <si>
    <t>OMAR ARNOLDO DULCEY PEÑA</t>
  </si>
  <si>
    <t>Ripollet Pau Casals 47 // Carrer del Forn, 28 Sabadell, Barcelona</t>
  </si>
  <si>
    <t>CARLOS ANDRES JIMENEZ RAMIREZ</t>
  </si>
  <si>
    <t>2024/387</t>
  </si>
  <si>
    <t>cambio de alojamiento a propio, aplica pago a partir del 01/03 ya que la solicitud de pago se hizo anticipadamente//C. de Llaranes Viejo, 8, 33460 Avilés, Asturias 616097205</t>
  </si>
  <si>
    <t>ALEX ALTAMAR CARMONA</t>
  </si>
  <si>
    <t>2025/095</t>
  </si>
  <si>
    <t>DIEGO ROBERTO SOUZA SCAVACINI</t>
  </si>
  <si>
    <t>Av. De los huetos 18  C piso 3 C. Vitoria Gasteiz</t>
  </si>
  <si>
    <t>Angela 650236154</t>
  </si>
  <si>
    <t>2024/167</t>
  </si>
  <si>
    <t>Sale de este alojamiento 01/10///Calle Busturbi Kalea, 7 7, Gamarra Nagusia, País Vasco// sale del alojamiento 01/03/2025</t>
  </si>
  <si>
    <t xml:space="preserve">PENSION ARABA Florida Kalea, 25, 01005 Gasteiz, Araba </t>
  </si>
  <si>
    <t>RAMON  +34 670 28 26 36</t>
  </si>
  <si>
    <t>YOFRE DAVID ERAZO TORRES</t>
  </si>
  <si>
    <t>Finaliza 12/04</t>
  </si>
  <si>
    <t>HAROLD ALBERTO GRISALES ARRIETA</t>
  </si>
  <si>
    <t>ELMER JACKSON ROJAS CUMPA</t>
  </si>
  <si>
    <t>Plaza de las Tazas, 11 Casa, Córdoba, Andalucía 14002, España</t>
  </si>
  <si>
    <t>Cristina +34 606 34 66 02</t>
  </si>
  <si>
    <t>2025/136</t>
  </si>
  <si>
    <t>SERGIO LUIS BELTRAN BALDOVINO</t>
  </si>
  <si>
    <t>El próximo viernes 04/04/2025, será el último día que trabajarán los 3 soldadores</t>
  </si>
  <si>
    <t>JAIME ALEJANDRO RETIS TOLENTINO</t>
  </si>
  <si>
    <t>ALONSO SIERRA GAFARO</t>
  </si>
  <si>
    <t>JUAN CARLOS NUÑEZ MORALES</t>
  </si>
  <si>
    <t>HAROLD SMITH MAESTRE LEON</t>
  </si>
  <si>
    <t>2024/362</t>
  </si>
  <si>
    <t>CARTA DE RESCISIÓN 16/04/2025</t>
  </si>
  <si>
    <t>2025/187</t>
  </si>
  <si>
    <t>JESUS JAMES BALDEON ZUNIGA</t>
  </si>
  <si>
    <t>17 Plaça Major 2n 2a, 17820 Banyoles, España</t>
  </si>
  <si>
    <t>+34 685 99 62 54</t>
  </si>
  <si>
    <t>2025/177</t>
  </si>
  <si>
    <t>FABIANO ANTUNES DE CARVALHO</t>
  </si>
  <si>
    <t>ANDY LYONEL CARRASCO VARGAS</t>
  </si>
  <si>
    <t>2025/199</t>
  </si>
  <si>
    <t>JAVIER ANTONIO BARROS RICO</t>
  </si>
  <si>
    <t>SANTOS PAULO ARCAYA NORIEGA</t>
  </si>
  <si>
    <t>LEON</t>
  </si>
  <si>
    <t>Calle Médulas, 1 2º F, Ponferrada, Castilla y León 24400, España</t>
  </si>
  <si>
    <t>2025/183</t>
  </si>
  <si>
    <t>TRIBAU EQUIPMENT S.L.U</t>
  </si>
  <si>
    <t>DAVID JONATHAN CHAMBILLA COAPAZA</t>
  </si>
  <si>
    <t>MANUEL MACIAS BALANTA</t>
  </si>
  <si>
    <r>
      <rPr>
        <sz val="11"/>
        <color rgb="FFFF0000"/>
        <rFont val="Calibri"/>
        <family val="2"/>
      </rPr>
      <t>Finaliza 08/10</t>
    </r>
    <r>
      <rPr>
        <sz val="11"/>
        <color rgb="FF305496"/>
        <rFont val="Calibri"/>
        <family val="2"/>
      </rPr>
      <t>//1. Hotel Naval 944186216 //2. Pasan a alojamieto fijo hasta 30/08/2024</t>
    </r>
  </si>
  <si>
    <t>LEWIS AGUSTIN BARBOZA HERRERA</t>
  </si>
  <si>
    <r>
      <rPr>
        <sz val="11"/>
        <color rgb="FFFF0000"/>
        <rFont val="Calibri"/>
        <family val="2"/>
      </rPr>
      <t>Finalizan 29/11</t>
    </r>
    <r>
      <rPr>
        <sz val="11"/>
        <color rgb="FF305496"/>
        <rFont val="Calibri"/>
        <family val="2"/>
      </rPr>
      <t>.1. Hotel Naval 944186216 //2. Pasan a alojamieto fijo hasta 30/08/2024</t>
    </r>
  </si>
  <si>
    <t>7 Carrer de Fontajau piso 6 puerta 1</t>
  </si>
  <si>
    <t>Pedro castro +34 656 50 18 61</t>
  </si>
  <si>
    <t>2025/018</t>
  </si>
  <si>
    <t>ALOJAMIENTO CLIENTE</t>
  </si>
  <si>
    <t>XEMIR SOLER ROMERO</t>
  </si>
  <si>
    <t>Aparthotel Les Agudes Dirección: Ctra. Hostalric, Km. 16, 17401 Arbúcies, Girona.</t>
  </si>
  <si>
    <t>Patricia Reus    605681569</t>
  </si>
  <si>
    <t>2024/315</t>
  </si>
  <si>
    <r>
      <rPr>
        <sz val="11"/>
        <color rgb="FFFF0000"/>
        <rFont val="Calibri"/>
        <family val="2"/>
      </rPr>
      <t xml:space="preserve">cambio de alojamiento//Pendiente Factura </t>
    </r>
    <r>
      <rPr>
        <sz val="11"/>
        <color rgb="FF305496"/>
        <rFont val="Calibri"/>
        <family val="2"/>
      </rPr>
      <t xml:space="preserve">1.Hostal Montsoliu. Ubicación: Carrer Francesc Camprodon, 90, 17401 Arbúcies, Girona Cora   649 611 915 // Pasan a fijo 23/09 </t>
    </r>
  </si>
  <si>
    <t>EDUARDO JOSE RUSSO LINERO</t>
  </si>
  <si>
    <t>2025/075</t>
  </si>
  <si>
    <t>GIAN CARLOS SAAVEDRA LAPA</t>
  </si>
  <si>
    <t>HOTEL MIRADOR DEL RIO S.L. C. Ebanistas, 9, 28891 Velilla de San Antonio, Madrid</t>
  </si>
  <si>
    <t>2025/191</t>
  </si>
  <si>
    <t>BENJAMIN MIGUEL VENTOCILLA CANDELARIO</t>
  </si>
  <si>
    <t>GIOVANNI CHRISTIAN SALAZAR HIDALGO</t>
  </si>
  <si>
    <t>Via Claudio Monteverdi 24. Lugo</t>
  </si>
  <si>
    <t>+39 342 640 2784</t>
  </si>
  <si>
    <t>2025/146</t>
  </si>
  <si>
    <t>WAYSTEY SILVA SOUSA</t>
  </si>
  <si>
    <t>ESTARREJA</t>
  </si>
  <si>
    <t>2025/131</t>
  </si>
  <si>
    <t>SIMI - SOCIEDADE INTERNACIONAL DE MONTAGENS INDUSTRIAIS AS</t>
  </si>
  <si>
    <t>ANGERSON GIULLIANO DE OLIVEIRA DANTAS</t>
  </si>
  <si>
    <t>JUAN PABLO PORTILLA ZAMBRANO</t>
  </si>
  <si>
    <t>2025/004</t>
  </si>
  <si>
    <t>MIJAS</t>
  </si>
  <si>
    <t>Calle Ópalo, 9, Mijas, Andalucía 29649, España</t>
  </si>
  <si>
    <t>Mojo Rentals+34 671 16 30 47</t>
  </si>
  <si>
    <t>pasan para alojamiento en marbella</t>
  </si>
  <si>
    <t>SIMION LUCIANO CHILINGANO PILLACA</t>
  </si>
  <si>
    <t xml:space="preserve">GEOSMES </t>
  </si>
  <si>
    <t>29 Rue Gambetta, Langres, Grand Est 52200, Francia</t>
  </si>
  <si>
    <t>Mickael</t>
  </si>
  <si>
    <t>2025/182</t>
  </si>
  <si>
    <t>CDE SAS</t>
  </si>
  <si>
    <t>02 CAMAS</t>
  </si>
  <si>
    <t>ULISES HERNAN CORDOVA HERNANDEZ</t>
  </si>
  <si>
    <t>2025/198</t>
  </si>
  <si>
    <t>trabaja hasta el 19/08</t>
  </si>
  <si>
    <t>2024/370</t>
  </si>
  <si>
    <t>ALOJAMIENTO FIJO PAGO HASTA EL 07/02/2025</t>
  </si>
  <si>
    <t>JHOAN ANDRES SANCHEZ PEDRAZA</t>
  </si>
  <si>
    <t xml:space="preserve">Traslado a Lleida 18/08//Rda. de San Antonio María Claret, 28, 17002 Girona//Pasan alojamiento fijo 5/07///Hotel Tall de Conill Plaça Angel Guimerà, 11, 08786 Capellades, Barcelona///Santa Maria de Miralles, provincia de Barcelona, Carretera C-37 (de Igualada a Valls) km 49, masia Mas Vilà Marta +34 669 66 84 10/ Hotel Ciutat de Girona &amp; Apartaments </t>
  </si>
  <si>
    <t>JULIAN FERNANDO MORALES AGUILAR</t>
  </si>
  <si>
    <t>Pasa alojamiento propio 30/06</t>
  </si>
  <si>
    <t>SEBASTIAN ANDRADE PERLAZA</t>
  </si>
  <si>
    <t>HOSTAL EL VAL</t>
  </si>
  <si>
    <t xml:space="preserve"> Remiro Goñi 8-1C Pamplona, Navarra</t>
  </si>
  <si>
    <t>Carrer del Ponent, 5, 17820 Banyoles, Girona</t>
  </si>
  <si>
    <t>Joaquin+34 604 49 14 91</t>
  </si>
  <si>
    <t>ALYSON HENRIQUE SILVA NASCIMENTO</t>
  </si>
  <si>
    <t>2024/377</t>
  </si>
  <si>
    <t>CAMBIO DE ALOJAMIENTO///Pasa Alojamiento fijo 15-10//Carrer Mossèn Antoni M. Alcover, 11, Vic, Catalunya 08500, España</t>
  </si>
  <si>
    <t>JOSE FERNANDO JARAMILLO HERNANDEZ</t>
  </si>
  <si>
    <t>DEIVIS MUÑOZ TORRES</t>
  </si>
  <si>
    <t>22 Barrio la Somadilla Bajo, 39764 Bádames, España</t>
  </si>
  <si>
    <t>Ana + 64 608 23 67 58</t>
  </si>
  <si>
    <t>2024/401</t>
  </si>
  <si>
    <t>ANDRES FABIAN CASTRO OSPINA</t>
  </si>
  <si>
    <t>Reemplaza hb Eliton salida 17/02///Trabajo hasta el 31/06</t>
  </si>
  <si>
    <t>JHON LUIS URBAY HURTADO</t>
  </si>
  <si>
    <t>Carrer de Serafí Pitarra, 14, 43840 Salou, Tarragona</t>
  </si>
  <si>
    <t>2024/074</t>
  </si>
  <si>
    <t>Trabajo hasta 25/04/</t>
  </si>
  <si>
    <t>Hotel Goya Carrer Alcalde Costa, 9, 25002 Lleida</t>
  </si>
  <si>
    <t>calle leganitos número 2 3-A, Marbella, España</t>
  </si>
  <si>
    <t>Elena +34 685 22 79 69</t>
  </si>
  <si>
    <t>Monda, Andalucía 29110, España</t>
  </si>
  <si>
    <t>Cubos Holiday Homes +34 640 37 17 77</t>
  </si>
  <si>
    <t>JUAN ESTEBAN CUERVO CHALARCA</t>
  </si>
  <si>
    <t>2025/094</t>
  </si>
  <si>
    <t>Avenida Ingenieros de Riviera número 1, bloque 4 (bajo 3.), Mijas Costa, Conjunto Terrazas del Sol, Málaga 29649, España</t>
  </si>
  <si>
    <t>Livia +36 70 388 3388</t>
  </si>
  <si>
    <t>2025/128</t>
  </si>
  <si>
    <t>GUSTAVO YOLIAN MEJIA SALAZAR</t>
  </si>
  <si>
    <r>
      <rPr>
        <sz val="11"/>
        <color rgb="FFFF0000"/>
        <rFont val="Calibri"/>
        <family val="2"/>
      </rPr>
      <t xml:space="preserve">Finaliza 24/09  </t>
    </r>
    <r>
      <rPr>
        <sz val="11"/>
        <color rgb="FF305496"/>
        <rFont val="Calibri"/>
        <family val="2"/>
      </rPr>
      <t>25/07/2024 Calle Barquillo, 1, Salamanca, Castilla y León 37008  Ana María +34 607 02 91 03// pasan a piso fijo</t>
    </r>
  </si>
  <si>
    <t>JORGE ARMANDO DIAZ FLOREZ</t>
  </si>
  <si>
    <r>
      <rPr>
        <sz val="11"/>
        <color rgb="FFFF0000"/>
        <rFont val="Calibri"/>
        <family val="2"/>
      </rPr>
      <t xml:space="preserve">Finaliza 08/10 </t>
    </r>
    <r>
      <rPr>
        <sz val="11"/>
        <color rgb="FF305496"/>
        <rFont val="Calibri"/>
        <family val="2"/>
      </rPr>
      <t>//1. Hotel Naval 944186216 //2. Pasan a alojamieto fijo hasta 30/08/2024</t>
    </r>
  </si>
  <si>
    <t>JULIO CESAR VERGARA DE AVILA</t>
  </si>
  <si>
    <t>RAFAEL ARTURO REYES ROMERO</t>
  </si>
  <si>
    <t>ANTONIO YESID MARRUGO JARAMILLO</t>
  </si>
  <si>
    <t>ERICK SAUL JIMENEZ SORACA</t>
  </si>
  <si>
    <t>2025/209</t>
  </si>
  <si>
    <t>DAWED JAIR AGUDELO PEREZ</t>
  </si>
  <si>
    <t>ANTHONY JULIAN MORENO VALDERRAMA</t>
  </si>
  <si>
    <t>ALVARO ADRIAN GOMEZ CASTRO</t>
  </si>
  <si>
    <t>JAIRO ALEJANDRO CAICEDO SANCHEZ</t>
  </si>
  <si>
    <t>HERLEY REYES AMAYA</t>
  </si>
  <si>
    <t>NEDER MIGUEL VELASQUEZ ACOSTA</t>
  </si>
  <si>
    <t>2024/461</t>
  </si>
  <si>
    <t>TERMINA 13/01</t>
  </si>
  <si>
    <t>2025/212</t>
  </si>
  <si>
    <t>ISMAEL ALBERTO MENESES VALDES</t>
  </si>
  <si>
    <t>C/SAN FERNANDO 45 TERCERO IZQUIERDA, CARTAGENA, CP 30202, MURCIA INGRID +34 646 80 06 72// sale alojamiento propio 27/11// PASO CARTA DE PRESICION HASTA EL 21/03</t>
  </si>
  <si>
    <t>02/02/25///Salen viernes 22/11 Residencial Clarín, Bo. la Somadilla, 28, 39764 La Maza, Cantabria Alejandra +34 658 06 64 09///Se pago mes de octubre</t>
  </si>
  <si>
    <t>BERNARDO CABRERA MARTINEZ</t>
  </si>
  <si>
    <t>R2025/023/152</t>
  </si>
  <si>
    <t>abandono el trabajo 29/04/25, ENTRA REEMPLAZO PARA EL 12/05</t>
  </si>
  <si>
    <t>YEFFERSON ZULUAGA BUITRAGO</t>
  </si>
  <si>
    <t>Carrer S. Antoni, 7, 25243 El Palau d'Anglesola, Lleida</t>
  </si>
  <si>
    <t>2025/067</t>
  </si>
  <si>
    <t>ELECTRODINAMIC JO-AN S.L</t>
  </si>
  <si>
    <t>FRANCISCO ALBERTO MARAVI CHUMBE</t>
  </si>
  <si>
    <t>2025/180</t>
  </si>
  <si>
    <t>BRANDON RAMIREZ ZAPATA</t>
  </si>
  <si>
    <t>Hotel Castillo de Montemayor Carretera Cordoba-Malaga, Km 35, 14530 Montemayor, España</t>
  </si>
  <si>
    <t>+34 957 38 42 00</t>
  </si>
  <si>
    <t>2025/640</t>
  </si>
  <si>
    <t>CAMBIO DE ALOJAMIENTO//que deberían haber empezado hoy 06/11/20205</t>
  </si>
  <si>
    <t>EDGAR ROMULO GUINEA CRUZ</t>
  </si>
  <si>
    <t>PR-2025/002</t>
  </si>
  <si>
    <t>PEDRO ALEJANDRO JIMENEZ VEGA</t>
  </si>
  <si>
    <t>Arbúcies, Carrer Mossèn Jacint Verdaguer, núm. 21.</t>
  </si>
  <si>
    <t xml:space="preserve">tweemontstraat 50, 2100 Deurne. </t>
  </si>
  <si>
    <t>Kristof +32 486 02 78 75</t>
  </si>
  <si>
    <t>Calle Seneca, 2, Doña Mencía, Andalucía 14860, España</t>
  </si>
  <si>
    <t> +34 635 11 40 65 Pilar</t>
  </si>
  <si>
    <t>MEDIADIOS DE FEBERERO</t>
  </si>
  <si>
    <t>JUAN CARLOS BENAVIDES RODRIGUEZ</t>
  </si>
  <si>
    <t>Avilés C/ Juan Ochoa nº 27 1º B.</t>
  </si>
  <si>
    <t>Carlos Fernandez 616097205</t>
  </si>
  <si>
    <t>EDWIN ALEXANDER DIAZ PITRE</t>
  </si>
  <si>
    <t>2024/408</t>
  </si>
  <si>
    <t>DAVID RICARDO SANCHEZ ZAPATA</t>
  </si>
  <si>
    <t>MILAN</t>
  </si>
  <si>
    <t>Villetta relax alle porte di Milano 3 Via delle querce, 20053 Rodano, Italia</t>
  </si>
  <si>
    <t>+39 339 469 0236</t>
  </si>
  <si>
    <t>2025/236</t>
  </si>
  <si>
    <t>SINTEL S.R.L</t>
  </si>
  <si>
    <t>Barrio la Somadilla, 9A, 1g, 39764 Bádames, España</t>
  </si>
  <si>
    <t>Silvia +34 609 12 31 80</t>
  </si>
  <si>
    <t>NELSON JAVIER ACOSTA SANTISTEBAN</t>
  </si>
  <si>
    <t>C/ de la Coma n.º 4, 4º1ª Constantí (43120) Tarragona.</t>
  </si>
  <si>
    <t>RAÙL +34 679 36 12 37</t>
  </si>
  <si>
    <t>Finaliza 23/07//Pasa alojamiento de raul 20/06</t>
  </si>
  <si>
    <t>Calle San asturio Serrano 1 esc  2 2º A - Alcalá de Henares</t>
  </si>
  <si>
    <t>Cari Rooms Salomons Pisos Madrid +34 658 13 23 00</t>
  </si>
  <si>
    <t>2025/081</t>
  </si>
  <si>
    <t>Todos los trabajadores de Portland-Valderrivas terminan esta semana</t>
  </si>
  <si>
    <t>JHESUAT EMANUEL DELGADO ALPALA</t>
  </si>
  <si>
    <t>2025/086</t>
  </si>
  <si>
    <t>Hotel Gama V.le Gavazzi, 53, 20066 Melzo, Italia</t>
  </si>
  <si>
    <t>+39 02 9571 1840</t>
  </si>
  <si>
    <t>C/ Cervantes, 23 10694 TORREJÓN EN RUBIO (Cáceres)</t>
  </si>
  <si>
    <t>Pilar Jorrillo Caceres +34 678 33 05 98</t>
  </si>
  <si>
    <t>2025/226</t>
  </si>
  <si>
    <t>2025/210</t>
  </si>
  <si>
    <t>Pensiòn Los  Claveles C. Juan Valera, 15, 14850 Baena, Còrdoba</t>
  </si>
  <si>
    <t>Manuela 957670174</t>
  </si>
  <si>
    <t>CARTA DE RESCISIÓN Hatas 31/03</t>
  </si>
  <si>
    <t>CARLOS ALBERTO PACHAJOA ZEMANATE</t>
  </si>
  <si>
    <t>2024/265</t>
  </si>
  <si>
    <t>Paso a alojamiento fijo apartir del 01/08/2024///C. Ebanistas, 9, 28891 Velilla de San Antonio, Madrid</t>
  </si>
  <si>
    <t>LUIS ALFREDO RODRIGUEZ HERNANDEZ</t>
  </si>
  <si>
    <t>calle Manuel Iradier 28 4º dcha. Vitoria-Gasteiz, </t>
  </si>
  <si>
    <t>ESTE PISO SE PASO A STOCCO POR ESCRITO CORREO A LOGISTICA 05/03/2025</t>
  </si>
  <si>
    <t>Hotel-Apartamento Martín Alonso Pinzón, 4 Estrellas Mazagón (Huelva)</t>
  </si>
  <si>
    <t>Diego Pérez Barroso 664 820 431</t>
  </si>
  <si>
    <t>DIEGO CORTES REAL BARBOSA</t>
  </si>
  <si>
    <t>R2025/012/177</t>
  </si>
  <si>
    <t>LAISNERS GALICIA MORALES</t>
  </si>
  <si>
    <t>2024/090</t>
  </si>
  <si>
    <r>
      <rPr>
        <sz val="11"/>
        <color rgb="FF305496"/>
        <rFont val="Calibri"/>
        <family val="2"/>
      </rPr>
      <t xml:space="preserve">//FIN DE LA OBRA 31/08/Carrer Major, 82 1B, La Galera, Catalunya 43515, España Teresa +34 606 09 06 35//Salen del hotel Bon Lloc///Carrer de les Parres, 41, Alcanar, Catalunya 43530, España Calle MAJOR número 155 del municipio de Ulldecona//Alojamiento fijo 09/08/2024 - </t>
    </r>
    <r>
      <rPr>
        <sz val="11"/>
        <color rgb="FFC00000"/>
        <rFont val="Calibri"/>
        <family val="2"/>
      </rPr>
      <t>SALIDA  ALJ 31/08/2024 // pasa alojamiento propio 08/10 // finalizarán los trabajos en planta hasta el viernes 6 de junio, se retomarán los trabajos en esta ubicación hasta la semana 26 o 27.</t>
    </r>
  </si>
  <si>
    <t>Via Edmondo de amicis 6 Peschiera Borromeo, Italy 20068</t>
  </si>
  <si>
    <t>+39 333 162 5416</t>
  </si>
  <si>
    <t>Hotel Castillo de Montemayor Carr. Córdoba - Málaga, 0, 14530 Montemayor, Córdoba</t>
  </si>
  <si>
    <t>RU-0099 A PARTIR DEL 06/04/2026</t>
  </si>
  <si>
    <t>Apartamento CENTRO C/ Ancla nº3 1ºB 21130 Mazagón (Huelva)</t>
  </si>
  <si>
    <t>EFRAIN MAXIMO CHILCA ORE</t>
  </si>
  <si>
    <t>2025/042</t>
  </si>
  <si>
    <t>MIGUEL ANGEL LLINAS DE LA ROSA</t>
  </si>
  <si>
    <t>Marìa +34 617 00 83 05</t>
  </si>
  <si>
    <t>ROSEMBERT PATERNINA BARON</t>
  </si>
  <si>
    <t>Trabaja 26/07</t>
  </si>
  <si>
    <t>JORGE ELIECER NAVARRO PALOMINO</t>
  </si>
  <si>
    <t xml:space="preserve">Calle Herradura 2, Espiel, Andalucía 14220, España </t>
  </si>
  <si>
    <t>Ester +31 6 28358779</t>
  </si>
  <si>
    <t>2026/RU099</t>
  </si>
  <si>
    <t>Cambio de alojamiento 13/04/2026//Actualmente 2 personas activas, salio el trio dinamico Rh (yajarira) quedo de hablar para que salieran del alojamiento.</t>
  </si>
  <si>
    <t>Carr. Córdoba, 3, 14300 Villaviciosa de Córdoba, Córdoba</t>
  </si>
  <si>
    <t>957360674 / +34 722 40 82 44 (Maria)</t>
  </si>
  <si>
    <t>Cambio de alojamiento 17/04/2026</t>
  </si>
  <si>
    <t>Casa Rural - La Casa Del Abuelo Martín C. Córdoba, 48, 14300 Villaviciosa de Córdoba, Córdoba</t>
  </si>
  <si>
    <t>Inmaculada +34 654 05 64 92</t>
  </si>
  <si>
    <t>Cambio de alojamiento almeria a partir del 26/04/2026</t>
  </si>
  <si>
    <t>WILLIAM PUENTES ANTOLINEZ</t>
  </si>
  <si>
    <t>2025/247</t>
  </si>
  <si>
    <t>HAROLD REFERTIN SERNAQUE CARRASCO</t>
  </si>
  <si>
    <t>CHRISTIAN NAYID SIMONDS</t>
  </si>
  <si>
    <t>C. Padre Conde, 6, 09006 Burgos</t>
  </si>
  <si>
    <t>JUAN CARLOS  +34 625 64 10 95</t>
  </si>
  <si>
    <t>2024/140</t>
  </si>
  <si>
    <t>Salen alojamiento propio 28/05///HOTEL Hq La Galeria C. López Bravo, 4, 09197 Burgos//finalizan mañana 04/04 en Burgos y serán reubicados a Barcelona para la obra de la FIRA.</t>
  </si>
  <si>
    <t>DANIEL CHAVES SILVA</t>
  </si>
  <si>
    <t>2025/129</t>
  </si>
  <si>
    <t>HAWER PONTON MANCILLA</t>
  </si>
  <si>
    <t>De Pretstraat 11, Amberes (Término Municipal), 2060 Amberes, Bélgica</t>
  </si>
  <si>
    <t>+32 3 303 72 98</t>
  </si>
  <si>
    <t>2025/243</t>
  </si>
  <si>
    <t>EON IVES ARAUJO REIS JUNIOR</t>
  </si>
  <si>
    <t>alojamiento cliente</t>
  </si>
  <si>
    <t>TUUL ETXEA, 48 Txomin Egileor Kalea, 48960 Galdácano, España</t>
  </si>
  <si>
    <t>2024/240</t>
  </si>
  <si>
    <t>INDUSON APLICACIONES ACUSTICAS INDUSTRIALES, S.L</t>
  </si>
  <si>
    <t> Calle Lago, 04712 Balerma, España</t>
  </si>
  <si>
    <t>juan +34 661 80 34 11 </t>
  </si>
  <si>
    <t>2026/RU0102</t>
  </si>
  <si>
    <t>ESTEBAN DARIO ACOSTA MARTINEZ</t>
  </si>
  <si>
    <t>Hostal Restaurante La Niña C/ Juan de la Cosa, 37, 21810 Palos de la Frontera, Huelva.</t>
  </si>
  <si>
    <t>+34 959530360</t>
  </si>
  <si>
    <t>2025/242</t>
  </si>
  <si>
    <t>CALDERERIA Y MECANIZADOS TOMELLOSO, SL</t>
  </si>
  <si>
    <t>CARLOS MITCHELL SANTOS RODRIGUEZ</t>
  </si>
  <si>
    <t>GENIER DE LA CRUZ RIQUETT</t>
  </si>
  <si>
    <t>Carrer de l'Erudit Pagès, 16 puerta 3, València, Comunidad Valenciana 46019, España</t>
  </si>
  <si>
    <t>Paco Balaguer +34 632 51 08 27</t>
  </si>
  <si>
    <t>2025/225</t>
  </si>
  <si>
    <t>CALDERAS RCB (Talleres Rafael Cubells Ballester SLU)</t>
  </si>
  <si>
    <t>YOBER HUAMAN VELASQUE</t>
  </si>
  <si>
    <t>2025/239</t>
  </si>
  <si>
    <t>Oasis Living Gipuzkoa Kalea, 57, Zarautz, España</t>
  </si>
  <si>
    <t>Maddi Ochotonera  +34 611928898</t>
  </si>
  <si>
    <t>Fecha fin prevista 10/04.</t>
  </si>
  <si>
    <t>Barrio la taberna  n 72, Rada  Voto, enfrente de la parada del autobús, casa de color Amarillo y marrón. Al lado de carretera. Cantabria</t>
  </si>
  <si>
    <t>Ángel Gerardo Campo Lastra   +34 685 41 88 60</t>
  </si>
  <si>
    <t>CARLOS AUGUSTO SALDARRIAGA MONTEALBAN</t>
  </si>
  <si>
    <t>MOUSCRON</t>
  </si>
  <si>
    <t xml:space="preserve">7 Rue du Dragon 2ème étage sans ascenseur, Tourcoing, Hauts-de-France 59200, Francia
</t>
  </si>
  <si>
    <t>Elena  +33 6 86 41 22 40</t>
  </si>
  <si>
    <t>2025/133</t>
  </si>
  <si>
    <t>JACKSON S.A</t>
  </si>
  <si>
    <t>ARMANDO DENIS ENRIQUEZ BLAS</t>
  </si>
  <si>
    <t>JHON EDISON JARAMILLO RUIZ</t>
  </si>
  <si>
    <t>JAILER VERGARA VALENCIA</t>
  </si>
  <si>
    <t>RONALD DEYVIS RONCEROS CARRIZALES</t>
  </si>
  <si>
    <t>CALLE SAN JUAN DE AVILA, 2, Valladolid</t>
  </si>
  <si>
    <t>2025/151</t>
  </si>
  <si>
    <t>Después avisarán si necesitan ampliar una semana más.</t>
  </si>
  <si>
    <t>2025/119</t>
  </si>
  <si>
    <t>TALLERES FONTA</t>
  </si>
  <si>
    <t>El trabajador Mauricio Toro Ramírez finaliza en el cliente Talleres Fonta el día 16/04</t>
  </si>
  <si>
    <t>MOACIR DA SILVA</t>
  </si>
  <si>
    <t>Carrer de les Ballesteries, 45 Girona</t>
  </si>
  <si>
    <t>Casilda cruz 972 209 159</t>
  </si>
  <si>
    <t>Calle Sant Gregori 89 Girona  7° 1" puerta Alla Maksimova +34 682 80 68 71 // Moacir Finaliza el 23/02 con este cliente/Trasladado a YGRA</t>
  </si>
  <si>
    <t>SAMUEL ENRIQUE LEON NOBLE</t>
  </si>
  <si>
    <t>2024/211</t>
  </si>
  <si>
    <t>Este viernes 11/04 finalizan</t>
  </si>
  <si>
    <t>HECTOR DAVID RAMOS BUHEZO</t>
  </si>
  <si>
    <t>2024/277</t>
  </si>
  <si>
    <t>Finalizan 30/08//1. Pensión la burgalesa  Blas de Otero Kalea, 4, 1-C, 48903 Barakaldo, Biscay / 2. Entran Al fijo 14/08</t>
  </si>
  <si>
    <t>Av. de Negrals, 49, 25230 Mollerussa, Lérida</t>
  </si>
  <si>
    <t>Ramon 34 609 03 58 20</t>
  </si>
  <si>
    <t>CAMBIO DE ALOJAMIENTO Hotel goya</t>
  </si>
  <si>
    <t>Pensión la burgalesa Blas de Otero Kalea, 4, 1-C, 48903 Barakaldo, Biscay</t>
  </si>
  <si>
    <t>PENSION PORTAL VERGARA Portal de Bergara, 20, Vitoria, 01013, PV, ES</t>
  </si>
  <si>
    <t>Nico +34 630 77 90 35</t>
  </si>
  <si>
    <t>EDWIN JOEL SILVA RAMOS</t>
  </si>
  <si>
    <t>HUESCA</t>
  </si>
  <si>
    <t>Hotel Restaurant Can Peixan Avinguda de Catalunya, 78, 25180 Alcarràs, Lleida</t>
  </si>
  <si>
    <t>2025/217</t>
  </si>
  <si>
    <t>2025/195</t>
  </si>
  <si>
    <t>Finalizan 29/11</t>
  </si>
  <si>
    <t>ERIK CHARLY GOMEZ RIOS</t>
  </si>
  <si>
    <t>2025/257</t>
  </si>
  <si>
    <t>NORCAL INSTALACIONES INDUSTIRALES S.L</t>
  </si>
  <si>
    <t>CAMBIO DE EMPRESA, PASA A WISE</t>
  </si>
  <si>
    <t>cambio de alojamiento al elgoibar</t>
  </si>
  <si>
    <r>
      <rPr>
        <sz val="11"/>
        <color rgb="FF305496"/>
        <rFont val="Calibri"/>
        <family val="2"/>
      </rPr>
      <t>Benicassim, </t>
    </r>
    <r>
      <rPr>
        <sz val="11"/>
        <color rgb="FF305496"/>
        <rFont val="Arial"/>
        <family val="2"/>
      </rPr>
      <t>Aptos. Calipso, Carrer Fondo, 2, 4ºE 12560 Benicàssim, Castellón.</t>
    </r>
  </si>
  <si>
    <t>Rafael Gallardo Martin: 0034 655 80 64 20</t>
  </si>
  <si>
    <t>RU2025/003/081</t>
  </si>
  <si>
    <t>airbnb</t>
  </si>
  <si>
    <t>Los trabajadores indicados finalizan hoy 08/04:</t>
  </si>
  <si>
    <t>Continuidad habitación de Cristian Izquierdo, No se va poder renovar problema del arrendatario. Habitacion 530€ pagar el 14/04</t>
  </si>
  <si>
    <t xml:space="preserve">cambio de alojamiento </t>
  </si>
  <si>
    <t>2025/033</t>
  </si>
  <si>
    <t>2025/229</t>
  </si>
  <si>
    <r>
      <rPr>
        <sz val="11"/>
        <color rgb="FFFF0000"/>
        <rFont val="Calibri"/>
        <family val="2"/>
      </rPr>
      <t>Trabajo 08/11///</t>
    </r>
    <r>
      <rPr>
        <sz val="11"/>
        <color rgb="FF305496"/>
        <rFont val="Calibri"/>
        <family val="2"/>
      </rPr>
      <t xml:space="preserve">Calle Miramar 1, Burjassot, código postal 46100 Jesùs +34 691 32 97 62 </t>
    </r>
    <r>
      <rPr>
        <sz val="11"/>
        <color rgb="FFFF0000"/>
        <rFont val="Calibri"/>
        <family val="2"/>
      </rPr>
      <t>450 fianza transferida</t>
    </r>
    <r>
      <rPr>
        <sz val="11"/>
        <color rgb="FF000000"/>
        <rFont val="Calibri"/>
        <family val="2"/>
      </rPr>
      <t xml:space="preserve"> ///Salen del hotel Aviaciòn 17/04 Calle Juan de la Cierva, 17, 46940 Manises, Valencia a hospedaje fijo</t>
    </r>
  </si>
  <si>
    <t>2025/110</t>
  </si>
  <si>
    <t>Finaliza 22/11.</t>
  </si>
  <si>
    <t>ROBERTO CARLOS PABON CHAVEZ</t>
  </si>
  <si>
    <t>CARTA DE RESCISIÓN 16/04</t>
  </si>
  <si>
    <t>ELEOTERIO ESPINOZA HERRERA</t>
  </si>
  <si>
    <t>PASEO PADRE FAUSTINO CALVO 16, en Palencia</t>
  </si>
  <si>
    <t>Yolanda Palencia +34 649 89 98 77</t>
  </si>
  <si>
    <t>2025/123</t>
  </si>
  <si>
    <r>
      <t xml:space="preserve">El trabajador </t>
    </r>
    <r>
      <rPr>
        <b/>
        <sz val="11"/>
        <color theme="4"/>
        <rFont val="Aptos"/>
        <family val="2"/>
        <charset val="1"/>
      </rPr>
      <t>Eleoterio</t>
    </r>
    <r>
      <rPr>
        <b/>
        <u/>
        <sz val="11"/>
        <color theme="4"/>
        <rFont val="Aptos"/>
        <family val="2"/>
        <charset val="1"/>
      </rPr>
      <t xml:space="preserve"> </t>
    </r>
    <r>
      <rPr>
        <b/>
        <sz val="11"/>
        <color theme="4"/>
        <rFont val="Aptos"/>
        <family val="2"/>
        <charset val="1"/>
      </rPr>
      <t>Espinoza</t>
    </r>
    <r>
      <rPr>
        <b/>
        <u/>
        <sz val="11"/>
        <color theme="4"/>
        <rFont val="Aptos"/>
        <family val="2"/>
        <charset val="1"/>
      </rPr>
      <t xml:space="preserve"> </t>
    </r>
    <r>
      <rPr>
        <b/>
        <sz val="11"/>
        <color theme="4"/>
        <rFont val="Aptos"/>
        <family val="2"/>
        <charset val="1"/>
      </rPr>
      <t>Herrera</t>
    </r>
    <r>
      <rPr>
        <sz val="11"/>
        <color theme="4"/>
        <rFont val="Aptos"/>
        <family val="2"/>
        <charset val="1"/>
      </rPr>
      <t xml:space="preserve"> finaliza en el cliente </t>
    </r>
    <r>
      <rPr>
        <b/>
        <sz val="11"/>
        <color theme="4"/>
        <rFont val="Aptos"/>
        <family val="2"/>
        <charset val="1"/>
      </rPr>
      <t>Esmepa</t>
    </r>
    <r>
      <rPr>
        <sz val="11"/>
        <color theme="4"/>
        <rFont val="Aptos"/>
        <family val="2"/>
        <charset val="1"/>
      </rPr>
      <t xml:space="preserve"> hoy día </t>
    </r>
    <r>
      <rPr>
        <b/>
        <sz val="11"/>
        <color theme="4"/>
        <rFont val="Aptos"/>
        <family val="2"/>
        <charset val="1"/>
      </rPr>
      <t>16/04</t>
    </r>
    <r>
      <rPr>
        <sz val="11"/>
        <color theme="4"/>
        <rFont val="Aptos"/>
        <family val="2"/>
        <charset val="1"/>
      </rPr>
      <t>.</t>
    </r>
  </si>
  <si>
    <t>2024/489</t>
  </si>
  <si>
    <t>JEFFERSON ANDRES VALIENTE PEREZ</t>
  </si>
  <si>
    <t>JULIAN ANDRES CASTRO ESCOBAR</t>
  </si>
  <si>
    <t>2024/344</t>
  </si>
  <si>
    <t>Eibarooms, C/ Ego Gain 17 AC, 20600 Éibar, España</t>
  </si>
  <si>
    <t>+34 686 82 38 68</t>
  </si>
  <si>
    <t>JOSUE ALONSO DUARTE PINZON</t>
  </si>
  <si>
    <t>2024/454</t>
  </si>
  <si>
    <t>JOHN JAIRO BENITEZ CASTRO</t>
  </si>
  <si>
    <t>2025/190</t>
  </si>
  <si>
    <t>CARTA DE RESCISIÓN Hasta el 16/04/2025</t>
  </si>
  <si>
    <t>VICTOR ALFONSO LUQUE CONDORI</t>
  </si>
  <si>
    <t xml:space="preserve"> (Finalización: 08/07/2026) – Finalización solicitada por el cliente debido a incidencias con el encargado de obra.//Alojamiento por cuenta del cliente</t>
  </si>
  <si>
    <t>EL MIERCOLES PARARON DE TRABAJAR LLAMO</t>
  </si>
  <si>
    <t>Via Vittorio Veneto 4 Chiari</t>
  </si>
  <si>
    <t>Michela Lasoni +39 334 181 1381</t>
  </si>
  <si>
    <t> último día trabajado de los 4 mecanicos fue 17/04/25</t>
  </si>
  <si>
    <t>Apartamento Rural El Ciprés Complejo la Fontanina Calle de Félix Rodriguez de la Fuente, 10970 Mata de Alcántara, España</t>
  </si>
  <si>
    <t>+34 685 35 11 44</t>
  </si>
  <si>
    <t>ALEX LUCAS SCHOROEDER</t>
  </si>
  <si>
    <t>ALEXANDRE BEZERRA DE OLIVEIRA</t>
  </si>
  <si>
    <t>ANDRE DA SILVA ARAUJO</t>
  </si>
  <si>
    <t>EDUARDO ROBERTO GUZMAN</t>
  </si>
  <si>
    <t>FRANCISCO MANUEL PASSOS</t>
  </si>
  <si>
    <t>GLEIDSON WASHINGTON SANTOS OLIVEIRA XAVIER</t>
  </si>
  <si>
    <t>GUSTAVO MENDES TEIXEIRA DA SILVA</t>
  </si>
  <si>
    <t>LUCAS SALES DE FARIA</t>
  </si>
  <si>
    <t>2025/143</t>
  </si>
  <si>
    <t>LUIS EDUARDO BRAGA TEIXEIRA VILELA VIDAL</t>
  </si>
  <si>
    <t>MARCELO NASCIMENTO COSME</t>
  </si>
  <si>
    <t>MARLLON SALES DE FARIA</t>
  </si>
  <si>
    <t>MATHEUS ALVES BARBOSA CASTRO</t>
  </si>
  <si>
    <t xml:space="preserve">cambio de alojamiento a propio pago hasta el 31/03// REUBICACION </t>
  </si>
  <si>
    <t>Calle Jabalón, 4, Málaga, Andalucía 29011, España</t>
  </si>
  <si>
    <t>Christy  +34 652 07 23 36</t>
  </si>
  <si>
    <t>2025/246</t>
  </si>
  <si>
    <t xml:space="preserve">Apartment N8  , Carnotstraat 116, 2018 Antwerpen </t>
  </si>
  <si>
    <t>Olena+32 495 57 52 09</t>
  </si>
  <si>
    <t>BRAYAN ELIUT GAITAN GOMEZ</t>
  </si>
  <si>
    <t>2026/814</t>
  </si>
  <si>
    <t>18/08: Me informa Yajaira que nunca ingreso///Observaciones Extras: Los trabajadores se presentaron hoy a trabajar. Deben dejar las instalaciones de imediato, avisar los trabajadores por favor.</t>
  </si>
  <si>
    <t>JAIME NICOLAS GOYES</t>
  </si>
  <si>
    <t>YERSON GABRIEL ARISTIZABAL LOZANO</t>
  </si>
  <si>
    <t>CATALONIA SABADELL Plaza Catalunya, 10 - 12, 08206 Sabadell, España</t>
  </si>
  <si>
    <t>+34 937 27 92 00</t>
  </si>
  <si>
    <t>2025/270</t>
  </si>
  <si>
    <t>CMR S.A.</t>
  </si>
  <si>
    <t>JOSE JOAQUIM GARCIA MORALES</t>
  </si>
  <si>
    <t>2024/484</t>
  </si>
  <si>
    <t>HECTOR MANUEL BUELVAS ZAMBRANO</t>
  </si>
  <si>
    <t>Finalizan 30/08 //1. Pensión la burgalesa  Blas de Otero Kalea, 4, 1-C, 48903 Barakaldo, Biscay / 2. Entran Al fijo 14/08</t>
  </si>
  <si>
    <t>944903382 maite</t>
  </si>
  <si>
    <t>EDILSON RODRIGUEZ MARTINEZ</t>
  </si>
  <si>
    <t xml:space="preserve">HUESCA </t>
  </si>
  <si>
    <t>Aparthotel Huesca C. José Gil Cávez, 10, 22005 Huesca</t>
  </si>
  <si>
    <t>+34 617 70 06 08</t>
  </si>
  <si>
    <t>2025/274</t>
  </si>
  <si>
    <t>METALURGICA DEL DEZA SAU</t>
  </si>
  <si>
    <t>DEIVI STIVEN ORTIZ MONTENEGRO</t>
  </si>
  <si>
    <t>IBIZA</t>
  </si>
  <si>
    <t>All Suite Ibiza Aparthotel Carrer Santa Rosalia, 2, San Antonio, Islas Baleares 07820</t>
  </si>
  <si>
    <t>Ricardo +34 603 23 54 86</t>
  </si>
  <si>
    <t>2025/220</t>
  </si>
  <si>
    <t xml:space="preserve">CONSTRUCTORA CARDONER </t>
  </si>
  <si>
    <t>Fecha fin prevista para el día 25/04.</t>
  </si>
  <si>
    <t>CARLOS JULIO ACOSTA CAMACHO</t>
  </si>
  <si>
    <t>ALBERTO ISMAEL MENDIETA CACERES</t>
  </si>
  <si>
    <t>Los trabajadores finalizan el día 25/04.</t>
  </si>
  <si>
    <t>Vivienda sita en Avenida Occidente,12, de Cantoria, Almería</t>
  </si>
  <si>
    <t>2025/036</t>
  </si>
  <si>
    <t>2025/001/229</t>
  </si>
  <si>
    <t>Ultimo día de estos dos trabajadores: 25/04/2025</t>
  </si>
  <si>
    <t>ROBINSON DE FEX DIAZ</t>
  </si>
  <si>
    <t>2024/500</t>
  </si>
  <si>
    <t>Calle el Val, 23, Colungo, Aragón 22148, España</t>
  </si>
  <si>
    <t>+34 699 33 48 04 Dionisio</t>
  </si>
  <si>
    <t>2025/115</t>
  </si>
  <si>
    <t>HECTOR JULIAN MOSQUERA OROBIO</t>
  </si>
  <si>
    <t>WILMAN DE AVILA MARRIAGA</t>
  </si>
  <si>
    <t>2025/104</t>
  </si>
  <si>
    <t>WILMAR ESTUPIÑAN ANGULO</t>
  </si>
  <si>
    <t>Pasan Alojamiento fijo 21/07//C. Cánovas del Castillo, 4, 28807 Alcalá de Henares// 2. C. Benjamín Palencia, 2, portal 3 piso 3 b, 28850 Torrejón de Ardoz, Madrid // Cambio de  alojamiento.//finalizan hoy 25/04 en la obra de Meco (Madrid)// RU CAMBIO DE ALOJAMIENTO</t>
  </si>
  <si>
    <t>Pasan Alojamiento fijo 21/07//C. Cánovas del Castillo, 4, 28807 Alcalá de Henares// 2. C. Benjamín Palencia, 2, portal 3 piso 3 b, 28850 Torrejón de Ardoz, Madrid // Cambio de alojamiento.//finalizan hoy 25/04 en la obra de Meco (Madrid)// RU CAMBIO DE ALOJAMIENTO</t>
  </si>
  <si>
    <t>R2024/007/370</t>
  </si>
  <si>
    <t>YONY ALEXANDER BERNAL ARCINIEGAS</t>
  </si>
  <si>
    <t>Pasan Alojamiento fijo 20/07//C. Cánovas del Castillo, 4, 28807 Alcalá de Henares//finalizan hoy 25/04 en la obra de Meco (Madrid)// RU CAMBIO DE ALOJAMIENTO</t>
  </si>
  <si>
    <t>BRAYAN JOSE ALARCON MORALES</t>
  </si>
  <si>
    <t>calle Julio Romero Guisado 18-20 , C.P. 14120, situada en Fte. Palmera</t>
  </si>
  <si>
    <t>2025/568</t>
  </si>
  <si>
    <t>Pasa alojamiento por cuenta propia el 01/03/2026//no es lo que el cliente quiere//Trabajador reemplazado// el trabajador continuo laborando</t>
  </si>
  <si>
    <t>2026/734</t>
  </si>
  <si>
    <t>CEMETASA</t>
  </si>
  <si>
    <t>Fecha Efectiva de Baja (Salida): 01/09/2026.Motivo: por iniciativa propia, se debe a razones relacionadas a asunto familiar. Observaciones Extras: El trabajador firma en la carta de renuncia: Solicito que dicha extinción produzca efectos a partir del 17/08/2026. Y me comprometo a cumplir los 15 días de trabajo correspondientes al período legal de preaviso</t>
  </si>
  <si>
    <t>2025/027</t>
  </si>
  <si>
    <t>BRAYAN JULIAN GAZCON MARIN</t>
  </si>
  <si>
    <t>Maria +34 617 00 83 05</t>
  </si>
  <si>
    <t>2025/525</t>
  </si>
  <si>
    <t xml:space="preserve"> CAMBIO DE ALOJAMIENTO RU079//Debemos mantener el alojamiento en "Los Palacios" para la vuelta de estos operarios.//nos indica que durante la siguiente semana del 02/02/2026 hasta el 08/02/2026, los operarios que están en "Los Palacios"</t>
  </si>
  <si>
    <t>Calle Paseo de Invierno 2, 6ºD, Tudela, Navarra</t>
  </si>
  <si>
    <t>RU2025/014/2024/387</t>
  </si>
  <si>
    <t>YEXID ELIAS JULIO LICONA</t>
  </si>
  <si>
    <t>Hotel Alfindén, C. Bo. Nuevo, 45, 50171 La Puebla de Alfindén, Zaragoza</t>
  </si>
  <si>
    <t>2025/259</t>
  </si>
  <si>
    <t>TECNICOS EN MULTISERVICIOS, SOCIEDAD LIMITADA</t>
  </si>
  <si>
    <t>ALOJAMIENTO A CARGO DEL CLIENTE</t>
  </si>
  <si>
    <t>ESNEIDER ALFONSO GALAN MENCO</t>
  </si>
  <si>
    <t>Finaliza 30/04</t>
  </si>
  <si>
    <t>C/SAN FERNANDO 45 TERCERO IZQUIERDA, CARTAGENA, CP 30202, MURCIA</t>
  </si>
  <si>
    <t>INGRID +34 646 80 06 72</t>
  </si>
  <si>
    <t>Cambio de Alojamiento 31/08//Pasa Alojamiento fijo 16/07Calle caridad 7 piso segunda planta//Posadas España Avenida Luxemburgo, s/n, 30353 Cartagena, España //IMPORTANTE ⚠️Todos los trabajadores se quedarán hasta el día 30/05.///SALIO ALOJAMIENTO POR CUENTA PROPIA DESDE FEBRERO PERO NO INFORMO SINO HASTA ABRIL</t>
  </si>
  <si>
    <t>ALVARO FIGUEROA ARANGO</t>
  </si>
  <si>
    <t>Calle Cendea de Cizur 11 31015-Pamplona</t>
  </si>
  <si>
    <t>Iker +34 636 14 88 57</t>
  </si>
  <si>
    <t>2025/208</t>
  </si>
  <si>
    <t>SALE ALOJAMIENTO PROPIO 07/04. EMPORAL PAGO HASTA EL 30/04</t>
  </si>
  <si>
    <t>RONAL TAYPE HUAMAN</t>
  </si>
  <si>
    <t>Av. Manuel Llaneza, 43, Centro, 33208 Gijón, Asturias, Spain</t>
  </si>
  <si>
    <t>R2R Consulting Inmobiliario +34 623 40 63 02</t>
  </si>
  <si>
    <t>2025/237</t>
  </si>
  <si>
    <t>Raices (Castrillón), calle Juan de Austria nº 9-2ºD.</t>
  </si>
  <si>
    <t>CAMBIO DE ALOJAMIENTO PROPIO</t>
  </si>
  <si>
    <t>CONTRATO DE ALQUILER FINALIZA 30/04</t>
  </si>
  <si>
    <t>WILLIAM NOE MANRIQUE MOREYRA</t>
  </si>
  <si>
    <t>C. Conde Toreno, 34, Gijon-Este, 33204 Gijón, Asturias, Spain</t>
  </si>
  <si>
    <t>CARLOS ALBERTO DOMÍNGUEZ CÓRDOVA</t>
  </si>
  <si>
    <t>+33 (0)3 83 33 85 00</t>
  </si>
  <si>
    <t>2025/056</t>
  </si>
  <si>
    <t>DARWIN JOSE VASQUEZ ORTEGA</t>
  </si>
  <si>
    <t>Hostal Cassa Carretera provincial, 261, 17244 Cassá de la Selva, España</t>
  </si>
  <si>
    <t xml:space="preserve"> +34 972 46 09 59</t>
  </si>
  <si>
    <t>2025/228</t>
  </si>
  <si>
    <t>TECNOLOGIA MECANICA I ELECTRICA SLU</t>
  </si>
  <si>
    <t>JOHNNY FRANCOIS MENESES BARRIENTOS</t>
  </si>
  <si>
    <t>RENUNCIA PREAVISO 30/04///Sale Alojamiento Propio 21/04</t>
  </si>
  <si>
    <t>ISAAC ABRAHAN RUBILAR</t>
  </si>
  <si>
    <t>Pasa Alojamiento propio 01/08//Carrer dels Filadors,18, 2° 3 puerta 08208 Sabadell// carta de resicion 30/04</t>
  </si>
  <si>
    <t>JONATHAN ANDRES ORTEGA CASTRO</t>
  </si>
  <si>
    <t>Barrio la Somadilla, 13, Bádames, Cantabria 39764, España</t>
  </si>
  <si>
    <t>Carlos +34 692 45 45 18</t>
  </si>
  <si>
    <t>2025/019</t>
  </si>
  <si>
    <t>ALOJAMIENTO PAGO ENERO-FEBRERO</t>
  </si>
  <si>
    <t>EISON SALAS AHUMEDO</t>
  </si>
  <si>
    <t>RU2025/015/2024/429</t>
  </si>
  <si>
    <t>JAIRO ALBERTO BOLAÑO PACHECO</t>
  </si>
  <si>
    <t>ALOJAMIENTO PAGO ENERO-FEBRERO//También finalizan los siguientes trabajadores el día 23/05</t>
  </si>
  <si>
    <t>Ivars de Noguera, Catalunya 25122, España</t>
  </si>
  <si>
    <t>Juana +34 650 78 65 75</t>
  </si>
  <si>
    <t>2026/RU079/2025/525</t>
  </si>
  <si>
    <t>con fecha de último día efectivo el 16/02. Rogamos lo tengan en cuenta a nivel administrativo y de planificación.//Wolmer informa hoy: 18/02 que envio carta de resicion con fecha: 16/02/2026 - Danna informo que no acepto el puesto desistio 16/02/2026, falta que confirmen correo con esta informacion</t>
  </si>
  <si>
    <t>WILIAN FERNANDO PIZARRO AMAYA</t>
  </si>
  <si>
    <t>60 Rue de longueroye, ARDRES, Hauts-de-France 62610, Francia</t>
  </si>
  <si>
    <t>Stephanie +33 6 60 81 10 27</t>
  </si>
  <si>
    <t>2025/265</t>
  </si>
  <si>
    <t>ALDRUMAR CABALLERO MARTINEZ</t>
  </si>
  <si>
    <t>2024/438</t>
  </si>
  <si>
    <t>Reubicado a Tecniconta</t>
  </si>
  <si>
    <t>YUBYINER SANTIAGO CELIS</t>
  </si>
  <si>
    <t>Calle FELIPE II ,nº21 , puerta 5, PUERTO SAGUNTO ( Valencia),</t>
  </si>
  <si>
    <t>Octavio +34 635 79 74 43</t>
  </si>
  <si>
    <t>2025/154</t>
  </si>
  <si>
    <t>GRUPO VENTO</t>
  </si>
  <si>
    <t>CULMINAN EN VALENCIA SERA TRASLADADOS A CACERES</t>
  </si>
  <si>
    <t>HOTEL PIEDRA LLACA MUÑIZ, S.A BARRIO ESPASA, 6 33491 PERLORA - CARREÑO</t>
  </si>
  <si>
    <t>+34 985 87 09 15</t>
  </si>
  <si>
    <t>2025/049</t>
  </si>
  <si>
    <t>BILLY STEFAN GONZALES DIAZ</t>
  </si>
  <si>
    <t>, su último día de trabajo será el domingo día 4 de mayo el lunes ya no vuelve</t>
  </si>
  <si>
    <t>CALLE BARRENKALE 42 1º DERECHA vizcaya bilbao</t>
  </si>
  <si>
    <t xml:space="preserve"> siendo el último día de trabajo de estos el pasado 14/10/2025/1.TUUL ETXEA, 48 Txomin Egileor Kalea, 48960 Galdácano, España // Pasan a Alojamiento FIJO 09/08/2024</t>
  </si>
  <si>
    <t xml:space="preserve"> siendo el último día de trabajo de estos el pasado 14/10/2025//1.TUUL ETXEA, 48 Txomin Egileor Kalea, 48960 Galdácano, España // Pasan a Alojamiento FIJO 09/08/2024</t>
  </si>
  <si>
    <t>EDIMSON OMAR CARREÑO</t>
  </si>
  <si>
    <t>PR2025/004</t>
  </si>
  <si>
    <t>traslado a huelva</t>
  </si>
  <si>
    <t>2025/127</t>
  </si>
  <si>
    <t>MOINTER SL</t>
  </si>
  <si>
    <t>carta de recision 05/05</t>
  </si>
  <si>
    <t>DAVID GUSTAVO DE LOS ANGELES PATIÑO RAMOS</t>
  </si>
  <si>
    <t>2024/481</t>
  </si>
  <si>
    <t>DIEGO NAHUEL ROMERO</t>
  </si>
  <si>
    <t>Cari Rooms Salomons Pisos Madrid</t>
  </si>
  <si>
    <t>PR2025/003</t>
  </si>
  <si>
    <t>CARLOS EDUARDO CALDERON SALDARRIAGA</t>
  </si>
  <si>
    <t xml:space="preserve">PUERTO SAGUNTO (Valencia), Calle Buenavista 19-1 </t>
  </si>
  <si>
    <t>2025/100</t>
  </si>
  <si>
    <t>NORTON</t>
  </si>
  <si>
    <t>Todos los trabajos tiene la fecha fin prevista para el día 26/05.CAMBIAN DE ALOJAMIENTO</t>
  </si>
  <si>
    <t>ARNULFO ENRIQUE JIMENEZ BARRIOS</t>
  </si>
  <si>
    <t>2025/188</t>
  </si>
  <si>
    <t>JULIAN EDUARDO YANES FAJARDO</t>
  </si>
  <si>
    <t>2025/107</t>
  </si>
  <si>
    <t>Hostal restaurante Texas C. Mayor, 15, 50740 Fuentes de Ebro, Zaragoza</t>
  </si>
  <si>
    <t>Contacto: 976160419</t>
  </si>
  <si>
    <t>EDWAR ANDRES BENACHI ARCE</t>
  </si>
  <si>
    <t>Barrio la iglesia, 18 urbanización Los Laureles bloque 2, portal 4-4°A, Badames, Junta de Voto, Cantabria 39764, España</t>
  </si>
  <si>
    <t xml:space="preserve"> Mar +34 605 76 28 86</t>
  </si>
  <si>
    <t>2025/087</t>
  </si>
  <si>
    <t>ROMEL YBAN TUFINIO ZOCON</t>
  </si>
  <si>
    <t>C. Sagrado Corazón, 38, Gijon-Este, 33205 Gijón, Asturias, Spain</t>
  </si>
  <si>
    <t>2025/111</t>
  </si>
  <si>
    <t>REUBICACION DE PROYECTO A TUDELA</t>
  </si>
  <si>
    <t>2025/063</t>
  </si>
  <si>
    <t>nos indica que goy lunes 15/09/2025 es el último día del operario</t>
  </si>
  <si>
    <t>CARLOS ALBERTO CARDONA YAIMA</t>
  </si>
  <si>
    <t>Hospedería Convento de Santa Clara C. Rioseco, s/n, 14700 Palma del Río, Córdoba</t>
  </si>
  <si>
    <t>+34 637899710</t>
  </si>
  <si>
    <t>2025/639</t>
  </si>
  <si>
    <t>que deberían haber empezado hoy 06/11/20205</t>
  </si>
  <si>
    <t>JOSE EDUARDO CARREAZO PINEDA</t>
  </si>
  <si>
    <t>2025/001/257</t>
  </si>
  <si>
    <t>Calle Añisclo, 6 6, Barbastro, Aragón 22300, España</t>
  </si>
  <si>
    <t>Olga +34 660 48 86 48</t>
  </si>
  <si>
    <t>2025/266</t>
  </si>
  <si>
    <t>NOVA HIDRAULICA SL</t>
  </si>
  <si>
    <t>para renovación MES por favor que me avise 2 semanas antes</t>
  </si>
  <si>
    <t>JHON JAIRO HERNANDEZ GUZMAN</t>
  </si>
  <si>
    <t>PONTEVEDRA</t>
  </si>
  <si>
    <t>hotel Lugar Cabaleiro, 35, 36157, Pontevedra</t>
  </si>
  <si>
    <t>2025/287</t>
  </si>
  <si>
    <t xml:space="preserve">Alojamiento a cargo del cliente </t>
  </si>
  <si>
    <t>RAUL HOYOS ALBA</t>
  </si>
  <si>
    <t>Calle MAJOR número 155 del municipio de Ulldecona</t>
  </si>
  <si>
    <t>María Cinta Homedes Esteve +34 609 89 12 12</t>
  </si>
  <si>
    <t>//FIN DE LA OBRA 31/08/Carrer Major, 82 1B, La Galera, Catalunya 43515, España Teresa +34 606 09 06 35//Salen del hotel Bon Lloc///Carrer de les Parres, 41, Alcanar, Catalunya 43530, España//Alojamiento fijo 09/08/2024 SALIDA  ALJ 31/08/2024/// CAMBIA ALOJAMIENTO PROPIO 01/02</t>
  </si>
  <si>
    <t>2025/001/190</t>
  </si>
  <si>
    <t>se quedan hasta el día 14/05.</t>
  </si>
  <si>
    <t>2025/231</t>
  </si>
  <si>
    <t>Finalizan hoy 14/05.</t>
  </si>
  <si>
    <t>PEDRO LUIS ORTEGA MULET</t>
  </si>
  <si>
    <t>2024/289</t>
  </si>
  <si>
    <t>ROLFI ESTEBAN TORRES SOTELO</t>
  </si>
  <si>
    <t>2025/030</t>
  </si>
  <si>
    <t>RIGOBERTO BUELVAS BERRIO</t>
  </si>
  <si>
    <t>Calle Santa Ana 42 1c, Elgoibar</t>
  </si>
  <si>
    <t>Valentino +34 631 40 33 27</t>
  </si>
  <si>
    <t>La Casa de Manolita. 77 Calle Amador de los Ríos, 14850 Baena, España</t>
  </si>
  <si>
    <t>+34 652 29 19 11</t>
  </si>
  <si>
    <t xml:space="preserve"> 21/11 ha CANCELADO el pedido 2025/639//Ojo, se amplia solo hasta el 25/11, no tienen mas dias para ampliar la reserva//Fin:10/02/2026</t>
  </si>
  <si>
    <t>CARLOS ALBERTO CORREA OREJUELA</t>
  </si>
  <si>
    <t>2025/524</t>
  </si>
  <si>
    <t>OSCAR ALEXANDER VARGAS COTRINO</t>
  </si>
  <si>
    <t>2024/191</t>
  </si>
  <si>
    <t>CARTA DE RESCISIÓN 15/05/2025</t>
  </si>
  <si>
    <r>
      <t>Todos los trabajadores del cliente </t>
    </r>
    <r>
      <rPr>
        <b/>
        <sz val="11"/>
        <color rgb="FF242424"/>
        <rFont val="Aptos"/>
        <family val="2"/>
        <charset val="1"/>
      </rPr>
      <t>Machine Scout</t>
    </r>
    <r>
      <rPr>
        <sz val="11"/>
        <color rgb="FF242424"/>
        <rFont val="Aptos"/>
        <family val="2"/>
        <charset val="1"/>
      </rPr>
      <t> finalizan mañana 15/05.</t>
    </r>
  </si>
  <si>
    <t>Pensión ANDOAIN arantzibia 1 bajo.20140 - ANDOAIN (GIPUZKOA)</t>
  </si>
  <si>
    <t>+34 943115811</t>
  </si>
  <si>
    <t>Hostal Palafox C. Corona de Aragón, 20, 22300 Barbastro, Huesca</t>
  </si>
  <si>
    <t>Teléfono: +34 974312461</t>
  </si>
  <si>
    <t>ANTERO UBALDO RAMIREZ MIRABAL</t>
  </si>
  <si>
    <t>2025/219</t>
  </si>
  <si>
    <t>CARLOS ANDRES ROJAS</t>
  </si>
  <si>
    <t xml:space="preserve"> siendo el último día de trabajo de estos el pasado 14/10/2025</t>
  </si>
  <si>
    <t>2024/371</t>
  </si>
  <si>
    <r>
      <rPr>
        <sz val="11"/>
        <color rgb="FFFF0000"/>
        <rFont val="Calibri"/>
        <family val="2"/>
      </rPr>
      <t>Finalizan 29/11</t>
    </r>
    <r>
      <rPr>
        <sz val="11"/>
        <color rgb="FF305496"/>
        <rFont val="Calibri"/>
        <family val="2"/>
      </rPr>
      <t>Pensión la burgalesa Blas de Otero Kalea, 4, 1-C, 48903 Barakaldo, Biscay 944903382 maite</t>
    </r>
  </si>
  <si>
    <t>ELKIN ARMANDO GARZON LOPEZ</t>
  </si>
  <si>
    <r>
      <t>cliente </t>
    </r>
    <r>
      <rPr>
        <b/>
        <sz val="11"/>
        <color theme="4" tint="-0.249977111117893"/>
        <rFont val="Aptos"/>
        <family val="2"/>
        <charset val="1"/>
      </rPr>
      <t>CMR</t>
    </r>
    <r>
      <rPr>
        <sz val="11"/>
        <color theme="4" tint="-0.249977111117893"/>
        <rFont val="Aptos"/>
        <family val="2"/>
        <charset val="1"/>
      </rPr>
      <t> ha sido prorrogado hasta el día </t>
    </r>
    <r>
      <rPr>
        <b/>
        <sz val="11"/>
        <color theme="4" tint="-0.249977111117893"/>
        <rFont val="Aptos"/>
        <family val="2"/>
        <charset val="1"/>
      </rPr>
      <t>06/06</t>
    </r>
    <r>
      <rPr>
        <sz val="11"/>
        <color theme="4" tint="-0.249977111117893"/>
        <rFont val="Aptos"/>
        <family val="2"/>
        <charset val="1"/>
      </rPr>
      <t> para los trabajadores restantes.</t>
    </r>
  </si>
  <si>
    <t>Oianume Bo. Ergoyen, 18, 20130 Urnieta, Gipuzkoa</t>
  </si>
  <si>
    <t>+34 943556683</t>
  </si>
  <si>
    <t>GEINER DE LA CRUZ RIQUETT</t>
  </si>
  <si>
    <t>2025/260</t>
  </si>
  <si>
    <t>Hotel Restaurant Can Parera Sant Joan Bosco, 6-8 08150 Parets del Vallès Barcelona</t>
  </si>
  <si>
    <t>+34 935 730 533</t>
  </si>
  <si>
    <t>ANGELO DE JESUS AGUDELO RESTREPO</t>
  </si>
  <si>
    <t>calle Julio Romero Guisado 24 , C.P. 14120, situada en Fte. Palmera</t>
  </si>
  <si>
    <t>2024/136</t>
  </si>
  <si>
    <t>Trabajo hasta el viernes 05/07</t>
  </si>
  <si>
    <t>MIGUEL ALEXANDER LEON ORTIZ</t>
  </si>
  <si>
    <t>JHON MILLER VISCATIVA MARTINEZ</t>
  </si>
  <si>
    <t>ALDAIR  GABRIEL LARA RAMIREZ</t>
  </si>
  <si>
    <t>CALLE COSTA BRAVA #47 GRANOLLERS</t>
  </si>
  <si>
    <t>JORDI FLORES NAVARRO +34 691 79 99 87</t>
  </si>
  <si>
    <t>2025/284</t>
  </si>
  <si>
    <t>TALLERES BAMA</t>
  </si>
  <si>
    <t>HUMBERTO JOSE NUÑEZ CANTILLO</t>
  </si>
  <si>
    <t>NESTOR RAUL RESTREPO POLO</t>
  </si>
  <si>
    <t>2024/365</t>
  </si>
  <si>
    <t>CRISTHIAN MAURICIO VALENCIA MOLINA</t>
  </si>
  <si>
    <t>JUAN PABLO RODRIGUEZ CABALLERO</t>
  </si>
  <si>
    <t>2024/374</t>
  </si>
  <si>
    <t>siendo el último día de trabajo de estos el pasado 14/10/2025//carta de rescision 07/11/25</t>
  </si>
  <si>
    <t>Calle araba portal 10 piso 3 exterior derecho. Barakaldo</t>
  </si>
  <si>
    <t>Lizeth Paola +34 643 31 49 98</t>
  </si>
  <si>
    <t>2024/399</t>
  </si>
  <si>
    <t>Pensión la burgalesa Blas de Otero Kalea, 4, 1-C, 48903 Barakaldo, Biscay 944903382 maite // Calle araba portal 10 piso 3 exterior derecho. Barakaldo Lizeth Paola +34 643 31 49 98</t>
  </si>
  <si>
    <t>KEVIN ANDRES ZUÑIGA MELO</t>
  </si>
  <si>
    <t>2024/415</t>
  </si>
  <si>
    <t>trabaja 02/01/2025// finalizará los trabajos en Hormecal el próximo día 23/05/25.</t>
  </si>
  <si>
    <t>2024/424</t>
  </si>
  <si>
    <t>JOSE HERNEY RESTREPO MURIEL</t>
  </si>
  <si>
    <t>2024/477</t>
  </si>
  <si>
    <t>JHONNY ESTID QUIJANO TREJO</t>
  </si>
  <si>
    <t>2024/460</t>
  </si>
  <si>
    <t>Carrer dels Porxos 2, 25165 Juncosa, España</t>
  </si>
  <si>
    <t>+34 696 96 52 46</t>
  </si>
  <si>
    <t>REUBICACIÒN A GIPUZCOA , CAMBIO DE ALOJAMIETO EL DIA 20/05</t>
  </si>
  <si>
    <t>ELKIN DE JESUS CERVANTES MANOTAS</t>
  </si>
  <si>
    <t>Cambio de Alojamiento</t>
  </si>
  <si>
    <t>DIDIER JOSE CHOLES MIRANDA</t>
  </si>
  <si>
    <t>2025/283</t>
  </si>
  <si>
    <t>sale a alojamiento propio 15/11Sra Marga +34 672 26 89 60 PAGO HASTA EL 30/11 /// Carretera los santos de maimona// carta de resicion hasta el 20/05/2025</t>
  </si>
  <si>
    <t>YEISON SAMIR CAICEDO</t>
  </si>
  <si>
    <t>REUBICACION A GIPUZCOA POR UN MES, CAMBIO DE ALOJAMIENTO</t>
  </si>
  <si>
    <t>2024/446</t>
  </si>
  <si>
    <t>Sale alojamiento propio primeros dias de diciembre envio de notificaciòn 05-12, pero ya habiamos pagado// carta de resicion hasta el 20/05</t>
  </si>
  <si>
    <t>CARLOS EMILIO MONSALVE MARIN</t>
  </si>
  <si>
    <t>RU2025/019/163</t>
  </si>
  <si>
    <t>BECK &amp; POLLITZER IBERICA SLU</t>
  </si>
  <si>
    <t>pedido de remplazo 047</t>
  </si>
  <si>
    <t>CARLOS ANDRES ARROYO BERTEL</t>
  </si>
  <si>
    <t>2025/R154</t>
  </si>
  <si>
    <t xml:space="preserve">PASO ALOJAMIENTO POR CUENTA PROPIA </t>
  </si>
  <si>
    <t>WALTER DAVID ZAGARRA RODRIGUEZ</t>
  </si>
  <si>
    <t>(Último día: 31/07/2026) – Renuncia voluntaria por motivos personales.</t>
  </si>
  <si>
    <t>CARLOS ANDRES PULIDO CHAVEZ</t>
  </si>
  <si>
    <t>Calle Piedra Redonda, 18295 Algarinejo, Granada</t>
  </si>
  <si>
    <t>Mari +34 666 26 32 59</t>
  </si>
  <si>
    <t>2025/582</t>
  </si>
  <si>
    <t>PEDIDO CANCELADO CORREO 21/10/25</t>
  </si>
  <si>
    <t>CARLOS ANDRES SILVA CORREA</t>
  </si>
  <si>
    <t>Cambia alojamiento por cuenta propia a partir del 01/03</t>
  </si>
  <si>
    <t>2025/144</t>
  </si>
  <si>
    <t>JORGE ARLEY ALVAREZ GONZALEZ</t>
  </si>
  <si>
    <t>JULIAN EDUARDO ARCO SAENZ</t>
  </si>
  <si>
    <r>
      <rPr>
        <sz val="11"/>
        <color rgb="FFFF0000"/>
        <rFont val="Calibri"/>
        <family val="2"/>
      </rPr>
      <t>Finaliza 15/11</t>
    </r>
    <r>
      <rPr>
        <sz val="11"/>
        <color rgb="FF305496"/>
        <rFont val="Calibri"/>
        <family val="2"/>
      </rPr>
      <t>.Ripollet Pau Casals 47</t>
    </r>
  </si>
  <si>
    <t>GERMAN MAURICIO CARO CASTRO</t>
  </si>
  <si>
    <t>ALOJAMIENTO PROPIO</t>
  </si>
  <si>
    <t>R2025/029/189</t>
  </si>
  <si>
    <t>CONSTRUCCIONES METALICAS AYALA S.L</t>
  </si>
  <si>
    <t>CARLOS ANDRES RIBON PABON</t>
  </si>
  <si>
    <t>ALEXIS JESUS SUAREZ GONZALEZ</t>
  </si>
  <si>
    <t>C. Fuente, 16, 2 b, 13500 Puertollano, Ciudad Real</t>
  </si>
  <si>
    <t>Héctor Fabio Mahete +57 300 7051651</t>
  </si>
  <si>
    <t>R2025/024/2023</t>
  </si>
  <si>
    <t>TACMAN 2000</t>
  </si>
  <si>
    <t>Reubicado a zaragoza 15/03/2026</t>
  </si>
  <si>
    <t>+34 974239945</t>
  </si>
  <si>
    <t>R2025/035/274</t>
  </si>
  <si>
    <t>FERNANDO DA SILVA NOGAL</t>
  </si>
  <si>
    <t>han finalizado hoy 23/05.//es posible que se queden, pero contratados por otra empresa.</t>
  </si>
  <si>
    <t>VLADIMIR CAMILO CASTRO MULFOR</t>
  </si>
  <si>
    <t>R2025/028/356</t>
  </si>
  <si>
    <t>Remplazo de jose posso//cambio de alojamineto</t>
  </si>
  <si>
    <t>RU2025/017/2024/246</t>
  </si>
  <si>
    <t>Alexis Suarez González finaliza hoy 23/05</t>
  </si>
  <si>
    <t>2025/235</t>
  </si>
  <si>
    <t xml:space="preserve">Kawan informo en correo el 08/04/2026: La finalización se produjo el 26/03/2026, siendo este su último día de actividad.//1 MES </t>
  </si>
  <si>
    <t>LUIS MIGUEL VEGA FUENTES</t>
  </si>
  <si>
    <t>WILSON CAMILO CHAPARRO CASTAÑEDA</t>
  </si>
  <si>
    <t>R2025/045/2025/284</t>
  </si>
  <si>
    <t>PEDIDO CANCELADO</t>
  </si>
  <si>
    <t>WASHINGTON MERCES DA SILVA</t>
  </si>
  <si>
    <t>2025/248</t>
  </si>
  <si>
    <t>han finalizado hoy 23/05.</t>
  </si>
  <si>
    <t>RU2025/002/060</t>
  </si>
  <si>
    <t>EZEQUIEL AUGUSTO DA SILVA LIMA</t>
  </si>
  <si>
    <t>OSCAR IVAN PEÑALOZA GARCIA</t>
  </si>
  <si>
    <t>2024/254</t>
  </si>
  <si>
    <t>Reemplaza habitación de Raimundo //el trabajador finalizo este último sábado 24/05.</t>
  </si>
  <si>
    <t xml:space="preserve">Reubicaciòn </t>
  </si>
  <si>
    <t>JOSE DE JESUS MENDOZA PADILLA</t>
  </si>
  <si>
    <t>//FIN DE LA OBRA 31/08/Carrer Major, 82 1B, La Galera, Catalunya 43515, España Teresa +34 606 09 06 35//Salen del hotel Bon Lloc///Carrer de les Parres, 41, Alcanar, Catalunya 43530, España//Alojamiento fijo 09/08/2024 - SALIDA  ALJ 31/08/2024</t>
  </si>
  <si>
    <t>Plaza del Val N.º 6 - 3º piso de Valladolid.</t>
  </si>
  <si>
    <t>Leonor Miguel Benidio +34650450339</t>
  </si>
  <si>
    <t>TERUEL</t>
  </si>
  <si>
    <t>C. Teruel, 18, 44459 Camarena de la Sierra, Teruel, Spain</t>
  </si>
  <si>
    <t>Manuel Marco Aparicio+34 654 27 50 85</t>
  </si>
  <si>
    <t>2025/290</t>
  </si>
  <si>
    <t>finalizarán su servicio el domingo 25 de mayo</t>
  </si>
  <si>
    <t>2025/293</t>
  </si>
  <si>
    <t>Calle Chavarría, 3, Jérica, Comunidad Valenciana 12450</t>
  </si>
  <si>
    <t>Holidu Hosts GmbH +1 323-695-4204</t>
  </si>
  <si>
    <t>2025/145</t>
  </si>
  <si>
    <t>JUAN CARLOS HUAMAN RIVERA</t>
  </si>
  <si>
    <t>Cambio de alojamiento a Fijo 21/03/2025</t>
  </si>
  <si>
    <t>ELIO JIMENEZ MESTRA</t>
  </si>
  <si>
    <t>2026/811</t>
  </si>
  <si>
    <t>COMESA SL</t>
  </si>
  <si>
    <t>Finalización de los trabajos —21/08/2026</t>
  </si>
  <si>
    <t>NELSON URIEL RAMIREZ MENDOZA</t>
  </si>
  <si>
    <t>2024/510</t>
  </si>
  <si>
    <t>CARTA DE RESCISIÓN 11/05/2025</t>
  </si>
  <si>
    <t>YOISER ALBERTO POLO MERCADO</t>
  </si>
  <si>
    <t>2024/514</t>
  </si>
  <si>
    <t>2025/017</t>
  </si>
  <si>
    <r>
      <rPr>
        <sz val="11"/>
        <color rgb="FF305496"/>
        <rFont val="Aptos"/>
        <family val="2"/>
      </rPr>
      <t>cliente </t>
    </r>
    <r>
      <rPr>
        <b/>
        <sz val="11"/>
        <color rgb="FF305496"/>
        <rFont val="Aptos"/>
        <family val="2"/>
      </rPr>
      <t>CMR</t>
    </r>
    <r>
      <rPr>
        <sz val="11"/>
        <color rgb="FF305496"/>
        <rFont val="Aptos"/>
        <family val="2"/>
      </rPr>
      <t> ha sido prorrogado hasta el día </t>
    </r>
    <r>
      <rPr>
        <b/>
        <sz val="11"/>
        <color rgb="FF305496"/>
        <rFont val="Aptos"/>
        <family val="2"/>
      </rPr>
      <t>06/06</t>
    </r>
    <r>
      <rPr>
        <sz val="11"/>
        <color rgb="FF305496"/>
        <rFont val="Aptos"/>
        <family val="2"/>
      </rPr>
      <t xml:space="preserve"> para los trabajadores restantes./ Ampliar reserva, con salida el 9 de junio </t>
    </r>
  </si>
  <si>
    <t>JAVIER FRANCISCO BALDOVINO ORTEGA</t>
  </si>
  <si>
    <t>2025/347</t>
  </si>
  <si>
    <t xml:space="preserve"> Falleció su madre — 01/09/2026</t>
  </si>
  <si>
    <t>JOHN FREDY CASTRO JIMENEZ</t>
  </si>
  <si>
    <t>Ampliamos el contrato de los 2 operarios 1 mes mas, hasta el 7 de mayo// cambio de alojamiento 13/04
Saludos</t>
  </si>
  <si>
    <t>2025/302</t>
  </si>
  <si>
    <t>ANDRES FERNANDO MONCAYO FLOREZ</t>
  </si>
  <si>
    <t>ROBER HENRRY CHUMBES ROJAS</t>
  </si>
  <si>
    <t xml:space="preserve"> 937 11 31 92</t>
  </si>
  <si>
    <t>EDWIN RAFAEL CAMARGO RUIZ</t>
  </si>
  <si>
    <t>100 Rue Carnot, Tourcoing, Hauts-de-France 59200, Francia</t>
  </si>
  <si>
    <t>Gaetan +33 7 71 14 21 53</t>
  </si>
  <si>
    <t>LUIS EDUARDO PAREDES MUÑOZ</t>
  </si>
  <si>
    <t>2024/115</t>
  </si>
  <si>
    <t>1.HOSTAL CASA PEPE  C. Sta. Clara, 7, BAJOS, 50660 Tauste, Zaragoza//</t>
  </si>
  <si>
    <t>ROGGER EDUARDO LOPEZ AURAZO</t>
  </si>
  <si>
    <t>2024/162</t>
  </si>
  <si>
    <t>finaliza 29/06</t>
  </si>
  <si>
    <t>NICOLAS ALEJANDRO FLEITAS LIMA</t>
  </si>
  <si>
    <t>JUAN CARLOS PINZON GOMEZ</t>
  </si>
  <si>
    <t>JOSEPH ESTIVENS NIETO FERNANDEZ</t>
  </si>
  <si>
    <t>Trasladado a la obra Derypol en Barcelona/ trabaja hasta el 30/04</t>
  </si>
  <si>
    <t>2024/324</t>
  </si>
  <si>
    <t>Avda. Gran Via de San Marcos- 39 - 5ºA de León, Luis Manuel +34 659 97 60 52// Alojamiento hasta el 11/11</t>
  </si>
  <si>
    <t>JOEL MAGALHAES</t>
  </si>
  <si>
    <t>JAMES ADRIAN VEGA RAMOS</t>
  </si>
  <si>
    <t>2024/147</t>
  </si>
  <si>
    <t>C. la Portaza, 43, 50172 Alfajarín, Zaragoza Rosa +34 692 61 88 57</t>
  </si>
  <si>
    <t>RENSO MANUEL BLANCO DIAZ</t>
  </si>
  <si>
    <t>CAMBIO DE ALOJAMIENTO A PROPIO</t>
  </si>
  <si>
    <t>OSCAR JESUS MENDEZ BELLO</t>
  </si>
  <si>
    <t>2025/206</t>
  </si>
  <si>
    <t>MIGUEL ANGEL ARCAYA NORIEGA</t>
  </si>
  <si>
    <t>Mar &amp; Cunit Carrer de Pere Romeu, 43881 Cunit, España</t>
  </si>
  <si>
    <t>+34 618 93 23 05</t>
  </si>
  <si>
    <r>
      <rPr>
        <sz val="11"/>
        <color rgb="FF305496"/>
        <rFont val="Aptos"/>
        <family val="2"/>
      </rPr>
      <t>cliente </t>
    </r>
    <r>
      <rPr>
        <b/>
        <sz val="11"/>
        <color rgb="FF305496"/>
        <rFont val="Aptos"/>
        <family val="2"/>
      </rPr>
      <t>CMR</t>
    </r>
    <r>
      <rPr>
        <sz val="11"/>
        <color rgb="FF305496"/>
        <rFont val="Aptos"/>
        <family val="2"/>
      </rPr>
      <t> ha sido prorrogado hasta el día </t>
    </r>
    <r>
      <rPr>
        <b/>
        <sz val="11"/>
        <color rgb="FF305496"/>
        <rFont val="Aptos"/>
        <family val="2"/>
      </rPr>
      <t>06/06</t>
    </r>
    <r>
      <rPr>
        <sz val="11"/>
        <color rgb="FF305496"/>
        <rFont val="Aptos"/>
        <family val="2"/>
      </rPr>
      <t> para los trabajadores restantes.</t>
    </r>
  </si>
  <si>
    <t xml:space="preserve">Apartamento Rural El Ciprés Complejo la Fontanina Calle de Félix Rodriguez de la Fuente, 10970 Mata de Alcántara, España	</t>
  </si>
  <si>
    <t>Patricia Martín García +34 685 35 11 44</t>
  </si>
  <si>
    <t>No se puede Renovar mas tiempo</t>
  </si>
  <si>
    <t>JHON KEVIN SOLIS IRRIBARREN</t>
  </si>
  <si>
    <t>Habitaciones,Bar-Restaurante, Bide-Ondo, Berna Auzoa, 4, 48340 Amorebieta-Etxano, Biscay</t>
  </si>
  <si>
    <t>+34 649 92 21 23</t>
  </si>
  <si>
    <t>2025/296</t>
  </si>
  <si>
    <t>ELYTT ENERGY S.L</t>
  </si>
  <si>
    <t>CARTA DE RESCISIÓN HASTA EL 30/05/2025</t>
  </si>
  <si>
    <t>JANNER ESCOBAR ROJAS</t>
  </si>
  <si>
    <t>2024/520</t>
  </si>
  <si>
    <t>HUMBERTO ENRIQUE MARTINEZ</t>
  </si>
  <si>
    <t>+34 614 75 61 83</t>
  </si>
  <si>
    <t>R2025/013/252</t>
  </si>
  <si>
    <t>ROMULO JUAN SANDY CAHUACHI</t>
  </si>
  <si>
    <t>Apartamentos Zierbena la Arena Auzoa 20, 48508 La Arena, España.</t>
  </si>
  <si>
    <t>Arix La Arena +34 656 76 80 32</t>
  </si>
  <si>
    <t>2025/172</t>
  </si>
  <si>
    <t>CALDERERIA MONGAR, SL</t>
  </si>
  <si>
    <t>Fecha fin prevista para el día 30/04.</t>
  </si>
  <si>
    <t>FELIPE SANTOS DA SILVA</t>
  </si>
  <si>
    <t>HELKIN ANTONIO OJEDA DE LA CRUZ</t>
  </si>
  <si>
    <t>A partir de esa fecha, quedará el siguiente equipo operativo, al menos durante el mes de junio</t>
  </si>
  <si>
    <t>2024/082</t>
  </si>
  <si>
    <t>Trabaja al 13/08</t>
  </si>
  <si>
    <t>CICERO LIMA BATISTA</t>
  </si>
  <si>
    <t>2024/303</t>
  </si>
  <si>
    <t>2025/155</t>
  </si>
  <si>
    <t>JOSE GUILLERMO MARTINEZ QUINTERO</t>
  </si>
  <si>
    <t>2025/281</t>
  </si>
  <si>
    <t>PROYECTO FINALIZADO 30/05 Se paga alojamiento hasta que lo reubiquen///remplaza habitaciòn de nelson pico</t>
  </si>
  <si>
    <t>ANDRIGK EDILBERTO CARDENAS SUAREZ</t>
  </si>
  <si>
    <t>Avenida Constitución 25-bis 4° derecha TAUSTE</t>
  </si>
  <si>
    <t>EDWIN GARCES SINISTERRA</t>
  </si>
  <si>
    <t>Avenida Constitución 25-bis 4° derecha TAUSTE este alojamiento es del cliente</t>
  </si>
  <si>
    <t>CARLOS MARIO MOLINA</t>
  </si>
  <si>
    <t>2024/507</t>
  </si>
  <si>
    <t>VICME SA</t>
  </si>
  <si>
    <t>2025/124</t>
  </si>
  <si>
    <t>DANIEL ALVES CAVALHEIRO</t>
  </si>
  <si>
    <t>carta de resicion hasta el 31/05/2025</t>
  </si>
  <si>
    <t>JHARLINSON MOSQUERA MEZA</t>
  </si>
  <si>
    <t>2025/037</t>
  </si>
  <si>
    <t>posible ampliacion hasta el 03/06</t>
  </si>
  <si>
    <t>Hostel Costa Luz C. Béjar, 28, 21001 Huelva</t>
  </si>
  <si>
    <t>Contacto 624204792</t>
  </si>
  <si>
    <t>calle Julio Romero Guisado 18 , C.P. 14120, situada en Fte. Palmera</t>
  </si>
  <si>
    <t>1.Casa Ecuestre Carmen Martínez Carretera A- 440 km 7, 14120 Fuente Palmera, España // Pasa Aloj Fijo 30/08//los siguientes trabajadores de taller y obra de Sevilla, a partir del día de hoy 28/04/2025 se quedan parados</t>
  </si>
  <si>
    <t>CLAUBER FONSECA MARCIANO</t>
  </si>
  <si>
    <t>2025/R128</t>
  </si>
  <si>
    <t>nos informan que el siguiente operario trabajo el último día el martes 30/09/2025</t>
  </si>
  <si>
    <t>JOSE LUIS CAUSADO TAMAYO</t>
  </si>
  <si>
    <t>SALE ALOJAMIENTO PROPIO 11/05/25. ALOJAMIENTO PAGO 22/05</t>
  </si>
  <si>
    <t>OSCAR EDUARDO RIVERA AROCA</t>
  </si>
  <si>
    <r>
      <rPr>
        <sz val="11"/>
        <color rgb="FFFF0000"/>
        <rFont val="Calibri"/>
        <family val="2"/>
      </rPr>
      <t>FIN DE LA OBRA 31/08</t>
    </r>
    <r>
      <rPr>
        <sz val="11"/>
        <color rgb="FF305496"/>
        <rFont val="Calibri"/>
        <family val="2"/>
      </rPr>
      <t>///Sale alojamiento propio 20/06//Salen del hotel Bon Lloc///Alojamiento fijo</t>
    </r>
    <r>
      <rPr>
        <sz val="11"/>
        <color rgb="FF000000"/>
        <rFont val="Calibri"/>
        <family val="2"/>
      </rPr>
      <t>/// finaliza semana 23 y 24 se trasladan a Francia// finalizarán los trabajos en planta hasta el viernes 6 de junio//se retomarán los trabajos en esta ubicación hasta la semana 26 o 27.//Fecha de inicio en obra (Toulouges, Francia): lunes 16/06/2025</t>
    </r>
  </si>
  <si>
    <t>JESUS ARLEN TORRES LANDAZURI</t>
  </si>
  <si>
    <t>Ingresan al Alojamiento fijo 23/03// Trabajan hasta 31/05</t>
  </si>
  <si>
    <t>EDGARDO RAFAEL DE ARMAS URBANO</t>
  </si>
  <si>
    <r>
      <rPr>
        <sz val="11"/>
        <color rgb="FF305496"/>
        <rFont val="Calibri"/>
        <family val="2"/>
      </rPr>
      <t>PREAVISO HASTA:</t>
    </r>
    <r>
      <rPr>
        <b/>
        <sz val="11"/>
        <color rgb="FF000000"/>
        <rFont val="Calibri"/>
        <family val="2"/>
      </rPr>
      <t xml:space="preserve"> 01/06/2025/siguientes colaboradores hasta el día 30/07</t>
    </r>
  </si>
  <si>
    <t>ANTONIO FAGNER ARAUJO DE OLIVEIRA</t>
  </si>
  <si>
    <t>este trabajador se fue desde junio</t>
  </si>
  <si>
    <t>SERGIO ANDRES FLOREZ MARIN</t>
  </si>
  <si>
    <t>Avinguda M S Salarich i Torrents, 86,Bajos 3, Vic, Catalunya 08500, España</t>
  </si>
  <si>
    <t>Eva +34 640 03 66 71</t>
  </si>
  <si>
    <t>2024/291</t>
  </si>
  <si>
    <t>aparece finalizado 02-06-25</t>
  </si>
  <si>
    <t>ANDRES FELIPE GIRALDO GOMEZ</t>
  </si>
  <si>
    <t>2024/411</t>
  </si>
  <si>
    <t>sale a piso propio 08/11 Carrer del Forn, 28 Sabadell, Barcelona</t>
  </si>
  <si>
    <t>ROBERT YOVANNI CASTILLO ANGULO</t>
  </si>
  <si>
    <t>Carretera los santos de maimona//CARTA DE RESCISIÓN 15/05/2025</t>
  </si>
  <si>
    <t>2024/385</t>
  </si>
  <si>
    <t>Ob. Paga su propio alojamientop en hotel Casa Luna C. Cabezo Bajo, 5, 06300 Zafra, Badajoz//con fecha prevista de fin el 11/07:</t>
  </si>
  <si>
    <t>LUIS MIGUEL BELEÑO NAVARRO</t>
  </si>
  <si>
    <t>2024/359</t>
  </si>
  <si>
    <t>Carrer Divino Maestro Nº 1 Bj Drcha de Marmolejo Loli Rios +34 646 11 80 22 Casa Luna C. Cabezo Bajo, 5, 06300 Zafra, Badajoz (solicitaron cambio de lugar de trabajo 03/10) // Carretera los santos de maimona Sra Marga +34 672 26 89 60 /7 sale alojamiento fijo 22/11// Catrata de resicion hasta el 20/05</t>
  </si>
  <si>
    <t>Carretera los santos de maimona  Sra Marga +34 672 26 89 60 // sale a alojamiento propio 21/10// carta de resicion hasta el 20/05/2025</t>
  </si>
  <si>
    <t>Carretera los santos de maimona// carta de resicion hasta el 20/05</t>
  </si>
  <si>
    <r>
      <t>con fecha prevista de fin el </t>
    </r>
    <r>
      <rPr>
        <b/>
        <sz val="11"/>
        <color rgb="FF242424"/>
        <rFont val="Aptos"/>
        <family val="2"/>
        <charset val="1"/>
      </rPr>
      <t>11/07</t>
    </r>
    <r>
      <rPr>
        <sz val="11"/>
        <color rgb="FF242424"/>
        <rFont val="Aptos"/>
        <family val="2"/>
        <charset val="1"/>
      </rPr>
      <t>:</t>
    </r>
  </si>
  <si>
    <t>PEDRO JESUS SANCHEZ CHIRA</t>
  </si>
  <si>
    <t>46 Avenida de Portugal, 33207 Gijón, España</t>
  </si>
  <si>
    <t>El pasado miércoles 9 de Abril, fue el último día</t>
  </si>
  <si>
    <t>con fecha prevista de fin el 11/07:</t>
  </si>
  <si>
    <t>IVAN DE JESUS HERNANDEZ GARCIA</t>
  </si>
  <si>
    <t>Carretera los santos de maimona//con fecha prevista de fin el 11/07:</t>
  </si>
  <si>
    <t>JAIRO ABRIL BEJARANO</t>
  </si>
  <si>
    <t>JAIRO ANDRES ROMO LOPEZ</t>
  </si>
  <si>
    <t>JUAN GUILLERMO RIOS PEREZ</t>
  </si>
  <si>
    <t>LEONARDO ALTUZARRA RODRIGUEZ</t>
  </si>
  <si>
    <t>2025/316</t>
  </si>
  <si>
    <t>Habitacion reemplazada por jose andres perez</t>
  </si>
  <si>
    <t>PTE VERIFICAR ESTA INFORMACIÒN</t>
  </si>
  <si>
    <t>FELIPE DOS SANTOS</t>
  </si>
  <si>
    <t>Calle Doctor Marañon 5 piso 1/ Alojamiento privado a partir del 26/02</t>
  </si>
  <si>
    <t>SALAH CHAOUKI</t>
  </si>
  <si>
    <t>SAMUEL ANTONIO BAVATIVA SANCHEZ</t>
  </si>
  <si>
    <t>2024/110</t>
  </si>
  <si>
    <t>Sale del hotel Hotel Derby Av Julio Rodriguez Soto 46 32500 03/05 pasa Alojamiento fijo O Carballiño, C/Circunvalaciòn del parque, Nº1- Piso 5 G // SALE A LOJ PROPIO 24/09</t>
  </si>
  <si>
    <t>JIMMY JHON SANDI CAHUACHI</t>
  </si>
  <si>
    <t>JESUS JOEL ESPINOZA YOVERA</t>
  </si>
  <si>
    <t>2025/173</t>
  </si>
  <si>
    <t>EUSEBIO ANAMURO CUSI</t>
  </si>
  <si>
    <t>2025/189</t>
  </si>
  <si>
    <t>Pedido de remplazo tenia fecha fin 14/04</t>
  </si>
  <si>
    <t>JOSE LUIS CHAVEZ PAUCAR</t>
  </si>
  <si>
    <t>Hotel Balneario Areatza Askatasuna, 50, 48143 Areatza, España</t>
  </si>
  <si>
    <t>Recepción - 34 946 57 27 05</t>
  </si>
  <si>
    <t>2025/185</t>
  </si>
  <si>
    <t>HUGO MAMANI HERRERA</t>
  </si>
  <si>
    <t>GUSTAVO ELORREAGA MAYANGA</t>
  </si>
  <si>
    <t>R2025/004/173</t>
  </si>
  <si>
    <t>R2025/008/424</t>
  </si>
  <si>
    <t>Apartamentos Rurales Arco de Trajano,Plaza De Toros S/N, 10980 Alcántara, España</t>
  </si>
  <si>
    <t>+34 699 97 01 58</t>
  </si>
  <si>
    <r>
      <t>Los de </t>
    </r>
    <r>
      <rPr>
        <b/>
        <sz val="11"/>
        <color rgb="FF242424"/>
        <rFont val="Aptos"/>
        <family val="2"/>
        <charset val="1"/>
      </rPr>
      <t>Oriol</t>
    </r>
    <r>
      <rPr>
        <sz val="11"/>
        <color rgb="FF242424"/>
        <rFont val="Aptos"/>
        <family val="2"/>
        <charset val="1"/>
      </rPr>
      <t> hasta el día 13/06</t>
    </r>
  </si>
  <si>
    <t>REGINALDO GONÇALVES DE MORAIS</t>
  </si>
  <si>
    <t>R2025/033/021</t>
  </si>
  <si>
    <t>JORGE LUIS FLOREZ RAMIREZ</t>
  </si>
  <si>
    <t>2025/308</t>
  </si>
  <si>
    <t>Olga +34 659 544 833</t>
  </si>
  <si>
    <t>2025/122</t>
  </si>
  <si>
    <t>Pension las hojas+34 690 76 32 69</t>
  </si>
  <si>
    <t>FREDY JAVIER CCALLA ROJAS</t>
  </si>
  <si>
    <t>EDILSON FIERRO DAGUA</t>
  </si>
  <si>
    <t>JESUS ANTONIO HERNANDEZ ARISMENDY</t>
  </si>
  <si>
    <t>APARTAMENTOS BERDIEL Plaza San Nicolás 4 
CP: 22142, Casbas de Huesca (España)_x000D_</t>
  </si>
  <si>
    <t>Juan Julián Berdiel+34 675873863</t>
  </si>
  <si>
    <t>JHONATHAN ALEXIS VALDERRAMA BLANCO</t>
  </si>
  <si>
    <t>Finaliza el viernes 07/06</t>
  </si>
  <si>
    <t>2025/232</t>
  </si>
  <si>
    <t>WILMER DE JESUS ARIZA MUÑOZ</t>
  </si>
  <si>
    <t>contacto:   954391299</t>
  </si>
  <si>
    <t>2025/303</t>
  </si>
  <si>
    <t>CHRISTIAN ZAMBRANO</t>
  </si>
  <si>
    <t>SANTANDER</t>
  </si>
  <si>
    <t xml:space="preserve">Hosteria Tajahierro La Pelilla, 8 , 39200 Reinosa, España </t>
  </si>
  <si>
    <t>+34 942 75 35 24</t>
  </si>
  <si>
    <t>RU2025/025/2025/266</t>
  </si>
  <si>
    <t xml:space="preserve">preguntar luis </t>
  </si>
  <si>
    <t>R2025/005/199</t>
  </si>
  <si>
    <t>Pasaje las Antillas, 2, 01012 Vitoria-Gasteiz, Álava</t>
  </si>
  <si>
    <t>Edwin ‪+34 693 39 54 47‬</t>
  </si>
  <si>
    <t>WILMER YANAYACO PINEDO</t>
  </si>
  <si>
    <t>YUVER RUSO CRUZ DAMIAN</t>
  </si>
  <si>
    <t>2025/333</t>
  </si>
  <si>
    <t>NO PASARON LA PRUEBA</t>
  </si>
  <si>
    <t>Fecha fin prevista de Norton es el día 13/06.</t>
  </si>
  <si>
    <t>Trasladado de Tubal, alojamiento propio apartir del 24/07/2024///PREAVISO HASTA: 18/02/2025//PREAVISO HASTA: 10/06/2025</t>
  </si>
  <si>
    <t>CARLOS ALBERTO PINTADO CARRION</t>
  </si>
  <si>
    <t xml:space="preserve">Apartamentos La Arena. La Arena Auzoa 20, 48508 La Arena, Zierbena, Bizkaia. </t>
  </si>
  <si>
    <t>HOSTAL RESTAURANTE PATIO C. los Sitios, 37, 50740 Fuentes de Ebro, Zaragoza</t>
  </si>
  <si>
    <t>Contacto: 640206149</t>
  </si>
  <si>
    <t>Ampliacion hasta el 03/06/ solo pueden tener hasta el 05/06</t>
  </si>
  <si>
    <t>Ampliacion hasta el 03/06// solo pueden tener hasta el 05/06</t>
  </si>
  <si>
    <t>Oianume  Bo. Ergoyen, 18, 20130 Urnieta, Gipuzkoa</t>
  </si>
  <si>
    <t>2025/335</t>
  </si>
  <si>
    <t>LUIS MERCEDES VILLALTA SUAREZ</t>
  </si>
  <si>
    <t>2025/346</t>
  </si>
  <si>
    <t>CEMENTOS BLANCOS DEL SUR SL</t>
  </si>
  <si>
    <t>JHONS WILFREDO RAMIREZ VIERA</t>
  </si>
  <si>
    <t xml:space="preserve">calle BARRIO DE LA SOMADILLA 22, PORTAL 4 BAJO J
</t>
  </si>
  <si>
    <t>Esther lopez +34 629 26 06 32</t>
  </si>
  <si>
    <t>MIMESE hasta el día 30/05.Hasta finales de mayo seguirán en Huelva y probablemente en Junio ya vayan para Sevilla</t>
  </si>
  <si>
    <t>SAULO GUIMARÃES LIMA</t>
  </si>
  <si>
    <t>OPORTO</t>
  </si>
  <si>
    <t>2025/315</t>
  </si>
  <si>
    <t>CONFIRMAR ESTA INFORMACION</t>
  </si>
  <si>
    <t>Arix La Arena+34 656 76 80 32</t>
  </si>
  <si>
    <t>JOSE AMAURI DE SÁ</t>
  </si>
  <si>
    <t>2025/215</t>
  </si>
  <si>
    <t>YODARLI GONZALEZ BRAVO</t>
  </si>
  <si>
    <t>WILTON MANUEL CRUZ RAMIREZ</t>
  </si>
  <si>
    <t>Vilamar 101, Calafell, Tarragona 43820, España</t>
  </si>
  <si>
    <t>2025/313</t>
  </si>
  <si>
    <t>FERNANDO DARIO LUNA PINEDA</t>
  </si>
  <si>
    <t>DIEGO JAVIER RAMIREZ MORENO</t>
  </si>
  <si>
    <t>Hotel La Basílica Ctra. Burgos, 19, 34200 Venta de Baños, Palencia</t>
  </si>
  <si>
    <t>2025/R052</t>
  </si>
  <si>
    <t>MONTAJES MORELBA, S.L</t>
  </si>
  <si>
    <t>CLIENTE CANCELO EL PEDIDO</t>
  </si>
  <si>
    <t>ANDRES GUILLERMO VALENCIA PARRA</t>
  </si>
  <si>
    <t>Plaza España, 17 1A, Briones, La Rioja 26330, España</t>
  </si>
  <si>
    <t>+34 673 48 56 00</t>
  </si>
  <si>
    <t>2025/298</t>
  </si>
  <si>
    <t>URIEL CORTES HERNANDEZ</t>
  </si>
  <si>
    <t>Via Cangia 58 Reda di Faenza 48018 Ravenna</t>
  </si>
  <si>
    <t>Matteo +39 333 767 4002</t>
  </si>
  <si>
    <t>2024/270</t>
  </si>
  <si>
    <r>
      <rPr>
        <sz val="11"/>
        <color rgb="FFFF0000"/>
        <rFont val="Calibri"/>
        <family val="2"/>
      </rPr>
      <t>Finaliza el 14/11</t>
    </r>
    <r>
      <rPr>
        <sz val="11"/>
        <color rgb="FF305496"/>
        <rFont val="Calibri"/>
        <family val="2"/>
      </rPr>
      <t xml:space="preserve"> Hotel Mosaico, pasan a Alojamiento fijo 11/8/2024</t>
    </r>
  </si>
  <si>
    <t>MARIO FERNANDO ALBERCA PUICON</t>
  </si>
  <si>
    <t>R2024/014/147</t>
  </si>
  <si>
    <t>PROYECTO FINALIZADO 30/05 Se paga alojamiento hasta que lo reubiquen</t>
  </si>
  <si>
    <t>JOÃO CARLOS PEREIRA MACHADO</t>
  </si>
  <si>
    <t>Espacio Finca Alegría  Pasaje Los Mendozas 57, 30396</t>
  </si>
  <si>
    <t>+34 691 10 06 00</t>
  </si>
  <si>
    <t>2024/010</t>
  </si>
  <si>
    <t>Sale alojamiento propio 15/5/2024</t>
  </si>
  <si>
    <t>LUIZ HENRIQUE LIMA  DOS SANTOS</t>
  </si>
  <si>
    <t>JASIR ENRIQUE DÍAZ MANJARREZ</t>
  </si>
  <si>
    <t>PASA ALOJAMIENTO PROPIO</t>
  </si>
  <si>
    <t>JORGE RICHARD INFANTE VILLANUEVA</t>
  </si>
  <si>
    <t>2025/240</t>
  </si>
  <si>
    <t>BABCOCK MONTAJES, S.A.U</t>
  </si>
  <si>
    <t>JOAO BATISTA MARQUES PEREIRA</t>
  </si>
  <si>
    <t>JHON ALDAIR MINA MONTAÑO</t>
  </si>
  <si>
    <t>GUSTAVO FRANCIS ORTIZ COSTA</t>
  </si>
  <si>
    <t>Rue de Barvaux 7 7D, Bomal, Wallonie 6941, Bélgica</t>
  </si>
  <si>
    <t xml:space="preserve">Laurent + 32 495 54 13 62 </t>
  </si>
  <si>
    <t>Reprobado</t>
  </si>
  <si>
    <t>C. de la Corona de Aragón, 10, 1d, 50009 Zaragoza</t>
  </si>
  <si>
    <t>2024/072</t>
  </si>
  <si>
    <t xml:space="preserve">SYME SISTEMAS FLUIDOS </t>
  </si>
  <si>
    <t>Trabajo finalizado tema contractual/ enviado a IMASA FRANCIA</t>
  </si>
  <si>
    <t>MATHIOUNE DIOP DIOP</t>
  </si>
  <si>
    <t>MARIANO CERON MUÑOZ</t>
  </si>
  <si>
    <t>GUSTAVO ADOLFO VALLECILLA GRANJA</t>
  </si>
  <si>
    <t>2024/057</t>
  </si>
  <si>
    <t>BRUGGE</t>
  </si>
  <si>
    <t>Pastoriestraat 28, Brujas, Vlaams Gewest 8200, Bélgica</t>
  </si>
  <si>
    <t>2024/020</t>
  </si>
  <si>
    <t>SKILLDD</t>
  </si>
  <si>
    <t>JOSIAS CANDELO BOLAÑOS</t>
  </si>
  <si>
    <t>2024/073</t>
  </si>
  <si>
    <t>Finalizan obra 06/04</t>
  </si>
  <si>
    <t>RAUL SUAREZ FRANCO</t>
  </si>
  <si>
    <t>9, Chemin rural dit fin de maizieres, Romilly-sur-Seine, Grand Est 10100, Francia</t>
  </si>
  <si>
    <t>Yves +33 6 19 84 00 05</t>
  </si>
  <si>
    <t>Sale del Alojamiento 18/04 traslado a Rovira</t>
  </si>
  <si>
    <t xml:space="preserve"> +34 625 64 10 95</t>
  </si>
  <si>
    <t>JHON FREDY BOLÃNOS</t>
  </si>
  <si>
    <t>JOHN ALEJANDRO PADILLA PEREZ</t>
  </si>
  <si>
    <t>2024/278</t>
  </si>
  <si>
    <t>Finaliza 30/08//1. Ingresa a alojamiento fiji 06/08/2024 Reemplazo de STIBENSON ARDILA ACUÑA</t>
  </si>
  <si>
    <t>MARLON RICARDO CERQUEIRA</t>
  </si>
  <si>
    <t>Trabaja hasta el 07/05</t>
  </si>
  <si>
    <t>LEONARDO SILVA LOPES</t>
  </si>
  <si>
    <t>ROBERTO JAVIER ESCOBAR USURRIAGA</t>
  </si>
  <si>
    <t>Rue Sainte-Julienne 51, Fléron, Wallonie 4621, Bélgica</t>
  </si>
  <si>
    <t>Liliana +32 495 64 43 44</t>
  </si>
  <si>
    <t>2024/149</t>
  </si>
  <si>
    <t>ANDRES CAMILO ALVAREZ CUERVO</t>
  </si>
  <si>
    <t>2025/009</t>
  </si>
  <si>
    <t>JHONNY ALEXANDER CALLE HERNANDEZ</t>
  </si>
  <si>
    <t>Reemplazo de Bruno</t>
  </si>
  <si>
    <t>MOISES DAVID BENITEZ GOMEZ</t>
  </si>
  <si>
    <t>Hotel Carabela Santa María Av.de Los Conquistadores, 21130 Mazagón, España</t>
  </si>
  <si>
    <t>+34 959 37 69 36</t>
  </si>
  <si>
    <t>OSCAR EDUARDO JARAMILLO MUÑOZ</t>
  </si>
  <si>
    <t>MARTIN CAMILO SUAREZ BARRERA</t>
  </si>
  <si>
    <t>JEFFERSON GRANJA ALVEAR</t>
  </si>
  <si>
    <t xml:space="preserve">Ingresan al Alojamiento fijo 23/03 </t>
  </si>
  <si>
    <t>ROGER NELI DA SILVA</t>
  </si>
  <si>
    <t>2024/152</t>
  </si>
  <si>
    <t>PAULO MARQUES DE OLIVEIRA</t>
  </si>
  <si>
    <t>JOSE DO CARMO RODRIGUES DOS SANTOS</t>
  </si>
  <si>
    <t>OMAR JOSE RAMIREZ PAZ</t>
  </si>
  <si>
    <t xml:space="preserve">Posadas España Avenida Luxemburgo, s/n, 30353 Cartagena, España </t>
  </si>
  <si>
    <t>MARCIANO SOARES LOPES</t>
  </si>
  <si>
    <t>ANGEL ANDRES BARDALES RAMIREZ</t>
  </si>
  <si>
    <t>sera reubicado al piso santurzi</t>
  </si>
  <si>
    <t>zamakola N 138 puerta B 1planta, 48003 Bilbao, España</t>
  </si>
  <si>
    <t>+34 662 47 35 02</t>
  </si>
  <si>
    <t>2025/221</t>
  </si>
  <si>
    <t>RAFAEL ANDRES NIETO MORENO</t>
  </si>
  <si>
    <t>KEWIN RAFAEL RUMBO YEPES</t>
  </si>
  <si>
    <t>JUAN DAVID RUSSO LINERO</t>
  </si>
  <si>
    <r>
      <rPr>
        <sz val="11"/>
        <color rgb="FFFF0000"/>
        <rFont val="Calibri"/>
        <family val="2"/>
      </rPr>
      <t>Finaliza 15/11</t>
    </r>
    <r>
      <rPr>
        <sz val="11"/>
        <color rgb="FF305496"/>
        <rFont val="Calibri"/>
        <family val="2"/>
      </rPr>
      <t>.Ripollet Pau Casals 47 // Carrer del Forn, 28 Sabadell, Barcelona</t>
    </r>
  </si>
  <si>
    <t>JEFERSON HORACIO VARGAS QUINTERO</t>
  </si>
  <si>
    <t>Reemplazo habitaciòn Diana</t>
  </si>
  <si>
    <t>GRISERIO COLLAZOS MURCIA</t>
  </si>
  <si>
    <t>Se adicionaron 450 costo de calefacciòn/// sale a ojamiento propio</t>
  </si>
  <si>
    <t>JOANDERSON DOS SANTOS LOBO</t>
  </si>
  <si>
    <t>ABANDONO TRABAJO 18/07</t>
  </si>
  <si>
    <t>Pasan 1 del pedido 135</t>
  </si>
  <si>
    <t xml:space="preserve">Hostal San Felipe 14 Galicia, 29670 Marbella, España
</t>
  </si>
  <si>
    <t xml:space="preserve">+34 617 70 06 08
</t>
  </si>
  <si>
    <t>2025/152</t>
  </si>
  <si>
    <t>R2025/047/RU2025/019/163</t>
  </si>
  <si>
    <t>ROGELIO EFRAIN CONDORI HUANCA</t>
  </si>
  <si>
    <t>2025/184</t>
  </si>
  <si>
    <t>RODRIGO RODRIGUEZ QUIMBAYO</t>
  </si>
  <si>
    <t>2024/146</t>
  </si>
  <si>
    <t>No paso el perido de prueba</t>
  </si>
  <si>
    <t>1. CALLE ORÉGANO, 14, 41500 ALCALÁ DE GUADAÍRA, SEVILLA, ESPAÑA  Juan Manuel +34 646 09 42 45//</t>
  </si>
  <si>
    <t>RODOLFO DAZAHER ARRIETA VASQUEZ</t>
  </si>
  <si>
    <t>2024/468</t>
  </si>
  <si>
    <t>FELIPE GUTIERREZ ALFARO</t>
  </si>
  <si>
    <t>Larrea, 48901 Barakaldo, Bizkaia, Spain</t>
  </si>
  <si>
    <t>Zulema 634233577</t>
  </si>
  <si>
    <t>R2025/017/232</t>
  </si>
  <si>
    <t>Cambiamos a fijo apartir del 12/04 500€</t>
  </si>
  <si>
    <t>RONALD GARCIA GIRON</t>
  </si>
  <si>
    <t>2025/256</t>
  </si>
  <si>
    <t>HERIBERTO GRANDAS HURTADO</t>
  </si>
  <si>
    <r>
      <rPr>
        <sz val="11"/>
        <color rgb="FFFF0000"/>
        <rFont val="Calibri"/>
        <family val="2"/>
      </rPr>
      <t xml:space="preserve"> Finaliza 06/09 </t>
    </r>
    <r>
      <rPr>
        <sz val="11"/>
        <color rgb="FF305496"/>
        <rFont val="Calibri"/>
        <family val="2"/>
      </rPr>
      <t xml:space="preserve">//1. habitación con costo 335 // C. Antonio Moreno, 9, 10513 Cedillo, Cáceres Golli +34 638815593 // 2. Cambia alojamietno alcantara 01/09 </t>
    </r>
  </si>
  <si>
    <t>JESUS ANTONIO PAJARO ARCIRIA</t>
  </si>
  <si>
    <t>CARLOS ANDRES ECHAVEZ ALVAREZ</t>
  </si>
  <si>
    <t>PEDRO MARTIN GUTIERREZ BARRIENTOS</t>
  </si>
  <si>
    <t>R2025/046/R2025/029</t>
  </si>
  <si>
    <t>Reemplazo HECTOR DAVID LEQUERNAQUE DIAZ</t>
  </si>
  <si>
    <t>HECTOR LEONEL MARTINEZ GUERRA</t>
  </si>
  <si>
    <t>RICHARD HURTADO RENGIFO</t>
  </si>
  <si>
    <t>Plaza Pizarro 12-2º drcha. En C/ pilar, 30 De Azuaga.</t>
  </si>
  <si>
    <t>Rosa Inmobiliaria Sierra Morena +34 650440592</t>
  </si>
  <si>
    <t>2024/224</t>
  </si>
  <si>
    <t>INGENIERIA PARA EL DESARROLLO TECNOLOGICO, S.L</t>
  </si>
  <si>
    <t>Finalizan T 22/08</t>
  </si>
  <si>
    <t>CARLOS ALBERTO GUZMAN CASTRO</t>
  </si>
  <si>
    <t>Pasan Alojamiento fijo 3/09//1. Residencia Universitaria Pere Claret Rda. de San Antonio María Claret, 28, 17002 Girona//2, Hostal Sant Bernat Ubicación: Ctra. les Feixes, 29-31, 17800 Olot, Girona</t>
  </si>
  <si>
    <t>JORGE YORDAN HERNANDEZ RONDON</t>
  </si>
  <si>
    <t>KEVIN LISANDRO PINEDA LEIVA</t>
  </si>
  <si>
    <t>2024/134</t>
  </si>
  <si>
    <t>2024/483</t>
  </si>
  <si>
    <t>JESUS ANTONIO CAÑON PEÑA</t>
  </si>
  <si>
    <t>RAIMUNDO NONATO FERREIRA</t>
  </si>
  <si>
    <t>Calle Barrancal 21, Vitoria Gasteiz</t>
  </si>
  <si>
    <t>2024/166</t>
  </si>
  <si>
    <t>Abandono el trabajo el 30/06</t>
  </si>
  <si>
    <t>LUIS JAVIER SERPA ENRIQUE</t>
  </si>
  <si>
    <t xml:space="preserve">Calle Santa María, 21003 </t>
  </si>
  <si>
    <t>+34 696 50 76 02</t>
  </si>
  <si>
    <t>2024/316</t>
  </si>
  <si>
    <t>HUELVA S.L</t>
  </si>
  <si>
    <t>PEDRO NEL VILLERO PINEDO</t>
  </si>
  <si>
    <t>calle BARRIO DE LA SOMADILLA 22, PORTAL 4 BAJO J</t>
  </si>
  <si>
    <t>2025/148</t>
  </si>
  <si>
    <t>ROBINSON CAMILO CASTAÑEDA SALGADO</t>
  </si>
  <si>
    <t>2025/159</t>
  </si>
  <si>
    <t>2024/504</t>
  </si>
  <si>
    <t>ACASTILLAJE SYNERA SL</t>
  </si>
  <si>
    <t>WILMER RAUL NUÑEZ RAFAEL</t>
  </si>
  <si>
    <t>2025/254</t>
  </si>
  <si>
    <t>EDINSON HUARI HUAMAN</t>
  </si>
  <si>
    <t>HEVERT CONDORHUAMAN GALLEGOS</t>
  </si>
  <si>
    <t>Finaliza 09/08///Ingresan Alojamiento Gustavo 05/06///Pasa Alojamiento fijo 16/03 Carolina</t>
  </si>
  <si>
    <t>MAURICIO ANDRADE VIAFARA</t>
  </si>
  <si>
    <t>2025/096</t>
  </si>
  <si>
    <t>C. del Maestro Serrano, 9, 46950 Xirivella, Valencia</t>
  </si>
  <si>
    <t>RU2025/018/2024/483</t>
  </si>
  <si>
    <t>PROYECTO PHYTOTAGANTE (Toulouges, Francia): Fecha de inicio en obra: lunes 16/06/2025</t>
  </si>
  <si>
    <t>Ripollet Pau Casals 47 // Hostal Sant Bernat Ctra. les Feixes, 29-31, 17800 Olot, Girona Teléfono 972261919</t>
  </si>
  <si>
    <t>ROLANDO CATUNTA MAMANI</t>
  </si>
  <si>
    <t>OMAR FONTECHA HERNANDEZ</t>
  </si>
  <si>
    <t>2 Boulevard Robert Schuman, Thionville, Grand Est 57100, Francia</t>
  </si>
  <si>
    <t>2025/153</t>
  </si>
  <si>
    <t xml:space="preserve">Salio 14-05 y no habian informado </t>
  </si>
  <si>
    <t>MICHAEL GEORGE DE OLIVEIRA MATOS</t>
  </si>
  <si>
    <t>HUMBERTO VERGARA QUINTERO</t>
  </si>
  <si>
    <t>33 Allée de la Libération, Thionville, Grand Est 57100, Francia</t>
  </si>
  <si>
    <t>1 rue des cerisiers, Homécourt, Grand Est 54310, FranciaXavier +33 6 85 93 15 45//PREMIERE CLASSE THIONVILLE 1 rue des Carolingiens, 57970 BasseYutz</t>
  </si>
  <si>
    <t>OMAR DE JESUS ZAPATA MORENO</t>
  </si>
  <si>
    <t>2025/077</t>
  </si>
  <si>
    <t>2025/028</t>
  </si>
  <si>
    <t>2024/395</t>
  </si>
  <si>
    <t>Ripollet Pau Casals 47 Pilar +34 620 40 15 04</t>
  </si>
  <si>
    <t>MARCO ALEXIS VILLAMIL SUAREZ</t>
  </si>
  <si>
    <t>Calle Padre Manjón, Valladolid</t>
  </si>
  <si>
    <t>Noelia Book&amp;Room +34 624 02 75 45</t>
  </si>
  <si>
    <t>El pago correspondiente a septiembre ya fue realizado. En octubre se efectuó un doble pago.//el 04/07 pasa a la habitaciòn de Raphael///C/ Roncal 88.Valladolid // Calle Padre Manjón, Valladolid 34622279691/// SALE ALOJAMIENTO PROPIO 15-10-25</t>
  </si>
  <si>
    <t>Pedro García +34 647 71 99 66</t>
  </si>
  <si>
    <t>2025/163</t>
  </si>
  <si>
    <t>LUIS HERNANDO LOPEZ MUÑOZ</t>
  </si>
  <si>
    <t xml:space="preserve">CALLE CARABELA 21100 PUNTA UMBRIA, ESPAÑA </t>
  </si>
  <si>
    <t xml:space="preserve">Ingresan 26/07//Plaza Tallista M. Hierro Barreda Ana Maria +34 635 55 80 93 /PENSIÓN LA VEGA AVDA. ALEMANIA, 96 - 21002 </t>
  </si>
  <si>
    <t>Hostal Sant Bernat Ctra. les Feixes, 29-31, 17800 Olot, Girona</t>
  </si>
  <si>
    <t>DIEGO ANDRES SALCEDO BAUTISTA</t>
  </si>
  <si>
    <t>2024/410</t>
  </si>
  <si>
    <t>JOLMAN ALQUIBAR OCAMPO MURILLO</t>
  </si>
  <si>
    <t>JAIME ANDRES SILVA SABOGAL</t>
  </si>
  <si>
    <t>MILTON DAVID SOSA PALLAS</t>
  </si>
  <si>
    <t>JHON SEBASTIAN BUITRAGO ANGEL</t>
  </si>
  <si>
    <t>2024/331</t>
  </si>
  <si>
    <t xml:space="preserve">CALDENOR </t>
  </si>
  <si>
    <r>
      <rPr>
        <sz val="11"/>
        <color rgb="FFFF0000"/>
        <rFont val="Calibri"/>
        <family val="2"/>
      </rPr>
      <t>Finaliza el 07/10</t>
    </r>
    <r>
      <rPr>
        <sz val="11"/>
        <color rgb="FF305496"/>
        <rFont val="Calibri"/>
        <family val="2"/>
      </rPr>
      <t xml:space="preserve"> Inicialmente informaròn que era una parada , se prolonga </t>
    </r>
  </si>
  <si>
    <t>JAMES RODRIGO NEIRA CASTRO</t>
  </si>
  <si>
    <t>Inicialmente informaròn que era una parada , se prolonga</t>
  </si>
  <si>
    <t>NICOLAS RAUL MACIAS MEJIA</t>
  </si>
  <si>
    <t>2025/126</t>
  </si>
  <si>
    <t>MICHAEL SANDOVAL CAMARGO</t>
  </si>
  <si>
    <t>NESTOR JULIAN BORRERO HERNANDEZ</t>
  </si>
  <si>
    <t>NESTOR ALEXANDER RODRIGUEZ GONZALEZ</t>
  </si>
  <si>
    <t>NERIO CERVANTES CALDERON</t>
  </si>
  <si>
    <t>1.  Rúa República de Arxentina, 21, 32500 O Carballiño, Ourense  hostal 988271202// 2. alojamiento FIJO HABITACIÓN 31/07/2024/Finalizan trabajo 09/08</t>
  </si>
  <si>
    <t>CAMBIO DE ALOJAMIENTO///Calle Aiala, 2, 01470 Amurrio, Álava // Teléfono 945890452</t>
  </si>
  <si>
    <t>RAUL MANUEL CERA PACHECO</t>
  </si>
  <si>
    <t>Via del quadrato 31 Savarna</t>
  </si>
  <si>
    <t>Estefania 3346878394</t>
  </si>
  <si>
    <t>Finaliza 24/10</t>
  </si>
  <si>
    <t>Hostal San Martí - Carrer Sant Jordi 14 Puig-reig Barcelona 08692 España</t>
  </si>
  <si>
    <t>2024/428</t>
  </si>
  <si>
    <t>KEVIN ELI CACERES SOLARI</t>
  </si>
  <si>
    <t>2025/164</t>
  </si>
  <si>
    <t>ROBERTO RAMIREZ BELTRAN</t>
  </si>
  <si>
    <t>JOSE FRAIDA DOS SANTOS</t>
  </si>
  <si>
    <t>Plaza de Alua, 4 6C, Fuenlabrada, Comunidad de Madrid 28944, España</t>
  </si>
  <si>
    <t>Jorge Alejandro +34 613 57 40 41</t>
  </si>
  <si>
    <t>2024/440</t>
  </si>
  <si>
    <t>Plaza de Alua, 4 6C, Fuenlabrada, Comunidad de Madrid 28944, España Jorge Alejandro +34 613 57 40 41</t>
  </si>
  <si>
    <t>calle Juan de Villoria 5, 4º Derecha de Salamanca</t>
  </si>
  <si>
    <t>Irene +34 686 82 30 01</t>
  </si>
  <si>
    <t>RUBEM DOS ANJOS SILVA</t>
  </si>
  <si>
    <t>MILTON OMAR MEDINA PANTA</t>
  </si>
  <si>
    <t>2025/034</t>
  </si>
  <si>
    <t>Sale el 24/09 Hotel Molino Rosso via Selice 49 40028</t>
  </si>
  <si>
    <t>OSCAR ASTORGA MUÑOZ</t>
  </si>
  <si>
    <t>Hotel Mosaico, pasan a Alojamiento fijo 11/8/2024</t>
  </si>
  <si>
    <t>ODAIR JERONIMO GONZALEZ ESCORCIA</t>
  </si>
  <si>
    <t>MANUEL FERNANDO NARANJO QUINTANA</t>
  </si>
  <si>
    <t>LUIS FERNANDO MELO PULIDO</t>
  </si>
  <si>
    <t>LUIS ALFONSO BARRIOS GOMEZ</t>
  </si>
  <si>
    <t>JOSE ALEJANDRO PINEDA GONZALEZ</t>
  </si>
  <si>
    <t>LUIS CARLOS VILLALBA ACEVEDO</t>
  </si>
  <si>
    <t>Finaliza 30/08//1. Ctra. de Terrassa, 114, 08206 Sabadell, Barcelona //02/08/2024 cambian Al. FIJO CASA KOTRIK</t>
  </si>
  <si>
    <t>2024/156</t>
  </si>
  <si>
    <t>JHOBERGS JESUS PARRA DE ARCO</t>
  </si>
  <si>
    <t>MILTON CESAR DIAZ GIL</t>
  </si>
  <si>
    <t xml:space="preserve"> Calle morgadas  31 entresuelo 1ª Vic Barcelona</t>
  </si>
  <si>
    <t xml:space="preserve"> Diana  +34 643 521 841</t>
  </si>
  <si>
    <t>2024/017</t>
  </si>
  <si>
    <t xml:space="preserve">Trabaja hasta el 31/07 </t>
  </si>
  <si>
    <t>R2025/240</t>
  </si>
  <si>
    <t>RAFAEL REYES MORALES</t>
  </si>
  <si>
    <t>LUIS FERNANDO MARTINEZ MACOTT</t>
  </si>
  <si>
    <t>COISAGNA</t>
  </si>
  <si>
    <t>ALBERIGI BELLERMINDO 39 334/7660770</t>
  </si>
  <si>
    <t>2024/295</t>
  </si>
  <si>
    <t>AEB DRYTECH SRL</t>
  </si>
  <si>
    <t xml:space="preserve">El alojamiento lo cubre el cliente </t>
  </si>
  <si>
    <t>JOSE NELSON OLAYA OLAYA</t>
  </si>
  <si>
    <t>2024/263</t>
  </si>
  <si>
    <t>JERSON FARITH CHAPARRO VEGA</t>
  </si>
  <si>
    <t>2024/193</t>
  </si>
  <si>
    <t>Pasa alojamiento de raul 20/06 // C/ de la Coma n.º 4, 4º1ª Constantí (43120) Tarragona Raùl +34 679 36 12 37</t>
  </si>
  <si>
    <r>
      <rPr>
        <sz val="11"/>
        <color rgb="FFFF0000"/>
        <rFont val="Calibri"/>
        <family val="2"/>
      </rPr>
      <t>FINALIZAN 24/12</t>
    </r>
    <r>
      <rPr>
        <sz val="11"/>
        <color rgb="FF305496"/>
        <rFont val="Calibri"/>
        <family val="2"/>
      </rPr>
      <t>.SALEN 10/11 CULMINACIÒN CONTRATO ALOJAMIENTO C/ MINAS DE RIOTINTO1, URB. LAS CANOAS, EDIF. ANGELA MARISA, PORTAL 1, 1ºF. PUNTA UMBRÍA (HUELVA). CARLOS ALVAREZ-URIBARRI MOYA 606 60 59 08</t>
    </r>
  </si>
  <si>
    <t>2024/297</t>
  </si>
  <si>
    <t>(Cambio de Alojamiento 25-9 Piazza Marmirolo, 15, 48024 Massa Lombarda RA, Italy Silvana +39 329 378 2982)</t>
  </si>
  <si>
    <t>LUIS ANTONIO ORTEGA CRUZ</t>
  </si>
  <si>
    <t>Calle Busturbi Kalea, 7 7, Gamarra Nagusia, País Vasco ALOJAMIENTO HASTA 25/10 donde ALICIA//</t>
  </si>
  <si>
    <t>RAPHAEL ALMEIDA OLIVEIRA</t>
  </si>
  <si>
    <t>KEVIN FRANKLYN LESCANO REYES</t>
  </si>
  <si>
    <t>55 Barrio Gama Bloque 3, 39790 Gama, España</t>
  </si>
  <si>
    <t>+34 656 75 92 55</t>
  </si>
  <si>
    <t>MARTIN FRANCISCO ABACA</t>
  </si>
  <si>
    <t>JUAN GUILLERMO CASTRO</t>
  </si>
  <si>
    <t>R2025/048/R2025/029</t>
  </si>
  <si>
    <t>Reemplazo de GERMAN MAURICIO CARO CASTRO</t>
  </si>
  <si>
    <t>Calle del sol ixent bloque A.  25300 Tárrega </t>
  </si>
  <si>
    <t>ANTONIO BONET SANTIVERI +34 648 04 70 95</t>
  </si>
  <si>
    <t>2024/268</t>
  </si>
  <si>
    <t>Calle morgadas  31 entresuelo 1ª Vic Barcelona </t>
  </si>
  <si>
    <t>Diana  +34 643 521 841</t>
  </si>
  <si>
    <t>2024/209</t>
  </si>
  <si>
    <t>JULIAN HERNANDO VERA MERCADO</t>
  </si>
  <si>
    <t>2024/188</t>
  </si>
  <si>
    <t>FINALIZA 05/09//Pasan a piso fijo el 30/06//Calle Estrecha, 2, Santa Marta de Tormes, Castilla y León 37900, España</t>
  </si>
  <si>
    <t>MARCELO PEREIRA DA SILVA</t>
  </si>
  <si>
    <t>MANUEL SALVADOR ORTEGA SANCHEZ</t>
  </si>
  <si>
    <t>2024/470</t>
  </si>
  <si>
    <t>cambio alojamiento propio sin notificar, se procede hacer registro para Junio</t>
  </si>
  <si>
    <t xml:space="preserve">PORTUGAL </t>
  </si>
  <si>
    <t>TORRES NOVAS</t>
  </si>
  <si>
    <t>2024/304</t>
  </si>
  <si>
    <t>Finaliza 21/09//Alojamiento por cuenta del cliente</t>
  </si>
  <si>
    <t>CAMBIODE ALOJAMIENTO</t>
  </si>
  <si>
    <t>MIGUEL ANGEL CHUQUIZAPON VASQUEZ</t>
  </si>
  <si>
    <t>2025/003</t>
  </si>
  <si>
    <t>SPR DIVISION INTEG SL</t>
  </si>
  <si>
    <t>C/ NOU30 25165 JUNCOSADE LESGARRIGUES LLEIDA</t>
  </si>
  <si>
    <t>ISIDRE +34 606 62 83 50</t>
  </si>
  <si>
    <t>2024/327</t>
  </si>
  <si>
    <t xml:space="preserve">SORIGUE </t>
  </si>
  <si>
    <t>LUIS FERNANDO DENIS BEJARANO</t>
  </si>
  <si>
    <t>2025/168</t>
  </si>
  <si>
    <t>2024/448</t>
  </si>
  <si>
    <t>2024/469</t>
  </si>
  <si>
    <t>2024/076</t>
  </si>
  <si>
    <t>Trabaja hasta 29/04</t>
  </si>
  <si>
    <t>LUIS ALBERTO CATALAN MORENO</t>
  </si>
  <si>
    <t>1.  Rúa República de Arxentina, 21, 32500 O Carballiño, Ourense  hostal 988271202// 2. alojamiento FIJO HABITACIÓN 31/07/2024</t>
  </si>
  <si>
    <t>LUIGUI ARMANDO QUINES GRANADOS</t>
  </si>
  <si>
    <t>NELSON ALBERTO SALCEDO RODRIGUEZ</t>
  </si>
  <si>
    <t>JOHN ALEXANDER LUGO CUESTAS</t>
  </si>
  <si>
    <t>LUCAS SEBASTIÃO CARDOSO</t>
  </si>
  <si>
    <t>Trabajo 31/08</t>
  </si>
  <si>
    <t>LUCAS SANTOS DIONISIO</t>
  </si>
  <si>
    <t>LIBARDO CABRERA SANCHEZ</t>
  </si>
  <si>
    <t>LEIBINSON HINESTROZA MURILLO</t>
  </si>
  <si>
    <r>
      <rPr>
        <sz val="11"/>
        <color rgb="FFFF0000"/>
        <rFont val="Calibri"/>
        <family val="2"/>
      </rPr>
      <t xml:space="preserve">Finaliza 16/09 </t>
    </r>
    <r>
      <rPr>
        <sz val="11"/>
        <color rgb="FF305496"/>
        <rFont val="Calibri"/>
        <family val="2"/>
      </rPr>
      <t>1.Hostal Sant JoanCarrer Sant Joan, 12, 08760 Martorell, Barcelona 2.// Pasan a Fijo 06/08Carrer de Collserola, 3,  3º 08207 Sabadell, Barcelona Albert Peguera +34 660339835//</t>
    </r>
  </si>
  <si>
    <t>RU2025/018/027</t>
  </si>
  <si>
    <t>KILDER ELBIS RAMIREZ SHUAN</t>
  </si>
  <si>
    <t>2025/073</t>
  </si>
  <si>
    <t>Hoy será el último día de Kilder, motivo no hay más trabajos para él.</t>
  </si>
  <si>
    <t>LUIZ GUILHERME AMARAL ALVES</t>
  </si>
  <si>
    <t>Mâcon</t>
  </si>
  <si>
    <t>2 Rue Gambetta, Mâcon, Bourgogne-Franche-Comté 71000, Francia</t>
  </si>
  <si>
    <t>Allissia +33 6 98 65 07 29</t>
  </si>
  <si>
    <t>2024/128</t>
  </si>
  <si>
    <t>TCM</t>
  </si>
  <si>
    <t>20/12/2024//765 Route Champ de la Lié, Varennes-lès-Mâcon, Bourgogne-Franche-Comté 71000, Francia</t>
  </si>
  <si>
    <r>
      <rPr>
        <sz val="11"/>
        <color rgb="FFFF0000"/>
        <rFont val="Calibri"/>
        <family val="2"/>
      </rPr>
      <t xml:space="preserve">Finaliza 16/9 </t>
    </r>
    <r>
      <rPr>
        <sz val="11"/>
        <color rgb="FF305496"/>
        <rFont val="Calibri"/>
        <family val="2"/>
      </rPr>
      <t>1.Carrer de Collserola, 3,  3º 08207 Sabadell, Barcelona//Albert Peguera +34 660339835</t>
    </r>
  </si>
  <si>
    <t>KARLO CESAR COLONA CRUZ</t>
  </si>
  <si>
    <t>SANDRO GONZALEZ ÑUSTES</t>
  </si>
  <si>
    <t>2024/323</t>
  </si>
  <si>
    <t>OSCAR EDUARDO PEREIRA PABON</t>
  </si>
  <si>
    <t>JOHNNY OCAMPO BORRERO</t>
  </si>
  <si>
    <t>También finalizan los siguientes trabajadores el día 23/05</t>
  </si>
  <si>
    <t>JULIO CESAR CAICEDO BOLAÑOS</t>
  </si>
  <si>
    <t>JULIO ANDRES ROCA FLOREZ</t>
  </si>
  <si>
    <t>Mari Mendez +34 665 35 03 56</t>
  </si>
  <si>
    <t>2024/117</t>
  </si>
  <si>
    <t>JULIO ALEXANDER TOVAR BAQUERO</t>
  </si>
  <si>
    <t xml:space="preserve">No llego a el trabajo </t>
  </si>
  <si>
    <t>JOHAN MAURICIO MORENO QUINTANA</t>
  </si>
  <si>
    <t>Trbaja hasta 18/12//Fianliza 05/09//Pasan a piso fijo el 30/06//Calle Estrecha, 2, Santa Marta de Tormes, Castilla y León 37900, España</t>
  </si>
  <si>
    <t xml:space="preserve">JHONN JAIRO NAVARRO BANDERA </t>
  </si>
  <si>
    <t>2024/431</t>
  </si>
  <si>
    <t>2024/486</t>
  </si>
  <si>
    <t>LUIS YEISON GUERRERO GOMEZ</t>
  </si>
  <si>
    <t>2025/156</t>
  </si>
  <si>
    <t>Todos los trabajadores de Portland-Valderrivas terminan esta semana//Sigue email enviado por MAM, los chicos de Jaén finalizan 16/04.</t>
  </si>
  <si>
    <t>JUAN EUSEVIO VILELA SANDOVAL</t>
  </si>
  <si>
    <t>2025/078</t>
  </si>
  <si>
    <t>Plaza Playa Paraíso 31, Apartamento 1302</t>
  </si>
  <si>
    <t>2024/505</t>
  </si>
  <si>
    <t xml:space="preserve">Calle Menorca 2 edificio Arco de Menorca, 4 E -Aguadulce Almería código postal 04720 </t>
  </si>
  <si>
    <t>PASO ALOJAIENTO PROPIO 01-12-24</t>
  </si>
  <si>
    <t>Barrio Lourdes calle estanca portal 4 Tudela</t>
  </si>
  <si>
    <t>Eliana  +34 633 05 36 73</t>
  </si>
  <si>
    <t>35 Rue Ferdinand de Labatut, Bergerac, Nouvelle-Aquitaine 24100, Francia</t>
  </si>
  <si>
    <t>Marie-Pascale +33 6 20 69 54 30</t>
  </si>
  <si>
    <t>LUIS FELIPE OSPINA GARCIA</t>
  </si>
  <si>
    <t>Finaliza el 26/ 09//Alojamiento por cuenta del cliente</t>
  </si>
  <si>
    <t>JULIAN FIGUEROA MORANTE</t>
  </si>
  <si>
    <t>Ripollet Pau Casals 47// Ctra. les Feixes, 29-31, 17800 Olot, Girona</t>
  </si>
  <si>
    <t>2024/506</t>
  </si>
  <si>
    <t>JONATHAN ALVARO CHAVARRO CORDOBA</t>
  </si>
  <si>
    <t>JOSE YESID RIVAS SARRIA</t>
  </si>
  <si>
    <t>MILTON ENRIQUE JIMENEZ ARDILA</t>
  </si>
  <si>
    <t>Bda. Militar 2 de Mayo - Capiscol, Burgos</t>
  </si>
  <si>
    <t>2024/418</t>
  </si>
  <si>
    <t>MOHAMED BOUSTILA</t>
  </si>
  <si>
    <t>HEMERSON GARCIA MOSQUERA</t>
  </si>
  <si>
    <t>RONALD JAVIER MARCELO SEMINARIO</t>
  </si>
  <si>
    <t>R2025/031/R008/424</t>
  </si>
  <si>
    <t>JOSE GUSTAVO AGUILAR TORRES</t>
  </si>
  <si>
    <t>se alarga un mes mas 20/02///sale el 15/10 de Calle Picañol 76 2o 2ª, C.postal 08208 - Zona Cruz Alta///La dueña solo quiere personal de la oficina, SOLO PAGO EN EFECTIVO SOLICITAR CON 3 DÍAS DE ANTELACIÓN// carta de resicion hasta el 31/05/2025</t>
  </si>
  <si>
    <t>VICTOR ARTURO GALVEZ PALACIOS</t>
  </si>
  <si>
    <t>HOTEL VILLA MARIA, Barrio del Carmen, 66, 39600 Revilla de Camargo, España</t>
  </si>
  <si>
    <t>+34 942 25 92 72</t>
  </si>
  <si>
    <t>2025/241</t>
  </si>
  <si>
    <t>2024/330</t>
  </si>
  <si>
    <t>JOLBER ENRIQUE PINTO BRITO</t>
  </si>
  <si>
    <t>2025/014</t>
  </si>
  <si>
    <t>JHONATAN CIFUENTES SANCHEZ</t>
  </si>
  <si>
    <t>///sale de este Alojamiento 25/10 Calle SAN FRANCISCO 2-4 (piso situado en 1a Planta) de Cintruenigo Lourdes +34 606 06 88 29/// SALE A ALOJAMIENTO PROPIO INGRESA PEDIDO 299</t>
  </si>
  <si>
    <t>Raùl +34 679 36 12 37</t>
  </si>
  <si>
    <t>2024/255</t>
  </si>
  <si>
    <t>CONTRATOS Y DISEÑOS INDUSTRIALES S.L</t>
  </si>
  <si>
    <t>Fin 30/08 //1.carrer d en talavera 43003 tarragona /Apartaments Cervantes 8, C. del Cardenal Cervantes, 8, 43001 Tarragona// Entra a fijo 07/08</t>
  </si>
  <si>
    <t>Finaliza 03/09</t>
  </si>
  <si>
    <t>MARCELO CORDEIRO DE SOUSA NARCIZO</t>
  </si>
  <si>
    <t>Pensión Iruña Vapor Habana Kalea, 1, bajo, 48980 Santurtzi, Bizkaia</t>
  </si>
  <si>
    <t>HECTOR DAVID LEQUERNAQUE DIAZ</t>
  </si>
  <si>
    <t>REEMPLAZO DE llerman de la hoz Pelaez</t>
  </si>
  <si>
    <t>JOSE ALFREDO BARRETO AGUILAR</t>
  </si>
  <si>
    <r>
      <rPr>
        <sz val="11"/>
        <color rgb="FF305496"/>
        <rFont val="Calibri"/>
        <family val="2"/>
      </rPr>
      <t>1.Hotel San Pedro C. Melquiades Álvarez, 81, 33930 Langreo, Asturias Ana 985693211 // Pasan alojamiento</t>
    </r>
    <r>
      <rPr>
        <sz val="11"/>
        <color rgb="FFFF0000"/>
        <rFont val="Calibri"/>
        <family val="2"/>
      </rPr>
      <t xml:space="preserve"> Fijo 03/09 //Todos los trabajadores finalizarán el día 21/02</t>
    </r>
  </si>
  <si>
    <t>JEISSON JAVIER SUAREZ ROJAS</t>
  </si>
  <si>
    <t>Trabaja hasta 13/06</t>
  </si>
  <si>
    <t>Plaza Argamasilla 3- 5to Izquierda, 13500 Puertollano, España</t>
  </si>
  <si>
    <t>Thierry Noel +34 643 60 06 97</t>
  </si>
  <si>
    <t>2024/204</t>
  </si>
  <si>
    <t>Pasa alojamiento fijo 19/07///37 Carrer de Prat de la Riba 1-B, 08222 Terrassa, España hostal  +34 653 82 98 16</t>
  </si>
  <si>
    <t>JORGE ARLEX MARTINEZ MENDEZ</t>
  </si>
  <si>
    <t>JORGE ANDRES MARTINEZ VEGA</t>
  </si>
  <si>
    <t>JONATHAN FELACIO FISGATIVA</t>
  </si>
  <si>
    <t>1.7/7/2024 C. la Portaza, 43, 50172 Alfajarín, Zaragoza.//2 Cambian a Pamplona //3.  C/abajita bidea Nº 5 31171 Ororbia Navarra // 4. Cambian a alojamiento Fijo 01/08/2024/ Finalizan T 24/08</t>
  </si>
  <si>
    <t>JURGEN COGOLLO CUARTAS</t>
  </si>
  <si>
    <t>JHON ALEXANDER LATORRE ESCOBAR</t>
  </si>
  <si>
    <t>1.Ingresan a piso fijo 17/05/// Salen del aloamiento Joaquina //4/14/2024 Calle grupo Alferez Rojas 41BD Zaragoza Josè Daniel Roman +34 645 86 07 02  2. Cambian a Pamplona //3.  C/abajita bidea Nº 5 31171 Ororbia Navarra 4. Cambian a fijo 01/08/2024// finaliza 30/08</t>
  </si>
  <si>
    <t>2024/256</t>
  </si>
  <si>
    <t xml:space="preserve"> 1. C/abajita bidea Nº 5 31171 Ororbia Navarra //2. Cambian a fijo 01/08/2024/ Finaliza 24/08</t>
  </si>
  <si>
    <t>NAYI JAIR PEREZ BENAVIDES</t>
  </si>
  <si>
    <t>JEFERY YAZED LEON RAMOS</t>
  </si>
  <si>
    <t xml:space="preserve"> Calle de Remiro de Goñi 38, Ermitagaña-Mendebaldea-Etxabakoitz, Pamplona - Iruña</t>
  </si>
  <si>
    <t>2024/267</t>
  </si>
  <si>
    <t>1. Ingresa a fijo 04/08 / Finaliza 24/08</t>
  </si>
  <si>
    <t>MOISES JOSÉ BARRETO ALMEIDA</t>
  </si>
  <si>
    <t>2025/130</t>
  </si>
  <si>
    <t>El señor Jony Ocampo, hoy día 11 de abril será su último día de trabajo</t>
  </si>
  <si>
    <t>2024/089</t>
  </si>
  <si>
    <r>
      <rPr>
        <sz val="11"/>
        <color rgb="FFFF0000"/>
        <rFont val="Calibri"/>
        <family val="2"/>
      </rPr>
      <t>Finaliza 13/09</t>
    </r>
    <r>
      <rPr>
        <sz val="11"/>
        <color rgb="FF305496"/>
        <rFont val="Calibri"/>
        <family val="2"/>
      </rPr>
      <t xml:space="preserve"> //Sale alojamiento propio 15/06///Ingresan a piso fijo 08/04///Sale de Alojamiento de Olga</t>
    </r>
  </si>
  <si>
    <t>LUIS ALEJANDRO ALVAREZ JOVEL</t>
  </si>
  <si>
    <t>cambia alojamiento Nirza 30/11///Pasa Alojamiento fijo 15/10 Arnalt de Larrasoaña 1. Piso 1ºA CP 31016 Pamplona JOSE RAMON +34 644 34 42 76 ///Calle Acella, 2 (bis Por la Avenida De Navarra Seguidamente a la terraza del, Restaurante 29 (ex Harmony), 31008 Pamplona, Navarra, España</t>
  </si>
  <si>
    <t>ISAAC REYNEL LOPEZ</t>
  </si>
  <si>
    <t>Trabaja hasta 17/05// sale del hotel 15/04</t>
  </si>
  <si>
    <t xml:space="preserve">CAMBIO PEDIDO A REUBICACION </t>
  </si>
  <si>
    <t>WILLIAN LINO NOLASCO BAÑOS</t>
  </si>
  <si>
    <t>JOHN ALEX BALANTA CANCHIMBO</t>
  </si>
  <si>
    <t>2024/447</t>
  </si>
  <si>
    <t>WILLIAM SEBASTIAN MAYA GOMEZ</t>
  </si>
  <si>
    <t>Baja medica</t>
  </si>
  <si>
    <t>2024/234</t>
  </si>
  <si>
    <t>Finaliza 9/08</t>
  </si>
  <si>
    <t>ALVARO JOSE NAVARRETE GAMBOA</t>
  </si>
  <si>
    <t>Fianliza el 07/10///Pasa alojamiento propio el 14/09///Calle SAN FRANCISCO 2-4 (piso situado en 1a Planta) de Cintruenigo</t>
  </si>
  <si>
    <t>2025/218</t>
  </si>
  <si>
    <t>+34 659 90 03 72 Josep</t>
  </si>
  <si>
    <t>2026/815</t>
  </si>
  <si>
    <t>SERRALLERIA MILLAN MARTINEZ</t>
  </si>
  <si>
    <t>Observaciones Extras: Trabajará hasta el día 21 de agosto. La empresa saldrá de vacaciones, y finalmente el remplazo entrará a la vuelta, el día 07/09/2026.Motivo: Cliente dice: no toma la iniciativa, como para ser oficial va a remolque del ayudante, les mande soldar unas guías de una faena que tenía presupuesto y ahí perdimos dinero por el tiempo que tardaron en soldar que estuvieron 3 días</t>
  </si>
  <si>
    <t>Hostal europa Carrer Escultor Melitón Comes, 13, 46960 Aldaia, Valencia</t>
  </si>
  <si>
    <t>Contacto: 633199214</t>
  </si>
  <si>
    <t>Pasa a un piso fijo 18-01-25</t>
  </si>
  <si>
    <t>LUCAS EZEQUIEL RODRIGUEZ</t>
  </si>
  <si>
    <t>Apartaments Cervantes 8, C. del Cardenal Cervantes, 8, 43001 Tarragona</t>
  </si>
  <si>
    <t>Trabajo finaliza 06/08//carrer d en talavera 43003 tarragona /Apartaments Cervantes 8, C. del Cardenal Cervantes, 8, 43001 Tarragona</t>
  </si>
  <si>
    <t>LUIS ALBERTO RAMIREZ PINEDO</t>
  </si>
  <si>
    <t>2025/082</t>
  </si>
  <si>
    <t>ARDANORE 14 S.L.</t>
  </si>
  <si>
    <t>2024/386</t>
  </si>
  <si>
    <t>JUAN CARLOS DE LA HOZ CUADROS</t>
  </si>
  <si>
    <t>///sale de este Alojamiento 25/10 Calle SAN FRANCISCO 2-4 (piso situado en 1a Planta) de Cintruenigo Lourdes +34 606 06 88 29// carta de resicion hasta el 13/06</t>
  </si>
  <si>
    <t>Finalizo 26/08</t>
  </si>
  <si>
    <t>2024/283</t>
  </si>
  <si>
    <t>1. Carrer de la Oreneta, 1, 43893 Altafulla, Tarragona / Al Fijo 19/08/2024</t>
  </si>
  <si>
    <t>JHON JAMES MARTINEZ ARENAS</t>
  </si>
  <si>
    <t>1. Alojamiento temporal del 27/07 // 2. Alojamiento fijo Se ha pagado desde el 28/07/2024 hasta 30/09/2024 ( costo mes 300)</t>
  </si>
  <si>
    <t>JOSUE ENRIQUE ZEVALLOS BENITES</t>
  </si>
  <si>
    <t>MILTON ANDRES HERNANDEZ OSORIO</t>
  </si>
  <si>
    <t>Sale de Alojamiento 29/05 a propio</t>
  </si>
  <si>
    <t>calle RIU LLOBREGAT Nº 1 3º C de Lleida</t>
  </si>
  <si>
    <t>Jordi +34 683 39 60 92 /+34 619 75 79 50~Jaume</t>
  </si>
  <si>
    <t>Calle de la Virgen de las Nieves Novelda, Comunidad Valenciana</t>
  </si>
  <si>
    <t>Nadja Berrahou +49 176 72193928</t>
  </si>
  <si>
    <t>2025/494</t>
  </si>
  <si>
    <t>Nadja dice: Hay una reserva del 2 al 5 de octubre y otra del 26 de octubre al 6 de noviembre.
Lo sentimos.</t>
  </si>
  <si>
    <t xml:space="preserve"> No quiere salir del alojamiento tenia que salir el 19/02/2026//Reemplazo solicitado por Marcelo y previamente acordado con Men Montajes/Prevision hasta Fecha: 04/03/2026/</t>
  </si>
  <si>
    <t>JAVIER MAURICIO VARGAS CASTAÑEDA</t>
  </si>
  <si>
    <t>JESUS HEYBER YELA MELO</t>
  </si>
  <si>
    <t>CARLOS ARTURO GONZALEZ GOMEZ</t>
  </si>
  <si>
    <t>JESUS ALBERTO GONZALES FERNANDEZ</t>
  </si>
  <si>
    <t xml:space="preserve">OMAR ALFREDO OTERO OCHOA </t>
  </si>
  <si>
    <t>CARTA DE RESCISIÓN HASTA EL 09/05/2025</t>
  </si>
  <si>
    <t>RU2025/009/105</t>
  </si>
  <si>
    <t>DANIEL HORACIO BURBANO RAMOS</t>
  </si>
  <si>
    <t>Calle mar y sierra nº1</t>
  </si>
  <si>
    <t>2024/048</t>
  </si>
  <si>
    <t>DANILO RAMIREZ SARATE</t>
  </si>
  <si>
    <t>2024/035</t>
  </si>
  <si>
    <t>2024/390</t>
  </si>
  <si>
    <t xml:space="preserve">INDUSTRIAS METALICAS DEL VALLES </t>
  </si>
  <si>
    <t>JAVIER MURIEL SARREA</t>
  </si>
  <si>
    <t>c/ Castillo de Sagunto, 12 de Gilet (VALENCIA) CP 46149</t>
  </si>
  <si>
    <t>2025/099</t>
  </si>
  <si>
    <t>/ carta de resicion hasta el 04/06/2025/Fecha fin prevista de Norton es el día 13/06.</t>
  </si>
  <si>
    <t>Finalizan 27/09 //Alojamiento hasta el 15-10</t>
  </si>
  <si>
    <t>JOSE MANUEL MENDOZA SARA</t>
  </si>
  <si>
    <t>La Arena Apartamentos Zierbena La Arena Auzoa 20, 48508 La Arena, España.</t>
  </si>
  <si>
    <t>JAIRO ALBERTO GUZMAN REYES</t>
  </si>
  <si>
    <t>JULIO ENRIQUE ZAMBRANO SANCHEZ</t>
  </si>
  <si>
    <t>DANIS PADILLA RODRIGUEZ</t>
  </si>
  <si>
    <t>vacaciones//solicitud de reemplazo//calle Julio Romero Guisado 24 , C.P. 14120, situada en Fte. Palmera Evaristo +34 696 44 56 54//alojamiento propio 22/10</t>
  </si>
  <si>
    <t>JAIME MANOLO ALVAREZ TORRES</t>
  </si>
  <si>
    <t>JAIME CASTREJON CUEVA</t>
  </si>
  <si>
    <r>
      <rPr>
        <sz val="11"/>
        <color rgb="FF305496"/>
        <rFont val="Calibri"/>
        <family val="2"/>
      </rPr>
      <t xml:space="preserve">Sale alojamiento propio 14/04 </t>
    </r>
    <r>
      <rPr>
        <sz val="11"/>
        <color rgb="FFFF0000"/>
        <rFont val="Calibri"/>
        <family val="2"/>
      </rPr>
      <t>//Finaliza 05/10</t>
    </r>
  </si>
  <si>
    <t>JHON JAIRO FLOREZ CISNEROS</t>
  </si>
  <si>
    <t>Trabaja hasta 02/09</t>
  </si>
  <si>
    <t>No paso periodo de prueba. Obra Esparraguera</t>
  </si>
  <si>
    <t>JAEL ABRAHAM BAUTISTA GUZMAN</t>
  </si>
  <si>
    <t>JACH ANTONIO DONADO ZAMBRANO</t>
  </si>
  <si>
    <t>2024/375</t>
  </si>
  <si>
    <t>ISRAEL ALEGRIA LUCUMI</t>
  </si>
  <si>
    <t>finalizado 25/06</t>
  </si>
  <si>
    <t>ISMAEL JUNIO DOS SANTOS</t>
  </si>
  <si>
    <t>2025/203</t>
  </si>
  <si>
    <t>Trasladados para Setubal 10/05/desistio</t>
  </si>
  <si>
    <t xml:space="preserve">HOTEL ALHAMA C. Carracascante, 73, s/n, 31592 Cintruénigo, Navarra </t>
  </si>
  <si>
    <t>Contacto:  948812774</t>
  </si>
  <si>
    <t>2025/038</t>
  </si>
  <si>
    <t>IRVING JOEL MARTINEZ RUMICHE</t>
  </si>
  <si>
    <t>2025/294</t>
  </si>
  <si>
    <r>
      <t>PREAVISO HASTA:</t>
    </r>
    <r>
      <rPr>
        <b/>
        <sz val="11"/>
        <color theme="1"/>
        <rFont val="Calibri"/>
        <family val="2"/>
        <scheme val="minor"/>
      </rPr>
      <t xml:space="preserve"> 01/06/2025</t>
    </r>
  </si>
  <si>
    <t>ILLERMAN DE LA HOZ PELAEZ</t>
  </si>
  <si>
    <t>HERMES DAVID MEJIA BOSSA</t>
  </si>
  <si>
    <t>2024/088</t>
  </si>
  <si>
    <t>ultimo dìa de trabajo 08/08</t>
  </si>
  <si>
    <t>Finaliza 22/10</t>
  </si>
  <si>
    <t>HEINER GONZALEZ ALAPE</t>
  </si>
  <si>
    <t>PE</t>
  </si>
  <si>
    <t>Finaliza 18/09</t>
  </si>
  <si>
    <t>Sant Boi de Lluçanès, Catalunya, España//Hostal Sant Bernat Ctra. les Feixes, 29-31, 17800 Olot, Girona</t>
  </si>
  <si>
    <t>JONATHAN EDUARDO RODRIGUEZ MADARIAGA</t>
  </si>
  <si>
    <t>JUAN ESTEBAN RUIZ GONZALEZ</t>
  </si>
  <si>
    <t>R2025/036/185</t>
  </si>
  <si>
    <t>HECTOR FABIO VIVAS GUTIERREZ</t>
  </si>
  <si>
    <t>2025/253</t>
  </si>
  <si>
    <t xml:space="preserve">Esta semana finalizará su colaboración con nosotros el tubero Héctor Vivas. </t>
  </si>
  <si>
    <t>TRIANGULO MATIZADO, UNIPESSOAL LDA</t>
  </si>
  <si>
    <t>Calle Benjamín Palencia 2, portal 6, piso 3B. Torrejón de Ardoz. C.P. 28850 Madrid</t>
  </si>
  <si>
    <t>+34 608 71 07 87 ~Arturo</t>
  </si>
  <si>
    <t>2026/728</t>
  </si>
  <si>
    <t>MONTAJE DE TRANSPORTADORES Y SISTEMAS INDUSTRIALES, S.L</t>
  </si>
  <si>
    <t>Trabajador(es) Afectado(s): ANDY LYONEL CARRASCO VARGAS, JOSE LUIS CAUSADO TAMAYO. Fecha Efectiva de Baja (Salida): 22/08/2026//14/08/26:Continuan 2 semanas màs hasta el 28/08 y luego quedara uno solo dos semana màs/30/07/2026: finalizarán su asignación en Amazon el 16 de agosto de 2026, fecha prevista para la finalización de los trabajos.//24/07/2026: , los dos que estan en GLS Madrid siquen una semana mas . Los dos de Amazon Madrid Getafe se quedan de momento una semana mas (si hay algun cambio aviso durante la semana que viene). Gracias//02/06/2026 montra prevision de hasta el dia 03/07 van renovando mes a mes //Kawan informa 28/04: Si continuan, minimo 20 dias mas.//Los 4 trabajadores continuarán en Amazon hasta el 30 de abril de 2026 (incluido).
El 1 de mayo es festivo.El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inicialmente.Tras el festivo de Pascua, retomarán sus funciones y la finalización definitiva de su actividad será el día 10/04.</t>
  </si>
  <si>
    <t>Silvia+34 696 96 52 46</t>
  </si>
  <si>
    <t>Finaliza 03/09. 1.Hostal Sant JoanCarrer Sant Joan, 12, 08760 Martorell, Barcelona 2.// Pasan a Fijo 06/08 hasta 31/08// 23 /08 cambio de alojamiento</t>
  </si>
  <si>
    <t>JEAN CARLOS CARDONA SUAREZ</t>
  </si>
  <si>
    <t>DARWIN FAURICIO RAMIREZ JARAMILLO</t>
  </si>
  <si>
    <t>DEINER ENRRIQUE OVIEDO CORTEZ</t>
  </si>
  <si>
    <t>Av. Ntra. Sra. de Montserrat, 04006 Almería, Spain</t>
  </si>
  <si>
    <t>Nathalie +33 6 87 19 09 19</t>
  </si>
  <si>
    <t>2024/105</t>
  </si>
  <si>
    <t>finalizó el 11/11/2025, debido a que se encuentra mal y debe ser atendido, según nos comenta va para largo</t>
  </si>
  <si>
    <t>2025/031</t>
  </si>
  <si>
    <t>APARTAMENTOS LA MUNDIAL-  C. Escritor Andeyro Castillo, 1, Málaga-Este, 29017 Málaga</t>
  </si>
  <si>
    <t>Doña Rosa 620945881</t>
  </si>
  <si>
    <t>2025/055</t>
  </si>
  <si>
    <t>Doña Maria  +34 620 94 58 80</t>
  </si>
  <si>
    <t>2025/058</t>
  </si>
  <si>
    <t>2025/032</t>
  </si>
  <si>
    <t>MARCELO ALEJANDRO GUEVARA</t>
  </si>
  <si>
    <t>Trabajo 18/06 Obra Mercadona</t>
  </si>
  <si>
    <t>Route de Quenast 18 Maison, Rebecq, Región Valona 1430, Bélgica</t>
  </si>
  <si>
    <t>Sadia +32 475 39 08 66</t>
  </si>
  <si>
    <t>Hotel villa ermua, Avenida Gipuzkoa, 54, 48260 Ermua, España.</t>
  </si>
  <si>
    <t>+34 943 17 08 60</t>
  </si>
  <si>
    <t>2025/134</t>
  </si>
  <si>
    <t>COMETEL SA</t>
  </si>
  <si>
    <t>Rue Carmois 103, Silly, Région Wallonne 7830, Bélgica</t>
  </si>
  <si>
    <t>Sophie +32 472 57 76 84</t>
  </si>
  <si>
    <t>GONZALO QUINTANA PIMIENTO</t>
  </si>
  <si>
    <t>EL TRABAJADOR DESISTIO</t>
  </si>
  <si>
    <t>Hostal Restaurante La RoDa Dirección Pl. de Miguel de Cervantes, 45520 Villaluenga de la Sagra, Toledo</t>
  </si>
  <si>
    <t>Contacto 638152515</t>
  </si>
  <si>
    <t>RICARDO ANDRES DE LA ROSA CANDANOZA</t>
  </si>
  <si>
    <t>DEWIN DE JESUS DE LEON BARRERA</t>
  </si>
  <si>
    <t>MARCIAL RAUL ANCO GONZALES</t>
  </si>
  <si>
    <t>2025/062</t>
  </si>
  <si>
    <t>LUIS GUILLERMO SANCHEZ LUQUE</t>
  </si>
  <si>
    <t>LUIS ALBERTO FUNEZ COLLAZOS</t>
  </si>
  <si>
    <t>R2025/022/062</t>
  </si>
  <si>
    <t>HERNAN RODRIGUEZ CUY</t>
  </si>
  <si>
    <t>PASA ALOJAMIENTO PROPIO 18-01-25 PTE FINALIZAR ALOJAMIENTO ESA FECHA</t>
  </si>
  <si>
    <t>LUIS ANGEL DIAZ RODRIGUEZ</t>
  </si>
  <si>
    <t>2024/398</t>
  </si>
  <si>
    <t>ALOJAMIENTO PAGO HASTA DICIEMBRE 2024</t>
  </si>
  <si>
    <t>JUAN CARLOS VERGARA VALDERRAMA</t>
  </si>
  <si>
    <t xml:space="preserve">Plaza de España, 4 5A, Palencia, Castilla y León 34002, España
</t>
  </si>
  <si>
    <t xml:space="preserve"> Cesar +34 606 42 78 82
</t>
  </si>
  <si>
    <t>2025/158</t>
  </si>
  <si>
    <t>METALIZARD</t>
  </si>
  <si>
    <t>(Último día: 30/07/2026) – Renuncia voluntaria por motivos personales.//Alojamiento por cuenta del cliente</t>
  </si>
  <si>
    <t>JOSE GABRIEL GONZALEZ SUAREZ</t>
  </si>
  <si>
    <t>JHEYSON DE LOS REYES MENDOZA RUIZ</t>
  </si>
  <si>
    <t>Calle Casas Hogar Primera, 3, Palencia, Castilla y León 34004, España</t>
  </si>
  <si>
    <t>2025/167</t>
  </si>
  <si>
    <t>JEHU AMADOR CACERES HERRERA</t>
  </si>
  <si>
    <t xml:space="preserve">Calle Casas Hogar Primera, 3, Palencia, Castilla y León 34004, España
</t>
  </si>
  <si>
    <t>2026/744</t>
  </si>
  <si>
    <t>Trabajador(es) Afectado(s): ANDY LYONEL CARRASCO VARGAS, JOSE LUIS CAUSADO TAMAYO. Fecha Efectiva de Baja (Salida): 22/08/2026//14/08/26:Continuan 2 semanas màs hasta el 28/08 y luego quedara uno solo dos semana màs/30/07/2026: finalizarán su asignación en Amazon el 16 de agosto de 2026, fecha prevista para la finalización de los trabajos.//24/07/2026: , los dos que estan en GLS Madrid siquen una semana mas . Los dos de Amazon Madrid Getafe se quedan de momento una semana mas (si hay algun cambio aviso durante la semana que viene). Gracias//02/06/2026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</si>
  <si>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r>
      <rPr>
        <sz val="11"/>
        <color rgb="FFFF0000"/>
        <rFont val="Calibri"/>
        <family val="2"/>
      </rPr>
      <t>Finaliza 06/09</t>
    </r>
    <r>
      <rPr>
        <sz val="11"/>
        <color rgb="FF305496"/>
        <rFont val="Calibri"/>
        <family val="2"/>
      </rPr>
      <t>//Sale alojamiento propio 20/07///Calle Isabel Pantoja 1B, Almería, Andalucía 04720 Ana Pilar +34 626 20 71 98</t>
    </r>
  </si>
  <si>
    <t>JEFFERSON FABIAN MARTINEZ ALVAREZ</t>
  </si>
  <si>
    <t>2025/046</t>
  </si>
  <si>
    <t xml:space="preserve">Pensión MIRAFLORES C . de María Lostal, 25, 50008 Zaragoza
</t>
  </si>
  <si>
    <t xml:space="preserve">679580545
</t>
  </si>
  <si>
    <t>2025/162</t>
  </si>
  <si>
    <t>TALLERES LANDALICE SA</t>
  </si>
  <si>
    <t>LUIS ALBERTO SABOGAL OROZCO</t>
  </si>
  <si>
    <t>13 Rue des Chavannes, Langres, Grand Est 52200, Francia</t>
  </si>
  <si>
    <t>Coralie +33 6 59 10 39 87</t>
  </si>
  <si>
    <t>2025/149</t>
  </si>
  <si>
    <t>ISHAK KASSA</t>
  </si>
  <si>
    <t xml:space="preserve">13 Rue des Chavannes, Langres, Grand Est 52200, Francia
</t>
  </si>
  <si>
    <t>2024/521</t>
  </si>
  <si>
    <t>NILSON MOSQUERA GOMEZ</t>
  </si>
  <si>
    <t>Hotel aviacion SL Calle Juan de la Cierva, 17, 46940 Manises, Valencia</t>
  </si>
  <si>
    <t>287 rue Duguay Trouin à Calais.</t>
  </si>
  <si>
    <t>RODRIGO PRADO SEPULVEDA</t>
  </si>
  <si>
    <t>LUGO</t>
  </si>
  <si>
    <t>Hostal Residencia Ponte-Vella Lugo
Rúa Montirón, 78, 27002 Lugo</t>
  </si>
  <si>
    <t>2025/192</t>
  </si>
  <si>
    <t>MONTAJES METALICOS INGALUX, S.L</t>
  </si>
  <si>
    <t>2025/295</t>
  </si>
  <si>
    <t>JHEAN MARCOS CASTILLO CHUNAS</t>
  </si>
  <si>
    <t>JUAN MANUEL LOZADA GOICOCHEA</t>
  </si>
  <si>
    <t>KAIQUI SANTOS DE SOUZA</t>
  </si>
  <si>
    <t>2025/171</t>
  </si>
  <si>
    <t>Rúa Fábrica da Abella, Lugo, Lugo 27004</t>
  </si>
  <si>
    <t xml:space="preserve"> Isabel le atenderá +34 604 97 64 97 </t>
  </si>
  <si>
    <t>PERCY ROMEO SAAVEDRA VELASQUEZ</t>
  </si>
  <si>
    <t>JULIO CESAR ANTEQUERA ALMARALES</t>
  </si>
  <si>
    <t>JUAN ANDRES AGUILAR MARIN</t>
  </si>
  <si>
    <t>HOSTAL OASIS Carretera NII, Km 442, 22520 Fraga, Huesca, Huesca</t>
  </si>
  <si>
    <t>RODRIGO ALEXANDRO AVILA DIEGO</t>
  </si>
  <si>
    <t>2025/117</t>
  </si>
  <si>
    <t>DIEGO ARMANDO RIVERO MANZANO</t>
  </si>
  <si>
    <t>ISH, nos informa que el pasado viernes 12-09 finalizó el operario</t>
  </si>
  <si>
    <t>GUILLERMO ALFONSO TEJADA VILLAMIZAR</t>
  </si>
  <si>
    <t>PREAVISO HASTA: 12/03/2025/ CAMBIO DE ALOJAMIENTO</t>
  </si>
  <si>
    <t>DOMINGO RAMON VEGA HUMANEZ</t>
  </si>
  <si>
    <t>Carrer Verge dels Desemparats, 29 segundo piso, Novelda, Comunidad Valenciana 03660, España</t>
  </si>
  <si>
    <t>Agricola Y Ganadera Levantina S.L.+34 601 06 00 95</t>
  </si>
  <si>
    <t>2025/532</t>
  </si>
  <si>
    <t>Hostal Residencia Pasaje C/ Emilio Castelar Nº 43 1º03660 Novelda (Alicante)</t>
  </si>
  <si>
    <t>+34 633 029 338 </t>
  </si>
  <si>
    <t>CAMBIA AL PISO EN ALICANTE//Prevision hasta el 31/12/2025//Fecha Fin:23/12/2025</t>
  </si>
  <si>
    <t>Hostal Texas Paseo del Justicia 82, 50740 Fuentes de Ebro</t>
  </si>
  <si>
    <t>Pilar 637949081</t>
  </si>
  <si>
    <r>
      <rPr>
        <sz val="11"/>
        <color rgb="FF305496"/>
        <rFont val="Calibri"/>
        <family val="2"/>
      </rPr>
      <t xml:space="preserve">1.Hotel San Pedro C. Melquiades Álvarez, 81, 33930 Langreo, Asturias Ana 985693211 // </t>
    </r>
    <r>
      <rPr>
        <sz val="11"/>
        <color rgb="FFFF0000"/>
        <rFont val="Calibri"/>
        <family val="2"/>
      </rPr>
      <t>Pasan alojamiento Fijo 03/09 // pasa alojamiento propio 24/09 Falta entregar contrato o recibo del alojamiento //Todos los trabajadores finalizarán el día 21/02</t>
    </r>
  </si>
  <si>
    <t>Alda Egues Polígono Industrial de Egüés s/n Nave 6 31486, 31486, Navarra</t>
  </si>
  <si>
    <t>Contacto +34 948 333 400</t>
  </si>
  <si>
    <t>JUAN DAVID FLORES INGA</t>
  </si>
  <si>
    <t>PEDRO HERMOGENES GAMARRA ALBAN</t>
  </si>
  <si>
    <t>2025/196</t>
  </si>
  <si>
    <t>JORGE LUIS DURAND JAUREGUI</t>
  </si>
  <si>
    <t>JAVIER STIVEN ORTIZ GALINDEZ</t>
  </si>
  <si>
    <t>15 Avenue François Mitterrand, Marck, Hauts-de-France 62730, Francia</t>
  </si>
  <si>
    <t>Thierry +33 6 17 87 43 78</t>
  </si>
  <si>
    <t>Calle Virgen de las Nieves, nº 3, 2ª planta, letra D, Novelda, Alicante (España)</t>
  </si>
  <si>
    <t xml:space="preserve"> Nadja Berrahou +49 176 72193928</t>
  </si>
  <si>
    <t>Informo Cristian 13/03: Mínimo 3 meses más//Avisar con tiempo a nadja si vamos a continuar</t>
  </si>
  <si>
    <t>02 CAMAS// CAMBIO DE ALOJAMIENTO</t>
  </si>
  <si>
    <t>Gran Azul Carrer de Xipre, 70 134, 03130 Gran Alacant, España</t>
  </si>
  <si>
    <t>+48 664 773 754</t>
  </si>
  <si>
    <t>Cambio de alojamiento donde Nadja salida 28/04/26//Informo Cristian 13/03: Mínimo 3 meses más/ Pasan donde nadja el 08/04</t>
  </si>
  <si>
    <t>Calle José L Gómez, 2 1º P14, Novelda, Comunidad Valenciana 03660, España</t>
  </si>
  <si>
    <t>Maria Begoña +34 648 41 47 95</t>
  </si>
  <si>
    <t>LEANDRO RENDON ALVAREZ</t>
  </si>
  <si>
    <t>R2025/010/217</t>
  </si>
  <si>
    <t>Reubicacion Zaidin</t>
  </si>
  <si>
    <t>WILSON CAMILO CHAPARRO CASTEÑEDA</t>
  </si>
  <si>
    <t>PR2025/008</t>
  </si>
  <si>
    <t xml:space="preserve">CONFIRMAR FECHA DE FINALIZACION </t>
  </si>
  <si>
    <t>Carrer Granada, 1 1 izquierda, Alicante, Comunidad Valenciana 03011, España</t>
  </si>
  <si>
    <t xml:space="preserve"> Miguel Angel +34 602 58 48 40</t>
  </si>
  <si>
    <t>vuelven donde Nadja el 19/12/Prevision hasta el 31/12/2025//Fecha Fin:23/12/2025</t>
  </si>
  <si>
    <t>HENRY MARTINEZ CABEZAS</t>
  </si>
  <si>
    <t>C. Timon, 21130 Mazagón Huelva</t>
  </si>
  <si>
    <t>2026/704</t>
  </si>
  <si>
    <t>CRANTE</t>
  </si>
  <si>
    <t>Cambio de alojamiento el 14/06/2026//03/06/2026: Prevision hasta el dia 03/07//12/05/2026: Hasta en dia 12/06//Informa Kawan 9/04/2026: Crante hasta el dia 10/05</t>
  </si>
  <si>
    <t>JULIAN EDUARDO AGUILAR</t>
  </si>
  <si>
    <t>R2025/011/001</t>
  </si>
  <si>
    <t>Edingseweg 440, 9500 Geraardsbergen, Belgium</t>
  </si>
  <si>
    <t xml:space="preserve"> Francis +32 468 23 32 33</t>
  </si>
  <si>
    <t>JOSE ENRIQUE SANCHEZ CHARCAPE</t>
  </si>
  <si>
    <t>R2025/016/187</t>
  </si>
  <si>
    <t>2025/244</t>
  </si>
  <si>
    <t>JADER ENRIQUE QUINONEZ HERRERA</t>
  </si>
  <si>
    <t>2025/200</t>
  </si>
  <si>
    <t>2024/455</t>
  </si>
  <si>
    <t>JORGE LUIS GONZALES VIERA</t>
  </si>
  <si>
    <t>R2025/009/265</t>
  </si>
  <si>
    <t>LUIS ALBERTO AMOROS SHUPINGAHUA</t>
  </si>
  <si>
    <t>2024/206</t>
  </si>
  <si>
    <t>2025/252</t>
  </si>
  <si>
    <t>HENRRY CASTRO COLLACHAGUA</t>
  </si>
  <si>
    <t>Pension Urola Antonino Oraá Kalea, 2, 20700 Zumarraga, Gipuzkoa</t>
  </si>
  <si>
    <t>+34 943533008</t>
  </si>
  <si>
    <t>R2025/015/219</t>
  </si>
  <si>
    <t>MILTHON WALTER PORRAS JIMENEZ</t>
  </si>
  <si>
    <t xml:space="preserve">SE REEMPLAZARAN </t>
  </si>
  <si>
    <t>JORGE ENRIQUE BUENAVENTURA GARCIA</t>
  </si>
  <si>
    <t>RU2025/006/R010/217</t>
  </si>
  <si>
    <t>JORGE ALBERTO PEREA CAMACHO</t>
  </si>
  <si>
    <t>Carrer del Papa Pius XI, 20,  2° puerta 1  08208 Sabadell  Francesc Majoral +34 610 27 75 73 pasa alojamiento propio 05/11</t>
  </si>
  <si>
    <t>JAIR HENRY REATEGUI DIAZ</t>
  </si>
  <si>
    <t>WILLIAM PIZARRÓN</t>
  </si>
  <si>
    <t>Carrer Don Quijote, 15, 08301 Mataró, Barcelona, Spain</t>
  </si>
  <si>
    <t>David +34 611 67 42 21</t>
  </si>
  <si>
    <t>2025/224</t>
  </si>
  <si>
    <r>
      <t>Benicassim, </t>
    </r>
    <r>
      <rPr>
        <sz val="11"/>
        <color rgb="FFFF0000"/>
        <rFont val="Arial"/>
        <family val="2"/>
      </rPr>
      <t>Aptos. Calipso, Carrer Fondo, 2, 4ºE 12560 Benicàssim, Castellón.</t>
    </r>
  </si>
  <si>
    <t>RU2025/005/081</t>
  </si>
  <si>
    <t>RU2025/004/081</t>
  </si>
  <si>
    <t>Carretera Moralina, Torregamones, Castilla y León 49252, España</t>
  </si>
  <si>
    <t>Alicia De San Justo Barrios +34 646 83 96 60</t>
  </si>
  <si>
    <t>2025/222</t>
  </si>
  <si>
    <t>Mercedes +34 676965254 </t>
  </si>
  <si>
    <t>Cambio de alojamiento el 27/04///Deben salir el 28/04 y volver el 05/05/2026 segun informa la propietaria del alojamiento//Informo Cristian 13/03: Mínimo 3 meses más</t>
  </si>
  <si>
    <t>Hostal Arkanta, C. del Pilar, 9, 28500 Arganda del Rey, Madrid</t>
  </si>
  <si>
    <t>finalizó su servicio en el cliente Crante el día 29/05/2026.//12/05/2026: Hasta en dia 12/06//Informa Kawan 9/04/2026: Crante hasta el dia 10/05</t>
  </si>
  <si>
    <t>C/ Pintor Velazquez, 25, 03004 Alacant, Alicante, Spain</t>
  </si>
  <si>
    <t>Fatima +34 694 40 26 13</t>
  </si>
  <si>
    <t>Cambio de alojamiento el 27/05/2026//Informo Cristian 13/03: Mínimo 3 meses más</t>
  </si>
  <si>
    <t>Casa Carlos de Novelda,Carrer Sentenero, 58 planta 4, 03660 Novelda, España</t>
  </si>
  <si>
    <t>+34 647 89 21 15</t>
  </si>
  <si>
    <t>A partir del 01/06/2026 pasan alojamiento por cuenta del cliente//Informo Cristian 13/03: Mínimo 3 meses más</t>
  </si>
  <si>
    <t>JHON EDWARD GRISALES REINA</t>
  </si>
  <si>
    <r>
      <rPr>
        <sz val="11"/>
        <color rgb="FF305496"/>
        <rFont val="Calibri"/>
        <family val="2"/>
      </rPr>
      <t xml:space="preserve">pasa alojamiento propieo apartir del 24/08. </t>
    </r>
    <r>
      <rPr>
        <sz val="11"/>
        <color rgb="FFFF0000"/>
        <rFont val="Calibri"/>
        <family val="2"/>
      </rPr>
      <t>Falta entregar contrato o recibo del alojamiento ///PREAVISO HASTA: 18/02/2025//Todos los trabajadores finalizarán el día 21/02</t>
    </r>
  </si>
  <si>
    <t>DUAN ANTONIO AVILA NORIEGA</t>
  </si>
  <si>
    <t>C/ Rosario, 42 2B - de la ciudad de Albacete C/ Rosario, 42 2A - de la ciudad de Albacete</t>
  </si>
  <si>
    <t>+34 691 84 80 84</t>
  </si>
  <si>
    <t>2025/089</t>
  </si>
  <si>
    <t>El día 23 de Mayo será el último día de trabajo en este proyecto (CALCINOR) para el trabajador.</t>
  </si>
  <si>
    <t>NASSER MOHAMAD MERES LUNA</t>
  </si>
  <si>
    <t>LUIS ENRIQUE GARRIDO CASTRO</t>
  </si>
  <si>
    <t>Relais Casetta56 Via Chiusa 56, 48012 Lugo, Italia</t>
  </si>
  <si>
    <t>Marcello +39 340 341 1405</t>
  </si>
  <si>
    <t>2025/250</t>
  </si>
  <si>
    <t>BYRON GIUSEPPE FONSECA DURAN</t>
  </si>
  <si>
    <t>A CORUÑA</t>
  </si>
  <si>
    <t xml:space="preserve"> Hotel Narón Avenida Gonzalo Navarro, parcela 19, 15578 Narón, A Coruña</t>
  </si>
  <si>
    <t>+34 981389335</t>
  </si>
  <si>
    <t>2025/245</t>
  </si>
  <si>
    <t>sale rober el 21/04 e ingresa el señor Godoy Gernan Gaspar ingresa el 22/04</t>
  </si>
  <si>
    <t>RIGOBERTO ROMERO REINA</t>
  </si>
  <si>
    <t>ODAR JOHN REYES RAMIREZ</t>
  </si>
  <si>
    <t>NEYDER GELVIS MAMANI HUAYCANI</t>
  </si>
  <si>
    <t>JUAN JESUS BARRANCA URIBE</t>
  </si>
  <si>
    <t>CARTA DE RESCISIÓN 15/05/2025//CAMBIO DE ALOJAMIENTO</t>
  </si>
  <si>
    <t>JHONY WATSON SIANCAS MORALES</t>
  </si>
  <si>
    <t>Cambio de fechas para Michel Sandoval Camargo y Javier Saul Perea Camargo, se quedan hasta el domingo día 29/04.</t>
  </si>
  <si>
    <t>Calle Ramón y Cajal, Quintanar del Rey, Castilla-La Mancha 16220, España</t>
  </si>
  <si>
    <t>Pedro +34 620 74 23 69</t>
  </si>
  <si>
    <t>JORGE LUIS HUERTA OBREGON</t>
  </si>
  <si>
    <t>OWIN ENRIQUE MORELO GÓMEZ</t>
  </si>
  <si>
    <t>HERNANDO AUGUSTO GALINDO GOMEZ</t>
  </si>
  <si>
    <t>HERNAN GERONIMO ALEJANDRO TARAZONA</t>
  </si>
  <si>
    <t>CONTRATO DE ALQUILER FINALIZA 30/04//CAMBIO DE ALOJAMIENTO PROPIO</t>
  </si>
  <si>
    <t>IGNACIO ARCE MOLINA</t>
  </si>
  <si>
    <t>JAVIER SAUL PEREA CAMARGO</t>
  </si>
  <si>
    <t>ENTRERRIOS AUTOMATIZACION S.A</t>
  </si>
  <si>
    <t>HECTOR ROMAN IUQUE CUTIPA</t>
  </si>
  <si>
    <t>HECTOR FABIO VASQUEZ MAYORGA</t>
  </si>
  <si>
    <t>Calle Ceriñola, 4. Planta 3, Puerta B</t>
  </si>
  <si>
    <t>finalizan el día 14/05.</t>
  </si>
  <si>
    <t>HOSTAL TERMES C/ RAFAEL TERMES I JUNYENT 9, Sitges, Catalunya 08870, España</t>
  </si>
  <si>
    <t>Joan Rosa +34 628 46 93 07</t>
  </si>
  <si>
    <t>2025/258</t>
  </si>
  <si>
    <t>AUTOMATISMES ELECTRICS GRANOLLERS, S.L.</t>
  </si>
  <si>
    <t>el día 30 de Abril será el último día de trabajo</t>
  </si>
  <si>
    <t>LENNER VICTOR RAMOS RUIZ</t>
  </si>
  <si>
    <t>Finaliza el 07/06</t>
  </si>
  <si>
    <t>HANNER STIVEN GUZMA PENCUA</t>
  </si>
  <si>
    <t>JONATHAN BLANDON HINCAPIE</t>
  </si>
  <si>
    <t>RICARDO MILLER SANCHEZ BECERRA</t>
  </si>
  <si>
    <t>R2025/027/2023</t>
  </si>
  <si>
    <t>LUIS FERNANDO TOVAR LLAMOZA</t>
  </si>
  <si>
    <t>JOSE CARBAJAL YAURI</t>
  </si>
  <si>
    <t>FRANK PERDOMO YUCUMA</t>
  </si>
  <si>
    <t>CARLOS ANDRÉS MANTILLA URREGO</t>
  </si>
  <si>
    <t>ANDRÉS FERNANDO MONCAYO FLOREZ</t>
  </si>
  <si>
    <t>Hotel San Glorio Calle Federico Vial nº3, 39009 Santander, España</t>
  </si>
  <si>
    <t>+34 942 22 16 66</t>
  </si>
  <si>
    <t>Carrer de la Reina Elionor, 43 casa, Sabadell, Barcelona 08205, España</t>
  </si>
  <si>
    <t>Maria Dolors +34 667 72 73 01</t>
  </si>
  <si>
    <t>2025/089/RU051</t>
  </si>
  <si>
    <t>JULIO ALEXANDER CASTRO POLO</t>
  </si>
  <si>
    <t>Finaliza en la obra 02/04</t>
  </si>
  <si>
    <t>Finaliza 21/04</t>
  </si>
  <si>
    <t>JOSE GREGORIO POSSO NIETO</t>
  </si>
  <si>
    <r>
      <rPr>
        <sz val="11"/>
        <color rgb="FFFF0000"/>
        <rFont val="Calibri"/>
        <family val="2"/>
      </rPr>
      <t>Finaliza 27/09/</t>
    </r>
    <r>
      <rPr>
        <sz val="11"/>
        <color rgb="FF305496"/>
        <rFont val="Calibri"/>
        <family val="2"/>
      </rPr>
      <t>/ Rosa confirmo que se acaba el 26 1. Habitación con costo 250 euros y fianza 150 PASAN ALOJAMIENTO FIJO 02-08</t>
    </r>
  </si>
  <si>
    <t>GUILLERMO LEON POSADA LONDONO</t>
  </si>
  <si>
    <t>RODOLFO ALBERTO MARCHAN PALACIOS</t>
  </si>
  <si>
    <t>MARCOS ROJAS CARBAJAL</t>
  </si>
  <si>
    <t>Carrer d'Anselm Clavé, 25, 2da, 2da.08130 Santa Perpètua de Mogoda, Barcelona</t>
  </si>
  <si>
    <t>Shidue +34 697 32 54 97</t>
  </si>
  <si>
    <t>2025/238</t>
  </si>
  <si>
    <t>AIRSEC, SA</t>
  </si>
  <si>
    <t>Ayuntamiento de cerdido cruz dos novas Domende Número 5</t>
  </si>
  <si>
    <t>Marìa +34 676 72 52 02</t>
  </si>
  <si>
    <t>2024/062</t>
  </si>
  <si>
    <t>2025/271</t>
  </si>
  <si>
    <t>2025/016</t>
  </si>
  <si>
    <t>JESUS DAVID CARDENAS RIVERA</t>
  </si>
  <si>
    <t>LOGROÑO</t>
  </si>
  <si>
    <t>Vara del rey 49 Longroño</t>
  </si>
  <si>
    <t>Fatima +34 687 78 83 14</t>
  </si>
  <si>
    <t>2024/032</t>
  </si>
  <si>
    <t>YGRA INSTALACIONES</t>
  </si>
  <si>
    <t>Fianza Leonor Calle Somosierra2  devuelta 300 comprobante enviado a Thalia (11/04)// Se traslada de Alojamiento 03/04 Fàtima a Vara del rey 49 Longroño 280 Euros mes y fianza 280 Euros// Finaliza 15/04</t>
  </si>
  <si>
    <t>JOHN MAURY LOPEZ SOCARRAS</t>
  </si>
  <si>
    <t>2024/154</t>
  </si>
  <si>
    <t>Pasan a lojamiento fijo 05/07///</t>
  </si>
  <si>
    <t>HOTEL PARETS ELS PINS AVDA CATALUNYA 2 08150 PARETS BARCELONA</t>
  </si>
  <si>
    <t>contacto 663681253</t>
  </si>
  <si>
    <t>ALDRUMAR CABALLERO MARTÍNEZ</t>
  </si>
  <si>
    <t>C. El Pelegrín, 33, 39770 Laredo, Cantabria, Spain</t>
  </si>
  <si>
    <t>Marta +34 629 85 41 16</t>
  </si>
  <si>
    <t>Habitaciòn Compartida// El lunes 08/04 inician en Zaragoza</t>
  </si>
  <si>
    <t>Habitaciòn Compartida//El lunes 08/04 inician en Zaragoza</t>
  </si>
  <si>
    <t>RICHARD FREDY CIENFUEGOS ARANA</t>
  </si>
  <si>
    <t>LUIS FERNANDO RIVERA PUERTA</t>
  </si>
  <si>
    <t>R2025/025/217</t>
  </si>
  <si>
    <t>Urb. jaureguizahar 12 p4 4b Amorebieta-Echano Durango, Vizcaya</t>
  </si>
  <si>
    <t>Andrea Rivas Goyeneche +34 666 60 47 18</t>
  </si>
  <si>
    <t>2024/165</t>
  </si>
  <si>
    <t>INDUSTRIAS METALMECANICAS OIZ, S.L.</t>
  </si>
  <si>
    <t>trabaja hasta el 24/07</t>
  </si>
  <si>
    <t>2024/205</t>
  </si>
  <si>
    <t>trabajo hasta el 30/08///Rda. de San Antonio María Claret, 28, 17002 Girona hasta el 18/08/2024</t>
  </si>
  <si>
    <t>R2025/030/217</t>
  </si>
  <si>
    <t xml:space="preserve">CARTA DE RESCISIÓN 15/04/2025 </t>
  </si>
  <si>
    <t>GUILHERME MURBACH ARBIGAUS</t>
  </si>
  <si>
    <t>(salida 21/01/2024) habitaciòn aparte. Trabajo hasta el 14/05</t>
  </si>
  <si>
    <t>2024/143</t>
  </si>
  <si>
    <r>
      <rPr>
        <sz val="11"/>
        <color rgb="FFFF0000"/>
        <rFont val="Calibri"/>
        <family val="2"/>
      </rPr>
      <t>Finaliza 15/10</t>
    </r>
    <r>
      <rPr>
        <sz val="11"/>
        <color rgb="FF305496"/>
        <rFont val="Calibri"/>
        <family val="2"/>
      </rPr>
      <t>/ calle Camí alt 2 . Segur de calsfell//Pasan Alojamiento fijo 04/06///Pierre &amp; Vacances Comarruga Avinguda Palfuriana 133, 43880 Comarruga</t>
    </r>
  </si>
  <si>
    <t>JHONATAN JADIR SOLANO HERNANDEZ</t>
  </si>
  <si>
    <t xml:space="preserve">Erika +34 654 45 37 98 </t>
  </si>
  <si>
    <t>Abandono el trabajo 08/08/2024</t>
  </si>
  <si>
    <t xml:space="preserve"> REUBICADO MALAGA 17/02/2026//Debemos mantener el alojamiento en "Los Palacios" para la vuelta de estos operarios.//nos indica que durante la siguiente semana del 02/02/2026 hasta el 08/02/2026, los operarios que están en "Los Palacios"</t>
  </si>
  <si>
    <t xml:space="preserve">Pensión San Marcos Av. Virgen de la Paz, 18, 19208 Alovera, Guadalajara 949275032 // 2. </t>
  </si>
  <si>
    <t xml:space="preserve">PASO A ALOJAMIENTO PROPIO </t>
  </si>
  <si>
    <t>2026/RU081/2025/525</t>
  </si>
  <si>
    <t>Cambian a puerta del sur en sevilla a partir del 17/05/2026/Alojamiento por cuenta del cliente</t>
  </si>
  <si>
    <t>2026/RU0100</t>
  </si>
  <si>
    <t>Rue Henri Hautecoeur 26, Saint-Ghislain, Wallonie 7332, Bélgica</t>
  </si>
  <si>
    <t>Loïc +32 497 10 33 81</t>
  </si>
  <si>
    <t>CHARLY PEREZ LORZA</t>
  </si>
  <si>
    <t>2025/269</t>
  </si>
  <si>
    <t>Vilafranca del Penedès, calle Montblanc 54, 2</t>
  </si>
  <si>
    <t>Mireia +34 620 21 37 34</t>
  </si>
  <si>
    <t>2024/195</t>
  </si>
  <si>
    <t>TECNOEQUIP PENEDES S.L</t>
  </si>
  <si>
    <t>FIN 15/11</t>
  </si>
  <si>
    <t>HOSTAL SERPOL C. Vizcaya, 1, 34004 Palencia</t>
  </si>
  <si>
    <t>Roberto 979 71 30 88</t>
  </si>
  <si>
    <t>2025/301</t>
  </si>
  <si>
    <t>IVAN DARIO GONZALEZ PEREZ</t>
  </si>
  <si>
    <t>2024/069</t>
  </si>
  <si>
    <t>2025/070</t>
  </si>
  <si>
    <t>2024/457</t>
  </si>
  <si>
    <t>JUAN DANIEL MORA PEÑALOZA</t>
  </si>
  <si>
    <t>2024/356</t>
  </si>
  <si>
    <t>Playa Arañón Nº 35, de San Juan de Nieva</t>
  </si>
  <si>
    <t>Agustin +34 630 82 59 94</t>
  </si>
  <si>
    <t>Esta casa debe entregar el 30-05///Piso negociado por Stocco</t>
  </si>
  <si>
    <t>R2025/042/R2024/007/370</t>
  </si>
  <si>
    <t>APTO 304</t>
  </si>
  <si>
    <t>Ravenna in via scaletta 11</t>
  </si>
  <si>
    <t xml:space="preserve">Finalizarán las obras en el taller este viernes 22/08/2025, permanecerán en el mismo alojamiento y con el mismo pedido, ya que el cliente los moverá a un taller de la misma zona el 04/09/2025.// El alojamiento también deberá renovarse hasta al menos mediados de octubre.
</t>
  </si>
  <si>
    <t>RODOLFO ZAMBRANO LAJO</t>
  </si>
  <si>
    <t>MELBIN JULIO ALBOR SUAREZ</t>
  </si>
  <si>
    <t>CARTA DE RESCISIÓN 20/04/2025</t>
  </si>
  <si>
    <t>PABLO ANDRE DE PADUA MOTA</t>
  </si>
  <si>
    <t>2025/280</t>
  </si>
  <si>
    <t>Cambio de alojamiento, nunca se hospedo aquí</t>
  </si>
  <si>
    <t>ROSMAN TORRES MESA</t>
  </si>
  <si>
    <t>Calle Trinidad 13. 3º izda Mendaro. Guipùzcoa</t>
  </si>
  <si>
    <t>Jaime +34 650 02 48 28</t>
  </si>
  <si>
    <t>trabajo 17/10</t>
  </si>
  <si>
    <t>c/Mitja Galta 3 Bajos. CP 43800 . VALLS. Tarragona</t>
  </si>
  <si>
    <t>José Manuel Fernández Fernández +34 623 42 78 49</t>
  </si>
  <si>
    <t>2024/354</t>
  </si>
  <si>
    <t>MECO S.L</t>
  </si>
  <si>
    <t>Hotel Class Valls  Paseo Del President Tarradellas, s/n, 43800, Valls (Provincia de Tarragona) +34 977608090</t>
  </si>
  <si>
    <t>MARCOS ROBERTO GOMES FREITAS</t>
  </si>
  <si>
    <t>ROBERTO CARLOS MARQUINA CABRERA</t>
  </si>
  <si>
    <t>2024/358</t>
  </si>
  <si>
    <t>Hotel Piccadilly Sitges Carrer Espalter, 29, 08870 Sitges, España</t>
  </si>
  <si>
    <t>+34 618 78 34 89</t>
  </si>
  <si>
    <t>Finalizan y cambian de alojamiento</t>
  </si>
  <si>
    <t>RICARDO MAYA ALZATE</t>
  </si>
  <si>
    <t>2024/163</t>
  </si>
  <si>
    <t>Ingresa Hospedaje fijo 05/06 ///Hostal la Parrilla Carlos III El Noble, 6, 31500 Tudela,</t>
  </si>
  <si>
    <t>RAPHAEL ANDRADE SANTOS</t>
  </si>
  <si>
    <t>2024/333</t>
  </si>
  <si>
    <t>PAUL ALEXANDER BELTRAN PARRA</t>
  </si>
  <si>
    <t>2024/480</t>
  </si>
  <si>
    <t>2025/132</t>
  </si>
  <si>
    <t>HECTOR SANCHEZ GUERRERO</t>
  </si>
  <si>
    <t>WILSON DAVID HERNANDEZ SEGURA</t>
  </si>
  <si>
    <t>Av de Santiago #29 4ta izquierda. Vitoria Gasteiz </t>
  </si>
  <si>
    <t>Javier +34 620 19 92 41</t>
  </si>
  <si>
    <t>Salen 01/11Alicia +34 656 43 18 05 Calle Busturbi Kalea, 7 7, Gamarra Nagusia, País Vasco</t>
  </si>
  <si>
    <t>JHONSON MARLON DUTRA</t>
  </si>
  <si>
    <t>Calle Cid número 17, puerta 15 de Alacuás (Valencia) 46970.</t>
  </si>
  <si>
    <t>2024/393</t>
  </si>
  <si>
    <t>Pasa Alojamiento Victor 25/11///calle castella, Alaquàs, Comunidad Valenciana 46970 Yorgladys +34 641 08 02 51</t>
  </si>
  <si>
    <r>
      <rPr>
        <sz val="11"/>
        <color rgb="FF305496"/>
        <rFont val="Aptos"/>
        <family val="2"/>
      </rPr>
      <t>cliente </t>
    </r>
    <r>
      <rPr>
        <b/>
        <sz val="11"/>
        <color rgb="FF305496"/>
        <rFont val="Aptos"/>
        <family val="2"/>
      </rPr>
      <t>CMR</t>
    </r>
    <r>
      <rPr>
        <sz val="11"/>
        <color rgb="FF305496"/>
        <rFont val="Aptos"/>
        <family val="2"/>
      </rPr>
      <t> ha sido prorrogado hasta el día </t>
    </r>
    <r>
      <rPr>
        <b/>
        <sz val="11"/>
        <color rgb="FF305496"/>
        <rFont val="Aptos"/>
        <family val="2"/>
      </rPr>
      <t>06/06</t>
    </r>
    <r>
      <rPr>
        <sz val="11"/>
        <color rgb="FF305496"/>
        <rFont val="Aptos"/>
        <family val="2"/>
      </rPr>
      <t xml:space="preserve"> para los trabajadores restantes.// Ampliar reserva, con salida el 9 de junio </t>
    </r>
  </si>
  <si>
    <t xml:space="preserve">Calle ruiseñor 3 Olias del Rey  toledo  45280 </t>
  </si>
  <si>
    <t>Raúl González 662441800</t>
  </si>
  <si>
    <t>JUAN CARLOS TORRES LEON</t>
  </si>
  <si>
    <t>2026/R196</t>
  </si>
  <si>
    <t>Fecha Efectiva de Baja (Salida): 17/08/2026 Motivo: La decisión responde a razones organizativas y de adecuación profesional a las necesidades actuales del servicio y de la obra en ejecución</t>
  </si>
  <si>
    <r>
      <rPr>
        <sz val="11"/>
        <color rgb="FF305496"/>
        <rFont val="Aptos"/>
        <family val="2"/>
      </rPr>
      <t>cliente </t>
    </r>
    <r>
      <rPr>
        <b/>
        <sz val="11"/>
        <color rgb="FF305496"/>
        <rFont val="Aptos"/>
        <family val="2"/>
      </rPr>
      <t>CMR</t>
    </r>
    <r>
      <rPr>
        <sz val="11"/>
        <color rgb="FF305496"/>
        <rFont val="Aptos"/>
        <family val="2"/>
      </rPr>
      <t> ha sido prorrogado hasta el día </t>
    </r>
    <r>
      <rPr>
        <b/>
        <sz val="11"/>
        <color rgb="FF305496"/>
        <rFont val="Aptos"/>
        <family val="2"/>
      </rPr>
      <t>06/06</t>
    </r>
    <r>
      <rPr>
        <sz val="11"/>
        <color rgb="FF305496"/>
        <rFont val="Aptos"/>
        <family val="2"/>
      </rPr>
      <t> para los trabajadores restantes</t>
    </r>
  </si>
  <si>
    <t>2024/503</t>
  </si>
  <si>
    <t>finalizan mañana 04/04 en Burgos y serán reubicados a Barcelona para la obra de la FIRA.</t>
  </si>
  <si>
    <t>EDWIN ALBERTO HINESTROZA</t>
  </si>
  <si>
    <t>2025/292</t>
  </si>
  <si>
    <t>TALLERES BERASATEGUI</t>
  </si>
  <si>
    <t>MIGUEL ANGEL NUÑEZ PADILLA</t>
  </si>
  <si>
    <t>2025/181</t>
  </si>
  <si>
    <t>R2025/048/2025/029</t>
  </si>
  <si>
    <t>JIM PAUL CHUNGA LUJAN</t>
  </si>
  <si>
    <r>
      <t>sábado 7 de junio</t>
    </r>
    <r>
      <rPr>
        <sz val="11"/>
        <color rgb="FF242424"/>
        <rFont val="Aptos"/>
        <family val="2"/>
        <charset val="1"/>
      </rPr>
      <t> finalizará</t>
    </r>
  </si>
  <si>
    <t>JAIME HUMBERTO DUARTE MONTAÑO</t>
  </si>
  <si>
    <t>A partir de esa fecha, lo que finalizará su actividad en la obra de Xeuilley mañana, martes 3 de junio de 2025.</t>
  </si>
  <si>
    <t>2025/109</t>
  </si>
  <si>
    <t>JUVENAL DE LA ROSA GUERRERO</t>
  </si>
  <si>
    <t>2024/409</t>
  </si>
  <si>
    <t>JHON EINER INSUASTI TULANDE</t>
  </si>
  <si>
    <t>2025/324</t>
  </si>
  <si>
    <t>La Calle es particular de Sabino Arana</t>
  </si>
  <si>
    <t>+34 678 45 74 84  David</t>
  </si>
  <si>
    <t>JULIO ZAMBRANO</t>
  </si>
  <si>
    <t>2024/501</t>
  </si>
  <si>
    <t>JUAN RAUL GUIMAREY VARILLAS</t>
  </si>
  <si>
    <t>NAVARRA</t>
  </si>
  <si>
    <t>C/Valle de Aranguren 4- 4º Izda. de Pamplona</t>
  </si>
  <si>
    <t>Jesus corroza +34 662 17 28 46</t>
  </si>
  <si>
    <t>2024/284</t>
  </si>
  <si>
    <t>ZUDAIRE ESTRUCTURAS S.L</t>
  </si>
  <si>
    <t>2024/361</t>
  </si>
  <si>
    <t>RUBEN DARIO MONSALVE RIVERO</t>
  </si>
  <si>
    <t>PR2025/009</t>
  </si>
  <si>
    <t>LUIS JAVIER ZAMORA CANACHE</t>
  </si>
  <si>
    <t>que el día 01 de Mayo será el último día de trabajo</t>
  </si>
  <si>
    <t>PENSION ACCI Carrer del Bruc, 1, 3, 08922 Santa Coloma de Gramenet, Barcelona</t>
  </si>
  <si>
    <t>+34 666030280</t>
  </si>
  <si>
    <t>JOSE STEVAN MURILLO MARTINEZ</t>
  </si>
  <si>
    <t>2024/348</t>
  </si>
  <si>
    <t>REVISAR FECHA DE PAGO</t>
  </si>
  <si>
    <t>PEDRO DE LA HOZ SALCEDO</t>
  </si>
  <si>
    <t>MICHAEL ANDRÉS PIZARRO LUNA</t>
  </si>
  <si>
    <t>2024/492</t>
  </si>
  <si>
    <t>2024/380</t>
  </si>
  <si>
    <t>cambio de alojamiento///C. de Llaranes Viejo, 8, 33460 Avilés, Asturias 616097205</t>
  </si>
  <si>
    <t>2024/423</t>
  </si>
  <si>
    <t>JAIME AUGUSTO JOYA BOTIA</t>
  </si>
  <si>
    <t>FRANCO ANDRES MELO RODRIGUEZ</t>
  </si>
  <si>
    <t>2024/025</t>
  </si>
  <si>
    <r>
      <rPr>
        <sz val="11"/>
        <color rgb="FFFF0000"/>
        <rFont val="Calibri"/>
        <family val="2"/>
      </rPr>
      <t>ALOJAMIENTO PAGO HASTA DICIEMBRE 2024</t>
    </r>
    <r>
      <rPr>
        <sz val="11"/>
        <color theme="1"/>
        <rFont val="Calibri"/>
        <family val="2"/>
      </rPr>
      <t>///Pasa Alojamiento 24/07///Carrer d'Isaac Albéniz, 2, 43481 Platja de la Pineda, Tarragona///24/02 pasan a los pisos de Jacob</t>
    </r>
  </si>
  <si>
    <t>JIMMY RICHARD ROBLES USHINAHUA</t>
  </si>
  <si>
    <t>2024/394</t>
  </si>
  <si>
    <t>Carrer de Roig, 5-7,1º 2  43201 Reus, Tarragona SERGI TORRELLO  +34 669 03 35 65</t>
  </si>
  <si>
    <t>HERMES EDUARDO RODRIGUEZ PAJARO</t>
  </si>
  <si>
    <r>
      <rPr>
        <sz val="11"/>
        <color rgb="FFFF0000"/>
        <rFont val="Calibri"/>
        <family val="2"/>
      </rPr>
      <t>ALOJAMIENTO PAGO HASTA DICIEMBRE 2024</t>
    </r>
    <r>
      <rPr>
        <sz val="11"/>
        <color rgb="FF000000"/>
        <rFont val="Calibri"/>
        <family val="2"/>
      </rPr>
      <t>///Pasa Alojamiento 24/07///Carrer d'Isaac Albéniz, 2, 43481 Platja de la Pineda, Tarragona///24/02 pasan a los pisos de Jacob// CARTA DE RESCISIÓN Hasta el 01/04/2025</t>
    </r>
  </si>
  <si>
    <t>LUIS MANUEL SALCEDO VITOLA</t>
  </si>
  <si>
    <t>JULIAN CAMILO MUÑOZ CADONA</t>
  </si>
  <si>
    <t>JOSE ANDRES PEREZ RUIZ</t>
  </si>
  <si>
    <t>EDGAR DIAZ MACHADO</t>
  </si>
  <si>
    <t>Hostal Boira Av. De Fraga, 8 , 22200 Sariñena, Huesca</t>
  </si>
  <si>
    <t>Contacto 974572432</t>
  </si>
  <si>
    <t>2025/490</t>
  </si>
  <si>
    <t>dejo el trabajo el 05-09-25</t>
  </si>
  <si>
    <t>JEMIS ANDRE PETER FLORINDEZ SILVA</t>
  </si>
  <si>
    <t>PRUJA FORNIELES PARES SL Carrer del Ponent, 5, 17820 Banyoles, Girona</t>
  </si>
  <si>
    <t>~Anita</t>
  </si>
  <si>
    <t>JEISON FARID BENITEZ RODRIGUEZ</t>
  </si>
  <si>
    <t>2024/465</t>
  </si>
  <si>
    <t>cambio alojamiento propio desde el 27/11 perono habia informado se le proporciona auxilio a parteir del 01/01</t>
  </si>
  <si>
    <t>Calle Conoracion 2, Vitoria Gasteiz</t>
  </si>
  <si>
    <t>Mari +34 665 35 03 56</t>
  </si>
  <si>
    <t>JOSE EDUARDO NUÑEZ ESCARATE</t>
  </si>
  <si>
    <t>ISRAEL BENAVIDES PRECIADO</t>
  </si>
  <si>
    <t>HECTOR LUIS PARRAGA ZAVALA</t>
  </si>
  <si>
    <t>LENNIN JESUS CANON CARDENAS</t>
  </si>
  <si>
    <t>EDGARDO JOAN SUAREZ</t>
  </si>
  <si>
    <t>Hotel Costa Cántabra Barrio Tejiro 5, 39197 Argoños, España</t>
  </si>
  <si>
    <t>+34 616 37 00 06</t>
  </si>
  <si>
    <t>JHON JAIRO MUÑOZ BARBOSA</t>
  </si>
  <si>
    <t>R2025/039/296</t>
  </si>
  <si>
    <t>Remplazo de JHON KEVIN SOLIS IRRIBARREN</t>
  </si>
  <si>
    <t>ORLANDO RODRIGUEZ MADARIAGA</t>
  </si>
  <si>
    <t>JHON ESTIVEN RUIZ ALZATE</t>
  </si>
  <si>
    <t>JARRINSON JOSE PATRON MARTINEZ</t>
  </si>
  <si>
    <t>MARIO PEÑA HERNANDEZ</t>
  </si>
  <si>
    <t>RU2025/010/005/081</t>
  </si>
  <si>
    <t>LEIXER AUGUSTO RIVERO MUNIVE</t>
  </si>
  <si>
    <t>JULIÁN CAMILO MUÑOZ CARDONA</t>
  </si>
  <si>
    <t>IVANOR HERNANDEZ HERRERA</t>
  </si>
  <si>
    <r>
      <t>Fecha de inicio en obra:</t>
    </r>
    <r>
      <rPr>
        <sz val="11"/>
        <color rgb="FF242424"/>
        <rFont val="Aptos"/>
        <family val="2"/>
        <charset val="1"/>
      </rPr>
      <t> lunes 16/06/2025</t>
    </r>
  </si>
  <si>
    <t>JAIME ALBERTO QUIÑONES BLANDON</t>
  </si>
  <si>
    <t>JOSE RAMON DAZA OROZCO</t>
  </si>
  <si>
    <t>2025/263</t>
  </si>
  <si>
    <t>HENRY ALEXANDER RAMIREZ</t>
  </si>
  <si>
    <t xml:space="preserve">Salen alojamiento propio 28/05///HOTEL Hq La Galeria C. López Bravo, 4, 09197 Burgos </t>
  </si>
  <si>
    <t>JORGE NAYRO GARCIA OROZCO</t>
  </si>
  <si>
    <t>GIOVANNY ANTONIO COBOS ROBLES</t>
  </si>
  <si>
    <t>RU2025/010/003/081</t>
  </si>
  <si>
    <t>FUERON REUBICADOS A CASTELLON 09/11///Fueron reubicados a Castellon temporalmente Pedido 2025/537///En esta obra quedarán 3 trabajadores hasta final de mayo.</t>
  </si>
  <si>
    <t>EDUARD JAVIER JULIO INDABURO</t>
  </si>
  <si>
    <t>DEIVI STIVEN ORTIZ</t>
  </si>
  <si>
    <t>JUAN CAMILO SERNA SOLARTE</t>
  </si>
  <si>
    <t>2024/214</t>
  </si>
  <si>
    <t>Renuncio trabaja hasta el 14/11</t>
  </si>
  <si>
    <t>GULFRAN ENRIQUE LUGO GUTIERREZ</t>
  </si>
  <si>
    <t>Hotel Txintxua Zikuñaga Bailara, 72, 20120 Hernani, Gipuzkoa</t>
  </si>
  <si>
    <t>contacto: 943331750</t>
  </si>
  <si>
    <t>Pensiòn las Matillas C/ de Sta. Teresa, 18, 1ro, 09200 Miranda de Ebro, Burgos</t>
  </si>
  <si>
    <t>Jesùs 947335694</t>
  </si>
  <si>
    <t>Trabajo culmina el 13-06-25</t>
  </si>
  <si>
    <t>OSCAR JAVIER JAIMES GOMEZ</t>
  </si>
  <si>
    <t>2025/341</t>
  </si>
  <si>
    <r>
      <t>finalizan mañana, día </t>
    </r>
    <r>
      <rPr>
        <b/>
        <sz val="11"/>
        <color rgb="FF242424"/>
        <rFont val="Aptos"/>
        <family val="2"/>
        <charset val="1"/>
      </rPr>
      <t>24/05</t>
    </r>
  </si>
  <si>
    <t xml:space="preserve">JAVIER JAYO FUENTES </t>
  </si>
  <si>
    <t>2025/300</t>
  </si>
  <si>
    <t>DANIEL ELIÉCER PÉREZ ACEVEDO</t>
  </si>
  <si>
    <t>CARLOS ZAMBRANO OROZCO</t>
  </si>
  <si>
    <t>No se presento al alojamiento</t>
  </si>
  <si>
    <t>luis amplia reserva</t>
  </si>
  <si>
    <t>46 Rue Louis Leloir, Tourcoing, Hauts-de-France 59200, Francia</t>
  </si>
  <si>
    <t xml:space="preserve"> JP +33 6 50 65 48 76</t>
  </si>
  <si>
    <t>2025/327</t>
  </si>
  <si>
    <t>Casa Tia Maria C. de los Lagares, 8, 10970 Mata de Alcántara, Cáceres</t>
  </si>
  <si>
    <t>Laura +34 616 69 36 88</t>
  </si>
  <si>
    <t>2024/095</t>
  </si>
  <si>
    <t>Obra Rolabo Outsourcing/// Finaliza la obra 17/05</t>
  </si>
  <si>
    <t>Calle Cendea de Cizur 11, bajo izquierda.</t>
  </si>
  <si>
    <t>Iker+34 636 14 88 57</t>
  </si>
  <si>
    <t>Apartment N5  , Amerikalei 74, 2000  Antwerpen</t>
  </si>
  <si>
    <t>Nunca se hospedo aquí</t>
  </si>
  <si>
    <t>+34 629 97 70 32</t>
  </si>
  <si>
    <t>2024/041</t>
  </si>
  <si>
    <t>Hostal Can Parera</t>
  </si>
  <si>
    <t>Carr. Utrera-Sevilla, 4, 41710 Utrera, Sevilla</t>
  </si>
  <si>
    <t xml:space="preserve">Don Nicanor +34 674 61 33 04 </t>
  </si>
  <si>
    <t>2024/363</t>
  </si>
  <si>
    <t>finaliza 31/10/2024</t>
  </si>
  <si>
    <t>31/09/24 sale para alojamiento propio // 15/09 pasa a obra a León</t>
  </si>
  <si>
    <t>Plaza San Juan de Los Lagos, 4, 7ºC, 09006, Burgos</t>
  </si>
  <si>
    <t>2024/279</t>
  </si>
  <si>
    <t>1. Calle Navarrete 6 4B, 09001, Burgos, Alojamiento hasta 31-08 //2. Cambio de alojamiento a temporal Enrique +34 629 25 38 93 fianza 350 //Calle Vitoria 261, esquina Esteban Sáez Alvarado 3 bajo, 09007</t>
  </si>
  <si>
    <t>IVER ALONSO TORRES MONTAÑO</t>
  </si>
  <si>
    <t>PEDRO SARMIENTO ROBLES</t>
  </si>
  <si>
    <t>Todos los trabajos tiene la fecha fin prevista para el día 26/05.</t>
  </si>
  <si>
    <t>JUAN CARLOS ARCAYA NORIEGA</t>
  </si>
  <si>
    <t>Camiño de Liñares, 17  habitación número 101</t>
  </si>
  <si>
    <t>Rooms Lugo +34 663 47 03 46</t>
  </si>
  <si>
    <t>Renovación: UN MES MAS</t>
  </si>
  <si>
    <t>Amigos del pais portal 2 3A</t>
  </si>
  <si>
    <t>Ariel +34 677 10 60 20</t>
  </si>
  <si>
    <t>2024/210</t>
  </si>
  <si>
    <t xml:space="preserve">Cambio a portugal </t>
  </si>
  <si>
    <t>JHEYSON DE LOS REYES MENDONZA</t>
  </si>
  <si>
    <t>2024/065</t>
  </si>
  <si>
    <t>NIDS BV</t>
  </si>
  <si>
    <t>2025/288</t>
  </si>
  <si>
    <t>fin 20/06</t>
  </si>
  <si>
    <t>PEDRO LOUAM DOS SANTOS SILVA E LIMA</t>
  </si>
  <si>
    <t>Calle Almagro Número 1, 7-C  Portollano</t>
  </si>
  <si>
    <t>PATRICK ARAUJO DA COSTA</t>
  </si>
  <si>
    <t>MARCIO ANDRÉ RODRIGUES MENDES</t>
  </si>
  <si>
    <t>2024/034</t>
  </si>
  <si>
    <t>MECANISES BASSEGODA</t>
  </si>
  <si>
    <t>EDIE JAVIER GUERRERO SARMIENTO</t>
  </si>
  <si>
    <t>Calle Julio Romero Guisado 24 , C.P. 14120, situada en Fte. Palmera</t>
  </si>
  <si>
    <t>2024/235</t>
  </si>
  <si>
    <t>Reemplazo</t>
  </si>
  <si>
    <t>2025/251</t>
  </si>
  <si>
    <t>JONATHAN RODRIGUES DE SOUZA</t>
  </si>
  <si>
    <t>Pasan a villamaria a partir del 20/05/2025 hasta el 27/05</t>
  </si>
  <si>
    <t>IRAN JOSE DA SILVA</t>
  </si>
  <si>
    <t>HERBERT RICARDO DA SILVA</t>
  </si>
  <si>
    <t>EDILSON TORRES SALCEDO</t>
  </si>
  <si>
    <t>Julio Romero Guisado  22-26 C.P. 14120, situada en Fte. Palmera</t>
  </si>
  <si>
    <t>2025/643</t>
  </si>
  <si>
    <t>EDUARD YOVANNY LOZANO OSORIO</t>
  </si>
  <si>
    <t>CEUTA</t>
  </si>
  <si>
    <t>Calle Linares 10, Edificio Artemisa, Escalera 1, 4ºC CP 51001</t>
  </si>
  <si>
    <t>Noelia Torres Leon Tel 616314304</t>
  </si>
  <si>
    <t>2025/118</t>
  </si>
  <si>
    <t>RU027/118</t>
  </si>
  <si>
    <t xml:space="preserve"> C/TRINIDAD N11 1 IZ MENDARO GUIPUZCOA</t>
  </si>
  <si>
    <t>Iñaki +34 677 11 43 46</t>
  </si>
  <si>
    <t>2024/458</t>
  </si>
  <si>
    <t xml:space="preserve"> TEKNICALDE </t>
  </si>
  <si>
    <t>2025/RU030</t>
  </si>
  <si>
    <t>CARTA RESCISION 10/9/25, DESIISTIO DE LA RENUNCIA NOTIFICADO POR CORREO</t>
  </si>
  <si>
    <t>JUAN SEBASTIAN GARCIA GARCIA</t>
  </si>
  <si>
    <t>2024/414</t>
  </si>
  <si>
    <t>cambio de alojamiento//Nadja dice: Hay una reserva del 2 al 5 de octubre y otra del 26 de octubre al 6 de noviembre.
Lo sentimos.</t>
  </si>
  <si>
    <t>Informo Cristian 13/03: Mínimo 3 meses más///Prevision Avisar con tiempo a nadja si vamos a continuar</t>
  </si>
  <si>
    <t>vuelven donde Nadja el 19/12//Prevision hasta el 31/12/2025</t>
  </si>
  <si>
    <t>Cambio de alojamiento el 27/04///Deben salir el 28/04 y volver el 05/05/2026 segun informa la propietaria del alojamiento//  Informo Cristian 13/03: Mínimo 3 meses más</t>
  </si>
  <si>
    <t>MANUEL JOSE TIRADO NEGRETE</t>
  </si>
  <si>
    <t>Finalización de los trabajos — 18/08/2026</t>
  </si>
  <si>
    <t>CUENCA</t>
  </si>
  <si>
    <t>Virgen, 14 Quintanar del Rey Manchuela, Cuenca</t>
  </si>
  <si>
    <t>2024/059</t>
  </si>
  <si>
    <t>IDEALISTA</t>
  </si>
  <si>
    <t>Trabajo finalizado 19/07/2024</t>
  </si>
  <si>
    <t>Avda. Gran Via de San Marcos- 39 - 5ºA de León</t>
  </si>
  <si>
    <t>Luis Manuel +34 659 97 60 52</t>
  </si>
  <si>
    <t>2024/350</t>
  </si>
  <si>
    <t>Avenida antibioticos 106,1º Leon // Calle el palacio nº1 de sariegos del Bernesga en León</t>
  </si>
  <si>
    <t>Calle el palacio nº1 de sariegos del Bernesga en León</t>
  </si>
  <si>
    <t>Alojamiento hasta el 10/11 Salida de Avda. Gran Via de San Marcos- 39 - 5ºA de León</t>
  </si>
  <si>
    <t>Alojamiento hasta el 11/11 // Finaliza 20/09</t>
  </si>
  <si>
    <t>JULIO CESAR BOLIVAR TORRES</t>
  </si>
  <si>
    <t>Rua a Granxa, 50, 32005 Ourence</t>
  </si>
  <si>
    <t>Josè +34 613 20 86 32</t>
  </si>
  <si>
    <t>Trabaja hasta el viernes 10/05</t>
  </si>
  <si>
    <t>Alojamiento hasta el 11/11</t>
  </si>
  <si>
    <r>
      <rPr>
        <sz val="11"/>
        <color rgb="FFFF0000"/>
        <rFont val="Calibri"/>
        <family val="2"/>
      </rPr>
      <t xml:space="preserve">FINALIZA 27/12//Alojamiento hasta el 10/11 </t>
    </r>
    <r>
      <rPr>
        <sz val="11"/>
        <color rgb="FF305496"/>
        <rFont val="Calibri"/>
        <family val="2"/>
      </rPr>
      <t>Salida de Avda. Gran Via de San Marcos- 39 - 5ºA de León Hostal EC Leon // Calle el palacio nº1 de sariegos del Bernesga en León</t>
    </r>
  </si>
  <si>
    <t>JHON ADAIMER MORALES MORALES</t>
  </si>
  <si>
    <t>JEAN CARLO DOS SANTOS BUDZIAK</t>
  </si>
  <si>
    <t>trabajo finalizado 09/04</t>
  </si>
  <si>
    <t>FINALIZA 27/12//Alojamiento hasta el 10/11 Salida de Avda. Gran Via de San Marcos- 39 - 5ºA de León</t>
  </si>
  <si>
    <t>Calle Goya Número 17-2b Portollano</t>
  </si>
  <si>
    <t>Finaliza el 17/04 depedido</t>
  </si>
  <si>
    <t>LUIS CARLOS PEREZ GONZALEZ</t>
  </si>
  <si>
    <t>Hotel Restaurant Can Parera Carrer Sant Joan Bosco, 6, 8, 08150 Parets del Vallès,</t>
  </si>
  <si>
    <t>Hostal Can Parera +34 629 97 70 32</t>
  </si>
  <si>
    <t>2024/080</t>
  </si>
  <si>
    <t>CAMBIO DE ALOJAMIENTO POR CUENTA PROPIA 12-12</t>
  </si>
  <si>
    <t>HUGO ALEXANDER SERRANO ALCALDE</t>
  </si>
  <si>
    <t xml:space="preserve"> Pasaig amics 2 principal 3 </t>
  </si>
  <si>
    <t>JOHN EDISON +34 654 82 02 96</t>
  </si>
  <si>
    <t>2024/347</t>
  </si>
  <si>
    <t>CLIMBAR S.L.</t>
  </si>
  <si>
    <r>
      <rPr>
        <sz val="11"/>
        <color rgb="FFFF0000"/>
        <rFont val="Calibri"/>
        <family val="2"/>
      </rPr>
      <t>Finaliza 22/11</t>
    </r>
    <r>
      <rPr>
        <sz val="11"/>
        <color rgb="FF305496"/>
        <rFont val="Calibri"/>
        <family val="2"/>
      </rPr>
      <t xml:space="preserve"> 1.Plaça de la Pau 10, 08250 Sant Joan de Vilatorrada, España, 34938751907// sale alojameinto Fijo 12/10</t>
    </r>
  </si>
  <si>
    <t>HAROLD LLERENA BELTRAN</t>
  </si>
  <si>
    <t>Calle General Fernández d Rodas  Numero 1.  Segundo derecha</t>
  </si>
  <si>
    <t>Calle Trafalgar Valladolid // C. Tierra del Pan 47010 Valladolid Angela +34 666 01 56 84 //Hostal Becares /Hostal Restaurante Ceres Pl. España, 12, 34220 Magaz de Pisuerga,Palencia 
C. Cardenal Almaraz, 21, 34005 Palencia// Se cambio de alojamiento sin avisar procede a partir del 14/06</t>
  </si>
  <si>
    <t>2024/101</t>
  </si>
  <si>
    <t>OSCAR IVAN GONZALEZ SERRATO</t>
  </si>
  <si>
    <r>
      <rPr>
        <sz val="11"/>
        <color rgb="FFFF0000"/>
        <rFont val="Calibri"/>
        <family val="2"/>
      </rPr>
      <t>FINALIZAN 30/11</t>
    </r>
    <r>
      <rPr>
        <sz val="11"/>
        <color rgb="FF305496"/>
        <rFont val="Calibri"/>
        <family val="2"/>
      </rPr>
      <t>.SALEN 10/11 CULMINACIÒN CONTRATO ALOJAMIENTO C/ MINAS DE RIOTINTO1, URB. LAS CANOAS, EDIF. ANGELA MARISA, PORTAL 1, 1ºF. PUNTA UMBRÍA (HUELVA). CARLOS ALVAREZ-URIBARRI MOYA 606 60 59 08</t>
    </r>
  </si>
  <si>
    <t>Fecha fin prevista 27/08. Pasan 16/05 alojamiento fijo///Calle de Doña Crisanta, 30, 13700 Tomelloso, Ciudad Real</t>
  </si>
  <si>
    <t>RICARDO RODRIGUES GUZE DE LIMA</t>
  </si>
  <si>
    <t>Calle Campo Amor N. 10  2B (ultima puerta del pasaje)</t>
  </si>
  <si>
    <t>Marìa +34 639 72 60 04</t>
  </si>
  <si>
    <t>ORLANDO MONCAYO FLOREZ</t>
  </si>
  <si>
    <t>2024/274</t>
  </si>
  <si>
    <r>
      <rPr>
        <sz val="11"/>
        <color rgb="FF305496"/>
        <rFont val="Calibri"/>
        <family val="2"/>
      </rPr>
      <t xml:space="preserve">Finaliza 04/10/ Remplazo de Milton / </t>
    </r>
    <r>
      <rPr>
        <sz val="11"/>
        <color rgb="FFFF0000"/>
        <rFont val="Calibri"/>
        <family val="2"/>
      </rPr>
      <t>fecha fin aprox 23/09</t>
    </r>
  </si>
  <si>
    <t>MILTON RAFAEL AGUAS CHAVES</t>
  </si>
  <si>
    <t xml:space="preserve">NORTON </t>
  </si>
  <si>
    <t>MAURICIO FIUZA DA CRUZ CARVALHO</t>
  </si>
  <si>
    <t>LUIZ CLAUDIO DE SOUZA JUNIOR</t>
  </si>
  <si>
    <t>Todos los trabajadores finalizan mañana día 04/04.</t>
  </si>
  <si>
    <t>JOSE ANGEL CARREÑO REMOLINA</t>
  </si>
  <si>
    <t>JORGE ANASTACIO FILHO</t>
  </si>
  <si>
    <r>
      <rPr>
        <sz val="11"/>
        <color rgb="FFFF0000"/>
        <rFont val="Calibri"/>
        <family val="2"/>
      </rPr>
      <t>finaliza 06/11</t>
    </r>
    <r>
      <rPr>
        <sz val="11"/>
        <color rgb="FF305496"/>
        <rFont val="Calibri"/>
        <family val="2"/>
      </rPr>
      <t>//Pasan a lojamiento fijo 16/07</t>
    </r>
  </si>
  <si>
    <t>2025/137</t>
  </si>
  <si>
    <t>Calle Rúa 17 Bajo INMACULADA +34 616 95 39 86</t>
  </si>
  <si>
    <t>JOÃO PAULO FIGUEIROA SANTOS</t>
  </si>
  <si>
    <t>JHONNY GERARDO CALDAS VILLANUEVA</t>
  </si>
  <si>
    <t>2025/044</t>
  </si>
  <si>
    <t xml:space="preserve">GRUPO VENTO </t>
  </si>
  <si>
    <t>DARWIN FABIAN DELGADILLO GOMEZ</t>
  </si>
  <si>
    <t xml:space="preserve"> Plaza de Aragón núm 4. Monzòn </t>
  </si>
  <si>
    <t>Chema +34 615 11 10 04</t>
  </si>
  <si>
    <t>2026/763</t>
  </si>
  <si>
    <t>SISTEMAS DE FILTRADO Y TRATAMIENTO DE FLUIDOS SL</t>
  </si>
  <si>
    <t>Yajaira informa que renuncio y que trabajaba hasta el 08/08/2026 //Chema informa que salio del alojamiento ayer 04/08/2026// CRISTIAN 30/04/2026: Sobre la llamada que tuvimos. Dejo por escrito que STF los 4 chicos tienen una previsión del año completo. Pero llamaremos en 2 meses para confirmar si todo sigue bien</t>
  </si>
  <si>
    <t>JHON DAVIS SERRATO CHUZON</t>
  </si>
  <si>
    <t xml:space="preserve">Calle Antonio Moreno Nº 9, cedillo </t>
  </si>
  <si>
    <t>GOYI +34 638 81 55 93</t>
  </si>
  <si>
    <t>2024/135</t>
  </si>
  <si>
    <t>Victor +34 623 19 85 81</t>
  </si>
  <si>
    <t>Trabaja 21/10</t>
  </si>
  <si>
    <t>IGOR VINICIUS PEREIRA</t>
  </si>
  <si>
    <t>Calle Doctor Marañon 5 piso 1</t>
  </si>
  <si>
    <t>Raiza +34 641 007 954</t>
  </si>
  <si>
    <t>HENRIQUE KOPELE COIMBRA,</t>
  </si>
  <si>
    <t>2024/174</t>
  </si>
  <si>
    <t>Fin Aprox 09/10// CAMBIO DE ALOJAMIENTO</t>
  </si>
  <si>
    <t>Calle general Díaz de Villegas 1 bajo Santander, Cantabria</t>
  </si>
  <si>
    <t>+34 633 61 83 13 ~Meli</t>
  </si>
  <si>
    <t xml:space="preserve">solicitar pago y ampliar una semana mas </t>
  </si>
  <si>
    <t>2025/053</t>
  </si>
  <si>
    <r>
      <rPr>
        <sz val="11"/>
        <color rgb="FFFF0000"/>
        <rFont val="Calibri"/>
        <family val="2"/>
      </rPr>
      <t xml:space="preserve">Finalizan 29/11 </t>
    </r>
    <r>
      <rPr>
        <sz val="11"/>
        <color rgb="FF305496"/>
        <rFont val="Calibri"/>
        <family val="2"/>
      </rPr>
      <t>//1.Carrer Divino Maestro Nº 1 Bj Drcha de Marmolejo Loli Rios +34 646 11 80 22 //</t>
    </r>
    <r>
      <rPr>
        <sz val="11"/>
        <color rgb="FFFF0000"/>
        <rFont val="Calibri"/>
        <family val="2"/>
      </rPr>
      <t xml:space="preserve"> contrato alquiler hasta el 17/11</t>
    </r>
  </si>
  <si>
    <t>JHONNY RAFAEL LOPEZ FIGUEROA</t>
  </si>
  <si>
    <t>Calle Andalucia nº7,1º1ª Escalera nº1,Girona 2</t>
  </si>
  <si>
    <t>2026/810</t>
  </si>
  <si>
    <t>REMOMEC</t>
  </si>
  <si>
    <t>Fecha Efectiva de Baja (Salida): 21/08/2026. Motivo: Finalización de los trabajos. La fecha había sido notificada en la creación del pedido.</t>
  </si>
  <si>
    <t>EDUARDO NICOLAS VILLEGAS</t>
  </si>
  <si>
    <t>Rua a Granxa, 50, 32005</t>
  </si>
  <si>
    <t>José  +34 613 20 86 32</t>
  </si>
  <si>
    <t>OSCAR EDUARDO GONZALEZ ROJAS</t>
  </si>
  <si>
    <t>Despedido por el cliente 08/07</t>
  </si>
  <si>
    <t>LUIS ALBERTO ZUÑIGA PEREZ</t>
  </si>
  <si>
    <t>2024/436</t>
  </si>
  <si>
    <t>Rúa Areosa 35, 1º A As Pontes de García Rodríguez (A Coruña)</t>
  </si>
  <si>
    <t>Alfonso +34 670 44 13 73</t>
  </si>
  <si>
    <t>2024/332</t>
  </si>
  <si>
    <t>TALLERES ACESAN S.L</t>
  </si>
  <si>
    <t>LUIS DANIEL REDONDO OBAGI</t>
  </si>
  <si>
    <t>Quart de Poblet 46930</t>
  </si>
  <si>
    <t>Rafael +34 601 09 06 67</t>
  </si>
  <si>
    <t>2024/109</t>
  </si>
  <si>
    <t>SERVICIOS MECANICOS PERT S.L</t>
  </si>
  <si>
    <t>Pasan Alojamiento fijo 19/04// FINALIZAN 04/11</t>
  </si>
  <si>
    <t>Carrer de Bailèn, 3, 08191 Rubí, Barcelona</t>
  </si>
  <si>
    <t>JESUS DAVID VILLA GONZALEZ</t>
  </si>
  <si>
    <t>Fin aprox 04-09.</t>
  </si>
  <si>
    <t>2025/165</t>
  </si>
  <si>
    <t xml:space="preserve">OSCAR IVAN GONZALEZ SERRATO </t>
  </si>
  <si>
    <t>Finaliza 13/09//</t>
  </si>
  <si>
    <t>HENRIS ORTEGA BOSSIO</t>
  </si>
  <si>
    <t>2025/282</t>
  </si>
  <si>
    <t>PNYC</t>
  </si>
  <si>
    <t>2024/499</t>
  </si>
  <si>
    <t>Trabaja hasta 10/07</t>
  </si>
  <si>
    <t>MARIO FAIMAR NAVEROS GARAY</t>
  </si>
  <si>
    <t>APTO 315///ultimo dia trabajado 27/06/2025</t>
  </si>
  <si>
    <t>LUCIANO PEREIRA DA SILVA</t>
  </si>
  <si>
    <r>
      <rPr>
        <sz val="11"/>
        <color rgb="FFFF0000"/>
        <rFont val="Calibri"/>
        <family val="2"/>
      </rPr>
      <t>Finaliza 06/09</t>
    </r>
    <r>
      <rPr>
        <sz val="11"/>
        <color rgb="FF305496"/>
        <rFont val="Calibri"/>
        <family val="2"/>
      </rPr>
      <t>/ Pasan Alojamiento fijo 21/07//C. Cánovas del Castillo, 4, 28807 Alcalá de Henares</t>
    </r>
  </si>
  <si>
    <r>
      <rPr>
        <sz val="11"/>
        <color rgb="FFFF0000"/>
        <rFont val="Calibri"/>
        <family val="2"/>
      </rPr>
      <t>Finaliza 13/09/</t>
    </r>
    <r>
      <rPr>
        <sz val="11"/>
        <color rgb="FF305496"/>
        <rFont val="Calibri"/>
        <family val="2"/>
      </rPr>
      <t>/Reemplazo 189</t>
    </r>
  </si>
  <si>
    <r>
      <t>PREAVISO HASTA:</t>
    </r>
    <r>
      <rPr>
        <b/>
        <sz val="11"/>
        <color theme="1"/>
        <rFont val="Calibri"/>
        <family val="2"/>
        <scheme val="minor"/>
      </rPr>
      <t xml:space="preserve"> 03/06/2025</t>
    </r>
  </si>
  <si>
    <t>JOHN EDUARD FUENTES PINILLA</t>
  </si>
  <si>
    <t>Hotel Sallès//Hotel Altamira 28/03 al 03/04//07/04 Pasan a alojamiento fijo///Teixidores 2, 1-3 SALT salen de este alojamiento 22/04// trabajo hasta el 30/04</t>
  </si>
  <si>
    <t>WILMER SIMANCA GOMEZ</t>
  </si>
  <si>
    <t>JOSE JOHN PEREZ TARRILLO</t>
  </si>
  <si>
    <t>Pasan Alojamiento del cliente sabado 18-01</t>
  </si>
  <si>
    <t>JAMES VALLECILLA GRANJA</t>
  </si>
  <si>
    <r>
      <rPr>
        <sz val="11"/>
        <color rgb="FFFF0000"/>
        <rFont val="Calibri"/>
        <family val="2"/>
      </rPr>
      <t>Finaliza 30/08</t>
    </r>
    <r>
      <rPr>
        <sz val="11"/>
        <color rgb="FF305496"/>
        <rFont val="Calibri"/>
        <family val="2"/>
      </rPr>
      <t xml:space="preserve">///Hotel Sallès//Hotel Altamira 28/03 al 03/04//07/04 Pasan a alojamiento fijo///
Passeig dels Paisos Catalans, 92, 17190 Salt Girona salen de este alojamiento22/04
</t>
    </r>
  </si>
  <si>
    <t>Finaliza 30/08//Pasan Alojamiento fijo 21/07//C. Cánovas del Castillo, 4, 28807 Alcalá de Henares</t>
  </si>
  <si>
    <t>2025/093</t>
  </si>
  <si>
    <t>2024/139</t>
  </si>
  <si>
    <t xml:space="preserve">Avenida antibioticos 106,1º Leon </t>
  </si>
  <si>
    <t>1.Pension las hojas P Pamplona, Navarra 2,3B // 2. Calle Rúa 17 Bajo INMA +34 616 95 39 86</t>
  </si>
  <si>
    <t>APTO 232</t>
  </si>
  <si>
    <t>26 Carrer Beat Oriol, 08110 Montcada i Reixac, España</t>
  </si>
  <si>
    <t>+34 936 88 88 22</t>
  </si>
  <si>
    <t>2024/236</t>
  </si>
  <si>
    <t>EDWAR ARIEL VELEZ POSADA</t>
  </si>
  <si>
    <t>R2025/051/RU2025/007/R003/079</t>
  </si>
  <si>
    <t>Remplazo de ALEJANDRO HERNANDEZ PIMIENTA</t>
  </si>
  <si>
    <t>NOE JONATHAN HERNANDEZ RAMIREZ</t>
  </si>
  <si>
    <r>
      <t>PREAVISO HASTA:</t>
    </r>
    <r>
      <rPr>
        <b/>
        <sz val="11"/>
        <color theme="1"/>
        <rFont val="Calibri"/>
        <family val="2"/>
        <scheme val="minor"/>
      </rPr>
      <t xml:space="preserve"> 07/06/2025</t>
    </r>
  </si>
  <si>
    <t xml:space="preserve"> Rúa República de Arxentina, 21, 32500 O Carballiño, Ourense</t>
  </si>
  <si>
    <t>hostal 988271202</t>
  </si>
  <si>
    <t>MAURICIO MORALES OCAMPO</t>
  </si>
  <si>
    <t>Se trasladan a MB PAPELES 22/07//Carrer de les Escoles, 3, 17132 Foixà, Girona</t>
  </si>
  <si>
    <t>LUIS MIGUEL SANABRIA LOZANO</t>
  </si>
  <si>
    <t>2024/400</t>
  </si>
  <si>
    <t>2025/RU053</t>
  </si>
  <si>
    <t xml:space="preserve"> CAMBIO DE ALOJAMIENTO RU079/</t>
  </si>
  <si>
    <t>HOSTAL CASA PEPE  C. Sta. Clara, 7, BAJOS, 50660 Tauste, Zaragoza</t>
  </si>
  <si>
    <t>Avinguda del Papa Luna, 300 Edificio Torre Mar, piso 3A, Benicarló, Comunidad Valenciana 12580</t>
  </si>
  <si>
    <t>Jessica +34 652 96 32 97</t>
  </si>
  <si>
    <t>2024/518</t>
  </si>
  <si>
    <t>finaliza 16/01</t>
  </si>
  <si>
    <t>1.Pension las hojas P Pamplona, Navarra 2,3B // Cambian a León 15/09 // aclarar 125 pendientes de alojamiento provisional de 5 días</t>
  </si>
  <si>
    <t>C. Juan José Alonso, 26320 Baños de Río Tobía, La Rioja, Spain</t>
  </si>
  <si>
    <t>+34 651 91 91 89</t>
  </si>
  <si>
    <t xml:space="preserve">CAMBIO DE ALOJAMIENTO//1 MES </t>
  </si>
  <si>
    <t>Reubicacion a logroño por 1 mes</t>
  </si>
  <si>
    <t>JOSE ARISTIDES PATIÑO CABRERA</t>
  </si>
  <si>
    <t>Sra Marga +34 672 26 89 60</t>
  </si>
  <si>
    <t>2024/310</t>
  </si>
  <si>
    <t>JIMMY ALEXANDER CAICEDO</t>
  </si>
  <si>
    <t>1. Reubicación 276</t>
  </si>
  <si>
    <t>JAVIER EDUARDO VILLA ARRIETA</t>
  </si>
  <si>
    <t>HAMAM MOHAMED EL ABBES</t>
  </si>
  <si>
    <t>Av. Pio XII 5 P04I de la ciudad de Logroño</t>
  </si>
  <si>
    <t>Leonor +34 628 63 92 64</t>
  </si>
  <si>
    <t>APTO 104</t>
  </si>
  <si>
    <t>NELSON ENRIQUE PICO VARGAS</t>
  </si>
  <si>
    <t>2024/252</t>
  </si>
  <si>
    <t>JHOSEPH LEANDRO MAYOR PIEDRAHITA</t>
  </si>
  <si>
    <t>1. HOTEL ALFINDEN - Barrionuevo, 45, 50171 la puebla de alfinde, España / 2. Al Fijjo 20/08/2024</t>
  </si>
  <si>
    <t>DANIEL CAICEDO BEDOYA</t>
  </si>
  <si>
    <t>Carretera de Almodobar, 21 Pau 2 - 600 Puertollano</t>
  </si>
  <si>
    <t>Enrique +34 628 92 23 53</t>
  </si>
  <si>
    <t xml:space="preserve"> Trabajo hasta el 05/04</t>
  </si>
  <si>
    <t>JUAN CARLOS SANABRIA SUAREZ</t>
  </si>
  <si>
    <t>2024/045</t>
  </si>
  <si>
    <t>Finaliza obra el 05/04</t>
  </si>
  <si>
    <t>CAMBIO ALOJAMIENTO PROPIO</t>
  </si>
  <si>
    <t>JOZIMAR ANTONIO PEREIRA DE SOUZA</t>
  </si>
  <si>
    <t>Calle Rui Pérez nº 18-2ºA, Aviles</t>
  </si>
  <si>
    <t>REGINALDO DA SILVA GOMES</t>
  </si>
  <si>
    <t>Carretera De Puertollano,16 Ciudad Real</t>
  </si>
  <si>
    <t>PAULO LUCIO FRANCISCO MUHONGO</t>
  </si>
  <si>
    <t>MARCIO ADRIANO LACERDA</t>
  </si>
  <si>
    <t xml:space="preserve">c/ Castillo de Sagunto, 12 de Gilet (VALENCIA) CP 46149
</t>
  </si>
  <si>
    <t>2024/192</t>
  </si>
  <si>
    <t>JORGE ALBERTO CASTILLO GARCIA</t>
  </si>
  <si>
    <t>Obra de Ecija 02/08//Pasan a piso fijo 23/06//Hostal Santiago Avenida Del Genil 18 41400 Écija España</t>
  </si>
  <si>
    <t>Fecha aprox 20/12</t>
  </si>
  <si>
    <t>Fecha aprox 20/12 /Carrer del Bisbe Morgades, 31, 08500 Vic, Barcelona Fabian +34 642 03 84 26 // sale el 19/11</t>
  </si>
  <si>
    <t>JUAN CAMILO SOSA QUINTERO</t>
  </si>
  <si>
    <t>Calle Ocarina. Ciudad Valladolid 34622279691/ CAMBIO DE ALOJAMIENTO</t>
  </si>
  <si>
    <t>R2025/018/244</t>
  </si>
  <si>
    <t>Finaliza 11/10 //Carretera de Burgos a Portugal, 119, 47194, Valladolid</t>
  </si>
  <si>
    <t xml:space="preserve">calle Kurutziaga, 2 Durango-Vizcaya
</t>
  </si>
  <si>
    <t>Previsión de fecha fin en Bilbao es 11/04</t>
  </si>
  <si>
    <t>La finalización se produjo el 27/06/2026./Alojamiento por cuenta del cliente</t>
  </si>
  <si>
    <t>2024/151</t>
  </si>
  <si>
    <t>Despedido 19/06 por el cliente</t>
  </si>
  <si>
    <t>Reemplazo de Royember/ Cambio de alojamiento 23/03/2025</t>
  </si>
  <si>
    <t xml:space="preserve">Cambio de trabajador </t>
  </si>
  <si>
    <t>Carrer. D 'eivissa 4 Rubi 08191</t>
  </si>
  <si>
    <t>Martha +34 611 12 42 20</t>
  </si>
  <si>
    <t>RICHAR ESTUPIÑAN MARTINEZ</t>
  </si>
  <si>
    <t>calle riego 10, 2 1 08014 Barcelona</t>
  </si>
  <si>
    <t>Magnus +34634527330</t>
  </si>
  <si>
    <t>2026/801</t>
  </si>
  <si>
    <t>HERMANOS DJ 2000</t>
  </si>
  <si>
    <t>Solicitan reemplazo R-0218 Fecha fin: 13/07/2026</t>
  </si>
  <si>
    <t>EDWARD FRANCISCO RAMIREZ JARAMILLO</t>
  </si>
  <si>
    <t>2025/186</t>
  </si>
  <si>
    <t>2025/330</t>
  </si>
  <si>
    <t>2024/493</t>
  </si>
  <si>
    <t>REEMPLAZO DE VICTOR</t>
  </si>
  <si>
    <t>MIGUEL ANGEL ORTIZ LEON</t>
  </si>
  <si>
    <t>Calle ingenieros Pino y Amorena 6</t>
  </si>
  <si>
    <t>Max renuncio 01/03 fianza devuelta 350 y mes de alquiler 350 comprobante enviado a Thalia 05/03</t>
  </si>
  <si>
    <t>2025/319</t>
  </si>
  <si>
    <t>2024/141</t>
  </si>
  <si>
    <t>Finaliza hoy 10/06/2024</t>
  </si>
  <si>
    <t>JORGE ELIECER VILLADIEGO PUELLO</t>
  </si>
  <si>
    <t>Trabaja hasta el 26/07</t>
  </si>
  <si>
    <t>Reemplazo de Josè Nelson Olaya</t>
  </si>
  <si>
    <t>2024/512</t>
  </si>
  <si>
    <t>2025/113</t>
  </si>
  <si>
    <t>NORBEY VARON ESQUIVEL</t>
  </si>
  <si>
    <t>CAMBIO ALOJAMIENTO PROPIO.</t>
  </si>
  <si>
    <t>C. de Llaranes Viejo, 8, 33460 Avilés, Asturias 616097205// CAMBIO DE ALOJAMIENTO</t>
  </si>
  <si>
    <t>GUSTAVO VALOIS SINISTERRA</t>
  </si>
  <si>
    <t>ROYEMBER MORALES PEÑA</t>
  </si>
  <si>
    <t>Paseo san Vicente 61 , 3A , a pocos metros del CaixaBank.</t>
  </si>
  <si>
    <t>Angelo +34 641 19 71 96</t>
  </si>
  <si>
    <t>Contrato finalizado el 19/7</t>
  </si>
  <si>
    <t>HOSTAL CASA PEPE  C. Sta. Clara, 7, BAJOS, Sale del hotel 06/05///Alojamiento cliente 06/05///sale alojamiento propio 30/11</t>
  </si>
  <si>
    <t>07/02/25 el cliente informó que actualmente hay muy poco trabajo.</t>
  </si>
  <si>
    <t>Salen del Hotel Best Western Premier CMC Girona Carrer Barcelona, 112, 17003 Girona/// Alojamiento fijo 20/04</t>
  </si>
  <si>
    <t xml:space="preserve">Trabajo hasta 07/08///Preguntar a thalia </t>
  </si>
  <si>
    <t>2024/071</t>
  </si>
  <si>
    <t>L'Olleria (Valencia) Avda Treballadors n°8, esc A, 40, 13a</t>
  </si>
  <si>
    <t>Juan David +34 641 12 50 57</t>
  </si>
  <si>
    <t>2024/024</t>
  </si>
  <si>
    <t>Culmina la obra 08/03/2024. Se traslada a Cayta</t>
  </si>
  <si>
    <t>2025/112</t>
  </si>
  <si>
    <t>2024/364</t>
  </si>
  <si>
    <r>
      <rPr>
        <sz val="11"/>
        <color rgb="FFFF0000"/>
        <rFont val="Calibri"/>
        <family val="2"/>
      </rPr>
      <t>Finaliza 21/10</t>
    </r>
    <r>
      <rPr>
        <sz val="11"/>
        <color rgb="FF305496"/>
        <rFont val="Calibri"/>
        <family val="2"/>
      </rPr>
      <t>,ALOJAMIENTO SUMINISTRADO POR EL CLIENTE</t>
    </r>
  </si>
  <si>
    <t>trabaja hasta el 02/07///Salen del Hotel Best Western Premier CMC Girona Carrer Barcelona, 112, 17003 Girona/// Alojamiento fijo 20/04</t>
  </si>
  <si>
    <t>MAURI ANTONIO VICENTINI</t>
  </si>
  <si>
    <t>2024/055</t>
  </si>
  <si>
    <t>Esta en Alojamiento de Cotomac desde 04/03 Avenida Constitución 25-bis 4° derecha ///Trabajo hasta el 30/04
Tauste (Zaragoza)</t>
  </si>
  <si>
    <t>LUIZ HENRIQUE LIMA DOS SANTOS</t>
  </si>
  <si>
    <t>Reemplazo de Humberto//han finalizado hoy 23/05.</t>
  </si>
  <si>
    <t>Despedido 26/04</t>
  </si>
  <si>
    <t>LUIS BANIER PAZ</t>
  </si>
  <si>
    <t>2024/087</t>
  </si>
  <si>
    <t>STELIO QEVANI</t>
  </si>
  <si>
    <t>trabaja hasta el 31/10</t>
  </si>
  <si>
    <t>LACIDES SANCHEZ BADILLO</t>
  </si>
  <si>
    <t>Trasladado a obra en Tarragona 25/05///Reemplazo de Francisco Herrera</t>
  </si>
  <si>
    <t xml:space="preserve">Calle san roque 27, cintruniego </t>
  </si>
  <si>
    <t xml:space="preserve"> oscar +34 620 93 73 49</t>
  </si>
  <si>
    <t>2025/072</t>
  </si>
  <si>
    <t>Alojamiento del cliente</t>
  </si>
  <si>
    <t>2024/298</t>
  </si>
  <si>
    <t>REEMPLAZO  DE YUNNIS/ PTE X PAGAR // fianliza 16/10</t>
  </si>
  <si>
    <r>
      <rPr>
        <sz val="11"/>
        <color rgb="FFFF0000"/>
        <rFont val="Calibri"/>
        <family val="2"/>
      </rPr>
      <t>Finaliza 21/10.</t>
    </r>
    <r>
      <rPr>
        <sz val="11"/>
        <color rgb="FF305496"/>
        <rFont val="Calibri"/>
        <family val="2"/>
      </rPr>
      <t>ALOJAMIENTO SUMINISTRADO POR EL CLIENTE</t>
    </r>
  </si>
  <si>
    <t>LA CORUÑA</t>
  </si>
  <si>
    <t>Calle Mirador Nº3-5 Bajo Izquierda 15405 Ferrol</t>
  </si>
  <si>
    <t>Carlos Romay +34 649 88 35 19</t>
  </si>
  <si>
    <t>2024/157</t>
  </si>
  <si>
    <t>trabajo viernes 19/07//Alojamiento del cliente</t>
  </si>
  <si>
    <t>JHONATHAN ENRIQUE QUINTANA FONTALVO</t>
  </si>
  <si>
    <t>Trasladado a obra  en tarragona 25/05///Salen del Hotel Best Western Premier CMC Girona Carrer Barcelona, 112, 17003 Girona/// Alojamiento fijo 20/04</t>
  </si>
  <si>
    <t>ATELIERS DELBEQUE</t>
  </si>
  <si>
    <r>
      <rPr>
        <sz val="11"/>
        <color rgb="FFFF0000"/>
        <rFont val="Calibri"/>
        <family val="2"/>
      </rPr>
      <t>Pasan Alojamiento fijo 3/09///Finaliza 15/09//</t>
    </r>
    <r>
      <rPr>
        <sz val="11"/>
        <color rgb="FF305496"/>
        <rFont val="Calibri"/>
        <family val="2"/>
      </rPr>
      <t>1. Residencia Universitaria Pere Claret Rda. de San Antonio María Claret, 28, 17002 Girona//2,Hostal Sant Bernat Ubicación: Ctra. les Feixes, 29-31, 17800 Olot, Girona</t>
    </r>
  </si>
  <si>
    <t xml:space="preserve">No paso periodo dde prueba///Pasa Alojamiento fijo 30/05///hostal Ric Ctra. de Terrassa, 114, 08206 Sabadell, Barcelona </t>
  </si>
  <si>
    <t>Reemplazo de Hamidi///despedido 30/04</t>
  </si>
  <si>
    <t>Calle Padre Manjón, 54, 4M, Valladolid</t>
  </si>
  <si>
    <t>Martha +34 624 03 10 08</t>
  </si>
  <si>
    <t>2024/187</t>
  </si>
  <si>
    <t>CALDERERIA ROAN S.L</t>
  </si>
  <si>
    <t>cliente finaliza el contrato</t>
  </si>
  <si>
    <t>HAMIDI MILOUD</t>
  </si>
  <si>
    <t>Despedido 21/04</t>
  </si>
  <si>
    <t>2024/119</t>
  </si>
  <si>
    <t>SF MONTAJES</t>
  </si>
  <si>
    <t>OELISON ANJO DE CAMARGO</t>
  </si>
  <si>
    <t>Mañana día 31/01 será el último dia Oelison Anjo.</t>
  </si>
  <si>
    <t>2024/245</t>
  </si>
  <si>
    <t>2025/090</t>
  </si>
  <si>
    <t>MARCOS CASSANI</t>
  </si>
  <si>
    <t>RU2025/008/2024/140</t>
  </si>
  <si>
    <t>2024/336</t>
  </si>
  <si>
    <t>2025/323</t>
  </si>
  <si>
    <t>CARVISA CONTAINER SLU</t>
  </si>
  <si>
    <t>2025/286</t>
  </si>
  <si>
    <t>SILVEMOL SL</t>
  </si>
  <si>
    <t>2024/430</t>
  </si>
  <si>
    <t>2025/020</t>
  </si>
  <si>
    <t xml:space="preserve">Calle Conoracion 2, Vitoria Gasteiz </t>
  </si>
  <si>
    <t>Realizar cambio de alojamiento</t>
  </si>
  <si>
    <t>C/ Almeja, 9. 1ª. Plta, Punta Umbria, Huelva.</t>
  </si>
  <si>
    <t>Diego Fonseca +34 692 060 557.</t>
  </si>
  <si>
    <t>EDWIN DIAZ MARULANDA</t>
  </si>
  <si>
    <t>HOSTAL PLAZA RUIZ  Plaza Teniente Ruiz, 3, 2º</t>
  </si>
  <si>
    <t>+34 956502478</t>
  </si>
  <si>
    <t>2025/108</t>
  </si>
  <si>
    <t>Oscar ingresa a esta habitacion</t>
  </si>
  <si>
    <t>2025/338</t>
  </si>
  <si>
    <t>YEISON DE AVILA MENDOZA</t>
  </si>
  <si>
    <t>2024/485</t>
  </si>
  <si>
    <t>PROYECTO FINALIZADO 30/05. Se paga alojamiento hasta que lo reubiquen</t>
  </si>
  <si>
    <t>C/ Herminio Madinabeitia, 2 – 3º puerta 2.</t>
  </si>
  <si>
    <t>Pension las hojas Paseo Pamplona nº2,3ºB 31500 Navarra-España</t>
  </si>
  <si>
    <t>RU2025/002/159</t>
  </si>
  <si>
    <t>2025/268</t>
  </si>
  <si>
    <t>PEDRO HUMBERTO CASTELLANOS</t>
  </si>
  <si>
    <t>2025/342</t>
  </si>
  <si>
    <t>SAINT-ETIENNE</t>
  </si>
  <si>
    <t>11 Rue Edouard Vaillant, Saint-Étienne, Auvernia-Ródano-Alpes 42100, Francia</t>
  </si>
  <si>
    <t>Natan +33 6 58 21 21 04</t>
  </si>
  <si>
    <t>MANREC</t>
  </si>
  <si>
    <t>Sale alojamiento fijo 04/06///Hostal Restaurante Julián C. Dominicos, 53, 49800 Toro, Zamora///renuncia preaviso 19-06</t>
  </si>
  <si>
    <t>vicente que le paguen  1320€. Los trabajadores tienen que salir el 23 de junio.</t>
  </si>
  <si>
    <r>
      <t>PREAVISO HASTA:</t>
    </r>
    <r>
      <rPr>
        <b/>
        <sz val="11"/>
        <color theme="1"/>
        <rFont val="Calibri"/>
        <family val="2"/>
        <scheme val="minor"/>
      </rPr>
      <t xml:space="preserve"> 19/06/2025</t>
    </r>
  </si>
  <si>
    <t>YESID DAVID GOMEZ ARZUAGA</t>
  </si>
  <si>
    <t>Carrer d'Isaac Albéniz, 2, 43481 Platja de la Pineda, Tarragona</t>
  </si>
  <si>
    <t>JACOB  699 80 92 04</t>
  </si>
  <si>
    <t>2025/048</t>
  </si>
  <si>
    <t>BREINER MOLINA PELAEZ</t>
  </si>
  <si>
    <t>ALOJAMIENTO Y TRANSPORTE POR EL CLIENTE</t>
  </si>
  <si>
    <t>WALDEMAR ALVAREZ SAENZ</t>
  </si>
  <si>
    <t>2024/397</t>
  </si>
  <si>
    <t>Termina proyecto el 20/06/25</t>
  </si>
  <si>
    <t>RAFAEL JOSE MENDOZA TURIZO</t>
  </si>
  <si>
    <t>LUIS EDUARDO VALDEZ ELLES</t>
  </si>
  <si>
    <t>LEIDER PACHECO MENDOZA</t>
  </si>
  <si>
    <t>Termina proyecto el 20/06/25. renuncia preaviso 28-06-25</t>
  </si>
  <si>
    <t>JAIRO ERNESTO GAITAN GOMEZ</t>
  </si>
  <si>
    <t>GUILLERMO ALFONSO CHACON BOHORQUEZ</t>
  </si>
  <si>
    <t>DEYBY DAVISON LOPEZ DIAZ</t>
  </si>
  <si>
    <t>EDGAR ALEXANDER VEGA CARDOZO</t>
  </si>
  <si>
    <t>JOSE DAYNER ACOSTA LENIS</t>
  </si>
  <si>
    <t>2025/340</t>
  </si>
  <si>
    <t xml:space="preserve"> Casa Rural Arratzain Diseminados Usurbil Barreiatua, 21, 20170 Usurbil, Gipuzkoa</t>
  </si>
  <si>
    <t>contacto: 623460819</t>
  </si>
  <si>
    <t>TOULOUGES</t>
  </si>
  <si>
    <t>23 Rue Baptiste Pasque, Le Soler, Occitania 66270, Francia</t>
  </si>
  <si>
    <t>Florence +33 6 24 70 39 44</t>
  </si>
  <si>
    <t>FREDIS ANTONIO MORELOS COLON</t>
  </si>
  <si>
    <t>C. Cam. De Los Naranjos, 12</t>
  </si>
  <si>
    <t>+34 608 76 37 45~Leyni Castillo</t>
  </si>
  <si>
    <t>RU2025/026/2024/474</t>
  </si>
  <si>
    <t>Prevision 27/06/2025</t>
  </si>
  <si>
    <t>RU2025/026/2025/029</t>
  </si>
  <si>
    <t>Prevision 13/06/2025</t>
  </si>
  <si>
    <t>JUAN GABRIEL GOEZ MESA</t>
  </si>
  <si>
    <t>8 Rue Seguin, Saint-Étienne, Auvernia-Ródano-Alpes 42100, Francia</t>
  </si>
  <si>
    <t>Hamid Slimani +33 7 55 21 11 40</t>
  </si>
  <si>
    <t>CAMBIO DE ALOJAMIENTO, A ESTA HABITACIÒN ENTRARA PEDIDO 93 STOCCO</t>
  </si>
  <si>
    <t>BENJAMIN ALVARO CHILCA ORE</t>
  </si>
  <si>
    <t>ALBERTO DURAN</t>
  </si>
  <si>
    <t>2025/097</t>
  </si>
  <si>
    <t>Luis +34 625 70 75 75</t>
  </si>
  <si>
    <t>pausado 2 semanas</t>
  </si>
  <si>
    <t>ELITON APARECIDO DE ANDRADE</t>
  </si>
  <si>
    <t xml:space="preserve">Salida 17/02/2024// </t>
  </si>
  <si>
    <t>FERNANDO ENRIQUE SALAS ARCO</t>
  </si>
  <si>
    <t>Sale a propio 01-11 C. de Juan María Guelbenzu Kalea, 48, 31005 Pamplona, 2 izquierda Nirza +34 690 95 34 00</t>
  </si>
  <si>
    <t>Calle Barreros, 211, Alberche del Caudillo, Castilla-La Mancha 45695, España</t>
  </si>
  <si>
    <t>Juan Carlos  +34 625 61 09 99</t>
  </si>
  <si>
    <t>44 Rue Saint-Jean, 59100 Roubaix, France</t>
  </si>
  <si>
    <t>Vanessa +33 6 82 27 36 58</t>
  </si>
  <si>
    <t>Plaza Alameda, Talavera de la Reina, Castilla-La Mancha 45600, España</t>
  </si>
  <si>
    <t>Wofy Rooms  +34 623 10 33 26</t>
  </si>
  <si>
    <t>2025/008</t>
  </si>
  <si>
    <t>JOHN JAIRO MORENO MENDIVELSO</t>
  </si>
  <si>
    <t>INOXMIAN SINCE 1987, S.L.U</t>
  </si>
  <si>
    <t>JOSE JAVIER SAAVEDRA POLANIA</t>
  </si>
  <si>
    <t>CARLOS ADRIAN CAMELO CALDERON</t>
  </si>
  <si>
    <t>APTO 315</t>
  </si>
  <si>
    <t>2025/278</t>
  </si>
  <si>
    <t>PTE INFORMACION ALOJAMIENTO PROPIO 18-19 MAYO</t>
  </si>
  <si>
    <t>66 Nord Route nationale, Elne, Occitania 66200, Francia</t>
  </si>
  <si>
    <t>Henri +33 6 61 48 12 75</t>
  </si>
  <si>
    <t>EDUARDO JOSE SEQUEDA CONTRERAS</t>
  </si>
  <si>
    <t>R2025/049/282</t>
  </si>
  <si>
    <t>Reemplazo de JHONY WATSON SIANCAS MORALES</t>
  </si>
  <si>
    <t>1.Hotel mirador /2. Pasa a Fijo Fijo 12/08/24 // C. Benjamín Palencia, 2, portal 3 piso 3 b, 28850 Torrejón de Ardoz, Madrid Erika +34 654 45 37 98 // SALE A PROPIO 14/10</t>
  </si>
  <si>
    <t>2025/289</t>
  </si>
  <si>
    <t>ANDRES FELIPE LOPEZ FONTALVO</t>
  </si>
  <si>
    <t>2025/350</t>
  </si>
  <si>
    <t>2025/322</t>
  </si>
  <si>
    <t>El trabajador Ramiro Enrique Pereira Medina no se presento, la nueva contratación: NOMBRE: Luis Alfonso barrios gomez FECHA DE INICIO: 05/06/2025</t>
  </si>
  <si>
    <t>HELMUT WALTER ROSALES MURILLO</t>
  </si>
  <si>
    <t>OWIN ENRIQUE MORELO GOMEZ</t>
  </si>
  <si>
    <t>2025/297</t>
  </si>
  <si>
    <t>LUIS FERNANDO CAICEDO MOSQUERA</t>
  </si>
  <si>
    <t>EDWAR VARGAS LOPEZ</t>
  </si>
  <si>
    <t>RU2025/024 Para vitoria alojamiento propio</t>
  </si>
  <si>
    <t>FERNANDO VELEZ GIRALDO</t>
  </si>
  <si>
    <t>JULIAN OSWALDO CAMACHO SALAZAR</t>
  </si>
  <si>
    <t>2025/052</t>
  </si>
  <si>
    <t>C. del Comandante Izarduy, 24, 01006 Vitoria-Gasteiz, Álava</t>
  </si>
  <si>
    <t xml:space="preserve"> David  ‪‪+34 670 30 33 66‬‬ </t>
  </si>
  <si>
    <t>fin 13/06</t>
  </si>
  <si>
    <t>Plaza constitucion 8, 3 izquierda</t>
  </si>
  <si>
    <t>Shisly+34 674 81 42 35</t>
  </si>
  <si>
    <t>ROGER HALDER CHILCA LEON</t>
  </si>
  <si>
    <t>R2025/020/016/187</t>
  </si>
  <si>
    <t>MATHEUS RODRIGUEZ JOSE</t>
  </si>
  <si>
    <t>INAGAL SOLDADURA SL</t>
  </si>
  <si>
    <t>PAGO HASTA EL 29/07</t>
  </si>
  <si>
    <t>FERNANDO EMANUEL GUEVARAS</t>
  </si>
  <si>
    <t>renuncia 30-06-25</t>
  </si>
  <si>
    <t>renuncia preaviso 30-06</t>
  </si>
  <si>
    <t>PEDRO DE JESUS DE LA HOZ SALCEDO</t>
  </si>
  <si>
    <t>2025/318</t>
  </si>
  <si>
    <t>PUEDEN VOLVER EL 15/07</t>
  </si>
  <si>
    <t>CARLOS ALBERTO RAMOS URBANO</t>
  </si>
  <si>
    <t>CAMbio de alojamiento</t>
  </si>
  <si>
    <t>GERMAN GASPAR GODOY</t>
  </si>
  <si>
    <t>R2025/021/245</t>
  </si>
  <si>
    <t>AVISAR VIERNES 23-05-2025/ampliar reserva hasta el 30/06</t>
  </si>
  <si>
    <t>Calle San Miguel, 8, Sevilla, 41004, España</t>
  </si>
  <si>
    <t xml:space="preserve"> CSE Holiday Apartments +34 674 73 41 44</t>
  </si>
  <si>
    <t>RHINAU</t>
  </si>
  <si>
    <t>1 Rue de la Forêt-Noire Appartement, Plobsheim, Grand Est 67115, France</t>
  </si>
  <si>
    <t>Arsene +33 7 66 80 32 97</t>
  </si>
  <si>
    <t>2025/261</t>
  </si>
  <si>
    <t>SAS LINCK</t>
  </si>
  <si>
    <t>abandono el trabajo</t>
  </si>
  <si>
    <t>Calle Trinidad 13. 3°izda Mendaro Guipúzcoa</t>
  </si>
  <si>
    <t>2025/291</t>
  </si>
  <si>
    <t>GRAN MECANIZADOS DEL NORTE</t>
  </si>
  <si>
    <t>YESID NIEVA</t>
  </si>
  <si>
    <t>Puente Azud C. Acero, 5, 33460 Avilés, Asturias</t>
  </si>
  <si>
    <t>985550177  Marta</t>
  </si>
  <si>
    <t>cambio de alojamiento salida el 12-08-25</t>
  </si>
  <si>
    <t>plaza Federico García Lorca 77D 1ro 1ra Santa perpetua de Mogoda</t>
  </si>
  <si>
    <t>ALIRIO ORTIZ MOLINA</t>
  </si>
  <si>
    <t>///Sale de alojamiento 15/11 Granollers Isaac albeniz 7 Eva+34 667 23 34 10///Sale alojamiento fijo 09/07///Pension Galicia C/ Riera, 69, 08420 Canovelles, Barcelona</t>
  </si>
  <si>
    <t>JHON EDWARD FONSECA BOHORQUEZ</t>
  </si>
  <si>
    <t xml:space="preserve">Hostal Sant Bernat Ctra. les Feixes, 29-31, 17800 Olot, Girona 972261919 </t>
  </si>
  <si>
    <t>ANDERSON PIMIENTO RAMIREZ</t>
  </si>
  <si>
    <t>CARTA DE RESCISIÓN 16/05/2025</t>
  </si>
  <si>
    <t>VICTOR EDGARDO RAMIREZ GRANDA</t>
  </si>
  <si>
    <t>CARTA DE RESCISIÓN 30/04/2025</t>
  </si>
  <si>
    <t>DUVAN ANDRES BOSIGA SANCHEZ</t>
  </si>
  <si>
    <t>Habitaciones Albero. C. Padre José Navarro, 13, 49800 Toro, Zamora</t>
  </si>
  <si>
    <t>Albero  647006666</t>
  </si>
  <si>
    <t>2025/354</t>
  </si>
  <si>
    <t>MURCIA</t>
  </si>
  <si>
    <t>Calle Profesor Tierno Galván, 23, Lorquí, Región de Murcia 30564, España</t>
  </si>
  <si>
    <t>Maria Angeles +34 615 44 77 03</t>
  </si>
  <si>
    <t>2025/314</t>
  </si>
  <si>
    <t>GRUPO SOLDATEC, SL</t>
  </si>
  <si>
    <t>HECTOR JAIME ROA CONTRERAS</t>
  </si>
  <si>
    <t>RU2025/013/105</t>
  </si>
  <si>
    <t>YEDIN CASTILLO VASQUEZ</t>
  </si>
  <si>
    <t>CERRAJERIA</t>
  </si>
  <si>
    <t>REMY SENNDER FARIAS ACARO</t>
  </si>
  <si>
    <t>2025/305</t>
  </si>
  <si>
    <t>Se cambio sin autorizaciòn hace 2 semanas aprox el 01/07. Se registra cambio el 18/07</t>
  </si>
  <si>
    <t>PASEO DE LAS DELICIAS, 76, 2º IZQUIERDA, 30202, CARTAGENA, MURCIA</t>
  </si>
  <si>
    <t>Pasa Alojamiento fijo 16/07//Posadas España Avenida Luxemburgo, s/n, 30353 Cartagena, España //IMPORTANTE ⚠️Todos los trabajadores se quedarán hasta el día 30/05.///vive en piso cartagena desde diciembre</t>
  </si>
  <si>
    <t>JACOB  699 80 92 03</t>
  </si>
  <si>
    <r>
      <rPr>
        <sz val="11"/>
        <color rgb="FF242424"/>
        <rFont val="Aptos"/>
        <family val="2"/>
      </rPr>
      <t>Herjimar extiende los trabajos hasta el día </t>
    </r>
    <r>
      <rPr>
        <b/>
        <sz val="11"/>
        <color rgb="FF242424"/>
        <rFont val="Aptos"/>
        <family val="2"/>
      </rPr>
      <t>30/09</t>
    </r>
  </si>
  <si>
    <t>JORGE ARMANDO OTALORA CORTES</t>
  </si>
  <si>
    <t>cambiaron de alojamiento 05/10 PASEO DE LAS DELICIAS, 76, 2º IZQUIERDA, 30202, CARTAGENA, MURCIA//IMPORTANTE ⚠️Todos los trabajadores se quedarán hasta el día 30/05.//Herjimar extiende los trabajos hasta el día 30/09</t>
  </si>
  <si>
    <t>IMPORTANTE ⚠️Todos los trabajadores se quedarán hasta el día 30/05.//Herjimar extiende los trabajos hasta el día 30/09</t>
  </si>
  <si>
    <t>HECTOR REYNALDO CHAVEZ</t>
  </si>
  <si>
    <t>2025/275</t>
  </si>
  <si>
    <r>
      <t>Herjimar extiende los trabajos hasta el día </t>
    </r>
    <r>
      <rPr>
        <b/>
        <sz val="11"/>
        <color rgb="FF242424"/>
        <rFont val="Aptos"/>
        <family val="2"/>
        <charset val="1"/>
      </rPr>
      <t>30/09</t>
    </r>
  </si>
  <si>
    <t>CARLOS JULIO MARTINEZ ESPINOSA</t>
  </si>
  <si>
    <t>cambiaron de alojamiento 05/10 PASEO DE LAS DELICIAS, 76, 2º IZQUIERDA, 30202, CARTAGENA, MURCIA//IMPORTANTE ⚠️Todos los trabajadores se quedarán hasta el día 30/05.//Herjimar extiende los trabajos hasta el día 30/09/// carta de renuncia 11/07</t>
  </si>
  <si>
    <t>JONATHAN GONZALO RODRIGUEZ CABEZAS</t>
  </si>
  <si>
    <t>CARLOS ANDRES RINCON USAQUEN</t>
  </si>
  <si>
    <t>Pasa Alojamiento fijo 24/07///Avenida Luxemburgo, s/n, 30353 Cartagena, España /PASEO DE LAS DELICIAS, 76, 2º IZQUIERDA, 30202, CARTAGENA, MURCIA INGRID +34 646 80 06 72 SALE EL 21/11// IMPORTANTE ⚠️Todos los trabajadores se quedarán hasta el día 30/05.//Herjimar extiende los trabajos hasta el día 30/09</t>
  </si>
  <si>
    <t>2025/065</t>
  </si>
  <si>
    <t>IVAN PRADA LOPEZ</t>
  </si>
  <si>
    <t>JORDY ALEXANDER ALVA PAYAC</t>
  </si>
  <si>
    <t xml:space="preserve">HUMBERTO HERRERA GAVIRIA </t>
  </si>
  <si>
    <t>CARTA DE RESCISIÓN 03/07/2025</t>
  </si>
  <si>
    <t>Hotel Costa de la LuzC. Alcalde José María Amo, 8, 21001 Huelva</t>
  </si>
  <si>
    <t>Contacto: 641283855, 959280599</t>
  </si>
  <si>
    <t>Hotel Puerto de Palos Pol. Ind. San Jorge, s/n, 21810 Palos de la Frontera, Huelva</t>
  </si>
  <si>
    <t>contacto: 959090800</t>
  </si>
  <si>
    <t>causarán baja voluntaria, siendo su último día de trabajo el 03/08/2026:</t>
  </si>
  <si>
    <t>FABIAN LLERAR ROA MATEUS</t>
  </si>
  <si>
    <t>ESTANCIA EN CASA TINGUATÓN APT 1 Y 2.  Calle Estrella 42, Aldeanueva de Barbarroya, 45661</t>
  </si>
  <si>
    <t>clara +34 671 67 95 73 César;  +34 653 34 52 40</t>
  </si>
  <si>
    <t>MAL COMPORTAMIENTO EN ALOJMAIENTO SALIDA 02-07-25</t>
  </si>
  <si>
    <t>FRANKLIN ALEXANDER CASSIANI HERRERA</t>
  </si>
  <si>
    <t>1. Calle Roger de Lluria número 6 Urbanización, Can Parellada, Masquefa, Barcelona 08783, España Marian +34 686 83 11 16//2. pasan a fijo 01/08/2024///CARTA DE RESCISIÓN hasta el 28/02/2025</t>
  </si>
  <si>
    <t>todos los operarios finalizan este domingo 26/10/2025.//Salen 01/11Alicia +34 656 43 18 05 Calle Busturbi Kalea, 7 7, Gamarra Nagusia, País Vasco</t>
  </si>
  <si>
    <t>ORLANDO ALFONSO LEÓN VASQUEZ</t>
  </si>
  <si>
    <t>C. de San Francisco de Borja, 9, 50009 Zaragoza</t>
  </si>
  <si>
    <t>Matilde 34 629 44 19 26</t>
  </si>
  <si>
    <t>2025/R07</t>
  </si>
  <si>
    <t>CALDERERIA LAMARCA S.L.</t>
  </si>
  <si>
    <t>03/07/2025 renuncio</t>
  </si>
  <si>
    <t>Calle Covadonga, 11, Sevilla, Andalucía 41010, España</t>
  </si>
  <si>
    <t>Mariano +34 601 50 77 63</t>
  </si>
  <si>
    <t>2025/337</t>
  </si>
  <si>
    <t>Calle Salado, 4 119, Sevilla, Andalucía 41010, España</t>
  </si>
  <si>
    <t>Victoria-Carolina  +34 699 87 92 65</t>
  </si>
  <si>
    <t>Calle Alhondiga, 6 1º A, Sevilla, Andalucía 41003, España</t>
  </si>
  <si>
    <t>Fepece +34 689 67 74 23</t>
  </si>
  <si>
    <t>Calle Vidrio, 23 Bajo, puerta 1, Sevilla, Andalucía 41003, España</t>
  </si>
  <si>
    <t>Esther-Fatima +34 687 47 34 16</t>
  </si>
  <si>
    <t>Calle Santa Vicenta María, 3 2, Sevilla, Andalucía 41002, España</t>
  </si>
  <si>
    <t>Juan Manuel  +34 637 30 97 30</t>
  </si>
  <si>
    <t>carta de resicion hasta el 03/07/2025/// desistio</t>
  </si>
  <si>
    <t>DANNY DANIEL CORREA CAMPOVERDE</t>
  </si>
  <si>
    <t>Calle Gardenia, 48, Planta 3, Puerta D, 41008, Sevilla</t>
  </si>
  <si>
    <t>Raphaelle-Marina +34 919 03 14 04</t>
  </si>
  <si>
    <t>ROBERT SMITH HURTADO RODRIGUEZ</t>
  </si>
  <si>
    <t>FINALIZO 04/07//Pasan Alojamiento fijo 28/06///Ca La Gràcia  5 Plaça la Plaça, 08650 Cabrianas, España/// Finaliza el 20/06/25</t>
  </si>
  <si>
    <t>NELSON RIAÑO VARGAS</t>
  </si>
  <si>
    <t>2024/441</t>
  </si>
  <si>
    <t>RACKS &amp; NETWORKING SOLUTIONS SL</t>
  </si>
  <si>
    <t>HARLYS ENRIQUE DOMINGUEZ ALGARIN</t>
  </si>
  <si>
    <t>CARTA DE RESCISION 15/07</t>
  </si>
  <si>
    <t>Carrer del Cid, 15, Castalla, Comunidad Valenciana 03420, España</t>
  </si>
  <si>
    <t>Roman +34 666 42 19 31</t>
  </si>
  <si>
    <t>2025/RU029</t>
  </si>
  <si>
    <t>vuelven a alojmaiento de Nadja el 20/08/25 ya esta pago/ CAMBIO DE ALOJAMIENTO</t>
  </si>
  <si>
    <t>DAVID ENRIQUE BUZON ARIAS</t>
  </si>
  <si>
    <t>C. San Pedro, 2, 2 h, 26300 Nájera, La Rioja</t>
  </si>
  <si>
    <t>Contacto: ‪‪‪ ‪: +34 638 61 96 76</t>
  </si>
  <si>
    <t>ELECTRICIDAD ROJO LOPEZ S.L</t>
  </si>
  <si>
    <t>FINALIZADO EL 04/07</t>
  </si>
  <si>
    <t>Av. de Toledo, 1, 45570 El Puente del Arzobispo, Toledo</t>
  </si>
  <si>
    <t>Contacto: 925436108</t>
  </si>
  <si>
    <t>ERICK DAVID ALEGRIA GRANJA</t>
  </si>
  <si>
    <t>WISE2025/006</t>
  </si>
  <si>
    <t>JHON EDER CASTRO MONTAÑO</t>
  </si>
  <si>
    <t>2025/R059</t>
  </si>
  <si>
    <t>ALEXANDER ALONSO ROMERO</t>
  </si>
  <si>
    <t>Hotel El Hórreo de Avilés C. de Llaranes Viejo, 8, 33460 Avilés, Asturias</t>
  </si>
  <si>
    <t>Javier 616097205</t>
  </si>
  <si>
    <t xml:space="preserve">GABRIEL OCHOA GAITAN </t>
  </si>
  <si>
    <t>vuelven donde Nadja el 19/12/Prevision hasta el 31/12/2025</t>
  </si>
  <si>
    <t>Cambio de alojamiento a fijo Lleida donde jeferson Zuluaga</t>
  </si>
  <si>
    <t>Uba Hostel Uba Bidea, 43, 20014 Donostia, Gipuzkoa</t>
  </si>
  <si>
    <t>METALMANT S.L</t>
  </si>
  <si>
    <t>NEIDER ALEXANDER MONTERO PAEZ</t>
  </si>
  <si>
    <t>2025/262</t>
  </si>
  <si>
    <t>Residencia Villa Marina Viale della Pace 465 48122 Marina di Ravenna (RA)</t>
  </si>
  <si>
    <t>2025/348</t>
  </si>
  <si>
    <t xml:space="preserve"> 43760 El Morell Tarragona, España</t>
  </si>
  <si>
    <t>2025/066</t>
  </si>
  <si>
    <t xml:space="preserve"> SORIGUE</t>
  </si>
  <si>
    <t>APTO 329/// Ultimo dia de trabajo 04/07/25</t>
  </si>
  <si>
    <t>APTO 347/// ultimo dia de trabajo 04/07/25</t>
  </si>
  <si>
    <t>EDWING ORTEGA BOSSIO</t>
  </si>
  <si>
    <t>APTO 111/// ultimo dia de trabajo 04/07/25</t>
  </si>
  <si>
    <t>C. Cuchillería, 67, 01001 Vitoria-Gasteiz, Álava</t>
  </si>
  <si>
    <t>Dana 34 666 20 63 41</t>
  </si>
  <si>
    <t>fue reubicado al pedido R/160 IINICIA 03/11//Debido a los problemas con el visado hoy es el último día de los operarios 13/10</t>
  </si>
  <si>
    <t>JARULESKI SCOTINNI ALVARADO GUZMAN</t>
  </si>
  <si>
    <t>Debido a los problemas con el visado hoy es el último día de los operarios 13/10</t>
  </si>
  <si>
    <t>WILSON FLORES ROMERO</t>
  </si>
  <si>
    <t>CESAR GABRIEL TORRES MONTAÑEZ</t>
  </si>
  <si>
    <t>Sol y Playa Duplex Av. de Francisco José Balada, 57, 12500 Vinaròs, Castellón</t>
  </si>
  <si>
    <t xml:space="preserve"> Yolanda ‪+34 636 37 59 42</t>
  </si>
  <si>
    <t>REVERTER INDUSTRIES SL</t>
  </si>
  <si>
    <t>JHON JAIRO PAREJA JARAMILLO</t>
  </si>
  <si>
    <t>SAIR PERALTA GARCÍA</t>
  </si>
  <si>
    <t>2025/102</t>
  </si>
  <si>
    <t>2025/193</t>
  </si>
  <si>
    <t>RAYMOND JOSE GARRIDO FERRER</t>
  </si>
  <si>
    <t>PROYECTO FINALIZADO 30/05///Se paga alojamiento hasta que lo reubiquen1. HOTEL ALFINDEN - Barrionuevo, 45, 50171 la puebla de alfinde, España / 2. Al Fijjo 20/08/2024</t>
  </si>
  <si>
    <t>CARLOS JESUS ESCUDERO LUNA</t>
  </si>
  <si>
    <t>cambio de alojamiento de Passatge de Ferran Llàcer, 18, 3° puerta 1" 08208 Sabadell 21/01/</t>
  </si>
  <si>
    <t>Carrer d'en Mediona, 32, Tarragona, Catalunya 43003</t>
  </si>
  <si>
    <t>Defav +34 604 94 36 15</t>
  </si>
  <si>
    <t>se queda hasta el día 13/06, fecha fin prevista.// Prorroga con propietario hasta el día 15 de junio 2025// finalizarán los trabajos en planta hasta el viernes 6 de junio, se retomarán los trabajos en esta ubicación hasta la semana 26 o 27.</t>
  </si>
  <si>
    <t>NELSON ALBEIRO PIRACON CELY</t>
  </si>
  <si>
    <t>C. Santiago, 1, 26500 Calahorra, La Rioja</t>
  </si>
  <si>
    <t>Viotria Castillo  ‪‪34 620 71 63 47‬‬</t>
  </si>
  <si>
    <t>AYRTAC MAQUINARA SL</t>
  </si>
  <si>
    <t>125 Rue Voltaire, 62100 Calais, Francia</t>
  </si>
  <si>
    <t>Jean Charles +33 6 19 51 95 13</t>
  </si>
  <si>
    <t>CALLE PRESIDENTE LEOPOLDO CALVO SOTELO NÙMERO 17-19 PISO PRIMERO C</t>
  </si>
  <si>
    <t>David Martinez Cuadra +34630901707</t>
  </si>
  <si>
    <t>INOXIDABLES DE MEDINA S.L</t>
  </si>
  <si>
    <t>MES DE JULIO PAGO/ ME DE AGOSTO PAGO 24/07</t>
  </si>
  <si>
    <t>Electrodinamic Joan SL, nos informa que el siguiente operario finaliza hoy lunes 15/09/2025:</t>
  </si>
  <si>
    <t>LEORNARDO RAUL ROJAS</t>
  </si>
  <si>
    <t>2026/R206</t>
  </si>
  <si>
    <t xml:space="preserve">COMESA SL </t>
  </si>
  <si>
    <t>Informa Alex por correo 30/06/26 hoy será su último día de trabajo.''</t>
  </si>
  <si>
    <t>ELBIS ROMERO MEJIA</t>
  </si>
  <si>
    <t>2026/R-0224</t>
  </si>
  <si>
    <t>Motivo: Solo sabe soldar TIG. Notas extra: Último día: 21/08/2026</t>
  </si>
  <si>
    <t>JOSE LEONARDO CALDERON MANZANO</t>
  </si>
  <si>
    <t>2025/575</t>
  </si>
  <si>
    <t>Informan hoy 08/07: La finalización se produjo el 26/06/2026.//El cliente le paro actividades por documentaciòn 27/06</t>
  </si>
  <si>
    <t>GRAVIEL ISIDRO DIAZ OROPEZA</t>
  </si>
  <si>
    <t>C. San Matías, 7, 26004 Logroño, La Rioja</t>
  </si>
  <si>
    <t>Diana +34 625 40 76 26</t>
  </si>
  <si>
    <t>2025/R10</t>
  </si>
  <si>
    <t>Finaliza el 09/07</t>
  </si>
  <si>
    <t>MAGUEY MAURICIO MUÑOZ CARDENAS</t>
  </si>
  <si>
    <t>2025/352</t>
  </si>
  <si>
    <t>c/Concepción no22 2 BAJO. Toro</t>
  </si>
  <si>
    <t>Cristian Fusalba Fernández +34 645 04 27 29</t>
  </si>
  <si>
    <t>Pl. Mayor, 8, 49836 Tagarabuena, Zamora</t>
  </si>
  <si>
    <t>Virginia +34 691 55 77 62</t>
  </si>
  <si>
    <t>Alojamientopagohasta el 10/07/2025 se salio desde el 09/06 sin avisar</t>
  </si>
  <si>
    <t>2025/R053</t>
  </si>
  <si>
    <t>FINALIZA 11-07-25</t>
  </si>
  <si>
    <t>Pensión Astigarraga Oialume Bidea, 28, 20115 Astigarraga, Gipuzkoa</t>
  </si>
  <si>
    <t>Contacto: 943311600, +34 688 64 35 10</t>
  </si>
  <si>
    <t>cambian de alojamiento</t>
  </si>
  <si>
    <t>2025/309</t>
  </si>
  <si>
    <t>DBIZ INSTALACIONES Y SERVICIOS INDUSTRIALES S.L</t>
  </si>
  <si>
    <t>ALEXANDER SUAREZ PULGAR</t>
  </si>
  <si>
    <t>Rúa Manolo Martínez, 12, 2ºa, Coia, 36210 Vigo, Pontevedra</t>
  </si>
  <si>
    <t xml:space="preserve"> Maika +34 695 19 50 48</t>
  </si>
  <si>
    <t>2025/091</t>
  </si>
  <si>
    <t>UCALSA INDUSTRIAL VIGO S.L.</t>
  </si>
  <si>
    <t>JUAN DAVID ALTAMAR CHIQUILLO</t>
  </si>
  <si>
    <t>BLADIMIR JOSE FAJARDO CANO</t>
  </si>
  <si>
    <t>Av. do Fragoso, 36, Coia, 36210 Vigo, Pontevedra</t>
  </si>
  <si>
    <t>GONZALO JAVIER CERON GARCIA</t>
  </si>
  <si>
    <t>DARWIN TORRES CRESPO</t>
  </si>
  <si>
    <t>2025/080</t>
  </si>
  <si>
    <t>JOSE ERMOGENES BARRIENTOS DÍAS</t>
  </si>
  <si>
    <t>Rúa de Venezuela, 36, 5 D, Santiago de Vigo, 36203 Vigo, Pontevedra</t>
  </si>
  <si>
    <t>CRISTIAN DAVID MARÍN ZAPATA</t>
  </si>
  <si>
    <t>2025/R09</t>
  </si>
  <si>
    <t>ANDY JAVIER BARBOZA LEDESMA</t>
  </si>
  <si>
    <t>2025/R18</t>
  </si>
  <si>
    <t>UCALSA LASER S.L</t>
  </si>
  <si>
    <t>1. Hotel mirador/ 2. Pasa a Fijo Fijo 12/08/24</t>
  </si>
  <si>
    <t>1.Hotel mirador /2. Pasa a Fijo Fijo 12/08/24</t>
  </si>
  <si>
    <t>Marcelo informa que terminan hoy 07/01</t>
  </si>
  <si>
    <r>
      <t>Ricobayo </t>
    </r>
    <r>
      <rPr>
        <sz val="11"/>
        <color rgb="FF242424"/>
        <rFont val="Aptos"/>
        <family val="2"/>
        <charset val="1"/>
      </rPr>
      <t>hasta el día 06/06.</t>
    </r>
    <r>
      <rPr>
        <b/>
        <sz val="11"/>
        <color rgb="FF242424"/>
        <rFont val="Aptos"/>
        <family val="2"/>
        <charset val="1"/>
      </rPr>
      <t>RESCISION 14-07-25</t>
    </r>
  </si>
  <si>
    <r>
      <t>Ricobayo </t>
    </r>
    <r>
      <rPr>
        <sz val="11"/>
        <color rgb="FF242424"/>
        <rFont val="Aptos"/>
        <family val="2"/>
        <charset val="1"/>
      </rPr>
      <t>hasta el día 06/06.</t>
    </r>
  </si>
  <si>
    <t>HARLIM YAIR SILVA MIRANDA</t>
  </si>
  <si>
    <t>APTO 111//12-07</t>
  </si>
  <si>
    <t>FRANKY EXNEIDER ORDUZ NIÑO</t>
  </si>
  <si>
    <t>APTO 347. 12/07/2025</t>
  </si>
  <si>
    <t>ELKIN GIOVANNI VALENZUELA DIAZ</t>
  </si>
  <si>
    <t>finaliza proyecto 17-06</t>
  </si>
  <si>
    <t>2025/345</t>
  </si>
  <si>
    <t>JEAN CARLOS BARROS ARDILA</t>
  </si>
  <si>
    <t>EDSON MIULLER SANTANA ERAZO</t>
  </si>
  <si>
    <t>Hostal Niza Pl. la Soleá, 7, 21610 San Juan del Puerto, Huelva</t>
  </si>
  <si>
    <t>CONTACTO 959356754</t>
  </si>
  <si>
    <t>TALLERES UMACO S.L</t>
  </si>
  <si>
    <t xml:space="preserve">EDWIN ALBERTO HINESTROZA  </t>
  </si>
  <si>
    <t>RICHARD PILCO ATENCIO</t>
  </si>
  <si>
    <t>R2025/032/267</t>
  </si>
  <si>
    <t>FABIAN JARAMILLO MARIN</t>
  </si>
  <si>
    <t>Carretera sabadell 74 08191 Rubí (Barcelona)</t>
  </si>
  <si>
    <t>Rafael Homs brustenga Rubi +34 601 09 06 67</t>
  </si>
  <si>
    <t>JOSE CARLOS CARRASCAL LIDUEÑAS</t>
  </si>
  <si>
    <t>RAFAEL CALDERÓN CAVIEDES</t>
  </si>
  <si>
    <t>ARLEY GUTIERREZ CORREDOR</t>
  </si>
  <si>
    <t>finaliza 14-07</t>
  </si>
  <si>
    <t>finaliza 14/07</t>
  </si>
  <si>
    <t xml:space="preserve">calle sanlucar de Guadiana 38,1B  </t>
  </si>
  <si>
    <t>PEDRO +34 617 14 09 89</t>
  </si>
  <si>
    <t>Pedido cancelado</t>
  </si>
  <si>
    <t>RAFAEL CALDERON CAVIEDES</t>
  </si>
  <si>
    <t>2025/312</t>
  </si>
  <si>
    <t>abandonaron el hotel el 12-06</t>
  </si>
  <si>
    <t>My room Monzon Calle Paúles núm 12 Monzón</t>
  </si>
  <si>
    <t>+34 634 10 82 22 ~Carina Miranda</t>
  </si>
  <si>
    <t>2025/279</t>
  </si>
  <si>
    <t>38€ POR NOCHE. El alojamiento esta pago hasta el 14/07. Cambio de alojamiento se registra al 14/07</t>
  </si>
  <si>
    <t>Apartamentos La Tata C. San Lorenzo, 2, 33460 Avilés, Asturias</t>
  </si>
  <si>
    <t>Contacto: 696249547</t>
  </si>
  <si>
    <t>ALVARO JUNIOR CERVANTES MELENDEZ</t>
  </si>
  <si>
    <t>R2025/026/123</t>
  </si>
  <si>
    <t>finaliza 14/07///Carretera de Burgos a Portugal, 119, 47194, Valladolid // C. Tierra del Pan 47010 Valladolid Angela +34 666 01 56 84 //C. Tierra del Pan 47010 Valladolid // Angela +34 666 01 56 84 //Hostal Becares // Hostal Restaurante Ceres Pl. España, 12, 34220 Magaz de Pisuerga,Palencia 
C. Cardenal Almaraz, 21, 34005 Palencia</t>
  </si>
  <si>
    <t>JOSE LEONARDO MENESES LOPEZ</t>
  </si>
  <si>
    <t>RESCISION 12-07</t>
  </si>
  <si>
    <t>C. Campoamor, 77, 30010 Murcia</t>
  </si>
  <si>
    <t>Grupo Soldatec +34 676 91 20 31</t>
  </si>
  <si>
    <t>Alojamiento del cliente. Salida 14/07/2025</t>
  </si>
  <si>
    <t>JHON JAIRO ADRIANZEN MEDRANO</t>
  </si>
  <si>
    <t>RESCISION 15/07/25</t>
  </si>
  <si>
    <t>CARTA RESCISION 15/07/25</t>
  </si>
  <si>
    <t>2025/R055</t>
  </si>
  <si>
    <t>SALIDA 15/07/25</t>
  </si>
  <si>
    <t>Granollers, calle Cristobal Colón 10  ENT 3ª</t>
  </si>
  <si>
    <t>D. Alejandro Martín +34 684 73 32 31</t>
  </si>
  <si>
    <t>Pasa alojamiento propio esta habitaciòn ser apara el pedido 368 Bachiller</t>
  </si>
  <si>
    <t>JOSE JHON JAIRO FELIX LONDOÑO</t>
  </si>
  <si>
    <t>2024/030</t>
  </si>
  <si>
    <t>Pausado por temas de documentaciòn 27/06/25///C/Acella, 2-bis (frente a Clinica Universitaria),Pasan 07/03 alojamiento fijo Carlos///</t>
  </si>
  <si>
    <t>JOSE ANTONIO CASTRO BALANTA</t>
  </si>
  <si>
    <t>HAYDER RAFAEL DIAZ MANAURE</t>
  </si>
  <si>
    <t>Plaça d'Andalusia, 7, Escalera nº2, 17007 Germans Sàbat, apartamento 13 Girona</t>
  </si>
  <si>
    <t xml:space="preserve">Fecha Efectiva de Baja (Salida): 21/08/2026. Motivo: Finalización de los trabajos. La fecha había sido notificada en la creación del pedido.
Fecha Efectiva de Baja (Salida): 21/08/2026. Motivo: Finalización de los trabajos. La fecha había sido notificada en la creación del pedido.
</t>
  </si>
  <si>
    <t>JUAN QUINTANA DE AVILA</t>
  </si>
  <si>
    <t>2025/395</t>
  </si>
  <si>
    <t>finalizan hoy 20/05 su servicio con el cliente Comesa.</t>
  </si>
  <si>
    <t>RANDDY ELIECER GAVIRIA RODRÍGUEZ</t>
  </si>
  <si>
    <t>HOTEL BALAGUER LA BANQUETA 7</t>
  </si>
  <si>
    <t>2025/R20</t>
  </si>
  <si>
    <t>CALDERERIA LA NOGUERA, SLU</t>
  </si>
  <si>
    <t>FELIPE OQUENDO CALLEJAS</t>
  </si>
  <si>
    <t>2025/R020</t>
  </si>
  <si>
    <t>Habitación - Yoladis Cecilia Naranjo Acero</t>
  </si>
  <si>
    <t>Yoladis</t>
  </si>
  <si>
    <t>MANUFACTURES DFERRO SLU</t>
  </si>
  <si>
    <t>a partir de mañana 24/07, el operario Pedro Nel Villero dejará de prestar sus servicios en nuestra empresa.</t>
  </si>
  <si>
    <t>CARLOS ANDRES GONZALEZ GUTIERREZ</t>
  </si>
  <si>
    <t>C. María de Molina, 22, 47001 Valladolid</t>
  </si>
  <si>
    <t>Conchi +34 686 92 14 14</t>
  </si>
  <si>
    <t>2025/092</t>
  </si>
  <si>
    <t>DAVID GUSTAVO DE LOS ANGELES  PATIÑO RAMOS</t>
  </si>
  <si>
    <t>RESCISION 22-07-25</t>
  </si>
  <si>
    <t>2025/369</t>
  </si>
  <si>
    <t>Hostal 3 de noviembre C/mancornador, 18, 34001</t>
  </si>
  <si>
    <t>contacto 979703042</t>
  </si>
  <si>
    <t>2025/079</t>
  </si>
  <si>
    <t>TALLERES NORBERTO MARCOS SA</t>
  </si>
  <si>
    <t>EDWIN BERNAL ARCINIEGAS</t>
  </si>
  <si>
    <t>Hotel Goya Lleida Carrer Alcalde Costa, 9, 25002 Lleida</t>
  </si>
  <si>
    <t>Cambio de alojamiento/ Prevision hasta el 31 de Diciembre de 2025//</t>
  </si>
  <si>
    <t>contacto:  +34 640 56 07 39</t>
  </si>
  <si>
    <t>2025/375</t>
  </si>
  <si>
    <t>Restaurante - Hostal - Casa Atila Ctra. Alcañices, 88, 49165 Ricobayo, Zamora</t>
  </si>
  <si>
    <t>contacto:  655 34 98 44</t>
  </si>
  <si>
    <t>FINALIZAR EL 18/05 CAMBIA DE ALOJAMIETO</t>
  </si>
  <si>
    <t>2025/306</t>
  </si>
  <si>
    <t>RESCISION 16/07/25</t>
  </si>
  <si>
    <t>2024/491</t>
  </si>
  <si>
    <t>TRABAJA EL 16-07-25</t>
  </si>
  <si>
    <t>Cambio de alojamiento /Prevision hasta el 31 de Diciembre de 2025//</t>
  </si>
  <si>
    <t>MARIO ANDRES SUAREZ ACOSTA</t>
  </si>
  <si>
    <t>MOISES ESTUPINAN SANCHEZ</t>
  </si>
  <si>
    <t>2025/207</t>
  </si>
  <si>
    <t>Esta semana se finalizarán los trabajos en planta hasta el viernes 6 de junio/ se retomarán los trabajos en esta ubicación hasta la semana 26 o 27.//Fecha de inicio en obra(Toulouges, Francia): lunes 16/06/2025</t>
  </si>
  <si>
    <t>29 Rue Richard de Foulon, Langres, Grand Est 52200, Francia</t>
  </si>
  <si>
    <t>Florence +33 6 83 82 63 57</t>
  </si>
  <si>
    <t>RESCISION 16-07</t>
  </si>
  <si>
    <t xml:space="preserve">Eulogio Serdan Kalea, 19, 01012 Vitoria-Gasteiz – Alava </t>
  </si>
  <si>
    <t>Cristina ‪+34 674 70 47 72</t>
  </si>
  <si>
    <t> Apartamentos Puerta del Sur C. El Compás, s/n, 41014 Bellavista, Sevilla</t>
  </si>
  <si>
    <t>contacto:  954693808</t>
  </si>
  <si>
    <t>Rue d'Auvergne, 57970 Yutz, France</t>
  </si>
  <si>
    <t>Takouo +352 671 071 988</t>
  </si>
  <si>
    <t>RUBEN PONCE PABLO</t>
  </si>
  <si>
    <t>38€ POR NOCHE. Renuncia preaviso hasta 17/07</t>
  </si>
  <si>
    <t>JORGE EDUARDO VARGAS CASTAÑEDA</t>
  </si>
  <si>
    <t>Calle Andalucia nº7,1º1ª Escalera nº2,Girona 3</t>
  </si>
  <si>
    <t>2026/R-0227</t>
  </si>
  <si>
    <t>INTUYMA</t>
  </si>
  <si>
    <t>Motivo: Motivo de salida: No quiere desplazarse por su cuenta y está exigiendo condiciones que están fuera de lo acordado con él en el momento inicial de la contratación.</t>
  </si>
  <si>
    <t>EDWIN ROMARIO RODRIGUEZ SANABRIA</t>
  </si>
  <si>
    <t>SEGOVIA</t>
  </si>
  <si>
    <t>Calle Fray Sebastián 26, Nava de la Asunción, Castilla y León 40450, España</t>
  </si>
  <si>
    <t>Lauro +34 658 38 02 09</t>
  </si>
  <si>
    <t>WISE2025/005</t>
  </si>
  <si>
    <t>Contacto 954693808</t>
  </si>
  <si>
    <t>finzaliza 18-07</t>
  </si>
  <si>
    <t>Remiro Goñi 8-1C Pamplona, Navarra</t>
  </si>
  <si>
    <t>Renuncia 31/03/2025///Previsiones hasta Fecha: 24/04/2026//trabajaran al menos un mes más hasta el 31/10/2025.
//PUEDEN VOLVER EL 15/07//Los trabajadores se quedan hasta el día 31/08, hay posibilidad de ampliar esta fecha.</t>
  </si>
  <si>
    <t>FINALIZA 18/07</t>
  </si>
  <si>
    <t>CARLOS GIOVANNY RONDEROS VEGA</t>
  </si>
  <si>
    <t>HIERROS Y ESTRUCTURAS SEGORBE SL</t>
  </si>
  <si>
    <t>SAUL RONDEROS VEGA</t>
  </si>
  <si>
    <t>ANDERSSON DENILSON GOMEZ ASCENSIO</t>
  </si>
  <si>
    <t>R2025/019/025</t>
  </si>
  <si>
    <t>PAULO CESAR GOMEZ NAVARRETE</t>
  </si>
  <si>
    <t xml:space="preserve"> Hotel Don Pelayo Avinguda Mossèn Jacinto Verdaguer, 58-62, 43720 L'Arboç, Tarragona</t>
  </si>
  <si>
    <t>2025/277</t>
  </si>
  <si>
    <t>ALUMINIO YACHT COSTA SL.</t>
  </si>
  <si>
    <t>FECHA DE TERMINACION 30/04/2025</t>
  </si>
  <si>
    <t>Hotel Restaurante La PePa C/ Zinc nº 46 ( Pol. Empresarial)33400- AVILES</t>
  </si>
  <si>
    <t>Joakin +34 682 28 43 61</t>
  </si>
  <si>
    <t>Hotel Don Pelayo Avinguda Mossèn Jacinto Verdaguer, 58-62, 43720 L'Arboç, Tarragona</t>
  </si>
  <si>
    <t>R2025/040/277</t>
  </si>
  <si>
    <t>los trabajadores que estan activos en este cliente se quedaran hasta el dia 30/06 con posibilidad de prorrogar esta fecha.</t>
  </si>
  <si>
    <t>FINALIZA 18-07-25</t>
  </si>
  <si>
    <t>GUEDANT</t>
  </si>
  <si>
    <t>RU001/090</t>
  </si>
  <si>
    <t>RESCISION 19-07</t>
  </si>
  <si>
    <t>EFRAIN DARIO SIMANCAS DAZA</t>
  </si>
  <si>
    <t>2024/349</t>
  </si>
  <si>
    <t>Trasladado a Alicante el cliente cubre alojamiento semana 16/12. Cambio de proyecto</t>
  </si>
  <si>
    <t>2025/R074</t>
  </si>
  <si>
    <t>2025/328</t>
  </si>
  <si>
    <t>CAMILO ANDRES DUEÑAS NIÑO</t>
  </si>
  <si>
    <t>CANARIAS</t>
  </si>
  <si>
    <t>C. Benecharo, 17, 35009 Las Palmas de Gran Canaria, Las Palmas</t>
  </si>
  <si>
    <t>Contacto: ‪ + (34) 828011860 + (34) 682522775</t>
  </si>
  <si>
    <t>TALLERES RO-DA-JE SL</t>
  </si>
  <si>
    <t>PEDIDO TERMINA EL 18-07-25</t>
  </si>
  <si>
    <t>JAVIER HUMBERTO PARRA CORREA</t>
  </si>
  <si>
    <t>JESUS ENRIQUE ARIAS HERNANDEZ</t>
  </si>
  <si>
    <t>JUAN CARLOS VILLANUEVA DE LA HOZ</t>
  </si>
  <si>
    <t>WILSON CHUQUIVIGUEL BRICEÑO</t>
  </si>
  <si>
    <t>C. Cabezas Rubias, 30, 21007 Huelva</t>
  </si>
  <si>
    <t>Antonio 34 692 69 05 25</t>
  </si>
  <si>
    <t>MONTAJES METALICOS FAYSOL</t>
  </si>
  <si>
    <t>FINALIZAN EL 10/07</t>
  </si>
  <si>
    <t>4 Rue Eustache Lesueur, Perpignan, Occitania 66000, Francia</t>
  </si>
  <si>
    <t>Flavien +33 6 37 50 89 79</t>
  </si>
  <si>
    <t>SALE A ALOJAMIENTO PROPIO24-07-25. Pago hasta el 31-07-25</t>
  </si>
  <si>
    <t xml:space="preserve"> 29 Carrer Verge dels Desemparats, 03660 Novelda, España</t>
  </si>
  <si>
    <t>+34 637 52 70 26</t>
  </si>
  <si>
    <t>2025/071</t>
  </si>
  <si>
    <t xml:space="preserve">del 17/04/2025 al 22/04/2025 viajan donde sus familiares estan en vacaciones </t>
  </si>
  <si>
    <t>C. Isaac Peral, 19-b, 39008 Santander, Cantabria</t>
  </si>
  <si>
    <t>DEGIMA</t>
  </si>
  <si>
    <r>
      <rPr>
        <sz val="12"/>
        <color rgb="FF305496"/>
        <rFont val="Aptos"/>
        <family val="2"/>
      </rPr>
      <t>finalizaran su labor con el cliente el próximo </t>
    </r>
    <r>
      <rPr>
        <b/>
        <sz val="12"/>
        <color rgb="FF305496"/>
        <rFont val="Aptos"/>
        <family val="2"/>
      </rPr>
      <t>17/09/2025</t>
    </r>
    <r>
      <rPr>
        <sz val="12"/>
        <color rgb="FF305496"/>
        <rFont val="Aptos"/>
        <family val="2"/>
      </rPr>
      <t xml:space="preserve">.//Último día de trabajo: 17/09/2025
</t>
    </r>
  </si>
  <si>
    <t>NEIRON ENRIQUE CARCAMO REALES</t>
  </si>
  <si>
    <t>CORILANO ALFREDO ROJAS MURILLO</t>
  </si>
  <si>
    <t>IMARTEC ENERGIA S.L</t>
  </si>
  <si>
    <t>FINALIZA DOMINGO 06-07</t>
  </si>
  <si>
    <t>SALIO ALOJAMIENTO PROPIO SIN AVISAR /Último día de trabajo: 24/07/2025</t>
  </si>
  <si>
    <r>
      <rPr>
        <b/>
        <sz val="11"/>
        <color rgb="FF242424"/>
        <rFont val="inherit"/>
      </rPr>
      <t>Último día de trabajo:</t>
    </r>
    <r>
      <rPr>
        <sz val="11"/>
        <color rgb="FF242424"/>
        <rFont val="Aptos"/>
        <family val="2"/>
      </rPr>
      <t> 24/07/2025</t>
    </r>
  </si>
  <si>
    <t>R2025/041/265</t>
  </si>
  <si>
    <t>JOSELIN GUZMAN CARRANZA</t>
  </si>
  <si>
    <t>2025/233</t>
  </si>
  <si>
    <t>CARTA DE RESCISIÓN 11/06/25</t>
  </si>
  <si>
    <t>Hotel Villalegre C. Sta. Apolonia, 60, 33403 Avilés, Asturias</t>
  </si>
  <si>
    <t>Contacto: 985572728</t>
  </si>
  <si>
    <t>NICOLAS MIGUEL PEDRAZA MENDOZA</t>
  </si>
  <si>
    <t>2025/382</t>
  </si>
  <si>
    <t>Cambio de alojammiento</t>
  </si>
  <si>
    <t>PEDRO SALGUERO CASTIBLANCO</t>
  </si>
  <si>
    <t>C. de Llaranes Viejo, 8, 33460 Avilés, Asturias 616097205</t>
  </si>
  <si>
    <t>culminaciòn 28/03///C. de Llaranes Viejo, 8, 33460 Avilés, Asturias 616097205</t>
  </si>
  <si>
    <t>HOSTAL PLAZA GRAN BAR Pl. Virgen del Amparo, 2, 23770 Marmolejo, Jaén</t>
  </si>
  <si>
    <t>953 540156</t>
  </si>
  <si>
    <t>2025/397</t>
  </si>
  <si>
    <t>Cambio de alojamineto</t>
  </si>
  <si>
    <t>JUAN GUILLERMO ZUÑIGA MAYOR</t>
  </si>
  <si>
    <t>ELVIN AXEL POLO MANZANO</t>
  </si>
  <si>
    <t>MARCO ANTONIO CRISTOBAL CALERO</t>
  </si>
  <si>
    <t>FECHA FIN PREVISTA: 31/07/2025// CAMBIO DE ALOJAMIENTO</t>
  </si>
  <si>
    <t>Casa Rural la Quinteria de Sancho  C. Pasos, 29, 13710 Argamasilla de Alba, Ciudad Real</t>
  </si>
  <si>
    <t>RU2025/263/029</t>
  </si>
  <si>
    <t>No hay trabajadores alojados ahi llame ampliar la reserva</t>
  </si>
  <si>
    <t>ÁNGELO PAUL VALLADOLID MOGOLLON</t>
  </si>
  <si>
    <t>OSCAR LAZO GABRIEL CARGO</t>
  </si>
  <si>
    <t>CESAR AUGUSTO ARCE GOMEZ</t>
  </si>
  <si>
    <t>FINALIZA SABADO 12-07</t>
  </si>
  <si>
    <t>2025/349</t>
  </si>
  <si>
    <t>FECHA FIN 30/07</t>
  </si>
  <si>
    <t>APTOS. "BEKOERROTA" UGARANA BEKOA, 2 20217 GABIRIA</t>
  </si>
  <si>
    <t>Agustin +34 639238889</t>
  </si>
  <si>
    <t>RU2025/023/2025/001</t>
  </si>
  <si>
    <t>RU2025/023/R2025/011/001</t>
  </si>
  <si>
    <t>RU2025/023/2025/002</t>
  </si>
  <si>
    <t>2025/299</t>
  </si>
  <si>
    <t>MIGUEL SUMIRE ROA</t>
  </si>
  <si>
    <t>JUAN BERNARDO PALACIOS RUIZ</t>
  </si>
  <si>
    <t>O Carballiño, C/Circunvalaciòn del parque, Nº1- Piso 5 G</t>
  </si>
  <si>
    <t>EDDER CARLOS ATENCIO VILLANUEVA</t>
  </si>
  <si>
    <t>2025/006</t>
  </si>
  <si>
    <r>
      <rPr>
        <sz val="10"/>
        <color rgb="FF305496"/>
        <rFont val="Calibri"/>
        <family val="2"/>
      </rPr>
      <t xml:space="preserve">El trabajador </t>
    </r>
    <r>
      <rPr>
        <sz val="10"/>
        <color rgb="FF4472C4"/>
        <rFont val="Aptos"/>
        <family val="2"/>
      </rPr>
      <t>Edder Carlos Atencio Villanueva finaliza en el cliente Grupo Ferreras hoy día 16/04.</t>
    </r>
  </si>
  <si>
    <t>DORIEDSON E SILVA SANTANA</t>
  </si>
  <si>
    <t>se trasalada a piso 01/07///Se traslada a la habitaciòn Raiza 26/02// 15/03 se traslada habitaciòn Josè Rua a Granxa, 50, 32005 Ourence</t>
  </si>
  <si>
    <t>ALBERTO CCENHUA MICHCA</t>
  </si>
  <si>
    <t>SEVERO PABON CASTRO</t>
  </si>
  <si>
    <t>JAN CESAR VILLEGAS MOSCOTE</t>
  </si>
  <si>
    <t>JEAN CARLO GARCIA GARCIA</t>
  </si>
  <si>
    <t>calle rossello 11 de Granollers</t>
  </si>
  <si>
    <t>2025/007</t>
  </si>
  <si>
    <t>CAMBIO DE ALOJAMIENTO A PROPIO PASARA FRANCISCO ALBERTO OCHOA</t>
  </si>
  <si>
    <t>El trabajador Neder Miguel Velásquez Acosta, dijo al cliente que tiene que ir a casa Último día de trabajo: 31/07/2025</t>
  </si>
  <si>
    <t>Habitaciones Casa Miguel C. Poeta Quintana, 4, 03004 Alacant, Alicante</t>
  </si>
  <si>
    <t>+34 965218471</t>
  </si>
  <si>
    <t>Aldeanueva del Camino 10740, Cáceres</t>
  </si>
  <si>
    <t>Francisco +34 670 05 35 32</t>
  </si>
  <si>
    <t>RU2025/012/154</t>
  </si>
  <si>
    <t>Salio del alojamiento el 31/07</t>
  </si>
  <si>
    <r>
      <t>nos indica que los siguientes operarios finalizan </t>
    </r>
    <r>
      <rPr>
        <b/>
        <sz val="12"/>
        <color rgb="FF000000"/>
        <rFont val="Aptos"/>
        <family val="2"/>
      </rPr>
      <t>31/10/2025</t>
    </r>
  </si>
  <si>
    <t>el operario ha indicado que hoy jueves 29/01/2026 es su último día por lo que no tenemos que hacerle el cambio.</t>
  </si>
  <si>
    <t>PEDRO AGUSTIN CONDE VILCAPUMA</t>
  </si>
  <si>
    <t>Informo que ya no esta viviendo en el alojamiento 30/07/2025</t>
  </si>
  <si>
    <t>Doctor Asuero 11 -13 de Huelva</t>
  </si>
  <si>
    <t>Miguel Angel Rodriguez  +34 649 47 50 15</t>
  </si>
  <si>
    <t xml:space="preserve">calle Amadis de Gaula 1,3B </t>
  </si>
  <si>
    <t>Maria Jose +34650331159</t>
  </si>
  <si>
    <t>PEDIDO CANCELADO POR EL CLIENTE</t>
  </si>
  <si>
    <t>FECHA FIN PREVISTA: 31/07/2025</t>
  </si>
  <si>
    <t>CARLOS JULIAN PASTRANA BAHAMON</t>
  </si>
  <si>
    <t>LUCCA</t>
  </si>
  <si>
    <t>Via Teresa Bandettini traversa quinta, 228/D, Lucca, Toscana 55100, Italia</t>
  </si>
  <si>
    <t>Massimo ‎+39 389 839 1049</t>
  </si>
  <si>
    <t>2026/821</t>
  </si>
  <si>
    <t>STIL MONTAGGI IMPIANTI INDUSTRIALI S.A.S</t>
  </si>
  <si>
    <r>
      <t>PREAVISO HASTA:</t>
    </r>
    <r>
      <rPr>
        <b/>
        <sz val="11"/>
        <color theme="1"/>
        <rFont val="Calibri"/>
        <family val="2"/>
        <scheme val="minor"/>
      </rPr>
      <t xml:space="preserve"> 31/07/2025</t>
    </r>
  </si>
  <si>
    <t>C/ Dr. Plácido Bañuelos, 5. 4º.D, Huelva.</t>
  </si>
  <si>
    <t>SE ENTREGARA EL 31-07-25</t>
  </si>
  <si>
    <t>C. Valero Montero, 33, 12400 Segorbe, Castellón</t>
  </si>
  <si>
    <t>Abdel Waw +34631109250</t>
  </si>
  <si>
    <t>2025/061</t>
  </si>
  <si>
    <t>carta de renuncia 31/07</t>
  </si>
  <si>
    <t>Calle Vicente Mortes 15 - 17, 12470 Navajas, España</t>
  </si>
  <si>
    <t>+34 964 71 06 13</t>
  </si>
  <si>
    <t>2025/407</t>
  </si>
  <si>
    <t>FRANCISCO ALBERTO OCHOA GAITÁN</t>
  </si>
  <si>
    <t>Restaurante Pension Galicia Carrer Riera, 69, 08420 Canovelles, Barcelona</t>
  </si>
  <si>
    <t>Lizardo Pensión Galicia+34 634 86 88 58</t>
  </si>
  <si>
    <t>2025/368</t>
  </si>
  <si>
    <t>Barrio Euba, 4 48340 AMOREBIETA (Bizkaia)</t>
  </si>
  <si>
    <t>OSCAR UBERUAGA EPALZA +34 649 92 21 23</t>
  </si>
  <si>
    <t>Esta en colombia. //La finalización será notificada con fecha 12/03/2026//KAWAM CORREO--&gt;Comunicación urgente – Incidencia con clientes y suspensión de actividad 18/02/2026</t>
  </si>
  <si>
    <t> c/ calvari 54 puerta 14 olesa d Montserrat cambio de alojamiento 17/06/26///Prevision hasta Fecha: 29/05/2026</t>
  </si>
  <si>
    <t>R2025/050/018</t>
  </si>
  <si>
    <t>FINALIZA 31/07//Reemplazo de JORGE ARMANDO HURTADO RODRIGUEZ//ALOJAMIENTO CLIENTE</t>
  </si>
  <si>
    <t>WILL ALFONSO RODRIGUEZ LUNA</t>
  </si>
  <si>
    <t>Alla Maksimova +34 682 80 68 71</t>
  </si>
  <si>
    <t>siguientes colaboradores hasta el día 30/07// CAMBIO DE ALOJAMIENTO</t>
  </si>
  <si>
    <t>MIGUEL ANGEL MARTINEZ CHAVEZ</t>
  </si>
  <si>
    <t>2025/147</t>
  </si>
  <si>
    <t>Fecha fin prevista de Norton es el día 13/06.// CAMBIO DE ALOJAMIENTO</t>
  </si>
  <si>
    <t>FENIX DE JESUS BARBOSA COLORADO</t>
  </si>
  <si>
    <t>DEIVIX ERIC MANUEL PRETEL RONCAL</t>
  </si>
  <si>
    <t>Carrer de les Parres, 41, Alcanar, Catalunya 43530, España</t>
  </si>
  <si>
    <t>Pascal  +34 698 70 79 86</t>
  </si>
  <si>
    <t>JOSÉ FERNEY TORRES</t>
  </si>
  <si>
    <t>Cambia de obra 29/09 C. Isla Cristina, 9, 04720 Aguadulce, Almería</t>
  </si>
  <si>
    <t>Pensión Plaza América : Avenida Pintor Baeza N°2, ESC 5,BJ PT H</t>
  </si>
  <si>
    <t>Teléfono: +34 611 82 85 90</t>
  </si>
  <si>
    <t>2025/371</t>
  </si>
  <si>
    <t>Calle independencia 388 al lado de la sagrada familia</t>
  </si>
  <si>
    <t>Amanda +34 631 59 88 92</t>
  </si>
  <si>
    <t>2025/393</t>
  </si>
  <si>
    <t>GARCIA FAURA S.L</t>
  </si>
  <si>
    <t>ultimo dia de trabajo 01-08-25</t>
  </si>
  <si>
    <t>ANGINSON ARTURO PETRO SUAREZ</t>
  </si>
  <si>
    <t>correo Último día de trabajo: 02/08/2025</t>
  </si>
  <si>
    <t>HOSTAL " Casa Manolo" c/ General Prim 45 La Sénia 43560</t>
  </si>
  <si>
    <t>ANA FLORINA VLADIC 977713134  -  642971868</t>
  </si>
  <si>
    <t>Confirmar con Luis fechas de alojamiento y costos</t>
  </si>
  <si>
    <t>JOSE FERNEY TORRES</t>
  </si>
  <si>
    <t>Pl. Sta. Marina, 22, 49800 Toro, Zamora</t>
  </si>
  <si>
    <t>2025/412</t>
  </si>
  <si>
    <t>Pedido duplicado</t>
  </si>
  <si>
    <t>FABER FABIAN DE LA CRUZ RIQUETT</t>
  </si>
  <si>
    <t>RICHARD OMAR CASTRO CUEVAS</t>
  </si>
  <si>
    <t>LUIS FERNANDO BENJUMEA ORTIZ</t>
  </si>
  <si>
    <t>2025/387</t>
  </si>
  <si>
    <t>este movimiento lo hizo el cliente debe estar pagando el alojamiento</t>
  </si>
  <si>
    <t>vuelven a alojmaiento de Nadja el 20/08/25 ya esta pago// CAMBIO DE ALOJAMIENTO</t>
  </si>
  <si>
    <t>EDWIN ALBERTO CABRERA AGUILAR</t>
  </si>
  <si>
    <t>Carrer del General Josep Manso i Solà, 08940 Cornellà de Llobregat, Barcelona, Spain</t>
  </si>
  <si>
    <t>Mikael +34 641 83 83 52</t>
  </si>
  <si>
    <t>RAFAEL ELIAS VALDERRAMA VERGARA</t>
  </si>
  <si>
    <t>2026/729</t>
  </si>
  <si>
    <t>GRUPO LECRU</t>
  </si>
  <si>
    <t>27/05/2026: Grupo Lecru: Previsión de finalizacion 06/06//14/05/2026: Grupo Lecru- Previsión de la finalización 30/05//Informa cristian teams 20/03/2026- Grupo Lecru en cordoba. para 30 días más!</t>
  </si>
  <si>
    <t>ARLEY DARIO PANTOJA CABRERA</t>
  </si>
  <si>
    <t>2025/331</t>
  </si>
  <si>
    <t>C. METALICAS DANIEL LAJO</t>
  </si>
  <si>
    <t>CAMBIO DE ALOJAMIENTO A PROPIO PAGO HASTA EL 08-08--25</t>
  </si>
  <si>
    <t>2025/R067</t>
  </si>
  <si>
    <t>2025/338/RU0007</t>
  </si>
  <si>
    <t>NO SE PRESENTO</t>
  </si>
  <si>
    <t>TRASLADO A DERIO EL 12/04///Personal que continúa y se reincorpora a partir del 13/03/2026 con una duración aproximada de 2 meses///KAWAM CORREO--&gt;Comunicación urgente – Incidencia con clientes y suspensión de actividad 18/02/2026</t>
  </si>
  <si>
    <t>RU 007 Barcelona</t>
  </si>
  <si>
    <t>PEDRO ISIDRO CAMELO BENAVIDES</t>
  </si>
  <si>
    <t>RUBEN DARIO HURTADO MURCIA</t>
  </si>
  <si>
    <t>JORGE LUIS ASCUNTAR ZAMORA</t>
  </si>
  <si>
    <t>JOSE ALFREDO ACOSTA EPIEYU</t>
  </si>
  <si>
    <t>Cal Perico, apartamento Carrer del Pont, 19 3, 25613 Camarasa, España</t>
  </si>
  <si>
    <t>contacto: +34 626 61 31 80</t>
  </si>
  <si>
    <t>2025/098</t>
  </si>
  <si>
    <t>TALLERS VIDAL AMILL, SLU</t>
  </si>
  <si>
    <t>RU 007 Zaragoza</t>
  </si>
  <si>
    <t>reubicado a Zamora - Toro 04-08-25</t>
  </si>
  <si>
    <t>JORGE REINALDO GOMEZ ROJAS</t>
  </si>
  <si>
    <t>RU2025/010/004/081</t>
  </si>
  <si>
    <t>2025/332</t>
  </si>
  <si>
    <t>FABIO LEON OROZCO RODRIGUEZ</t>
  </si>
  <si>
    <t>35 avenue general de gaulle, 66110 Amélie-les-Bains Palalda, Francia</t>
  </si>
  <si>
    <t>Christiane  Cere +33 6 20 61 97 46</t>
  </si>
  <si>
    <t>2025/415</t>
  </si>
  <si>
    <t>ERROR DE PEDIDO</t>
  </si>
  <si>
    <t>YEISON ARLEY TOBON MORENO</t>
  </si>
  <si>
    <t>Polvorin Viejo Kalea, 4, 01003 Vitoria-Gasteiz</t>
  </si>
  <si>
    <t>Felix +34 696 72 69 81</t>
  </si>
  <si>
    <t>2025/429</t>
  </si>
  <si>
    <t>PINE INSTALACIONES Y MONTAJES</t>
  </si>
  <si>
    <t xml:space="preserve"> no se presento</t>
  </si>
  <si>
    <t>HELMER STIWAR MONTAÑA</t>
  </si>
  <si>
    <t>2025/399</t>
  </si>
  <si>
    <t>TEKNICALDE</t>
  </si>
  <si>
    <t>LUMINOUS ALLEY LDA. </t>
  </si>
  <si>
    <t>2024/113</t>
  </si>
  <si>
    <t>Sale a Alojamiento propio 19/08///Reemplazo Luis Riascos, carta de renuncia 31/07</t>
  </si>
  <si>
    <t>2025/R068</t>
  </si>
  <si>
    <t>2025/101</t>
  </si>
  <si>
    <t>ALOJAMIENTO PAGO HASTA EL 03-08</t>
  </si>
  <si>
    <t>CARLOS ANDRES MANTILLA URREGO</t>
  </si>
  <si>
    <t>Previsiones hasta Fecha: 24/04/2026//trabajaran al menos un mes más hasta el 31/10/2025.
//Los trabajadores se quedan hasta el día 31/08, hay posibilidad de ampliar esta fecha.</t>
  </si>
  <si>
    <t>2025/410</t>
  </si>
  <si>
    <t>El trabajador llamo 20/05/2026 que no seguira trabajando con aurotub//Prevision hasta Fecha: 29/05/2026</t>
  </si>
  <si>
    <t>Hostal Molgas Aldea a Medorra Carretera de maceda
numero 35 , Pereiro de Aguiar, 32792 A Medorra,
España</t>
  </si>
  <si>
    <t>+34 643 65 75 68</t>
  </si>
  <si>
    <t>2025/409</t>
  </si>
  <si>
    <t>TALLERES METACA</t>
  </si>
  <si>
    <t>Calle Mérida, 2, 28903 Getafe, Madrid, Spain</t>
  </si>
  <si>
    <t>Olga</t>
  </si>
  <si>
    <t>2025/396</t>
  </si>
  <si>
    <t>INSTALACIONES GARDO S.L</t>
  </si>
  <si>
    <t>El trabajo es en Zaragoza, no se presento aquí</t>
  </si>
  <si>
    <t>WENDI ALBERTO GARCIA ARRIETA</t>
  </si>
  <si>
    <t>2025/419</t>
  </si>
  <si>
    <t>INSYME SL</t>
  </si>
  <si>
    <t>/ esta habitacion esta libre el trabajador se encuentra en valladolid pedido 2025/436</t>
  </si>
  <si>
    <t>SALE A ALOJAMIENTO PROPIO</t>
  </si>
  <si>
    <t>HANNER STIVEN GUZMAN PENCUA</t>
  </si>
  <si>
    <t>ALOJAMIENTO WEIER  C/pozo 8 La Cisterniga VALLADO</t>
  </si>
  <si>
    <t>+34 605 92 24 22</t>
  </si>
  <si>
    <t>2025/430</t>
  </si>
  <si>
    <t>Cambian de alojamineto e ingresa el pedido 436 el 07/08</t>
  </si>
  <si>
    <t>Plaza del Val N.º 6 - 3º piso de Valladolid.</t>
  </si>
  <si>
    <t>R2025/305/0078</t>
  </si>
  <si>
    <t>Terminan 07/08/2025</t>
  </si>
  <si>
    <t>HECTOR EDUARDO RIVERO MANZANO</t>
  </si>
  <si>
    <t>C. Pérez Merchante, 31, 21710 Bollullos Par del Condado, Huelva</t>
  </si>
  <si>
    <t>tiene las llaves del piso don quijote Eleotorio se las entrego el viernes 18-07</t>
  </si>
  <si>
    <t>MAYKOL GUILLERMO MAESTRE PEREIRA</t>
  </si>
  <si>
    <t>ERICK RUBEN RAMIREZ SIMANCAS</t>
  </si>
  <si>
    <t>JORGE LUIS JIMENEZ BISCUMICHE</t>
  </si>
  <si>
    <t>JONATHAN JAVIER GARRIDO SILVA</t>
  </si>
  <si>
    <t>JOHN HAROLD PERENGUEZ CUARAN</t>
  </si>
  <si>
    <t>C. Vitoria, 184, 09007 Burgos</t>
  </si>
  <si>
    <t>JOAQUIN OTALORA QUINTANA +34627536589</t>
  </si>
  <si>
    <t>Reubicados Guipuskoa</t>
  </si>
  <si>
    <t>WILMER FERNANDO ROJAS RAMIREZ</t>
  </si>
  <si>
    <t>YEISON ARLEY DIAZ CHAUX</t>
  </si>
  <si>
    <t>PTE COMPRAR VUELO</t>
  </si>
  <si>
    <t>EDWARD JEFRID OSPINA MANOSALVA</t>
  </si>
  <si>
    <t>ultimo dia de trabajo 04/07/25</t>
  </si>
  <si>
    <t>EDUAR MANUEL DAVILA CERON</t>
  </si>
  <si>
    <t>NELSON ENRIQUE MARTINEZ VEGA</t>
  </si>
  <si>
    <t>Via caravaggio 40 lido adriano villaggio blue marlin</t>
  </si>
  <si>
    <t>Tel. +39 346 734 3783</t>
  </si>
  <si>
    <t>2025/321</t>
  </si>
  <si>
    <t>ultimo dia trabajado 28/06/25</t>
  </si>
  <si>
    <t>DANIEL ELIECER PEREZ ACEVEDO</t>
  </si>
  <si>
    <t>ultimo dia trabajado 30/06/25</t>
  </si>
  <si>
    <t>2025/344</t>
  </si>
  <si>
    <t>GERMAN DARIO MERCHAN CARO</t>
  </si>
  <si>
    <t>2024/124</t>
  </si>
  <si>
    <t>Trabajo 30/07///Calle Miramar 1, Burjassot, código postal 46100 Jesùs +34 691 32 97 62 450 fianza transferida ///Salen del hotel Aviaciòn 17/04 Calle Juan de la Cierva, 17, 46940 Manises, Valencia a hospedaje fijo//como mínimo, hasta el 30 de junio.
Existe la posibilidad de prórroga.</t>
  </si>
  <si>
    <t>2024/495</t>
  </si>
  <si>
    <t>finaliza 08-08-25</t>
  </si>
  <si>
    <t>Hotel Las Galias Carretera Huesca N-330, km. 527, C. Monarre, 2, 50800 Zuera, Zaragoza</t>
  </si>
  <si>
    <t>Contacto: 976680026 +34 609 34 40 87</t>
  </si>
  <si>
    <t>finalizo ayer 04-08-25</t>
  </si>
  <si>
    <t>Pensión Jardín Av. Estación, 3, 15900 Padrón, A Coruña</t>
  </si>
  <si>
    <t>+34 981810950</t>
  </si>
  <si>
    <t>2025/408</t>
  </si>
  <si>
    <t xml:space="preserve">Cambio de alojamiento </t>
  </si>
  <si>
    <t>LUIS ALBERTO BUSTOS CALDERON</t>
  </si>
  <si>
    <t>R2025/0081</t>
  </si>
  <si>
    <t>Juan Carlos Santamaria Ca+34 625 64 10 95</t>
  </si>
  <si>
    <t>JOSE LUIS SANCHEZ OLARTE</t>
  </si>
  <si>
    <t>Finalizo el jueves 07/08</t>
  </si>
  <si>
    <t>2025/R060</t>
  </si>
  <si>
    <t>2025/374</t>
  </si>
  <si>
    <t xml:space="preserve"> CONSTRUCCIONES MECÁNICAS BADORC, S.L</t>
  </si>
  <si>
    <t>ERGUIN ADRIAN OJEDA MACHADO</t>
  </si>
  <si>
    <t>2025/202</t>
  </si>
  <si>
    <t>Se encuentra alojado en prats mientras lo reubican en el sofa</t>
  </si>
  <si>
    <t>11/08/25 ultimo dia</t>
  </si>
  <si>
    <t>265 Rue Watten, Ruminghem, Hauts-de-France 62370, Francia</t>
  </si>
  <si>
    <t>Annie +33 6 16 77 54 34</t>
  </si>
  <si>
    <t>REUBICACIÒN BARCELONA</t>
  </si>
  <si>
    <t>2025/338/RU-0010</t>
  </si>
  <si>
    <t>C/ GOYA Nº 3 5º DRCH,</t>
  </si>
  <si>
    <t>Cristina +34 602 25 46 84</t>
  </si>
  <si>
    <t>2024/207</t>
  </si>
  <si>
    <r>
      <rPr>
        <sz val="11"/>
        <color rgb="FFFF0000"/>
        <rFont val="Calibri"/>
        <family val="2"/>
      </rPr>
      <t xml:space="preserve">Fecha FIN APROX 20/12 </t>
    </r>
    <r>
      <rPr>
        <sz val="11"/>
        <color rgb="FF000000"/>
        <rFont val="Calibri"/>
        <family val="2"/>
      </rPr>
      <t>Calle de Carretera de Castellet nº 61. Navas Anna +34 670 84 38 70 SALE A PROPIO 19/10//PREAVISO HASTA: 09/08/2025</t>
    </r>
  </si>
  <si>
    <t>Pirata casco histórico Plaza Bollos de Hito 8 , 49800 Toro, España.</t>
  </si>
  <si>
    <t>980046019 | 663903902</t>
  </si>
  <si>
    <t>2025/301/RU006</t>
  </si>
  <si>
    <t>Carrer Viver, 3, Sogorb, Comunidad Valenciana 12400, España</t>
  </si>
  <si>
    <t xml:space="preserve">Rental +34 674 75 44 32 </t>
  </si>
  <si>
    <t>Buscar hotel no hay reserva // Cambio de alojamiento</t>
  </si>
  <si>
    <t>Rental +34 674 75 44 32</t>
  </si>
  <si>
    <t xml:space="preserve"> Hotel Restaurante La Pepa Av. del Zinc, 46, 33400 Avilés, Asturias</t>
  </si>
  <si>
    <t>2025/092/RU0011</t>
  </si>
  <si>
    <t>2025/416</t>
  </si>
  <si>
    <t>JORGE ENRIQUE SANABRIA MORENO</t>
  </si>
  <si>
    <t>HUGO ALBENIZ PULIDO MARTINEZ</t>
  </si>
  <si>
    <t>Pl. Don Quijote de la Mancha, 7, 21007 Huelva</t>
  </si>
  <si>
    <t>JORGE HERNANDO AGUIRRE VELANDIA</t>
  </si>
  <si>
    <t>2025/388</t>
  </si>
  <si>
    <t>CARTA DE RESCISION 14-08-25</t>
  </si>
  <si>
    <t>Carretera de Almodóvar, 9, Puertollano, Castilla-La Mancha 13500, España</t>
  </si>
  <si>
    <t>Don Josè +34 662 44 94 14</t>
  </si>
  <si>
    <t>2025/440</t>
  </si>
  <si>
    <t>JORGE ANTONIO RAMIREZ LUNA</t>
  </si>
  <si>
    <t>Ctra. Etxauri, s/n, 31171 Ororbia, Navarra</t>
  </si>
  <si>
    <t>2025/405</t>
  </si>
  <si>
    <t>llamar para reserva ampliar hasta el 19/08 terminanron 15/08</t>
  </si>
  <si>
    <t>R2025/0077</t>
  </si>
  <si>
    <t>15/08/25 ultimo dia</t>
  </si>
  <si>
    <t>NELSON ROBERTO HENAO BEDOYA</t>
  </si>
  <si>
    <t>2025/010/R088</t>
  </si>
  <si>
    <t>REINERD SALAZAR FAJARDO</t>
  </si>
  <si>
    <t>2025/369/R088</t>
  </si>
  <si>
    <t xml:space="preserve"> 2025/037</t>
  </si>
  <si>
    <t>GOITEK LANON SL</t>
  </si>
  <si>
    <t>CARTA DE RESCISION 29-08-25</t>
  </si>
  <si>
    <t>DUVAN OVIEDO OREJUELA</t>
  </si>
  <si>
    <t>Hotel Restaurante La Varga Ctra. Madrid-Irún, km. 232, 09195, Burgos</t>
  </si>
  <si>
    <t>2025/427</t>
  </si>
  <si>
    <t>OCSACON, S. L. U</t>
  </si>
  <si>
    <t>pedido por 1 mes / Cambio de alojamiento</t>
  </si>
  <si>
    <t>FELIPE LOAIZA CARDENAS</t>
  </si>
  <si>
    <t>pedido por 1 mes  / Cambio de alojamiento</t>
  </si>
  <si>
    <t>NELSON JAIME PITRE CASTILLA</t>
  </si>
  <si>
    <t>2025/438</t>
  </si>
  <si>
    <t xml:space="preserve">pedido por 1 mes y medio / Cambio de alojamiento </t>
  </si>
  <si>
    <t>ARIEL SILVA GAMBOA</t>
  </si>
  <si>
    <t>2025/426</t>
  </si>
  <si>
    <t>pedido por 2 mes / Cambio de alojamiento</t>
  </si>
  <si>
    <t>JORGE LUIS AVILA CASTRO</t>
  </si>
  <si>
    <t>FINALIZA 24-07</t>
  </si>
  <si>
    <t>C/ JUAN DE GARAY Nº 43 – 2º A</t>
  </si>
  <si>
    <t>CRISTINA INMOBILIARIA +34 602 25 46 84</t>
  </si>
  <si>
    <t>finalizaron el pasado viernes 03/10/2025</t>
  </si>
  <si>
    <t>carta de rescision 17-08-25</t>
  </si>
  <si>
    <t>JORGE IVAN LOPEZ CORDOBA</t>
  </si>
  <si>
    <t>Piso ubicado en Balmaseda (Bizkaia), calle Magdalena nº 24 – 1º dcha.</t>
  </si>
  <si>
    <t>Yolanda +34 691 57 31 52</t>
  </si>
  <si>
    <t>nos indica que hoy 23/01/2026 es el último día del operario://continua con ellos, hasta al menos Enero del 2026.//finaliza la próxima semana el 28/11/2025.//nos indica que este viernes 21/11/2025, es el último día del operario</t>
  </si>
  <si>
    <t>Albergue Monte Do Gozo Rúa do Gozo, 18, 15820 Santiago de Compostela, España</t>
  </si>
  <si>
    <t>+34 881 25 53 86</t>
  </si>
  <si>
    <t>CARTA DE RESCISION 24-06-25</t>
  </si>
  <si>
    <t>CAMBIO DE ALOJAMIENTO A PROPIO PAGO HASTA EL 31/10/25, AUXILIO A PARTIR DEL 01/11/25</t>
  </si>
  <si>
    <t>SALIO DEL PISO SIN AVISAR. 18-08-25</t>
  </si>
  <si>
    <t>86 Bd Alexandre III, 59140 Dunkerque, France</t>
  </si>
  <si>
    <t>Moundji +33 6 11 96 10 65</t>
  </si>
  <si>
    <t>VUELVEN AL ALOJAMIENTO DE THIERRY</t>
  </si>
  <si>
    <t>Hostal Acuarela Guardia Civil, 7 , 09004</t>
  </si>
  <si>
    <t>ERNESTO GERMAN HERRERA</t>
  </si>
  <si>
    <t>2025/389</t>
  </si>
  <si>
    <t>2026/R197</t>
  </si>
  <si>
    <t>60 Rue du Général Patton, 57330 Hettange-Grande, Francia</t>
  </si>
  <si>
    <t>+33 7 68 00 92 22</t>
  </si>
  <si>
    <t>2025/379</t>
  </si>
  <si>
    <t>rescision hasta 19-08-25</t>
  </si>
  <si>
    <t>JEFFERSON STEVEN CARBALIDO VIDALES</t>
  </si>
  <si>
    <r>
      <t>PREAVISO HASTA:</t>
    </r>
    <r>
      <rPr>
        <b/>
        <sz val="11"/>
        <color theme="1"/>
        <rFont val="Calibri"/>
        <family val="2"/>
        <scheme val="minor"/>
      </rPr>
      <t xml:space="preserve"> 15/08/2025</t>
    </r>
  </si>
  <si>
    <t>2025/R093</t>
  </si>
  <si>
    <t>93 Avenue des Corbières, Durban-Corbières, Occitania 11360, Francia</t>
  </si>
  <si>
    <t xml:space="preserve"> Alexia +33 6 87 92 91 46</t>
  </si>
  <si>
    <t>BRAYAN JOSE SALINAS MARTINEZ</t>
  </si>
  <si>
    <t>2024/314</t>
  </si>
  <si>
    <t>SALE ALOJAMIENTO PROPIO INFORMADO 28/07. ALOJAMIENTO PAGO HASTA EL 20/08</t>
  </si>
  <si>
    <t>2025/222/RU0005</t>
  </si>
  <si>
    <t>el cliente se encargara del alojamiento y transporte</t>
  </si>
  <si>
    <t>2025/RU030/RU0005</t>
  </si>
  <si>
    <t>RENZO JUNIOR CHUNGA LUJAN</t>
  </si>
  <si>
    <t>Via caravaggio 40 lido adriano villaggio blue marlin</t>
  </si>
  <si>
    <t>apto 82 (3 camas)</t>
  </si>
  <si>
    <t>ORLANDO GOMEZ</t>
  </si>
  <si>
    <t>2025/267</t>
  </si>
  <si>
    <t>2025/R058</t>
  </si>
  <si>
    <t>JORGE LEONARDO MACHUCA GARCIA</t>
  </si>
  <si>
    <t>Carrer del Bages, 105, Terrassa, Catalunya 08223, España</t>
  </si>
  <si>
    <t> Jep Lindoso Toral +34 635 51 13 31</t>
  </si>
  <si>
    <t>2025/435</t>
  </si>
  <si>
    <t>MILTON DAVID MORALES LEITON</t>
  </si>
  <si>
    <t>RAMIRO ENRIQUE PEREIRA MEDINA</t>
  </si>
  <si>
    <t>JORGE EDUARDO OSPINO DURAN</t>
  </si>
  <si>
    <t>C. Rincona, 2, 13500 Puertollano, Ciudad Real</t>
  </si>
  <si>
    <t>David Rico +34 677 11 04 85</t>
  </si>
  <si>
    <t>2025/444</t>
  </si>
  <si>
    <t>han quedado SUSPENDIDOS.</t>
  </si>
  <si>
    <t>Pasan el 22/08 para Hotel Las Terrazas</t>
  </si>
  <si>
    <t>SAINT-GEOURS DE MAREMNE</t>
  </si>
  <si>
    <t>2025/R075</t>
  </si>
  <si>
    <t>SOTECMA</t>
  </si>
  <si>
    <t>salió del pedido 088 el 16/08/2025.</t>
  </si>
  <si>
    <t>Andador de Gutiérrez Mellado, 21, 50009 Zaragoza</t>
  </si>
  <si>
    <t>Ultimo dia 21/08/2025</t>
  </si>
  <si>
    <t>PROYECTOS DPTA PIPING S.L.U</t>
  </si>
  <si>
    <t>LUIS ALBERTO MARTINEZ BLANQUICETT</t>
  </si>
  <si>
    <t>2025/R070</t>
  </si>
  <si>
    <t>c/Guadalquir n-2, Marmolejo</t>
  </si>
  <si>
    <t>Proyecto finalizado 22-08-25</t>
  </si>
  <si>
    <t>2025/439</t>
  </si>
  <si>
    <t>MST RIELLS SL</t>
  </si>
  <si>
    <t> finaliza hoy 22/08/2025</t>
  </si>
  <si>
    <r>
      <t>con un retraso superior a los dos meses. Por ello, y hasta nuevo aviso, el proyecto queda </t>
    </r>
    <r>
      <rPr>
        <b/>
        <sz val="12"/>
        <color rgb="FF000000"/>
        <rFont val="Aptos"/>
        <family val="2"/>
      </rPr>
      <t>suspendido temporalmente</t>
    </r>
    <r>
      <rPr>
        <sz val="12"/>
        <color rgb="FF000000"/>
        <rFont val="Aptos"/>
        <family val="2"/>
      </rPr>
      <t>. </t>
    </r>
  </si>
  <si>
    <t>11 Rue Princesse, Lille, Hauts-de-France 59800, Francia</t>
  </si>
  <si>
    <t>Latèvi +33 6 10 35 15 11</t>
  </si>
  <si>
    <t>Hotel María de Luna  Av. Comunidad Valenciana, 2, 12400 Segorbe, Castellón</t>
  </si>
  <si>
    <t>Cambian de alojamiento</t>
  </si>
  <si>
    <t>CARLOS ANDRES PARRA ESPITIA</t>
  </si>
  <si>
    <t>13 rue de la paix 62100 calais</t>
  </si>
  <si>
    <t>+33 6 51 80 67 67</t>
  </si>
  <si>
    <t>2025/378</t>
  </si>
  <si>
    <t>Hotel Las Terrazas,Av. la Industria, 10, 09001 Burgos</t>
  </si>
  <si>
    <t>estos trabajadores será el último día de trabajo el viernes 22/08/2025</t>
  </si>
  <si>
    <t>HOTEL DON JOSE Carretera de Almodóvar, 9, Puertollano, Castilla-La Mancha 13500, España</t>
  </si>
  <si>
    <t>2025/436</t>
  </si>
  <si>
    <t>finalizará este viernes 22/08/2025</t>
  </si>
  <si>
    <t>EDUAR DARIO MOSQUERA</t>
  </si>
  <si>
    <t>Paseo de los cubos 11, 2B, Burgos, Castilla y León 09003, España</t>
  </si>
  <si>
    <t>Luis +34 649139856</t>
  </si>
  <si>
    <t>2025/423</t>
  </si>
  <si>
    <t>JOSE RAIMUNDO JIMENEZ ARRIETA</t>
  </si>
  <si>
    <t>MAURICIO ORTIZ CONTRERAS</t>
  </si>
  <si>
    <t>EVERTH CASTRO GONZALEZ</t>
  </si>
  <si>
    <t>JULIO CESAR MANJARRES</t>
  </si>
  <si>
    <t>2025/414</t>
  </si>
  <si>
    <t>JAIRO ALFONSO MUNOZ VALLE</t>
  </si>
  <si>
    <t>carta de renuncia 21/08</t>
  </si>
  <si>
    <t>RODNEY NEFTALI RODRIGUEZ HERRERA</t>
  </si>
  <si>
    <t>2025/402</t>
  </si>
  <si>
    <t>CRISTIAN CAMILO CABALLERO CORREDOR</t>
  </si>
  <si>
    <t>BADIA POZZEVERI</t>
  </si>
  <si>
    <t>2025/391</t>
  </si>
  <si>
    <t>NELSON ENRIQUE CABALLERO CORREDOR</t>
  </si>
  <si>
    <t>El alojamiento lo cubre el cliente/// carta de renuncia 31-08-25</t>
  </si>
  <si>
    <t>El alojamiento lo cubre el cliente. 31/08/25</t>
  </si>
  <si>
    <t>desaloja el alojamiento 30/07/2025</t>
  </si>
  <si>
    <t>masia can marquès sn, El Bruc, Catalunya 08294, España</t>
  </si>
  <si>
    <t>Pau Pedrosa Pàmies +34 616 01 87 10</t>
  </si>
  <si>
    <t>Finalizan el 02/09. Ultimo dia 20-08-25</t>
  </si>
  <si>
    <t>ZEVIO VR</t>
  </si>
  <si>
    <t>2025/392</t>
  </si>
  <si>
    <t>EL CLIENTE SUMINISTRA ALOJAMIENTO Y TRANSPORTE</t>
  </si>
  <si>
    <t>DIEGO FERNANDO CHICUE RODRIGUEZ</t>
  </si>
  <si>
    <t>JOSUE JUAN PINTO MACHACA</t>
  </si>
  <si>
    <t>EL CLIENTE SUMINISTRA ALOJAMIENTO Y TRANSPORTE. HGL</t>
  </si>
  <si>
    <t>MIGUEL RICARDO URTEAGA GARCÍA</t>
  </si>
  <si>
    <t>JUAN DAVID GUALDRON REYES</t>
  </si>
  <si>
    <t>2025/383</t>
  </si>
  <si>
    <r>
      <rPr>
        <sz val="12"/>
        <color rgb="FF305496"/>
        <rFont val="Aptos"/>
        <family val="2"/>
      </rPr>
      <t>finalizaran su labor con el cliente el próximo </t>
    </r>
    <r>
      <rPr>
        <b/>
        <sz val="12"/>
        <color rgb="FF305496"/>
        <rFont val="Aptos"/>
        <family val="2"/>
      </rPr>
      <t>17/09/2025</t>
    </r>
    <r>
      <rPr>
        <sz val="12"/>
        <color rgb="FF305496"/>
        <rFont val="Aptos"/>
        <family val="2"/>
      </rPr>
      <t>.//Último día de trabajo: 17/09/2025</t>
    </r>
  </si>
  <si>
    <t>Carretera de Camarasa, 10 10 - 1º, Balaguer, Catalunya 25600, España</t>
  </si>
  <si>
    <t>Armengol +34 611 13 60 18</t>
  </si>
  <si>
    <r>
      <rPr>
        <sz val="12"/>
        <color rgb="FF000000"/>
        <rFont val="Aptos"/>
        <family val="2"/>
      </rPr>
      <t>Resicion el próximo </t>
    </r>
    <r>
      <rPr>
        <b/>
        <sz val="12"/>
        <color rgb="FF000000"/>
        <rFont val="Aptos"/>
        <family val="2"/>
      </rPr>
      <t>02/09/2025</t>
    </r>
  </si>
  <si>
    <t>2025/459</t>
  </si>
  <si>
    <t>NO INGRESO A LABORAR, Queda alojado en prats mientras lo reubican</t>
  </si>
  <si>
    <t>calle, Rufas, 14, 2º, Drcha. de Zaragoza</t>
  </si>
  <si>
    <t>2025/405/RU0012</t>
  </si>
  <si>
    <t>ultimo dia de trabajo 19-08-25</t>
  </si>
  <si>
    <t>2025/311</t>
  </si>
  <si>
    <t>EDWIN RAUL LIMA NARCISO</t>
  </si>
  <si>
    <t xml:space="preserve">Cambio de alojamiento barcelona </t>
  </si>
  <si>
    <t>ALDO IVAN AILIO LABBE</t>
  </si>
  <si>
    <t>R2025/037/127</t>
  </si>
  <si>
    <t>Trabajará esta semana y la que viene siendo el 5 de setiembre el último día de trabajo/// TRABAJO HASTA EL 27/8/25</t>
  </si>
  <si>
    <t>finaliza 27/08/25 informadopor correo 27/08//finalizarán el 03/09/2025 correo</t>
  </si>
  <si>
    <t>BAIRON RENE BURBANO MORALES</t>
  </si>
  <si>
    <t>2025/R057</t>
  </si>
  <si>
    <t xml:space="preserve">CAMBIO DE ALOJAMIENTO </t>
  </si>
  <si>
    <t>2025/474</t>
  </si>
  <si>
    <t>No ingreso</t>
  </si>
  <si>
    <t>SEBASTIAN DAVID ARIAS CORREA</t>
  </si>
  <si>
    <t>Loli- +34 628994458, RAMON  +34 670 28 26 36</t>
  </si>
  <si>
    <t>R2025/0090</t>
  </si>
  <si>
    <t>Cambio de alojamiento//reemplazo:OSCAR LAZO GABRIEL CARGO fecha fin. 12/08</t>
  </si>
  <si>
    <t>MARCOS RAFAEL CASANI VALDEZ</t>
  </si>
  <si>
    <t>Carrer de la Independència, 388, Sant Martí, 08041 Barcelona</t>
  </si>
  <si>
    <t>Amanda 34 631 59 88 92</t>
  </si>
  <si>
    <t xml:space="preserve">ESTA PAGO HASTA EL 02/09/el 12/09 finalizan en la obra de zona franca </t>
  </si>
  <si>
    <t>EMERSON DA SILVA</t>
  </si>
  <si>
    <r>
      <rPr>
        <sz val="11"/>
        <color rgb="FF305496"/>
        <rFont val="Calibri"/>
        <family val="2"/>
        <scheme val="minor"/>
      </rPr>
      <t>Entra sebastian //PREAVISO HASTA:</t>
    </r>
    <r>
      <rPr>
        <b/>
        <sz val="11"/>
        <color rgb="FF000000"/>
        <rFont val="Calibri"/>
        <family val="2"/>
        <scheme val="minor"/>
      </rPr>
      <t xml:space="preserve"> 22/08/2025</t>
    </r>
  </si>
  <si>
    <t>FINALIZA 25/08/2025</t>
  </si>
  <si>
    <t>Carrer Padilla 175 Barcelona</t>
  </si>
  <si>
    <t>+34 644 18 45 95~Marc Grupo Inventia</t>
  </si>
  <si>
    <t>FINALIZA 31/07</t>
  </si>
  <si>
    <t>FINALIZAZRON EL 29-08-2025</t>
  </si>
  <si>
    <t>se paga a partir del 25/12/FINALIZAZRON EL 29-08-2025</t>
  </si>
  <si>
    <t>del 01 al 05 de sep</t>
  </si>
  <si>
    <t>Prevision hasta Fecha: 04/03/2026</t>
  </si>
  <si>
    <t>54 rue Charles de Gaulle 62137 coulogne</t>
  </si>
  <si>
    <t>C. Redes, 5, 21130 Mazagón, Huelva</t>
  </si>
  <si>
    <t>nos comunica que hoy 29/08/2025 finaliza el pedido 009</t>
  </si>
  <si>
    <t>Alojamiento y desplasamento por parte del cliente. Trabaja hasta el 29-08-25</t>
  </si>
  <si>
    <t>finaliza 12/09/25 informadopor correo 27/08////finalizarán el 03/09/2025 correo</t>
  </si>
  <si>
    <t>2025/R13</t>
  </si>
  <si>
    <t>MES DE JULIO PAGO/ ME DE AGOSTO PAGO 24/07// alargarán los proyectos hasta mínimo finales de septiembre.</t>
  </si>
  <si>
    <t>2025/R12</t>
  </si>
  <si>
    <t>2025/433</t>
  </si>
  <si>
    <t>Barrenkale Kalea, 7, piso 3C, 20700 Urretxu, Guipúzcoa</t>
  </si>
  <si>
    <t>Karol 34 695 06 40 94</t>
  </si>
  <si>
    <t>CALDERERIA URRETXU, S.L</t>
  </si>
  <si>
    <t>JULIO ESTA PAGO/// el trabajador notifica que terminan 08/08</t>
  </si>
  <si>
    <t>WILSON YESID GUARIN GALAN</t>
  </si>
  <si>
    <t>DIVIER HUMBERTO PAEZ MONROY</t>
  </si>
  <si>
    <t>C. Adriano VI, 13, 01008 Vitoria-Gasteiz, Álava</t>
  </si>
  <si>
    <t>David Lecsa +34 670303366</t>
  </si>
  <si>
    <t>cambia de alojamiento para donde angela el 30/08 donde estaba alojado steven</t>
  </si>
  <si>
    <t>finaliza 26/09/25 informadopor correo 27/08///finalizarán el próximo 29/08/2025 correo</t>
  </si>
  <si>
    <t>C. Franco Ricart, 38, 12400 Segorbe, Castellón</t>
  </si>
  <si>
    <t>BOOKING/ CAMBIO DE ALOJAMIENTO</t>
  </si>
  <si>
    <t>BOOKING// CAMBIO DE ALOJAMIENTO</t>
  </si>
  <si>
    <t>C. del Romano, 36, 12400 Segorbe, Castellón/ CAMBIO DE ALOJAMIENTO</t>
  </si>
  <si>
    <t>EVERTON OLIVEIRA DE ASIS</t>
  </si>
  <si>
    <t>C. Alcande prospero castaño 4, san juan de aznalfarache, sevilla.</t>
  </si>
  <si>
    <t>2026/771</t>
  </si>
  <si>
    <t>La finalización se produjo el 01/06/2026.//Alojamiento por cuenta del cliente</t>
  </si>
  <si>
    <t>EDGAR STEVEN PENAGOS CESPEDES</t>
  </si>
  <si>
    <t>FINALIZA EL 29/08/25 VA PARA ITALIA//Ingresa 20/02 reemplaza a Carlos Velez</t>
  </si>
  <si>
    <t>nos comunica que hoy 29/08/2025 finaliza el pedido 009// cambio de alojamiento</t>
  </si>
  <si>
    <t>han quedado SUSPENDIDOS.//van para el alojamineto del pedido R100//deben salir el sabado a las 11:00Hr y volver el domingo despues de las 15:00Hr</t>
  </si>
  <si>
    <t>finaliza el 31-08-25// REUBICADOS</t>
  </si>
  <si>
    <t>DARWIN GARCIA GUERRERO</t>
  </si>
  <si>
    <t>nos indica que el viernes 28/11/2025 fue el último día</t>
  </si>
  <si>
    <t>JUAN DAVID GOMEZ GUTIERREZ</t>
  </si>
  <si>
    <t> hoy viernes 29/08/2025 es el último día de trabajo</t>
  </si>
  <si>
    <t>NILSON IVAN PRECIADO ANGULO</t>
  </si>
  <si>
    <t>NORVEY GONZALEZ LOPEZ</t>
  </si>
  <si>
    <r>
      <t> finalizan hoy jueves </t>
    </r>
    <r>
      <rPr>
        <b/>
        <sz val="12"/>
        <color rgb="FF000000"/>
        <rFont val="Aptos"/>
        <family val="2"/>
      </rPr>
      <t>06/11/2025</t>
    </r>
  </si>
  <si>
    <t>PEDRO AYALA RIVERA</t>
  </si>
  <si>
    <t>Cambio de alojamiento//ultimo dia de trabajo 19-08-2/ CONTINUA CORREO 19-08-25</t>
  </si>
  <si>
    <t>BRAYAN ALEXANDER CARABALI SANCHEZ</t>
  </si>
  <si>
    <t>Hotel Puertollano Lope de Vega, 3, 13500 Puertollano</t>
  </si>
  <si>
    <t xml:space="preserve"> +34 926 41 07 68</t>
  </si>
  <si>
    <t>GILMAR LUIS PARRILLA ALCANTARA</t>
  </si>
  <si>
    <t>YULDOR MAURICIO BOLAÑOS</t>
  </si>
  <si>
    <t>2025/424</t>
  </si>
  <si>
    <t>finalizan mañana viernes 29/08/2025. El trabajo de ellos ha concluido.</t>
  </si>
  <si>
    <r>
      <t>PREAVISO HASTA:</t>
    </r>
    <r>
      <rPr>
        <b/>
        <sz val="11"/>
        <color theme="1"/>
        <rFont val="Calibri"/>
        <family val="2"/>
        <scheme val="minor"/>
      </rPr>
      <t xml:space="preserve"> 14/08/2025</t>
    </r>
  </si>
  <si>
    <t>Cambio de alojamiento//el 29/08 finalizan en la obra de zona franca seran reubicados deobra Pamplona</t>
  </si>
  <si>
    <t>Cambio de alojamiento/el 29/08 finalizan en la obra de zona franca seran reubicados deobra Pamplona</t>
  </si>
  <si>
    <t>JUAN DAVID MOLANO CARDONA</t>
  </si>
  <si>
    <t>2025/406</t>
  </si>
  <si>
    <t>cambio de alojamineto//buscar alojamiento por valida de motos/-&gt;  finaliza el 19/09/pasa para donde alejo</t>
  </si>
  <si>
    <t>Cambio de alojamiento//buscar alojamiento por valida de motos/ pasa para donde alejo</t>
  </si>
  <si>
    <t>HUMBERTO OCHOA RIOS</t>
  </si>
  <si>
    <t>Posada La Estela de Barros Barrio El Corral, 84 Los Corrales de Buelna, 39408</t>
  </si>
  <si>
    <t>Adelina +34665142113</t>
  </si>
  <si>
    <t>CALVO CONSTRUCCIONES Y MONTAJES, S.L</t>
  </si>
  <si>
    <t>FINALIZA 25/8/25</t>
  </si>
  <si>
    <t>Calle 3, 45 Barrio Las Quemadas - Las Quemadillas</t>
  </si>
  <si>
    <t>Manuel y Loli +34 665 24 66 03</t>
  </si>
  <si>
    <t>APOLINAR GARCIA HERNANDEZ</t>
  </si>
  <si>
    <t>Calle San Asturio Serrano, 28802 Alcalá de Henares, España</t>
  </si>
  <si>
    <t>+34 603 50 92 08</t>
  </si>
  <si>
    <t>Cambian de alojamiento 14/08/2026 para : C. de San Asturio Serrano, 1, 2  1º B 28802 Alcalá de Henares, Madrid//Informa kawan 30/06: hasta el dia 29/08//Informa kawan 24/04; Renovado hasta el dia 03/07//de cerrajeria ya fue pasada luis hatas el dia 30/04</t>
  </si>
  <si>
    <t>buscar alojamiento por valida de motos/--&gt; finaliza viernes 29/08</t>
  </si>
  <si>
    <t>ELICEO FUENTES PARRA</t>
  </si>
  <si>
    <t>2025/417</t>
  </si>
  <si>
    <t>ERIKC SAUL JIMENEZ SORACA</t>
  </si>
  <si>
    <t>2025/408/R095</t>
  </si>
  <si>
    <r>
      <rPr>
        <sz val="12"/>
        <color theme="4" tint="-0.249977111117893"/>
        <rFont val="Aptos"/>
        <family val="2"/>
      </rPr>
      <t>finalizarán el próximo 29/08/2025 correo</t>
    </r>
  </si>
  <si>
    <t>2025/437</t>
  </si>
  <si>
    <t>EDWIN ALBERTO CORTES GUERRERO</t>
  </si>
  <si>
    <t>OSCAR GIOVANNI DIAZ MARTINEZ</t>
  </si>
  <si>
    <t>JORGE CAMILO QUINTERO OJEDA</t>
  </si>
  <si>
    <t>Cerveceria La Zuyana Portal de Betoño Kalea, 48, 01013 Betoño, Araba</t>
  </si>
  <si>
    <t>2025/418</t>
  </si>
  <si>
    <t>sustituto/ reubicado de pedido 474// CAMBIO DE ALOJAMIENTO</t>
  </si>
  <si>
    <t>Finalizan el 02/09//30/08/2025</t>
  </si>
  <si>
    <t>NEFER YASETH PESTANA CABALLERO</t>
  </si>
  <si>
    <t>2025/276</t>
  </si>
  <si>
    <t>CAMBIO DE ALOJAMIENTO EL 08/11 C. de Santiago Ramón y Cajal, 37, Casco Antiguo, 50004 Zaragoza//// finalizarán el 31/12/2025.//nos indica que los siguientes operarios permanecerán hasta el 30/11/2025//Permanecerán hasta el 30/09/2025 aproximadamente en el proyecto.</t>
  </si>
  <si>
    <t>2025/372</t>
  </si>
  <si>
    <t>Finalizan el proyecto este viernes 29/08/2025</t>
  </si>
  <si>
    <t>LAS PALMAS</t>
  </si>
  <si>
    <t>Calle Torres Quevedo, 16 3, Las Palmas de Gran Canaria, Canarias 35007, España</t>
  </si>
  <si>
    <t>Maria Jose  +34 689 10 63 71</t>
  </si>
  <si>
    <t>2025/457</t>
  </si>
  <si>
    <r>
      <rPr>
        <sz val="12"/>
        <color rgb="FF000000"/>
        <rFont val="Aptos"/>
        <family val="2"/>
      </rPr>
      <t>(finalizó el 27/03/2026)//el trabajador camilo informa 03/03/2026 que continuan pero falta documentacion//Todos los trabajadores finalizan el día </t>
    </r>
    <r>
      <rPr>
        <b/>
        <sz val="12"/>
        <color rgb="FF000000"/>
        <rFont val="Aptos"/>
        <family val="2"/>
      </rPr>
      <t>27/02</t>
    </r>
    <r>
      <rPr>
        <sz val="12"/>
        <color rgb="FF000000"/>
        <rFont val="Aptos"/>
        <family val="2"/>
      </rPr>
      <t>.</t>
    </r>
  </si>
  <si>
    <t>ALEXANDER PEREIRA HERNANDEZ</t>
  </si>
  <si>
    <r>
      <rPr>
        <sz val="12"/>
        <color rgb="FF000000"/>
        <rFont val="Aptos"/>
        <family val="2"/>
      </rPr>
      <t>(finalizó el 27/03/2026)//el trabajador camilo informa 03/03/2026 que continuan pero falta documentacion/Todos los trabajadores finalizan el día </t>
    </r>
    <r>
      <rPr>
        <b/>
        <sz val="12"/>
        <color rgb="FF000000"/>
        <rFont val="Aptos"/>
        <family val="2"/>
      </rPr>
      <t>27/02</t>
    </r>
    <r>
      <rPr>
        <sz val="12"/>
        <color rgb="FF000000"/>
        <rFont val="Aptos"/>
        <family val="2"/>
      </rPr>
      <t>.</t>
    </r>
  </si>
  <si>
    <t>han quedado SUSPENDIDOS.//1 NOCHE HOTEL PUERTOLLANO//deben salir el sabado a las 11:00Hr y volver el domingo despues de las 15:00Hr</t>
  </si>
  <si>
    <t>Carrer de Gayarre, 42, 2-1, Sants-Montjuïc, 08014 Barcelona</t>
  </si>
  <si>
    <t>+34 603 33 49 01 ~Iñaki</t>
  </si>
  <si>
    <t>2025/449</t>
  </si>
  <si>
    <t>OBRESIEDIFICACIONS</t>
  </si>
  <si>
    <r>
      <t>nos informa que el siguiente operario finaliza este sábado </t>
    </r>
    <r>
      <rPr>
        <b/>
        <sz val="12"/>
        <color rgb="FF000000"/>
        <rFont val="Aptos"/>
        <family val="2"/>
      </rPr>
      <t>27/09/2025:</t>
    </r>
  </si>
  <si>
    <t xml:space="preserve"> finalizaran hoy lunes 27/10.</t>
  </si>
  <si>
    <t>nos indica que los siguientes operarios finalizan mañana viernes 21/11/2025//Prevision hasta mediados de diciembre//El resto hasta finales de noviembre minimo</t>
  </si>
  <si>
    <t>R2025/085</t>
  </si>
  <si>
    <r>
      <rPr>
        <sz val="12"/>
        <color rgb="FF000000"/>
        <rFont val="Aptos"/>
        <family val="2"/>
      </rPr>
      <t>recision el próximo </t>
    </r>
    <r>
      <rPr>
        <b/>
        <sz val="12"/>
        <color rgb="FF000000"/>
        <rFont val="Aptos"/>
        <family val="2"/>
      </rPr>
      <t>04/09/2025</t>
    </r>
  </si>
  <si>
    <t>NELSON ENRIQUE MONTOYA BATISTA</t>
  </si>
  <si>
    <t>Pensión La Estación Calle La Estación, 2 - Bajo, 33470 Nubledo, Asturias</t>
  </si>
  <si>
    <t>+34 985505567</t>
  </si>
  <si>
    <t>2025/479</t>
  </si>
  <si>
    <t>CABEMA SL</t>
  </si>
  <si>
    <t>No paso prueba</t>
  </si>
  <si>
    <t>RIGOBERTO RIOS PACHECO</t>
  </si>
  <si>
    <t>MAURICIO GIRALDO VILLALBA</t>
  </si>
  <si>
    <t xml:space="preserve"> /Carrer del Rat-Penat, 6, 46940 Collado, València Pedro +34 647 71 99 66 087  SALE A PROPIO 01/09//como mínimo, hasta el 30 de junio. Existe la posibilidad de prórroga.// FINALIZA 05/09/25</t>
  </si>
  <si>
    <t>HARRIS HUMBERTO MENDOZA ANGULO</t>
  </si>
  <si>
    <t>cambio de alojamiento//Apartir del 01/10, pasarian a un alojamiento sin cocina//</t>
  </si>
  <si>
    <t>JAVIER HERNANDO VALDERRAMA GUTIERREZ</t>
  </si>
  <si>
    <t>2025/386</t>
  </si>
  <si>
    <t>Hay que desalojar, la habitación, porque se la quieren alquilar para un año</t>
  </si>
  <si>
    <t>Su último día de trabajo fue el pasado viernes 05/09/2025.//finalizarán el próximo viernes 12/9/2025.//del 01 al 05 de sep</t>
  </si>
  <si>
    <t>FABIAN ARTURO RUIZ GARCIA</t>
  </si>
  <si>
    <t>Julio Romero Guisado  26 C.P. 14120, situada en Fte. Palmera</t>
  </si>
  <si>
    <t>Correo tania informa: Alojamiento por cuenta propia.</t>
  </si>
  <si>
    <t>ALEXIS ENRIQUE MORENO ARRIETA</t>
  </si>
  <si>
    <t xml:space="preserve"> Alcanar Casas Carrer Remei, 12, 43530 Alcanar, Tarragona</t>
  </si>
  <si>
    <t>+34 661100267 Carmen</t>
  </si>
  <si>
    <t>2026/759</t>
  </si>
  <si>
    <t>20/07: (Continuidad confirmada, como mínimo, durante todo el mes de agosto)///15/07:Se informa que los siguientes trabajadores de Stocco para el cliente Reverter Industries continuarán prestando servicio hasta el 31/07/2026://07/07/2026: de momento 1 semanas mas hasta el 24/07  con posibilidad de prorrogar//17/06/2026: Extender a Alexis y Harris 4 semanas.//25/5/2026: reverter 3 meses//Ten en cuenta que a partir del 19 de julio estará reservado por otras personas hasta mediados de agosto.</t>
  </si>
  <si>
    <t>2025/503</t>
  </si>
  <si>
    <t xml:space="preserve">No viajo </t>
  </si>
  <si>
    <t>2025/157</t>
  </si>
  <si>
    <t>Calle Lastres 3, Gijón, Asturias 33207, España</t>
  </si>
  <si>
    <t>José Carlos +34 692 94 42 73</t>
  </si>
  <si>
    <t>2025/456</t>
  </si>
  <si>
    <t>JUNSASTEEL</t>
  </si>
  <si>
    <t>Cambia de alojamiento de airbnb: Avenida de la Costa, 30, Gijón, Principado de Asturias 33205, España del 08/09/2025 al 16/09/2025</t>
  </si>
  <si>
    <t>2025/473</t>
  </si>
  <si>
    <t>Cliente ya no lo necesita. Finalizado el 09-09-25</t>
  </si>
  <si>
    <t>Pensión Babes Ostatua Idiazabal Kalea, 6, 20130 Urnieta, Gipuzkoa</t>
  </si>
  <si>
    <t>Contacto: 663270830</t>
  </si>
  <si>
    <t>2025/056/RU0009</t>
  </si>
  <si>
    <t>reubicados a burgos</t>
  </si>
  <si>
    <t>IGNACIO ANTONIO ROLDAN AREVALO</t>
  </si>
  <si>
    <t>Plaça d'Andalusia, 7, 17007 Germans Sàbat, apartamento 13 Girona</t>
  </si>
  <si>
    <t>2025/464</t>
  </si>
  <si>
    <t>por error de ubicaciones estuvo donde casilda temporalmente</t>
  </si>
  <si>
    <t>2025/488</t>
  </si>
  <si>
    <t>el cliente ya no lo necesita finzaliza 09/09/25</t>
  </si>
  <si>
    <t>2025/486</t>
  </si>
  <si>
    <t>finalizan el proyecto hoy miércoles 10/09/2025.//Alojamiento por cuenta del cliente</t>
  </si>
  <si>
    <t>Avenida Doctor Fleming 28 1B, León, Castilla y León 24009, España</t>
  </si>
  <si>
    <t>Nelia  +34 638 31 48 45</t>
  </si>
  <si>
    <t>2025/485</t>
  </si>
  <si>
    <t>RUBIALEHIJOS</t>
  </si>
  <si>
    <t>2025/500</t>
  </si>
  <si>
    <t>CALDERERIA CAVESA</t>
  </si>
  <si>
    <t>No lo recibio en el alojamiento.</t>
  </si>
  <si>
    <t>nos informa que hoy viernes 12/09/2025 es el último día del operario</t>
  </si>
  <si>
    <t>SALE A ALOAMIENTO PROPIO 11/10/25, ALOJAMIENTO PAGO HASTA EL 01/11/25</t>
  </si>
  <si>
    <t>Vivienda ubicada en Orozko (Bizkaia), calle Untzueta nº 7- 3º C.</t>
  </si>
  <si>
    <t>carta de renuncia 02/07</t>
  </si>
  <si>
    <t>RAUL AUGUSTO MIRANDA</t>
  </si>
  <si>
    <t>ALEXANDER GUZMAN</t>
  </si>
  <si>
    <t>2025/492</t>
  </si>
  <si>
    <t>EDU PANDURO RUIZ</t>
  </si>
  <si>
    <t>2025/179</t>
  </si>
  <si>
    <t>CAMBIO DE ALOJAMIENTO//pendiente solicitar pago</t>
  </si>
  <si>
    <t>ESTA PAGO HASTA EL 02/09/el 12/09 finalizan en la obra de zona franca seran reubicados deobra</t>
  </si>
  <si>
    <t>FERNANDO HENRIQUE BARBOSA</t>
  </si>
  <si>
    <t>BORJA CASTRO MÁRQUEZ  +34 607 34 14 38</t>
  </si>
  <si>
    <t>CARTA DE RESCISIÓN</t>
  </si>
  <si>
    <t>calle rafael campalans 62 bajos 08903 hospitallet de Llobregat</t>
  </si>
  <si>
    <t>Cambio de alojamiento para granollers/el 12/09 finalizan en la obra de zona franca seran reubicados deobra</t>
  </si>
  <si>
    <t>Cambio de alojamiento para granollers//el 12/09 finalizan en la obra de zona franca seran reubicados deobra</t>
  </si>
  <si>
    <t>terminaran el día 12/09 en la ubicación de trabajo en la que se encuentran, estos 2 trabajadores junto con otro lo solicitan para otra obra y otras fechas</t>
  </si>
  <si>
    <t>2025/459/R101</t>
  </si>
  <si>
    <t>reemplazo de pajaro</t>
  </si>
  <si>
    <t>Cambio de alojamineto a donde magnus</t>
  </si>
  <si>
    <t>LUDWING ALBERTO FLECHAS HERNANDEZ</t>
  </si>
  <si>
    <t>2025/504</t>
  </si>
  <si>
    <t>No es ni tubero ni soldador</t>
  </si>
  <si>
    <t>JONATHAN ALEXANDRE NEIRA SUAZO</t>
  </si>
  <si>
    <t>2025/443</t>
  </si>
  <si>
    <t>FIT-3</t>
  </si>
  <si>
    <t>nos informa que el siguiente operario finalizó el pasado miércoles 10/09/2025:</t>
  </si>
  <si>
    <t>Prevision hasta mediados de diciembre//El resto hasta finales de noviembre minimo</t>
  </si>
  <si>
    <t xml:space="preserve">
enero del 2026//va para largo en principio hasta finales de año </t>
  </si>
  <si>
    <t>GABRIEL RIBEIRO MARTINS</t>
  </si>
  <si>
    <t>2026/772</t>
  </si>
  <si>
    <t>GERMAN GARCIA RODRIGUEZ</t>
  </si>
  <si>
    <t>2024/190</t>
  </si>
  <si>
    <t>Apartamentos Chelo Calle Vicente Mortes 15 - 17, 12470 Navajas, España</t>
  </si>
  <si>
    <t>Chelo +34 618448503</t>
  </si>
  <si>
    <t xml:space="preserve">vuelve donde lucia </t>
  </si>
  <si>
    <t>Calle Chavarria 3, 12450 Jérica, España</t>
  </si>
  <si>
    <t>BALTASAR BALAGUER +34 655 62 52 15</t>
  </si>
  <si>
    <t>GUBERNEY HURTADO SAUCEDO</t>
  </si>
  <si>
    <t>HERMIDES VILLADIEGO DAGER</t>
  </si>
  <si>
    <t>Carrer d'Alcala de Xivert, 102 1 ° DERECHA, Benicarló, Comunidad Valenciana 12580, España</t>
  </si>
  <si>
    <t>Yosra +34 698 78 32 06</t>
  </si>
  <si>
    <t>2025/R105</t>
  </si>
  <si>
    <t>COMMSAL</t>
  </si>
  <si>
    <t>El operario finalizo el pasado lunes 15/09/2025. Queda CANCELADO el reemplazo R2025/0105.</t>
  </si>
  <si>
    <t>2024/340</t>
  </si>
  <si>
    <t>MES DE JULIO PAGO/// PASA AL PISO CON LOS COMPAÑEROS// alargarán los proyectos hasta mínimo finales de septiembre///Reubicado a Guipuskoa</t>
  </si>
  <si>
    <t>GUILLERMO ARCINIEGAS MURILLO</t>
  </si>
  <si>
    <t>el trabajador sale alojamiento propio el 16/09, pero este se pago el 01/09, es decir, que es procedente a partir del 01/10</t>
  </si>
  <si>
    <t> 75 Localita' Cuccioratico, 55022 Fornoli LU, Bagni di Lucca, Lucca 55022, Italia</t>
  </si>
  <si>
    <t>Daniela Ferrari ‎+39 334 948 4635</t>
  </si>
  <si>
    <t>Alda Plaza Mayor Toro 17 Plaza Mayor, 49800 Toro, España</t>
  </si>
  <si>
    <t>+34 881 09 29 29</t>
  </si>
  <si>
    <t>2025/497</t>
  </si>
  <si>
    <t>debera alojarse en Pl. Mayor, 8, 49836 Tagarabuena, Zamora</t>
  </si>
  <si>
    <t>Hotel Complejo Roma N630, Km 435, 10700 Aldeanueva del Camino, España</t>
  </si>
  <si>
    <t>+34 927 48 40 38</t>
  </si>
  <si>
    <t>2025/481</t>
  </si>
  <si>
    <t>JAVIER ORLANDO PINTO VIANCHA</t>
  </si>
  <si>
    <t>EDINSON MANUEL DEL TORO MIRANDA</t>
  </si>
  <si>
    <r>
      <rPr>
        <sz val="12"/>
        <color rgb="FF000000"/>
        <rFont val="Aptos"/>
        <family val="2"/>
      </rPr>
      <t>nos informa que hoy </t>
    </r>
    <r>
      <rPr>
        <b/>
        <sz val="12"/>
        <color rgb="FF000000"/>
        <rFont val="Aptos"/>
        <family val="2"/>
      </rPr>
      <t>26/09/2025 es el último día//</t>
    </r>
  </si>
  <si>
    <t>CARLOS ALBERTO GUIA MONROY</t>
  </si>
  <si>
    <t>2025/442</t>
  </si>
  <si>
    <t>Cambio de alojamietno para donde angela vitoria</t>
  </si>
  <si>
    <t>permanecerán hasta el 12/09/2025//vamos a mantener al personal hasta el día 28/08/2025//</t>
  </si>
  <si>
    <t>se  pasa a la habitacion de zahra en burgos</t>
  </si>
  <si>
    <t>LUIS ENRIQUE SILVA GAMBOA</t>
  </si>
  <si>
    <t>SHELBY ENRIQUE OSPINA MONTERROSA</t>
  </si>
  <si>
    <t>el pasado martes 16/09/2025 finalizo l pedido 2025/438  queda fuera de cualquier proyecto con nosotros, no volverá a trabajar con ninguna empresa relacionada con nosotros, por sus faltas de respeto hacia nuestro personal.</t>
  </si>
  <si>
    <t>JAVIER DE JESUS SALAS MARTINEZ</t>
  </si>
  <si>
    <t>serán los de la reubicación 2025/0061.//el pasado martes 16/09/2025 finalizo l pedido 2025/438/</t>
  </si>
  <si>
    <t>Avenida de Castilla y León, Burgos, Castilla y León 09007, España</t>
  </si>
  <si>
    <t>Zahra +34 602 50 96 78</t>
  </si>
  <si>
    <t>nos informa que los siguientes operarios se quedarán junto al nuevo operario del pedido 2025/520 hasta el 03/10/2025//el cliente decide alargar el trabajo al resto de operarios otra semana más hasta el 19/09/2025//finalizarán el próximo viernes 12/9/2025.//del 01 al 05 de sep//CAMBIO ALOJAMIENTO PROPIO 16-09-25</t>
  </si>
  <si>
    <t>OSCAR EDUARDO ORTEGA LOPEZ</t>
  </si>
  <si>
    <t>Solicitud de traslado del cliente a Brcelona///su último día de trabajo fue el martes 16/09/2025.</t>
  </si>
  <si>
    <t>2025/461</t>
  </si>
  <si>
    <t>CRCOS</t>
  </si>
  <si>
    <t>finaliza mañana 05/09/2025</t>
  </si>
  <si>
    <t>PABLO MANOLO ROMERO HUERTAS</t>
  </si>
  <si>
    <t>finaliza el 05-9-5 no cumplio las expectativas</t>
  </si>
  <si>
    <t>DEINER MARIN ROCHA</t>
  </si>
  <si>
    <t>Cambio de alojamiento eder vitoria</t>
  </si>
  <si>
    <t>No ingresaron al alojamineto pasan alojamiento por cuenta propia a partir del 17/09</t>
  </si>
  <si>
    <t>GUSTAVO ALVES DE MOURA</t>
  </si>
  <si>
    <t>Se pasan el 08/03 para piso C. Isla Cristina, 9,///Abandono el trabajo 14/03</t>
  </si>
  <si>
    <t>GUSTAVO ANDRES PORRAS MORALES</t>
  </si>
  <si>
    <t>DARIO CARLOS MANUEL PEREIRA</t>
  </si>
  <si>
    <t>JOSE YOVANNY LOZANO GOMEZ</t>
  </si>
  <si>
    <t>Pensión Belmonte II . Pio XII, 3, 12580 Benicarló, España</t>
  </si>
  <si>
    <t>+34 964 47 12 39</t>
  </si>
  <si>
    <t>2025/521</t>
  </si>
  <si>
    <t>Nunca ingreso a la pension</t>
  </si>
  <si>
    <t>2026/R-0226</t>
  </si>
  <si>
    <t>ANGEL TEHERAN CARABALLO</t>
  </si>
  <si>
    <t>DANILO PINEDA RIVAS</t>
  </si>
  <si>
    <t>HERNANDO ORTIZ ALVAREZ</t>
  </si>
  <si>
    <t>ha comunicado la finalización del servicio de los siguientes trabajadores FIN: 27/02/2026//yajaira informa 16/03 que estan trabajando para otra empresa///puede retomar su actividad con normalidad a partir de hoy 20/02.//Comunicación urgente – Incidencia con clientes y suspensión de actividad18/02/2026//Prevision Finales de Diciembre</t>
  </si>
  <si>
    <t>ROGER ANTONIO GUERRA HERRERA</t>
  </si>
  <si>
    <t>nos informa que el siguiente operario finalizó el pasado 18/09/2025//Alojamiento y desplasamento por parte del cliente//continua hasta fecha por determinar por el cliente</t>
  </si>
  <si>
    <t>ALEEX IVAN LOPEZ CUBILLOS</t>
  </si>
  <si>
    <t>2024/407</t>
  </si>
  <si>
    <t>Calle MAJOR número 155 primer piso, del municipio de Ulldecona, con código postal 43550 </t>
  </si>
  <si>
    <t>alojamiento donde la hermana</t>
  </si>
  <si>
    <t>2025/513</t>
  </si>
  <si>
    <t>NOUMAFYC</t>
  </si>
  <si>
    <t>2025/R112</t>
  </si>
  <si>
    <t>finalizan hoy viernes 19/09/2025</t>
  </si>
  <si>
    <t>carta de renuncia 31/08// desistio de la renuncia</t>
  </si>
  <si>
    <t>trabajo hasta el 16-07-25</t>
  </si>
  <si>
    <t>FINALIZA 14-07</t>
  </si>
  <si>
    <t>HAROLD HEVER ALARCON MOLINA</t>
  </si>
  <si>
    <t>Continua con nuevo numero de pedido</t>
  </si>
  <si>
    <t xml:space="preserve">
enero del 2026//va para largo en principio hasta finales de año </t>
  </si>
  <si>
    <t>Calle Nou de Sant Francesc 8, 1º1, 08002 Barcelona</t>
  </si>
  <si>
    <t>ISAIAS MUNOZ MACHADO</t>
  </si>
  <si>
    <t>RONALD ALFONSO HERNANDEZ SALGADO</t>
  </si>
  <si>
    <t>Calle Gascon de Gotor, 9, zaragoza</t>
  </si>
  <si>
    <t>2025/561</t>
  </si>
  <si>
    <t>SAINTLOYALTY</t>
  </si>
  <si>
    <t>nos confirma que este viernes 07/11/2025, finalizan los siguientes operarios</t>
  </si>
  <si>
    <t>Hostal Rioja Condestable Doctores Castroviejo, 5, 26003 Logroño, España</t>
  </si>
  <si>
    <t>+34 941 24 72 88</t>
  </si>
  <si>
    <t>2025/R113</t>
  </si>
  <si>
    <t xml:space="preserve">Hotel El Hórreo de Avilés C. de Llaranes Viejo, 8, 33460 Avilés, Asturias
</t>
  </si>
  <si>
    <t>Cambio de alojamineto Booking</t>
  </si>
  <si>
    <t>YourHouse Mirador Termal do Mino Rúa San Paio, 34, 1, 32001 Ourense, España</t>
  </si>
  <si>
    <t>+34 619 57 78 62</t>
  </si>
  <si>
    <t xml:space="preserve"> Cambio de alojamiento//finalizan en las respectivas fechas 26/09/2025 //permanecerá en Mosquera Villavidal hasta el 26/09/2025//finaliza 12/09/25 informadopor correo 27/08////finalizarán el 03/09/2025 correo</t>
  </si>
  <si>
    <t xml:space="preserve"> Cambio de alojamiento// finalizan en las respectivas fechas 26/09/2025 //permanecerá en Mosquera Villavidal hasta el 26/09/2025//finaliza 26/09/25 informadopor correo 27/08///finalizarán el próximo 29/08/2025 correo</t>
  </si>
  <si>
    <t xml:space="preserve"> Cambio de alojamiento//Se debe buscar alojamiento hasta el 03/10//permanecerá en Finsa Orember hasta el 26/09/2025//finaliza 26/09/25 informadopor correo 27/08///finalizarán el próximo 29/08/2025 correo</t>
  </si>
  <si>
    <t>GABRIEL OCHOA GAITAN</t>
  </si>
  <si>
    <t>Hotel Viñas 17 C. Sta. Amalia, 17, 44003 Teruel</t>
  </si>
  <si>
    <t>2025/506</t>
  </si>
  <si>
    <r>
      <t> </t>
    </r>
    <r>
      <rPr>
        <b/>
        <sz val="11"/>
        <color theme="4" tint="-0.249977111117893"/>
        <rFont val="Aptos"/>
        <family val="2"/>
      </rPr>
      <t>2025/506</t>
    </r>
    <r>
      <rPr>
        <sz val="11"/>
        <color theme="4" tint="-0.249977111117893"/>
        <rFont val="Aptos"/>
        <family val="2"/>
      </rPr>
      <t> queda </t>
    </r>
    <r>
      <rPr>
        <b/>
        <sz val="11"/>
        <color theme="4" tint="-0.249977111117893"/>
        <rFont val="Aptos"/>
        <family val="2"/>
      </rPr>
      <t>CANCELADO</t>
    </r>
    <r>
      <rPr>
        <sz val="11"/>
        <color theme="4" tint="-0.249977111117893"/>
        <rFont val="Aptos"/>
        <family val="2"/>
      </rPr>
      <t> sin haberse iniciado. </t>
    </r>
  </si>
  <si>
    <t>Ctra. de Sabadell, 87, 08191 Rubí, Barcelona</t>
  </si>
  <si>
    <t>Nikhool Bulla +34665486067</t>
  </si>
  <si>
    <t>2025/519</t>
  </si>
  <si>
    <t>no ha pasado la prueba y hoy 23/09/2025 es su último día Ya se ha gestionado el reemplazo para el próximo día 01/10/2025//Costo pendiente ingresar///habitacion doble por 840€</t>
  </si>
  <si>
    <t>Pensión el Carmen  16 Calle del Manzanares, 28100 Alcobendas, España</t>
  </si>
  <si>
    <t>+34 688 55 78 90</t>
  </si>
  <si>
    <t>2025/463</t>
  </si>
  <si>
    <t>finaliza el pedido 2025/463 hoy, siendo el último día de los operarios: 24/09/25</t>
  </si>
  <si>
    <t>2025/517</t>
  </si>
  <si>
    <t>Solicitar pago Chema</t>
  </si>
  <si>
    <t>Informa Ramon se dejo de alojar hoy 13/01/2026 //ALOJAMIENTOPAGO HASTA 25 DE AGOSTO</t>
  </si>
  <si>
    <t>2025/026</t>
  </si>
  <si>
    <t>LANDETA BURDIN LANAK BERRIA SL</t>
  </si>
  <si>
    <t>PEDIDO DE REEMPLAZO</t>
  </si>
  <si>
    <t>2024/322</t>
  </si>
  <si>
    <t>SBV, finalizo con los siguientes operarios el pasado 25/09/2025///Carrer del Forn, 28 Sabadell, Barcelona//se quedará mínimo hasta principios de abril.</t>
  </si>
  <si>
    <t>PLAZA PAU CASALS 4 BLOQUE 2 '2 CODIGO POSTAL: 25600</t>
  </si>
  <si>
    <t>Benjamin Bautista Muñoz +34 671 22 74 61</t>
  </si>
  <si>
    <t>Cambio de alojamiento por cuenta propia</t>
  </si>
  <si>
    <t>CESAR AUGUSTO HOYOS SERNA</t>
  </si>
  <si>
    <t>finaliza el pedido 2025/463 hoy, siendo el último día de los operarios: 25/09/25-probablemente sea reubicado con este mismo cliente, estamos a la espera de la pronta respuesta</t>
  </si>
  <si>
    <t>YESID ZARATE MANJARREZ </t>
  </si>
  <si>
    <t>2025/530</t>
  </si>
  <si>
    <t>se fue ayer para miranda de ebro SIN AUTORIZACION</t>
  </si>
  <si>
    <t>PABLO ALBERTO RIANO BONILLA</t>
  </si>
  <si>
    <t>2025/446</t>
  </si>
  <si>
    <t>previsiones 25/9/2025//inaliza este miércoles 17/09/2025.
//11 septiembre 2025 no sabe utilizar manejo de grua</t>
  </si>
  <si>
    <t xml:space="preserve"> nos indica que el siguiente operario finaliza hoy viernes 26/09/2025:</t>
  </si>
  <si>
    <t>pendiente envio de contrato o recibo///</t>
  </si>
  <si>
    <t>2025/508</t>
  </si>
  <si>
    <t>Cambio de alojamiento//Llamar solicitar factura para pago</t>
  </si>
  <si>
    <t>ISAHAC EMILIO RADA BRUGES</t>
  </si>
  <si>
    <t>2025/584</t>
  </si>
  <si>
    <t>31/07/2026: Fecha Efectiva de Baja (Salida): 01/08/2026///Todos los trabajadores se quedan una semana mas hasta el día 31/07.//En principio, el sábado 25/07 será el último día de trabajo para los siguientes trabajadores. No obstante, existe la posibilidad de que finalmente también trabajen el domingo,//Informa Kawan whatsapp 05/02/2026- Se informa que todos los trabajadores quedan prorrogados con fecha de fin actualizada al 05/04/2026.</t>
  </si>
  <si>
    <t> ha sido despedido en el día de hoy sin llegar a iniciar actividad en el proyecto.16/03/2026//Personal que continúa y se reincorpora a partir del 13/03/2026 con una duración aproximada de 2 meses///KAWAM CORREO--&gt;Comunicación urgente – Incidencia con clientes y suspensión de actividad 18/02/2026</t>
  </si>
  <si>
    <t>METALTEC MONTAJES INDUSTRIALES, S.L.U</t>
  </si>
  <si>
    <t>HOSTAL MOLGAS Carretera de Maceda, nº 35, 32000 O Pereiro de Aguiar, Province of Ourense</t>
  </si>
  <si>
    <t>Salome +34 643 65 75 68</t>
  </si>
  <si>
    <t xml:space="preserve">  finaliza hoy 26/09/2025//finalizan en las respectivas fechas 26/09/2025 //permanecerá en Mosquera Villavidal hasta el 26/09/2025//finaliza 26/09/25 informadopor correo 27/08///finalizarán el próximo 29/08/2025 correo</t>
  </si>
  <si>
    <t>WILBER LOPEZ BALETA</t>
  </si>
  <si>
    <t>2025/520</t>
  </si>
  <si>
    <t>trabaja hasta el 26/09///nos indica las siguientes previsiones 03/10/2025</t>
  </si>
  <si>
    <t>Cambio alojamiento por cuenta propia 16/05/2026</t>
  </si>
  <si>
    <t>ERIK RUBEN RAMIREZ SIMANCAS</t>
  </si>
  <si>
    <t>2025/499</t>
  </si>
  <si>
    <t xml:space="preserve"> finalizan hoy viernes 19/09/2025, el cliente lo quiere para el pedido 2025/505 que inicia el 29/09/2025</t>
  </si>
  <si>
    <t>HECTOR FABIO GUZMAN CAICEDO</t>
  </si>
  <si>
    <t>HOTEL BON LLOC Carretera Vinaròs, s/n, 43550 com, Tarragona</t>
  </si>
  <si>
    <t>Contacto: ‪977720209</t>
  </si>
  <si>
    <t>SINFINES FACTORY S.L</t>
  </si>
  <si>
    <t>JOSE STEVAN MURILLO MARTÍNEZ</t>
  </si>
  <si>
    <t>Todos los trabajadores se quedan una semana mas hasta el día 31/07.//continuará trabajando, de momento, hasta el lunes 27/07, incluido, ya os confirmaré si efectivamente lunes será su ultimo día.///Informa Kawan whatsapp 05/02/2026- Se informa que todos los trabajadores quedan prorrogados con fecha de fin actualizada al 05/04/2026.</t>
  </si>
  <si>
    <t>Alzira Bonita, C. Valencia, 46600 Alzira, Valencia</t>
  </si>
  <si>
    <t>Dolors +34 670 08 59 33</t>
  </si>
  <si>
    <t>2025/512</t>
  </si>
  <si>
    <t>ha comunicado la finalización del servicio de los siguientes trabajadores FIN: 27/02/2026//yajaira informa 16/03 que estan trabajando para otra empresa//puede retomar su actividad con normalidad a partir de hoy 20/02./Comunicación urgente – Incidencia con clientes y suspensión de actividad18/02/2026//Prevision Finales de Diciembre</t>
  </si>
  <si>
    <t>JULIO CESAR OROZCO MEDINA</t>
  </si>
  <si>
    <t>reubicación 2025/546</t>
  </si>
  <si>
    <t>FREDY RICARDO AGUDELO SALAMANCA</t>
  </si>
  <si>
    <t>2025/505</t>
  </si>
  <si>
    <t>este operario ha asistido hoy como primer día y ya le han informado de que no podrá iniciar por falta de trabajo.</t>
  </si>
  <si>
    <t>Reubicacion: 2025/RU0064</t>
  </si>
  <si>
    <t>ALVARO ARIZA CONTRERAS</t>
  </si>
  <si>
    <t>nos indica las siguientes previsiones 26/09/2025//nos informa que los siguientes operarios se quedarán junto al nuevo operario del pedido 2025/520 hasta el 03/10/2025//el cliente decide alargar el trabajo al resto de operarios otra semana más hasta el 19/09/2025//finalizarán el próximo viernes 12/9/2025.//del 01 al 05 de sep</t>
  </si>
  <si>
    <t>Via Nazario Sauro, 67, Ferrara, Emilia-Romaña 44122, Italia</t>
  </si>
  <si>
    <t>Matteo  +39 333 233 9899</t>
  </si>
  <si>
    <t>Siendo su último día el 27/09/2025, Ya se ha generado el Reemplazo R2025/119. </t>
  </si>
  <si>
    <t>Carrer de la Mare de Déu dels Socors, 123 5b, Almassora, Comunidad Valenciana 12550, España</t>
  </si>
  <si>
    <t xml:space="preserve">+34 641 39 53 48~Maria +34 674 75 44 32~Rental </t>
  </si>
  <si>
    <t>2025/537</t>
  </si>
  <si>
    <t>Arbnb</t>
  </si>
  <si>
    <t>pedido” pasa a considerarse como una reubicación temporal./// Alojamiento facturado al cliente///finalizan este sábado 27/09/2025.</t>
  </si>
  <si>
    <t>Calle San Agustín nº 9, 26001 Logroño, España</t>
  </si>
  <si>
    <t>HERI +34 675 33 52 04</t>
  </si>
  <si>
    <t>SM Apartments Plateria 36 , 25002 Lleida, España</t>
  </si>
  <si>
    <t>+34 636 34 03 39</t>
  </si>
  <si>
    <t>2025/400</t>
  </si>
  <si>
    <t>JORFE EFICIÈNCIA ENERGÈTICA</t>
  </si>
  <si>
    <t>cambio de alojmaiento a Goya</t>
  </si>
  <si>
    <t>HAROLD HEBER ALARCÓN MOLINA</t>
  </si>
  <si>
    <t>+34 640 56 07 39</t>
  </si>
  <si>
    <t>2025/518</t>
  </si>
  <si>
    <t>REEMPLAZADO 2025/R134</t>
  </si>
  <si>
    <t>nos indica las siguientes previsiones 26/09/2025///nos informa que los siguientes operarios se quedarán junto al nuevo operario del pedido 2025/520 hasta el 03/10/2025//el cliente decide alargar el trabajo al resto de operarios otra semana más hasta el 19/09/2025//finalizarán el próximo viernes 12/9/2025.//del 01 al 05 de sep</t>
  </si>
  <si>
    <t>2025/431</t>
  </si>
  <si>
    <r>
      <t>con un retraso superior a los dos meses. Por ello, y hasta nuevo aviso, el proyecto queda </t>
    </r>
    <r>
      <rPr>
        <sz val="12"/>
        <color rgb="FF000000"/>
        <rFont val="Aptos"/>
        <family val="2"/>
      </rPr>
      <t>suspendido temporalmente. </t>
    </r>
  </si>
  <si>
    <t>Calle Panaderos, Granada, Andalucía 18010, España</t>
  </si>
  <si>
    <t>Moni Jimenez +34 606 66 19 98</t>
  </si>
  <si>
    <t>2025/033/RU041</t>
  </si>
  <si>
    <t>operarios que se moverán a Madrid 29/09/2025//nos informa que el siguiente operario permanecerá en Granada hasta el 25/10/2025</t>
  </si>
  <si>
    <t>Su último día fue el pasado martes 30/09/2025///nos informa que el siguiente operario ha dejado el trabajo por problemas de salud Ya se está gestionando el reemplazo.///Pasan Alojamiento fijo 28/06///Calle Castelladral nº 48  piso 2º puerta 4ª. Navas</t>
  </si>
  <si>
    <t>su último día ha sido hoy 30/09/2025.</t>
  </si>
  <si>
    <t xml:space="preserve">nos confirma que hoy 30/09/2025 finaliza el siguiente operario y el pedido 2025/331//CAMBIO DE ALOJAMIENTO A PROPIO PAGO HASTA EL 08-08--25///nos informa que el próximo 30/09/2025 finaliza </t>
  </si>
  <si>
    <t>JHONATAN MIGUEL ARIZA HERRERA</t>
  </si>
  <si>
    <t>NICXON GARCIA FIERRO</t>
  </si>
  <si>
    <t>2026/764</t>
  </si>
  <si>
    <t xml:space="preserve"> ha solicitado su baja voluntaria con efecto inmediato, siendo hoy, 27/07/2026, su último día de trabajo. //02/06/2026 montra prevision de hasta el dia 03/07 van renovando mes a mes /</t>
  </si>
  <si>
    <t>el 12/09 finalizan en la obra de zona franca, INGRESA EL 14/08 al alojamiento pedido480</t>
  </si>
  <si>
    <t>JOSE MIGUEL ZACARIAS CHIRINOS</t>
  </si>
  <si>
    <t>HOSTAL FRANCISCO SALINAS 91 Calle Francisco Salinas, 09003 Burgos, España</t>
  </si>
  <si>
    <t>+34 947 46 09 39</t>
  </si>
  <si>
    <t>2025/536</t>
  </si>
  <si>
    <t>HIDRO SISTEMAS Y MONTAJES</t>
  </si>
  <si>
    <t>JEREMY PAUL CABRERA CALDERON</t>
  </si>
  <si>
    <t>Calle Alonso Ercilla, 39001 Santander, Cantabria, Spain</t>
  </si>
  <si>
    <t>Maribel +34 687 44 29 11</t>
  </si>
  <si>
    <t>2025/373</t>
  </si>
  <si>
    <t>C. San Fernando, 48, 39010 Santander, Cantabria</t>
  </si>
  <si>
    <t>Lisviy +34 697 92 54 69</t>
  </si>
  <si>
    <t>ALOJAMIENT PAGO HASTA EL 23/08/25</t>
  </si>
  <si>
    <t>2025/422</t>
  </si>
  <si>
    <t>finalizó el pasado viernes 12/09/2025.//finalizará el próximo 30/09/2025.</t>
  </si>
  <si>
    <t>ALOJAMIENTO FIJO PAGO HASTA EL 19-07-25. PASA ALOJAMIENTO PROPIO 01/07.</t>
  </si>
  <si>
    <t>ISAIAS MUÑOZ MACHADO (Último día: 25/07/2026) Motivo: Ambos trabajadores presentaron su renuncia tras obtener la documentación de regularización.</t>
  </si>
  <si>
    <t>JAIDER DE JESUS PAREDES LOPEZ</t>
  </si>
  <si>
    <t>Finaliza06/09//</t>
  </si>
  <si>
    <t>JAIRO ANDRES OQUENDO BONILLA</t>
  </si>
  <si>
    <t>Calle Alcantarilla, 61, Cortes de la Frontera, Andalucía 29380, España</t>
  </si>
  <si>
    <t>Josè Manuel 616108124</t>
  </si>
  <si>
    <t>2024/329</t>
  </si>
  <si>
    <t>trasladado a Ceuta 11/11///Alojamiento hasta 22/10 Virgen de la Paz, 2, Benarrabá, Andalucía 29490, España Inmaculada +34 646 25 22 71</t>
  </si>
  <si>
    <t>GREGORIO HERNAN ARIAS JARAMILLO</t>
  </si>
  <si>
    <t>Calle Padre Aniceto Fernández 2 2A, León, Castilla y León 24009, España</t>
  </si>
  <si>
    <t>Yami +34 648 76 04 16 </t>
  </si>
  <si>
    <t>2025/485/R107</t>
  </si>
  <si>
    <t>2025/R134</t>
  </si>
  <si>
    <t>ARLINTON ENRIQUE CABALLERO PEDROZO</t>
  </si>
  <si>
    <t>2025/382/R0092</t>
  </si>
  <si>
    <r>
      <t>finaliza hoy </t>
    </r>
    <r>
      <rPr>
        <b/>
        <sz val="12"/>
        <color rgb="FF000000"/>
        <rFont val="Aptos"/>
        <family val="2"/>
      </rPr>
      <t>02/10/2025:</t>
    </r>
  </si>
  <si>
    <r>
      <t>finalizará este jueves 02/10/2025, siendo su último día.///finalizarán el próximo </t>
    </r>
    <r>
      <rPr>
        <b/>
        <sz val="12"/>
        <color theme="4" tint="-0.249977111117893"/>
        <rFont val="Aptos"/>
        <family val="2"/>
      </rPr>
      <t>03/10/2025</t>
    </r>
  </si>
  <si>
    <t>Cambio de alojamiento//se amplio hasta el 01/10</t>
  </si>
  <si>
    <t>Calle Alcalde Emilio Francés, 17, Logroño, La Rioja 26004, España</t>
  </si>
  <si>
    <t>Martin+ 34617328645</t>
  </si>
  <si>
    <t>1 mes y medio con posibilidad de estender</t>
  </si>
  <si>
    <t xml:space="preserve">Cambio de alojamiento Habitacion Diana //1 mes y medio con posibilidad de estender// </t>
  </si>
  <si>
    <t>finaliza su labor con el cliente este próximo viernes 05/09/2025.</t>
  </si>
  <si>
    <t>2025/466</t>
  </si>
  <si>
    <t>el último día efectivo de trabajo fue el 13 de enero- Yajaira informa que renuncio.</t>
  </si>
  <si>
    <t>2025/498</t>
  </si>
  <si>
    <t>La Becada de Buelna Barrio la Concepcion, San Mateo, 39400 Los Corrales de Buelna, España</t>
  </si>
  <si>
    <t>+34 627 05 18 27</t>
  </si>
  <si>
    <t>JULIAN CAMILO MUÑOZ CARDONA</t>
  </si>
  <si>
    <t>C/Sol i Padris 107 3º4ª de Sabadell</t>
  </si>
  <si>
    <t>Alfonso Ameijeiras Traserra +34 662 52 65 92</t>
  </si>
  <si>
    <t>nos informa que el pasado viernes 03/10/2025//viernes 03/10/2025, es el último día del operario</t>
  </si>
  <si>
    <t>2025/343</t>
  </si>
  <si>
    <t>nos informa que hoy 03/10/2025 es el último día ///SE QUEDARA AL MENOS HASTA EL 10/09///SIGUE TRABAJANDO NO HA SALIDO 17-09-25</t>
  </si>
  <si>
    <t xml:space="preserve">nos informa que hoy 03/10/2025 es el último día </t>
  </si>
  <si>
    <t>Giba Fregenal Kalea, 19, 48550 Muskiz, Bizkaia</t>
  </si>
  <si>
    <t>Miguel Fuentes Moreda 34 619 41 45 77</t>
  </si>
  <si>
    <t>2025/103</t>
  </si>
  <si>
    <t>TECNICAS DE VENTILACIÓN CALGE</t>
  </si>
  <si>
    <t>salida 11/07/25</t>
  </si>
  <si>
    <r>
      <t>Pol. Ind. San Martín, C. Estación, 1, 48550 Muskiz, Vizcaya</t>
    </r>
    <r>
      <rPr>
        <sz val="11"/>
        <color theme="1"/>
        <rFont val="Calibri"/>
        <family val="2"/>
        <scheme val="minor"/>
      </rPr>
      <t> </t>
    </r>
  </si>
  <si>
    <t>nos informa que este viernes 26/09/2025 finalizan//Cambio de alojamiento</t>
  </si>
  <si>
    <t>JEENVINSON ADALBERTO IGUARAN GRANADILLO</t>
  </si>
  <si>
    <t>La Magdalena Kalea, 2, 6D -  48550 Muskiz, Bizkaia</t>
  </si>
  <si>
    <t>2025/545</t>
  </si>
  <si>
    <t>Pedido cancelado 30/09/2025 ya se ha reubicado al pedido 2025/544.</t>
  </si>
  <si>
    <t>pero volvemos a retomarlo y seguimos para adelante.</t>
  </si>
  <si>
    <t>JOSE TRINIDAD ALVAREZ SALAMANCA</t>
  </si>
  <si>
    <t>Albergue Santa Clara C. Sta. Clara, 3, 34120 Carrión de los Condes, Palencia</t>
  </si>
  <si>
    <t>Sor Maica +34  646163883</t>
  </si>
  <si>
    <t>2025/541</t>
  </si>
  <si>
    <t>STOKES FLUID</t>
  </si>
  <si>
    <t>sale en 3 dias por que esta enfermo.</t>
  </si>
  <si>
    <t>nos informa que los siguientes operarios finalizaron el lunes 03/11/2025</t>
  </si>
  <si>
    <t>nos informa que los siguientes operarios finalizaron el lunes 03/11/2025//Cambio de alojamiento//se amplio hasta el 01/10</t>
  </si>
  <si>
    <r>
      <rPr>
        <sz val="11"/>
        <color rgb="FF305496"/>
        <rFont val="Calibri"/>
        <family val="2"/>
      </rPr>
      <t>nos informa que los siguientes operarios finalizaron el lunes 03/11/2025//con un retraso superior a los dos meses. Por ello, y hasta nuevo aviso, el proyecto queda </t>
    </r>
    <r>
      <rPr>
        <sz val="12"/>
        <color rgb="FF000000"/>
        <rFont val="Aptos"/>
        <family val="2"/>
      </rPr>
      <t>suspendido temporalmente. </t>
    </r>
  </si>
  <si>
    <t>nos informa que el domingo 05/10/2025, será el último día del operario.</t>
  </si>
  <si>
    <t>2025/516</t>
  </si>
  <si>
    <t>CORIOLANO ALFREDO ROJAS MURILLO</t>
  </si>
  <si>
    <t>LUIS SAUL ARIAS NAVA</t>
  </si>
  <si>
    <t>2025/560</t>
  </si>
  <si>
    <t>NO SE QUEDO AQUÍ TIENE ALOJAMIENTO PROPIO</t>
  </si>
  <si>
    <t>RODRIGO DE OLIVEIRA BEZERRA</t>
  </si>
  <si>
    <t>Larramendi Torrea San Juan, 6, 20720 Azcoitia, España</t>
  </si>
  <si>
    <t>+34 638 05 88 80</t>
  </si>
  <si>
    <t>2025/026/R126</t>
  </si>
  <si>
    <t>2024/444</t>
  </si>
  <si>
    <t>ISLAS BALEARES</t>
  </si>
  <si>
    <t>Calle Bentaguayre, 33, 35009 Las Palmas de Gran Canaria, España</t>
  </si>
  <si>
    <t>+34 644 04 53 01 ~Gabriele</t>
  </si>
  <si>
    <t>Cambio de alojamiento///se puede ampliar hasta 08/10//// pasan a La Puntilla Arena, por Booking reserva realizada desde el 07/10 hasta el 03/11</t>
  </si>
  <si>
    <t>CAMBIA ALOJAMIENTO POR CUENTA PROPIA</t>
  </si>
  <si>
    <t>Avenida las Palmeras 2B, Marbella, Andalucía 29601, España</t>
  </si>
  <si>
    <t>RU2025/011/444</t>
  </si>
  <si>
    <t> Hostal Serpol Vizcaya, 1, 34003 Palencia, España</t>
  </si>
  <si>
    <t>+34 979 71 30 88</t>
  </si>
  <si>
    <t>2025/510</t>
  </si>
  <si>
    <t>HIMEPAL HIERROS Y METALICAS PALENTINAS, SL</t>
  </si>
  <si>
    <t>TAKAMU KAPHILAH AGUDELO CONTECHA</t>
  </si>
  <si>
    <t>JHORMAN STEVEN PINTO QUITORA</t>
  </si>
  <si>
    <t>MANUEL TCHIMBINJA GOMBACASSI</t>
  </si>
  <si>
    <t>2025/482</t>
  </si>
  <si>
    <t>CAMBIO DE Alojamiento ///Ibrahim 03/10/2025 dice:  se quedan almenos tres semanas más</t>
  </si>
  <si>
    <t>2025/542</t>
  </si>
  <si>
    <t>trabajo hasta el 07/10 (info por Yajaira)solicitaron reemplazo///Posteriormente estos empleados volverán a Lleida (en donde estaban trabajando) una vez finalicen ahí, aproximadamente la semana del 13/10</t>
  </si>
  <si>
    <t>CAMBIO A  ALOJAMIENTO PROPIO 07/10/25, Yajaia HACE NOTIFICACIÒN EL 28/11</t>
  </si>
  <si>
    <t>Hostal Hilton Vitoria, 165, 09007 Burgos, España</t>
  </si>
  <si>
    <t xml:space="preserve"> +34 947 22 51 16</t>
  </si>
  <si>
    <t>2025/RU0064</t>
  </si>
  <si>
    <t>Cuando tengan que permanecer y pernoctar fuera de Valladolid (donde ustedes como empresa les tienen alojamiento), estos trabajadores les indicarán dónde se hospedarán los trabajadores de Grupo P. Ferreras, S.L. para que ustedes les cojan el alojamiento en las mismas inmediaciones, debido a que son trasladados por nuestros trabajadores haciendo uso de nuestros vehículos.</t>
  </si>
  <si>
    <t>6 Rue Petite la Réal, Perpignan, Occitania 66000, Francia</t>
  </si>
  <si>
    <t>2025/489</t>
  </si>
  <si>
    <t>finalizan este viernes 19/09</t>
  </si>
  <si>
    <t>ALOJAMIENTO POR CUENTA DEL CLENTE</t>
  </si>
  <si>
    <t>CAMBIA A ALOJAMIENTO PROPIO PTE CONFIRMACIO DE MARCELO</t>
  </si>
  <si>
    <t>URBI Apartments Historic Center S.L. Carrer de la Codinella, 9, 08241 Manresa, Barcelona</t>
  </si>
  <si>
    <t>Gerard +34 608566126</t>
  </si>
  <si>
    <t>2025/467</t>
  </si>
  <si>
    <t>Cambian de alojamiento el 09/10 hasta el 12/10 en el hostal balviera despues el 12/10 vuelven a urbi hasta el 21/10///Ibrahim 30/09/2025 dice: Hasta mediados de Octubre///Avisar con tiempo si hay ampliación de la reserva</t>
  </si>
  <si>
    <t>Cambian de alojamiento el 09/10 hasta el 12/10 en el hostal balviera despues el 12/10 vuelven a urbi hasta el 21/10//Ibrahim 30/09/2025 dice: Hasta mediados de Octubre/Avisar con tiempo si hay ampliación de la reserva</t>
  </si>
  <si>
    <t>ALBEIRO CARDOZO HEREDIA</t>
  </si>
  <si>
    <t>2025/310</t>
  </si>
  <si>
    <r>
      <t>finalizarán el 10/10/2025:///finalizarán el próximo </t>
    </r>
    <r>
      <rPr>
        <b/>
        <sz val="12"/>
        <color theme="4" tint="-0.249977111117893"/>
        <rFont val="Aptos"/>
        <family val="2"/>
      </rPr>
      <t>03/10/2025</t>
    </r>
  </si>
  <si>
    <t>JONATHAN ALEJANDRO MARTINEZ CASTIBLANCO</t>
  </si>
  <si>
    <t>2025/R0089</t>
  </si>
  <si>
    <t>nos indica que necesitará finalmente al siguiente operario hasta el próximo 10/10/2025///finaliza el 30/09/25</t>
  </si>
  <si>
    <t>2025/483</t>
  </si>
  <si>
    <t>los siguientes operarios finalizan este viernes 10/10/2025//cambio calle Remiro de Goñi n.º 38, en Pamplona, Navarra. se producirá el día 28 de septiembre Los trabajadores ya están avisados.</t>
  </si>
  <si>
    <t>los siguientes operarios finalizan este viernes 10/10/2025///cambio calle Remiro de Goñi n.º 38, en Pamplona, Navarra. se producirá el día 28 de septiembre Los trabajadores ya están avisados.</t>
  </si>
  <si>
    <t>HECTOR ROMAN LUQUE CUTIPA</t>
  </si>
  <si>
    <t>Antonio Trueba Zeharkalea, 2, 48550 Muskiz, Bizkaia</t>
  </si>
  <si>
    <t>FREDIS BOLAÑOS GARCIA</t>
  </si>
  <si>
    <t>finaliza 01/08/// ME INFORMAN QUE EL TRABAJADOR SIGUE ACTIVO</t>
  </si>
  <si>
    <t>Giba Fregenal Kalea, 19, 2°D, 48550 Muskiz, Bizkaia</t>
  </si>
  <si>
    <t>2025/084</t>
  </si>
  <si>
    <t xml:space="preserve"> nos informa que este viernes 26/09/2025 finalizan///NO desiste este viernes 26/09/2025 y continúa con el cliente hasta nuevo aviso//nos informa que los siguientes operarios finalizan el próximo 26/09/2025:</t>
  </si>
  <si>
    <t>2025/472</t>
  </si>
  <si>
    <t>no es profesional y falta al trabajo EDWARD ENTRO EN SU REEMPLAZO</t>
  </si>
  <si>
    <t>WILMER PEREZ CUSBA</t>
  </si>
  <si>
    <t>nos indica las siguientes previsiones: 10/10/2025///El último día de trabajo será el jueves 09/10.///trabaja hasta el 03/10/25///nos indica las siguientes previsiones 26/09/2025//nos informa que los siguientes operarios se quedarán junto al nuevo operario del pedido 2025/520 hasta el 03/10/2025//el cliente decide alargar el trabajo al resto de operarios otra semana más hasta el 19/09/2025//finalizarán el próximo viernes 12/9/2025.//del 01 al 05 de sep</t>
  </si>
  <si>
    <t>nos indica las siguientes previsiones: 10/10/2025//El último día de trabajo será el jueves 09/10.///nos indica las siguientes previsiones 03/10/2025//Sale el 16-09-25 pero esta pago hasta el 22/09/25</t>
  </si>
  <si>
    <t>nos informa que este viernes 10/10/2025, es el último día//Alojamiento por cuenta del cliente///nos indica las siguientes fechas previstas para finalizar  17/10/2025 (Segovia)</t>
  </si>
  <si>
    <t>nos informa que este viernes 10/10/2025, es el último día///Alojamiento por cuenta del cliente//nos indica las siguientes fechas previstas para finalizar 17/10/2025 (Segovia)</t>
  </si>
  <si>
    <t>2025/R102</t>
  </si>
  <si>
    <r>
      <rPr>
        <sz val="12"/>
        <color rgb="FF000000"/>
        <rFont val="Aptos"/>
        <family val="2"/>
      </rPr>
      <t>nos indica las siguientes previsiones 26/09/2025//nos informa que los siguientes operarios se quedarán junto al nuevo operario del pedido 2025/520 hasta el 03/10/2025//el cliente decide alargar el trabajo al resto de operarios otra semana más hasta el 19/09/2025//finalizarán el próximo viernes </t>
    </r>
    <r>
      <rPr>
        <b/>
        <sz val="12"/>
        <color rgb="FF000000"/>
        <rFont val="Aptos"/>
        <family val="2"/>
      </rPr>
      <t>12/9/2025.//del 01 al 05 de sep</t>
    </r>
  </si>
  <si>
    <t>DAVID FELIPE HERRERA HERRERA</t>
  </si>
  <si>
    <t>Habitación asador el puente galdames La Aceña Auzoa, 7, 48191 Atxuriaga, Biscay</t>
  </si>
  <si>
    <t>2025/R073</t>
  </si>
  <si>
    <t>último día será el próximo 19/09/2025.//Último día de trabajo: 20/09/2025</t>
  </si>
  <si>
    <t>2025/R138</t>
  </si>
  <si>
    <t>Carrer de Sant Gaietà 3-6, Torrent, Comunidad Valenciana 46900, España</t>
  </si>
  <si>
    <t xml:space="preserve">Juan Antonio +34 655 47 57 76
</t>
  </si>
  <si>
    <t>2025/546</t>
  </si>
  <si>
    <t xml:space="preserve">Pasan para donde Javier </t>
  </si>
  <si>
    <t>Cambio de alojamiento//Alojamiento en el hostal campestre falta solicitar pago// Ibrahim 03/10/2025 dice:  se quedan almenos tres semanas más</t>
  </si>
  <si>
    <t>FRANK ESNEIDER PEREZ TABARES</t>
  </si>
  <si>
    <t>Carrer de Joan Fiveller, 8, Rubí, Catalunya 08191, España</t>
  </si>
  <si>
    <t>RAUL +34 652 07 03 77</t>
  </si>
  <si>
    <t>2025/R137</t>
  </si>
  <si>
    <t>DINAT 2006 SLU</t>
  </si>
  <si>
    <t>pasa a el alojamiento de: REEMPLAZO:WILLIAMS HUMBERTO ABAD MONTALBAN</t>
  </si>
  <si>
    <t>LUIS GUILLERMO ARTEAGA AGUDELO</t>
  </si>
  <si>
    <t>CARLOS ANDRES ARIAS RODRIGUEZ</t>
  </si>
  <si>
    <t>2026/707</t>
  </si>
  <si>
    <t>Informo por teams Jhonatan: El trabajador no me respondía desde el jueves 29/01 y hoy logré tener un nuevo contacto con él; me informó que viajó a su país (Colombia) y que no se encuentra en el trabajo.</t>
  </si>
  <si>
    <t>Hotel Alhama Calle Carracascante 73, Variante. 31592 Cintruénigo, Spain</t>
  </si>
  <si>
    <t>948 812 774</t>
  </si>
  <si>
    <t>2026/RU103</t>
  </si>
  <si>
    <t>2025/R080</t>
  </si>
  <si>
    <t>TRABAJO HASTA 20/08/25</t>
  </si>
  <si>
    <t>pasa alojamiento de la empresa a partir del 12/10/25</t>
  </si>
  <si>
    <t>finalizan este sábado 27/10/2025-estos operarios serán reubicados al pedido 2025/548 de este mismo cliente, hasta el inició de este pedido el 13/10/2025 se mantendrán en el apartamento</t>
  </si>
  <si>
    <t>2025/R115</t>
  </si>
  <si>
    <t>2025/544</t>
  </si>
  <si>
    <t>el trabajador yeison arley comenzara a trabajar el día 14/10 en la empresa ENTRERRIOS debido a que lo estan solicitando y
es el unico que puede entrat a la fabrica de entrerrios porque ya esta validado.</t>
  </si>
  <si>
    <t>HOSTAL CAMPESTRE C/SAN CRISTOBAL Nº 11 (POL. LA MORA) C.P. 47193 CISTERNIGA (VALLADOLID)</t>
  </si>
  <si>
    <t>Juan Francisco de la Horra +34 672132833</t>
  </si>
  <si>
    <t>2025/550</t>
  </si>
  <si>
    <t>, se cambio para donde esta ferney el 12/10//PREAVISO HASTA: 21/10/2025</t>
  </si>
  <si>
    <t>se cambio para donde esta ferney el 12/10/</t>
  </si>
  <si>
    <t>Hostal Baviera  Plaça Doctor Fleming, s/n, 08270 Navarcles, Barcelona</t>
  </si>
  <si>
    <t>+34 93 831 03 40</t>
  </si>
  <si>
    <t>Cambio de alojamiento ya informado, prats</t>
  </si>
  <si>
    <t>Cambio de alojamiento ya informado, vuelven a cosserolla</t>
  </si>
  <si>
    <t>Cambio de alojamiento ya informado, vuelven a forn</t>
  </si>
  <si>
    <t>Cambio de alojamiento ya informado, vuelven a urbi</t>
  </si>
  <si>
    <t>Trasladado a cortes de la frontera 16/09</t>
  </si>
  <si>
    <t>MICHAEL ANDRES PIZARRO LUNA</t>
  </si>
  <si>
    <t>2025/381</t>
  </si>
  <si>
    <t>JOHAN ANDRES HERRERA RUGE</t>
  </si>
  <si>
    <t>R2025/0082</t>
  </si>
  <si>
    <t>nos informa que este viernes 26/09/2025 finalizan</t>
  </si>
  <si>
    <t>Calle Galicia, 45, San Pedro del Pinatar, Región de Murcia 30740, España</t>
  </si>
  <si>
    <t>Robin Oudenhoven+31 646949970</t>
  </si>
  <si>
    <t>2025/458</t>
  </si>
  <si>
    <t>finales de noviembre 1 pareja sale 13/10 al 13/11</t>
  </si>
  <si>
    <t>LUIS ALFREDO APONTE ANTON</t>
  </si>
  <si>
    <t>finales de noviembre</t>
  </si>
  <si>
    <t>2025/R136</t>
  </si>
  <si>
    <t>Pasa alojamiento temporal goya//Posteriormente estos empleados volverán a Lleida (en donde estaban trabajando) una vez finalicen ahí, aproximadamente la semana del 13/10</t>
  </si>
  <si>
    <r>
      <rPr>
        <sz val="12"/>
        <color rgb="FF000000"/>
        <rFont val="Aptos"/>
        <family val="2"/>
      </rPr>
      <t>/nos indica que el pasado viernes </t>
    </r>
    <r>
      <rPr>
        <b/>
        <sz val="12"/>
        <color rgb="FF000000"/>
        <rFont val="Aptos"/>
        <family val="2"/>
      </rPr>
      <t>10/10/2025</t>
    </r>
  </si>
  <si>
    <t>CARLOS ROBERTO SAAVEDRA ROJAS</t>
  </si>
  <si>
    <r>
      <t>nos indica que el pasado viernes </t>
    </r>
    <r>
      <rPr>
        <b/>
        <sz val="12"/>
        <color rgb="FF000000"/>
        <rFont val="Aptos"/>
        <family val="2"/>
      </rPr>
      <t>10/10/2025</t>
    </r>
  </si>
  <si>
    <t>NORBALDO CHAPARRO BUITRAGO</t>
  </si>
  <si>
    <t>2025/581</t>
  </si>
  <si>
    <t>REUBICACION DE PROYECTO A HUESCA</t>
  </si>
  <si>
    <t>JESUS ELIECER ALVAREZ ORTIZ</t>
  </si>
  <si>
    <t>2025/447</t>
  </si>
  <si>
    <t>GERMAN ALONSO PRIETO ALARCÓN</t>
  </si>
  <si>
    <t>FINALIZO 30/06</t>
  </si>
  <si>
    <t>JULIAN CAMILO MUNOZ CARDONA</t>
  </si>
  <si>
    <t>FINALIZO 4/08</t>
  </si>
  <si>
    <t>GERSON ANDRES LOPEZ LONDONO</t>
  </si>
  <si>
    <t>2025/420</t>
  </si>
  <si>
    <t>SARRALLE STEEL MELTING PLANT, S.L</t>
  </si>
  <si>
    <t>Marcelo informa que trabajaron hasta 13-08-25</t>
  </si>
  <si>
    <t>nos informa que los siguiente soperarios finalizaron el 14/10/2025//PREAVISO HASTA: 21/10/2025</t>
  </si>
  <si>
    <t>ENRIQUE RUBIANO AGUDELO</t>
  </si>
  <si>
    <t>cambio de alojamiento//Deben salir el 14/10 sor micaela ya tiene una reserva, vuelven 16/10//Enrique informa que lleva 20 años sin conducir, pero siigue laborando</t>
  </si>
  <si>
    <t>cambio de alojamiento/Deben salir el 14/10 sor micaela ya tiene una reserva, vuelven 16/10//sustituto del señor Enrique</t>
  </si>
  <si>
    <t>HOTELES FRANCO CASTELLANOS, S.L. Calle Cayo Jesús Fernández Espino, 2, BAJO;APARTHOTEL, 24007 León</t>
  </si>
  <si>
    <t>+34 987875055</t>
  </si>
  <si>
    <t>Los operarios que finalizaron ayer 07/10/2025</t>
  </si>
  <si>
    <t>JHOJAN ESNEIDER NIÑO PARRA</t>
  </si>
  <si>
    <t>2025/434</t>
  </si>
  <si>
    <t xml:space="preserve">INOXIDABLES DE MEDINA S.L </t>
  </si>
  <si>
    <t>nos informa que los siguientes operarios finalizan este viernes 10/10/2025//finales de octubre//alargarán los proyectos hasta mínimo finales de septiembre.</t>
  </si>
  <si>
    <t>2025/539</t>
  </si>
  <si>
    <t>2025/495</t>
  </si>
  <si>
    <t>ANSA MONTAJES METALICOS</t>
  </si>
  <si>
    <t>Fue reubicado al pedido 517 inicia alojamiento a partir del 21/09 //NO PUEDE ENTRAR A OBRA POR DOCUMENTACIÓN, Y PARA ENTRAR A TALLER entra el reemplazo
NECESITA SER SOLDADOR</t>
  </si>
  <si>
    <t>finaliza finalmente el próximo 31/10/2025.
//nos informa que este próximo 30/09/2025 es el último día del pedido///cambia alojaiento propio 15/10/25</t>
  </si>
  <si>
    <t>Alcanar Casas Carrer Remei, 12, 43530 Alcanar, Tarragona</t>
  </si>
  <si>
    <t>+34 661100267</t>
  </si>
  <si>
    <t>nos informa que este viernes 10/10/2025, es el último día//</t>
  </si>
  <si>
    <t>AIN</t>
  </si>
  <si>
    <t>20 Le Grand Faubourg, Pont-de-Vaux, Auvernia-Ródano-Alpes 01190, Francia</t>
  </si>
  <si>
    <t>Christophe+33 6 08 36 05 20</t>
  </si>
  <si>
    <t>2025/515</t>
  </si>
  <si>
    <t>JOUSSEAU MECANO SOUDURE</t>
  </si>
  <si>
    <t>Se alojara el R-0147</t>
  </si>
  <si>
    <t>03/10/2025 informan : opta por alojamiento propio, este fin de semana hace el cambio. Queda pendiente el envió del contrato de alquiler.</t>
  </si>
  <si>
    <t>GUSTAVO RAFAEL CARILLO NUNEZ</t>
  </si>
  <si>
    <t>Calle Sagrado Corazón, 38 2º Derecha, Gijón, Asturias 33205, España</t>
  </si>
  <si>
    <t>R2R Consulting +34 634 83 96 85</t>
  </si>
  <si>
    <t>2025/612</t>
  </si>
  <si>
    <t>GRUPO DAORJE</t>
  </si>
  <si>
    <t>no ha hecho uso del alojamiento asignado por parte de stocco.</t>
  </si>
  <si>
    <t>nos informa que este viernes 10/10/2025, es el último día</t>
  </si>
  <si>
    <t>2025/054</t>
  </si>
  <si>
    <t>Debido a los problemas con el visado hoy es el último día de los operarios 13/10//ESTE PISO SE PASO A STOCCO POR ESCRITO CORREO A LOGISTICA 05/03/2025// ingresa Luis fernando vasquez</t>
  </si>
  <si>
    <r>
      <t>finalizan hoy </t>
    </r>
    <r>
      <rPr>
        <b/>
        <sz val="12"/>
        <color rgb="FF000000"/>
        <rFont val="Aptos"/>
        <family val="2"/>
      </rPr>
      <t>13/10/2025</t>
    </r>
    <r>
      <rPr>
        <sz val="12"/>
        <color rgb="FF000000"/>
        <rFont val="Aptos"/>
        <family val="2"/>
      </rPr>
      <t> ya que no cumplen las expectativas del cliente</t>
    </r>
  </si>
  <si>
    <t>EDGAR ENRIQUE TORRES RAMIREZ</t>
  </si>
  <si>
    <t>OSCAR BALTAZAR GUTIERREZ PACHECO</t>
  </si>
  <si>
    <t>Av. de José Ortega y Gasset, 515, Campanillas, 29006 Málaga</t>
  </si>
  <si>
    <t>Patricia  ‪‪34 667 71 15 00</t>
  </si>
  <si>
    <t>2025/045</t>
  </si>
  <si>
    <t>INMETOL S.L.</t>
  </si>
  <si>
    <t>CAMBIO DE ALOJAMIENTO  temporal asignado //. todos los operarios permanecerán hasta mínimo finales de octubre.</t>
  </si>
  <si>
    <t>Hostal las Cantigas C/ Doctor Durango 2, Villalcázar de Sirga, España, 34449 Villalcázar de Sirga,
España</t>
  </si>
  <si>
    <t> +34 636 77 16 79</t>
  </si>
  <si>
    <t>cambio de alojamiento vuelven donde sor micaela ya esta informado/</t>
  </si>
  <si>
    <t>+34 636 77 16 79</t>
  </si>
  <si>
    <t>JAIR PLAZA AGUILAR</t>
  </si>
  <si>
    <t>2025/384</t>
  </si>
  <si>
    <r>
      <t>nos informa que el siguiente operario finaliza este viernes </t>
    </r>
    <r>
      <rPr>
        <b/>
        <sz val="12"/>
        <color rgb="FF000000"/>
        <rFont val="Aptos"/>
        <family val="2"/>
      </rPr>
      <t>17/10/2025</t>
    </r>
  </si>
  <si>
    <t>Informa ibraim 17/10: nos indica que los siguientes operarios han finalizado</t>
  </si>
  <si>
    <t>JOSE FRANCISCO PINEDO BERRIO</t>
  </si>
  <si>
    <t>2025/451</t>
  </si>
  <si>
    <t xml:space="preserve"> nos confirma que mañana 15/10/2025 es el último día del operario//nos indica las siguientes previsiones-&gt; 15/10/2025//previsiones 30/9/2025//solicitud de ampliacion hasta el 23-09-25 cuenta STOCCO</t>
  </si>
  <si>
    <t>SAMUEL DAVID CARVAJAL SINISTERRA</t>
  </si>
  <si>
    <t xml:space="preserve"> previsiones:-&gt; 08/10/2025//nos indica las siguientes previsiones-&gt; 03/10/2025/previsiones 26/09/2025 (es posible que lo prorroguen)///solicitud de ampliacion hasta el 23-09-25 cuenta STOCCO</t>
  </si>
  <si>
    <t xml:space="preserve"> nos indica las siguientes previsionesnos -&gt; 07/10/2025/// indica las siguientes previsiones-&gt; 30/09/2025/previsiones --&gt; 15/10/2025</t>
  </si>
  <si>
    <t>SOLICITUD DE REEMPLAZO-los operarios no encajan con los compañeros.</t>
  </si>
  <si>
    <t>EDWIN RODRIGO AVILA PENA</t>
  </si>
  <si>
    <t>Calle rincón del alijar Zarza de granadilla</t>
  </si>
  <si>
    <t>Teresa +34 629 01 05 48</t>
  </si>
  <si>
    <t>2025/404</t>
  </si>
  <si>
    <t>nos informa que el pasado viernes fue el último día de 17/10, ha solicitado un reemplazo, que inicia el lunes 27/10/2025.</t>
  </si>
  <si>
    <t>Avenida de la Baja Navarra, 42, Pamplona, Navarra 31004, España</t>
  </si>
  <si>
    <t xml:space="preserve"> Alicam +34 605 03 79 73</t>
  </si>
  <si>
    <t>nos informa que el viernes 17/10/2025 fue el último día del operario//Resicion el próximo 15/10/2025</t>
  </si>
  <si>
    <t>Paseo Padre Faustino Calvo 16, Palencia</t>
  </si>
  <si>
    <t>Yolanda Palencia – +34 649 89 98 77</t>
  </si>
  <si>
    <t>PTE ENTREGAR HABITACION DOBLE Y PASAR A HERMIDES AL PISO CALLE PINTOR OLIVA</t>
  </si>
  <si>
    <t>calle, de Francisco de Vitoria, 21, 2º, C, de Zaragoza</t>
  </si>
  <si>
    <t>2025/056/RU0043</t>
  </si>
  <si>
    <t>Ibraim 14/10:  Mínimo estan hasta el 30 de noviembre</t>
  </si>
  <si>
    <t>Ibraim 14/10: Mínimo estan hasta el 30 de noviembre</t>
  </si>
  <si>
    <t>FABIAN BERNAL MONTENEGRO</t>
  </si>
  <si>
    <t>C. de Santiago Ramón y Cajal, 37, Casco Antiguo, 50004 Zaragoza</t>
  </si>
  <si>
    <t>Hostal Arlanzon C/ Vitoria 242, esq. Esteban Sáez  Alvarado, 3 bajo</t>
  </si>
  <si>
    <t xml:space="preserve"> +34 947 48 25 51</t>
  </si>
  <si>
    <t>pasan alojamiento por cuenta del cliente///Ibraim 14/10: Mínimo estan hasta el 30 de noviembre</t>
  </si>
  <si>
    <t>LUIS MAURICIO RANGEL MENESES</t>
  </si>
  <si>
    <t>2025/574</t>
  </si>
  <si>
    <t>nos indica que no va a proceder con el pedido 2025/574. Por ende, queda CANCELADO.</t>
  </si>
  <si>
    <t>VICTOR EDUARDO VILLAFANE REVOLLO</t>
  </si>
  <si>
    <t>remplazo de norbaldo- operario trabajo solo 2 días y se fue</t>
  </si>
  <si>
    <t>2025/425</t>
  </si>
  <si>
    <t>Pedido cancelado el 05/08</t>
  </si>
  <si>
    <r>
      <rPr>
        <sz val="12"/>
        <color rgb="FF000000"/>
        <rFont val="Aptos"/>
        <family val="2"/>
      </rPr>
      <t>Ultimo dia de trabajo hoy 15/10/2025 segun informa ibraim//nos indica que el pasado viernes </t>
    </r>
    <r>
      <rPr>
        <b/>
        <sz val="12"/>
        <color rgb="FF000000"/>
        <rFont val="Aptos"/>
        <family val="2"/>
      </rPr>
      <t>10/10/2025</t>
    </r>
  </si>
  <si>
    <t>2025/587</t>
  </si>
  <si>
    <t>nos indica que el siguiente operario finalizó el viernes 20/10/2025</t>
  </si>
  <si>
    <t>El reemplazo R-0148 sobre el pedido PO-0505 queda cancelado, el cliente no quiere el reemplazo finalmente.//nos indica que hoy 20/10/2025, debe ser el último día del operario</t>
  </si>
  <si>
    <t>JORGE ENRIQUE LIEVANO ALZATE</t>
  </si>
  <si>
    <t xml:space="preserve">Calle Panama , 9, Vitoria Gasteiz </t>
  </si>
  <si>
    <t>Debido a los problemas con el visado hoy es el último día de los operarios 13/10//Ingresa IVER ALONSO TORRES</t>
  </si>
  <si>
    <t>SAMUEL JUSTO CARLOS DONAIRES</t>
  </si>
  <si>
    <t xml:space="preserve">Debido a los problemas con el visado hoy es el último día de los operarios 13/10//ingresa BLACKIS ANTONIO BARBOZA </t>
  </si>
  <si>
    <t>cambio de alojamiento vitoria hoy 20/10</t>
  </si>
  <si>
    <t>BLACKIS ANTONIO BARBOZA TRUJILLO</t>
  </si>
  <si>
    <t>LUIS FERNANDO VASQUEZ ALVARADO</t>
  </si>
  <si>
    <t>+34 978618788</t>
  </si>
  <si>
    <t>2025/585</t>
  </si>
  <si>
    <t>cambio de alojamiento donde Daniel con el pedido Cordoba 590</t>
  </si>
  <si>
    <t>2025/522</t>
  </si>
  <si>
    <t xml:space="preserve">
enero del 2026//Prevision hasta mediados de diciembre//</t>
  </si>
  <si>
    <t>TENERIFE</t>
  </si>
  <si>
    <t xml:space="preserve"> Calle la Arena, 1 Edificio Celimar, Apto 1C, 38631 Las Galletas, España</t>
  </si>
  <si>
    <t xml:space="preserve"> +34 606 60 23 84_x000D_</t>
  </si>
  <si>
    <t>2025/552</t>
  </si>
  <si>
    <t>CM TENERIFE</t>
  </si>
  <si>
    <t>nos informa que el siguiente operario ha finalizo el lunes 20/10/2025</t>
  </si>
  <si>
    <t>Hotel Philadelfia C. Loja, Parc. 122, 18210 Peligros, Granada</t>
  </si>
  <si>
    <t>2025/592</t>
  </si>
  <si>
    <t>Realiza cambio ha habitacion triple con  los compañeros que ingresan</t>
  </si>
  <si>
    <t>Carrer Valles 48 Granollers</t>
  </si>
  <si>
    <t>Paola +34 632 26 36 92</t>
  </si>
  <si>
    <t>nos confirma que finalmente de los tres operarios que tiene va a dar de baja //parada de los operarios, por problemas de documentación</t>
  </si>
  <si>
    <t>-&gt; permanecerá en Finsa Orember hasta el 17/10/2025//permanecerá en Finsa Orember hasta el 03/10/2025///permanecerá en Finsa Orember hasta el 26/09/2025//finaliza 26/09/25 informadopor correo 27/08///finalizarán el próximo 29/08/2025 correo/ se solicita ampliacion hasta el 14/10</t>
  </si>
  <si>
    <t>61 Calle Rivero, 33402 Avilés, España</t>
  </si>
  <si>
    <t>+34 659 53 61 93</t>
  </si>
  <si>
    <t>Calle José Reyes Martín, 5 piso 3 puerta número 30, El Médano, Canarias 38612, España</t>
  </si>
  <si>
    <t>Fátima +34 670 40 21 68</t>
  </si>
  <si>
    <t>Carrer Nou de Sant Francesc, 8, Ciutat Vella, 08002 Barcelona</t>
  </si>
  <si>
    <t>Iñaki +34 603 33 49 01</t>
  </si>
  <si>
    <t>226/827</t>
  </si>
  <si>
    <t>EMYPRO</t>
  </si>
  <si>
    <t>No pasaron las pruebas</t>
  </si>
  <si>
    <t xml:space="preserve">EN CURSO </t>
  </si>
  <si>
    <t>JASSIR DE JESUS DAVILA LUBO</t>
  </si>
  <si>
    <t>2024/419</t>
  </si>
  <si>
    <r>
      <rPr>
        <sz val="11"/>
        <color rgb="FF305496"/>
        <rFont val="Calibri"/>
        <family val="2"/>
      </rPr>
      <t xml:space="preserve">Se pago 10 dias de Mayo y el mes de Junio // </t>
    </r>
    <r>
      <rPr>
        <sz val="11"/>
        <color rgb="FFFF0000"/>
        <rFont val="Calibri"/>
        <family val="2"/>
      </rPr>
      <t>finaliza 10/09</t>
    </r>
  </si>
  <si>
    <t>2025/615</t>
  </si>
  <si>
    <t>RICHARD ANTONIO GUERRA HERRERA</t>
  </si>
  <si>
    <t>2025/577</t>
  </si>
  <si>
    <t>Correo 21/10: avisar al operario de que ya no puede ir a trabajar y queda fuera del servicio.</t>
  </si>
  <si>
    <t>2025/619</t>
  </si>
  <si>
    <t>FUERON REUBICADOS AL PEDIDO PREMETALIC - Pedido 631 INICIAN ALOJAMIENTO EL 26/10//Queda CANCELADO el pedido 2025/619. El cliente de WISEOWE LDA; Premetalic, nos lo ha cancelado a última hora sin motivo aparente.</t>
  </si>
  <si>
    <t>CRISTIAN DENNIS NARVAEZ CIFUENTES</t>
  </si>
  <si>
    <r>
      <rPr>
        <sz val="11"/>
        <color rgb="FFFF0000"/>
        <rFont val="Calibri"/>
        <family val="2"/>
      </rPr>
      <t xml:space="preserve">Trabaja hasta el 22/10/2025//Pasa alojamiento propio 20/10 //Alojamiento hasta 21/10 </t>
    </r>
    <r>
      <rPr>
        <sz val="11"/>
        <color rgb="FF305496"/>
        <rFont val="Calibri"/>
        <family val="2"/>
      </rPr>
      <t>Cambia alojamiento de Rosa 28/05///Calle grupo Alferez Rojas 41BD Zaragoza. // Calle grupo Alferez Rojas 41BD ZaragozaJosè Daniel Roman +34 645 86 07 02</t>
    </r>
  </si>
  <si>
    <t>2025/527</t>
  </si>
  <si>
    <t>nos informa que los siguientes operarios finalizan este domingo 19/10/2025</t>
  </si>
  <si>
    <t>finalizaron su trabajo el pasado miércoles 22/10.</t>
  </si>
  <si>
    <t>quien opta por alojamiento propio a partir del 22/10</t>
  </si>
  <si>
    <t xml:space="preserve">WEIMAR ALEXANDER RUA MESA  </t>
  </si>
  <si>
    <t>Habitaciones La Estación Ronda del Calvari, 1, 46680 Algemesí, España</t>
  </si>
  <si>
    <t>+34 608 76 37 45</t>
  </si>
  <si>
    <t>2025/R133</t>
  </si>
  <si>
    <t>JEISON GUTIERREZ MARTINEZ</t>
  </si>
  <si>
    <t>2025/611</t>
  </si>
  <si>
    <t xml:space="preserve"> hoy 23/10/2025 es el último día del operario</t>
  </si>
  <si>
    <t>JOSE ANTONIO RUEDA CAMARGO</t>
  </si>
  <si>
    <t>Madrina del Pilar - Turistea 15 Calle de la Madrina Salinas Bajo 3, 50002 Zaragoza, España</t>
  </si>
  <si>
    <t>+34 676 79 07 27</t>
  </si>
  <si>
    <t>2025/514</t>
  </si>
  <si>
    <t>Fecha Fin Pedido 30 de nov. de 2025// cambio de alojamiento donde Joaquina</t>
  </si>
  <si>
    <t>JUAN OMAR ORDINOLA AGURTO</t>
  </si>
  <si>
    <t>ENTRELASVIÑAS Calle Pedro Portolés Zaera, 50400 Cariñena, España</t>
  </si>
  <si>
    <t>+34 610 74 84 37</t>
  </si>
  <si>
    <t>Fecha Fin Pedido 5 de dic. de 2025</t>
  </si>
  <si>
    <t>JUAN PABLO PENA ZAPATA</t>
  </si>
  <si>
    <t>la opción de alojamiento por cuenta propia le cubriría a partir del 23/10/2025///Fecha Fin Pedido 5 de dic. de 2025</t>
  </si>
  <si>
    <t>JAVIER DAVID RODRIGUEZ BARRIOS</t>
  </si>
  <si>
    <t>RAUL ERNESTO MORA MARTINEZ</t>
  </si>
  <si>
    <t>VICENCIO VILLAMIZAR LEON</t>
  </si>
  <si>
    <t>La fecha indicada para la finalización fue 23/03/2026, siendo este su último día de actividad.</t>
  </si>
  <si>
    <t>ARMANDO QUIROGA JOVEN</t>
  </si>
  <si>
    <t>Retornan a la vivienda el 03/07/2026//Estan de manera temporal donde casilda desde el 11/06/2026 ya que no estan con sumnistro de agua ///</t>
  </si>
  <si>
    <t>JEAN CARLO SUAREZ VALENCIA</t>
  </si>
  <si>
    <t>2025/641</t>
  </si>
  <si>
    <t>Cambian a puerta del sur en sevilla a partir del 17/05/2026// Informa via teams cristian 10/03 prevision: 2 meses más. volvemos a contactar más cerca de la fecha.</t>
  </si>
  <si>
    <t>JONATHAN RICARDO TINJACA COLMENARES</t>
  </si>
  <si>
    <t>finalizara el viernes día 31/10 ya que por el momento no hay más trabajo</t>
  </si>
  <si>
    <t>Hostal Montemayor Polg. Los Arroyos s/n, 21800 Moguer, España</t>
  </si>
  <si>
    <t>+34 606684772 /  634963057</t>
  </si>
  <si>
    <t>pasan donde begoña//Fecha Fin:16/01/2026</t>
  </si>
  <si>
    <t>INGRESA FREDERICK AU BLANQUICETT 26/10//nos confirma que finalmente de los tres operarios que tiene va a dar de baja //parada de los operarios, por problemas de documentación</t>
  </si>
  <si>
    <t>Hermenegil carrera # 1 piso 7 Puerta 2 Granollers Barcelona CDP 08401</t>
  </si>
  <si>
    <t>Aracely +34 633 89 03 77</t>
  </si>
  <si>
    <t>ENTRA FRANCISCO EN SU REEMPLAZO DE ALOJAMIENTO//parada de los operarios, por problemas de documentación</t>
  </si>
  <si>
    <t>INGRESA EDWIN ALFONSO ORTIZ 26/10//Salio al alajomaiento de araceli el 26/10/2025</t>
  </si>
  <si>
    <t>2025/470</t>
  </si>
  <si>
    <t>Reubicados a madrid Deberán de ir el día 26 a aloajrse, todo tema alojamiento y transporte y dietas va por parte de cliente./</t>
  </si>
  <si>
    <t>nos informa que este domingo 26/10/2025 finalizan los siguientes operarios</t>
  </si>
  <si>
    <t>NO SE ALOJO AQUÍ, SE FUE ALOJAMIENTO PROPIO</t>
  </si>
  <si>
    <r>
      <rPr>
        <sz val="12"/>
        <color rgb="FF000000"/>
        <rFont val="Aptos"/>
        <family val="2"/>
      </rPr>
      <t> todos los operarios finalizan este domingo 26/10/2025.//se le caduca el visado el </t>
    </r>
    <r>
      <rPr>
        <b/>
        <sz val="12"/>
        <color rgb="FF000000"/>
        <rFont val="Aptos"/>
        <family val="2"/>
      </rPr>
      <t>28/11/2025.</t>
    </r>
  </si>
  <si>
    <t xml:space="preserve"> ESTA ALOJADO, PERO DICE QUE TIENE ACUERDOS CON LA PROPIETARIA /todos los operarios finalizan este domingo 26/10/2025.///alojamiento pago hasta el 15/11</t>
  </si>
  <si>
    <t>todos los operarios finalizan este domingo 26/10/2025.</t>
  </si>
  <si>
    <t>C/Larga, 16  21830 Bonares (Huelva)  Mazagón.</t>
  </si>
  <si>
    <t>Informa via teams cristian 10/03 prevision: 2 meses más. volvemos a contactar más cerca de la fecha.</t>
  </si>
  <si>
    <t>MIGUEL ANGEL GARCIA CASTRO</t>
  </si>
  <si>
    <t>HOSTAL RESTAURANTE LA ISLA C/ Carlos I, 1 MONTIJO 06480 (Badajoz)</t>
  </si>
  <si>
    <t>+34 924 45 55 57</t>
  </si>
  <si>
    <t>2025/543</t>
  </si>
  <si>
    <t>cambio de alojamiento//se solicito ampliar hasta el 14/10 falta solicitar el pago.</t>
  </si>
  <si>
    <t>LEISER DONCEL AVILA</t>
  </si>
  <si>
    <t>Calle de Martín, 41, Gijón, Principado de Asturias 33213, España</t>
  </si>
  <si>
    <t>R2R Consulting +34 623 40 63 02</t>
  </si>
  <si>
    <t>CARLOS ALBERTO ZAMBRANO OROZCO</t>
  </si>
  <si>
    <t>Avenida Manuel Llaneza, 43 9 izquierda, Gijón, Asturias 33208, España</t>
  </si>
  <si>
    <t>2025/613</t>
  </si>
  <si>
    <t xml:space="preserve">indica que hoy día 07/11/2025, finalizaran todos los operarios///Elena informa en teams que ha recibido un mensaje  por parte del señor Carlos Alberto Zambrano Orozco donde indica que le ha tocado viajar a Colombia de urgencia, por lo que toca sustituirlo y no esta sustituido a 30/10
 </t>
  </si>
  <si>
    <t>2025/R148</t>
  </si>
  <si>
    <t>PEDIDO CANCELADO INFORMADOPOR MARCELO</t>
  </si>
  <si>
    <t>EDWIN ALFONSO ORTIZ DELGADO</t>
  </si>
  <si>
    <t>2025/549</t>
  </si>
  <si>
    <t>MECANIZADOS LLANOS, S.L</t>
  </si>
  <si>
    <t>ENTRA EN SU REEMPLAZO JORGE ASCUNTAR/no ingreso por que tiene alojamiento por cuenta propia y yajaira informa que cristian le dijo que finalizo el 27/10</t>
  </si>
  <si>
    <t>HERNAN ALONSO CONTRERAS MARROQUIN</t>
  </si>
  <si>
    <t>Cambio de alojamiento//SERAN REUBICADOS A BURGOS</t>
  </si>
  <si>
    <t>2025/R11</t>
  </si>
  <si>
    <t>2025/511</t>
  </si>
  <si>
    <r>
      <t> nos indica que el siguiente operario finaliza el miércoles </t>
    </r>
    <r>
      <rPr>
        <b/>
        <sz val="12"/>
        <color rgb="FF000000"/>
        <rFont val="Aptos"/>
        <family val="2"/>
      </rPr>
      <t>15/10/2025:</t>
    </r>
  </si>
  <si>
    <t>OMAR YESID HERRERA LOPEZ</t>
  </si>
  <si>
    <t>2025/562</t>
  </si>
  <si>
    <t>finalizan lunes 27/10/25//Continuaran con la reserva del pedido 619 hasta el 04/11</t>
  </si>
  <si>
    <t>EDUARDO DANIEL ESALAS MARTINEZ</t>
  </si>
  <si>
    <t>RAFAEL ALEJANDRO HERRERA URBANO</t>
  </si>
  <si>
    <t>finalizaran hoy lunes 27/10.</t>
  </si>
  <si>
    <t>CARLOS JULIO CANON SALCEDO</t>
  </si>
  <si>
    <t>2025/R114</t>
  </si>
  <si>
    <t>KEVIN VIDES MARTINEZ</t>
  </si>
  <si>
    <t>Hostal Restaurante La Niña C/ Juan de la Cosa, 37, 21810 Palos de la Frontera, Huelva.</t>
  </si>
  <si>
    <t>2025/620</t>
  </si>
  <si>
    <t>DUROFELGUERAS SL</t>
  </si>
  <si>
    <t xml:space="preserve">No se presento </t>
  </si>
  <si>
    <t>2025/438/RU061</t>
  </si>
  <si>
    <t>Calle Barrancal 21, 1, Vitoria Gasteiz</t>
  </si>
  <si>
    <r>
      <t>todos los operarios finalizan este domingo </t>
    </r>
    <r>
      <rPr>
        <b/>
        <sz val="12"/>
        <color rgb="FF000000"/>
        <rFont val="Aptos"/>
        <family val="2"/>
      </rPr>
      <t>26/10/2025.</t>
    </r>
  </si>
  <si>
    <t>JHON JAIRO DIAZ</t>
  </si>
  <si>
    <t>Fueron reubicados a burgos el 09/11///SERAN REUBICADOS A BURGOS/nos indican que los siguientes operarios finalizan en Zaragoza este viernes 07/11/2025:</t>
  </si>
  <si>
    <t xml:space="preserve"> 28/10 ya no les hacen falta porque no tienen más trabajo</t>
  </si>
  <si>
    <t>el cliente se queda a los tres operarios hasta mínimo el viernes 24/10/2025//finalizarán en las respectivas fechas 10/10/2025</t>
  </si>
  <si>
    <t>el cliente se queda a los tres operarios hasta mínimo el viernes 24/10/2025///finalizarán en las respectivas fechas 10/10/2025</t>
  </si>
  <si>
    <t>nos informa que de los operarios que tiene estos dos finalizan el viernes 24/10/2025</t>
  </si>
  <si>
    <t>FREDERICK AU BLANQUICETT</t>
  </si>
  <si>
    <t>GERMAN JOSE GAMBOA FARIAS</t>
  </si>
  <si>
    <t>Calle San Miguel 9 Burjassot Valencia</t>
  </si>
  <si>
    <t>SOLICITUD DE REEMPLAZO///Falta solicitar pago</t>
  </si>
  <si>
    <t xml:space="preserve">  29/10 los chicos no pueden entrar a la obra , y se cancelan todos los servicios y trabajos con TUBAL</t>
  </si>
  <si>
    <t>FRANCO NAHUEL ARCE</t>
  </si>
  <si>
    <t>2024/005</t>
  </si>
  <si>
    <t xml:space="preserve"> 29/10  los chicos no pueden entrar a la obra , y se cancelan todos los servicios y trabajos con TUBAL</t>
  </si>
  <si>
    <t xml:space="preserve"> ESTA ALOJADO, PERO DICE QUE TIENE ACUERDOS CON LA PROPIETARIA // 29/10  los chicos no pueden entrar a la obra , y se cancelan todos los servicios y trabajos con TUBAL///alojamiento pago hasta el 15/11</t>
  </si>
  <si>
    <t>Dijo que sale el 30/11 del alojamiento// 29/10  los chicos no pueden entrar a la obra , y se cancelan todos los servicios y trabajos con TUBAL</t>
  </si>
  <si>
    <t>JUAN PABLO ABACA</t>
  </si>
  <si>
    <t xml:space="preserve">  29/10 los chicos no pueden entrar a la obra , y se cancelan todos los servicios y trabajos con TUBAL//Calle Reys Navarra 19 4” puerta C Vitoria Gazteiz Patxo +34 607438872 SALE A PROPIO 09/11</t>
  </si>
  <si>
    <t>MOISÉS NUNES FERREIRA</t>
  </si>
  <si>
    <t>PEDRO LUIS ANGULO RODRIGUEZ</t>
  </si>
  <si>
    <t xml:space="preserve">Calle Barrancal 21, 1, Vitoria Gasteiz </t>
  </si>
  <si>
    <t>C. Zapateria, 46, 3D 01001 Vitoria-Gasteiz, Álava</t>
  </si>
  <si>
    <t>Maximiliana +34 624 47 21 38</t>
  </si>
  <si>
    <t>LUIS CARLOS CASTELLAR VILLAREAL</t>
  </si>
  <si>
    <t>Hostal Donaire II Av. Juan Carlos I, 185, 13700 Tomelloso, Ciudad Real</t>
  </si>
  <si>
    <t>+34 666 11 26 42</t>
  </si>
  <si>
    <t>2025/579</t>
  </si>
  <si>
    <t>CALDINOXVAPOR</t>
  </si>
  <si>
    <t>Marcelo confirmo con kawan y el señor ya finalizo.//no renovar aun dijo marcelo</t>
  </si>
  <si>
    <t>WILMER LEANDRO SANCHEZ</t>
  </si>
  <si>
    <t>Avenida de la Costa, 30, Gijón, Principado de Asturias 33205, España</t>
  </si>
  <si>
    <t>Serhii +34 642 16 23 80</t>
  </si>
  <si>
    <t>2025/535</t>
  </si>
  <si>
    <t>estaran con JUNSASTEEL hasta el 30/11/2025</t>
  </si>
  <si>
    <t>LUIS ALFREDO MALAVER CARDENAS</t>
  </si>
  <si>
    <t>JOSE IGNACIO VALDERRAMA JIMENEZ</t>
  </si>
  <si>
    <t>LUBERMI JOSE MIRANDA PEREZ</t>
  </si>
  <si>
    <t>AMADOR JOSE JIMENEZ</t>
  </si>
  <si>
    <t>Calle Juan Alvargonzález 19 - 2º Dcha, Gijón, Principado de Asturias 33208, España</t>
  </si>
  <si>
    <t>HUGO ARSENIO ORTEGA HERRERA</t>
  </si>
  <si>
    <t>HUGO NELSON HERRERA MEDINA</t>
  </si>
  <si>
    <t>LUIS ANDRES MERCHAN VACA</t>
  </si>
  <si>
    <t>ULTIMO DIA EL 15/10/25</t>
  </si>
  <si>
    <t>HERNANDO ENRIQUE MAESTRE CASTILLA</t>
  </si>
  <si>
    <t>JORGE LUIS ROMERO DE ANGEL</t>
  </si>
  <si>
    <t>Calle Santa Doradía, 21, Gijón, Principado de Asturias 33202, España</t>
  </si>
  <si>
    <t>DAYAN CRISTOBAL ROMERO YARA</t>
  </si>
  <si>
    <t>CRISTIAN FELIPE QUINONEZ SALAZAR</t>
  </si>
  <si>
    <t>JULIAN STIVEN RUBIO HERNANDEZ</t>
  </si>
  <si>
    <t>(Último día: 01/08/2026) – Renuncia voluntaria por motivos personales.</t>
  </si>
  <si>
    <t>NICOLAS MARTINEZ JIMENEZ</t>
  </si>
  <si>
    <t>HERLEN DAVID RAMIREZ LACERA</t>
  </si>
  <si>
    <t>estaran con JUNSASTEEL hasta el 30/11/2025//ampliarán sus servicios hasta el próximo 31/10/2025.</t>
  </si>
  <si>
    <t>C. San Agustín, 5, Centro, 33202 Gijón, Asturias, Spain </t>
  </si>
  <si>
    <t>Jorge +34 681 90 15 29</t>
  </si>
  <si>
    <t>termino el 29/10/25</t>
  </si>
  <si>
    <t>10 Calle Alarcón 3º izq, 33205 Gijón, España</t>
  </si>
  <si>
    <t>+34 919 99 66 52</t>
  </si>
  <si>
    <t>EDWIN FERNEY MORENO PARADA</t>
  </si>
  <si>
    <t>2025/551</t>
  </si>
  <si>
    <t>INDOFORMA</t>
  </si>
  <si>
    <t>carta de resicision 30-10-25</t>
  </si>
  <si>
    <t>trabajador reemplzado R-135</t>
  </si>
  <si>
    <t>C. Bastardos, 4, 29200 Antequera, Málaga, Spain</t>
  </si>
  <si>
    <t>Christian +34 622 35 69 49</t>
  </si>
  <si>
    <t xml:space="preserve">cambia de alojamiento </t>
  </si>
  <si>
    <t>Cambio de alojamiento//Aun no ha realizado el cambio para donde Nico 07/10</t>
  </si>
  <si>
    <t>JORGE FACEDT VANEGAS MEDINA</t>
  </si>
  <si>
    <t>2025/471</t>
  </si>
  <si>
    <t>mañana, 30 de octubre de 2025</t>
  </si>
  <si>
    <t>2025/547</t>
  </si>
  <si>
    <t>JHOAN DAVID JARA PINZON</t>
  </si>
  <si>
    <t>33 allée de la Libération 57100 Thionville</t>
  </si>
  <si>
    <t>CARLOS JULIO LOZANO SIERRA</t>
  </si>
  <si>
    <t xml:space="preserve">a partir del día de la fecha 31/10//Cambio de alojamiento Habitacion Diana //1 mes y medio con posibilidad de estender// </t>
  </si>
  <si>
    <t>Fue reubicado a cordoba en el alojamiento que estaba Yesid.///Informa via teams cristian 10/03 prevision: 2 meses más. volvemos a contactar más cerca de la fecha.</t>
  </si>
  <si>
    <t>RU2025/024/278</t>
  </si>
  <si>
    <t>GUSTAVO JAVIER BARBOZA GARCES</t>
  </si>
  <si>
    <t>BLAKIS ANTONIO BARBOZA TRUJILLO</t>
  </si>
  <si>
    <t>Marcelo dijo que terminaron 28/10 no han enviado correo</t>
  </si>
  <si>
    <t>HEDICXON OLIVIO QUINONES PEREZ</t>
  </si>
  <si>
    <t>HOTEL BOUTIQUE DOÑA MANUELA C. Coruña, 4, 13700 Tomelloso, Ciudad Real</t>
  </si>
  <si>
    <t>+34 649198575</t>
  </si>
  <si>
    <t>2025/454</t>
  </si>
  <si>
    <t>GRUPO ANRO</t>
  </si>
  <si>
    <t>CARTA DE RESCISION 31/10///Falta realizar el pago///se amplio reserva hasta el 10/09//solicitan datos de la tarjeta</t>
  </si>
  <si>
    <t>notificamos con fecha de hoy 31/10/2025  la finalizacion de los servicios en la obra de Puliana del operario Alvaro//Fecha Fin Pedido: 16 de nov. de 2025</t>
  </si>
  <si>
    <t>Calle Eras del Capitán 23 - 44003 Teruel</t>
  </si>
  <si>
    <t>Daniel +34 649 90 75 56</t>
  </si>
  <si>
    <t>nos indica que el siguiente operario finalizó el pasado 31/10/2025//En principio los trabajadores acababan esta semana pero necesitamos que se alargue una semana más el contrato, en principio la semana que viene será la última.//finalizan el viernes 31/10/2025.</t>
  </si>
  <si>
    <t>el siguiente operario permanecerá hasta el 31/10/2025:</t>
  </si>
  <si>
    <t>41 RUE DE DUNKERQUE VILLE BOURBOURG</t>
  </si>
  <si>
    <t>SCI JMDG +33 6 51 80 67 67</t>
  </si>
  <si>
    <t>alojamiento gestionado por el cliente, pero el pago lo realizamos nosotros pago 3355</t>
  </si>
  <si>
    <t>KEVIN JOSE AVILA GALAN</t>
  </si>
  <si>
    <t>nos informa que el pasado sábado 01/11/2025 finalizaron los siguientes operarios/</t>
  </si>
  <si>
    <t xml:space="preserve">Av. De los huetos 18  C piso 3 C. Vitoria Gasteiz </t>
  </si>
  <si>
    <t xml:space="preserve">Pedido cancelado el 05/08// Esta reubicado para otro proyecto, preguntar </t>
  </si>
  <si>
    <t xml:space="preserve">Calle polvorín viejo N°5/ 1° Izquierda </t>
  </si>
  <si>
    <t>+34 647 42 64 28 ~Eder Lope</t>
  </si>
  <si>
    <t xml:space="preserve"> necesitaría que trabajen hasta el día 10/11.</t>
  </si>
  <si>
    <t>CESAR AUGUSTO ANGARITA RIVERA</t>
  </si>
  <si>
    <t>Cambio de alojamiento//</t>
  </si>
  <si>
    <t>Cambio de alojamiento//Yajaira va preguntar a alex por esos dos señores que no reportan nada</t>
  </si>
  <si>
    <t>2025/633</t>
  </si>
  <si>
    <t>RUBEN DARIO JIMENEZ ACOSTA</t>
  </si>
  <si>
    <t>Auzoa Auzoa, 2, 20217 Gabiria, Gipuzkoa</t>
  </si>
  <si>
    <t>2025/624</t>
  </si>
  <si>
    <t>: el trabajador desistio ya que estaban buscando una obra para el, y tradaba mucho el cliente, el cliente le buscara una tercera obra ya que en las dos primeras no podían
acceder</t>
  </si>
  <si>
    <t>Hostal Colon Antequera,  Infante Don Fernando 29, 29200 Antequera, España</t>
  </si>
  <si>
    <t>+34 952 84 00 10</t>
  </si>
  <si>
    <t>Cambia de alojamiento el /02/11 nuevamente donde christian</t>
  </si>
  <si>
    <t>28 Rue Maréchal de Lattre De Tassigny Pont-de-Vaux, Auvergne-Rhône-Alpes 01190</t>
  </si>
  <si>
    <t>Estelle +33 6 26 75 95 14</t>
  </si>
  <si>
    <t>SOLUCIONES TUBULARES SOSTENIBLES, S.L.</t>
  </si>
  <si>
    <t>SALEN EL 08/07</t>
  </si>
  <si>
    <t>pasan al piso de letra D, escalera derecha, en planta quinta y sita Pl. los Olmos, 2, 31010 Barañáin, Navarra (03/11/2025)</t>
  </si>
  <si>
    <t>2025/480</t>
  </si>
  <si>
    <t>OPTA POR ALOJAMIENTO PROPIO</t>
  </si>
  <si>
    <t>IVER MOISES ALVAREZ CORDOBA</t>
  </si>
  <si>
    <t>2025/R145</t>
  </si>
  <si>
    <t>30/10 Hoy sería su último día y necesitaríamos el reemplazo lo antes posible</t>
  </si>
  <si>
    <t>JAVIER ALONSO LOPEZ AYALA</t>
  </si>
  <si>
    <t>2025/R147</t>
  </si>
  <si>
    <t>nos informa que el pasado viernes 31/10/2025 era el último día del operario</t>
  </si>
  <si>
    <t>NIXO ELIECER CHAVEZ GARCIA</t>
  </si>
  <si>
    <t>SAINT ETIENNE</t>
  </si>
  <si>
    <t>2025/538</t>
  </si>
  <si>
    <t>nos informa que hoy 04/11/2025 es el último día del operario//14/10: Prevision por Ibraim de 1 a 2 meses</t>
  </si>
  <si>
    <t>finaliza el viernes 29/08/2025.</t>
  </si>
  <si>
    <t xml:space="preserve">Calle Nicaragua piso 6 apto 6. Vitoria Gasteiz </t>
  </si>
  <si>
    <t>deberán finalizar en las respectivas fechas 27/10/2025</t>
  </si>
  <si>
    <t>MARIANO ONIAS TENORIO GALLO</t>
  </si>
  <si>
    <t>2025/R162</t>
  </si>
  <si>
    <t>este inicio hoy mismo, y el cliente alega que no da la talla. Por lo que, finaliza hoy 05/11/2025.</t>
  </si>
  <si>
    <t xml:space="preserve"> En su reemplazo entre argemiro//viernes 31/10 el último día de trabajo para sus operarios.</t>
  </si>
  <si>
    <t xml:space="preserve"> En su reemplazo entre harol/ viernes 31/10 el último día de trabajo para sus operarios.</t>
  </si>
  <si>
    <t>Cambio alojamiento propio el 14/02/2026</t>
  </si>
  <si>
    <t>2025/653</t>
  </si>
  <si>
    <t>Pasaron a la casa de montaña dijo Rebeca//Alojamiento por cuenta del cliente</t>
  </si>
  <si>
    <t>EDWAR GITERLY TORRES LIZARAZO</t>
  </si>
  <si>
    <t>BRAYAN JAVIER CHAVES NARVAEZ</t>
  </si>
  <si>
    <t>2025/631</t>
  </si>
  <si>
    <t>finalizan en las respectivas fechas: viernes 06/11/2025//Alojamiento por cuenta del cliente</t>
  </si>
  <si>
    <t>calle don Juan de Austria 80 . Bajo J</t>
  </si>
  <si>
    <t>JERSON DANIEL MARIN ORTIZ</t>
  </si>
  <si>
    <t>ENTRA EN SU REEMPLAZO RUBEN DARIO//sale el sabado 15/11 en la mañana del alojamiento//finalizó el pasado viernes 07/11/2025. El trabajador ha tenido que viajar por problemas familiares a su país de nacimiento. No sabemos cuando volvera.//habitaciòn de luis tovar</t>
  </si>
  <si>
    <t>Avenida Magallanes, 2, El Médano, Canarias 38612, España</t>
  </si>
  <si>
    <t>Holidu +34609133001</t>
  </si>
  <si>
    <t>2025/594</t>
  </si>
  <si>
    <t>Vuelven donde fatima el 10/11 se necesita alojamiento del 08/11 al 11/11</t>
  </si>
  <si>
    <t>Ibraim dice  14/11 se dan de baja //hasta el viernes 31/10.</t>
  </si>
  <si>
    <t>informan que renuncio se fue a Colombia 18-09-25</t>
  </si>
  <si>
    <t>nos indican que los siguientes operarios finalizan en Zaragoza este viernes 07/11/2025:</t>
  </si>
  <si>
    <t>LUYSMER DAVID PEÑARANDA CABRERA</t>
  </si>
  <si>
    <t>GONZALO MISAEL GOMEZ</t>
  </si>
  <si>
    <t>2025/R140</t>
  </si>
  <si>
    <t>CARLOS ALBERTO CIFUENTES MIRANDA</t>
  </si>
  <si>
    <t>2025/R146</t>
  </si>
  <si>
    <t>2025/005/RU0007</t>
  </si>
  <si>
    <t>se registra salida del 10/10/25 el 04/11///Se quede otro mes hasta finales de septiembre</t>
  </si>
  <si>
    <t>FERNANDO ALFREDO VELEZ VALENCIA</t>
  </si>
  <si>
    <t>2025/595</t>
  </si>
  <si>
    <t>finalizan mañana viernes 07/11/2025/</t>
  </si>
  <si>
    <t>JOSE NEPSE LOPEZ RAMIREZ</t>
  </si>
  <si>
    <r>
      <t>indica que hoy día </t>
    </r>
    <r>
      <rPr>
        <b/>
        <sz val="12"/>
        <color rgb="FF000000"/>
        <rFont val="Aptos"/>
        <family val="2"/>
      </rPr>
      <t>07/11/2025</t>
    </r>
    <r>
      <rPr>
        <sz val="12"/>
        <color rgb="FF000000"/>
        <rFont val="Aptos"/>
        <family val="2"/>
      </rPr>
      <t>, finalizaran todos los operarios</t>
    </r>
  </si>
  <si>
    <t>PEDRO JOSE PAEZ</t>
  </si>
  <si>
    <t>CARLOS ANDRES QUINTERO ARCIA</t>
  </si>
  <si>
    <t>Calle Campo Sagrado, 1 3 izquierda, Gijón, asturias 33205, España</t>
  </si>
  <si>
    <t>FARID ENRIQUE DE LAS SALAS COGOLLO</t>
  </si>
  <si>
    <t>ISMAEL MENDEZ GAITAN</t>
  </si>
  <si>
    <t>2025/R139</t>
  </si>
  <si>
    <t>nos informa que el pasado sábado 01/11/2025 finalizaron los siguientes operarios</t>
  </si>
  <si>
    <t>WILLIAM RAFAEL LEE HERNANDEZ</t>
  </si>
  <si>
    <t>JAVIER HERNANDEZ DEVIA</t>
  </si>
  <si>
    <t>JHON SEBASTIAN AHUMADA RUBIO</t>
  </si>
  <si>
    <t>Calle Menéndez Pelayo, 7 9 dch, Gijón, Principado de Asturias 33202, España</t>
  </si>
  <si>
    <t>JOHANS FERNANDO HERRERA VELASCO</t>
  </si>
  <si>
    <t>JONATAN MAURICIO TOLEDO CHARRY</t>
  </si>
  <si>
    <t>JUAN ESTEBAN QUINTERO MONSALVE</t>
  </si>
  <si>
    <t>JULIAN ANDRES RODALLEGA RIVAS</t>
  </si>
  <si>
    <t>MANUEL ANTONIO AHUMADA LEON</t>
  </si>
  <si>
    <t>PEDRO LUIS PADILLA VALDEZ</t>
  </si>
  <si>
    <t>DUVAN ALEXIS SUAREZ</t>
  </si>
  <si>
    <t>Ampliar una semana y solicitar proforma/ llamar 9:30am//CLIENTE DA FINALIZADO EL 14-08-25</t>
  </si>
  <si>
    <t>Avenida Manuel Llaneza 43 9 izquierda, 33208 Gijón, España</t>
  </si>
  <si>
    <t>+34 623 40 63 02</t>
  </si>
  <si>
    <t>Calle Móstoles, 4 3º Izd, Gijón, Asturias 33212, España</t>
  </si>
  <si>
    <t>LUIS ALBERTO CAMARGO NINO</t>
  </si>
  <si>
    <t>Calle Batalla del Sotillo, 14 1B, Jerez de la Frontera, Andalucía 11405, España</t>
  </si>
  <si>
    <t>Armando Y Fani +34 669467884</t>
  </si>
  <si>
    <t>2025/621/RU050</t>
  </si>
  <si>
    <t>su último día de trabajo fue el pasado viernes 07/11/2025</t>
  </si>
  <si>
    <t>ALVARO SEGOVIA TORRES</t>
  </si>
  <si>
    <t>Calle Francisco de Paula Jovellanos, 49 1 Dch, Gijón, Principado de Asturias 33205, España</t>
  </si>
  <si>
    <t>2025/578</t>
  </si>
  <si>
    <t>ANDRES ALEXANDER BEJARANO PEREZ</t>
  </si>
  <si>
    <t>Calle Alarcón, 27 3º Izd, Gijón, Principado de Asturias 33204, España</t>
  </si>
  <si>
    <t>DAVID OSORIO RANGEL</t>
  </si>
  <si>
    <t>JIMMY ALEXANDER CASTANEDA ROMERO</t>
  </si>
  <si>
    <t>OMAR FERNANDO ANDRADE SANCHEZ</t>
  </si>
  <si>
    <t>RONALD REY SEPULVEDA</t>
  </si>
  <si>
    <t>Avenida de los Narejos, 61, Los Alcázares, Región de Murcia 30710, España</t>
  </si>
  <si>
    <t>Berni – +34 656 30 72 47</t>
  </si>
  <si>
    <t>finalizan mañana viernes 07/11/2025///finales de noviembre 1 pareja sale 13/10 al 13/11</t>
  </si>
  <si>
    <t>finalizan mañana viernes 07/11/2025//finales de noviembre 1 pareja sale 13/10 al 13/11</t>
  </si>
  <si>
    <t>finalizan mañana viernes 07/11/2025</t>
  </si>
  <si>
    <t>WILLIAM NORBERTO MELO MELO</t>
  </si>
  <si>
    <t>2025/563</t>
  </si>
  <si>
    <t>finalizan en las respectivas fechas: viernes 07/11/2025//Alojamiento por cuenta del cliente</t>
  </si>
  <si>
    <t>DANIEL ANDRES CANDELO GUTIERREZ</t>
  </si>
  <si>
    <t>finaliza con nosotros este sábado 08/11/2025. Ya que a partir del lunes 10/11/2025, pasa a ser trabajador directo de Bachiller.</t>
  </si>
  <si>
    <t>nos indica que los siguientes operarios finalizan este sábado 08/11/2025//ampliarán hasta el miércoles 24/09/2025, siendo este su último día//.finaliza el 19/09/</t>
  </si>
  <si>
    <t>JUAN BETANCOUR MARTINEZ</t>
  </si>
  <si>
    <t>2025/R125</t>
  </si>
  <si>
    <t>CAMBIA DE ALOJAMIENTO</t>
  </si>
  <si>
    <t>2024/138</t>
  </si>
  <si>
    <t>trasladado a Cortes de la frontera +34 663 44 92 79//15/09 Traslado a malaga</t>
  </si>
  <si>
    <t>WILLIAMS HUMBERTO ABAD MONTALBAN</t>
  </si>
  <si>
    <t>2025/540</t>
  </si>
  <si>
    <t>nos informa que el siguiente operario finaliza este viernes 10/10/2025//dice yajaira que sale el viernes 10/10 ///solicitaron reemplazo, el reemplezo ingresa mañana //Fecha Fin:30/01/2026</t>
  </si>
  <si>
    <t>RU2025/008/2024/056</t>
  </si>
  <si>
    <t>RU-052, Sera reubicado el dia 09/11</t>
  </si>
  <si>
    <t>2025/493</t>
  </si>
  <si>
    <t>Cambian numero de pedido a partir del 05/11</t>
  </si>
  <si>
    <t>RUBEN ERNESTO JARA SANTOS</t>
  </si>
  <si>
    <t>ARNULFO SANCHEZ RUEDA</t>
  </si>
  <si>
    <t>Fueron reubicados a burgos el 09/11//SERAN REUBICADOS A BURGOSnos indican que los siguientes operarios finalizan en Zaragoza este viernes 07/11/2025:</t>
  </si>
  <si>
    <t>RAMIRO RODRIGUEZ LEGUIZAMÓ</t>
  </si>
  <si>
    <t>MAURICIO TELLO RODRIGUEZ</t>
  </si>
  <si>
    <t>CAMBIO DE ALOJAMIENTO EL 08/11 C. de Santiago Ramón y Cajal, 37, Casco Antiguo, 50004 Zaragoza///pero volvemos a retomarlo y seguimos para adelante.</t>
  </si>
  <si>
    <t xml:space="preserve">NILSON MOSQUEIRA GOMEZ </t>
  </si>
  <si>
    <t>2025/572</t>
  </si>
  <si>
    <t>CAMBIO DE ALOJAMIENTO EL 08/11 C. de Santiago Ramón y Cajal, 37, Casco Antiguo, 50004 Zaragoza</t>
  </si>
  <si>
    <t>2025/573</t>
  </si>
  <si>
    <t>GUSTAVO ANDRES DUQUE CASTILLO</t>
  </si>
  <si>
    <t>Hostal Arkanta C. del Pilar, 9, 28500 Arganda del Rey, Madrid</t>
  </si>
  <si>
    <t>+34 608844655</t>
  </si>
  <si>
    <t>2025/629</t>
  </si>
  <si>
    <t>FUERON REUBICADOS A CASTELLON 09/11/</t>
  </si>
  <si>
    <t>ENRIQUE LIMA PUERTA</t>
  </si>
  <si>
    <t>C. Martínez Camargo, 11, 10310 Talayuela, Cáceres, Spain</t>
  </si>
  <si>
    <t>+34 634 96 35 46</t>
  </si>
  <si>
    <t>2025/648</t>
  </si>
  <si>
    <t>alojamiento gestionado por el cliente, reserva cancelada</t>
  </si>
  <si>
    <t>CESAR EDUARDO RAMIREZ TOVAR</t>
  </si>
  <si>
    <t>2025/R160</t>
  </si>
  <si>
    <t>nos informa que hoy 10/11/2025  es el último día del reemplazo R2025/0160</t>
  </si>
  <si>
    <t>JHIRVEY JOHAN GIRALDO RINCON</t>
  </si>
  <si>
    <t>2026/774</t>
  </si>
  <si>
    <t>La finalización se produjo el 29/06/2026.//Alojamiento por cuenta del cliente</t>
  </si>
  <si>
    <t>LEONARDO JAVIER RIOS CORREA</t>
  </si>
  <si>
    <t>CAMILO BUSTOS BECERRA</t>
  </si>
  <si>
    <t>2025/R163</t>
  </si>
  <si>
    <t xml:space="preserve">Yajaira informa que solo trabajo 2 dias y que van a contratar un reemplazo </t>
  </si>
  <si>
    <t>Prevision hasta el 31 de Diciembre 2025//-&gt; finales de enero del 2026//Fecha Fin:30/01/2026</t>
  </si>
  <si>
    <t>C. Petunia, 20, 38612 Arenas del Mar, Santa Cruz de Tenerife </t>
  </si>
  <si>
    <t>finalizan el 19/12/2025.//Prevision hasta el 31 de Diciembre 2025//</t>
  </si>
  <si>
    <t>Alquila en canarias Medano Lugar de encuentro  Calle el Confital, 38612 El Médano, España</t>
  </si>
  <si>
    <t>+34 622 27 15 80</t>
  </si>
  <si>
    <t>Cambio de alojamiento a donde fatima</t>
  </si>
  <si>
    <t>Calle Gayarre 42, 1º1º, en la localidad BARCELONA.</t>
  </si>
  <si>
    <t>2025/491</t>
  </si>
  <si>
    <t>Los operarios que quedaron fuera ya han sido reubicados.FECHA DE INICIO: 15/10/2025</t>
  </si>
  <si>
    <t>CAMBIO DE ALOJAMIENTO COLLADO 12--11-25</t>
  </si>
  <si>
    <t>nos indica que el viernes 07/11/2025 fue el último día del operario</t>
  </si>
  <si>
    <t>Cambia alojamiento por cuenta propia</t>
  </si>
  <si>
    <t>finalizo el pasado 07 de abril de 2026.//Prevision hasta Fecha: 24/07/2026</t>
  </si>
  <si>
    <t>Pension Waksman Avinguda del Doctor Waksman, 29, 1º, Pta.3, Quatre Carreres, 46006 Valencia</t>
  </si>
  <si>
    <t>+34 963337214</t>
  </si>
  <si>
    <t>2025/008/2024/056/RU052</t>
  </si>
  <si>
    <t>espera de coche para reubicar alojamiento//Fecha Fin: 16/06/2026</t>
  </si>
  <si>
    <t>2025/338/RU07/RU052</t>
  </si>
  <si>
    <t>Cambio de alojamiento 18/06/2026//Carvisa, previsión de trabajos hasta el dia 28/08</t>
  </si>
  <si>
    <t>La finalización se produjo el 15/05/2026.
Motivo: renuncia voluntaria por viaje a Colombia.//mínimo mediados de noviembre (Tarragona)//nos indica las siguientes fechas previstas para finalizar 17/10/2025 (Tarragona)</t>
  </si>
  <si>
    <t>CRISTIAN CAMILO BORRE SILVA</t>
  </si>
  <si>
    <t>Carrer del Monestir de Poblet, 42, 1, Campanar, 46015 València</t>
  </si>
  <si>
    <t>2026/686</t>
  </si>
  <si>
    <t>continuará en el proyecto hasta la fecha prevista, el 30/06.//Calderas RCB- previsión de finalización es el dia 30/06</t>
  </si>
  <si>
    <t>El Hórreo de Avilés C. de Llaranes Viejo, 8, 33460 Avilés, Asturias</t>
  </si>
  <si>
    <t>Javier +34 616 09 72 05</t>
  </si>
  <si>
    <t>han solicitado la baja voluntaria07/11//Falta ingresar coste/// CARTA DE RESCISION 07/11/25</t>
  </si>
  <si>
    <t>han solicitado la baja voluntaria 06/11// Falta ingresar coste/// CARTA DE RESCISION 06/11/25</t>
  </si>
  <si>
    <t>JHON STHEVEEN MERINO ALVAREZ</t>
  </si>
  <si>
    <t xml:space="preserve"> Callejón del Blanco, 6 6, Cádiz, Andalucía 11008, España</t>
  </si>
  <si>
    <t>Juan +34 676 55 19 45</t>
  </si>
  <si>
    <t xml:space="preserve">este trabajo por última vez el miércoles 12/11/2025. Le ha dicho al cliente que esta enfermo, pero no le ha dado al cliente fecha de reincorporación. </t>
  </si>
  <si>
    <t>HECTOR JAUMEN GUEVARA FORERO</t>
  </si>
  <si>
    <t>nos informa que los siguientes operarios finalizan este miércoles 12/11/2025</t>
  </si>
  <si>
    <t>2025/528</t>
  </si>
  <si>
    <t>nos informa que los siguientes operarios finalizan este miércoles 12/11/2025//finaliza con ellos, pero continuará trabajando en la misma obra con otro cliente de nuestro cliente Soldatec. Al no haber cambio de alojamiento ni de ubicación de trabajo podemos hacerlo.</t>
  </si>
  <si>
    <t>nos indica que el pasado viernes 14/11/2025 fue el último día del operario</t>
  </si>
  <si>
    <t>Ibraim dice  14/11 se dan de baja //(HOY 04/11: IBRAIM DICE: QUE SE QUEDA UNA SEMANA MAS, DEBE ENVIAR CORREO)el viernes 24/10 finalizó su trabajo en Zaragoza.</t>
  </si>
  <si>
    <t>Finalmente finalizan el viernes 28/11/2025.//nos indica que los siguientes operarios finalizan 21/11/2025.</t>
  </si>
  <si>
    <t>ROBERTO RICHARD OSCCO CHILINGANO</t>
  </si>
  <si>
    <t>A partir del viernes 14/11/2025, ese día será su último día trabajando//Costo pendiente ingresar/////habitacion doble por 840€</t>
  </si>
  <si>
    <t>2025/R02</t>
  </si>
  <si>
    <t>MATEO CANTILLO PAYARES</t>
  </si>
  <si>
    <t>VICTOR ALFONSO MINA</t>
  </si>
  <si>
    <t>Piso en La fuente, 44 a 6WJV+988 Zarza de Granadilla</t>
  </si>
  <si>
    <t>2025/213</t>
  </si>
  <si>
    <t>SE FUE PARA SU PAIS DE ORIGEN EL 15/11</t>
  </si>
  <si>
    <t>finaliza hoy viernes 19/09/2025</t>
  </si>
  <si>
    <t>DEIBIS ENRIQUE HERNANDEZ OROZCO</t>
  </si>
  <si>
    <t>2025/R117</t>
  </si>
  <si>
    <t>Plaza Constitución 8, 9, 3 08191 RUBI</t>
  </si>
  <si>
    <t>Cindy +34 678 18 61 65</t>
  </si>
  <si>
    <t xml:space="preserve">ha solicitado la baja voluntaria, haciéndose esta efectiva el próximo 15/11/2025. </t>
  </si>
  <si>
    <t xml:space="preserve"> han solicitado la baja voluntaria para el próximo 15/11/2025//confirmar prevision</t>
  </si>
  <si>
    <t>han solicitado la baja voluntaria para el próximo 15/11/2025//prevision pendiente//Fecha Fin Pedido 21 de nov. de 2025</t>
  </si>
  <si>
    <t>Los operarios que quedaron fuera ya han sido reubicados.</t>
  </si>
  <si>
    <t>finalizan hoy viernes 24/10/2025// iniciará mañana miércoles 08/10/2025</t>
  </si>
  <si>
    <t xml:space="preserve"> finalizan hoy viernes 24/10/2025//iniciará mañana miércoles 08/10/2025</t>
  </si>
  <si>
    <t>Prevision hasta el 31 de Diciembre 2025//-&gt; finales de enero del 2026</t>
  </si>
  <si>
    <t>De manera temporal se alojan aca debiendo salir el 15/11//nos informa que los siguientes operarios finalizan este miércoles 12/11/2025</t>
  </si>
  <si>
    <t>2025/559</t>
  </si>
  <si>
    <t>ARTURO HANS VELARDE AVALOS</t>
  </si>
  <si>
    <t>2025/R131</t>
  </si>
  <si>
    <t>Tiene Reemplazo R-0166, no esta en el alojamiento segun informa Tania.</t>
  </si>
  <si>
    <t>además finaliza este viernes 14/11/2025 el operario restante:///En principio los trabajadores acababan esta semana pero necesitamos que se alargue una semana más el contrato, en principio la semana que viene será la última.//finalizan el viernes 31/10/2025.</t>
  </si>
  <si>
    <t>2025/657</t>
  </si>
  <si>
    <t xml:space="preserve">
finalizan el año</t>
  </si>
  <si>
    <t>2025/R143</t>
  </si>
  <si>
    <t>último día 22/05/2026//se desplazará a Alovera, saliendo el sábado por la mañana y regresando el domingo por la tarde a Lleida.//Prevision hasta Fecha: 04/03/2026//Cambio de alojamiento</t>
  </si>
  <si>
    <t>2025/R166</t>
  </si>
  <si>
    <t>nos indica que el siguiente operario finaliza hoy 17/11/2025, Tiene reemplazo.</t>
  </si>
  <si>
    <t>C. Cabo de Creus, 7, 12100 Grao de Castellón, Castellón</t>
  </si>
  <si>
    <t>Santiago +34 650 27 92 37</t>
  </si>
  <si>
    <t>2025/629/RU060</t>
  </si>
  <si>
    <t>Vuelven a Madrid el 17/11</t>
  </si>
  <si>
    <t>RU2025/010/003/081/059</t>
  </si>
  <si>
    <t>RU2025/010/004/081/059</t>
  </si>
  <si>
    <t>HOTEL NUEVO LORENZO Calle Saavedra y Fajardo 96, 37008 Salamanca, España</t>
  </si>
  <si>
    <t>+34 643 60 93 91</t>
  </si>
  <si>
    <t>2025/478</t>
  </si>
  <si>
    <t>2025/637</t>
  </si>
  <si>
    <t xml:space="preserve">nos informa que los operarios del pedido 2025/637 finalizan hoy 17/11/2025//alojamiento gestionado por el cliente, </t>
  </si>
  <si>
    <t>cambio de laojamiento por coche//Finalmente finalizan el viernes 28/11/2025//nos indica que los siguientes operarios finalizan 21/11/2025.//cambio de alojamiento a Calle Gascon de Gotor, 9, zaragoza 18-11-25</t>
  </si>
  <si>
    <t>cambio de laojamiento por coche//Finalmente finalizan el viernes 28/11/2025//nos indica que los siguientes operarios finalizan 21/11/2025./cambio de alojamiento a Calle Gascon de Gotor, 9, zaragoza 18-11-25</t>
  </si>
  <si>
    <t>2025/656</t>
  </si>
  <si>
    <t xml:space="preserve">nos indica que ayer 19/11/2025 fue el último día de los operarios//alojamiento gestionado por el cliente, </t>
  </si>
  <si>
    <t>MILTON SAA MILLAN</t>
  </si>
  <si>
    <t>C. Gregorio Solabarrieta, 46, 4 izd 09200 Miranda de Ebro, Burgos</t>
  </si>
  <si>
    <t>YESID RAFAEL ZARATE MANJARREZ</t>
  </si>
  <si>
    <t>Calle Sagasta, 20, Las Palmas de Gran Canaria, Canarias 35008, España</t>
  </si>
  <si>
    <t>Eloy  +34 666 13 73 14</t>
  </si>
  <si>
    <t>2025/602</t>
  </si>
  <si>
    <t>nos indica que este jueves 20/11/2025 finalizan 6 operarios//Confirmamos todos los trabajadores hasta el día 21 de noviembre</t>
  </si>
  <si>
    <t>JHON CARLOS ALCAZAR CASTRO</t>
  </si>
  <si>
    <t>2025/601</t>
  </si>
  <si>
    <t>nos indica que este jueves 20/11/2025 finalizan 6 operarios//Después del día 21 queremos quedarnos hasta el 30 de enero</t>
  </si>
  <si>
    <t>MARLON STIVEN MOLANO CARDONA</t>
  </si>
  <si>
    <t>Calle Bernardo de la Torre, 47, Las Palmas de Gran Canaria, Canarias 35007, España</t>
  </si>
  <si>
    <t>Sleepaways +34 644 27 11 84</t>
  </si>
  <si>
    <t>2025/586</t>
  </si>
  <si>
    <t>FRANCISCO JAVIER OJEDA MACHADO</t>
  </si>
  <si>
    <t>nos indica que este jueves 20/11/2025 finalizan 6 operarios//Correo del 12/11 Ibraim: este trabajador esta misma semana será trasladado de Gran Canaria a Tenerife, en donde estará hasta aproximadamente el 30/11/2025. Una vez finalizado en Tenerife vuelve al alojamiento de Gran Canaria. //Confirmamos todos los trabajadores hasta el día 21 de noviembre</t>
  </si>
  <si>
    <t>2025/590</t>
  </si>
  <si>
    <t>Prevision mediados de Diciembre//pero el cliente ha pedido que Andrés finalice el jueves 20/11/2025 //Fecha Fin 17 noviembre 2025 No cumple las expectativas del cliente. Sera reemplazado</t>
  </si>
  <si>
    <t>C. del Pico Cebollera, Puente de Vallecas, 28053 Madrid, España</t>
  </si>
  <si>
    <t>+34 671 19 10 89</t>
  </si>
  <si>
    <t>PROSPERO SUAREZ PASTRAN</t>
  </si>
  <si>
    <t>2025/R171</t>
  </si>
  <si>
    <t>WILMER ANDRES AREVALO MARIN</t>
  </si>
  <si>
    <t>2025/598</t>
  </si>
  <si>
    <t>nos indica que los siguientes operarios finalizan este sábado 08/11/2025//SOLICITUD DE REEMPLAZO</t>
  </si>
  <si>
    <t>SANTIAGO HIGUITA ARBOLEDA</t>
  </si>
  <si>
    <t>Prevision hasta el 31 de Diciembre 2025//finales de enero del 2026</t>
  </si>
  <si>
    <t>JOSE MANUEL MARULANDA MEDINA</t>
  </si>
  <si>
    <t>2025/R142</t>
  </si>
  <si>
    <t>nos indica que el siguiente operario finaliza hoy 21/11/2025</t>
  </si>
  <si>
    <t>2025/558</t>
  </si>
  <si>
    <t>nos indica que los siguientes operarios finalizan mañana viernes 21/11/2025</t>
  </si>
  <si>
    <t>GUSTAVO RAFAEL CARRILLO NUNEZ</t>
  </si>
  <si>
    <t>nos indican que el resto de operarios activos finalizan este viernes 21/11/2025://DESDE EL INICIO INFORMO QUE TENIA ALOJAMIENTO PROPIO</t>
  </si>
  <si>
    <t>JAIR SNAIDER MEZA GOMEZ</t>
  </si>
  <si>
    <t>finalizaran el 31/12/2025.//nos confirma que para el día 29/11/2025 finalizan estos dos operarios//finaliza el próximo sábado 22/11/2025.//finaliza la próxima semana, este jueves termina de confirmar el día//Fecha Fin Pedido: mi., 26 de nov. de 2025//</t>
  </si>
  <si>
    <t>JUAN ALBEIRO MONSALVE MARIN</t>
  </si>
  <si>
    <t>2025/556</t>
  </si>
  <si>
    <t>Prevision hasta  31 Diciembre 2025//Revisar a que alojamiento en vitoria lo vamos a reubicar.</t>
  </si>
  <si>
    <t>C. Batalla del Salado, 33, 02002 Albacete</t>
  </si>
  <si>
    <t>+34 967244718</t>
  </si>
  <si>
    <t>2025/121</t>
  </si>
  <si>
    <t>2025/475</t>
  </si>
  <si>
    <t>se va al alojamiento asignado al 475</t>
  </si>
  <si>
    <t>JHON FREDY VELEIZANO PULIDO</t>
  </si>
  <si>
    <t>2025/593</t>
  </si>
  <si>
    <t>nos informa que hoy lunes 17/11/2025 es el último día del operario//Prevision pendiente//Fecha Fin Pedido 21 de nov. de 2025</t>
  </si>
  <si>
    <t>RAFAEL SANTIAGO FADUL TONCEL</t>
  </si>
  <si>
    <t>nos indican que el resto de operarios activos finalizan este viernes 21/11/2025://Prevision hasta el 30 de Noviembre 2025//</t>
  </si>
  <si>
    <t>JAIME HERMAN ARANGO MONSALVE</t>
  </si>
  <si>
    <t>Prevision hasta  31 Diciembre 2025</t>
  </si>
  <si>
    <t>CARLOS DANIEL RODRIGUEZ PENA</t>
  </si>
  <si>
    <t>Barrio Valles, 81, Reocín, Cantabria 39590, España</t>
  </si>
  <si>
    <t xml:space="preserve"> Raquel Santamaría López+34 650 37 07 99</t>
  </si>
  <si>
    <t>nos informa que el siguiente operario finaliza mañana viernes 10/10/2025///tener presente el alojamiento donde la señora Begoña, la que traicino adelina</t>
  </si>
  <si>
    <t>2025/591</t>
  </si>
  <si>
    <t xml:space="preserve">nos indica que mañana 21/11/2025 es el último día de//Continua en el mismo alojamiento </t>
  </si>
  <si>
    <t>RICHAR TAYLOR JIMENEZ CORONADO</t>
  </si>
  <si>
    <t>2025/645</t>
  </si>
  <si>
    <t>IBERTECNIC</t>
  </si>
  <si>
    <t xml:space="preserve">nos indica que hoy 21/11/2025 es el último día del operario//alojamiento gestionado por el cliente, </t>
  </si>
  <si>
    <t>2025/655</t>
  </si>
  <si>
    <t>finalizó el pasado sábado 22/11/2025.//nos indica que los operarios en Madrid finalizan mañana 21/11/2025</t>
  </si>
  <si>
    <t>JHON GENER USUGA HERRERA</t>
  </si>
  <si>
    <t>2025/625</t>
  </si>
  <si>
    <t>nos confirma que el domingo 23/11/2025 es el último día de los operarios del pedido 2025/625//Alojamiento por cuenta del cliente</t>
  </si>
  <si>
    <t>nos confirma que el domingo 23/11/2025 es el último día de los operarios del pedido 2025/625//alojamiento por cuenta del cliente</t>
  </si>
  <si>
    <t>FREDDY ANDRES BAYONA CASTRO</t>
  </si>
  <si>
    <t>partida PUIG GARRETS parcela 266 del municipio de Ulldecona</t>
  </si>
  <si>
    <t>Carlos +34 676 84 83 83</t>
  </si>
  <si>
    <t>31-08-25 ABANDONO EL TRABAJO</t>
  </si>
  <si>
    <t>PAVEL FERNANDO GARCIA ZAPATA</t>
  </si>
  <si>
    <t>Restaurante Pension Galicia Carrer Riera, 69, 08420 Canovelles, Barcelona</t>
  </si>
  <si>
    <t>2025/660</t>
  </si>
  <si>
    <t>Cambio de alojamiento//nos indica las siguientes fechas previstas para finalizar  17/10/2025 (Segovia)</t>
  </si>
  <si>
    <t>Cambio de alojamiento//nos indica las siguientes fechas previstas para finalizar 17/10/2025 (Tarragona)</t>
  </si>
  <si>
    <t>NELGER CARDONA NORIEGA</t>
  </si>
  <si>
    <t>2025/533</t>
  </si>
  <si>
    <t>MARSA CALDERERIA</t>
  </si>
  <si>
    <t>nos indica que con fecha de mañana 25/11/2025 es el último día de los operarios del pedido 2025/533</t>
  </si>
  <si>
    <t>MARIO ENRIQUE CHANTRE CALAMBAS</t>
  </si>
  <si>
    <t>RU2025/007/079</t>
  </si>
  <si>
    <t>SALE ALOJAMIENTO PROPIO PROCEDE A PARTIR DEL 01-12-25</t>
  </si>
  <si>
    <t xml:space="preserve"> nos informa que ayer jueves 27/11/2025 fue el último día //se mantiene con el cliente TABAR hasta el 31/12/2025//su último día es el 31/12/2025///su último día es el 22/11/2025.///cambio calle Remiro de Goñi n.º 38, en Pamplona, Navarra. se producirá el día 28 de septiembre Los trabajadores ya están avisados.</t>
  </si>
  <si>
    <t>JESUS EMILIO CASTILLO SALAZAR</t>
  </si>
  <si>
    <t>2025/614</t>
  </si>
  <si>
    <t>ha informado que el pedido 2025/614, que iniciaba el pasado lunes 27/10/2025, no iniciará hasta mediados de noviembre o más tarde. Por lo tanto, lo damos por CANCELADO y más adelante se hará nuevo pedido si desean incorporar a más personal.///El pedido PO-0614 será efectivo a partir del día 3/11/2025, ya que en la empresa le comentaron que hasta el día 3 no comenzara.</t>
  </si>
  <si>
    <t>Finalmente finalizan el viernes 28/11/2025//nos indica que los siguientes operarios finalizan 21/11/2025.</t>
  </si>
  <si>
    <t>se encuentra incapacitado y volvera, mientras lo reemplaza pablo//hasta el viernes 31/10.// seguira trabajando</t>
  </si>
  <si>
    <t>/Finalmente finalizan el viernes 28/11/2025//nos indica que los siguientes operarios finalizan 21/11/2025./cambio de alojamiento a Calle Gascon de Gotor, 9, zaragoza 18-11-25</t>
  </si>
  <si>
    <t>Cambio de alojamiento//nos indica las siguientes fechas previstas para finalizar 17/10/2025 (Segovia)</t>
  </si>
  <si>
    <t>Hotel Goya Lleida Carrer Alcalde Costa, 9, 25002 Lleida</t>
  </si>
  <si>
    <t>+34 973266788</t>
  </si>
  <si>
    <t>cambio de alojamineto para donde juana el 04/08</t>
  </si>
  <si>
    <t>ANDERSON CHELUVAY GONZALEZ TRUJILLO</t>
  </si>
  <si>
    <t>2025/413</t>
  </si>
  <si>
    <t>CAMBIO DE ALOJAMIENTO EL 29/11//HABITACIÒN DOBLE (CAMA DISPONIBLE)</t>
  </si>
  <si>
    <t>WILMER ARIZA MUÑOZ</t>
  </si>
  <si>
    <t>2025/380</t>
  </si>
  <si>
    <t>2025/448</t>
  </si>
  <si>
    <r>
      <t> nos informa que hoy </t>
    </r>
    <r>
      <rPr>
        <b/>
        <sz val="12"/>
        <color theme="4" tint="-0.249977111117893"/>
        <rFont val="Aptos"/>
        <family val="2"/>
      </rPr>
      <t>29/08/2025</t>
    </r>
    <r>
      <rPr>
        <sz val="12"/>
        <color theme="4" tint="-0.249977111117893"/>
        <rFont val="Aptos"/>
        <family val="2"/>
      </rPr>
      <t> es el último día de los operarios</t>
    </r>
  </si>
  <si>
    <t>Cambio de alojamiento//Prevision hasta  31 Diciembre 2025/</t>
  </si>
  <si>
    <t>Calle Nou de Sant Francesc nº8, 3º2ª</t>
  </si>
  <si>
    <t>2025/599</t>
  </si>
  <si>
    <t>Los primeros operarios no finalizan el 14/11/2025 finalmente lo harán el sábado 15/11/2025.//nos confirma que este viernes 14/11/2025 finalizan//Fecha Fin:26/11/2025</t>
  </si>
  <si>
    <t xml:space="preserve"> nos indica que el siguiente operario finaliza hoy 25/11/2025//Prevision hasta el 31 de Diciembre de 2025//</t>
  </si>
  <si>
    <t>nos indica que hoy viernes 28/11/2025 //mes de octubre no se paga porque ella no devlvio el dinero de la habitacion de Alberto Mendieta</t>
  </si>
  <si>
    <t>Calle olaguibel 48, 3 derecha</t>
  </si>
  <si>
    <t>domingo 30/11/2025 finalizan todos los operarios</t>
  </si>
  <si>
    <t>2025/R175</t>
  </si>
  <si>
    <t>CARTA DE RESCISION 30-11-25</t>
  </si>
  <si>
    <t>ELIS RAMON GARCIA DIAZ</t>
  </si>
  <si>
    <t>ENTRA EN SU REMPLAZO BLAKIS//domingo 30/11/2025 finalizan todos los operarios</t>
  </si>
  <si>
    <t>JOSE ALFREDO GUTIERREZ LANCHEZ</t>
  </si>
  <si>
    <t>ENTRA EN SU REEMPLAZO MIGUEL ANGEL GARCIA//domingo 30/11/2025 finalizan todos los operarios</t>
  </si>
  <si>
    <t>Finalmente serán reubicados a Valencia el lunes 01/12/2025 los operarios//nos indica que los operarios en Madrid finalizan mañana 21/11/2025</t>
  </si>
  <si>
    <t>REUBICADO DONDE ALICIA 14/03/2026</t>
  </si>
  <si>
    <t>Calle de Álava, 10 4izquierda, Gijón, Asturias 33210, España</t>
  </si>
  <si>
    <t>Mushtaq +34 612 24 86 34</t>
  </si>
  <si>
    <t xml:space="preserve"> finaliza este 30/11/2025//nos indica que los siguientes operarios finalizan el 30/11/2025//Prevision hasta el 15 de Diciembre 2025/</t>
  </si>
  <si>
    <t>ADALBERTO ARAGON GOMEZ</t>
  </si>
  <si>
    <t>domingo 30/11/2025 finalizan todos los operarios///Sale alojamiento propio 01/09</t>
  </si>
  <si>
    <t>fue reubicado a alicante</t>
  </si>
  <si>
    <t>FINALIZO 02/09/25 NOTIFICADO POR CORREO</t>
  </si>
  <si>
    <t>Leonor Miguel Benidio +34650450339</t>
  </si>
  <si>
    <t>2025/647</t>
  </si>
  <si>
    <t>Prevision hasta el 31 de Diciembre de 2025//</t>
  </si>
  <si>
    <t>MARCO DIVINO</t>
  </si>
  <si>
    <t>OFICINA</t>
  </si>
  <si>
    <t>KOTRIK INDUSTRIAL</t>
  </si>
  <si>
    <t>Alojamiento para Marco divino</t>
  </si>
  <si>
    <t xml:space="preserve">EVERALDO </t>
  </si>
  <si>
    <t>TRIANGULO</t>
  </si>
  <si>
    <t xml:space="preserve">se alojo evelio </t>
  </si>
  <si>
    <t>ALEX MAURICIO CARDONA RAMIREZ</t>
  </si>
  <si>
    <t>2025/249</t>
  </si>
  <si>
    <t>Trabaja hasta el 26/11 sera reemplazado por Blakys/Prevision hasta  31 Diciembre 2025/</t>
  </si>
  <si>
    <t>2025/588</t>
  </si>
  <si>
    <t>finalizó el martes 02/12/2025. El trabajador ha tenido un mal comportamiento según el cliente.</t>
  </si>
  <si>
    <t>Cambia para donde aracely 02/12//Fecha Fin:27/03/2026</t>
  </si>
  <si>
    <t>Cambia para donde magnus 02/12Fecha Fin:27/03/2026</t>
  </si>
  <si>
    <t>VICTOR MANUEL VELASQUEZ</t>
  </si>
  <si>
    <t>2025/509</t>
  </si>
  <si>
    <t xml:space="preserve">su último día de trabajo será el próximo viernes 19/09/2025.// pedido de reemplazo 121
</t>
  </si>
  <si>
    <t xml:space="preserve"> PROBLEMATICO, NO QUIERE SALIR //30/10  los chicos no pueden entrar a la obra , y se cancelan todos los servicios y trabajos con TUBAL</t>
  </si>
  <si>
    <t>2025/661</t>
  </si>
  <si>
    <t xml:space="preserve"> VALLISOLETANA DE ELEMENTOS METÁLICOS, S.L</t>
  </si>
  <si>
    <t>nos confirma que hoy 21/11/2025 finaliza el operario//Prevision hasta 17/12/2025</t>
  </si>
  <si>
    <t>HOSTAL MAVESA.S.L CALZADA ROMANA,26 06185 VALDELACALZADA</t>
  </si>
  <si>
    <t>+34 647950831</t>
  </si>
  <si>
    <t>lo van a reubicar a vitoria trabaja en badajoz hasta hoy 02/12//  Prevision hasta  31 Diciembre 2025///tentativamente hasta finales de noviembre</t>
  </si>
  <si>
    <t>MARIO LUIS FERNANDO PEDEMONTE RUIZ</t>
  </si>
  <si>
    <t>Casa Salomé C. Algaba, 28, 24149 Mora de Luna, León</t>
  </si>
  <si>
    <t>+34 606938250</t>
  </si>
  <si>
    <t>2025/610</t>
  </si>
  <si>
    <t>Fecha Fin:27/02/2026</t>
  </si>
  <si>
    <t>NESTOR ALEXANDER VIERA CANALES</t>
  </si>
  <si>
    <t>FABIO DOMINGUEZ BRAVO</t>
  </si>
  <si>
    <t>LUIS EFRAIN ADRIANZEN MARCELO</t>
  </si>
  <si>
    <t>Erdy Kalea número 3,piso 2da izquierdo</t>
  </si>
  <si>
    <t>Lulita +34 610 22 62 27</t>
  </si>
  <si>
    <t>finalizó por motivos personales el pasado viernes 05/12/2025.</t>
  </si>
  <si>
    <t>ELKIN YAIR QUINTANA SILVA</t>
  </si>
  <si>
    <t>Apartamento Museo : Calle Comunidad, 3 4, 44001 Teruel, España</t>
  </si>
  <si>
    <t>2025/596</t>
  </si>
  <si>
    <t>finalizan hoy viernes 05/12/2025.//Prevision mediados de Diciembre</t>
  </si>
  <si>
    <t>WALDO SEGUNDO BARRIGA DURAN</t>
  </si>
  <si>
    <t>Calle Bastardos, Antequera, Andalucía 29200, España</t>
  </si>
  <si>
    <t>vuelve a  alojarse en el piso en malaga//Marcelo autorizo 1 mes de alojamiento</t>
  </si>
  <si>
    <t>ALEJANDRO ERWIN ZAMBRANO AGUILERA</t>
  </si>
  <si>
    <t>Plaza Mayor, 4, 37181 Pelabravo, Salamanca, Spain</t>
  </si>
  <si>
    <t>Richard +34 653 64 65 50</t>
  </si>
  <si>
    <t>finaliza hoy 26/09/2025 el pedido de Salamanca 2025/475</t>
  </si>
  <si>
    <t>HECTOR LUCIANO CAMELO BENAVIDES</t>
  </si>
  <si>
    <t>2025/600</t>
  </si>
  <si>
    <t>YOLMAR MARULANDA PEREZ</t>
  </si>
  <si>
    <t>JEISON HERRERA LOZANO</t>
  </si>
  <si>
    <t>C. Gran Almte. Cristóbal Colón, 1, 21130 Mazagón, Huelva</t>
  </si>
  <si>
    <t>2025/589</t>
  </si>
  <si>
    <t>-&gt; finaliza 05/12/2025// Prevision mediados de diciembre/</t>
  </si>
  <si>
    <t>-&gt; finaliza 05/12/2025//Prevision mediados de diciembre/</t>
  </si>
  <si>
    <t xml:space="preserve"> AUN ESTA EN EL ALOJAMIENTO NO SALE HASTA QUE NO LE PAGUEN SS//deberán finalizar en las respectivas fechas 17/10/2025// ESTE PISO SE PASO A STOCCO POR ESCRITO CORREO A LOGISTICA 05/03/2025</t>
  </si>
  <si>
    <t xml:space="preserve"> AUN ESTA EN EL ALOJAMIENTO NO SALE HASTA QUE NO LE PAGUEN SS/todos los operarios finalizan este domingo 26/10/2025.//ESTE PISO SE PASO A STOCCO POR ESCRITO CORREO A LOGISTICA 05/03/2025</t>
  </si>
  <si>
    <t>ANDRES AGREDO ARBOLEDA</t>
  </si>
  <si>
    <t>Restaurante Pensión Galicia Carrer Riera, 69, 08420 Canovelles, Barcelona</t>
  </si>
  <si>
    <t> Lizardo Pensión Galicia+34 634 86 88 58</t>
  </si>
  <si>
    <t>2025/669</t>
  </si>
  <si>
    <t>A partir del 09/12 pasan al Hotel Restaurant Can Parera</t>
  </si>
  <si>
    <t>RUBEN DARIO RINCON CORTES</t>
  </si>
  <si>
    <t>FERNEY TORRES LEDESMA</t>
  </si>
  <si>
    <t>DANIEL FELIPE PATINO CANDELA</t>
  </si>
  <si>
    <t>2026/R182</t>
  </si>
  <si>
    <t>Cambio de alojamiento: pasa el 27/06/2026 para Calle Santa Ana 42 1c, Elgoibar</t>
  </si>
  <si>
    <t>2026/773</t>
  </si>
  <si>
    <t>Yajaira: 21/08 pesè a que fue reportado sin fecha de salida, y finalmente el trabajador continuo en ISH/// Wiese — Recibió una oferta de 17 euros por hora — Sin fecha indicada///Alojamiento por cuenta del cliente</t>
  </si>
  <si>
    <t xml:space="preserve">Paseo del Pinar, 1, Las Rozas de Madrid, Comunidad de Madrid 28231, España
</t>
  </si>
  <si>
    <t>Hugo: +34 654 33 95 87</t>
  </si>
  <si>
    <t>2025/659</t>
  </si>
  <si>
    <t>VUELVEN EL 10/12 AL BOROX NO RENOVAR OJO</t>
  </si>
  <si>
    <t>Arbúcies, Calle Domènec Rafart, núm. 19</t>
  </si>
  <si>
    <t>Ingresa nuevamente trabajadores alojados que estan donde patricia hoy 14/01/2026// Durante este periodo no se puede ocupar la propiedad del 03/10 al 05/10  y del 17/10 al 19/10</t>
  </si>
  <si>
    <t>Durante este periodo no se puede ocupar la propiedad del 03/10 al 05/10  y del 17/10 al 19/10</t>
  </si>
  <si>
    <t>2025/597</t>
  </si>
  <si>
    <t>carta de resicion hasta el 12/12/2025/</t>
  </si>
  <si>
    <t xml:space="preserve"> Informado correo hoy 02/02- finalizó su actividad el día 12/12/2026, debido a su retorno a su país de origen, Perú, sin haber informado previamente.</t>
  </si>
  <si>
    <t>CESAR EDUARDO GONZALES BARRIENTOS</t>
  </si>
  <si>
    <t>2025/083</t>
  </si>
  <si>
    <t>no está trabajando desde el día 12/12 y actualmente se encuentra en Perú.</t>
  </si>
  <si>
    <t>nos indica que el próximo viernes 12/12/2025 finalizan los siguientes operarios</t>
  </si>
  <si>
    <t>2025/R172</t>
  </si>
  <si>
    <t xml:space="preserve"> INDUSTRIAS AERONAUTICAS LATORRE S.L</t>
  </si>
  <si>
    <t>finalizaron el pasado viernes 21/11/2025.//Prevision hasta  31 Diciembre 2025///14/10: Prevision  por Ibraim de 1 a 2 meses</t>
  </si>
  <si>
    <t>HENRY FIERRO MEDINA</t>
  </si>
  <si>
    <t>HOSTAL CAMPESTRE C/SAN CRISTOBAL Nº 11 (POL. LA MORA) C.P. 47193 CISTERNIGA (VALLADOLID)</t>
  </si>
  <si>
    <t>2025/R178</t>
  </si>
  <si>
    <t xml:space="preserve"> nos indica que ayer 10/12/2025 fue el último día del operario://Prevision hasta el 31 de Diciembre de 2025//</t>
  </si>
  <si>
    <t>finalizó el pasado viernes 05/12/2025:</t>
  </si>
  <si>
    <t>Hotel Restaurant Can Parera Sant Joan Bosco, 6-8 08150 Parets del Vallès Barcelona</t>
  </si>
  <si>
    <t>+34 935621261</t>
  </si>
  <si>
    <t>nos comunican que hoy miércoles 10/12/2025, es el último día de</t>
  </si>
  <si>
    <t>Informa correo Christian 04/02/2026---&gt; continuarán en la obra durante al menos 2 o 3 semanas más, existiendo posteriormente la posibilidad de traslado a otra obra, tal y como ya se había comentado previamente.</t>
  </si>
  <si>
    <t>El lunes 15/12/2025 es el último día de</t>
  </si>
  <si>
    <t>2025/632</t>
  </si>
  <si>
    <t>BAJA VOLUNTARIA RECISIÓN Trabajo hasta el 15/12/2025//serán reubicados a GRANOLLERS el 19/12/2025//Alojamiento por cuenta del cliente</t>
  </si>
  <si>
    <t>2025/R120</t>
  </si>
  <si>
    <t>Reubicado a sevilla 25/11//por el momento permanecen al menos una semana más en Alicante (la fecha exactame la confirman la próxima semana).//nos indica que este viernes 21/11/2025 finalizan en Alicante los siguientes operarios//Prevision hasta el 31/12/2025//Fecha Fin:23/12/2025</t>
  </si>
  <si>
    <t>2025/548</t>
  </si>
  <si>
    <t>reemplazados, llegando a teruel como reemplazo el 17/12/2025//Prevision mediados de diciembre/</t>
  </si>
  <si>
    <t>Hotel Restaurant Can Parera Sant Joan Bosco, 6-8 08150 Parets del Vallès Barcelona</t>
  </si>
  <si>
    <t>nos confirma que los siguientes operarios finalizan hoy viernes 12/12/2025:</t>
  </si>
  <si>
    <t>YORVY RAFAEL MARTINEZ ROMERO</t>
  </si>
  <si>
    <t>2025/R120/RU0067</t>
  </si>
  <si>
    <t>Cambio de alojamiento a Granollers, calle Cristobal Colón 10 ENT 3ª el 17/11</t>
  </si>
  <si>
    <t>La Puntilla Arena 2 Calle Anzofé, 35009 Las Palmas de Gran Canaria, España</t>
  </si>
  <si>
    <t xml:space="preserve">+34 674 12 64 39
~Grupo Padrón +34 686 79 35 13 </t>
  </si>
  <si>
    <t xml:space="preserve"> Quedarán 4 operarios hasta el 31/01/2026//pero actualmente hay 2 operarios más que están en Tenerife (alojamiento, transporte y dietas por parte del cliente)estos vuelven a Gran Canaria el 05/11/2025, y a partir de esa fecha debemos encargarnos de alojamiento, transporte y dietas. Estos dos últimos tienen una previsión hasta el 30/01/2026//Después del día 21 queremos quedarnos hasta el 30 de enero</t>
  </si>
  <si>
    <t xml:space="preserve"> Quedarán 4 operarios hasta el 31/01/2026//pero actualmente hay 2 operarios más que están en Tenerife (alojamiento, transporte y dietas por parte del cliente)estos vuelven a Gran Canaria el 05/11/2025, y a partir de esa fecha debemos encargarnos de alojamiento, transporte y dietas. Estos dos últimos tienen una previsión hasta el 30/01/2026/Después del día 21 queremos quedarnos hasta el 30 de enero</t>
  </si>
  <si>
    <t>Quedarán 4 operarios hasta el 31/01/2026//El 30/11/2025 finalizan los 2 siguientes//Después del día 21 queremos quedarnos hasta el 30 de enero</t>
  </si>
  <si>
    <t>JUAN DANIEL ROA ROZAS</t>
  </si>
  <si>
    <t>ALCANAR</t>
  </si>
  <si>
    <t>Carrer Ávila 8, Amposta, Catalunya 43870, España</t>
  </si>
  <si>
    <t>Miquel +34 680 75 27 28</t>
  </si>
  <si>
    <t>2025/638</t>
  </si>
  <si>
    <t>WILMER SEGOVIA GARCIA</t>
  </si>
  <si>
    <t>Hotel Alda Borox C. Plomo, 35, 45222 Borox, Toledo</t>
  </si>
  <si>
    <t xml:space="preserve"> +34 925679176</t>
  </si>
  <si>
    <t>enero del 2026</t>
  </si>
  <si>
    <t>VICTOR ALFONSO MINA QUIJANO</t>
  </si>
  <si>
    <t>serán reubicados a GRANOLLERS el 19/12/2025//Alojamiento por cuenta del cliente</t>
  </si>
  <si>
    <t>prevision hasta mediados de diciembre</t>
  </si>
  <si>
    <t>EDWIN FREDY SUAREZ CARDENAS</t>
  </si>
  <si>
    <t>Appart'City Confort Perpignan Centre Gare (ALOJAMIENTO POR CUENTA DEL CLIENTE)</t>
  </si>
  <si>
    <t>+334 57 38 16 53</t>
  </si>
  <si>
    <t>2025/646</t>
  </si>
  <si>
    <t>alojamiento gestionado por el cliente, Vacaciones los operarios en Francia del 19/12 al 04/01</t>
  </si>
  <si>
    <t>alojamiento gestionado por el cliente,  Vacaciones los operarios en Francia del 19/12 al 04/01</t>
  </si>
  <si>
    <t>Cristian informo por whatsapp18/02/2026: segorbe, hasta el 27 de febrero//ibraim da prevision hasta mediados de febrero de 2026//SIGUE HASTA ENERO DEL 2026 MINIMO//prevision hasta mediados de diciembre</t>
  </si>
  <si>
    <t>El lunes 20/12/2025 es el último día de</t>
  </si>
  <si>
    <t>DANIEL MATEO AGUDELO RUEDA</t>
  </si>
  <si>
    <t>HENRY BOHORQUEZ VEGA</t>
  </si>
  <si>
    <t>finaliza el 16/12/2025, Ambos operarios serán reemplazados, llegando estos reemplazos el 17/12/2025.//Prevision mediados de Diciembre</t>
  </si>
  <si>
    <t>NELSON RODRIGO MOSSOS ANDRADE</t>
  </si>
  <si>
    <t xml:space="preserve"> finaliza el 18/12/2025, Ambos operarios serán reemplazados, llegando estos reemplazos el 17/12/2025.//finaliza 10/12/2025 //Prevision mediados de Diciembre</t>
  </si>
  <si>
    <t>calle las rocas número 10 los abrigos</t>
  </si>
  <si>
    <t>finalizan el 19/12/2025.//</t>
  </si>
  <si>
    <t>BAJA VOLUNTARIA 21/12/2025</t>
  </si>
  <si>
    <t>FEBRERO DEL 2026// se lo quedan hasta final de año 12/2025 ///-&gt; permanecerá en Mosquera Villavidal hasta el 31/10/2025 //permanecerá en Mosquera Villavidal hasta el 31/10/2025 (pendiente a estudiar la viabilidad de esta fecha)//finalizan en las respectivas fechas 26/09/2025 //permanecerá en Mosquera Villavidal hasta el 26/09/2025//finaliza 12/09/25 informadopor correo 27/08////finalizarán el 03/09/2025 correo// se solicita ampliacion hasta el 14/10</t>
  </si>
  <si>
    <t xml:space="preserve"> +34 606 60 23 84</t>
  </si>
  <si>
    <t>finalizan el 19/12/2025.Prevision hasta el 31 de Diciembre 2025//</t>
  </si>
  <si>
    <t>2025/092/RU0011/468</t>
  </si>
  <si>
    <t>nos indica que los siguientes operarios finalizan el 19/12/2025</t>
  </si>
  <si>
    <t xml:space="preserve">
nos indica que los siguientes operarios finalizan el 19/12/2025//finalizan el año</t>
  </si>
  <si>
    <t>Cambio de alojamiento a calle rossello 11 de Granollers el 17/11</t>
  </si>
  <si>
    <t>El trabajador se encontraba sin laborar desde el 12/12, segun wolmer///Fecha Fin Pedido 21 de nov. de 2025</t>
  </si>
  <si>
    <t>2025/632/RU-0071</t>
  </si>
  <si>
    <t>serán concluidos en su totalidad el próximo viernes día 6 de marzo de 2026,//PREAVISO HASTA: 22/12/2025//alojamiento gestionado por el cliente,</t>
  </si>
  <si>
    <t>Pension Suiza 16 Carrer Ample, 43202 Reus, España</t>
  </si>
  <si>
    <t>+34 675685982</t>
  </si>
  <si>
    <t>Abandono el trabajo //Se ha generado ya el reemplazo 2025/0132 para el próximo miércoles 01/10/2025</t>
  </si>
  <si>
    <r>
      <t>  Ultimo dia hoy 12/09/2025//nos informa que hoy </t>
    </r>
    <r>
      <rPr>
        <b/>
        <sz val="12"/>
        <color rgb="FF305496"/>
        <rFont val="Aptos"/>
        <family val="2"/>
      </rPr>
      <t>29/08/2025</t>
    </r>
    <r>
      <rPr>
        <sz val="12"/>
        <color rgb="FF305496"/>
        <rFont val="Aptos"/>
        <family val="2"/>
      </rPr>
      <t> es el último día de los operarios</t>
    </r>
  </si>
  <si>
    <r>
      <rPr>
        <sz val="11"/>
        <color rgb="FF305496"/>
        <rFont val="Calibri"/>
        <family val="2"/>
      </rPr>
      <t>Pol. Ind. San Martín, C. Estación, 1, 48550 Muskiz, Vizcaya</t>
    </r>
    <r>
      <rPr>
        <sz val="11"/>
        <color rgb="FF000000"/>
        <rFont val="Calibri"/>
        <family val="2"/>
        <scheme val="minor"/>
      </rPr>
      <t> </t>
    </r>
  </si>
  <si>
    <r>
      <t> Ultimo dia hoy 12/09/2025//nos informa que hoy </t>
    </r>
    <r>
      <rPr>
        <b/>
        <sz val="12"/>
        <color rgb="FF305496"/>
        <rFont val="Aptos"/>
        <family val="2"/>
      </rPr>
      <t>29/08/2025</t>
    </r>
    <r>
      <rPr>
        <sz val="12"/>
        <color rgb="FF305496"/>
        <rFont val="Aptos"/>
        <family val="2"/>
      </rPr>
      <t> es el último día de los operarios</t>
    </r>
  </si>
  <si>
    <t>2026/RU087</t>
  </si>
  <si>
    <t>ANUAR JIMENEZ DELGADO</t>
  </si>
  <si>
    <t>2025/462</t>
  </si>
  <si>
    <t>cambio de alojamiento//finales de enero/Prevision hasta el 31 de Diciembre 2025//FINALES DE DICIEMBRE.//Ibraim informa 11/11 que va hasta: Hasta finales de año//MINIMO HASTA MEDIADOS DE NOVIEMBRE///Falta realizar el pago///se amplio reserva hasta el 10/09// solicitan datos de la tarjeta</t>
  </si>
  <si>
    <t>Paso alojamiento por cuenta propia//Prevision hasta el 31 de Diciembre de 2025//</t>
  </si>
  <si>
    <t>NO van a seguir trabajando para este cliente.//hoy miércoles 03/12/2025, NO van a asistir al trabajo hasta nueva orden//estarán al menos hasta finales de septiembre</t>
  </si>
  <si>
    <t>JORGY VALLEJO SOLIS</t>
  </si>
  <si>
    <t>JHOJAN ESNEIDER NINO PARRA</t>
  </si>
  <si>
    <t>JP +33 6 50 65 48 76</t>
  </si>
  <si>
    <t>nos indica que el 23/12/2025, es el último día del operario, se ha pedido un reemplazo que iniciará el 12/01/2025. 
  //permanecerán mínimo hasta febrero del 2026</t>
  </si>
  <si>
    <t>Los trabajadores del cliente SCS STRUCTURAL, trabajaron como último día el pasado 24/12/2025. Ahora mismo, estamos solucionando unos problemas contractuales con dicho cliente, hasta nuevo aviso no se realiza el cambio ni trabajaran los operarios. //esta alojado en Calle San Miguel 9 Burjassot Valencia sin autorizacion.</t>
  </si>
  <si>
    <t>finalizará su actividad el próximo 12/06.///Calderas RCB- previsión de finalización es el dia 30/06</t>
  </si>
  <si>
    <t>MIGUEL ANGEL MARTINEZ ISAZA</t>
  </si>
  <si>
    <t>Cambia alojamiento por cuenta propia el 02/08/2026//Nos informa miguel propietario que miguel trabajador saldra del alojamiento el 31/07/2026</t>
  </si>
  <si>
    <t>ALFREDO ANTONIO OSPINO RANGEL</t>
  </si>
  <si>
    <t>finalizaran el 31/12/2025.//nos confirma que para el día 29/11/2025 finalizan estos dos operarios//Finalmente el cliente nos confirma que para el día 22/11/2025 finalizan estos dos operario//Los primeros operarios no finalizan el 14/11/2025 finalmente lo harán el sábado 15/11/2025.//nos confirma que este viernes 14/11/2025 finalizan/Fecha Fin:26/11/2025</t>
  </si>
  <si>
    <t>2025/617</t>
  </si>
  <si>
    <t>CAMBIO DE ALOJAMIENTO 11/11//-&gt; finales de enero del 2026</t>
  </si>
  <si>
    <t>YAN CARLOS RUIZ ROJAS</t>
  </si>
  <si>
    <t>BAJA VOLUNTARIA RECISIÓN Trabaja hasta el 30/12/2025///Prevision hasta el 31 de Diciembre 2025//-&gt; finales de enero del 2026</t>
  </si>
  <si>
    <t>Calle Nou de Sant Francesc nº8, Principal 1ª</t>
  </si>
  <si>
    <t>2025/622</t>
  </si>
  <si>
    <t>TINCASUR SUR, S.L</t>
  </si>
  <si>
    <t>finalizan el martes 23/12/2025.//Alex informa por teams De tincasur me dicen que hasta el 23/12//Fecha Fin Pedido: sá., 20 de dic. de 2025//Alojamiento gestionado por nosotros pero paga el cliente, se debe solicitar pago al cliente para su renovacion antes de la fecha de salida</t>
  </si>
  <si>
    <t>OMAR DAVID DIAZ MORALES</t>
  </si>
  <si>
    <t>finalizan el martes 23/12/2025.//Alex informa por teams De tincasur me dicen que hasta el 23/12/Fecha Fin Pedido: sá., 20 de dic. de 2025//Alojamiento gestionado por nosotros pero paga el cliente, se debe solicitar pago al cliente para su renovacion antes de la fecha de salida</t>
  </si>
  <si>
    <t>BAJA VOLUNTARIA RECISIÓN  Trabaja hasta el 24/12/2025//carta de rescisión 15/11/25</t>
  </si>
  <si>
    <t>2025/662</t>
  </si>
  <si>
    <t>2026/715</t>
  </si>
  <si>
    <t>finalizan el 27/02///Os informo que los siguientes trabajadores finalizan su servicio en el proyecto el día 21/02/26, siendo este su último día en obra:</t>
  </si>
  <si>
    <t>45MH+GFQ, Mazagón, Huelva</t>
  </si>
  <si>
    <t>Prevision hasta el 15 de Diciembre 2025//</t>
  </si>
  <si>
    <t>IVAN DARIO VALLEJO BARRAZA</t>
  </si>
  <si>
    <t>BAJA VOLUNTARIA RECISIÓN Trabaja hasta el 30/12/2025///1. Calle Roger de Lluria número 6 Urbanización, Can Parellada, Masquefa, Barcelona 08783, España Marian +34 686 83 11 16//2. pasan a fijo 01/08/2024</t>
  </si>
  <si>
    <t>MICHAEL ANDRES AHUMADA RUBIO</t>
  </si>
  <si>
    <t>2025/623</t>
  </si>
  <si>
    <t>CAMILO ANDRES RUBIO LEON</t>
  </si>
  <si>
    <t>APARTAMENTO NILO C/ Candeles número 1, PRINCIPAL.</t>
  </si>
  <si>
    <t>Rosa Piso Hospitalet/Barcelona +34 637 75 62 31</t>
  </si>
  <si>
    <t>BAJA VOLUNTARIA RECISIÓN Trabaja hasta el 30/12/2025</t>
  </si>
  <si>
    <t>2025/630</t>
  </si>
  <si>
    <t>finalizan el martes 23/12/2025.//Alex informa por teams De tincasur me dicen que hasta el 23/12/Fecha Fin Pedido:sá., 20 de dic. de 2025// El alojamiento va por parte de ellos, nosotros tenemos que pagar el alojamiento y enviarle el comprobante para que lo paguen el mismo día</t>
  </si>
  <si>
    <t>finalizan el martes 23/12/2025.//Alex informa por teams De tincasur me dicen que hasta el 23/12/Fecha Fin Pedido:sá., 20 de dic. de 2025//El alojamiento va por parte de ellos, nosotros tenemos que pagar el alojamiento y enviarle el comprobante para que lo paguen el mismo día</t>
  </si>
  <si>
    <t>2025/R158</t>
  </si>
  <si>
    <t>CAMBIO DE ALOJAMIENTO 11/11//nos confirma que este viernes 14/11/2025 finalizan//Fecha Fin:26/11/2025</t>
  </si>
  <si>
    <t>JOSE LISARDO LINARES</t>
  </si>
  <si>
    <t>2025/650</t>
  </si>
  <si>
    <t xml:space="preserve">
finaliza hoy martes 09/12/2025.//enero del 2026//Fecha Fin Pedido: vi., 26 de dic. de 2025</t>
  </si>
  <si>
    <t>JUAN FERNANDO DUQUE CARDONA</t>
  </si>
  <si>
    <t xml:space="preserve">
enero del 2026//Fecha Fin Pedido: vi., 26 de dic. de 2025</t>
  </si>
  <si>
    <t>se devolvieron a colserolla//Fecha Fin: 30/03/2026</t>
  </si>
  <si>
    <t>Carrer Mossèn Jacint Verdaguer, 21 1º B, Arbúcies, Catalunya 17401, España</t>
  </si>
  <si>
    <t>Rita +34 621 22 75 17</t>
  </si>
  <si>
    <t>nos confirma que finalizaron el pasado 31/12/2025 los siguientes operarios</t>
  </si>
  <si>
    <r>
      <rPr>
        <sz val="11"/>
        <color rgb="FF305496"/>
        <rFont val="Calibri"/>
        <family val="2"/>
      </rPr>
      <t>el número 2026/678. Este inicia el miércoles 14/01/2026. Pero hay un pequeño cambio, al final no serán 8 personas sino 7 personas, queda fuera del pedido el operario//Inician la bores nuevamente a partir del 14/01/2026//Los trabajadores del cliente SCS STRUCTURAL, trabajaron como último día el pasado </t>
    </r>
    <r>
      <rPr>
        <b/>
        <sz val="12"/>
        <color rgb="FF000000"/>
        <rFont val="Aptos"/>
        <family val="2"/>
      </rPr>
      <t>24/12/2025. </t>
    </r>
    <r>
      <rPr>
        <sz val="12"/>
        <color rgb="FF000000"/>
        <rFont val="Aptos"/>
        <family val="2"/>
      </rPr>
      <t>Ahora mismo, estamos solucionando unos problemas contractuales con dicho cliente, hasta nuevo aviso no se realiza el cambio ni trabajaran los operarios. </t>
    </r>
  </si>
  <si>
    <t>EDGAR LONDOÑO VILLADA</t>
  </si>
  <si>
    <t>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//Sale del alojamiento el 30/05 a alojamiento propio</t>
  </si>
  <si>
    <t>Prevision hasta 05/05/2026// finalizarán el 31/12/2025.//nos indica que los siguientes operarios permanecerán hasta el 30/11/2025//Permanecerán hasta el 30/09/2025 aproximadamente en el proyecto.</t>
  </si>
  <si>
    <t>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//ALOJAMIENTO PROPIO DESDE EL INICIO</t>
  </si>
  <si>
    <t xml:space="preserve">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t>
  </si>
  <si>
    <t>ha trabajado hoy 23/10/2025, como último día al pedir un permiso para irse hasta enero. //este operario es fijo del cliente, el alojamiento lo pagan ellos y se vuelve a Italia el lunes 29/09 junto al cliente///el cliente se encarga del alojamiento</t>
  </si>
  <si>
    <t>2025/R119</t>
  </si>
  <si>
    <t>finaliza su servicio en el proyecto con fecha 06/03.//apto 79 (3 camas)</t>
  </si>
  <si>
    <t>Hostal La Romànica  Carrer de Fra Juníper Serra, 20, 08204 Sabadell, Barcelona</t>
  </si>
  <si>
    <t>+34  937 11 31 92</t>
  </si>
  <si>
    <t>2025/607</t>
  </si>
  <si>
    <t>HECTOR FABIO GOMEZ ROMAN</t>
  </si>
  <si>
    <t>apto 85 (3camas)por la baja productividad de los siguientes operarios, estos finalizaron ayer martes 03/12/2025-VIAJAN EL 13/12</t>
  </si>
  <si>
    <t>apto 85 (3camas)</t>
  </si>
  <si>
    <t>se devolvieron a colserolla/Fecha Fin: 30/03/2026</t>
  </si>
  <si>
    <t>&gt; finaliza el 31/12/2025//nos indica que los siguientes operarios finalizan el 30/11/2025//Prevision hasta el 15 de Diciembre 2025/</t>
  </si>
  <si>
    <t>calle IngenierosPino y Amorena Nº 6 P06 D de la ciudad de Logroño</t>
  </si>
  <si>
    <t>La finalización de JOHNNY ESTID QUIJANO TREJO se producirá el 22/06/2026.//Alojamiento por cuenta del cliente</t>
  </si>
  <si>
    <t>Julio Romero Guisado  18-20,C.P. 14120, situada en Fte. Palmera</t>
  </si>
  <si>
    <t>2026/770</t>
  </si>
  <si>
    <t>Alojamiento por cuenta del cliente/La finalización se produjo el 26/06/2026.
Motivo: El cliente mantuvo al trabajador en espera para su asignación a una nueva obra, pero finalmente decidió prescindir de sus servicios.</t>
  </si>
  <si>
    <t>JOHN FREDY QUINONES HENAO</t>
  </si>
  <si>
    <t>finalizaran el 31/12/2025.//</t>
  </si>
  <si>
    <t>Informa Christian teams 07/05/2026 Prevision hasta finales de mayo//Informa via teams cristian 10/03 prevision: la parte de Stocco de DUROFELGUEIRAS, un mes más, con posible ampliación a 2 meses máximo... pero dicen que probablemente iran sacando chicos poco a poco, y será por rendimiento, por lo cual no me pueden dar muchas garantias./</t>
  </si>
  <si>
    <t>STEVEN SUAREZ BETANCOURT</t>
  </si>
  <si>
    <t>Salio el 5/12/ va optar por alojamiento por cuenta propia segun tania//Prevision Finales de Diciembre</t>
  </si>
  <si>
    <t>Alojamiento por cuenta propia</t>
  </si>
  <si>
    <t>EDGAR CORRALES HOYOS</t>
  </si>
  <si>
    <t>2026/687</t>
  </si>
  <si>
    <t>C. Zamora, 4, 09003 Burgos</t>
  </si>
  <si>
    <t xml:space="preserve"> Alvaro +34 613 37 29 76</t>
  </si>
  <si>
    <t>2025/048/RU057</t>
  </si>
  <si>
    <t>Opto por alojamiento por cuenta propia</t>
  </si>
  <si>
    <t>2025/634</t>
  </si>
  <si>
    <t>apto 79 (3 camas)por la baja productividad de los siguientes operarios, estos finalizaron ayer martes 03/12/2025- VIAJAN EL 13/12</t>
  </si>
  <si>
    <t>EDINSON SIZA SANCHEZ</t>
  </si>
  <si>
    <t>2025/651</t>
  </si>
  <si>
    <t>apto 76 (3 camas) abandono el trabajo viernes 21/11</t>
  </si>
  <si>
    <t>LUIS HERNANDO HINESTROZA VALENCIA</t>
  </si>
  <si>
    <t xml:space="preserve">apto 76 (4 camas) </t>
  </si>
  <si>
    <t>2025/455</t>
  </si>
  <si>
    <t>Comunicación urgente – Incidencia con clientes y suspensión de actividad 18/02/2026</t>
  </si>
  <si>
    <t>FRANCISCO ALBERTO OCHOA GAITAN</t>
  </si>
  <si>
    <r>
      <rPr>
        <sz val="12"/>
        <color rgb="FF000000"/>
        <rFont val="Aptos"/>
        <family val="2"/>
      </rPr>
      <t>Trabaja hasta el 04/01/2026 //PREAVISO HASTA:</t>
    </r>
    <r>
      <rPr>
        <b/>
        <sz val="12"/>
        <color rgb="FF000000"/>
        <rFont val="Aptos"/>
        <family val="2"/>
      </rPr>
      <t> 04/01/2026</t>
    </r>
  </si>
  <si>
    <t>que el pasado lunes 05/01/2025 fue el último día del único operario del que disponian</t>
  </si>
  <si>
    <t>JONAS SILVA DOS SANTOS</t>
  </si>
  <si>
    <t>Rúa da Espiñeira, 12, Santiago de Compostela, 15706, España</t>
  </si>
  <si>
    <t>+34632073060 med</t>
  </si>
  <si>
    <t>vuelve el 06/01 a ourense prevision hasta FEBRERO DEL 2026//</t>
  </si>
  <si>
    <t>R-0179</t>
  </si>
  <si>
    <t>BAJA VOLUNTARIA Trabajo hasta el 07/01/2025</t>
  </si>
  <si>
    <t>ROBERT STIVEN ESPINOSA PAREDES</t>
  </si>
  <si>
    <t>apto 76 (4 camas) NO QUIERE VENIRSE</t>
  </si>
  <si>
    <t>VERONA</t>
  </si>
  <si>
    <t>Via di Tiglio , 465 55012 Capannori (LUcca)(Alojamiento por cuenta del cliente)</t>
  </si>
  <si>
    <t>2025/658</t>
  </si>
  <si>
    <t>Marcelo informan que terminan hoy 07/01/2026</t>
  </si>
  <si>
    <t xml:space="preserve">2025/674 </t>
  </si>
  <si>
    <t>No ingreso se quedo donde karol opta por alojamiento por cuenta propia, antonia se le notifico que no ingresaba a la espera del comprobante por parte de recursos humanos.</t>
  </si>
  <si>
    <t>2025/467/RU0065</t>
  </si>
  <si>
    <t>nos comenta que el siguiente operario finalizó el pasado viernes 09/01/2026</t>
  </si>
  <si>
    <t>nos indica que este viernes 09/01/2026 es el último día del operario</t>
  </si>
  <si>
    <t>Cambio de alojamiento//Prevision hasta el 31 de Diciembre de 2025//</t>
  </si>
  <si>
    <t>cambia 09/01/2026 para CALLE SAN JUAN DE AVILA, 2, Valladolid//Prevision hasta el 31 de Diciembre de 2025//</t>
  </si>
  <si>
    <t>Barrio Mercadillo 11. (48190) Sopuerta (Bizkaia)</t>
  </si>
  <si>
    <t xml:space="preserve"> nos informa que los siguientes operarios finalizan el próximo 26/09/2025:</t>
  </si>
  <si>
    <r>
      <t>nos informa que los siguientes operarios finalizan el próximo </t>
    </r>
    <r>
      <rPr>
        <b/>
        <sz val="12"/>
        <color rgb="FF000000"/>
        <rFont val="Aptos"/>
        <family val="2"/>
      </rPr>
      <t>26/09/2025:</t>
    </r>
  </si>
  <si>
    <t>HECTOR JESUS QUINONES PEREZ</t>
  </si>
  <si>
    <t>no esta aljado</t>
  </si>
  <si>
    <t>EDUARDO JOSE MENDOZA ARIAS</t>
  </si>
  <si>
    <t>nos indica que el pasado 30/12/2025 fue el último día de todos los operarios</t>
  </si>
  <si>
    <t>CESAR AUGUSTO LONDONO USME</t>
  </si>
  <si>
    <t>JUAN ESTEBAN RANGEL HERNANDEZ</t>
  </si>
  <si>
    <t>ROBERT ALIRIO DUARTE SIERRA</t>
  </si>
  <si>
    <t>2025/616</t>
  </si>
  <si>
    <t>nos confirma que todos los operarios que tenia finalizarón el pasado 12/01/2026://Alojamiento por cuenta del cliente</t>
  </si>
  <si>
    <t>EDDIE DE JESUS ZARATE IGUARAN</t>
  </si>
  <si>
    <t>2025/666</t>
  </si>
  <si>
    <t>finalizaron el pasado viernes 21/11/2025.//Prevision hasta  31 Diciembre 2025/tener presente el alojamiento donde la señora Begoña, la que traicino adelina</t>
  </si>
  <si>
    <t>NO SABE DEL TODO//finalizó el pasado 12/09/2025.</t>
  </si>
  <si>
    <t>2026/671</t>
  </si>
  <si>
    <r>
      <t>PREAVISO HASTA:</t>
    </r>
    <r>
      <rPr>
        <b/>
        <sz val="12"/>
        <color rgb="FF000000"/>
        <rFont val="Aptos"/>
        <family val="2"/>
      </rPr>
      <t> 13/01/2026</t>
    </r>
  </si>
  <si>
    <t>ALOJAMIENTO PROPIO TRABAJADOR (KOTRIK)</t>
  </si>
  <si>
    <t>REUBICADO A SEVILLA 2026/RU073</t>
  </si>
  <si>
    <t>REUBICADO A SEVILLA 2026/RU073//MEDIADOS DE FEBRERO//enero del 2026//el cliente se queda a los tres operarios hasta mínimo el viernes 24/10/2025///finalizarán en las respectivas fechas 03/10/2025</t>
  </si>
  <si>
    <t>salen para donde joaquim hoy 14/01/2026</t>
  </si>
  <si>
    <t>2026/678</t>
  </si>
  <si>
    <t xml:space="preserve">por el momento NO trabajarán con nosotros. Quedando CANCELADOS los pedidos//Por informacion de RH (16/01/2026), Todos los trabajadores de SCS ya estan trabajando en otra empresa//Los trabajadores del cliente SCS STRUCTURAL, trabajaron como último día el pasado 24/12/2025. Ahora mismo, estamos solucionando unos problemas contractuales con dicho cliente, hasta nuevo aviso no se realiza el cambio ni trabajaran los operarios. </t>
  </si>
  <si>
    <t xml:space="preserve"> nos indica que mañana miércoles es el último día de los operarios en Francia://modificar la reserva 5 dias antes de la salida, ya el propietario esta informado de la continuidad</t>
  </si>
  <si>
    <t>2026/672</t>
  </si>
  <si>
    <t>el trabajador Jefferson Steven Carbalido Vidales no se presentó en su puesto de trabajo y nos comunicó que no se incorporará a este trabajo.</t>
  </si>
  <si>
    <t>/Fecha Fin: 30/03/2026</t>
  </si>
  <si>
    <t>Plaza de Cataluña 2 piso 2 Granollers</t>
  </si>
  <si>
    <t>+34 604 23 91 60 ~William Saucedo Robles</t>
  </si>
  <si>
    <t>No se quizo ir para la habitacion se quedo en can parera</t>
  </si>
  <si>
    <t>Optaran por alojamiento propio a partir del día 15 de Enero de 2026//Prevision mediados de diciembre//Fecha Fin:13/02/2026</t>
  </si>
  <si>
    <t>LUIS ALEXANDER SEPULVEDA GUERRERO</t>
  </si>
  <si>
    <t xml:space="preserve">por el momento NO trabajarán con nosotros. Quedando CANCELADOS los pedidos//Por informacion de RH (16/01/2026), Todos los trabajadores de SCS ya estan trabajando en otra empresa//Inician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t>
  </si>
  <si>
    <t>LUIS FELIPE VALDERRAMA PALOMINO</t>
  </si>
  <si>
    <t>por el momento NO trabajarán con nosotros. Quedando CANCELADOS los pedidos//Por informacion de RH (16/01/2026), Todos los trabajadores de SCS ya estan trabajando en otra empresa//Inician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//1. Jacinto Benavente 20 4°1° Mollet del Vallés Juan Carlos +34 638 58 33 79 /7///cambio de alojamiento 18/01 de Carretera de Prats de Lluçanès, 179 Sabadell  2 Piso Puerta 4</t>
  </si>
  <si>
    <t>JOSE WALTER VALENCIA PEREZ</t>
  </si>
  <si>
    <t>2024/018</t>
  </si>
  <si>
    <t>por el momento NO trabajarán con nosotros. Quedando CANCELADOS los pedidos//Por informacion de RH (16/01/2026), Todos los trabajadores de SCS ya estan trabajando en otra empresa//Inician la bores nuevamente a partir del 14/01/2026//Los trabajadores del cliente SCS STRUCTURAL, trabajaron como último día el pasado 24/12/2025. Ahora mismo, estamos solucionando unos problemas contractuales con dicho cliente, hasta nuevo aviso no se realiza el cambio ni trabajaran los operarios. //Finaliza el 31/08</t>
  </si>
  <si>
    <t>2025/655/RU066</t>
  </si>
  <si>
    <t>por el momento NO trabajarán con nosotros. Quedando CANCELADOS los pedidos//Los trabajadores del cliente SCS STRUCTURAL, trabajaron como último día el pasado 24/12/2025. Ahora mismo, estamos solucionando unos problemas contractuales con dicho cliente, hasta nuevo aviso no se realiza el cambio ni trabajaran los operarios. //Salio a vacaciones 16/12, regresa el 25/01</t>
  </si>
  <si>
    <t>nos indica que los siguiente operarios finalizaron el pasado viernes 09/01/2025</t>
  </si>
  <si>
    <t>nos indica que los siguiente operarios finalizaron el pasado viernes 09/01/2025//Prevision hasta el 31 de Diciembre de 2025//</t>
  </si>
  <si>
    <t>2024/382</t>
  </si>
  <si>
    <t>JHON ALEXANDER ARENAS CASTRILLON</t>
  </si>
  <si>
    <t>HERNAN BERNARDO QUINTERO JARAMILLO</t>
  </si>
  <si>
    <t>VIALE GIACOMO PUCCINI 139, LIDO ADRIANO (RA)</t>
  </si>
  <si>
    <t>2025/670</t>
  </si>
  <si>
    <t>se alojaran nuevamente en borox el 10/12</t>
  </si>
  <si>
    <t>JOSE JAVIER RISCO DURAND</t>
  </si>
  <si>
    <t>nos comenta que el siguiente operario les ha indicada que dejará de trabajar por motivos personales el 15/01/2025:// todos los operarios permanecerán hasta mínimo finales de octubre.</t>
  </si>
  <si>
    <t>hizo un pedido en enero que debido a las altas exigencias en cursos y documentos no ha podido iniciar. Por ello el pedido 2025/659 queda CANCELADO. Los operarios afectados son:</t>
  </si>
  <si>
    <t xml:space="preserve">Los trabajadores del cliente SCS STRUCTURAL, trabajaron como último día el pasado 24/12/2025. Ahora mismo, estamos solucionando unos problemas contractuales con dicho cliente, hasta nuevo aviso no se realiza el cambio ni trabajaran los operarios. </t>
  </si>
  <si>
    <t>JHON FREDDY CABRERA AGUILAR</t>
  </si>
  <si>
    <t>Cambio alojamiento por cuenta propia</t>
  </si>
  <si>
    <t xml:space="preserve">REEMPLAZADO </t>
  </si>
  <si>
    <t>2025/RU049</t>
  </si>
  <si>
    <t>El trabajador informa que se encuentra en zaragoza trabajando 21/01/2026//</t>
  </si>
  <si>
    <t>JHON JAIRO DIAZ ZARATE</t>
  </si>
  <si>
    <t>ROBIN JOSE TORRES VANEGAS</t>
  </si>
  <si>
    <t xml:space="preserve"> nos confirma que hoy miércoles 03/12/2025, es el último día//Este parón se va a prolongar toda la semana, iniciando el trabajo el próximo lunes 13/10/2025.
Si por lo que fuera no se diese el caso, entonces reubicaremos a estos operarios.//Nos dice que el lunes nos da más información y que en caso de que la obra finalice los reubicará él mismo.</t>
  </si>
  <si>
    <t>2025/RU0042</t>
  </si>
  <si>
    <t>El alojamiento de este mes esta gestionado
por el cliente, él se encarga de la gestión y gastos del mes de Octubre. A partir de noviembre, aprovecharemos su gestión para dejarlos en el piso ya que el coste y las condiciones</t>
  </si>
  <si>
    <t>2026/685</t>
  </si>
  <si>
    <t>2026/682</t>
  </si>
  <si>
    <t xml:space="preserve"> TINCASUR SUR, S.L</t>
  </si>
  <si>
    <t>INFORMO JHONATAN POR TEAMS: informó que no podrá presentarse por problemas de salud y que se fue a Colombia.</t>
  </si>
  <si>
    <r>
      <rPr>
        <b/>
        <sz val="12"/>
        <color rgb="FF000000"/>
        <rFont val="Aptos"/>
        <family val="2"/>
      </rPr>
      <t>último día efectivo de trabajo es viernes 06/02/2026</t>
    </r>
    <r>
      <rPr>
        <sz val="12"/>
        <color rgb="FF000000"/>
        <rFont val="Aptos"/>
        <family val="2"/>
      </rPr>
      <t>, no estando prevista, por el momento, la necesidad de sustitución o reemplazo de estos perfiles hasta nuevo aviso.</t>
    </r>
  </si>
  <si>
    <t>Prevision hasta el 31 de Diciembre de 2025///PASA ALOJAMIENTO PROPIO//Fecha Fin:13/11/2025</t>
  </si>
  <si>
    <t>INFORMO JHONATAN POR TEAMS: El trabajador HECTOR ROMAN LUQUE CUTIPA renunció ayer e informó que va a viajar a Perú.</t>
  </si>
  <si>
    <t>ANDRES FELIPE PULIDO GOMEZ</t>
  </si>
  <si>
    <t>Calle Yagüe de Salas, 4 3 I, Teruel, Aragón 44001, España</t>
  </si>
  <si>
    <t>Fernando +34 722 18 79 42</t>
  </si>
  <si>
    <t>RU-0070</t>
  </si>
  <si>
    <t>Reubicado a madrid</t>
  </si>
  <si>
    <t>nos informa que el pasado viernes17/10/2025, fue el último día del operario PEDIDO DE REEMPLAZO EL 2025/628</t>
  </si>
  <si>
    <t>JORGE ALEXANDER GUEVARA PEÑA</t>
  </si>
  <si>
    <r>
      <t>nos informa que el viernes </t>
    </r>
    <r>
      <rPr>
        <b/>
        <sz val="12"/>
        <color rgb="FF000000"/>
        <rFont val="Aptos"/>
        <family val="2"/>
      </rPr>
      <t>16/01/2026</t>
    </r>
    <r>
      <rPr>
        <sz val="12"/>
        <color rgb="FF000000"/>
        <rFont val="Aptos"/>
        <family val="2"/>
      </rPr>
      <t>. Fue el último día del operario:</t>
    </r>
  </si>
  <si>
    <t>nos confirma que mañana 16/01/2026 será el último día de los operarios restantes//siguen trabajando, y al menos seguirán hasta final del mes de Enero.//finalizaran el 31/12/2025</t>
  </si>
  <si>
    <t>nos confirma que mañana 16/01/2026 será el último día de los operarios restantes//siguen trabajando, y al menos seguirán hasta final del mes de Enero.//finalizaran el 31/12/2025.//</t>
  </si>
  <si>
    <t>DANIER CALDERON SALAS</t>
  </si>
  <si>
    <t>2025/R129</t>
  </si>
  <si>
    <t>CAMBIA ALOJAMIENTO POR CUENTA PROPIA///FINALES DE FEBRERO//Prevision hasta el 31 de Diciembre 2025//</t>
  </si>
  <si>
    <t>Hostal San Marcos, Grande 27, 45224 Seseña Nuevo, España</t>
  </si>
  <si>
    <t>+34 918 93 67 83</t>
  </si>
  <si>
    <t>2026/688</t>
  </si>
  <si>
    <t xml:space="preserve">GRUPO LECRU </t>
  </si>
  <si>
    <t xml:space="preserve">cambio de alojamiento a partir del 24/01/2026 para Airbnb: Calle Valeras, 69, Aranjuez, Comunidad de Madrid 28300, España Telefono  Jose ‎+34 676 60 97 95
</t>
  </si>
  <si>
    <t>2026/677</t>
  </si>
  <si>
    <t xml:space="preserve">Cambio de alojamiento, esta sebastian en el alojamiento//De manera temporal mientras estan en pruebas hasta el 25/01 </t>
  </si>
  <si>
    <t>2026/679</t>
  </si>
  <si>
    <t xml:space="preserve">De manera temporal mientras estan en pruebas hasta el 25/01 </t>
  </si>
  <si>
    <t>Avenida Salvador de Madariaga, 75 1 I, A Coruña, La Coruña 15008, España</t>
  </si>
  <si>
    <t>Maria Del Rosario +34 699 41 00 32</t>
  </si>
  <si>
    <t>2026/673</t>
  </si>
  <si>
    <t>Informa teams Tania:  Los trabajadores Libardo Cabrera Sanchez y Edwin Fredy Suárez Cardenas, no se presentaron.</t>
  </si>
  <si>
    <t>110 Ronda de Outeiro, 15007 A Coruña, España</t>
  </si>
  <si>
    <t xml:space="preserve"> +34 606 46 61 23</t>
  </si>
  <si>
    <t>Informa teams Tania: Los trabajadores Libardo Cabrera Sanchez y Edwin Fredy Suárez Cardenas, no se presentaron.</t>
  </si>
  <si>
    <t>Rúa Badajoz, 9 1, Arteixo, Galicia 15008, España</t>
  </si>
  <si>
    <t>Antonio +34 637 05 69 69</t>
  </si>
  <si>
    <t>Informa teams Tania: El trabajador Roberto Oscco Chilingano, no se presento al curso</t>
  </si>
  <si>
    <t xml:space="preserve">NILSON MOSQUERA GOMEZ </t>
  </si>
  <si>
    <t>Mensaje de mateus en teams--&gt;Ese trabajador renuncia a entrerrios por "problemas personales" y sera movido a bachiller por cumplir el perfil exacto de la empresa</t>
  </si>
  <si>
    <t>2026/RU-0072</t>
  </si>
  <si>
    <t xml:space="preserve"> último día efectivo de trabajo fue el 31 de enero//REUBICACION NO ESTA EN LA HABITACION </t>
  </si>
  <si>
    <t>Fue trasladado al alojamiento del cliente 26/01/26 para trasladarse con los demas trabajadores del cliente</t>
  </si>
  <si>
    <t xml:space="preserve"> reubicacion a partir del 26/01////alojamiento propio a partir del día 15 de Enero de 2026, PENDIENTE EL ENVIO DEL COMPROBANTE</t>
  </si>
  <si>
    <t xml:space="preserve">  reubicacion a partir del 26/01///alojamiento propio a partir del día 15 de Enero de 2026, PENDIENTE EL ENVIO DEL COMPROBANTE</t>
  </si>
  <si>
    <t>MEDIADOS DE FEBRERO//Prevision hasta el 31 de Diciembre 2025//</t>
  </si>
  <si>
    <t>CARLOS ARTURO RESTREPO</t>
  </si>
  <si>
    <t>2025/R121</t>
  </si>
  <si>
    <t xml:space="preserve"> nos confirma que hoy miércoles 03/12/2025, es el último día//Este parón se va a prolongar toda la semana, iniciando el trabajo el próximo lunes 13/10/2025.
Si por lo que fuera no se diese el caso, entonces reubicaremos a estos operarios.///Nos dice que el lunes nos da más información y que en caso de que la obra finalice los reubicará él mismo.</t>
  </si>
  <si>
    <t>WILLIAM ALEXANDER JARA SANTOS</t>
  </si>
  <si>
    <t xml:space="preserve"> Inactivo desde el 23/12.informacion suministrada por el cliente///Este parón se va a prolongar toda la semana, iniciando el trabajo el próximo lunes 13/10/2025.
Si por lo que fuera no se diese el caso, entonces reubicaremos a estos operarios.///Nos dice que el lunes nos da más información y que en caso de que la obra finalice los reubicará él mismo.</t>
  </si>
  <si>
    <t>2026/698</t>
  </si>
  <si>
    <t>Cambio de alojamiento a tenerife a partir del 27/01/2026</t>
  </si>
  <si>
    <t>CRISTIAN ADRIAN QUIROS RAMOS</t>
  </si>
  <si>
    <t>Cambio de numero de pedido///finalizaron el pasado viernes 03/10/2025</t>
  </si>
  <si>
    <t>Av. de la Concordia, 26, piso 1, 39600 Camargo, Cantabria</t>
  </si>
  <si>
    <t>+34 642 13 83 19~Mary</t>
  </si>
  <si>
    <t>La propietaria desaloja al trabajador por comportamientos inapropiados</t>
  </si>
  <si>
    <t>Avenida del Pinar, 25, Campo Real, Comunidad de Madrid 28510, España</t>
  </si>
  <si>
    <t>Fernando  +34 615 96 80 44</t>
  </si>
  <si>
    <t>pasar al piso de Calle Benjamín Palencia 2, portal 6, piso 3B. Torrejón de Ardoz. C.P. 28850 Madrid el 28/01/2026</t>
  </si>
  <si>
    <t>2026/702</t>
  </si>
  <si>
    <t xml:space="preserve">COMMSAL </t>
  </si>
  <si>
    <t>nos indica que hoy 28/01/2026, es el último día del operario:</t>
  </si>
  <si>
    <t xml:space="preserve">Ha solicitado la baja voluntaria, fue efectiva desde ayer 28/01/2026. </t>
  </si>
  <si>
    <t>Tenerife Urban rooms C. Princesa Guajara, 26, 38008 Santa Cruz de Tenerife.</t>
  </si>
  <si>
    <t>+34 646 80 24 83</t>
  </si>
  <si>
    <t>2026/722</t>
  </si>
  <si>
    <t>CAMILO ANDRES VALERO PEREZ</t>
  </si>
  <si>
    <t>Según lo comunicado, el último día efectivo de trabajo fue el 30 de enero. Con anterioridad, se informó al trabajador del cese de actividad de Kotrik Industrial en España y de la posibilidad de continuar la relación laboral mediante un cambio de empresa a Luminous Alley. No obstante, el trabajador decidió no aceptar dicho cambio.//1.Hostal Sant JoanCarrer Sant Joan, 12, 08760 Martorell, Barcelona 2.// Pasan a Fijo 06/08</t>
  </si>
  <si>
    <t>nos indica que hoy 26/01 es el último día del operario- El cliente nos comenta que lo ha visto dos veces sentado en la cubierta de la obra sin trabajar. Por el momento, no necesita reemplazo.</t>
  </si>
  <si>
    <t>PEDRO CARLOS ARMENDARIZ</t>
  </si>
  <si>
    <t>2025/150</t>
  </si>
  <si>
    <t>PREAVISO HASTA: 31/01/2026</t>
  </si>
  <si>
    <t xml:space="preserve">ha pedido la baja voluntaria para el 31/01/2025. El trabajador debe viajar a su país por motivos personales, y a acordado con el cliente volver a trabajar con él a la vuelta del operario. Por el momento, no se necesita reemplazo.
</t>
  </si>
  <si>
    <t>calle Remiro de Goñi n.º 38, en Pamplona, Navarra.</t>
  </si>
  <si>
    <t>preliminarmente entregaremos el piso: calle Remiro de Goñi n.º 38, en Pamplona, Navarra, pasarian a santurzi</t>
  </si>
  <si>
    <t>DUBERNEY POSCUE FAJARDO</t>
  </si>
  <si>
    <t>2026/675</t>
  </si>
  <si>
    <t xml:space="preserve">Pasa alojamiento por cuenta propia </t>
  </si>
  <si>
    <t>Pasan el 31/01/2026 alojamiento angela valladolid</t>
  </si>
  <si>
    <t>2025/R169</t>
  </si>
  <si>
    <t>FREDY ALEXANDER GOMEZ CORTES</t>
  </si>
  <si>
    <t>PREAVISO HASTA: 31/01/2026//la propietaria solicita los pagos entre el 01 y 02 dia de cada mes ya que tiene compromisos urgentes que pagar.</t>
  </si>
  <si>
    <t>PASA EL 31/01 AL ALOJAMIENTO DE ANGELA VALLADOLID</t>
  </si>
  <si>
    <t>el trabajador finalizó el día 31/01.///Alojamiento del cliente///CARTA DE RESCISIÒN 04/11/25 DESISTIO DE LA RENUNCIA</t>
  </si>
  <si>
    <t>Según lo confirmado, el último día efectivo de trabajo fue el 31 de enero. No obstante, si bien el trabajador ha finalizado su participación en el proyecto actual, el cliente se encuentra actualmente en negociaciones con el área comercial para un nuevo pedido en Andújar (Jaén),//Fue trasladado al alojamiento del cliente 26/01/26 para trasladarse con los demas trabajadores del cliente</t>
  </si>
  <si>
    <t>2025/403</t>
  </si>
  <si>
    <t>llevan parados desde las respectivas fechas:08/01/2025//PARON TEMPORAL SOLDATEC</t>
  </si>
  <si>
    <t>2025/161</t>
  </si>
  <si>
    <t>2025/R076</t>
  </si>
  <si>
    <t>finalizo el 23/12//llevan parados desde las respectivas fechas:23/12/2025 //PARON TEMPORAL SOLDATEC</t>
  </si>
  <si>
    <t>CAMBIO ALOJAMIENTO PPOR CUENTA PROPIA//Pasan el 31/01/2026 alojamiento angela valladolid</t>
  </si>
  <si>
    <t>REUBICADOS A ESPAÑA//previsto se producirá durante la 1ª semana de febrero 2026.//modificar la reserva 5 dias antes de la salida, ya el propietario esta informado de la continuidad</t>
  </si>
  <si>
    <t>meta</t>
  </si>
  <si>
    <t>FINALIZO EL 30/01</t>
  </si>
  <si>
    <t>APARTAMENTO NEW GOTIC C/ de les Candeles, 1, Ciutat Vella, 08003 Barcelona, ENTRESUELO.</t>
  </si>
  <si>
    <t>nos indica que este viernes 30/01/2026 es el último día del operario:</t>
  </si>
  <si>
    <t>Cambio de alojamiento el 02/02/2026</t>
  </si>
  <si>
    <t>2024/449</t>
  </si>
  <si>
    <t>MATERIART 14 S.L.L</t>
  </si>
  <si>
    <t>informado por correo hoy 03/02/2026--&gt;el último día efectivo de trabajo fue el 24 de noviembre 2025.</t>
  </si>
  <si>
    <t>nos indica que el 31/01/2016 es el último día del operario:</t>
  </si>
  <si>
    <t>2026/714</t>
  </si>
  <si>
    <t>INSTALACIONES MDV</t>
  </si>
  <si>
    <t>me comenta que finalmente no necesitara ningún reemplazo del operario CARLOS JULIO CANON SALCEDO, ya que ha encontrado otro operario a través de otro medio.</t>
  </si>
  <si>
    <t xml:space="preserve"> último día efectivo de trabajo es viernes 06/02/2026, no estando prevista, por el momento, la necesidad de sustitución o reemplazo de estos perfiles hasta nuevo aviso.///Prevision hasta el 31 de Diciembre de 2025//</t>
  </si>
  <si>
    <t>LUIS ANTONIO SOTO VIDAL</t>
  </si>
  <si>
    <t>2025/636</t>
  </si>
  <si>
    <t>Alojamiento por cuenta del cliente/ El operario se ha ido del trabajo, solicitaron reemplazo R-0190</t>
  </si>
  <si>
    <t>FRANKLYN OMAR DE LA CRUZ SERNAQUE</t>
  </si>
  <si>
    <t>Hotel Europa.  Juli Garreta, 23, 17002 Girona, España</t>
  </si>
  <si>
    <t>+34 972 20 27 50</t>
  </si>
  <si>
    <t>2025/609</t>
  </si>
  <si>
    <t>Cambio de alojamiento//pasaron propuesta de alojamiento,  4 empleados, desde el viernes 24/10/25, hasta el miércoles 29/10/25, 5 noches, 673,20€ con IVA y tasas incluidas.</t>
  </si>
  <si>
    <t>informa de que el día 07/02/2026 finalizarán su actividad en la obra NATAC (Hervás)</t>
  </si>
  <si>
    <t>WEIMAR ALEXANDER RUA MESA</t>
  </si>
  <si>
    <t>2025/R152</t>
  </si>
  <si>
    <r>
      <t>informa de que el día </t>
    </r>
    <r>
      <rPr>
        <b/>
        <sz val="12"/>
        <color rgb="FF000000"/>
        <rFont val="Aptos"/>
        <family val="2"/>
      </rPr>
      <t>07/02/2026</t>
    </r>
    <r>
      <rPr>
        <sz val="12"/>
        <color rgb="FF000000"/>
        <rFont val="Aptos"/>
        <family val="2"/>
      </rPr>
      <t> finalizarán su actividad en la obra </t>
    </r>
    <r>
      <rPr>
        <b/>
        <sz val="12"/>
        <color rgb="FF000000"/>
        <rFont val="Aptos"/>
        <family val="2"/>
      </rPr>
      <t>NATAC (Hervás)</t>
    </r>
  </si>
  <si>
    <t>desplazado a otra obra El desplazamiento y la organización corren a cargo del cliente. Destino de la obra: Hinojosa Paper Alquería Polígono Industrial Bambú, Carrer de Sant Lorenç, 2 Alquería de Aznar – 03829 (Alicante)</t>
  </si>
  <si>
    <t>El cliente nos comunica que el viernes 06/02 fue el último día en el que contó con el trabajador David Ricardo Sánchez Zapata, por lo que la colaboración queda FINALIZADA.</t>
  </si>
  <si>
    <t>REEMPLAZO PEDIDO R188 /Fecha Fin: 30/03/2026</t>
  </si>
  <si>
    <t>LUIS FELIPE TRILLOS NAVARRO</t>
  </si>
  <si>
    <t>2026/R186</t>
  </si>
  <si>
    <t>FUE REMPLAZADO POR EL R187</t>
  </si>
  <si>
    <t>Calle Tierra del Pan Nº 45,Valladolid.</t>
  </si>
  <si>
    <t>+34 666 01 56 84 Angela</t>
  </si>
  <si>
    <r>
      <t> </t>
    </r>
    <r>
      <rPr>
        <b/>
        <sz val="12"/>
        <color rgb="FF000000"/>
        <rFont val="Aptos"/>
        <family val="2"/>
      </rPr>
      <t>último día efectivo de trabajo es viernes 06/02/2026</t>
    </r>
    <r>
      <rPr>
        <sz val="12"/>
        <color rgb="FF000000"/>
        <rFont val="Aptos"/>
        <family val="2"/>
      </rPr>
      <t>, no estando prevista, por el momento, la necesidad de sustitución o reemplazo de estos perfiles hasta nuevo aviso.</t>
    </r>
  </si>
  <si>
    <r>
      <rPr>
        <sz val="12"/>
        <color rgb="FF000000"/>
        <rFont val="Aptos"/>
        <family val="2"/>
      </rPr>
      <t> </t>
    </r>
    <r>
      <rPr>
        <b/>
        <sz val="12"/>
        <color rgb="FF000000"/>
        <rFont val="Aptos"/>
        <family val="2"/>
      </rPr>
      <t>último día efectivo de trabajo es viernes 06/02/2026</t>
    </r>
    <r>
      <rPr>
        <sz val="12"/>
        <color rgb="FF000000"/>
        <rFont val="Aptos"/>
        <family val="2"/>
      </rPr>
      <t>, no estando prevista, por el momento, la necesidad de sustitución o reemplazo de estos perfiles hasta nuevo aviso.</t>
    </r>
  </si>
  <si>
    <t>Finalización prevista: 05/02</t>
  </si>
  <si>
    <t>Calle Tierra del Pan Nº 41,Valladolid.</t>
  </si>
  <si>
    <t>No ingreso al alojamiento quedo en alojamiento por cuenta propia 19/01</t>
  </si>
  <si>
    <r>
      <t>El cliente nos informa que el pasado </t>
    </r>
    <r>
      <rPr>
        <b/>
        <sz val="12"/>
        <color rgb="FF000000"/>
        <rFont val="Aptos"/>
        <family val="2"/>
      </rPr>
      <t>viernes 06/02</t>
    </r>
    <r>
      <rPr>
        <sz val="12"/>
        <color rgb="FF000000"/>
        <rFont val="Aptos"/>
        <family val="2"/>
      </rPr>
      <t> fue el </t>
    </r>
    <r>
      <rPr>
        <b/>
        <sz val="12"/>
        <color rgb="FF000000"/>
        <rFont val="Aptos"/>
        <family val="2"/>
      </rPr>
      <t>último día de trabajo</t>
    </r>
  </si>
  <si>
    <t>la finalización de las prestaciones se produce a partir del 06/02/2026,</t>
  </si>
  <si>
    <t>2026/RU-0073</t>
  </si>
  <si>
    <t>Además una vez finalicen en Sevilla, si son reubicados debemos nosotros encargarnos de la gestión del alojamiento y transporte de nuevo, en tal caso,
nos avisarán con antelación para realizarlo</t>
  </si>
  <si>
    <t>2025/R168</t>
  </si>
  <si>
    <t>cambio de alojamiento a Calle Teruel 22. 44459 Camarena de la Sierra (Teruel) 10/02 al 10/03</t>
  </si>
  <si>
    <t>2026/R184</t>
  </si>
  <si>
    <t>Juan Guillermo Zuñiga Mayor, quien estaba asignado al pedido CMR SA – 715, solicitó hoy su baja.
Este trabajador se encontraba enfermo desde hace algunos días y su último día de trabajo fue el 07/02.
Hoy, por motivos de salud, solicitó formalmente su baja.El cliente informa que no necesita reemplazo.</t>
  </si>
  <si>
    <t xml:space="preserve"> hoy será su último día de trabajo.
//carta de rescision 08/11/25</t>
  </si>
  <si>
    <t xml:space="preserve">ENRO DEL 2026- Informa wolmer que salio ayer del alojamiento 01/02/2026, va optar por alojamiento por cuanta propia.
</t>
  </si>
  <si>
    <t>ENRO DEL 2026- Informa wolmer que salio ayer del alojamiento 01/02/2026, va optar por alojamiento por cuanta propia.</t>
  </si>
  <si>
    <t>RUBEN DARIO GUAPACHA GUARIN</t>
  </si>
  <si>
    <t>2025/411</t>
  </si>
  <si>
    <t>ULTIMO DIA 22-08-25</t>
  </si>
  <si>
    <t>Calle Rosa Sensat, 7 piso 1° puerta 17, Burgos, Castilla y León 09003, España</t>
  </si>
  <si>
    <t>Judica +34 646 94 91 90 +34 627 58 59 21</t>
  </si>
  <si>
    <t>Solicitamos la continuidad de los trabajadores hasta el 28 de febrero de 2026//Ibraim informa que van hasta febrero//Ibraim informa via team que Van hasta finales de enero del 2026//Pedido 536 se alargá hasta finales de noviembre</t>
  </si>
  <si>
    <t>Solicitamos la continuidad de los trabajadores hasta el 28 de febrero de 2026//Ibraim informa que van hasta febrero//Ibraim informa via team que Van hasta finales de enero del 2026/Pedido 536 se alargá hasta finales de noviembre</t>
  </si>
  <si>
    <t>finalizan 09-09-25</t>
  </si>
  <si>
    <t>calle Francisco moure 18, Ourense.</t>
  </si>
  <si>
    <t>Paula +34 613 86 42 22</t>
  </si>
  <si>
    <t>Cambio de alojamiento a partir del 13/02/2026 para Rúa Manuel Curros Enríquez, 77, 32800 Celanova, Ourense///ibraim informa prevision hasta JUNIO DEL 2026//Avisar con tiempo si se renueva la habitacion tiene 2 camas</t>
  </si>
  <si>
    <t>C. Velázquez &amp; C. Hernán Cortés, 45360 Villarrubia de Santiago, Toledo</t>
  </si>
  <si>
    <t>Angeles +34 606932671</t>
  </si>
  <si>
    <t>2026/709</t>
  </si>
  <si>
    <t>Serian 09 días excepto el sabado 14/02/26 PASAN EL 13/02 Hotel La Parada</t>
  </si>
  <si>
    <t>JUAN CARLOS RONDON COSSIO</t>
  </si>
  <si>
    <t>Hotel La Parada. Direcciòn: Nacional IV, km. 55, 45340 Ontígola, España</t>
  </si>
  <si>
    <t>+34 925 15 61 78</t>
  </si>
  <si>
    <t>informo wolmer teams-no logrará asistir. Cambio de alojamiento el 15/02/2026</t>
  </si>
  <si>
    <t>Rúa Blanco White, 15008 A Coruña, España</t>
  </si>
  <si>
    <t>+34 627 76 10 71</t>
  </si>
  <si>
    <t>Informo wolmer en oficina 12/02/2026: que el padre fallecio y el chico se devuelve a su lugar de origen//Informo wolmer por teams el 12/02/2026-  que tendrá que dejar el proyecto, su padre está accidentado.</t>
  </si>
  <si>
    <t>CARLOS ALBERTO DOMINGUEZ CORDOVA</t>
  </si>
  <si>
    <t>El último día efectivo de trabajo será el viernes 13 de febrero (inclusive), y no en la fecha indicada previamente.//Finaliza definitivamente su actividad asociada a estos trabajos el día de hoy. 10/02/2026//Además una vez finalicen en Sevilla, si son reubicados debemos nosotros encargarnos de la gestión del alojamiento y transporte de nuevo, en tal caso,
nos avisarán con antelación para realizarlo</t>
  </si>
  <si>
    <t>Cambio de alojamiento//Prevision hasta Fecha: 13/02/2026</t>
  </si>
  <si>
    <t>Prevision hasta Fecha: 13/02/2026</t>
  </si>
  <si>
    <t>2026/RU095</t>
  </si>
  <si>
    <t xml:space="preserve">Pasaran el 10/08/2026 para el apartamento Nº2 </t>
  </si>
  <si>
    <t>Carrer de la Font, 7, 43201 Reus, Tarragona</t>
  </si>
  <si>
    <t>Pensión Suiza +34 675 68 59 82</t>
  </si>
  <si>
    <t xml:space="preserve"> nos indica que hoy miércoles 12/11/2025 es el último día de los operarios de Salou, Tarragona//Este parón se va a prolongar toda la semana, iniciando el trabajo el próximo lunes 13/10/2025.
Si por lo que fuera no se diese el caso, entonces reubicaremos a estos operarios.///Nos dice que el lunes nos da más información y que en caso de que la obra finalice los reubicará él mismo.//Pendiente firmar contrato</t>
  </si>
  <si>
    <t>WILLIAN VARGAS CACERES</t>
  </si>
  <si>
    <t>PLASENCIA</t>
  </si>
  <si>
    <t>La Despensa de Plasencia S.L. Av. Martín Palomino, 40, 10600 Plasencia, Cáceres</t>
  </si>
  <si>
    <t>+34 927421719</t>
  </si>
  <si>
    <t>2026/681</t>
  </si>
  <si>
    <t xml:space="preserve"> Cambio de alojamiento//reanudarán el próximo lunes. 09/02/2026/29/01 No van a poder trabajar hasta nuevo avisó por las adversidades climáticas, estiman que no será más de una semana.//LUIS LLAMA</t>
  </si>
  <si>
    <t>Cambio de alojamiento el 15/02/2026</t>
  </si>
  <si>
    <t>RU/2026/710</t>
  </si>
  <si>
    <t>JORGE LUIS CUELLAR GONZALEZ</t>
  </si>
  <si>
    <t>desistió y finalizo el 14/10/2025. Sin aviso propio y sin respetar los 15 días de antelación.</t>
  </si>
  <si>
    <t>Paseo Blas Infante, 0, 14120 Fuente Palmera, Córdoba</t>
  </si>
  <si>
    <t>+34 957638473</t>
  </si>
  <si>
    <t>2026/742</t>
  </si>
  <si>
    <t>Yajaira informa que este pedido nunca inicio por teams 11/03</t>
  </si>
  <si>
    <t>Hotel Azar: Carretera N-630 km, 474, 10600 Plasencia, España</t>
  </si>
  <si>
    <t>+34 927 42 18 33</t>
  </si>
  <si>
    <t>Ronda de Outeiro, 206 6 D, A Coruña, Galicia 15007, España</t>
  </si>
  <si>
    <t>Pablo +34 655 89 48 78</t>
  </si>
  <si>
    <t xml:space="preserve">informo marcelo el 10/02/2026 que no a ingresado a trabajar por temas de documentacion </t>
  </si>
  <si>
    <t>JONNY ENRIQUE CURA VARGAS</t>
  </si>
  <si>
    <t>Pensión Concepción, Pl. Constitución, 13, 45360 Villarrubia de Santiago, Toledo</t>
  </si>
  <si>
    <t>+34 685 58 19 74 ~Julian De Gracia Cuesta</t>
  </si>
  <si>
    <t>RU/2026/712</t>
  </si>
  <si>
    <t>NO INGRESO</t>
  </si>
  <si>
    <t>BREIDIS JOSE CARDOZO GALUE</t>
  </si>
  <si>
    <t>Calle Bertrán de Seva 2 Granollers</t>
  </si>
  <si>
    <t>2024/473</t>
  </si>
  <si>
    <t>06//02/2026- El cliente no renovará el contrato con nosotros, por lo que la colaboración queda FINALIZADA.
Podéis proceder con la baja del trabajador Braidis José Cardozo. //renunció sin respetar los 15 días el viernes 28/11/2025.</t>
  </si>
  <si>
    <t>C/ Rosario, 42 2B - de la ciudad de Albacete
C/ Rosario, 42 2A - de la ciudad de Albacete</t>
  </si>
  <si>
    <t>2026/706</t>
  </si>
  <si>
    <t>Pasan al mismo alojamiento del pedido 729 //Grupo Lecru me confirmarán el proximo lunes 16/02, el motivo es que están pendientes de si entra mas trabajos...Si no entra la finalización sera la que indica el los nuevos pedidos...</t>
  </si>
  <si>
    <t>Avenida la Constitución, 2 1ª E, Barrio Estación, Castilla y León 24830, España</t>
  </si>
  <si>
    <t xml:space="preserve"> +34 646 82 90 95 Angeles</t>
  </si>
  <si>
    <t>leon para 3 meses más (10-02-26). se le llamará en 2 meses para confirmar./Fecha Fin:27/02/2026</t>
  </si>
  <si>
    <t>Rúa Antonio Pedreira Ríos 2, 15010 A Coruña, España</t>
  </si>
  <si>
    <t>+34 607 82 27 57</t>
  </si>
  <si>
    <t>JORGE LUIS TAMARA ABIANTUN</t>
  </si>
  <si>
    <t>LUCAS VINICIUS FRANCO NOVAKOWSKI</t>
  </si>
  <si>
    <t xml:space="preserve">Para el cliente METALMANT S.L., de la empresa interna Stocco, nos informan que finalizan su actividad en el día de hoy, 19/02/2026:///Estos cuatro trabajadores volverán en unas tres semanas aproximadamente, para entonces les tenéis que haber encontrado alojamiento en Burgos (avisarán con antelación).
</t>
  </si>
  <si>
    <t>ULTIMO DIA 22-08-25/REUBICADO AL PEDIDO 457</t>
  </si>
  <si>
    <t>Alvaro +34 613 37 29 76</t>
  </si>
  <si>
    <t>2026/699</t>
  </si>
  <si>
    <t xml:space="preserve">METALFLEXJAM </t>
  </si>
  <si>
    <t>a partir del próximo día 10/07 dejará de necesitar los servicios del siguiente trabajador:///Previsión de finalización es hasta el dia 30/09//Prevision METALFLEXJAM hasta el dia 30/06/2026//hasta Fecha: 27/02/2026</t>
  </si>
  <si>
    <t>Pensión El  Carmen Calle manzanares 16 28100 Alcobendas </t>
  </si>
  <si>
    <t>Pensión el Carmen - +34 688 55 78 90</t>
  </si>
  <si>
    <t>Cambio de alojamiento el 05/03//en la pension No pueden ampliar la reserva hasta el 08/03</t>
  </si>
  <si>
    <t>Para el cliente METALMANT S.L., de la empresa interna Stocco, nos informan que finalizan su actividad en el día de hoy, 19/02/2026:///El alojamiento de este mes esta gestionado por el cliente</t>
  </si>
  <si>
    <t>Finalizó su asignación con nuestro cliente Grupo Azero el día de ayer, 17/02.///De momento, el cliente continúa contando con Juan Duque hasta el día 09/03.</t>
  </si>
  <si>
    <t>Cambio de lojamiento</t>
  </si>
  <si>
    <t>PENSIÓN IRATI Avenida de Aldeanueva Nº 23   26550 – Rincón de Soto LA RIOJA</t>
  </si>
  <si>
    <t>+34 634469640 - +34 652261740</t>
  </si>
  <si>
    <t>2026/719</t>
  </si>
  <si>
    <r>
      <t>miércoles 18/02</t>
    </r>
    <r>
      <rPr>
        <sz val="12"/>
        <color rgb="FF000000"/>
        <rFont val="Aptos"/>
        <family val="2"/>
      </rPr>
      <t> </t>
    </r>
    <r>
      <rPr>
        <b/>
        <sz val="12"/>
        <color rgb="FF000000"/>
        <rFont val="Aptos"/>
        <family val="2"/>
      </rPr>
      <t>quiere que sea el último día de trabajo del operario CRISTIAN ADRIAN QUIROS RAMOS</t>
    </r>
  </si>
  <si>
    <t>Calle Industrial 5, 10, 15005 A Coruña, España</t>
  </si>
  <si>
    <t>+34 687 04 01 48</t>
  </si>
  <si>
    <t xml:space="preserve"> Renuncia Voluntaria último día efectivo de trabajo el sábado 21 de febrero (incluido).</t>
  </si>
  <si>
    <t>C/Palomero, nº84 - 28350, 28350 Ciempozuelos, España</t>
  </si>
  <si>
    <t>+34 627 00 04 17</t>
  </si>
  <si>
    <t>Cambio de alojamiento22/02///Trabajan hasta el jueves 26/02 //</t>
  </si>
  <si>
    <t>Cambio de alojamiento22/02//Trabajan hasta el jueves 26/02//</t>
  </si>
  <si>
    <t>Tienen alojamiento asignado en puertollano VUELVEL EL 22/02</t>
  </si>
  <si>
    <t>Tienen alojamiento asignado en puertollano VUELVEN EL 22/02</t>
  </si>
  <si>
    <t>FINALES DE FEBRERO//permanecerán mínimo hasta febrero del 2026/ el trabajador informa que hasta finales de marzo tiene trabajo</t>
  </si>
  <si>
    <t>2026/716</t>
  </si>
  <si>
    <t>Os informo que el trabajador Jose Yovanny Lozano Gomes finaliza su servicio en el proyecto con fecha 20/02.//Previsiones hasta Fecha: 24/04/2026//</t>
  </si>
  <si>
    <t xml:space="preserve">REUBICADOS A BURGOS EL 23/02//Estos cuatro trabajadores volverán en unas tres semanas aproximadamente, para entonces les tenéis que haber encontrado alojamiento en Burgos (avisarán con antelación).
</t>
  </si>
  <si>
    <t>nos confirma que ayer lunes 01/12/2025, fue el último día del operario//Pte sumar 50€ del mes de noviembre</t>
  </si>
  <si>
    <t>La finalización será el 17/04/2026, siendo este su último día de actividad para los siguientes trabajadore//Prevision Fecha: 18/03/2026</t>
  </si>
  <si>
    <t>JOHN FREDDY PEREZ RUIZ</t>
  </si>
  <si>
    <t>ARBUCIES</t>
  </si>
  <si>
    <t>CARLOS JULIO CANON</t>
  </si>
  <si>
    <t>2026/691</t>
  </si>
  <si>
    <t xml:space="preserve"> INSTALACIONES MDV </t>
  </si>
  <si>
    <t>por decisión del cliente, el operario asignado a este proyecto finaliza su servicio hoy 20/02 a las 15:00 horas.</t>
  </si>
  <si>
    <t>EISON RAFAEL IBARRA SIERRA</t>
  </si>
  <si>
    <t>Os informo que los siguientes trabajadores finalizan su servicio en el proyecto el día 21/02/26, siendo este su último día en obra:</t>
  </si>
  <si>
    <t>MARIO ANTONIO HERRERA ORTEGA</t>
  </si>
  <si>
    <t>finalizaron ayer 01/04 su servicio en el cliente Metallic Solutions.//</t>
  </si>
  <si>
    <t>ANTONY ALEXANDER HERNANDEZ CHIRINOS</t>
  </si>
  <si>
    <t>Calle Julio Cortázar, 6 Bajo c, Illescas, Castilla-La Mancha 45200, España</t>
  </si>
  <si>
    <t>Sandra ‎+34 665 86 18 69</t>
  </si>
  <si>
    <t>2026/731</t>
  </si>
  <si>
    <t>TALLERES CASTISAGRA</t>
  </si>
  <si>
    <t>Este trabajador desistio no ha ingresado al alojamiento- teams angie</t>
  </si>
  <si>
    <t>Granollers, calle Cristobal Colón 10  ENT 3ª</t>
  </si>
  <si>
    <t>Cambio de alojamiento el 26/04/2026//trabajo todo el año 2026//trabajos hasta finales de septiembre</t>
  </si>
  <si>
    <t>JULIO CESAR OSPINA MONTANEZ</t>
  </si>
  <si>
    <t>2025/652</t>
  </si>
  <si>
    <t xml:space="preserve"> apto 66 (3 camas) no ha pasado las pruebas Departamento de logística, se le debe buscar lo antes posible un vuelo de regreso al país.</t>
  </si>
  <si>
    <t xml:space="preserve"> C. Velázquez &amp; C. Hernán Cortés, 45360 Villarrubia de Santiago, Toledo</t>
  </si>
  <si>
    <t>Cambia de alojamiento a puertollano 26/02</t>
  </si>
  <si>
    <t>PEDRO ALEXANDER ROJAS RODRIGUEZ</t>
  </si>
  <si>
    <t>2026/R188</t>
  </si>
  <si>
    <t>JAIME HERNAN ARANGO MONSALVE</t>
  </si>
  <si>
    <t>Cambio alojamiento por cuenta propia 31/07/2026///Previsión de finalización es hasta el dia 30/09//Prevision METALFLEXJAM hasta el dia 30/06/2026//hasta Fecha: 27/02/2026</t>
  </si>
  <si>
    <r>
      <t>Según informaciòn por teams (Cristian) hace semanas dejo de asistir///Todos los trabajadores finalizan el día </t>
    </r>
    <r>
      <rPr>
        <b/>
        <sz val="12"/>
        <color rgb="FF000000"/>
        <rFont val="Aptos"/>
        <family val="2"/>
      </rPr>
      <t>27/02</t>
    </r>
    <r>
      <rPr>
        <sz val="12"/>
        <color rgb="FF000000"/>
        <rFont val="Aptos"/>
        <family val="2"/>
      </rPr>
      <t>.</t>
    </r>
  </si>
  <si>
    <t>Carmona informa via WhatsApp que hoy es au último día 27/02///previsiblemente hasta el próximo 27/02/26://Prevision hasta Fecha: 13/02/2026</t>
  </si>
  <si>
    <t>ALBERTO LUIS MALDONADO BARRERA</t>
  </si>
  <si>
    <t>PENSION "ITXUNE"C/GABIRIALDE Nº14 20216 ORMAIZTEG</t>
  </si>
  <si>
    <t>Agustin+34 639 23 88 89</t>
  </si>
  <si>
    <t>La finalización se producirá el 16/05/2026, tras la rescisión del contrato de prestación de servicios comunicada por el cliente//informa wolmer por whatsapp 05/02--va optar por alojamiento por cuenta propia ///JULIO ESTA PAGO/// el trabajador notifica que terminan 08/08 sale de vacaciones y vuelve el 27/08</t>
  </si>
  <si>
    <t>EDWIN CASTANEDA HENAO</t>
  </si>
  <si>
    <t>2025/465</t>
  </si>
  <si>
    <t>MECAONDO, S.L</t>
  </si>
  <si>
    <t>Contaba con alojamiento propio y por circunstancias ajenas a él, le han pedido la habitación. Debe salir el día 15 de Enero de 2026.
Solicita nuevamente alojamiento que brinda la empresa mientras consigue otro alojamiento propio.//Yajaira informa que el trabajador tiene alojamiento propio confirmar info.</t>
  </si>
  <si>
    <t>CAMBIO DE ALOJAMIENTO///Prevision hasta 05/05/2026/</t>
  </si>
  <si>
    <t>GABRIEL VICTOR DE OLIVEIRA</t>
  </si>
  <si>
    <t>2026/730</t>
  </si>
  <si>
    <t>Yajaira informan que nunca emprezo el pedido- 27/03/2026///Fueron trasladados al piso Carrer del Monestir de Poblet, 42, 1, Campanar, 46015 València</t>
  </si>
  <si>
    <t>finalizan el 09/09/25</t>
  </si>
  <si>
    <t>JOSE ANDRES CASTILLO</t>
  </si>
  <si>
    <t>2024/290</t>
  </si>
  <si>
    <t>EGUR ETXEA Apartamento turístico, Lateorrondo Kalea, 13, 01400 Laudio / Llodio, Araba</t>
  </si>
  <si>
    <t>Aitor Larrea +34 635 73 48 11</t>
  </si>
  <si>
    <t>2026/740</t>
  </si>
  <si>
    <t>EICPERMAN</t>
  </si>
  <si>
    <t>A partir del 28/02 pasa RU-0088</t>
  </si>
  <si>
    <t>ha comunicado la finalización del servicio de los siguientes trabajadores FIN: 27/02/2026//yajaira informa 16/03 que estan trabajando para otra empresa//puede retomar su actividad con normalidad a partir de hoy 20/02.//Comunicación urgente – Incidencia con clientes y suspensión de actividad18/02/2026//Prevision Finales de Diciembre</t>
  </si>
  <si>
    <t>La finalización fue comunicada con fecha 28/02/2026, siendo este su último día de actividad.</t>
  </si>
  <si>
    <t xml:space="preserve"> 2025/005</t>
  </si>
  <si>
    <t>SERRALLERIA MILLAN MARTINEZ S.L</t>
  </si>
  <si>
    <t>Prevision hasta 04/04/2026//ALOJAMIENTO PAGO HASTA EL 03-08</t>
  </si>
  <si>
    <t>Carmona informa vía Whatssap que es su último día laborando 27/02//previsiblemente hasta el próximo 27/02/26://Prevision hasta Fecha: 13/02/2026</t>
  </si>
  <si>
    <t>Carmona informa vía Whatssap que hoy es su último día 27/02///previsiblemente hasta el próximo 27/02/26://Prevision hasta Fecha: 13/02/2026</t>
  </si>
  <si>
    <t>Casa Quico - C. Jose Antonio Escuder, 1A Chalet, 38008 Santa Cruz de Tenerife, España</t>
  </si>
  <si>
    <t xml:space="preserve"> +34 606 60 15 25</t>
  </si>
  <si>
    <r>
      <t>Segùn informaciòn por teams (Cristian) terminaron el 27/02///Todos los trabajadores finalizan el día </t>
    </r>
    <r>
      <rPr>
        <b/>
        <sz val="12"/>
        <color rgb="FF000000"/>
        <rFont val="Aptos"/>
        <family val="2"/>
      </rPr>
      <t>27/02</t>
    </r>
    <r>
      <rPr>
        <sz val="12"/>
        <color rgb="FF000000"/>
        <rFont val="Aptos"/>
        <family val="2"/>
      </rPr>
      <t>.</t>
    </r>
  </si>
  <si>
    <t xml:space="preserve"> finaliza su servicio en el proyecto con fecha 27/02.//reanudarán el próximo lunes. 09/02/2026//no estan en el alojamiento//29/01 No van a poder trabajar hasta nuevo avisó por las adversidades climáticas, estiman que no será más de una semana.//se van de vacaciones  y vuelven el 11/01// el febrero del 2026</t>
  </si>
  <si>
    <t>Trabajador renuncio y estara hasta el 28/02 informaciòn de Angie//Prevision hasta 31 de diciembre de 2025///Modificar reserva 5 dias antes, el proveedor ya esta al tanto de una posible extensiòn.</t>
  </si>
  <si>
    <t>Carrer de Girona 15 Granollers</t>
  </si>
  <si>
    <t>24/07/2026 informa Yajaira que finalizo GIAN CARLOS SAAVEDRA LAPA: hasta el 27 de Febrero//Hasta 27/02//Prevision Fecha: Fijo</t>
  </si>
  <si>
    <t>Calle Canoa 4 1Izq, Moguer, Andalucía 21130, España</t>
  </si>
  <si>
    <t xml:space="preserve"> Montemayor: ‎+34 661 43 44 07</t>
  </si>
  <si>
    <t>OJO: No se puede Renovar el alojamiento deben salir antes de las 10:00Hr del 01/07//03/06/2026: Prevision hasta el dia 03/07//</t>
  </si>
  <si>
    <t>ELMER FUQUEN CELY</t>
  </si>
  <si>
    <t>Carrer del Papa Pius XI, 20,  2° puerta 1  08208 Sabadell</t>
  </si>
  <si>
    <t>2026/746</t>
  </si>
  <si>
    <t>No ingreso al alojamiento</t>
  </si>
  <si>
    <t>CRISTIAN RAFAEL ORDOÑEZ AGUIRRE</t>
  </si>
  <si>
    <t>4 Plaza Almudín, 12400 Segorbe, España</t>
  </si>
  <si>
    <t>+34 659 49 90 16</t>
  </si>
  <si>
    <t>2026/745</t>
  </si>
  <si>
    <t>CONSTRUCCIONES ESKUIN</t>
  </si>
  <si>
    <t>Carmona informa 27/02 que no ingresaran a laborar// Yajaira informa 25/02/2026 que solo llegaron 2 trabajadores, Están alojados, debemos esperar a documentación que suba a plataforma los documentos por eso no han podido comenzar a trabajar</t>
  </si>
  <si>
    <t>ANGEL RAFAEL DÍAZ GUTIÉRREZ</t>
  </si>
  <si>
    <t>Carmona informa 27/02 que no ingresaran a laborsr//Yajaira informa 25/02/2026 que solo llegaron 2 trabajadores, Están alojados, debemos esperar a documentación que suba a plataforma los documentos por eso no han podido comenzar a trabajar</t>
  </si>
  <si>
    <t>JOSE GUILLERMO PENA BARRERA</t>
  </si>
  <si>
    <t>2025/608</t>
  </si>
  <si>
    <t>causan baja en el día de hoy, 10 de marzo de 2026:/Prevision Fecha: Fijo</t>
  </si>
  <si>
    <t>/causan baja en el día de hoy, 10 de marzo de 2026:Prevision Fecha: Fijo</t>
  </si>
  <si>
    <t>finaliza hoy 26/09/2025</t>
  </si>
  <si>
    <t>no se presento- LLEGO EL 10/06/FINALIZA 18/07//Los trabajadores se quedan hasta el día 31/08, hay posibilidad de ampliar esta fecha.</t>
  </si>
  <si>
    <t>cambio de alojamiento///Informo prevision por correo Cristian el 13/02: Duración estimada: 2 meses</t>
  </si>
  <si>
    <t>Cambia alojamiento por cuenta propia a partir del 01/03//</t>
  </si>
  <si>
    <t>DUVAN ALEXIS SUAREZ TRUJILLO</t>
  </si>
  <si>
    <t>Terminaròn el miercoles 25/02/26</t>
  </si>
  <si>
    <t xml:space="preserve">A partir del 23/12/2025 termina labores </t>
  </si>
  <si>
    <t>JULIAN JAVIER PEARSON GUERRERO</t>
  </si>
  <si>
    <t>7 Rúa San Isidoro, 15007 A Coruña, España</t>
  </si>
  <si>
    <t>Cambia alojamiento por cuenta propia a partir del 25/02/2026</t>
  </si>
  <si>
    <t>La fecha indicada para la finalización será 05/03/2026, siendo este su último día de actividad.///El alojamiento de este mes esta gestionado por el cliente, él se encarga de la gestión y gastos del mes de Octubre. A partir de noviembre, aprovecharemos su gestión para dejarlos en el piso ya que el coste y las condiciones</t>
  </si>
  <si>
    <t>apto 2006 solaria (3 camas)</t>
  </si>
  <si>
    <t>Carretera de Almodobar, 21 Pau 2 - 600 Puertollano</t>
  </si>
  <si>
    <t>2026/712</t>
  </si>
  <si>
    <t>Finalizó el 06/03/2026 Motivo de baja: carga de trabajo</t>
  </si>
  <si>
    <t>GONZALO ARIEL NAVARRO</t>
  </si>
  <si>
    <t xml:space="preserve"> Trabajos confirmados hasta el 28/02//Este parón se va a prolongar toda la semana, iniciando el trabajo el próximo lunes 13/10/2025.
Si por lo que fuera no se diese el caso, entonces reubicaremos a estos operarios.///Nos dice que el lunes nos da más información y que en caso de que la obra finalice los reubicará él mismo.</t>
  </si>
  <si>
    <t>continuarán en sus alojamientos actuales hasta el día 01/03.//Prevision hasta Fecha: 29/06/2025</t>
  </si>
  <si>
    <t>2025/507</t>
  </si>
  <si>
    <t>finalizan en las respectivas fechas: 03/10/2025:  este último operario ya finalizado (PERCY ROMEO SAAVEDRA VELASQUEZ), ha finalizado antes por sus actitudes infantiles.</t>
  </si>
  <si>
    <t>finalizan en las respectivas fechas:10/10/2025</t>
  </si>
  <si>
    <t>2026/705</t>
  </si>
  <si>
    <t>El cliente me indica que el viernes día 13/02 será el último día de trabajo del operario JAIME ANTONIO PERTUZ VALDIRIS del PEDIDO 705 MATEU INOXWELDING, debido a que el rabajador se marcha.</t>
  </si>
  <si>
    <t>FARID JOSE ROJAS GUERRA</t>
  </si>
  <si>
    <t>2025/654</t>
  </si>
  <si>
    <t>GAMOHER CONSTRUCCIONES METÁLICAS, S.L</t>
  </si>
  <si>
    <t>Sera reubicado a valladolid a partir del 09/06/2026//</t>
  </si>
  <si>
    <t>La fecha indicada para la finalización será 09/03/2026, siendo este su último día de actividad.</t>
  </si>
  <si>
    <t>La fecha indicada para la finalización será 09/03/2026, siendo este su último día de actividad.//Asimismo, se solicita gestión de alojamiento en Lemona para la próxima semana, con previsión aproximada de un mes,Pendiente que realicen pedido de REUBICACION//El alojamiento de este mes esta gestionado
por el cliente, él se encarga de la gestión y gastos del mes de Octubre. A partir de noviembre, aprovecharemos su gestión para dejarlos en el piso ya que el coste y las condiciones</t>
  </si>
  <si>
    <t>La fecha indicada para la finalización será 09/03/2026, siendo este su último día de actividad.//El alojamiento de este mes esta gestionado
por el cliente, él se encarga de la gestión y gastos del mes de Octubre. A partir de noviembre, aprovecharemos su gestión para dejarlos en el piso ya que el coste y las condiciones</t>
  </si>
  <si>
    <t>La fecha indicada para la finalización será 09/03/2026, siendo este su último día de actividad.//Asimismo, se solicita gestión de alojamiento en Lemona para la próxima semana, con previsión aproximada de un mes, Pendiente que realicen pedido de REUBICACION//El alojamiento de este mes esta gestionado por el cliente, él se encarga de la gestión y gastos del mes de Octubre. A partir de noviembre, aprovecharemos su gestión para dejarlos en el piso ya que el coste y las condiciones</t>
  </si>
  <si>
    <t>2026/RU089</t>
  </si>
  <si>
    <t>La fecha indicada para la finalización será 09/03/2026, siendo este su último día de actividad.//ALOJAMIENTO POR CUENTA DEL CLIENTE INSTRUCCIÒN POR CHRISTIAN 25/02/26 (LLAMADA)</t>
  </si>
  <si>
    <t>La fecha indicada para la finalización será hoy, 06/03/2026, siendo este su último día de actividad.//Prevision Fecha: Fijo</t>
  </si>
  <si>
    <t>2026/RU84/2025/438/RU061</t>
  </si>
  <si>
    <t>La fecha indicada para la finalización será 05/03/2026, siendo este su último día de actividad.//Informo prevision por correo Cristian el 13/02: Duración estimada: 2 meses</t>
  </si>
  <si>
    <t>hoy es el último día de trabajo en Bachiller 10/03/26//Prevision Fecha: Fijo</t>
  </si>
  <si>
    <t>CESAR NORBEY PENAGOS DUQUE</t>
  </si>
  <si>
    <t>Nuestra señora de la Consolación 2, 23746 Higuera de Arjona, España</t>
  </si>
  <si>
    <t> Gema +34 662 56 95 66</t>
  </si>
  <si>
    <t>2026/721</t>
  </si>
  <si>
    <t>Cambio de alojamiento//Cristian informa 09/03/2026 prevision  de 4 semanas de trabajo aprox</t>
  </si>
  <si>
    <t>JEISON ANDRES REYES PACHECO</t>
  </si>
  <si>
    <t>JESUS ALBERTO PENARANDA VILLALOBOS</t>
  </si>
  <si>
    <t>JUAN CARLOS CASTRO BARRAGAN</t>
  </si>
  <si>
    <t>MARCELO JAVIER GARCIA RUIZ DIAZ</t>
  </si>
  <si>
    <t>YEFERSON DANIEL NEIRA ESPINOSA</t>
  </si>
  <si>
    <t>Calle Ortega y Gasset, 11 planta baja, 23740 Andújar, España</t>
  </si>
  <si>
    <t>+34 695 91 48 69</t>
  </si>
  <si>
    <t>Cristian informa 09/03/2026 prevision  de 4 semanas de trabajo aprox</t>
  </si>
  <si>
    <t>Calle Mayor, 78, Madrid, Comunidad de Madrid 28013, España</t>
  </si>
  <si>
    <t xml:space="preserve"> Myrko  ‎+34 696 59 36 91</t>
  </si>
  <si>
    <t>Alojamiento Hostal Sant Bernat.Ctra. les Feixes, 29-31, 17800 Olot, Girona</t>
  </si>
  <si>
    <t>+34 972261919</t>
  </si>
  <si>
    <t>2026/739</t>
  </si>
  <si>
    <t>Se fue del alojamiento por que la esposa enfermo Informo hoy 10/03/2026////Queda una habitacion doble hasta el 18/03, averiguandi¡o con yajaira quienes quedan</t>
  </si>
  <si>
    <t>JORGE LUIS CABALLERO POLO</t>
  </si>
  <si>
    <t>Hotel Valle De Ayala Jose Matia Kalea, 36, 01400 Laudio / Llodio, Araba</t>
  </si>
  <si>
    <t>Calle Silencio, 6 1ºB, Granada, Andalucía 18001, España</t>
  </si>
  <si>
    <t>Josefra +34 694264523/+34 684 31 01 44//(+34 651 83 97 67~JoseFra)</t>
  </si>
  <si>
    <t>AMPLIA HASTA EL 10/03 LO REUBICAN EL 09/03 AL 12/03 ULTIMO DIA PASO CARTA DE RENUNCIA //Hasta el dia 18/02 según la previsión de Men//enero del 2026</t>
  </si>
  <si>
    <t>BAJA VOLUNTARIA Trabaja hasta el 06/01/2025//Prevision hasta  31 Diciembre 2025/</t>
  </si>
  <si>
    <t xml:space="preserve">Carretera Madrid Irun Km235, 09195 Villagonzalo Pedernales, España
</t>
  </si>
  <si>
    <t>+34 629 07 93 18</t>
  </si>
  <si>
    <t>2026/RU090</t>
  </si>
  <si>
    <t>Regresa a valladolid 13/03/2026</t>
  </si>
  <si>
    <t>La finalización se produjo el pasado 06/03/2026, siendo este su último día de actividad.//La fecha indicada para la finalización será 10/03/2026 (incluido), siendo este su último día de actividad</t>
  </si>
  <si>
    <t>2026/R181</t>
  </si>
  <si>
    <t>REUBICADO DONDE ALICIA//ha comunicado la finalización del servicio de los siguientes trabajadores del proyecto 11/03/2026//Los trabajos se encuentran actualmente confirmados hasta el día 28/02/2025, existiendo la posibilidad de ampliación por alguna semana adicional en caso de ser necesario, o bien de finalización anticipada unos días antes de dicha fecha.La situación definitiva será confirmada con aproximadamente una semana de antelación al 28/02/2025.//Entro en remplazo a la habitacion de elis</t>
  </si>
  <si>
    <t>La fecha indicada para la finalización será 14/03/2026, siendo este su último día de actividad</t>
  </si>
  <si>
    <t>salio del alojamiento 13/03/2026 //FINALES DE FEBRERO//Prevision hasta el 31 de Diciembre 2025//Falta ingresar coste</t>
  </si>
  <si>
    <t>2026/RU85/2025/430</t>
  </si>
  <si>
    <t>Cambio de alojamiento tierra de pan 41 se pasa la fianza//Informo prevision por correo Cristian el 13/02: Duración estimada: 2 meses</t>
  </si>
  <si>
    <t>Cambio de alojamiento tierra de pan 41 se pasa la fianza//</t>
  </si>
  <si>
    <t>2026/RU82/2025/647</t>
  </si>
  <si>
    <t>2025/RU068</t>
  </si>
  <si>
    <t xml:space="preserve"> BECK &amp; POLLITZER IBERICA SLU</t>
  </si>
  <si>
    <t>ha comunicado la finalización del servicio de los siguientes trabajadores del proyecto 11/03/2026//Los trabajos se encuentran actualmente confirmados hasta el día 28/02/2025, existiendo la posibilidad de ampliación por alguna semana adicional en caso de ser necesario, o bien de finalización anticipada unos días antes de dicha fecha.La situación definitiva será confirmada con aproximadamente una semana de antelación al 28/02/2025.//Entro en remplazo a la habitacion de elis</t>
  </si>
  <si>
    <t>operarios que se moverán a Madrid 29/09/2025</t>
  </si>
  <si>
    <t>Av. De los huetos 18 C piso 3 C. Vitoria Gasteiz</t>
  </si>
  <si>
    <t>Yajaira informa que termino el 12/03 labores//ha comunicado la finalización del servicio de los siguientes trabajadores del proyecto 21/03/2026 (pendiente de confirmación, puede extenderse una semana más)//Los trabajos se encuentran actualmente confirmados hasta el día 28/02/2025, existiendo la posibilidad de ampliación por alguna semana adicional en caso de ser necesario, o bien de finalización anticipada unos días antes de dicha fecha.La situación definitiva será confirmada con aproximadamente una semana de antelación al 28/02/2025.//Prevision hasta  31 Diciembre 2025/</t>
  </si>
  <si>
    <t>JOSE DAVID LASTRA IBARRA</t>
  </si>
  <si>
    <t>Respecto a JOSE DAVID LASTRA IBARRA, su salida queda pendiente de reemplazo. Actualmente, la incorporación del sustituto está prevista para el 30/06/2026.//Se informa que la finalización comunicada previamente queda sin efecto por el momento.//La finalización se produjo el 19/06/2026//Alojamiento por cuenta del cliente</t>
  </si>
  <si>
    <t>Calle Botanica 1, Olías del Rey, Castilla-La Mancha 45280, España</t>
  </si>
  <si>
    <t xml:space="preserve"> Ivan  ‎+34 633 35 93 19</t>
  </si>
  <si>
    <t>2026/694</t>
  </si>
  <si>
    <t>Cambio de alojamiento //Informa 09/03 cristian Teams - Prevision de 5 a 10 días de trabajo</t>
  </si>
  <si>
    <t>VICTOR JAVIER RIERA FLORES</t>
  </si>
  <si>
    <t>LUIS DIOMEDES RODRIGUEZ USTARIS</t>
  </si>
  <si>
    <t>JOSE JONATHAN CANO SALAZAR</t>
  </si>
  <si>
    <t>BOLIVAR GABRIEL ALDANA RAMIREZ</t>
  </si>
  <si>
    <t>BYRON YESID SUAREZ CUADRADO</t>
  </si>
  <si>
    <t>JOSE ERDUBEY SALGADO GOMEZ</t>
  </si>
  <si>
    <t>2024/328</t>
  </si>
  <si>
    <t>trasladado a Cordoba///C. Isla Cristina, 9, 04720 Aguadulce, Almería</t>
  </si>
  <si>
    <t>Cambio de alojamiento por instrucciones de la coordinación de Operaciones se requiere informar,</t>
  </si>
  <si>
    <t>14/11: Además se ha pedido el reemplazo de JUAN BETANCOUR MARTINEZ, el cual finalizó la pasada semana por encontrarse mal.</t>
  </si>
  <si>
    <t>JOSE ANTONIO GUIZAO SANDOVAL</t>
  </si>
  <si>
    <t>2025/R173</t>
  </si>
  <si>
    <t>ha comunicado la finalización del servicio de los siguientes trabajadores FIN: 27/02/2026//yajaira informa 16/03 que estan trabajando para otra empresa//puede retomar su actividad con normalidad a partir de hoy 20/02./Comunicación urgente – Incidencia con clientes y suspensión de actividad18/02/2026///</t>
  </si>
  <si>
    <t>FINALIZO 6/08</t>
  </si>
  <si>
    <t>2025/526</t>
  </si>
  <si>
    <r>
      <t>nos informa que hoy </t>
    </r>
    <r>
      <rPr>
        <b/>
        <sz val="12"/>
        <color rgb="FF000000"/>
        <rFont val="Aptos"/>
        <family val="2"/>
      </rPr>
      <t>30/09/2025 </t>
    </r>
    <r>
      <rPr>
        <sz val="12"/>
        <color rgb="FF000000"/>
        <rFont val="Aptos"/>
        <family val="2"/>
      </rPr>
      <t>es el último día de uno de los operarios del pedido </t>
    </r>
    <r>
      <rPr>
        <b/>
        <sz val="12"/>
        <color rgb="FF000000"/>
        <rFont val="Aptos"/>
        <family val="2"/>
      </rPr>
      <t>2025/526:</t>
    </r>
  </si>
  <si>
    <t>WAYNER IBARBO VERGARA</t>
  </si>
  <si>
    <t>10/03/26 hoy es el último día de trabajo en Bachiller//Prevision Fecha: Fijo// Pasa Alojamiento propio 30/7// carta de resicion hasta el 31/05</t>
  </si>
  <si>
    <t>Prevision Fecha: Fijo</t>
  </si>
  <si>
    <t>en la matriz de personal tiene esta observacion: abandonó alegando estar enfermo 15/01/2026 //Prevision Fecha: Fijo</t>
  </si>
  <si>
    <t xml:space="preserve">PASTOR JOSE FERNANDEZ CANELO
</t>
  </si>
  <si>
    <t>2026/701</t>
  </si>
  <si>
    <t>2025/R177</t>
  </si>
  <si>
    <t>ha comunicado la finalización del servicio de los siguientes trabajadores del proyecto 14/03/2026//Los trabajos se encuentran actualmente confirmados hasta el día 28/02/2025, existiendo la posibilidad de ampliación por alguna semana adicional en caso de ser necesario, o bien de finalización anticipada unos días antes de dicha fecha.La situación definitiva será confirmada con aproximadamente una semana de antelación al 28/02/2025.//Entro en remplazo a la habitacion de elis</t>
  </si>
  <si>
    <t xml:space="preserve">salio de goya </t>
  </si>
  <si>
    <t>Domingo +34 663 44 92 79</t>
  </si>
  <si>
    <t>TRABAJADOR REEMPLAZADO.R195</t>
  </si>
  <si>
    <t>2025/557</t>
  </si>
  <si>
    <t xml:space="preserve">El señor no esta trabajando esta en argentina </t>
  </si>
  <si>
    <t>2025/R167</t>
  </si>
  <si>
    <t>finalización del servicio 15/03/2026</t>
  </si>
  <si>
    <t>2026/736</t>
  </si>
  <si>
    <t>MATEUS ---&gt;Información importante
El trabajador Marcelo Cordeiro de Sousa ha superado la entrevista presencial realizada hoy, día 18/02, en Bachiller.
Sin embargo, iniciará sus actividades el día 03/03 a las 05:45 h.
Debe presentarse en la portería de Bachiller y esperar en la puerta exterior hasta que vayan a buscarlo.
Debe estar en el alojamiento el día 02/03, y al día siguiente comenzar normalmente sus labores.
Yo me encargaré personalmente de llevarle el uniforme y los EPIs el día 02/03 hasta su alojamiento
 Prevision Fecha: Fijo</t>
  </si>
  <si>
    <t>JUSED CHAMORRO MENDEZ</t>
  </si>
  <si>
    <t>Calle Murcia, 11 5º-2, Córdoba, Andalucía 14010, España</t>
  </si>
  <si>
    <t>Amelia ‎+34 628 01 65 80</t>
  </si>
  <si>
    <t>Lecru hasta finales de Marzo 27/03</t>
  </si>
  <si>
    <t>2025/401</t>
  </si>
  <si>
    <t>entra reemplazo el señor: JULIAN ANDRES LUCUMI CALERO 26/10//carta de rescision 25/10/25//Pediente envio de factura septiembre</t>
  </si>
  <si>
    <t>JOSE JULIAN ROSERO VILLARREAL</t>
  </si>
  <si>
    <t>trasladado a Cortes de la frontera 16/09///Sale alojamiento por cuenta propia 15/04 // 15/09 Traslado a malaga</t>
  </si>
  <si>
    <t>147 Chemin de Bretagne, Pont-de-Vaux, Auvernia-Ródano-Alpes 01190, Francia</t>
  </si>
  <si>
    <t>Cathy  +33619836621</t>
  </si>
  <si>
    <t>RENUNCIA 25/03/2026 modificar la reserva 5 dias antes de la salida, ya el propietario esta informado de la continuidad.</t>
  </si>
  <si>
    <t>Smart Hotel La Sagra 17 Avenida Doctor Fleming, 45210 Yuncos, España</t>
  </si>
  <si>
    <t>+34 925 67 00 03</t>
  </si>
  <si>
    <t>Informa 09/03 cristian Teams - Prevision de 5 a 10 días de trabajo</t>
  </si>
  <si>
    <t>32 Calle Pirita 32, 29603 Marbella, España</t>
  </si>
  <si>
    <t>+34 605 86 13 13</t>
  </si>
  <si>
    <t>2026/RU092</t>
  </si>
  <si>
    <t>JOSE FERNANDO VEGA BUITRAGO</t>
  </si>
  <si>
    <t>Calle Valeras, 69, Aranjuez, Comunidad de Madrid 28300, España</t>
  </si>
  <si>
    <t> Jose ‎+34 676 60 97 95</t>
  </si>
  <si>
    <t>el trabajador de Lecru (Madrid) acabo de hablar con Yaja. Lo traeremos a Barcelona hasta que se retome el proyecto//Lecru hasta finales de Marzo 27/03</t>
  </si>
  <si>
    <t>Plaza del Potro, 15, 14002 Córdoba, España</t>
  </si>
  <si>
    <t>+34 744 46 54 46 Marìa</t>
  </si>
  <si>
    <t>Hotel du Commerce 5 Place Joubert 01190 Pont de Vaux</t>
  </si>
  <si>
    <t>+33 7 82 39 86 50</t>
  </si>
  <si>
    <t>La fecha indicada corresponde a su último día de actividad.13/03/2026//Informa via teams cristian 10/03 prevision: la parte de Stocco de DUROFELGUEIRAS, un mes más, con posible ampliación a 2 meses máximo... pero dicen que probablemente iran sacando chicos poco a poco, y será por rendimiento, por lo cual no me pueden dar muchas garantias.//MEDIADOS DE FEBRERO//Prevision hasta el 31 de Diciembre 2025//</t>
  </si>
  <si>
    <t>La fecha indicada corresponde a su último día de actividad.13/03/2026//</t>
  </si>
  <si>
    <t>INGRESA EDWAR ARIEL VELEZ 23/03/2026//Los trabajadores se encontraban sin actividad debido a una deuda pendiente del cliente. Ante la falta de resolución, se ha decidido no proceder con su reincorporación, siendo esta decisión trasladada al cliente con fecha 17/03/2026.//La previsión estimada de los trabajos es de aproximadamente 6 meses, si bien se realizará seguimiento y contacto cada 2 meses para mantener actualizadas las fechas y previsiones.//Les informamos que los trabajadores asignados al cliente INOXIDABLES DE MEDINA S.L., dentro de la operativa de la empresa Stocco, tienen prevista la reanudación de operaciones el próximo lunes, siempre y cuando dispongan para dicha fecha del reconocimiento médico en España.
//Cambio de alojamiento//1 mes y medio con posibilidad de estender</t>
  </si>
  <si>
    <t>INGRESA JHONNY ESTID QUIJANO 23/03/2026/Los trabajadores se encontraban sin actividad debido a una deuda pendiente del cliente. Ante la falta de resolución, se ha decidido no proceder con su reincorporación, siendo esta decisión trasladada al cliente con fecha 17/03/2026.//La previsión estimada de los trabajos es de aproximadamente 6 meses, si bien se realizará seguimiento y contacto cada 2 meses para mantener actualizadas las fechas y previsiones.//Les informamos que los trabajadores asignados al cliente INOXIDABLES DE MEDINA S.L., dentro de la operativa de la empresa Stocco, tienen prevista la reanudación de operaciones el próximo lunes, siempre y cuando dispongan para dicha fecha del reconocimiento médico en España.
//cambio de alojamiento//1 mes y medio con posibilidad de estender</t>
  </si>
  <si>
    <t>2026/RU077</t>
  </si>
  <si>
    <t>RICHARD ANDERSON RUIZ BARRETO</t>
  </si>
  <si>
    <t>Calle Concepción, 10, 28901 Getafe, España</t>
  </si>
  <si>
    <t>Valeria +34 653 30 49 90</t>
  </si>
  <si>
    <t>Madrid – Getafe (terminan del 18 de marzo APROX. Recomendaría renovar esa semana completa por si acaso)</t>
  </si>
  <si>
    <t>La fecha indicada para la finalización será 23/03/2026 (incluido)//Madrid – Getafe (terminan del 18 de marzo APROX. Recomendaría renovar esa semana completa por si acaso)</t>
  </si>
  <si>
    <t>Rue des Courtils, Mouscron, Région Wallonne 7700, Bélgica</t>
  </si>
  <si>
    <t>Nicolas ‎+32 474 64 82 42</t>
  </si>
  <si>
    <t>///Alojamiento hasta 22/10 Virgen de la Paz, 2, Benarrabá, Andalucía 29490, España Inmaculada +34 646 25 22 71</t>
  </si>
  <si>
    <t>2025/068</t>
  </si>
  <si>
    <t>Cambio de alojamiento24/03//Prevision Fecha: 18/03/2026</t>
  </si>
  <si>
    <t>nos indica que hoy martes 13/01/2025, es el último día del operario</t>
  </si>
  <si>
    <t>OREJO</t>
  </si>
  <si>
    <t>2026/RU097</t>
  </si>
  <si>
    <t>RETORNA A LA OBRA EN BURGOS.//El alojamiento de Orejo Yajaira solicitara un anticipo por 60€ para que el trabajador pague el alojamiento ya que segùn èl solo aceptan efectivo</t>
  </si>
  <si>
    <t>2026/RU076</t>
  </si>
  <si>
    <t>Cambio de alojamineto fijo</t>
  </si>
  <si>
    <t>Finaliza: 26/03/2026//Previsiones hasta Fecha: 24/04/2026//trabajaran al menos un mes más hasta el 31/10/2025.
//Los trabajadores se quedan hasta el día 31/08, hay posibilidad de ampliar esta fecha.</t>
  </si>
  <si>
    <t>JEISON FARID LOPEZ AGREDO</t>
  </si>
  <si>
    <t>YIMI ALEXANDER TRIANA FRANCO</t>
  </si>
  <si>
    <t xml:space="preserve">finalizará su servicio en el cliente IBERTECNIC el próximo 27/03/2026.//se queda hasta el dia 11/03. //serán concluidos en su totalidad el próximo viernes día 6 de marzo de 2026,//alojamiento gestionado por el cliente, </t>
  </si>
  <si>
    <t>C/ Cooperación 1-2º-1ª de Puertollano (Ciudad Real)</t>
  </si>
  <si>
    <t>Thierry  +34 643 60 06 97</t>
  </si>
  <si>
    <t>Cambio de alojamiento//SERAN UBICADOS EN HABITACIONES DE THIERRY</t>
  </si>
  <si>
    <t>OLMEDO ARIEL HERNANDEZ GONZALEZ</t>
  </si>
  <si>
    <t>renuncia 28/03/26///Previsiones hasta Fecha: 24/04/2026//</t>
  </si>
  <si>
    <t>cambio de alojamiento//Prevision hasta RENOVADO DURANTE TODO 2026</t>
  </si>
  <si>
    <t>Fueron trasladados al piso Carrer del Monestir de Poblet, 42, 1, Campanar, 46015 València</t>
  </si>
  <si>
    <t>2025/663</t>
  </si>
  <si>
    <t>finalización del servicio 25/03/2026</t>
  </si>
  <si>
    <t>renuncia 30/03/26///Previsiones hasta Fecha: 24/04/2026//trabajaran al menos un mes más hasta el 31/10/2025.
//Los trabajadores se quedan hasta el día 31/08, hay posibilidad de ampliar esta fecha.</t>
  </si>
  <si>
    <t>2026/RU078</t>
  </si>
  <si>
    <t>Cambia alojamiento por cuenta propia 30/03/2026</t>
  </si>
  <si>
    <t>2026/RU086</t>
  </si>
  <si>
    <t xml:space="preserve">deben salir el 31/03 y pueden volver el lunes 06/04//Queda una habitacion doble hasta el 18/03, </t>
  </si>
  <si>
    <t>CLAUDEMIR DO NASCIMENTO FURTADO</t>
  </si>
  <si>
    <t>deben salir el 31/03 y pueden volver el lunes 06/04//Queda una habitacion doble hasta el 18/03, averiguandi¡o con yajaira quienes quedan</t>
  </si>
  <si>
    <t>REUBICADO A ARBUCIES 29/03/26///Prevision hasta Fecha: 29/06/2025</t>
  </si>
  <si>
    <t>2025/469</t>
  </si>
  <si>
    <t>REUBICADO EN ARBUCIES GIRONA///Prevision hasta Fecha: 29/06/2025</t>
  </si>
  <si>
    <t>Pso Extremadura 61BIS,  2f , 28011</t>
  </si>
  <si>
    <t>+34 664 64 09 88~ VANESA</t>
  </si>
  <si>
    <t>La fecha indicada para la finalización será 31/03/2026, siendo este su último día de actividad.</t>
  </si>
  <si>
    <t>Cambio de alojamiento31/03//La previsión mínima de trabajo es hasta el 06/03, pudiéndose prorrogar si es necesario.</t>
  </si>
  <si>
    <t>CARLOS MARIO ROCHA ARIZ</t>
  </si>
  <si>
    <t>MISAEL SUAREZ SIJONA</t>
  </si>
  <si>
    <t>Cambio de alojamiento31/03/</t>
  </si>
  <si>
    <t>C. Vía Crucis, 17, 13500 Puertollano, Ciudad Real</t>
  </si>
  <si>
    <t>Thierry +34 643 60 06 97</t>
  </si>
  <si>
    <t>Yajaira confirma que este trabajador laboro hasta el 31/03 informaciòn suministrada por el trabajaor</t>
  </si>
  <si>
    <t>Pasa habitacion donde Iker a partir del 31/05.</t>
  </si>
  <si>
    <t>cambio de alojamiento 31/03/2026</t>
  </si>
  <si>
    <t>cambio de alojamiento 31/03/2026//Prevision Fecha: 18/03/2026</t>
  </si>
  <si>
    <t>NESTOR JAVIER BARRIOS PENA</t>
  </si>
  <si>
    <t>2026/737</t>
  </si>
  <si>
    <t xml:space="preserve"> TINCASUR SUR, S.L </t>
  </si>
  <si>
    <t>YIMIS ALFREDO FERNANDEZ PENA</t>
  </si>
  <si>
    <t> DUMAR EFREN RAMIREZ MENDOZA</t>
  </si>
  <si>
    <t>2026/R194</t>
  </si>
  <si>
    <t xml:space="preserve"> finalización del servicio 25/03/2026////FINALES DE FEBRERO//Prevision hasta el 31 de Diciembre 2025//</t>
  </si>
  <si>
    <t xml:space="preserve"> Christophe+33 6 08 36 05 20</t>
  </si>
  <si>
    <t>RENUNCIA 30/03/2026 modificar la reserva 5 dias antes de la salida, ya el propietario esta informado de la continuidad.</t>
  </si>
  <si>
    <t>Avenida Reyes Catolicos N37 5A,</t>
  </si>
  <si>
    <t>Juan Josè ‎+34 686 44 39 93</t>
  </si>
  <si>
    <t>Regresa valladolid y vuelve a burgos 6/04</t>
  </si>
  <si>
    <t>Hotel don José Carretera de Almodóvar, 9, Puertollano, Castilla-La Mancha 13500, España</t>
  </si>
  <si>
    <t>+34 662 44 94 14 / +34641907606</t>
  </si>
  <si>
    <t>Cambio de alojamiento 29/04//Informa Kawan whatsapp 05/04/2026- Se informa que todos los trabajadores quedan prorrogados con fecha de fin actualizada al 05/04/2026.</t>
  </si>
  <si>
    <t>Cambio de alojamiento 29/04/Informa Kawan whatsapp 05/04/2026- Se informa que todos los trabajadores quedan prorrogados con fecha de fin actualizada al 05/04/2026.</t>
  </si>
  <si>
    <t>La finalización se produjo el 25/06/2026//OJO: No se puede Renovar el alojamiento deben salir antes de las 10:00Hr del 01/07//03/06/2026: Prevision hasta el dia 03/07//</t>
  </si>
  <si>
    <t>Hotel La Basílica  19 Carretera Burgos, 34200 Venta de
Baños, España</t>
  </si>
  <si>
    <t>+34 651 81 50 23</t>
  </si>
  <si>
    <t>2026/755</t>
  </si>
  <si>
    <t>1 semana en Palencia (hasta el 11/04). 1 semana en Burgos (hasta el 18/04). A partir de ahí, los mandaríamos al menos 2 semanas a Sevilla o Valladolid</t>
  </si>
  <si>
    <t xml:space="preserve">BECK &amp; POLLITZER IBERICA SLU </t>
  </si>
  <si>
    <t>Entra el remplazo el dia 23/04/2025</t>
  </si>
  <si>
    <t>sant Josep de calassan, 11 Distrito CentreGranollers Vallès Oriental, Barcelona</t>
  </si>
  <si>
    <t>ENTRA LUIS ANTONIO SOTO// hoy es el último día de trabajo en Bachiller 10/03/26//Prevision Fecha: Fijo</t>
  </si>
  <si>
    <t>(finaliza el 31/03/2026)//huelva 3 meses más.(10/02/26)///finalizacion 31/03/26</t>
  </si>
  <si>
    <t>YONY SMITH MORALES ORTIZ</t>
  </si>
  <si>
    <t>finaliza mañana viernes 17/10/2025. El motivo que nos da el cliente es el siguiente "no tiene experiencia y no sabe hacer sin ayuda armado y alineado de tubos, aunque su actitud es buena</t>
  </si>
  <si>
    <t>YEISON ANDRES TORRES NIÑO</t>
  </si>
  <si>
    <t>Trabajo finaliza el 10/05</t>
  </si>
  <si>
    <t>DEYVIS HERNANDEZ DIAZ</t>
  </si>
  <si>
    <t>abandono el trabajo 21/07</t>
  </si>
  <si>
    <t>YONATAN RODRIGUEZ LUNA</t>
  </si>
  <si>
    <t>Fasthôtel Mâcon Sud 139 chemin de la Petite Grosne 71850 Charnay lès Mâcon, Mâcon Saône et Loire, Bourgogne, France</t>
  </si>
  <si>
    <t xml:space="preserve"> 03 85 22 82 12</t>
  </si>
  <si>
    <t>2024/181</t>
  </si>
  <si>
    <t>Trabaja hasta l 19/07///el domingo 23/06 sale del hotel a un alojamiento fijo</t>
  </si>
  <si>
    <t>YUSSED MURADT CHAVES AMEZQUITA</t>
  </si>
  <si>
    <t>finalizaron ayer 01/04 su servicio en el cliente Metallic Solutions.//Prevision hasta Fecha: 31/07/2026</t>
  </si>
  <si>
    <t>YONATHAN SANTIAGO MEDINA PATARROYO</t>
  </si>
  <si>
    <t>2024/132</t>
  </si>
  <si>
    <t>Este trabajador informó a Recursos Humanos que no se trasladaría al alojamiento que le ofrecía la empresa, ya que decidió optar por un alojamiento propio. Recursos Humanos, hasta el día de hoy (04/06/2026), no había informado nada al respecto.</t>
  </si>
  <si>
    <t>YIMMI MOSQUERA GONZALEZ</t>
  </si>
  <si>
    <t>sale el 20/11 dice Marcelo, carta de rescisiòn //Reemplazo 170</t>
  </si>
  <si>
    <t>FERNANDO ANTONIO CARDENAS CARDENAS</t>
  </si>
  <si>
    <t>2025/604</t>
  </si>
  <si>
    <t>2025/649</t>
  </si>
  <si>
    <t>Cambio de alojamiento el 16/02//enero del 2026</t>
  </si>
  <si>
    <t>ROMER DAVID RODRIGUEZ GONZALEZ</t>
  </si>
  <si>
    <t>2025/667</t>
  </si>
  <si>
    <t>Apto T/12 TARTARUGA (4 Camas )</t>
  </si>
  <si>
    <t>DAHIR GREGORIO MUÑOZ GRANADOS</t>
  </si>
  <si>
    <t>CARTA DE RESCISION 31/10/25</t>
  </si>
  <si>
    <t>TRASLADO DE OBRA</t>
  </si>
  <si>
    <t>JOSE SEVERINO RIBEIRO JUNIOR</t>
  </si>
  <si>
    <t>finaliza 21/09</t>
  </si>
  <si>
    <t>JUAN CAMILO ESPINOZA VILLEGAS</t>
  </si>
  <si>
    <t>JEFFERSON ANDRES OROZCO RODRIGUEZ</t>
  </si>
  <si>
    <t>cambio alojamiento propio</t>
  </si>
  <si>
    <t>2025/R144</t>
  </si>
  <si>
    <t xml:space="preserve"> nos confirma que el pasado mes de diciembre hasta el 31/12/2025//Prevision 31 de Diciembre de 2025//El trabajador Wilbert Ortiz Tolosa desistio.</t>
  </si>
  <si>
    <t>JAPSIN STEVEN RUIZ PARRA</t>
  </si>
  <si>
    <t>2025/R21</t>
  </si>
  <si>
    <t>JULIAN ANDRES LUCUMI CALERO</t>
  </si>
  <si>
    <t>2025/R149</t>
  </si>
  <si>
    <t>Por baja voluntaria finalizo el pasado 07/01/2026 //Renuncio el 07/01/2026, informa recursos humanos (tania) hoy 14/01/2026//Se amplia hasta el 26/12//   Prevision hasta  31 Diciembre 2025/</t>
  </si>
  <si>
    <t>Pasa alojamiento Fijo en la misma direccion a partir del 21/03</t>
  </si>
  <si>
    <t>Prevision hasta Hasta el 27 de abril</t>
  </si>
  <si>
    <t>AUGUSTO CESAR SIMOES CARNEIRO</t>
  </si>
  <si>
    <t xml:space="preserve"> Calle de Sant Isidor 31, 2-2, Sabadell. Espanha.</t>
  </si>
  <si>
    <t xml:space="preserve">D. MARIUSZ MLECZKO  +34 691862665 </t>
  </si>
  <si>
    <t>Costo de Alquiler 400+servicios 50+ limpieza 30</t>
  </si>
  <si>
    <t>FABIAN ORLANDO VARGAS RIOS</t>
  </si>
  <si>
    <t xml:space="preserve"> Reemplazo solicitado por Marcelo y previamente acordado con Men Montajes//enero del 2026</t>
  </si>
  <si>
    <t>JOSE LUIS ARENAS DIAZ</t>
  </si>
  <si>
    <t>2025/R151</t>
  </si>
  <si>
    <t>JULIAN ENRIQUE GUTIERREZ SALDAÑA</t>
  </si>
  <si>
    <t>Apartamento PUERTO Calle Gran Almirante Cristobal Colon nº1 21130 Mazagón (Huelva)</t>
  </si>
  <si>
    <t>2025/RU058</t>
  </si>
  <si>
    <t>finaliza el próximo viernes 24/10/2025.</t>
  </si>
  <si>
    <t>apto 66 (3 camas)</t>
  </si>
  <si>
    <t>sera reubicado en garay</t>
  </si>
  <si>
    <t>2025/554</t>
  </si>
  <si>
    <t>La finalización será notificada con fecha 12/03/2026//KAWAM CORREO--&gt;Comunicación urgente – Incidencia con clientes y suspensión de actividad 18/02/2026</t>
  </si>
  <si>
    <t>HOTEL REAL LOS BARRIOS CADIZ</t>
  </si>
  <si>
    <t>2025/665</t>
  </si>
  <si>
    <t xml:space="preserve">nos indica que hoy viernes 28/11/2025 es el último día de los operarios://alojamiento gestionado por el cliente, </t>
  </si>
  <si>
    <t>todos los operarios finalizan este domingo 26/10/2025.//ESTE PISO SE PASO A STOCCO POR ESCRITO CORREO A LOGISTICA 05/03/2025</t>
  </si>
  <si>
    <t>MIJAEL CESAR JIMENEZ FERNANDEZ</t>
  </si>
  <si>
    <t>La fecha indicada para la finalización será 15/03/2026, siendo este su último día de actividad</t>
  </si>
  <si>
    <t>MARCO ANTONIO ROJAS CARBAJAL</t>
  </si>
  <si>
    <t>AVISAR VIERNES 23-05-2025 //ampliar reserva hasta el 30/06</t>
  </si>
  <si>
    <t>JUAN PABLO NINA CHACON</t>
  </si>
  <si>
    <t>CAMBIO DE ALOJAMIENTO//Hotel Restaurante Carlos III,Paseo Blas Infante, 0, 14120 Fuente Palmera, Córdoba</t>
  </si>
  <si>
    <t>ISRAEL ANTHONY GARCIA MOREANO</t>
  </si>
  <si>
    <t>Informa via teams cristian 10/03 prevision: la parte de Stocco de DUROFELGUEIRAS, un mes más, con posible ampliación a 2 meses máximo... pero dicen que probablemente iran sacando chicos poco a poco, y será por rendimiento, por lo cual no me pueden dar muchas garantias.//MEDIADOS DE FEBRERO//Prevision hasta el 31 de Diciembre 2025//</t>
  </si>
  <si>
    <t xml:space="preserve"> Cambio de alojamiento//finalizan mañana viernes 07/11/2025///cambio de alojamiento 6/11/25 C. de San Francisco de Borja, 9, 50009 Zaragoza</t>
  </si>
  <si>
    <t xml:space="preserve"> cambio de alojamiento//finalizan mañana viernes 07/11/2025///cambio de alojamiento 6/11/25 C. de San Francisco de Borja, 9, 50009 Zaragoza</t>
  </si>
  <si>
    <t xml:space="preserve"> 29/10 los chicos no pueden entrar a la obra , y se cancelan todos los servicios y trabajos con TUBAL//Habitaciòn de Edwar Avila///Se realiza pago hasta el 15/11/25</t>
  </si>
  <si>
    <t>ADRIAN CAMILO PINILLA AGUIRRE</t>
  </si>
  <si>
    <t>Informa via teams cristian 10/03 prevision: la parte de Stocco de DUROFELGUEIRAS, un mes más, con posible ampliación a 2 meses máximo... pero dicen que probablemente iran sacando chicos poco a poco, y será por rendimiento, por lo cual no me pueden dar muchas garantias.//MEDIADOS DE FEBRERO//Prevision hasta el 15 de Diciembre 2025//</t>
  </si>
  <si>
    <t>Pensión Corona C. de la Corona de Aragón, 10, 1D, 50009 Zaragoza</t>
  </si>
  <si>
    <t>Cambio de alojamiento//Lecru hasta finales de Marzo 27/03</t>
  </si>
  <si>
    <t>Cambio de alojamiento//Lecru hasta finales de Marzo 27/03Lecru hasta finales de Marzo 27/03</t>
  </si>
  <si>
    <t>Cambio de alojamiento//Lecru hasta finales de Marzo 27/03ecru hasta finales de Marzo 27/03</t>
  </si>
  <si>
    <t>JULIO CESAR QUINTERO CHINCHILLA</t>
  </si>
  <si>
    <t>CARTA DE RESCISION 01-12-25//Pasa Alojamiento fijo 30/06//Casa Rural Ecuestre Carretera A- 440 km 7, 14120 Fuente Palmera</t>
  </si>
  <si>
    <t>cambio de alojamiento 13/04/2026///ALOJAMIENTO DE ENERO 2026 SE PAGO ANTICIPADAMENTE COMPROBANTE 3663</t>
  </si>
  <si>
    <t>cambio de alojamiento 13/04/2026//ALOJAMIENTO DE ENERO 2026 SE PAGO ANTICIPADAMENTE COMPROBANTE 3663</t>
  </si>
  <si>
    <t>JULIO CESAR VERA</t>
  </si>
  <si>
    <t>por el momento permanecen al menos una semana más en Alicante (la fecha exactame la confirman la próxima semana).//será reubicado al taller de FUENTE PALMERA, CORDOBA el lunes 24/11/2025//nos indica que este viernes 21/11/2025 finalizan en Alicante los siguientes operarios//Prevision hasta el 31/12/2025//Fecha Fin:23/12/2025</t>
  </si>
  <si>
    <t>2025/532/RU0063</t>
  </si>
  <si>
    <t>Cambian a puerta del sur en sevilla a partir del 17/05/2026/será reubicado al taller de FUENTE PALMERA, CORDOBA el lunes 24/11/2025//nos indica que este viernes 21/11/2025 finalizan en Alicante los siguientes operarios//Prevision hasta el 31/12/2025//Fecha Fin:23/12/2025</t>
  </si>
  <si>
    <t>A partir de esa fecha, quedará el siguiente equipo operativo, al menos durante el mes de junio / Último día de trabajo: 08/08/2025</t>
  </si>
  <si>
    <t>Calle Francisco Salinas, 22 2º C, Burgos, Castilla y León 09003, España</t>
  </si>
  <si>
    <t>Fº Javier ‎+34 699 85 84 64</t>
  </si>
  <si>
    <t>Cambio de alojamiento a burgos 10/04/2025</t>
  </si>
  <si>
    <t>Calle Teruel 22. 44459 Camarena de la Sierra (Teruel)</t>
  </si>
  <si>
    <t>Manuel  +34 654 27 50 85</t>
  </si>
  <si>
    <t>Teruel – Camarena de la Sierra (largo plazo, todo el año de ser posible.)//Piden no renovar el alojamiento para el proximo mes, por un posible cambio de tarifa completa a Estándar. En caso de que el cambio no se produzca, avisaremos para hacer una renovacion(11/02/2026)//teruel hasta final de año (10/02/26)</t>
  </si>
  <si>
    <t>pedido por 1 mes //Cambian el 22 al piso de burgos Luis realizar check in</t>
  </si>
  <si>
    <t>pedido por 1 mes  //Cambian el 22 al piso de burgos Luis realizar check in</t>
  </si>
  <si>
    <t>Salio del alojamiento informa alojamiento por cuenta propia //&gt; mínimo mediados de noviembre (Tarragona)// nos indica las siguientes fechas previstas para finalizar 17/10/2025 (Tarragona)</t>
  </si>
  <si>
    <t>pedido por 2 mes  //Cambian el 22 al piso de burgos Luis realizar check in</t>
  </si>
  <si>
    <t>Cambio alojamiento por cuenta propia 14/02/2026//Hasta finales de mayo. Llamaremos a mediados para ampliar.//MEDIADOS DE FEBRERO//&gt; mínimo mediados de noviembre (Tarragona)// nos indica las siguientes fechas previstas para finalizar 17/10/2025 (Tarragona)</t>
  </si>
  <si>
    <t>2025/R132</t>
  </si>
  <si>
    <t>2026/751</t>
  </si>
  <si>
    <t xml:space="preserve"> el día 27/05. Motivo: Finalización de la obra donde estaba asignado. Por favor, tener en cuenta esta información para las gestione//26/05/2026: Mañana será el ultimo dia, confirmado por el cliente.//21/05/2026: Stokes Fluid - ENRIQUE RUBIANO AGUDELO finalizara el dia 26/05//12/05/2026: de enrique esta correcto, el cliente esta renovando hasta el dia 22/05//Informa kawan 24/04 de momento hasta el dia 13/05, estan pendiente de que entre mas trabajos// cristian por teams 25/03= STOKES, 2 meses más</t>
  </si>
  <si>
    <t>Cambio de alojamiento 16/04/2026//1 semana en Palencia (hasta el 11/04). 1 semana en Burgos (hasta el 18/04). A partir de ahí, los mandaríamos al menos 2 semanas a Sevilla o Valladolid</t>
  </si>
  <si>
    <t>Cambio de alojamiento a piso en burgos</t>
  </si>
  <si>
    <t>vamos a mantener al personal hasta el día 28/08/2025// CAMBIO DE ALOJAMIENTO</t>
  </si>
  <si>
    <t>PR2025/007</t>
  </si>
  <si>
    <t>Sera trasladado a Belgica</t>
  </si>
  <si>
    <t>Calle Dolores Romero nº 36, 3º, puerta D en Teruel.</t>
  </si>
  <si>
    <t> +34 606 50 59 95~Elisa</t>
  </si>
  <si>
    <t>La finalización se producirá el 31/07/2026.//Teruel – Camarena de la Sierra (largo plazo, todo el año de ser posible.</t>
  </si>
  <si>
    <t>Josè Daniel Roman +34 645 86 07 02</t>
  </si>
  <si>
    <t>Calle grupo Alferez Rojas 41BD Zaragoza.</t>
  </si>
  <si>
    <t>ROBERTO OSCCO CHILINGANO</t>
  </si>
  <si>
    <t>2025/445</t>
  </si>
  <si>
    <t>queda SUSPENDIDO</t>
  </si>
  <si>
    <t xml:space="preserve">ENRIQUE PEREZ CARREAZO </t>
  </si>
  <si>
    <t>2025/394</t>
  </si>
  <si>
    <t>PEDIDO CANCELADO// CAMBIO DE PEDIDO Y ALOJAMIENTO</t>
  </si>
  <si>
    <t>ROBINSON ANGULO CAICEDO</t>
  </si>
  <si>
    <r>
      <t>todos los operarios finalizan este domingo </t>
    </r>
    <r>
      <rPr>
        <b/>
        <sz val="12"/>
        <color rgb="FF000000"/>
        <rFont val="Aptos"/>
        <family val="2"/>
      </rPr>
      <t>26/10/2025.</t>
    </r>
    <r>
      <rPr>
        <sz val="12"/>
        <color rgb="FF000000"/>
        <rFont val="Aptos"/>
        <family val="2"/>
      </rPr>
      <t>///Se paga hasta el 15/11/25</t>
    </r>
  </si>
  <si>
    <t> C. Portada, 11, 29601 Marbella, Málaga</t>
  </si>
  <si>
    <t> +34 952766978</t>
  </si>
  <si>
    <t>2026/RU091</t>
  </si>
  <si>
    <t>Regresan a valladolid el 10/04/2026//Serían 15 días a partir del 06/04/2026</t>
  </si>
  <si>
    <t>Hostal el secreto 2 Calle Lisboa, 44195 Teruel, España</t>
  </si>
  <si>
    <t>+34 685 67 22 93</t>
  </si>
  <si>
    <t>Cambio de alojamiento-Teruel – Camarena de la Sierra (largo plazo, todo el año de ser posible.</t>
  </si>
  <si>
    <t>Se informa de la finalización del siguiente trabajador en Luminous Alley para el cliente STOKES FLUID: (finaliza hoy 22/04/2026)///Informa cristian por teams 25/03= STOKES, 2 meses más//reanudarán el próximo lunes. 09/02/2026/no estan en el alojamiento/29/01 No van a poder trabajar hasta nuevo avisó por las adversidades climáticas, estiman que no será más de una semana.//se van de vacaciones  y vuelven el 11/01//febrero del 2026</t>
  </si>
  <si>
    <t>2026/717</t>
  </si>
  <si>
    <t>Pasa alojamiento propio el 07/08/2026, auxilio a partir del 01/09</t>
  </si>
  <si>
    <t>Plaza de Europa, 13 - Ciudad del Transporte de Pamplona, 31119 Imárcoain, España</t>
  </si>
  <si>
    <t>+34 948 31 40 50</t>
  </si>
  <si>
    <t>2026/RU104</t>
  </si>
  <si>
    <t>Vuelven a vizcaya el 15/05/2026</t>
  </si>
  <si>
    <t>Carrer Germana Assumpta 46, 17401 Arbúcies, España</t>
  </si>
  <si>
    <t>Clara +34 681 04 69 29</t>
  </si>
  <si>
    <t>Cambio de alojamiento 21/04/2026</t>
  </si>
  <si>
    <t>JUTAI MELO PEREIRA</t>
  </si>
  <si>
    <t>Pasan a Carretera de Prats de Lluçanès, 179 Sabadell  2 Piso Puerta 4 17/06/2026</t>
  </si>
  <si>
    <t>La finalización será notificada con fecha 12/03/2026/KAWAM CORREO--&gt;Comunicación urgente – Incidencia con clientes y suspensión de actividad 18/02/2026</t>
  </si>
  <si>
    <t>2025/R170</t>
  </si>
  <si>
    <t>ROBERTO CASTILLA JIMENEZ</t>
  </si>
  <si>
    <t>2026/R187</t>
  </si>
  <si>
    <t>Pasan al Forn 28 18/06/2026</t>
  </si>
  <si>
    <t>Cambio de alojamiento el 26/04/2026/Informa Christian 24/04:  2 meses más renovado!</t>
  </si>
  <si>
    <t>30/06/2026 no esta trabajando en este momento, el fin de semana de mateu le informaron que no puede seguir trabajando//Cristian 05/05/2026 informa por teams: Mateu. Renovamos 3 meses</t>
  </si>
  <si>
    <t>sant Josep de calassan, 11 Distrito CentreGranollers Vallès Oriental, Barcelona</t>
  </si>
  <si>
    <t>2026/754</t>
  </si>
  <si>
    <t>Luis Antonio Soto Vidal finalizo ayer 06/05.//finalizará su servicio el día 08/05.</t>
  </si>
  <si>
    <t>La finalización se producirá el 31/07/2026.Teruel – Camarena de la Sierra (largo plazo, todo el año de ser posible.</t>
  </si>
  <si>
    <t>LUIS ALEJANDRO CORTES GONZALEZ</t>
  </si>
  <si>
    <t>finalización del servicio 07/03/2026///No se encuentran en el alojamiento, yajaira 10/03 esta consultando por que salieron del alojamiento no se tiene informacion.</t>
  </si>
  <si>
    <t>No se encuentran en el alojamiento, yajaira 10/03 esta consultando por que salieron del alojamiento no se tiene informacion.</t>
  </si>
  <si>
    <t>LUIS GABRIEL DE AVILA CASTELLON</t>
  </si>
  <si>
    <t>2024/226</t>
  </si>
  <si>
    <t>YOELMI LEONARDO MONSALVE ARZUZA</t>
  </si>
  <si>
    <t xml:space="preserve">Pasan Alojamiento fijo 21/07//C. Cánovas del Castillo, 4, 28807 Alcalá de Henares //C. Benjamín Palencia, 2, portal 3 piso 3 b, 28850 Torrejón de Ardoz, Madrid Erika +34 654 45 37 98 </t>
  </si>
  <si>
    <t>JAVIER RODRIGUEZ CONTRERAS</t>
  </si>
  <si>
    <t>(finaliza el 24/04/2026) Comunicación urgente – Incidencia con clientes y suspensión de actividad 18/02/2026</t>
  </si>
  <si>
    <t>Fecha de salida: 05/04/2026 (Reubicado en Girona)</t>
  </si>
  <si>
    <t>2024/519</t>
  </si>
  <si>
    <t>HOTEL PETIT GOIERRI Petit Goierri S.L B75142349 San Andres Kalea 8 20216 Ormaiztegi</t>
  </si>
  <si>
    <t>+34 943 16 00 20</t>
  </si>
  <si>
    <t>nos informa que hoy lunes 15/09/2025 es el último día del operario</t>
  </si>
  <si>
    <t>(finalizó el 10/04/2026)</t>
  </si>
  <si>
    <t>se realizo Booking //alargarán los proyectos hasta mínimo finales de septiembre.</t>
  </si>
  <si>
    <t>Calle  Tierra del Pan 41,Valladolid.</t>
  </si>
  <si>
    <t>(finalizó el 10/04/2026)Informo prevision por correo Cristian el 13/02: Duración estimada: 2 meses</t>
  </si>
  <si>
    <t>La finalización se produjo el 15/05/2026.Motivo: finalización del servicio por falta de trabajo comunicado por el cliente.</t>
  </si>
  <si>
    <t>2025/251/R0097</t>
  </si>
  <si>
    <t xml:space="preserve">l viernes 30/01 fue el último día trabajado </t>
  </si>
  <si>
    <t>La finalización será el 17/04/2026, siendo este su último día de actividad para los siguientes trabajadore</t>
  </si>
  <si>
    <t>luis//alargarán los proyectos hasta mínimo finales de septiembre.</t>
  </si>
  <si>
    <t>carta de renuncia 30/08</t>
  </si>
  <si>
    <t>alargarán los proyectos hasta mínimo finales de septiembre.</t>
  </si>
  <si>
    <t>LUIS MANUEL ACOSTA FLOREZ</t>
  </si>
  <si>
    <t>2024/127</t>
  </si>
  <si>
    <r>
      <rPr>
        <sz val="11"/>
        <color rgb="FFFF0000"/>
        <rFont val="Calibri"/>
        <family val="2"/>
      </rPr>
      <t>FINALIZA 27/12//</t>
    </r>
    <r>
      <rPr>
        <sz val="11"/>
        <color rgb="FF305496"/>
        <rFont val="Calibri"/>
        <family val="2"/>
      </rPr>
      <t>Hostal EC Leon</t>
    </r>
  </si>
  <si>
    <t>LUIS MANUEL PEREZ MAESTRE</t>
  </si>
  <si>
    <t>MODESTO FERNANDEZ QUINTERO</t>
  </si>
  <si>
    <t>2026/692</t>
  </si>
  <si>
    <t>Reemplazo 2026/R189//nos indica que ayer 28/01/2026 Le aviso que se volvió a Perú</t>
  </si>
  <si>
    <t>EVERALDO ALVES DE LIMA</t>
  </si>
  <si>
    <t>28/10  ya no les hacen falta porque no tienen más trabajo</t>
  </si>
  <si>
    <t>ABDRUBAL FONSECA RINCON</t>
  </si>
  <si>
    <t>Avinguda de Juli Cesar, 11, 43881 Cunit, España</t>
  </si>
  <si>
    <t xml:space="preserve"> +34 682 48 11 34</t>
  </si>
  <si>
    <t>2025/566</t>
  </si>
  <si>
    <t>nos indican que hoy 21/10/2025 es el último día del operario,se ha gestionado el reemplazo R2025/0153 el viernes 24/10/2025</t>
  </si>
  <si>
    <t>Trabajador incapacitado</t>
  </si>
  <si>
    <t>calle Jesús, 36 B, 6º, Centro de Zaragoza</t>
  </si>
  <si>
    <t>2026/781</t>
  </si>
  <si>
    <t>Ya salio del alojamiento fue contratado en el pedido de Reemplazo 223 ingreso el 02/08/2026///Fecha Efectiva de Baja (Salida): 31/07/2026//Todos los trabajadores se quedan una semana mas hasta el día 31/07.//En principio, el sábado 25/07 será el último día de trabajo para los siguientes trabajadores. No obstante, existe la posibilidad de que finalmente también trabajen el domingo,//Informa Kawan whatsapp 05/02/2026- Se informa que todos los trabajadores quedan prorrogados con fecha de fin actualizada al 05/04/2026.</t>
  </si>
  <si>
    <t>PENSIÓN IRATI Avenida de Aldeanueva Nº 23   26550 – Rincón de Soto LA RIOJA</t>
  </si>
  <si>
    <t>2026/761</t>
  </si>
  <si>
    <t xml:space="preserve">05/08/2026 Kawan informa: Previsión hasta el dia 11/09//Norcal hasta 10 agosto </t>
  </si>
  <si>
    <t>Calle Navarra 92, Gallur, Zaragoza/Alojamiento por cuenta del cliente</t>
  </si>
  <si>
    <t>ALEXANDER GIL HERRERA</t>
  </si>
  <si>
    <t>2026/803</t>
  </si>
  <si>
    <t>Alojamiento por cuenta del cliente</t>
  </si>
  <si>
    <t>pasa donde ramon el 27/06///lectrodinamic- prevision hasta el dia 31/07//Prevision hasta Fecha: 24/07/2026</t>
  </si>
  <si>
    <t>Cambia alojamiento por cuenta propia//Informa Kawan whatsapp 05/02/2026- Se informa que todos los trabajadores quedan prorrogados con fecha de fin actualizada al 05/04/2026.</t>
  </si>
  <si>
    <t>Matilde Zaragoza +34 629 44 19 26</t>
  </si>
  <si>
    <t>Todos los trabajadores se quedan una semana mas hasta el día 31/07.//En principio, el sábado 25/07 será el último día de trabajo para los siguientes trabajadores. No obstante, existe la posibilidad de que finalmente también trabajen el domingo,//Informa Kawan whatsapp 05/02/2026- Se informa que todos los trabajadores quedan prorrogados con fecha de fin actualizada al 05/04/2026.</t>
  </si>
  <si>
    <t>FINALIZO PREGUNTAR RH FECHA DE SALIDA</t>
  </si>
  <si>
    <t xml:space="preserve">CRISTIAN ADRIAN QUIROS RAMOS </t>
  </si>
  <si>
    <t>2026/743</t>
  </si>
  <si>
    <t>Os informo de que Cristian Adrián Quirós Ramos, trabajador de Luminous/Bekoter, finaliza hoy, 19/06, su relación laboral con la empresa.//actividad prevista hasta el dia 30 octubre.</t>
  </si>
  <si>
    <t>La finalización se produce el día de hoy.26/05/2026//</t>
  </si>
  <si>
    <t>La finalización se produjo el 15/06/2026. Motivo: renuncia voluntaria por motivos personales.//El trabajador ha informado que viajará a visitar a su familia a partir del 17/06/2026 y estará ausente durante 45 días.</t>
  </si>
  <si>
    <t>se amplio hasta el 01/10</t>
  </si>
  <si>
    <t>lectrodinamic- prevision hasta el dia 31/07//Prevision hasta Fecha: 24/07/2026</t>
  </si>
  <si>
    <t>JUAN CARLOS TORRES</t>
  </si>
  <si>
    <t>pasa donde ramon el 27/06///Prevision hasta el 31 de Diciembre de 2025//</t>
  </si>
  <si>
    <t>último día 24/05/2026//Prevision hasta Fecha: 04/03/2026/Posteriormente estos empleados volverán a Lleida (en donde estaban trabajando) una vez finalicen ahí, aproximadamente la semana del 13/10</t>
  </si>
  <si>
    <t>Hotel Monclús C. Menéndez Pelayo, 3, 34001 Palencia</t>
  </si>
  <si>
    <t xml:space="preserve"> +34 979744300</t>
  </si>
  <si>
    <t>Lo lleva Luis</t>
  </si>
  <si>
    <t>Apartamentos Torresmar Calle Clemen Serrano, 12410 Altura, España</t>
  </si>
  <si>
    <t>+34 686 31 57 19</t>
  </si>
  <si>
    <t>ampliacion hasta el 11/10, cambian donde lucia hasta el 20/10//se amplia la reserva con salida el 01/10, solicitar el pago</t>
  </si>
  <si>
    <t>ampliacion hasta el 11/10, cambian donde lucia hasta el 20/10/, preguntar a lucia disponibilidad//se amplia la reserva con salida el 01/10, solicitar el pago</t>
  </si>
  <si>
    <t>Cambio de alojamiento//Alojamiento en el hostal campestre falta solicitar pago//Ibrahim 03/10/2025 dice:  se quedan almenos tres semanas más</t>
  </si>
  <si>
    <t xml:space="preserve">Cambia alojamiento por cuenta propia </t>
  </si>
  <si>
    <t>JUAN ALBERTO RODRIGUEZ</t>
  </si>
  <si>
    <t>2025/223</t>
  </si>
  <si>
    <t>último día 26/05/2026//Prevision hasta Fecha: 04/03/2026/Posteriormente estos empleados volverán a Lleida (en donde estaban trabajando) una vez finalicen ahí, aproximadamente la semana del 13/10</t>
  </si>
  <si>
    <t>C. José Reyes Martín, 4, 38612 El Médano, Santa Cruz de Tenerife, Spain</t>
  </si>
  <si>
    <t>C. Corralón de los Carros, 66, 11002 Cádiz, Spain</t>
  </si>
  <si>
    <t>Pilar +34 699 49 04 45</t>
  </si>
  <si>
    <t>2025/621</t>
  </si>
  <si>
    <t>Se genero pedido RU-050, CAMBIAN DE ALOJAMIENTO</t>
  </si>
  <si>
    <t>2026/RU105</t>
  </si>
  <si>
    <t>Los trabajadores de Luminous Farid José Rojas Guerra y Pedro Zavala, finalizarán su servicio el próximo 05/07 con el cliente Gamoher.no necesita sustitución//Su último día de trabajo será el 05/07/2026. Si va tener reemplazo.</t>
  </si>
  <si>
    <t>CRISTIAN ARIZA MARTINEZ</t>
  </si>
  <si>
    <t>2025/567</t>
  </si>
  <si>
    <t>2025/626</t>
  </si>
  <si>
    <t>A partir del domingo 26/10/2025 pasa al alojamiento C/JUAN DE GARAY N°43 -2A//</t>
  </si>
  <si>
    <t>Alojamiento temporal por unos dias</t>
  </si>
  <si>
    <t>PEDRO PABLO ZAVALA GALLARDO</t>
  </si>
  <si>
    <t>Los trabajadores de Luminous Farid José Rojas Guerra y Pedro Zavala, finalizarán su servicio el próximo 05/07 con el cliente Gamoher.no necesita sustitución//Será reemplazado por un nuevo trabajador que será contratado por Luminous Alley, en lugar de Stocco.</t>
  </si>
  <si>
    <t>último día 29/05/2026</t>
  </si>
  <si>
    <t>REUBICACION 04/03//Prevision hasta Fecha: 04/03/2026/</t>
  </si>
  <si>
    <t>DANDI JHONATAN PAIMA TIHUARO</t>
  </si>
  <si>
    <t>2026/792</t>
  </si>
  <si>
    <t xml:space="preserve">Pol. Ind. San Martín, C. Estación, 1, 48550 Muskiz, Vizcaya </t>
  </si>
  <si>
    <t>2025/628</t>
  </si>
  <si>
    <t>nos indica que hoy 14/01/2026, finaliza el siguiente trabajador//Es el reemplazo de Ronal taype</t>
  </si>
  <si>
    <t>2026/757</t>
  </si>
  <si>
    <t>DINO EDER VARGAS LOPEZ</t>
  </si>
  <si>
    <t>2026/R212</t>
  </si>
  <si>
    <t>C. Maestros mados 2, Novelda alicante.</t>
  </si>
  <si>
    <t>Calle Padre José de Sosa, 24, Las Palmas de Gran Canaria, Canarias 35001, España</t>
  </si>
  <si>
    <t>Mariano Segalla+34 603 19 30 84</t>
  </si>
  <si>
    <t>+34 925679176</t>
  </si>
  <si>
    <t>Fecha Fin:31/12/2025</t>
  </si>
  <si>
    <t xml:space="preserve">Pasan Alojamiento fijo 21/07//C. Cánovas del Castillo, 4, 28807 Alcalá de Henares // C. Benjamín Palencia, 2, portal 3 piso 3 b, 28850 Torrejón de Ardoz, Madrid </t>
  </si>
  <si>
    <t>MACIEL DE OLIVEIRA LAGARES</t>
  </si>
  <si>
    <t>MANUEL FRANCISCO DE LA HOZ PEREZ</t>
  </si>
  <si>
    <t>2025/569</t>
  </si>
  <si>
    <t>Ni cumple con los requisitos de documentacion//trabajador reubicado</t>
  </si>
  <si>
    <t>MARCELO ALEJANDRO ROJAS CARRASCO</t>
  </si>
  <si>
    <t>Prevision mediados de Diciembre</t>
  </si>
  <si>
    <t>cambio de alojamiento///Correo enviado hoy 16/03/2026// (empezará el 23/03/2026)//La finalización será notificada con fecha 12/03/2026//KAWAM CORREO--&gt;Comunicación urgente – Incidencia con clientes y suspensión de actividad 18/02/2026</t>
  </si>
  <si>
    <t>nos informa que hoy martes 23/12/2025, es el último día los operarios:</t>
  </si>
  <si>
    <t>ARNOLD ANGARITA NIETO</t>
  </si>
  <si>
    <t>MAX METAL</t>
  </si>
  <si>
    <t>Calle Hurtado de Amezaga, 3 Abando, 48008, Bilbao, Vizcaya(ALOJAMIENTO POR CUENTA DEL CLIENTE)</t>
  </si>
  <si>
    <t>+34 656 272 549</t>
  </si>
  <si>
    <t>2025/664</t>
  </si>
  <si>
    <t>GRUPO MICESA</t>
  </si>
  <si>
    <t>nos indica que el lunes 19/01/2026 fue el último día de los operarios//Alojamiento por cuenta del cliente</t>
  </si>
  <si>
    <t>Sale para el hotel can parera el 18/06/2026//Trabajador incapacitado</t>
  </si>
  <si>
    <t>2025/R01</t>
  </si>
  <si>
    <t>Sera reubicado a valladolid a partir del 09/06/2026///La previsión mínima de trabajo es hasta el 06/03, pudiéndose prorrogar si es necesario.//FINALIZA EL 05/09/2025, pero finalmente alargará las obras, y por lo tanto el operario PERMANECERÁ MÁS TIEMPO con el cliente. Mínimo una semana más, y el propio cliente cuando sepa la fecha aproximada nos la hará llegar.</t>
  </si>
  <si>
    <t>Recision: Su último día de servicio será el 8 de junio.//Prevision hasta Fecha: 24/07/2026//Cambio de alojamiento//Correo Ibraim 15/10: movió a dos operarios de Lleida a Vitoria, encargándose de los gastos y la gestión el propio cliente. Este viernes 17/10/2025 los operarios vuelven al alojamiento de Lleida//del 01 al 05 de sep</t>
  </si>
  <si>
    <t>2026/R191</t>
  </si>
  <si>
    <t>último día 26/05/2026</t>
  </si>
  <si>
    <t>RAMON GUILLERMO SANABRIA ECHARRI</t>
  </si>
  <si>
    <t>2025/605</t>
  </si>
  <si>
    <t>EVERSON RIOS GUAITEROS</t>
  </si>
  <si>
    <t>2026/793</t>
  </si>
  <si>
    <t xml:space="preserve">MARCO ANTONIO CRISTOBAL CALERO </t>
  </si>
  <si>
    <t>Cambia alojamiento propio 01/07/2026</t>
  </si>
  <si>
    <t>Cambia alojamiento propio 03/07/2026</t>
  </si>
  <si>
    <t>JEISON ALEXANDER GONZALEZ FARFAN</t>
  </si>
  <si>
    <t>renuncia 30/03/26</t>
  </si>
  <si>
    <t>renuncia 30/03/26///trasladado a Toledo 16/02 hasta 21/02 Pensión Concepción, Pl. Constitución, 13, 45360 Villarrubia de Santiago, Toledo</t>
  </si>
  <si>
    <t>2026/718</t>
  </si>
  <si>
    <t>este viernes 20/02 sea el último día de trabajo del operario</t>
  </si>
  <si>
    <t>Hostal La Mancha Dirección C. Pedrera, 44, 02100 Tarazona de la Mancha, Albacete</t>
  </si>
  <si>
    <t>Contacto: 967480851</t>
  </si>
  <si>
    <t>2026/R200</t>
  </si>
  <si>
    <t>02/06/2026 montra prevision de hasta el dia 03/07 van renovando mes a mes /</t>
  </si>
  <si>
    <t>MARLON SERNA URBANO</t>
  </si>
  <si>
    <t>2025/170</t>
  </si>
  <si>
    <t>2026/710</t>
  </si>
  <si>
    <t>renuncia voluntaria del siguiente trabajador en Wiseowe para el cliente HGL:(finaliza el 07/05/2026)//finaliza el 27/02informacion por wps Alex///Van a realizar un trabajao temporal en toledo pero vuelven cuando terminen dejaran sus pertencias en el alojamiento</t>
  </si>
  <si>
    <t>(finalizó el 10/04/2026)El pago correspondiente a septiembre ya fue realizado. En octubre se efectuó un doble pago.//Reemplazo de Hector Giobanni</t>
  </si>
  <si>
    <t>Patricia  +‪‪34 667 71 15 00</t>
  </si>
  <si>
    <t>ha comunicado la finalización del servicio de los siguientes trabajadores del proyecto gestionado por Stocco.27/03/2026///todos los operarios permanecerán hasta mínimo finales de octubre.</t>
  </si>
  <si>
    <t>JULIO CESAR ELJACH BERROCAL</t>
  </si>
  <si>
    <t>2025/R06</t>
  </si>
  <si>
    <t>ha comunicado la finalización del servicio de los siguientes trabajadores del proyecto gestionado por Stocco.27/03/2026//todos los operarios permanecerán hasta mínimo finales de octubre.</t>
  </si>
  <si>
    <t>ha comunicado la finalización del servicio de los siguientes trabajadores del proyecto gestionado por Stocco.27/03/2026/</t>
  </si>
  <si>
    <t>Calle Divino Maestro Nº 1 Bj DCHA Marmolejo</t>
  </si>
  <si>
    <t>646118022 Doña Loli</t>
  </si>
  <si>
    <t xml:space="preserve"> (finaliza el 1/04/2026)//Cristian informa 09/03/2026 prevision  de 4 semanas de trabajo aprox</t>
  </si>
  <si>
    <t>13/08 Presiviòn 2 meses màs ///23/07/2026 informa christian: Solicitamos la continuidad de los trabajadores hasta el 31 de Agosto de 2026/Solicitamos la continuidad de los trabajadores hasta el 31 de julio de 2026/Solicitamos la continuidad de los trabajadores hasta el 30 de junio de 2026/Solicitamos la continuidad de los trabajadores hasta el 28 de febrero de 2026//Ibraim informa que van hasta febrero//Ibraim informa via team que Van hasta finales de enero del 2026/Pedido 536 se alargá hasta finales de noviembre</t>
  </si>
  <si>
    <t>JOHNNY JAVIER BORJA MANGA</t>
  </si>
  <si>
    <t xml:space="preserve">(finalizó el 10/04/2026):Reemplazo de Raphael // PASA ALOJAMIENTO PROPIO 01/11 // C/ Roncal 88.Valladolid pasa a alojamiento propio el 01/11Angela +34 666 01 56 84 </t>
  </si>
  <si>
    <t>Corredera San Bartolomé 1 3º de Andújar (Jaén)</t>
  </si>
  <si>
    <t xml:space="preserve">  +34 603 69 02 05</t>
  </si>
  <si>
    <t xml:space="preserve"> (finaliza el 1/04/2026)</t>
  </si>
  <si>
    <t>(finalizó el 10/04/2026)Reubicado a burgos a partir del 06/04</t>
  </si>
  <si>
    <t>RAMON EDUARDO JIMENEZ PEREZ</t>
  </si>
  <si>
    <t>(finalizó el 10/04/2026)C/ Roncal 88.Valladolid Angela +34 666 01 56 84  sale alojamiento propio 28/09</t>
  </si>
  <si>
    <t>Cambio alojamiento por cuenta propia 21/05/2026</t>
  </si>
  <si>
    <t>nos indica que los siguientes operarios finalizan este miércoles 05/11/2025</t>
  </si>
  <si>
    <t>SE CAMBIA DE PISO SERA REUBICADO DONDE DOÑA LOLI</t>
  </si>
  <si>
    <t>Calle Andalucia nº7,1º1ª Escalera nº3,Girona 2</t>
  </si>
  <si>
    <t>2025/R176</t>
  </si>
  <si>
    <t xml:space="preserve"> Informamos que se ha recibido la renuncia de los siguientes trabajadores: 31/03/2026///por lo que se quedará con el mínimo hasta finales de septiembre 2026.//FINALES DE FEBRERO</t>
  </si>
  <si>
    <t>el 24/02/2026</t>
  </si>
  <si>
    <t>Calle Busturbi Kalea, 7 7, Gamarra Nagusia, País Vasco </t>
  </si>
  <si>
    <t>La finalización será el 30/04/2026, siendo este su último día de actividad para los siguientes trabajadores:</t>
  </si>
  <si>
    <t>2026/RU106</t>
  </si>
  <si>
    <t>cambia alojamiento por cuenta propia24/06//Alojamiento por cuenta del cliente--&gt;RU-0106 a partir del 07/06/2026 hasta el 19/06/2026//después del 19/06 los 2 operarios deberán de volver a trabajar en la siguiente
ubicación: Anna Maria Mogas, 19, España,Barcelona, Les Franquese,8520, dónde ya despues del 19/06 en la siguiente ubicación: Anna Maria Mogas, 19, España,Barcelona,
Les Franquese,8520, nosotros seremos quien volvamos a encargarnos del alojamiento, dietas y transporte de los operarios</t>
  </si>
  <si>
    <t>finalizan hoy, 08/05//</t>
  </si>
  <si>
    <t>Cristian: El cliente remitió esta información el sábado 11/04, por lo que no ha sido posible notificarlo hasta hoy lunes 13/04.La finalización se produce el 13/04/2026, siendo este su último día de actividad para los siguientes trabajadore//Cristian informa 09/03/2026 prevision  de 4 semanas de trabajo aprox</t>
  </si>
  <si>
    <t>Hostel Alhambra Carrer del Bassegoda, 18, 17006 Girona.</t>
  </si>
  <si>
    <t>+34 649945131</t>
  </si>
  <si>
    <t>Cambio de alojamiento casilda</t>
  </si>
  <si>
    <t>La finalización será el 17/04/2026, siendo este su último día de actividad para los siguientes trabajadores//Cristian informa 09/03/2026 prevision  de 4 semanas de trabajo aprox</t>
  </si>
  <si>
    <t>La finalización será el 17/04/2026, siendo este su último día de actividad para los siguientes trabajadores</t>
  </si>
  <si>
    <t>2026/695</t>
  </si>
  <si>
    <t>La fecha indicada para la finalización será 17/03/2026, siendo este su último día de actividad. El cliente indica reiteradas faltas de asistencia injustificadas a su puesto de trabajo.//Alojamiento por cuenta del cliente</t>
  </si>
  <si>
    <t>Finalizo 30/06/2026: Comunicó una situación familiar delicada que le obligó a regresar a su país.//No quiere salir de Gotor, resistente al cambio//Carvisa, previsión de trabajos hasta el dia 28/08</t>
  </si>
  <si>
    <t>2026/703</t>
  </si>
  <si>
    <t>TALLERES METALICOS LEZIAGA. S.L.U</t>
  </si>
  <si>
    <t>Prevision hasta Fecha: 28/02/2026</t>
  </si>
  <si>
    <t>2026/732</t>
  </si>
  <si>
    <t xml:space="preserve"> DINAT 2006 SLU</t>
  </si>
  <si>
    <t>finalizo el dia 26/03</t>
  </si>
  <si>
    <t>ultimo día trabajado 22/06//04/06/2026: siguen hasta final de año, dicen que es trabajo ininterrumpido. Pero bueno, les llamamos cada dos meses por cualquier incidente que pueda ocurrir. Pero en principio, puedes alargarlo 2 meses más.//</t>
  </si>
  <si>
    <t>Calle Veracruz, 14, 2C Tomelloso (Ciudad Real).</t>
  </si>
  <si>
    <t>Adel+34 644 99 37 09</t>
  </si>
  <si>
    <t>el trabajador fue reubicado por el cliente y no recibimos notificaciòn por proyectos//Envio reporte de horas hasta el 08/05/2026, aparentemente no esta en la habitacion.</t>
  </si>
  <si>
    <t>el trabajador nunca se alojo aquí, tiene alojamiento por cuenta propia pero no ha notificado</t>
  </si>
  <si>
    <t>Bryan Alzamora 614 83 50 45</t>
  </si>
  <si>
    <t>trabajo todo el año 2026/</t>
  </si>
  <si>
    <t>JUAN GUILLERMO LORA DURANGO</t>
  </si>
  <si>
    <t>2026/R209</t>
  </si>
  <si>
    <t xml:space="preserve"> Kawan correo: La nueva fecha de finalización será el 17/04.//informa que el viernes 10/04 será el último día de trabaj</t>
  </si>
  <si>
    <t>Informa Kawan whatsapp 05/02/2026- Se informa que todos los trabajadores quedan prorrogados con fecha de fin actualizada al 05/04/2026.</t>
  </si>
  <si>
    <t>RANDYS MIGUEL NIEBLES HURTADO</t>
  </si>
  <si>
    <t>asignados a MEN Montajes finalizan su servicio hoy, 13/03://Cambio de alojamineto</t>
  </si>
  <si>
    <t>YANNY ALBERTO HERNANDEZ LOZANO</t>
  </si>
  <si>
    <t>2025/251/R099</t>
  </si>
  <si>
    <t>apto 79 (3 camas)</t>
  </si>
  <si>
    <t>Posada La Estela De Barros Bo. Barros, 54, 39408 Barros, Cantabria</t>
  </si>
  <si>
    <t>Tlf 611 972 468</t>
  </si>
  <si>
    <t>2026/676</t>
  </si>
  <si>
    <t xml:space="preserve">No estan en el alojamiento optaron por alojamiento por cuenta propia </t>
  </si>
  <si>
    <t>05/08/2026 informan: Añado aquí al trabajador Yúldor Mauricio, que también finalizó junto con Alan Gerson el día 31/07.//Fue contratado para el pedido 2026/816 inicia el 05/08//Se encuentra en Portugal, cuando retorne se alojara aquí</t>
  </si>
  <si>
    <t>JASIR ENRIQUE DIAZ MANJARREZ</t>
  </si>
  <si>
    <t>Vicme. 3 meses</t>
  </si>
  <si>
    <t>lo cambiaron al apto 69//apto 80 (3 camas)</t>
  </si>
  <si>
    <t xml:space="preserve"> (finalizó el 22/04/2026)//Prevision hasta el 15 de Diciembre 2025//</t>
  </si>
  <si>
    <t>apto 81 (4 camas)</t>
  </si>
  <si>
    <t>Prevision de finalizacion 28/08</t>
  </si>
  <si>
    <t>Calle pedro de la gasca Nº 12, vALLADOLID</t>
  </si>
  <si>
    <t>(finalizó el 10/04/2026)Cuando tengan que permanecer y pernoctar fuera de Valladolid (donde ustedes como empresa les tienen alojamiento), estos trabajadores les indicarán dónde se hospedarán los trabajadores de Grupo P. Ferreras, S.L. para que ustedes les cojan el alojamiento en las mismas inmediaciones, debido a que son trasladados por nuestros trabajadores haciendo uso de nuestros vehículos.</t>
  </si>
  <si>
    <t>Calle amor de Dios 21, 2 Dr, valladolid</t>
  </si>
  <si>
    <t>2026/RU83/2025/482</t>
  </si>
  <si>
    <t>(finalizó el 10/04/2026)Reubicados a partir del 08/03 pedido 2026/RU091</t>
  </si>
  <si>
    <t>Calle Pedro de la Gasca 12, piso 1B, Valladolid</t>
  </si>
  <si>
    <t>(finalizó el 10/04/2026)PENDIENTE COMPROBANTE ALOJAMIENTO PROPIO</t>
  </si>
  <si>
    <t>apto 66 (3 camas) Marcelo informo via whatsapp que continuaba laborando</t>
  </si>
  <si>
    <t>CARLOS EDUARDO CARDENAS ESPINOSA</t>
  </si>
  <si>
    <r>
      <rPr>
        <sz val="11"/>
        <color rgb="FFFF0000"/>
        <rFont val="Calibri"/>
        <family val="2"/>
      </rPr>
      <t>Informa Kawan whatsapp 05/04/2026- Se informa que todos los trabajadores quedan prorrogados con fecha de fin actualizada al 05/04/2026.//Alojamiento hasta 21/10</t>
    </r>
    <r>
      <rPr>
        <sz val="11"/>
        <color rgb="FF305496"/>
        <rFont val="Calibri"/>
        <family val="2"/>
      </rPr>
      <t xml:space="preserve"> Ingresan a piso fijo 17/05/// Salen del aloamiento Joaquina// Calle grupo Alferez Rojas 41BD Zaragoza Josè Daniel Roman +34 645 86 07 02// sale alojamiento propio 18/10/2024</t>
    </r>
  </si>
  <si>
    <t>Finalizo 01/07/2026: Aceptó una oferta laboral tras no obtener un incremento salarial solicitado. No comunicó previamente su salida y posteriormente solicitó una renuncia inmediata que finalmente no fue aplicable.</t>
  </si>
  <si>
    <t>ALEJANDRO RIOS RIOS</t>
  </si>
  <si>
    <t>2026/760</t>
  </si>
  <si>
    <t>apto 82 (3 camas)///apto 47 (3 camas)</t>
  </si>
  <si>
    <t>2026/723</t>
  </si>
  <si>
    <t>nos ha comunicado que, debido al periodo estival y a la disminución de la carga de trabajo, prescindirá del siguiente trabajador a partir del día 17/07:Bladimiro Díaz Martínez</t>
  </si>
  <si>
    <t>FREDY GONZALES MAMANI</t>
  </si>
  <si>
    <t>MARCOS FIDEL RAMOS ARROYO</t>
  </si>
  <si>
    <t>15/05/2026: El cliente informa que el trabajador no se ha presentado a trabajar sin previo aviso y solicita que no vuelva a ser enviado al servicio. Asimismo, se procederá a dar de baja su pase de acceso.</t>
  </si>
  <si>
    <t>2026/766</t>
  </si>
  <si>
    <t>Fecha Efectiva de Baja (Salida): 31/07/2026 Motivo: Inconformidad con las condiciones de prestación de servicios médicos, y asistencia sanitaria. Observaciones Extras: Los trabajadores se encuentran desde el día 31/07/2026 sin trabajar. Han creado problemas con el cliente por que "aparentemente" tuvieron un accidente laboral (polvo en un ojo) pero nunca se nos fue informado, y en el Hospital, al no entender su condición de desplazado, les dijeron que no tenían seguridad social. Esto ha creado una situación de discordia con el cliente.</t>
  </si>
  <si>
    <t>se informa que con fecha 13 de febrero de 2026 finaliza su actividad en el pedido PO-0606 Luminous alley</t>
  </si>
  <si>
    <t>JOSE ARBEY CORREA RUIZ</t>
  </si>
  <si>
    <t>Hostal cafetería virginia Av. de la Generalitat, 139, 43500 Tortosa, Tarragona</t>
  </si>
  <si>
    <t>+34 977444186</t>
  </si>
  <si>
    <t>2025/606</t>
  </si>
  <si>
    <t>R-0157// nos indica que hoy viernes 24/10/2025 el operario,el cliente nos indica que no cumple las expectativas del puesto. Ya se ha gestionado el reemplazo</t>
  </si>
  <si>
    <t>Cambia de alojamiento //mínimo mediados de Diciembre//Fecha Fin:22/12/2025</t>
  </si>
  <si>
    <t>2025/R153</t>
  </si>
  <si>
    <t>2025/606/R157</t>
  </si>
  <si>
    <t>Cambia de alojamiento /mínimo mediados de Diciembre/Fecha Fin:30/11/2025</t>
  </si>
  <si>
    <t>HECTOR FABIO MAHETE CEDEÑO</t>
  </si>
  <si>
    <t>Ha firmado su carta de salida y su último día de trabajo será el 15/06, ///Salen alojamiento por su cuenta a partir del 01/05/2024</t>
  </si>
  <si>
    <t>WALLACE DA SILVA GOMES</t>
  </si>
  <si>
    <t>La finalización será el 30/04/2026, siendo este su último día de actividad para los siguientes trabajadores://Calle Castillo 3B, 01194 Vitoria Gazteiz, Alava //Sale 17/03 Alojamiento propio</t>
  </si>
  <si>
    <t>asignados a MEN Montajes finalizan su servicio hoy, 13/03:</t>
  </si>
  <si>
    <t>rescinsion 23-07-25</t>
  </si>
  <si>
    <t>GERARDO LARA GONZALEZ</t>
  </si>
  <si>
    <t>2025/R155</t>
  </si>
  <si>
    <t>se entrega esta habitacion.//Aracely informa que no esta trabajando lo ve diariamente en la habitacion27/03/2026//Prevision Fecha: Fijo</t>
  </si>
  <si>
    <t>2025/644</t>
  </si>
  <si>
    <t>CARLOS EDUARDO DE RESENDE SILVA</t>
  </si>
  <si>
    <t>2026/769</t>
  </si>
  <si>
    <t>apto 72 (3camas)</t>
  </si>
  <si>
    <t>apto 80 (3camas)</t>
  </si>
  <si>
    <t>ALOJAMIENTO POR CUENTA PROPIA</t>
  </si>
  <si>
    <r>
      <t>La finalización se produjo el </t>
    </r>
    <r>
      <rPr>
        <b/>
        <sz val="12"/>
        <color rgb="FF000000"/>
        <rFont val="Aptos"/>
        <family val="2"/>
      </rPr>
      <t>27/07/2026</t>
    </r>
    <r>
      <rPr>
        <sz val="12"/>
        <color rgb="FF000000"/>
        <rFont val="Aptos"/>
        <family val="2"/>
      </rPr>
      <t>.</t>
    </r>
  </si>
  <si>
    <t xml:space="preserve"> (Último día: 31/07/2026) – Renuncia voluntaria por motivos personales.///CRISTIAN 30/04/2026: Sobre la llamada que tuvimos. Dejo por escrito que STF los 4 chicos tienen una previsión del año completo. Pero llamaremos en 2 meses para confirmar si todo sigue bien</t>
  </si>
  <si>
    <t>Continua laborando hasta el 28/03////ha comunicado la finalización del servicio de los siguientes trabajadores del proyecto 14/03/2026//Los trabajos se encuentran actualmente confirmados hasta el día 28/02/2025, existiendo la posibilidad de ampliación por alguna semana adicional en caso de ser necesario, o bien de finalización anticipada unos días antes de dicha fecha.La situación definitiva será confirmada con aproximadamente una semana de antelación al 28/02/2025.//Entro en remplazo a la habitacion de elis</t>
  </si>
  <si>
    <t>La finalización se produjo el 08/05/2026.//Cristian informa 4/05/2026: mensaje del cliente los mantendremos donde estan todo el mes de mayo.</t>
  </si>
  <si>
    <t>JORGE ANDRES VEGA DELGADO</t>
  </si>
  <si>
    <t>2025/390</t>
  </si>
  <si>
    <t xml:space="preserve"> Javier +34 616 09 72 05</t>
  </si>
  <si>
    <t>2026/R203</t>
  </si>
  <si>
    <t>La finalización se produjo el 17/06/2026. Motivo: renuncia voluntaria por calamidad doméstica./Salio hoy 17/06/2026 aviso javier de aviles//25/05/2026: iquord. 2 meses</t>
  </si>
  <si>
    <t>Hospedería Laredo C. Julio Verne, 45, 14100 La Carlota, Córdoba</t>
  </si>
  <si>
    <t>+34 605 29 90 36</t>
  </si>
  <si>
    <t>Os informo de que GRUPO LECRU, cliente de Luminous, finalizará su servicio el próximo viernes 19/06.//12/06/2026: grupo Lecru una semana mas,//su finalización está prevista para la próxima semana, entre los días 10 y 11 de junio.//27/05/2026: Grupo Lecru: Previsión de finalizacion 06/06//</t>
  </si>
  <si>
    <t>THIAGO ARQUIMEDES RODRIGUES DE OLIVEIRA</t>
  </si>
  <si>
    <t>JUAN CARLOS CHAPARRO QUINTERO</t>
  </si>
  <si>
    <t xml:space="preserve"> baja del trabajador JUAN CARLOS CHAPARRO, con efectos a partir del día 6 de abril de 2026.//Prevision Fecha: Fijo//cambio de alojamiento Jacinto Benavente 20 4°1° Mollet del Vallés sale 27/04/// hostalCan Parera Hotel Restaurant Can Parera Carrer Sant Joan Bosco, 6, 8, 08150 Parets del Vallès, Sale 20/11  a propio</t>
  </si>
  <si>
    <t>apto 80 (3camas)/ se encuentra de permiso desde el sabado 27/06/26/presentó su renuncia con fecha efectiva 29/06/2026; no obstante, su salida se produjo finalmente el 26/06/2026.</t>
  </si>
  <si>
    <t>2026/752</t>
  </si>
  <si>
    <t>cristian por correo el 08/04/2026: La finalización será el 10/04/2026 (incluido), siendo este su último día de actividad.</t>
  </si>
  <si>
    <t>El día de ayer 20/04, el trabajador no se presentó a su puesto de trabajo en Bachiller tal como estaba previsto después de su baja. Adicionalmente, el cliente ha comunicado que no desea continuar con sus servicios./Prevision Fecha: Fijo</t>
  </si>
  <si>
    <t>02/06/2026 montra prevision de hasta el dia 03/07 van renovando mes a mes //Kawan informa 28/04: Si continuan, minimo 20 dias mas.//Los 4 trabajadores continuarán en Amazon hasta el 30 de abril de 2026 (incluido).
El 1 de mayo es festivo.El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inicialmente.Tras el festivo de Pascua, retomarán sus funciones y la finalización definitiva de su actividad será el día 10/04.</t>
  </si>
  <si>
    <t>JOSE JULIAN LEMOS ZUNIGA</t>
  </si>
  <si>
    <t>CAMBIA A ALOJAMIENTO POR CUENTA PROPIA</t>
  </si>
  <si>
    <t>Los trabajadores se encontraban sin actividad debido a una deuda pendiente del cliente. Ante la falta de resolución, se ha decidido no proceder con su reincorporación, siendo esta decisión trasladada al cliente con fecha 17/03/2026.//La previsión estimada de los trabajos es de aproximadamente 6 meses, si bien se realizará seguimiento y contacto cada 2 meses para mantener actualizadas las fechas y previsiones.//Les informamos que los trabajadores asignados al cliente INOXIDABLES DE MEDINA S.L., dentro de la operativa de la empresa Stocco, tienen prevista la reanudación de operaciones el próximo lunes, siempre y cuando dispongan para dicha fecha del reconocimiento médico en España.
//PASA A LA HABITACIÒN DE YOISER</t>
  </si>
  <si>
    <t>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</si>
  <si>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t>//mínimo mediados de Diciembre//Fecha Fin:22/12/2025</t>
  </si>
  <si>
    <t>24/07/2026 informa Yajaira que finalizo JOSEPH ESTIVENS NIETO FERNANDEZ: hasta el 30 de Abril//Prevision Fecha: Fijo</t>
  </si>
  <si>
    <t>Os informo de que GRUPO LECRU, cliente de Luminous, finalizará su servicio el próximo viernes 19/06.///12/06/2026: grupo Lecru una semana mas,//su finalización está prevista para la próxima semana, entre los días 10 y 11 de junio.//27/05/2026: Grupo Lecru: Previsión de finalizacion 06/06//</t>
  </si>
  <si>
    <t>Cambia alojamiento por cuenta propia 24/06//Alojamiento por cuenta del cliente--&gt;RU-0106 a partir del 07/06/2026 hasta el 19/06/2026//después del 19/06 los 2 operarios deberán de volver a trabajar en la siguiente
ubicación: Anna Maria Mogas, 19, España,Barcelona, Les Franquese,8520, dónde ya despues del 19/06 en la siguiente ubicación: Anna Maria Mogas, 19, España,Barcelona,
Les Franquese,8520, nosotros seremos quien volvamos a encargarnos del alojamiento, dietas y transporte de los operarios.</t>
  </si>
  <si>
    <t>FRANKLIN JOSE DIAZ LINCE</t>
  </si>
  <si>
    <t>2026/807</t>
  </si>
  <si>
    <t>2026/R218</t>
  </si>
  <si>
    <t>Reemplazo de RICHAR ESTUPIÑAN MARTINEZ</t>
  </si>
  <si>
    <t>GUSTAVO DAMIAN DONOSO</t>
  </si>
  <si>
    <t>finalizara en la empresa el próximo día 29/05/2026//Prevision Fecha: Fijo</t>
  </si>
  <si>
    <t>2025/R111</t>
  </si>
  <si>
    <t>Finalización de los trabajos — 21/08/2026</t>
  </si>
  <si>
    <t>Cambia alojamiento por cuenta propia 01/07/2026// Alojamiento por cuenta del cliente</t>
  </si>
  <si>
    <t>NIXON JENE FERNANDEZ CASTILLO</t>
  </si>
  <si>
    <t>C. Museo del Prado, 15, 14120 Fuente Palmera, Córdoba //</t>
  </si>
  <si>
    <t>2026/735</t>
  </si>
  <si>
    <t>La finalización se produce el 26/06/2026//Norcal hasta 10 agosto //Nueva actualización, Raymond José Garrido Ferrer se queda un mes mas.//por llamada hoy 30/04/2026: informa el cliente que continua con el trabajador un mes mas//Su último día de trabajo será el jueves 30/04//Norcal hasta 10 agosto  informo kawan cosas importantes teams el 26/03/2026</t>
  </si>
  <si>
    <t>OMAR ANTONIO CAÑON CAÑON</t>
  </si>
  <si>
    <t>2026/696</t>
  </si>
  <si>
    <t>Os informo de que Nilson Mosquera Gómez finalizará su relación laboral con Luminous este sábado, 04/07, ya que se incorporará a la plantilla de Bachiller el próximo lunes, 06/07.///Prevision Fecha: Fijo</t>
  </si>
  <si>
    <t> CASA PURI 81 Calle la Llana, 24839 Robles de la Valcueva, España</t>
  </si>
  <si>
    <t>casa puri+34 681 95 21 93 / +34 680 38 45 47</t>
  </si>
  <si>
    <t>04/05/2026: ha informado que Renunciará con fecha del 23 de mayo.//Christian 17/3 8:02 =3 meses más/// leon para 3 meses más (10-02-26). se le llamará en 2 meses para confirmar./Fecha Fin:27/02/2026</t>
  </si>
  <si>
    <t>2026/779</t>
  </si>
  <si>
    <t>GIJON</t>
  </si>
  <si>
    <t>Calle Palencia, 3 2 do. izq., Gijón, Principado de Asturias 33205, España</t>
  </si>
  <si>
    <t>Ana +34 617 89 11 17</t>
  </si>
  <si>
    <t>2024/366</t>
  </si>
  <si>
    <t>(finaliza el 31/03/2026)/Prevision 31/03/2026</t>
  </si>
  <si>
    <t>La finalización se produjo el 13/06/2026.//Sinfines, es indefinido</t>
  </si>
  <si>
    <t>JOSE ALEXANDER CALDERON AGUDELO</t>
  </si>
  <si>
    <t>2026/711</t>
  </si>
  <si>
    <t>La finalización se producirá el 31/05/2026.//(continúa hasta el 31/05/2026)//(continúa hasta el 30/04/2026)//Prevision 31/03/2026</t>
  </si>
  <si>
    <t>via di Roma 72 Ravenna.</t>
  </si>
  <si>
    <t>0039 3393845545</t>
  </si>
  <si>
    <t xml:space="preserve">Pasa al piso de edilbero </t>
  </si>
  <si>
    <t>2026/R195</t>
  </si>
  <si>
    <t>Fecha fin: 17 abril 2026//prevision Kawan via teams 09/04/2026 -HASTA FINALES DE ABRIL 30/04</t>
  </si>
  <si>
    <t>NADIR GREGORIO VELASQUEZ SOÑETT</t>
  </si>
  <si>
    <t>2026/800</t>
  </si>
  <si>
    <t>Cambia alojamiento por cuenta propia informa RH 10/07</t>
  </si>
  <si>
    <t>YEISON HUGO ANGEL CALDERON</t>
  </si>
  <si>
    <t>2026/724</t>
  </si>
  <si>
    <t>METALVENT</t>
  </si>
  <si>
    <t>viajo a colombia</t>
  </si>
  <si>
    <t>2026/684</t>
  </si>
  <si>
    <t>Cambia alojamiento por cuenta propia 17/07/2026//Prevision Fecha: Fijo</t>
  </si>
  <si>
    <t>(finaliza el 24/04/2026)</t>
  </si>
  <si>
    <t>ALEJANDRO LADINO VELASCO</t>
  </si>
  <si>
    <t>2026/R222</t>
  </si>
  <si>
    <t>GERARDO JORGE MORAN PEREZ</t>
  </si>
  <si>
    <t>2026/785</t>
  </si>
  <si>
    <t>EUROCONTAINER</t>
  </si>
  <si>
    <t>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</si>
  <si>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t>KLINSMANN ANDRE COLINA MARIN</t>
  </si>
  <si>
    <t>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</si>
  <si>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t>Seran reubicados: RU-0106 a partir del 07/06/2026 hasta el 19/06/2026</t>
  </si>
  <si>
    <t>2025/R174</t>
  </si>
  <si>
    <t>La finalización se producirá el 30/05/2026.
Motivo: renuncia voluntaria por viaje a su país por motivos personales.//Inicia labores el 15/01/2026 con el pedido 2026/680</t>
  </si>
  <si>
    <t>MAURO ADOLFO PLAZAS GUTIERREZ</t>
  </si>
  <si>
    <t>2026/805</t>
  </si>
  <si>
    <t>Este trabajador desisitio nunca llego al alojamiento</t>
  </si>
  <si>
    <t>Finaliza 14/10 Casa Ecuestre Carmen Martínez Carretera A- 440 km 7, 14120 Fuente Palmera, España +34 626 22 97 27</t>
  </si>
  <si>
    <t>C. Fuente, 16, 4ºc, 13500 Puertollano, Ciudad Real</t>
  </si>
  <si>
    <t>Carmen +34 653 77 87 92</t>
  </si>
  <si>
    <t>La finalización se producirá el 13/06/2026. Motivo: renuncia voluntaria con efecto inmediato.//04/06/2026: siguen hasta final de año, dicen que es trabajo ininterrumpido. Pero bueno, les llamamos cada dos meses por cualquier incidente que pueda ocurrir. Pero en principio, puedes alargarlo 2 meses más.//</t>
  </si>
  <si>
    <t>Ravenna in VIA DI ROMA, 72</t>
  </si>
  <si>
    <t>AYRTON MAXIMO CUMPA SENADOR</t>
  </si>
  <si>
    <t xml:space="preserve"> Kawan correo:  La nueva fecha de finalización será el 17/04.///informa que el viernes 10/04 será el último día de trabaj</t>
  </si>
  <si>
    <t>OMAR STEVEEN SANCHEZ ROJAS</t>
  </si>
  <si>
    <t>salio  15/09 Cambio alojamiento por cuenta propia le cubre a partir del 01/10/2025</t>
  </si>
  <si>
    <t>2025/668</t>
  </si>
  <si>
    <t>Se encuentra en Portugal, cuando retorne se alojara aquí// finalizará su servicio con el cliente el próximo 15/07.
Motivo: reducción de la carga de trabajo en el taller.</t>
  </si>
  <si>
    <t>JESUS SALVADOR FERNANDEZ JARAMILLO</t>
  </si>
  <si>
    <t>Alojado temporalmente fue asignado al pedido 802, para ingresar al alojamiento el 19/07/2026/// HICIERON PEDIDO DE REEMPLAZO Adjunto el reemplazo R-0217, FECHA FIN 10/07/26</t>
  </si>
  <si>
    <t>2026/R217</t>
  </si>
  <si>
    <t>Cambio de alojamiento 18/07/2026</t>
  </si>
  <si>
    <t>finalizará hoy, 08/05/2026</t>
  </si>
  <si>
    <t>kawan:Os informamos de que los trabajadores de la empresa interna Luminous finalizan hoy, 10/04, su actividad con el cliente Calvo Construcciones.</t>
  </si>
  <si>
    <t>ha finalizado su actividad con fecha 24/04 debido a motivos personales y necesidad de viaje.</t>
  </si>
  <si>
    <t>JAVIER HUMBERTO PARRA</t>
  </si>
  <si>
    <t>apto 76 (4 camas)  CAMBIO DE ALOJAMIENTO</t>
  </si>
  <si>
    <t>Ravenna in VIA DI ROMA, 34</t>
  </si>
  <si>
    <t>La salida de este trabajador debe ser hoy 28/07.//Se genera pedido de Reemplazo 2026/R223: El trabajador no tiene carnete de conducir segun el cliente eso era algo imprescindible ademas me comenta que el trabajador va un poco lento.</t>
  </si>
  <si>
    <t>La finalización se produjo el 15/05/2026.//CRISTIAN 30/04/2026: Sobre la llamada que tuvimos. Dejo por escrito que STF los 4 chicos tienen una previsión del año completo. Pero llamaremos en 2 meses para confirmar si todo sigue bien</t>
  </si>
  <si>
    <t>La finalización se produjo el 05/06/2026. Motivo: renuncia voluntaria por viaje personal. Asimismo, se informa que el trabajador abandonó el servicio antes de la fecha inicialmente prevista de salida, sin comunicación directa previa a nuestra organización, según la información recibida.//04/06/2026: siguen hasta final de año, dicen que es trabajo ininterrumpido. Pero bueno, les llamamos cada dos meses por cualquier incidente que pueda ocurrir. Pero en principio, puedes alargarlo 2 meses más.//Pasa el 07/03/2026 a C/ Cooperación 1-2º-1ª de Puertollano (Ciudad Real)//</t>
  </si>
  <si>
    <t>MANUEL ENRIQUE MARENCO PEREZ</t>
  </si>
  <si>
    <t>2026/804</t>
  </si>
  <si>
    <t>andres 28/07/2026 12:26: Manuel enrique y compañía dicen que ya salieron y lo dejaron tal cual como estaba// Estará alojado temporalmente en calle RIU LLOBREGAT Nº 1 3º C de Lleida//Informan 07/07/2026: Hay que reemplazar son Ayudantes, no oficiales de primera</t>
  </si>
  <si>
    <t>2026/753</t>
  </si>
  <si>
    <t>La finalización se produjo en las siguientes fechas: 09/04/2026</t>
  </si>
  <si>
    <t>La finalización se produjo en las siguientes fechas: 04/04/2026</t>
  </si>
  <si>
    <t>Calle Andalucia nº7,1º1ª Escalera nº2,Girona</t>
  </si>
  <si>
    <t>Cambia de alojamiento a Lleida por cuenta del cliente hasta el 31/05/2026</t>
  </si>
  <si>
    <t>Renuncio el 20/06/2026//04/06/2026: siguen hasta final de año, dicen que es trabajo ininterrumpido. Pero bueno, les llamamos cada dos meses por cualquier incidente que pueda ocurrir. Pero en principio, puedes alargarlo 2 meses más.//finaliza el 27/02informacion por wps Alex///Van a realizar un trabajao temporal en toledo pero vuelven cuando terminen dejaran sus pertencias en el alojamiento</t>
  </si>
  <si>
    <t>JHON ANDERSON ALVAREZ CASTILLO</t>
  </si>
  <si>
    <t>andres 28/07/2026 12:26: Manuel enrique y compañía dicen que ya salieron y lo dejaron tal cual como estaba//Estará alojado temporalmente en calle RIU LLOBREGAT Nº 1 3º C de LleidaInforman //07/07/2026: Hay que reemplazar son Ayudantes, no oficiales de primera</t>
  </si>
  <si>
    <t>Informa Kawan whatsapp 05/04/2026- Se informa que todos los trabajadores quedan prorrogados con fecha de fin actualizada al 05/04/2026.//desplazado a otra obra El desplazamiento y la organización corren a cargo del cliente. Destino de la obra: Hinojosa Paper Alquería Polígono Industrial Bambú, Carrer de Sant Lorenç, 2 Alquería de Aznar – 03829 (Alicante)</t>
  </si>
  <si>
    <t>01/07/26 Los trabajadores fueron trasladados por el cliente a Portugal hace 2 semanas//lasafe hasta 07/08/2026//lasafe hasta finales de junio 30/06//Prevision hasta Fecha: 29/05/2026</t>
  </si>
  <si>
    <t>01/07/26 Los trabajadores fueron trasladados por el cliente a Portugal hace 2 semanas//lasafe hasta 07/08/2026//lasafe hasta finales de junio 30/06//Prevision hasta Fecha: 29/05/2026/Yuldor Mauricio Bolaños el empezara el 01/09 en tarragona, el alojamiento y desplazamiento por parte del cliente siendo que a partir de la segunda semana de setiembre deberá de ir a valencia</t>
  </si>
  <si>
    <t>01/07/26 Los trabajadores fueron trasladados por el cliente a Portugal hace 2 semanas//Trabajara hasta el 15/07/2026///lasafe hasta finales de junio 30/06//Prevision hasta Fecha: 29/05/2026//</t>
  </si>
  <si>
    <t>EXNEIDER MENESES VALDES</t>
  </si>
  <si>
    <t>2024/122</t>
  </si>
  <si>
    <t>24-05-24</t>
  </si>
  <si>
    <t>Trabaja hasta el 24/05/2024</t>
  </si>
  <si>
    <t>27-03-24</t>
  </si>
  <si>
    <t>Finaliza trabajo 27/03/2024</t>
  </si>
  <si>
    <t>finalizan hoy 19/05 su servicio sin excepción.</t>
  </si>
  <si>
    <t>THIAGO GOMES DE SOUZA</t>
  </si>
  <si>
    <t>EVALDO DA LUZ BATISTA JUNIOR</t>
  </si>
  <si>
    <t>Trabajo finalizado tema contractual</t>
  </si>
  <si>
    <t>ABDELHAQ GUEHOUANE</t>
  </si>
  <si>
    <t>THIAGO GOMES DA SILVA</t>
  </si>
  <si>
    <t>TINEO</t>
  </si>
  <si>
    <t>carretera de San Roque número 1, 4B. Tineo</t>
  </si>
  <si>
    <t>Belén +34 640 58 36 01</t>
  </si>
  <si>
    <t>JP INDUSTRIAS MECANICAS SL</t>
  </si>
  <si>
    <t>Trabajaròn hasta 27/03</t>
  </si>
  <si>
    <t>2024/096</t>
  </si>
  <si>
    <t>Avenida del Acebo,12, 5º Izquierda, 33800  ///Av. del Barrio Nuevo, 11, 33800 Cangas del Narcea, Asturias</t>
  </si>
  <si>
    <t>Monica +34 679 00 93 36///Javier +34 696 69 63 29</t>
  </si>
  <si>
    <t>2024/084</t>
  </si>
  <si>
    <t>LLEGA EL 17/07/24</t>
  </si>
  <si>
    <t>2025/216</t>
  </si>
  <si>
    <t>2024/372</t>
  </si>
  <si>
    <t>Pasan Alojamiento fijo 3/09/1. Residencia Universitaria Pere Claret Rda. de San Antonio María Claret, 28, 17002 Girona//2, Hostal Sant Bernat Ubicación: Ctra. les Feixes, 29-31, 17800 Olot, Girona</t>
  </si>
  <si>
    <t>2025/273</t>
  </si>
  <si>
    <t>CARLOS HENRIQUE DA SILVA</t>
  </si>
  <si>
    <t>Belén Piso Tineo +34 640 58 36 01</t>
  </si>
  <si>
    <t>ALEX DOS REIS OLIVEIRA</t>
  </si>
  <si>
    <t xml:space="preserve">Avenida del Acebo,12, 5º Izquierda, 33800  </t>
  </si>
  <si>
    <t>Monica +34 679 00 93 36</t>
  </si>
  <si>
    <t>Sale Alojamiento propio el 01/04// Ingresa Alojamiento de la empresa 02/05</t>
  </si>
  <si>
    <t>ADRIAN FELIPE</t>
  </si>
  <si>
    <t>DIEGO JOEL NOGUEIRA</t>
  </si>
  <si>
    <t>Salida 26/01 Alojamiento particular// Trabajo Finaliza 29/03</t>
  </si>
  <si>
    <t>FABIAN ANDRES RIOS VARGAS</t>
  </si>
  <si>
    <t>2026/R223</t>
  </si>
  <si>
    <t xml:space="preserve">Fecha Efectiva de Baja (Salida): 12/08/2026.Motivo: Problemas con su jefe de obra. No se siente a gusto y se queja del trato que recibe.
Motivo: Problemas con su jefe de obra. No se siente a gusto y se queja del trato que recibe </t>
  </si>
  <si>
    <t>CAMBIO DE ALOJAMIENTO 15/08/26</t>
  </si>
  <si>
    <t>Ingenieros pino y Amorena 6 P06D</t>
  </si>
  <si>
    <t>MOISES MUNOZ ZAMBRANO</t>
  </si>
  <si>
    <t>2026/683</t>
  </si>
  <si>
    <t>El reemplazo ingreso alojamiento por cuenta propia//nos comenta que hoy 23/01/2026 es el último día de los siguientes operarios, ya que no cumplen las expectativas:
Ya se está organizando un reemplazo.</t>
  </si>
  <si>
    <t>Trasladado de Tubal, alojamiento propio apartir del 24/07/2024</t>
  </si>
  <si>
    <t>Fecha Efectiva de Baja (Salida): 23/08/2026 Motivo: Pasara a trabajar directamente con Bachiller//Prevision Fecha: Fijo</t>
  </si>
  <si>
    <t xml:space="preserve">Cambiaron de trabajador </t>
  </si>
  <si>
    <t>VICTOR ADRIAN SAAVEDRA</t>
  </si>
  <si>
    <t>GILMAR GOMES DE TOLEDO JUNIOR</t>
  </si>
  <si>
    <t>SEVERIANO VIEIRA NETO</t>
  </si>
  <si>
    <t>1. Jacinto Benavente 20 4°1° Mollet del Vallés Juan Carlos +34 638 58 33 79 // 2. Cambia alojamiento Orlando 16/08/2024</t>
  </si>
  <si>
    <t>SERAFIM TEIXEIRA GOMES</t>
  </si>
  <si>
    <t>BRUNO BATISTA DO NASCIMENTO</t>
  </si>
  <si>
    <t>calle SOMOSIERRA 3 planta TERCERA Ciudad de LOGROÑO-LA RIOJA</t>
  </si>
  <si>
    <t>Carmen +34 651 12 49 13</t>
  </si>
  <si>
    <t>1. Hotel Aviación Calle Juan de la Cierva, 17, 46940 Manises, Valencia 961538603 // 2. AL FIJO 20/08/2024</t>
  </si>
  <si>
    <t>Tania envio correo y dice: queda pendiente que envie algun comprobante</t>
  </si>
  <si>
    <t>1. Se movera para lugar supletorio, hasta viaje 070</t>
  </si>
  <si>
    <t>FRANCISCO ERANDI OLIVEIRA DE FARIAS</t>
  </si>
  <si>
    <t>FELIX DUVAN GUTIERREZ HERNANDEZ</t>
  </si>
  <si>
    <t xml:space="preserve">nos comenta que hoy 23/01/2026 es el último día de los siguientes operarios, ya que no cumplen las expectativas:Ya se está organizando un reemplazo.
</t>
  </si>
  <si>
    <t>TIMOTEO SIQUEIRA DE VASCONCELLOS</t>
  </si>
  <si>
    <t>Se traslada al piso de Maria</t>
  </si>
  <si>
    <t>FRANCIMAR DA SILVA PEREIRA</t>
  </si>
  <si>
    <t>2026/R185</t>
  </si>
  <si>
    <t>Envio reporte de horas hasta el 13/05/2026</t>
  </si>
  <si>
    <t>ANDRE LUIZ FERREIRA</t>
  </si>
  <si>
    <t>PENDIENTE COMPROBANTE ALOJAMIENTO PROPIO</t>
  </si>
  <si>
    <t>SE CAMBIO ALOJAMIENTO PROPIO, EL FIJO ESTA PAGO HASTA EL 01/11/2025</t>
  </si>
  <si>
    <t>Trasladado Talleres Mercier Francia</t>
  </si>
  <si>
    <t>C. los Carmenes, 1, 06300 Zafra, Badajoz</t>
  </si>
  <si>
    <t>Paco +34 676 58 52 78</t>
  </si>
  <si>
    <t>2024/121</t>
  </si>
  <si>
    <t>Pasan Alojamiento fijo 10/05///Hostal Casa Aria. C. Ancha, 17, 06370 Burguillos del Cerro, Badajoz</t>
  </si>
  <si>
    <t>1. Residencia Universitaria Pere Claret Rda. de San Antonio María Claret, 28, 17002 Girona//</t>
  </si>
  <si>
    <t>JOSE HERNAN RODRIGUEZ</t>
  </si>
  <si>
    <t>Fecha Efectiva de Baja (Salida): 23/08/2026Motivo: Pasará a trabajar directamente con BachillerPrevision Fecha: Fijo</t>
  </si>
  <si>
    <t>CLESSIO DOS SANTOS CORREIA</t>
  </si>
  <si>
    <t>trabajo hasta el 27/02</t>
  </si>
  <si>
    <t>2024/026</t>
  </si>
  <si>
    <t>No paso periodo de prueba</t>
  </si>
  <si>
    <t>ANDRES FELIPE GRAJALES MOSQUERA</t>
  </si>
  <si>
    <t>C. Independencia, 30, 01005 ARABA - VITORIA GAZTEIZ</t>
  </si>
  <si>
    <t>Ramon Pensión-Hab Araba Vitoria +34 670 28 26 36</t>
  </si>
  <si>
    <t>EL TRABAJADOR PREGUNTO POR REUBICACIÒN VIERNES 04-07-25</t>
  </si>
  <si>
    <t>Informa Kawan whatsapp 05/04/2026- Se informa que todos los trabajadores quedan prorrogados con fecha de fin actualizada al 05/04/2026.</t>
  </si>
  <si>
    <t>2026/R190</t>
  </si>
  <si>
    <t xml:space="preserve">inicidente ocurrido 20/04 sale del proyecto//Alojamiento por cuenta del cliente/ </t>
  </si>
  <si>
    <t>2025/459/R101/RU048</t>
  </si>
  <si>
    <t>a partir del 01/12/2025, el operario EDWIN RAUL LIMA NARCISO, será trasladado a un alojamiento en la misma ciudad que la obra, En este caso, REMOMEC, actuando como cliente, se encargarán del alojamiento, las dietas y el transporte del alojamiento a la obra y viceversa. Es decir, el cliente asume, gestiona y paga alojamiento, dietas y transporte.</t>
  </si>
  <si>
    <t>2025/450</t>
  </si>
  <si>
    <t>Su último día en la empresa será el 15/06/2026.</t>
  </si>
  <si>
    <t>ANDRES FERNANDO AMAYA PALTA</t>
  </si>
  <si>
    <t>La finalización se produce el 26/06/2026</t>
  </si>
  <si>
    <t>(finaliza el 20/04/2026) Motivo: bajo rendimiento.Norcal hasta 10 agosto  informo kawan cosas importantes teams el 26/03/2026</t>
  </si>
  <si>
    <t>2025/R122</t>
  </si>
  <si>
    <t>ALOJAMIENTO PAGO HASTA EL 06-08</t>
  </si>
  <si>
    <t>Os informo de que el trabajador Dumar Efren Ramirez Mendoza, asignado al cliente Comesa, abandonó su puesto de trabajo el día 07/04.</t>
  </si>
  <si>
    <t>Me informa el propietario que este trabajador salio del alojamiento 20/07 tiene alojamiento pago hasta 09/08/26////CRISTIAN 30/04/2026: Sobre la llamada que tuvimos. Dejo por escrito que STF los 4 chicos tienen una previsión del año completo. Pero llamaremos en 2 meses para confirmar si todo sigue bien</t>
  </si>
  <si>
    <t>2026/778</t>
  </si>
  <si>
    <t>Informan 20/07/2026: (Finalización: 20/07/2026)reemplazo R-0219</t>
  </si>
  <si>
    <t xml:space="preserve"> Hostal - Restaurante La Buena Villa by Vivere Stays, calle Los Corrales 15 Barrio, 09001 Villalonquéjar, España</t>
  </si>
  <si>
    <t>La finalización se produce el 17/04/2026, siendo este su último día de actividad para los siguientes trabajadores:</t>
  </si>
  <si>
    <t>apto 79 (3 camas)/// Me informa Edilberto que Ivan se fue el viernes 17/04</t>
  </si>
  <si>
    <t>Cambia alojamiento por cuenta propia a partir del 01/08/2026//Alojamiento por cuenta del cliente</t>
  </si>
  <si>
    <t>Yajaira informa Ronald Taype ya no esta activo, salió de Durofelgueras:  en Febrero me dijo Lucia//Informa via teams cristian 10/03 prevision: la parte de Stocco de DUROFELGUEIRAS, un mes más, con posible ampliación a 2 meses máximo... pero dicen que probablemente iran sacando chicos poco a poco, y será por rendimiento, por lo cual no me pueden dar muchas garantias./</t>
  </si>
  <si>
    <t>Informa via teams cristian 10/03 prevision: la parte de Stocco de DUROFELGUEIRAS, un mes más, con posible ampliación a 2 meses máximo... pero dicen que probablemente iran sacando chicos poco a poco, y será por rendimiento, por lo cual no me pueden dar muchas garantias./</t>
  </si>
  <si>
    <t>SERGIO DAVID CORDOBA TUTA</t>
  </si>
  <si>
    <t>R2025/034/191</t>
  </si>
  <si>
    <t>PAULO HENRIQUE MENDES CARDOSO</t>
  </si>
  <si>
    <t>2026/R211</t>
  </si>
  <si>
    <t>JULIO CESAR AICHO GUITIERREZ</t>
  </si>
  <si>
    <t>C. Mirador Prta del Rey, 8, 10691 Galisteo, Cáceres</t>
  </si>
  <si>
    <t>Neftali Garcia +34 659 88 58 62/+34 616 13 94 60 ~Piedad García</t>
  </si>
  <si>
    <t>2026/797</t>
  </si>
  <si>
    <t xml:space="preserve">Os informo de que el trabajador Julio César Aicho Gutiérrez - Luminous ha abandonado su puesto de trabajo por motivos personales (Fallecimiento de su padre). Su último día de trabajo fue el 20/07.
</t>
  </si>
  <si>
    <t>Comunicación urgente – Incidencia con clientes y suspensión de actividad 18/02/2026//Incorporación 28/01; descanso el 04/02</t>
  </si>
  <si>
    <t>Pensión La Burgalesa Blas de Otero Kalea, 4, 1-C, 48903 Barakaldo, Biscay</t>
  </si>
  <si>
    <t>Maite Pensión La Burgalesa +34 653 45 00 34</t>
  </si>
  <si>
    <t>apto 79 (3 camas)ha solicitado su rescisión contractual, siendo efectiva su salida el 18/05.//</t>
  </si>
  <si>
    <t>Pasa alojamiento por cuenta propia 01/06/2026//25/05/2026: Vicme. 3 meses</t>
  </si>
  <si>
    <t>BILLY GOMEZ PAIMA</t>
  </si>
  <si>
    <t>(finalizó el 17/04/2026)</t>
  </si>
  <si>
    <t>Cam. de Bárboles, 65, 50011 Zaragoza</t>
  </si>
  <si>
    <t xml:space="preserve"> JOAQUINA +34 628 66 51 40</t>
  </si>
  <si>
    <t>Se informa cambio de alojamiento temporal hacia gascon de gotor el 14/07/2026 no esta alojado aca//HICIERON PEDIDO DE REEMPLAZO Adjunto el reemplazo R-0217, FECHA FIN 10/07/26</t>
  </si>
  <si>
    <t>Fecha Efectiva de Baja (Salida): 23/08/2026 Motivo: Pasará a trabajar directamente con BachillerPrevision Fecha: Fijo</t>
  </si>
  <si>
    <t>PETERSON AUGUSTO DA SILVA</t>
  </si>
  <si>
    <t>JHON FREDY MADERA GARCIA</t>
  </si>
  <si>
    <t>2026/820</t>
  </si>
  <si>
    <t>2026/756</t>
  </si>
  <si>
    <t>Hostal Venecia C. de Lope de Vega, 6, 22400 Monzón, Huesca</t>
  </si>
  <si>
    <t>974 40 36 99</t>
  </si>
  <si>
    <t>Cambian de alojamiento 24/04</t>
  </si>
  <si>
    <t>La finalización se producirá el 02/06/2026</t>
  </si>
  <si>
    <t>2026/780</t>
  </si>
  <si>
    <t>solicitud de reemplazo  R-0208</t>
  </si>
  <si>
    <t>MARCOS DA CONCEIÇAO PORCEL</t>
  </si>
  <si>
    <t>2026/R0208</t>
  </si>
  <si>
    <t>me informa yajaira que este trabajador nunca llego estaba en Portugal</t>
  </si>
  <si>
    <t>RAUL ANDRES PAREJO DE LA ROSA</t>
  </si>
  <si>
    <t>+34 957638474</t>
  </si>
  <si>
    <t xml:space="preserve">   </t>
  </si>
  <si>
    <t>La finalización se produce el 29/05/2026.</t>
  </si>
  <si>
    <t xml:space="preserve">ha solicitado la carta de salida, siendo su último día de trabajo el próximo 02/06.// A partir del 01/06, la gestión y el coste del alojamiento volverán a ser a nuestro cargo. Durante este periodo, Enri permanecerá alojado en las instalaciones del cliente hasta el día 31/05.
 </t>
  </si>
  <si>
    <t>lectrodinamic- prevision hasta el dia 31/07//Prevision hasta Fecha: 24/07/2026//Correo Ibraim 15/10: movió a dos operarios de Lleida a Vitoria, encargándose de los gastos y la gestión el propio cliente. Este viernes 17/10/2025 los operarios vuelven al alojamiento de Lleida//RU2025/004-NUEVA UBICACIÓN: El cliente se hace cargo de todo, desplazamiento, alojamiento, y dietas. (Vitoria) del 22/07 al 26/07</t>
  </si>
  <si>
    <t>fue reemplazado</t>
  </si>
  <si>
    <t>2026/R215</t>
  </si>
  <si>
    <t>+34 698 70 79 86 Pascal</t>
  </si>
  <si>
    <t>La finalización se produjo el 19/06/2026.
Motivo: renuncia voluntaria con efecto inmediato.//25/5/2026: reverter 3 meses//Ten en cuenta que a partir del 19 de julio estará reservado por otras personas hasta mediados de agosto.</t>
  </si>
  <si>
    <t>ALEJANDRO JOSE PAYARES VENEGAS</t>
  </si>
  <si>
    <t>PEDRO HERNAN ROA ROZO</t>
  </si>
  <si>
    <t>LUIS CARLOS CASTELLAR VILLARREAL</t>
  </si>
  <si>
    <t>VICTOR ALEJANDRO EULOGIO</t>
  </si>
  <si>
    <t>Os informo de que Manuel José Tirado Negrete, trabajador de Luminous en el cliente Carvisa/Eurocontainer, finaliza su servicio hoy 24/07.</t>
  </si>
  <si>
    <t xml:space="preserve">JOHN HAROLD PERENGUEZ CUARAN
</t>
  </si>
  <si>
    <t>2026/777</t>
  </si>
  <si>
    <t>29/07/2026: Baja cantidad de trabajo y ya se habia acordado que seria un trabajo de corto plazo. 27/07/2026</t>
  </si>
  <si>
    <t>Pasaran al alojamiento Carretera de Almodobar, 21 Pau 2 - 600 Puertollano///04/06/2026: siguen hasta final de año, dicen que es trabajo ininterrumpido. Pero bueno, les llamamos cada dos meses por cualquier incidente que pueda ocurrir. Pero en principio, puedes alargarlo 2 meses más./</t>
  </si>
  <si>
    <t>Pasaran al alojamiento Carretera de Almodobar, 21 Pau 2 - 600 Puertollano///04/06/2026: siguen hasta final de año, dicen que es trabajo ininterrumpido. Pero bueno, les llamamos cada dos meses por cualquier incidente que pueda ocurrir. Pero en principio, puedes alargarlo 2 meses más.//</t>
  </si>
  <si>
    <t>Mikel Pensión Babes +34 663270830</t>
  </si>
  <si>
    <t>2026/790</t>
  </si>
  <si>
    <t>CITURRALDE</t>
  </si>
  <si>
    <t>sale mañana 01/07//Pedido cancelado, informa cristian hoy 29/06/2026</t>
  </si>
  <si>
    <t>no tiene para donde irse//Pedido cancelado, informa cristian hoy 29/06/2026</t>
  </si>
  <si>
    <t>La finalización se produjo el 13/05/2026.//Dana informo 14/05/2026: Buenos días. Cesar Augusto Angarita Rivera, de DUROFELGUERAS SL, informa que finalizo labores el día de ayer. //Informa Christian teams 07/05/2026 Prevision hasta finales de mayo//Informa via teams cristian 10/03 prevision: la parte de Stocco de DUROFELGUEIRAS, un mes más, con posible ampliación a 2 meses máximo... pero dicen que probablemente iran sacando chicos poco a poco, y será por rendimiento, por lo cual no me pueden dar muchas garantias./</t>
  </si>
  <si>
    <t>Plaza de Pepe Sanz, 1 1, Huelva, Andalucía 21007, España</t>
  </si>
  <si>
    <t xml:space="preserve"> ‎+34 653 83 82 23</t>
  </si>
  <si>
    <t>Crante, previsión de finalización 07/08//Prevision hasta el dia 03/07//</t>
  </si>
  <si>
    <t>CLAUDIA MICHELE PINTO DOS SANTOS</t>
  </si>
  <si>
    <t xml:space="preserve">23/07/2026 informa kawan: El pedido de Eurocontainer R-0217 queda, de momento, en standby debido a un problema con la trabajadora contratada que fue indicada por el cliente. Estoy verificando con el cliente si necesitan otro trabajador. Sin embargo, en estos momentos están de vacaciones, por lo que probablemente tendré una respuesta el próximo lunes. //22/07/2026 Informo wolmer: Hola muy buenas, NO vamos a seguir con la contratación de Claudia (indicada por el cliente Eurocontainer) pues está exigiendo cosas que no acordamos en la contratación y que además no ofrecemos en las condiciones.
</t>
  </si>
  <si>
    <t>29/07/2026: Baja cantidad de trabajo y ya se habia acordado que seria un trabajo de corto plazo. 27/07/2026//Wolmer informa hoy 18/06/2026: JUSED CHAMORRO MENDEZ se puede generar el contrato para ingreso el Lunes 22/06/2026</t>
  </si>
  <si>
    <t>EDWIN AGUIRRE GUGU</t>
  </si>
  <si>
    <t>informan que renuncia el 05/07/2026//Pasaran al alojamiento Carretera de Almodobar, 21 Pau 2 - 600 Puertollano///04/06/2026: siguen hasta final de año, dicen que es trabajo ininterrumpido. Pero bueno, les llamamos cada dos meses por cualquier incidente que pueda ocurrir. Pero en principio, puedes alargarlo 2 meses más.//</t>
  </si>
  <si>
    <t>Avda Bilbao 17, chalet 2 en Muriedas</t>
  </si>
  <si>
    <t>Luis Piso Maliaño +34 630 74 80 77</t>
  </si>
  <si>
    <t>Prevision de finalizacion 28/08//Fecha prevision Fecha: 31/07/2026</t>
  </si>
  <si>
    <t>Informan 20/07/2026: (Finalización: 31/07/2026)reemplazo R-0220</t>
  </si>
  <si>
    <t>Cambia de alojamiento para donde carmen 12/07//07/07/2026: de momento 1 semanas mas hasta el 24/07  con posibilidad de prorrogar//17/06/2026: Extender a Alexis y Harris 4 semanas.//25/5/2026: reverter 3 meses//Ten en cuenta que a partir del 19 de julio estará reservado por otras personas hasta mediados de agosto.</t>
  </si>
  <si>
    <t>viaja el 05/07//Pedido cancelado, informa cristian hoy 29/06/2026//Solo ha ingresado este al alojamiento</t>
  </si>
  <si>
    <t>JUAN BETIN DE LA HOZ</t>
  </si>
  <si>
    <t>viaja domingo 05/07//Pedido cancelado, informa cristian hoy 29/06/2026</t>
  </si>
  <si>
    <t>Cambio de alojamiento el 26/06 para donde carmen//07/07/2026: de momento 1 semanas mas hasta el 24/07  con posibilidad de prorrogar//17/06/2026: Extender a Alexis y Harris 4 semanas.//25/5/2026: reverter 3 meses//Ten en cuenta que a partir del 19 de julio estará reservado por otras personas hasta mediados de agosto.</t>
  </si>
  <si>
    <t>2026/796</t>
  </si>
  <si>
    <r>
      <rPr>
        <b/>
        <sz val="11"/>
        <color rgb="FF305496"/>
        <rFont val="Segoe UI"/>
        <family val="2"/>
      </rPr>
      <t>Fecha Efectiva de Baja (Salida):</t>
    </r>
    <r>
      <rPr>
        <sz val="11"/>
        <color rgb="FF305496"/>
        <rFont val="Segoe UI"/>
        <family val="2"/>
      </rPr>
      <t> 31/07/2026 Motivo: Despido disciplinario grave por sustracción no autorizada de material de la empresa cliente</t>
    </r>
  </si>
  <si>
    <r>
      <t>Motivo:</t>
    </r>
    <r>
      <rPr>
        <sz val="11"/>
        <color rgb="FF242424"/>
        <rFont val="Segoe UI"/>
        <family val="2"/>
      </rPr>
      <t> Despido disciplinario grave por sustracción no autorizada de material de la empresa cliente</t>
    </r>
  </si>
  <si>
    <t>Cambio de alojamiento para donde cinta el 26/06//22/06/2026 Prevision 2 meses//07/04/2026  Informa kawan via teams: la fecha de todos los trbajadores es hasta el dia 31/08/Informa cristian via teams 10/03/2026, prevision: un mes más, y volvemos a llamar cerca dela fecha.//Hasta finales de mayo. Llamaremos a mediados para ampliar.//MEDIADOS DE FEBRERO//&gt; mínimo mediados de noviembre (Tarragona)// nos indica las siguientes fechas previstas para finalizar 17/10/2025 (Tarragona)</t>
  </si>
  <si>
    <t>RICARDO RAFAEL BONILLA BLANCO</t>
  </si>
  <si>
    <t>2026/689</t>
  </si>
  <si>
    <t>HERRERIA MITXEL S.L</t>
  </si>
  <si>
    <t>Prevision hasta 31/07</t>
  </si>
  <si>
    <t>GERSON STEVENS BELTRAN CASTELLANOS</t>
  </si>
  <si>
    <t>Pasa Alojamiento por cuenta propia//Prevision hasta 31/07</t>
  </si>
  <si>
    <t>MARLON BUJATO SILVERA</t>
  </si>
  <si>
    <t xml:space="preserve"> Prevision hasta 05/05/2026/finalizarán el 31/12/2025.//nos indica que los siguientes operarios permanecerán hasta el 30/11/2025//Permanecerán hasta el 30/09/2025 aproximadamente en el proyecto.</t>
  </si>
  <si>
    <t>Reemplazado R-0216 por motivo de renuncia///Alojamiento por cuenta del cliente</t>
  </si>
  <si>
    <t>Os informamos de que Juan Carlos Núñez, de Luminous/Tokio Metal, no ha superado la prueba realizada en el taller, finalizo el viernes 26/06.</t>
  </si>
  <si>
    <t>22/06/2026 Prevision 2 meses//25/5/2026: reverter 3 meses</t>
  </si>
  <si>
    <t>WILLIAM MORAIS DA SILVA</t>
  </si>
  <si>
    <t>Fecha Efectiva de Baja (Salida): 31/08/2026,Motivo: Pasara a trabajar directamente con Bachiller//Prevision Fecha: Fijo</t>
  </si>
  <si>
    <t>Ha pedido una baja voluntaria haciéndose efectiva el 31/01/2026. Por el momento, el cliente no ha solicitado reemplazo</t>
  </si>
  <si>
    <t>2025/609/R156</t>
  </si>
  <si>
    <t>Cambio de alojamiento donde casilda//Remplazo de MODESTO FERNANDEZ QUINTERO//Rebeca esta preguntando por cama en girona ya que la noche sale por 68€ en el hostel</t>
  </si>
  <si>
    <t>30/07/26:  Desvinculación (Baja). 31/07/26///24/07/2026: , los dos que estan en GLS Madrid siquen una semana mas . Los dos de Amazon Madrid Getafe se quedan de momento una semana mas (si hay algun cambio aviso durante la semana que viene). Gracias//02/06/2026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</si>
  <si>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t>30/07/26:  Desvinculación (Baja). 31/07/26/////24/07/2026: , los dos que estan en GLS Madrid siquen una semana mas . Los dos de Amazon Madrid Getafe se quedan de momento una semana mas (si hay algun cambio aviso durante la semana que viene). Gracias//02/06/2026 montra prevision de hasta el dia 03/07 van renovando mes a mes //Kawan informa 28/04: Si continuan, minimo 20 dias mas.//Los 4 trabajadores continuarán en Amazon hasta el 30 de abril de 2026 (incluido).
El 1 de mayo es festivo.
El cliente nos confirmará la próxima semana los nombres de los 2 trabajadores que seguirán en Amazon y de los otros 2 que se trasladarán a GLS Madrid.//Informa kawan teams 09/04/2026 Montra nercessita que los chicos se queden hasta el dia 25/04//no finalizarán su actividad el día 31/03 como estaba previsto inicialmente.
Tras el festivo de Pascua, retomarán sus funciones y la finalización definitiva de su actividad será el día 10/04.</t>
  </si>
  <si>
    <t>Informo yajaira que Salió el 18/07//Alojamiento por cuenta del cliente</t>
  </si>
  <si>
    <t>22/06/2026 Prevision 2 meses//25/5/2026: reverter 3 mesesHasta finales de mayo. Llamaremos a mediados para ampliar.//MEDIADOS DE FEBRERO//&gt; mínimo mediados de noviembre (Tarragona)// nos indica las siguientes fechas previstas para finalizar 17/10/2025 (Tarragona)</t>
  </si>
  <si>
    <t>WILSON ALEXANDER GOMEZ</t>
  </si>
  <si>
    <t>Alojamiento por cuenta del cliente/(Último día: 30/07/2026) – Renuncia voluntaria por motivos personales, debido a una situación familiar sobrevenida que requirió su regreso inmediato.</t>
  </si>
  <si>
    <t>Yaja informa que salió, el 17/07/2026 del alojamiento//La finalización se producirá el 17/07/2026, siendo este su último día de trabajo.//Sinfines, es indefinido//mínimo mediados de Diciembre/Fecha Fin:30/11/2025</t>
  </si>
  <si>
    <t>Contaba con alojamiento propio y por circunstancias ajenas a él, le han pedido la habitación. Debe salir el día 25 de Enero de 2026.
Solicita nuevamente alojamiento que brinda la empresa mientras consigue otro alojamiento propio.//Yajaira informa que el trabajador tiene alojamiento propio confirmar info.</t>
  </si>
  <si>
    <t>La finalización se produjo el 26/06/2026.Motivo: renuncia voluntaria por motivos personales./Alojamiento por cuenta del cliente</t>
  </si>
  <si>
    <t>Cambia alojamiento por cuenta propia 15/07/2026</t>
  </si>
  <si>
    <t>reuBICADO 07/05/2026 al 15/05/2026 A NAVARRA</t>
  </si>
  <si>
    <t>C/ De Francia8, 2c28694, Fuenlabrada, Madrid.</t>
  </si>
  <si>
    <t>+34 666 98 92 60 Migdonio Suárez León</t>
  </si>
  <si>
    <t>Os informo de que el trabajador Sergio Alonso Andrade Castillón, de Luminous, ha presentado su renuncia por motivos personales. Su último día de trabajo será el 13/07/2026./La Posada Dirección: C. Mayor, 49, 28971 Griñón, Madrid 918141793</t>
  </si>
  <si>
    <t>ANDRES MAURICIO BLANDON LLANOS</t>
  </si>
  <si>
    <t>2026/788</t>
  </si>
  <si>
    <t xml:space="preserve">LAUKITOKI </t>
  </si>
  <si>
    <t>2026/767</t>
  </si>
  <si>
    <t>La finalización se produjo el 06/07/2026.
Motivo: renuncia voluntaria por motivos personales.//Alojamiento por cuenta del cliente</t>
  </si>
  <si>
    <t>Calle amable duran Nº13, Vila de Cruces, Pontevedra</t>
  </si>
  <si>
    <t>+34 643 77 90 36 ~Jhon( trabajador contacta personalmente al propietario)</t>
  </si>
  <si>
    <t>2025/576</t>
  </si>
  <si>
    <t>CAYMO CRUCES SL</t>
  </si>
  <si>
    <t>05/08/2026: Christian : el trabajador minimo por 1 mes luego a revisar//</t>
  </si>
  <si>
    <t>GUSTAVO ADOLFO DEL ANGEL MONTERO</t>
  </si>
  <si>
    <t>2026/713</t>
  </si>
  <si>
    <t>Fecha de Inicio: 25/08/2026 Motivo: No conforme con la nomina recibida, ni condiciones de alojamiento suministrado por el cliente. No acepto llegar a ningún acuerdo.///Alojamiento por cuenta del cliente</t>
  </si>
  <si>
    <t>CARLOS JESUS MENDIGUETE VILLA</t>
  </si>
  <si>
    <t>Plaça d'Andalusia, 7,Escalera nº2, 17007 Germans Sàbat, Girona. APTO 14</t>
  </si>
  <si>
    <t>de momento calculo 2 meses mas respuesta cliente//Prevision hasta 04/04/2026</t>
  </si>
  <si>
    <t>HUERLIN MANGLIO ALVARADO GUZMÁN</t>
  </si>
  <si>
    <t>La finalización se produjo ayer el 11/06/2026.//Alojamiento por cuenta del cliente</t>
  </si>
  <si>
    <t>finalizan su servicio hoy, 03/06/202627/05/2026: Grupo Lecru: Previsión de finalizacion 06/06//</t>
  </si>
  <si>
    <t>MARLO CESAR CASTILLO SILUPU</t>
  </si>
  <si>
    <t>La finalización se produjo el 27/07/2026. Motivo: Baja de trabajo.///Sinfines, es indefinido</t>
  </si>
  <si>
    <t>2026/R202</t>
  </si>
  <si>
    <t>CRISTIAN 30/04/2026: Sobre la llamada que tuvimos. Dejo por escrito que STF los 4 chicos tienen una previsión del año completo. Pero llamaremos en 2 meses para confirmar si todo sigue bien</t>
  </si>
  <si>
    <t>Informa Christian 24/04:  2 meses más renovado!</t>
  </si>
  <si>
    <t>C. Antonio Machado, 20, 21007 Huelva</t>
  </si>
  <si>
    <t>Jessica +34 625 73 15 02</t>
  </si>
  <si>
    <r>
      <t>Fecha Efectiva de Baja (Salida): 20/08/2026. Motivo: solicitud del cliente por baja de trabajo.///05/08/2026 kawan informa:prevision de finalizacion dia 21/08, /</t>
    </r>
    <r>
      <rPr>
        <b/>
        <sz val="11"/>
        <color rgb="FF305496"/>
        <rFont val="Calibri"/>
        <family val="2"/>
      </rPr>
      <t>/la encargada informa: solo pueden estar hasta 22/8 la hora de entrega de las llaves para el día 22 es las 12:00 de la mañana</t>
    </r>
    <r>
      <rPr>
        <sz val="11"/>
        <color rgb="FF305496"/>
        <rFont val="Calibri"/>
        <family val="2"/>
      </rPr>
      <t xml:space="preserve">//Crante, previsión de finalización 07/08//se alquila hasta el 07/08 toca avisar con antelacion si se necesita y el tiempo ya que solo tienen el alojamiento disponible hasta el 22/08 </t>
    </r>
  </si>
  <si>
    <r>
      <t>Fecha Efectiva de Baja (Salida): 20/08/2026. Motivo: solicitud del cliente por baja de trabajo.//05/08/2026 kawan informa:prevision de finalizacion dia 21/08//</t>
    </r>
    <r>
      <rPr>
        <b/>
        <sz val="11"/>
        <color rgb="FF305496"/>
        <rFont val="Calibri"/>
        <family val="2"/>
      </rPr>
      <t>la encargada informa: solo pueden estar hasta 22/8 la hora de entrega de las llaves para el día 22 es las 12:00 de la mañana/</t>
    </r>
    <r>
      <rPr>
        <sz val="11"/>
        <color rgb="FF305496"/>
        <rFont val="Calibri"/>
        <family val="2"/>
      </rPr>
      <t xml:space="preserve">Crante, previsión de finalización 07/08//se alquila hasta el 07/08 toca avisar con antelacion si se necesita y el tiempo ya que solo tienen el alojamiento disponible hasta el 22/08 </t>
    </r>
  </si>
  <si>
    <r>
      <rPr>
        <sz val="11"/>
        <color rgb="FF305496"/>
        <rFont val="Calibri"/>
        <family val="2"/>
      </rPr>
      <t>05/08/2026 kawan informa:prevision de finalizacion dia 21/08//</t>
    </r>
    <r>
      <rPr>
        <b/>
        <sz val="11"/>
        <color rgb="FF305496"/>
        <rFont val="Calibri"/>
        <family val="2"/>
      </rPr>
      <t>la encargada informa: solo pueden estar hasta 22/8 la hora de entrega de las llaves para el día 22 es las 12:00 de la mañana/</t>
    </r>
    <r>
      <rPr>
        <sz val="11"/>
        <color rgb="FF305496"/>
        <rFont val="Calibri"/>
        <family val="2"/>
      </rPr>
      <t xml:space="preserve">Crante, previsión de finalización 07/08//se alquila hasta el 07/08 toca avisar con antelacion si se necesita y el tiempo ya que solo tienen el alojamiento disponible hasta el 22/08 </t>
    </r>
  </si>
  <si>
    <t>EDINSON FABER RECALDE LONDOÑO</t>
  </si>
  <si>
    <t>2026/795</t>
  </si>
  <si>
    <t xml:space="preserve">EICPERMAN </t>
  </si>
  <si>
    <t xml:space="preserve">20/07/2026, informa kawan: previsión de finalización es el dia 31/07 </t>
  </si>
  <si>
    <t>2026/775</t>
  </si>
  <si>
    <t xml:space="preserve"> no fue aprobado por el cliente COMESA,finaliza hoy 09/06.</t>
  </si>
  <si>
    <t>Llamar el dia lunes 08/06//Trabajador incapacitado</t>
  </si>
  <si>
    <t>ROBINSON DABIAN TABORDA ESCAMILLA</t>
  </si>
  <si>
    <t>+34 606684772</t>
  </si>
  <si>
    <t>Alojamiento por cuenta del cliente///Fecha Efectiva de Baja (Salida): 05/08/2026
Observaciones Extras: ya había avisado al cliente de su salida y he recibido la información hoy (17/08/2026) por parte de Everaldo</t>
  </si>
  <si>
    <t>ANTONIO JOSE FLOREZ RODRIGUEZ</t>
  </si>
  <si>
    <t>2026/R219</t>
  </si>
  <si>
    <t>Reemplazo de PEDRO ALEXANDER ROJAS RODRIGUEZ</t>
  </si>
  <si>
    <t xml:space="preserve"> Casa Don Dín Rúa Manuel Iglesias, 19, 36590 Vila de Cruces, Pontevedra</t>
  </si>
  <si>
    <t>+34 986592608</t>
  </si>
  <si>
    <t>Cambio de alojamiento el 06/08/2026//05/08/2026: Christian : el trabajador minimo por 1 mes luego a revisar///15/06/2026: se extiendo 2 meses más.//18/05/2026: Jhon Eder hasta el 30 de Junio//12/05/2026: el cliente esta renovando hasta el dia 22/05.//Informa kawan 24/04 de momento hasta el dia 13/05, estan pendiente de que entre mas trabajos// cristian por teams 25/03= STOKES, 2 meses más</t>
  </si>
  <si>
    <t>2026/R201</t>
  </si>
  <si>
    <t>Su último día de trabajo será el 24/07/2026.//15/06/2026: Mam cordoba, dicen que es trabajo todo el año, pero quedamos en llamar en dos meses.//04/05/2026: Os recuerdo que los trabajos están estimados hasta el 16/06/2026, pero podrían extenderser un par de semanas. eso implicaría que el remplazo seria para aproximadamente 1 mes.
 /Christian 17/3 8:02 =3 meses más//leon para 3 meses más (10-02-26). se le llamará en 2 meses para confirmar./Fecha Fin:27/02/2026</t>
  </si>
  <si>
    <t>2026/782</t>
  </si>
  <si>
    <t>no viajo, perdio el vuelo</t>
  </si>
  <si>
    <t>Avinguda de Madrid, 15 3-2, Lérida, Catalunya 25002, España</t>
  </si>
  <si>
    <t>Xavier +34658991946</t>
  </si>
  <si>
    <t>Cambio de alojamiento 05/08/26 para calle RIU LLOBREGAT Nº 1 3º C de Lleida</t>
  </si>
  <si>
    <t xml:space="preserve"> PENSIÒN CORONA C. de la Corona de Aragón, 10, 1D, 50009 Zaragoza</t>
  </si>
  <si>
    <t>Pasan alojamiento de matilde hoy 16/06/2026</t>
  </si>
  <si>
    <t>2026/R221</t>
  </si>
  <si>
    <t>ALEX HUMBERTO BARANDICA GRAZZIANI</t>
  </si>
  <si>
    <t>2026/R-0220</t>
  </si>
  <si>
    <t>Informa Kawan whatsapp 05/04/2026- Se informa que todos los trabajadores quedan prorrogados con fecha de fin actualizada al 05/04/2026</t>
  </si>
  <si>
    <t>LEONARDO FABIO GONZALEZ PENA</t>
  </si>
  <si>
    <t>2026/784</t>
  </si>
  <si>
    <t>Renuncia 24/07 informaciòn suministrada por Yajaira telefonica///22/06/2026 Prevision 2 meses//</t>
  </si>
  <si>
    <t>Calle Andalucia nº7,1º1ª Escalera nº1,Girona 1</t>
  </si>
  <si>
    <t>VICTOR AUGUSTO RAMIREZ GRANDA</t>
  </si>
  <si>
    <t>RU062 REUBICADO A CORDOBA//</t>
  </si>
  <si>
    <t>2025/128/RU062</t>
  </si>
  <si>
    <t xml:space="preserve">se realizara cambio de alojamiento al trabajador </t>
  </si>
  <si>
    <t>Cambian a puerta del sur en sevilla a partir del 17/05/2026/REUBICADO A HUELVA</t>
  </si>
  <si>
    <t>2026/R0207</t>
  </si>
  <si>
    <t xml:space="preserve"> trabajador de Luminous - Comesa, finaliza hoy, 03/07, su servicio por no cumplir las expectativas del cliente./08/07/2026 aun no ha salido del alojamiento le informa a Rh que esta buscando trabajo y no tiene para donde ir.</t>
  </si>
  <si>
    <t>estará alojado temporalmente en Carrer del Forn, 28 Sabadell, Barcelona//Informan 07/07/2026: Hay que reemplazar  no funcionaron como oficiales</t>
  </si>
  <si>
    <t>2026/RU0101</t>
  </si>
  <si>
    <t>No ingreso al alojamiento se quedo en vuelva</t>
  </si>
  <si>
    <t>2026/R198</t>
  </si>
  <si>
    <t>WILDER ESNEIDER CHARRIS BERRIO</t>
  </si>
  <si>
    <t>finaliza 20/09///C. Isla Cristina, 9, 04720 Aguadulce, Almería</t>
  </si>
  <si>
    <t>WILMER GONZALEZ QUINTERO</t>
  </si>
  <si>
    <t>Arbúcies, Girona.</t>
  </si>
  <si>
    <t>WILSON CUERO ALVAREZ</t>
  </si>
  <si>
    <t>trasladado a cortes de la frontera 16/09///Sale 16/03 a Alojamiento privado //15/09 Traslado a malaga</t>
  </si>
  <si>
    <t>Fecha Efectiva de Baja (Salida): 06/08/2026. Motivo: Retorno a su país de origen. Observaciones Extras: El trabajador tenía autorización de la empresa para ausentarse del 07/08 al 24/08, fecha prevista para su reincorporación. Sin embargo, el 24/08 no se presentó a su puesto y comunicó que debía regresar a su país de origen produciéndose el abandono de su puesto de trabajo.///Se quedara en el alojamiento de casilda//Retornan a la vivienda FIJA el 03/07/2026//Esta alojado de manera temporal mientras se soluciona el corte del suministro de agua en la vivienda.</t>
  </si>
  <si>
    <t>CAMBIO DE PROYECTO</t>
  </si>
  <si>
    <t>2025/085</t>
  </si>
  <si>
    <t>EL cliente paga el alojamiento obra en Pulpi</t>
  </si>
  <si>
    <t>MONCARAPACHO</t>
  </si>
  <si>
    <t>2026/787</t>
  </si>
  <si>
    <t>Alojamiento por cuenta del cliente/ NO CUMPLIA CON EL PERFIL</t>
  </si>
  <si>
    <t>Hostal Montsoliu  Carrer Francesc Camprodon, 90, 17401 Arbúcies, Girona</t>
  </si>
  <si>
    <t>Pasan el 25/06 donde patricia</t>
  </si>
  <si>
    <t>El trabajador no se ha presentado hoy a su puesto de trabajo y, como consecuencia, el cliente ha comunicado que no desea continuar contando con él.02/07/2026</t>
  </si>
  <si>
    <t>2026/697</t>
  </si>
  <si>
    <t>Cambio de alojamiento a  Lleida C/ARIBAU nº2 7º el 01/08/2026</t>
  </si>
  <si>
    <t>Cambia de alojamiento para:  Alcanar Casas Carrer Remei, 12, 43530 Alcanar, Tarragona el dia 12/08/2026// 22/06/2026 Prevision 2 meses//07/04/2026  Informa kawan via teams: la fecha de todos los trbajadores es hasta el dia 31/08/Informa cristian via teams 10/03/2026, prevision: un mes más, y volvemos a llamar cerca dela fecha.//Hasta finales de mayo. Llamaremos a mediados para ampliar.//MEDIADOS DE FEBRERO//&gt; mínimo mediados de noviembre (Tarragona)// nos indica las siguientes fechas previstas para finalizar 17/10/2025 (Tarragona)</t>
  </si>
  <si>
    <t>nos indica que el siguiente operario finalizó el pasado 07/01/2026//Prevision hasta  31 Diciembre 2025/</t>
  </si>
  <si>
    <t>Cambia alojamiento por cuenta propia 01/07/2026//Carvisa, previsión de trabajos hasta el dia 28/08</t>
  </si>
  <si>
    <t>trabajo todo el año 2026//enero del 2026</t>
  </si>
  <si>
    <t>PABLO ALBERTO RIAÑO BONILLA</t>
  </si>
  <si>
    <t>Finalizo 30/06/2026: Aceptó una oferta laboral y no comunicó previamente su salida, solicitando posteriormente una renuncia inmediata que finalmente no fue aplicable.</t>
  </si>
  <si>
    <t>Rúa Manuel Curros Enríquez, 77, 32800 Celanova, Ourense</t>
  </si>
  <si>
    <t>Emilio +34 653 87 07 05</t>
  </si>
  <si>
    <t>13/05/2026: Prevision hasta finales de agosto del 2026//ibraim informa prevision hasta JUNIO DEL 2026</t>
  </si>
  <si>
    <t>2026/824</t>
  </si>
  <si>
    <t>2026/RU107</t>
  </si>
  <si>
    <t>Fecha Efectiva de Baja (Salida): 31/07/2026 Motivo: Despido disciplinario grave por sustracción no autorizada de material de la empresa cliente</t>
  </si>
  <si>
    <t>IVAN ANDRES ORTIZ GALVAN</t>
  </si>
  <si>
    <t>YAN FERREIRA DOS SANTOS</t>
  </si>
  <si>
    <t>Julio Romero Guisado  18-20, situada en Fte. Palmera</t>
  </si>
  <si>
    <t>La finalización se produjo el 02/06/2026. Motivo: el cliente indica dificultades de comunicación debido al nivel de español del trabajador por ser brasileño.//Alojamiento por cuenta del cliente</t>
  </si>
  <si>
    <t>RICARDO CASTRO SIGUAS</t>
  </si>
  <si>
    <t>Fecha Efectiva de Baja (Salida): 17/08/2026. Motivo: Wolmer: finalizou el trabajo que era de su responsabilidad y ya regresó por cuenta no hace falta gestionar vuelo de regreso</t>
  </si>
  <si>
    <t>2026/R204</t>
  </si>
  <si>
    <t>(Último día: 03/08/2026) – Renuncia voluntaria inmediata por problemas de salud y decisión de regresar a su país.TIENE LLAVE DEL ALOJAMIENTO: 05/08/2026: DIJO QUE SE LAS ENTREGO A ANSONY</t>
  </si>
  <si>
    <t>Les informamos que el trabajador indicado ha finalizado su actividad,  existe la posibilidad de reubicación del trabajador en Huelva, aunque dicha información aún no está confirmada.//Prevision 31 de Diciembre de 2025</t>
  </si>
  <si>
    <t>Finaliza 30/08//1. Ctra. de Terrassa, 114, 08206 Sabadell, Barcelona //02/08/2024 cambian Al. FIJO CASA SABADEL KOTRIK</t>
  </si>
  <si>
    <t>15/06/2026: Mam cordoba, dicen que es trabajo todo el año, pero quedamos en llamar en dos meses.//01/06/2026: ManCordoba 2 meses más//Cristian informa 4/05/2026: mensaje del cliente los mantendremos donde estan todo el mes de mayo.</t>
  </si>
  <si>
    <t>Inmobiliaia Gerbru Marga +34 696 87 52 47</t>
  </si>
  <si>
    <t>2026/R214</t>
  </si>
  <si>
    <t>Renuncia 18/08/2026 mejor oferta</t>
  </si>
  <si>
    <t>CAIO RENAN BARBOSA DA SILVA</t>
  </si>
  <si>
    <t>20/07/2026: Informa que el 31/07/2026 saldra para alojamiento por cuenta propia,, confirmar con patricia su salida.</t>
  </si>
  <si>
    <t>RODOLFO CESAR AGUILAR ORTIZ</t>
  </si>
  <si>
    <t>2026/R199</t>
  </si>
  <si>
    <t>fue reubicado a madrid alojamiento por cuenta del cliente 04/05/2026</t>
  </si>
  <si>
    <t>Estará alojado temporalmente en calle RIU LLOBREGAT Nº 1 3º C de Lleida//Informan 07/07/2026: Hay que reemplazar son Ayudantes, no oficiales de primera</t>
  </si>
  <si>
    <t>Informan 07/07/2026: Hay que reemplazar no funcionaron como oficiales</t>
  </si>
  <si>
    <t>Estará alojado temporalmente en calle RIU LLOBREGAT Nº 1 3º C de LleidaInforman //07/07/2026: Hay que reemplazar son Ayudantes, no oficiales de primera</t>
  </si>
  <si>
    <t>Este trabajador informó a Recursos Humanos que no se trasladaría al alojamiento que le ofrecía la empresa, ya que decidió optar por un alojamiento propio a partir del 31/03/2026. Recursos Humanos, hasta el día de hoy (04/06/2026), no había informado nada al respecto.</t>
  </si>
  <si>
    <t>2025/125/RU080</t>
  </si>
  <si>
    <t>RU 2026/0100 17/04/2026//Informa via teams cristian 10/03 prevision: 2 meses más. volvemos a contactar más cerca de la fecha.</t>
  </si>
  <si>
    <t>KLAINER ALEJANDRO RIVERA ACOSTA</t>
  </si>
  <si>
    <t>Hostal Occidente C. San Juan, 11, 21500 Gibraleón, Huelva</t>
  </si>
  <si>
    <t>no se alojaron</t>
  </si>
  <si>
    <t>Hotel Dora C. Rda. del Salvador, 37, 10600 Plasencia, Cáceres</t>
  </si>
  <si>
    <t>10/07 se realizara la gestion de pago de la habitacion en galisteo.</t>
  </si>
  <si>
    <t>YESSID MANUEL BLANCO PUCHE</t>
  </si>
  <si>
    <t>Finaliza 07/10</t>
  </si>
  <si>
    <t>Pasaran el 05/08/2026 a compartir habitacion con cristian Hanitacion Nº6</t>
  </si>
  <si>
    <t>2026/720</t>
  </si>
  <si>
    <t>Fecha Efectiva de Baja (Salida): 31/07/2026 Motivo: Despido disciplinario grave por sustracción no autorizada de material de la empresa cliente//La finalización se producirá el 31/07/2026, siendo este su último día de trabajo.</t>
  </si>
  <si>
    <t>SEBASTIAN FELIPE MILAN SARAI</t>
  </si>
  <si>
    <t>2026/809</t>
  </si>
  <si>
    <t>PASA CON EL CLIENTE EUROFESA////15/06/2026: Mam cordoba, dicen que es trabajo todo el año, pero quedamos en llamar en dos meses.//04/05/2026: Os recuerdo que los trabajos están estimados hasta el 16/06/2026, pero podrían extenderser un par de semanas. eso implicaría que el remplazo seria para aproximadamente 1 mes.
 //Christian 17/3 8:02 =3 meses más//leon para 3 meses más (10-02-26). se le llamará en 2 meses para confirmar./Fecha Fin:27/02/2026</t>
  </si>
  <si>
    <t>WILSON ALEXANDER HEHERRA CHAPARRO</t>
  </si>
  <si>
    <t>ATIRSON JULIACE DA SILVA</t>
  </si>
  <si>
    <t>PALMELA</t>
  </si>
  <si>
    <t>2026/794</t>
  </si>
  <si>
    <t>LUMA GROUP</t>
  </si>
  <si>
    <t>Motivo: Finalización de obra Fecha de Cierre: 29/07/2026</t>
  </si>
  <si>
    <t>GABRIEL CORREIA CARDOZO</t>
  </si>
  <si>
    <t>ANDRE DE MELLO COSTA</t>
  </si>
  <si>
    <t>2026/758</t>
  </si>
  <si>
    <t>trabajadores que finalizan 20/04 y fueron remplazos</t>
  </si>
  <si>
    <t>EDWIN GONZALEZ ARANDA</t>
  </si>
  <si>
    <t>05/08/2026: La finalización se producirá el 07/08/2026.//Christian informa 28/07: (Finalización: 07/08/2026)//20/07: (Finalización: 31/07/2026)///15/07:Se informa que los siguientes trabajadores de Stocco para el cliente Reverter Industries continuarán prestando servicio hasta el 31/07/2026:///07/07/2026: de momento 1 semanas mas hasta el 24/07  con posibilidad de prorrogar//17/06/2026: Extender a Alexis y Harris 4 semanas.//25/5/2026: reverter 3 meses//Ten en cuenta que a partir del 19 de julio estará reservado por otras personas hasta mediados de agosto.</t>
  </si>
  <si>
    <t>JONATAS HERTEL LOUZADA</t>
  </si>
  <si>
    <t>Calle Andalucia nº7,1º1ª Escalera nº3,Girona 3</t>
  </si>
  <si>
    <t>aun no regresan por falta de suministro//Retornan a la vivienda fija el 03/07/2026//Esta alojado de manera temporal mientras se soluciona el corte del suministro de agua en la vivienda.</t>
  </si>
  <si>
    <t>WILMER ANTONIO BLANCO ALVAREZ</t>
  </si>
  <si>
    <t>2025/R161</t>
  </si>
  <si>
    <t>C/ Travesía del Rey, n° 7, Galisteo, Cáceres 10691</t>
  </si>
  <si>
    <t>+34 646 46 22 23~Yolanda</t>
  </si>
  <si>
    <t xml:space="preserve">22/04/2026: Rodney-Plasencia hasta finales de septiembre.
 </t>
  </si>
  <si>
    <t>2026/816</t>
  </si>
  <si>
    <t>PASA CON EL CLIENTE EUROFESA///15/06/2026: Mam cordoba, dicen que es trabajo todo el año, pero quedamos en llamar en dos meses.//</t>
  </si>
  <si>
    <t>2026/725</t>
  </si>
  <si>
    <t>LOPE ARTURO MUJICA LAVI</t>
  </si>
  <si>
    <t>Calle Andalucia nº7,1º1ª Escalera nº2,Girona 14</t>
  </si>
  <si>
    <t>2026/812</t>
  </si>
  <si>
    <t>29/07/26Motivo: El cliente no necesita caldereros que sepan soldar ER y si semi automatica, estoy verificando la posibilidad de enviar nuevos trabajadores.
Observaciones Extras: Los trabajadores se presentaron hoy a trabajar. Deben dejar las instalaciones de imediato, avisar los trabajadores por favor.</t>
  </si>
  <si>
    <t>YEDISON ALEXANDER HENAO RIOS</t>
  </si>
  <si>
    <t>2026/802</t>
  </si>
  <si>
    <t>15/06/2026: Mam cordoba, dicen que es trabajo todo el año, pero quedamos en llamar en dos meses.//04/05/2026: Os recuerdo que los trabajos están estimados hasta el 16/06/2026, pero podrían extenderser un par de semanas. eso implicaría que el remplazo seria para aproximadamente 1 mes.
 /Christian 17/3 8:02 =3 meses más//leon para 3 meses más (10-02-26). se le llamará en 2 meses para confirmar./Fecha Fin:27/02/2026</t>
  </si>
  <si>
    <t>Pasa Alojamiento propio procedente a prtir del 18/09///Informa kawan 30/06: hasta el dia 29/08//</t>
  </si>
  <si>
    <t>EUROFESA</t>
  </si>
  <si>
    <t>Informa kawan 30/06: hasta el dia 29/08//</t>
  </si>
  <si>
    <t>OSWALDO JOSE JIMENEZ REBOLLEDO</t>
  </si>
  <si>
    <t>2026/R216</t>
  </si>
  <si>
    <t>No ingreso al hotel el 31/07/2026 //El dia 03/08/2026 pasaran alojamiento fijo donde Ramon Lleida</t>
  </si>
  <si>
    <t>Paso al alojamiento de Ramon el dia 02/08/2026///El dia 03/08/2026 pasaran alojamiento fijo donde Ramon Lleida</t>
  </si>
  <si>
    <t>Patricia Reus 605681569</t>
  </si>
  <si>
    <t>2026/808</t>
  </si>
  <si>
    <t>No viajo perdio el vuelo</t>
  </si>
  <si>
    <t>JORGE IVAN SARRIA ORTIZ</t>
  </si>
  <si>
    <t>ALOJAMIENTOPAGO HASTA 25 DE AGOSTO</t>
  </si>
  <si>
    <t>BRAYAN ANDRES DORADO YUNDA</t>
  </si>
  <si>
    <t>desistio, solicitan un sustituto, no ingreso //Alojamiento por cuenta del cliente</t>
  </si>
  <si>
    <t>JUAN CARLOS VILLANUEVA GALVIS</t>
  </si>
  <si>
    <t>YONATAN JOSE FONSECA MAGALLANES</t>
  </si>
  <si>
    <t xml:space="preserve"> La finalización se produjo el 04/06/2026.//OWIN MORELO GOMEZ, no contesta y no firmó contrato,solicito por favor la ayuda con un sustituto
 </t>
  </si>
  <si>
    <t>CARLOS DENIS SINTI RIOS</t>
  </si>
  <si>
    <t>Confirmando con RH si esta activo actualmente. y fecha de ingreso</t>
  </si>
  <si>
    <t>JIMMI LIDER TAYPE HURTADO</t>
  </si>
  <si>
    <t>ANDRES FELIPE BUSTAMANTE BARRIOS</t>
  </si>
  <si>
    <t>2026/799</t>
  </si>
  <si>
    <t>13/07/2026: Se informa de la cancelación del pedido PO-0799 en Wiseowe para el cliente INTUYMA.</t>
  </si>
  <si>
    <t>2026/819</t>
  </si>
  <si>
    <t>no paso la prueba</t>
  </si>
  <si>
    <t>YOSKAR BELTRAN PENAGOS</t>
  </si>
  <si>
    <t>2026/813</t>
  </si>
  <si>
    <t>GILBER MORA DIAZ</t>
  </si>
  <si>
    <t>WILMAR ARNOBIO AGREDO BENEVIDES</t>
  </si>
  <si>
    <t>Trabajo hasta el 19/02</t>
  </si>
  <si>
    <t>+34 631 40 33 27</t>
  </si>
  <si>
    <t>Pasara a alojamiento por cuenta propia</t>
  </si>
  <si>
    <t>2025/264</t>
  </si>
  <si>
    <t>Fecha de Salida: 24/08/2026. Motivo: Moacir comunica que, por motivos familiares, se ve obligado a dejar la empresa.///El resto de los trabajadores asignados al proyecto son trabajadores fijos, sin cambios previstos por el momento.</t>
  </si>
  <si>
    <t>2025/R109</t>
  </si>
  <si>
    <t>26/08: Yaja me informa que trabajo hasta el 07/08 Intuyma lo saco sin causa justa</t>
  </si>
  <si>
    <t>NIVALDO MENDES DA SILVA</t>
  </si>
  <si>
    <t>aun no regresan no tienen suministro de agua aun 08/07/2026//Retornan a la vivienda el 03/07/2026//Estan de manera temporal donde casilda desde el 11/06/2026 ya que no estan con sumnistro de agua ///El resto de los trabajadores asignados al proyecto son trabajadores fijos, sin cambios previstos por el momento.//vacaciones vuelve el 14/02</t>
  </si>
  <si>
    <t>aun no regresan no tienen suministro de agua aun 08/07/2026//Retornan a la vivienda el 03/07/2026//Estan de manera temporal donde casilda desde el 11/06/2026 ya que no estan con sumnistro de agua ///</t>
  </si>
  <si>
    <t>ANDRES EMIRO ARANGO SALINAS</t>
  </si>
  <si>
    <t>2026/791</t>
  </si>
  <si>
    <t>CALDERERÍA Y MONTAJES REUNIDOS, SA</t>
  </si>
  <si>
    <t>TIENE LLAVE DEL ALOJAMIENTO</t>
  </si>
  <si>
    <t>2026/818</t>
  </si>
  <si>
    <t>ESTE TRABAJADOR ESTA ALOJADO DESDE 10/07/26</t>
  </si>
  <si>
    <t>22/06/2026 Prevision 2 meses// 07/04/2026 Informa kawan via teams: la fecha de todos los trbajadores es hasta el dia 31/08//Informa cristian via teams 10/03/2026, prevision: un mes más, y volvemos a llamar cerca dela fecha.//Hasta finales de mayo. Llamaremos a mediados para ampliar.//MEDIADOS DE FEBRERO</t>
  </si>
  <si>
    <t>22/06/2026 Prevision 2 meses// 07/04/2026 Informa kawan via teams: la fecha de todos los trbajadores es hasta el dia 31/08/ Informa cristian via teams 10/03/2026, prevision: un mes más, y volvemos a llamar cerca dela fecha.//Hasta finales de mayo. Llamaremos a mediados para ampliar.//MEDIADOS DE FEBRERO//&gt; mínimo mediados de noviembre (Tarragona)// nos indica las siguientes fechas previstas para finalizar 17/10/2025 (Tarragona)</t>
  </si>
  <si>
    <t>2025/534</t>
  </si>
  <si>
    <t>Comunicación urgente – Incidencia con clientes y suspensión de actividad 18/02/2026//Reincorporación prevista: 09/02</t>
  </si>
  <si>
    <t>2025/555</t>
  </si>
  <si>
    <t>o</t>
  </si>
  <si>
    <t>Comunicación urgente – Incidencia con clientes y suspensión de actividad 18/02/2026//Parón del 28/01 al 04/02</t>
  </si>
  <si>
    <t>RONESON MOREIRA DA SILVA</t>
  </si>
  <si>
    <r>
      <t>Motivo:</t>
    </r>
    <r>
      <rPr>
        <sz val="11"/>
        <color rgb="FF242424"/>
        <rFont val="Segoe UI"/>
        <family val="2"/>
      </rPr>
      <t> No superado el periodo de prueba.</t>
    </r>
  </si>
  <si>
    <t xml:space="preserve"> 22/06/2026 Prevision 2 meses//</t>
  </si>
  <si>
    <t>JORGE LUIS LOMAS OSUIZA</t>
  </si>
  <si>
    <t>Hostal ** EC León  San Juan Bosco Nº 3, 24009 León, España</t>
  </si>
  <si>
    <t>Contacto: +34 623 10 33 26</t>
  </si>
  <si>
    <t>2026/826</t>
  </si>
  <si>
    <t>JOAO FIRMO CERQUEIRA</t>
  </si>
  <si>
    <t>EDER MANUEL PEREIRA SAMBRANO</t>
  </si>
  <si>
    <t>C. Juan XXIII, 22720 Hecho, Huesca, Spain</t>
  </si>
  <si>
    <t>Pablo +34 677461284</t>
  </si>
  <si>
    <t>2026/798</t>
  </si>
  <si>
    <t>Alex: 04/08 Tenemos otra obra allí en Huesca como comenté en su momento y la idea era comenzar esa al terminar con la que estamos y es un poco mas grande, asique entiendo que 2 meses mínimo deberían quedar, seguramente mas///Rebecca una seman mas es decir hasta el dia 07/08</t>
  </si>
  <si>
    <t>NAREN SEBASTIAN AYALA MELO</t>
  </si>
  <si>
    <t>05/08/2026 Kawan informa: Previsión hasta el dia 11/09//Norcal hasta 10 agosto  informo kawan cosas importantes teams el 26/03/2026</t>
  </si>
  <si>
    <t>LUIS ENRIQUE LOPEZ CRESPO</t>
  </si>
  <si>
    <t>05/08/2026 Kawan informa: Previsión hasta el dia 11/09//Norcal hasta 10 agosto //08/05/2026: Luis Henrique López se queda un mes mas.//finalizan hoy, 08/05//Norcal hasta 10 agosto  informo kawan cosas importantes teams el 26/03/2026</t>
  </si>
  <si>
    <t>05/08/2026 Kawan informa: Previsión hasta el dia 11/09//Norcal hasta 10 agosto  informo kawan cosas importantes teams el 26/03/2026-Informo Yajaira por teams -Luis Hernando Hinestroza Valencia, finalmente acepto la vacante e ingresa a laborar el 12/02/2026.</t>
  </si>
  <si>
    <t>05/08/2026 Kawan informa: Previsión hasta el dia 11/09//Norcal hasta 10 agosto</t>
  </si>
  <si>
    <t>06/07/2026 Segorbe 3 meses//Cristian informo via team 08/04/2026 Segorbe 3 meses más//Cristian informo 10/03/2026- prevision de 1 a 2 meses//Cristian informo por whatsapp18/02/2026: segorbe, hasta el 27 de febrero///ibraim da prevision hasta mediados de febrero de 2026//SIGUE HASTA ENERO DEL 2026 MINIMO//prevision hasta mediados de diciembre</t>
  </si>
  <si>
    <t>06/07/2026 Segorbe 3 meses//Cristian informo via team 08/04/2026 Segorbe 3 meses más/Cristian informo 10/03/2026- prevision de 1 a 2 meses/Cristian informo por whatsapp18/02/2026: segorbe, hasta el 27 de febrero//ibraim da prevision hasta mediados de febrero de 2026//SIGUE HASTA ENERO DEL 2026 MINIMO//prevision hasta mediados de diciembre</t>
  </si>
  <si>
    <t> Appartamento Galgani Via Santa Gemma Galgani 35 55100 LUCCA (LU) ITALIA</t>
  </si>
  <si>
    <t>Sara  +39 378 308 1785</t>
  </si>
  <si>
    <t>2026/829</t>
  </si>
  <si>
    <t>CIUDAD</t>
  </si>
  <si>
    <t>NOMBRE</t>
  </si>
  <si>
    <t>IBAN</t>
  </si>
  <si>
    <t>FECHA FIN</t>
  </si>
  <si>
    <t>AVISO DIAS</t>
  </si>
  <si>
    <t>COSTO FIJO</t>
  </si>
  <si>
    <t>Columna1</t>
  </si>
  <si>
    <t>CAMAS</t>
  </si>
  <si>
    <t>Columna2</t>
  </si>
  <si>
    <t>ORENSE</t>
  </si>
  <si>
    <t>Rebeca Conde</t>
  </si>
  <si>
    <t>IE87 HSBC 9902 3190 1816 94</t>
  </si>
  <si>
    <t>ES79 0182 5297 2802 0253 0924</t>
  </si>
  <si>
    <t>Ingresan Alojamiento Gustavo 05/06</t>
  </si>
  <si>
    <t>NELLY VERGE ESTEFANIA </t>
  </si>
  <si>
    <t>ES54 0239 0806 7800 4944 8327</t>
  </si>
  <si>
    <t>PISO PAGO HSTA DICIEMBRE</t>
  </si>
  <si>
    <t>ES57 0182 5011 1902 0191 0129</t>
  </si>
  <si>
    <t>Cambio de alojamiento Jacinto Benavente 20 4°1° Mollet del Vallés sale 27/04/// hostalCan Parera</t>
  </si>
  <si>
    <t>ES30 0182 0786 1602 0165 9710</t>
  </si>
  <si>
    <t>ES14 0049 7466 9924 1000 6112</t>
  </si>
  <si>
    <t>María Cinta Homedes Esteve</t>
  </si>
  <si>
    <t>ES43 2100 0109 0101 0111 0305</t>
  </si>
  <si>
    <t>//FIN DE LA OBRA 31/08/Carrer Major, 82 1B, La Galera, Catalunya 43515, España Teresa +34 606 09 06 35//Salen del hotel Bon Lloc///Carrer de les Parres, 41, Alcanar, Catalunya 43530, España//Alojamiento fijo 09/08/2024 SALIDA  ALJ 31/08/2024</t>
  </si>
  <si>
    <t>ES14-0049-6682-0229-1006-9254</t>
  </si>
  <si>
    <t>01 MES</t>
  </si>
  <si>
    <t>Sale del hotel Hotel Derby Av Julio Rodriguez Soto 46 32500 03/05 pasa Alojamiento fijo</t>
  </si>
  <si>
    <t>Plaza Santo Panza 6 bajo izquierdo Huelva</t>
  </si>
  <si>
    <t>Ismael 687908247</t>
  </si>
  <si>
    <t>CONTRATO CULMINADO 30/9</t>
  </si>
  <si>
    <t>M.ª DEL PILAR MÁRQUEZ CONTRERAS</t>
  </si>
  <si>
    <t>ES21 0237 0500 7091 7345 7591</t>
  </si>
  <si>
    <t>Mai Luz Tamame</t>
  </si>
  <si>
    <t>ES09 2095 0304 6091 0085 9563</t>
  </si>
  <si>
    <t>ANA PALOMO SANCHEZ</t>
  </si>
  <si>
    <t>ES5201824610530201510145</t>
  </si>
  <si>
    <t>ES84 2100 0381 1301 0098 9746</t>
  </si>
  <si>
    <t>ES21 2100 4051 4321 0031 3761</t>
  </si>
  <si>
    <t>15 DIAS</t>
  </si>
  <si>
    <t>Irene Gómez Sastre</t>
  </si>
  <si>
    <t>ES29 3035 0298 16 2980024227</t>
  </si>
  <si>
    <t>MERCEDES SASTRE VICENTE</t>
  </si>
  <si>
    <t>ES93 2103 2336 2300 3300 0470</t>
  </si>
  <si>
    <t>Calle Julio Romero Guisado 18 , C.P. 14120, situada en Fte. Palmera</t>
  </si>
  <si>
    <t>Evaristo Reyes de la Rosa</t>
  </si>
  <si>
    <t>ES30 0049 4910 8529 9541 9991</t>
  </si>
  <si>
    <t>15 dias</t>
  </si>
  <si>
    <t xml:space="preserve">ES18 0182 3517 1902 0198 2912 </t>
  </si>
  <si>
    <t>Carrer Núria 132 piso 3º2ª</t>
  </si>
  <si>
    <t>Sergio Martinez +34 660 76 00 88</t>
  </si>
  <si>
    <t>ES19 0073 0100 5908 2308 7843</t>
  </si>
  <si>
    <t>Reemplazo de Ricardo Maya // alojamiento en tudela Calle Rúa 17 Bajo  INMA +34 616 95 39 86  FINAZA 350/ cambio a tauste 05/08// HOSTAL CASA PEPE  C. Sta. Clara, 7, BAJOS, 50660 Tauste, Zaragoza 976855832// Sale Al Fijo 28/08</t>
  </si>
  <si>
    <t>ES36 0237 0032 1091 7343 0214</t>
  </si>
  <si>
    <t>GROSCAN 98 S.L</t>
  </si>
  <si>
    <t>ES4201828745040201898840</t>
  </si>
  <si>
    <t>ALBERT PEGUERA </t>
  </si>
  <si>
    <t xml:space="preserve">ES69 1465 0120 3720 1004 0933 </t>
  </si>
  <si>
    <t>INMOBILIARIA INFINITY</t>
  </si>
  <si>
    <t>ES82 2095 0368 8490 2031 1184</t>
  </si>
  <si>
    <t>Marìa Mercedes Lopez Alarcòn</t>
  </si>
  <si>
    <t>ES71 3008 0223 2142 3003 3021</t>
  </si>
  <si>
    <t>ES97 0182 7242 7602 0180 8646</t>
  </si>
  <si>
    <t>Reemplazo de Hector Giobanni</t>
  </si>
  <si>
    <t>ES05 2100 9169 0713 0032 3722</t>
  </si>
  <si>
    <t>1.Hostal Sant JoanCarrer Sant Joan, 12, 08760 Martorell, Barcelona 2.// Pasan a Fijo 06/08 hasta 31/08Santa Maria de Miralles, provincia de Barcelona, Carretera C-37 (de Igualada a Valls) km 49, masia Mas Vilà//3. CAMBIAN ALOJAMIENTO FIJO 29/08</t>
  </si>
  <si>
    <t>ES30 2100 6587 5821 0003 9691</t>
  </si>
  <si>
    <t>Trabajo 06/09///Pasan a alojamiento fijo desde el 18/07</t>
  </si>
  <si>
    <t>ES19 0075 0549 10 0600259931</t>
  </si>
  <si>
    <t>RENOVADO</t>
  </si>
  <si>
    <t>Calle del sol ixent bloque A.  25300 Tàrrega</t>
  </si>
  <si>
    <t>ANTONIO BONET SANTIVERI 
+34 648 04 70 95
+34 637 25 64 60</t>
  </si>
  <si>
    <t>Hotel Molino Rosso via Selice 49 40028</t>
  </si>
  <si>
    <t>ES30 2100 0288 8902 0075 8375</t>
  </si>
  <si>
    <t>ES2702370110109169590805</t>
  </si>
  <si>
    <t>Roberto Ramos Paredes</t>
  </si>
  <si>
    <t>Roberto Ramos  +34 662 92 65 65</t>
  </si>
  <si>
    <t>ES19 0049 5396 3622 1613 2688</t>
  </si>
  <si>
    <t>DE67 1001 1001 2625 1423 94</t>
  </si>
  <si>
    <t xml:space="preserve"> Finaliza 06/09 //1. habitación con costo 335 // C. Antonio Moreno, 9, 10513 Cedillo, Cáceres Golli +34 638815593 // 2. Cambia alojamietno alcantara 01/09 </t>
  </si>
  <si>
    <t>ES08 3187 0218 3732 8302 7625</t>
  </si>
  <si>
    <t>ES39 1465 0100 91 1706181410</t>
  </si>
  <si>
    <t>1.Hotel San Pedro C. Melquiades Álvarez, 81, 33930 Langreo, Asturias Ana 985693211 // Pasan alojamiento Fijo 03/09</t>
  </si>
  <si>
    <t>ES48 0182 6460 8802 0175 7442</t>
  </si>
  <si>
    <t>Finaliza 14/09//1. Habitación con costo 250 euros y fianza 150 PASAN ALOJAMIENTO FIJO 02-08</t>
  </si>
  <si>
    <t>FR76 3000 4004 6000 0000 4111 677</t>
  </si>
  <si>
    <t>ES23 2100 0033 1002 0158 3714</t>
  </si>
  <si>
    <t>FIN 06/09</t>
  </si>
  <si>
    <t>Rda. de San Antonio María Claret, 28, 17002 Girona hasta el 18/08/2024</t>
  </si>
  <si>
    <t>calle Cid número 17, puerta 15 de Alacuás (Valencia) 46970.</t>
  </si>
  <si>
    <t>ES15 0182 0499 1802 0857 7140</t>
  </si>
  <si>
    <t>1. Hotel Aviación Calle Juan de la Cierva, 17, 46940 Manises, Valencia 961538603 // 2. Al fijo 14/08/2024</t>
  </si>
  <si>
    <t>CALLE JOSE MIGUEL DE AYERBE BARANDIRARAN 1 3ERO ID</t>
  </si>
  <si>
    <t>ES79 2095 0212 0091 0531 8434</t>
  </si>
  <si>
    <t>31-04-25</t>
  </si>
  <si>
    <t>1.PENSION MIRIVILLA C. Juan de Garay, 35, Ibaiondo, 48003 Bilbao, Vizcaya /2.Hotel Naval /3.07/08/2024 Pasa a Fijo</t>
  </si>
  <si>
    <t>ES81 0081 1568 5100 0102 9403</t>
  </si>
  <si>
    <t>30 dias</t>
  </si>
  <si>
    <t>Fecha Fin aprox 03/09/ Ingresan a piso 10/07</t>
  </si>
  <si>
    <t>ELGOÍBAR</t>
  </si>
  <si>
    <t>ES76 2080 3615 4230 4020 8533</t>
  </si>
  <si>
    <t xml:space="preserve">CALLE PADRE CONDE NUMERO SEIS PRIMERO B  DE BURGOS, </t>
  </si>
  <si>
    <t>ES42 0182 7924 7402 0803 3686</t>
  </si>
  <si>
    <t>ES66 2100 3928 5301 0062 4326</t>
  </si>
  <si>
    <t>Cambia alojamiento de Rosa 28/05///Calle grupo Alferez Rojas 41BD Zaragoza.</t>
  </si>
  <si>
    <t>ES32 0182 6440 3402 0158 1247</t>
  </si>
  <si>
    <t>ES12 0182 9771 6602 0010 2340</t>
  </si>
  <si>
    <t>ES68 3191 0079 4149 4577 5817</t>
  </si>
  <si>
    <t>ES40 2095 5009 7010 6208 3109</t>
  </si>
  <si>
    <t>INMA +34 616 95 39 86</t>
  </si>
  <si>
    <t>31/09/24 sale para alojamiento propio</t>
  </si>
  <si>
    <t>ES66 2100 1085 9801 0036 5310</t>
  </si>
  <si>
    <t>Sale de Alojamiento 16/05 Erika C. Benjamín Palencia, 2, portal 3 piso 3 b, 28850 Torrejón de Ardoz, Madrid</t>
  </si>
  <si>
    <t>ES30 2100 7760 8421 0004 8152</t>
  </si>
  <si>
    <t>IT92D0100513100000000003809</t>
  </si>
  <si>
    <t>ES17 3058 0971 2527 2000 9720.</t>
  </si>
  <si>
    <t>1.HOSTAL CASTILLA  C. Arenal 110 bajo. Mesón La Parrilla. Cp09200. Miranda de Ebro. Burgos.// pasan a Al fijo 13/08/2024</t>
  </si>
  <si>
    <t>ES40 2100 4076 1322 0020 2590</t>
  </si>
  <si>
    <t xml:space="preserve">Cambio de Alojamiento 31/08//Pasa Alojamiento fijo 16/07Calle caridad 7 piso segunda planta//Posadas España Avenida Luxemburgo, s/n, 30353 Cartagena, España </t>
  </si>
  <si>
    <t>Ángela Méndez Morales 650236154</t>
  </si>
  <si>
    <t>ES17 0073 0100 5805 2236 3387</t>
  </si>
  <si>
    <t>ES57 2100 1977 3502 0017 3237</t>
  </si>
  <si>
    <t>FINALIZA 15/11</t>
  </si>
  <si>
    <t>ES2400810190460006199931 </t>
  </si>
  <si>
    <t>Calle Picañol 76 2o 2ª, C.postal 08208 - Zona Cruz Alta</t>
  </si>
  <si>
    <t>Lorenza Arteaga +34 667 27 25 71</t>
  </si>
  <si>
    <t>La dueña solo quiere personal de la oficina, SOLO PAGO EN EFECTIVO</t>
  </si>
  <si>
    <t>El jardín Vitoria S.L.</t>
  </si>
  <si>
    <t>ES15 0049 7146 3129 1000 2614</t>
  </si>
  <si>
    <t>ES50 0030 7001 4103 9518 6273</t>
  </si>
  <si>
    <t>Alojamiento cliente Aillament</t>
  </si>
  <si>
    <t>ES48 2100 1631 6001 0059 0747</t>
  </si>
  <si>
    <t>DE65 7215 0000 0000 234294</t>
  </si>
  <si>
    <t>Se renovo pte nuevo contrato</t>
  </si>
  <si>
    <t>Fecha Fin aprox 03/09/Pasa alojamiento de raul 20/06</t>
  </si>
  <si>
    <t>C/ sant josep 9, 3º puerta 4, ciudad de Valencia </t>
  </si>
  <si>
    <t>ES02 3081 0816 8150 0020 1203</t>
  </si>
  <si>
    <t>ES3502390806713933968921</t>
  </si>
  <si>
    <t>ES0268880001600208421027</t>
  </si>
  <si>
    <t>ES61.0081.5234.1900.0128.7829.</t>
  </si>
  <si>
    <t>Ingresan Alojamiento fijo 26/05///HOTEL Alda Miramar Rooms C. Sta. Lucía, 9, Centro, 33206 Gijón, Asturias +34984506500</t>
  </si>
  <si>
    <t>JOAQUINA VIDAL DOMINGO</t>
  </si>
  <si>
    <t>ES37 3191 OO11 4640 1536 2611</t>
  </si>
  <si>
    <t>Pilar Jorrillo  +34 661822690</t>
  </si>
  <si>
    <t>ES24 0049 0059 8221 9193 8547</t>
  </si>
  <si>
    <t>Reemplazo de Royember</t>
  </si>
  <si>
    <t>Guisslle (Mari Mendez +34 665 35 03 56)</t>
  </si>
  <si>
    <t>ES35 3008 0160 4143 2899 9216</t>
  </si>
  <si>
    <t>Yolanda Moreno Cruz DNI 40333670L</t>
  </si>
  <si>
    <t>Yolanda Moreno Cruz +34 620 03 75 49 Casilda Cruz 972 209 159</t>
  </si>
  <si>
    <t>ES82 2100 1631 6502 0010 5003</t>
  </si>
  <si>
    <t>Casilda Cruz( 972 209 159) ES48 2100 1631 6001 0059 0747</t>
  </si>
  <si>
    <t>Patxo +34 607 43 88 72</t>
  </si>
  <si>
    <t>Salen de Alojamiento Alicia Calle Busturbi Kalea, 7 7, Gamarra Nagusia 21/03</t>
  </si>
  <si>
    <t>Solicitud de traslado del cliente a Brcelona</t>
  </si>
  <si>
    <t>Carrer del Papa Pius XI, 20,  2° puerta 1  08208 Sabadell</t>
  </si>
  <si>
    <t>BÉLGICA</t>
  </si>
  <si>
    <t>Pasan Alojamiento fijo 20/07//C. Cánovas del Castillo, 4, 28807 Alcalá de Henares</t>
  </si>
  <si>
    <t>Calle Ocarina. Ciudad Valladolid</t>
  </si>
  <si>
    <t>RIOJA</t>
  </si>
  <si>
    <t>REEMPLAZO  DE YUNNIS</t>
  </si>
  <si>
    <t>JOSEP TREPAT</t>
  </si>
  <si>
    <t>ES67 0075 5992 1107 0064 1343</t>
  </si>
  <si>
    <t xml:space="preserve">Contrato renovado///Fianza devuelta 1200€, quedan 2800 fianza nuevo contrato </t>
  </si>
  <si>
    <t>ES67 2103 7212 5100 3000 6689</t>
  </si>
  <si>
    <t>FINALIZA 17-11</t>
  </si>
  <si>
    <t>ES84 0182 8653 5202 0015 3944</t>
  </si>
  <si>
    <t>ES54 2080 0230 6530 4001 5921</t>
  </si>
  <si>
    <t>Miguel Muñoz +34 606 58 39 69</t>
  </si>
  <si>
    <t>ES29 3009 0088 28 2747159412</t>
  </si>
  <si>
    <t>ES44 0049 5923 0724 1611 1512</t>
  </si>
  <si>
    <t>ES91-0081-5723-84-0006300938</t>
  </si>
  <si>
    <t>FINALIZA 15-11</t>
  </si>
  <si>
    <t>ES76 0182 0733 1402 0163 5925</t>
  </si>
  <si>
    <t>C/ MINAS DE RIOTINTO1, URB. LAS CANOAS, EDIF. ANGELA MARISA, PORTAL 1, 1ºF. PUNTA UMBRÍA (HUELVA).</t>
  </si>
  <si>
    <t>Carlos Alvarez 606 60 59 08</t>
  </si>
  <si>
    <t>ES73 0049 4960 4027 1611 9547</t>
  </si>
  <si>
    <t>8 DIAS</t>
  </si>
  <si>
    <t xml:space="preserve">Calle Hernan Nº 2 Esc 1º Planta 3º Puerta A en Alcala de Henares </t>
  </si>
  <si>
    <t>Mercedes Alkila +34 648 02 59 39 (Renta)</t>
  </si>
  <si>
    <t>ES90 1465 0200 24 2037984056</t>
  </si>
  <si>
    <t>Mercedes Alkila +34 648 02 59 39 (limpieza)</t>
  </si>
  <si>
    <t>ES08 1465 0100 96 2021407764</t>
  </si>
  <si>
    <t xml:space="preserve">ES87 2100 2238 5001 0033 6600 </t>
  </si>
  <si>
    <t>Alejandra Yáñez Andrades</t>
  </si>
  <si>
    <t>Alejandra +34 658 06 64 09</t>
  </si>
  <si>
    <t>ES7001825322280201390571</t>
  </si>
  <si>
    <t>Fianza devuelta 18/10</t>
  </si>
  <si>
    <t>Carretera d´hostalric sa sant hilari km 16-300 17401 Arbucies</t>
  </si>
  <si>
    <t xml:space="preserve">Patricia Reus Valls </t>
  </si>
  <si>
    <t>APARTAHOTEL</t>
  </si>
  <si>
    <t>Legazpi Kalea, 5, 20700 Zumarraga, Gipuzkoa</t>
  </si>
  <si>
    <t>Antonia  670264922</t>
  </si>
  <si>
    <t>Carrer de Gaietà Ventalló, 36, 08100 Mollet del Vallès, Barcelona</t>
  </si>
  <si>
    <t>Orlando +34 645 09 89 36</t>
  </si>
  <si>
    <t>Calle olaguibel 46, 6to izquierda</t>
  </si>
  <si>
    <t>ES82 0049 2272 1525 1412 6507</t>
  </si>
  <si>
    <t>Ravenna, Emilia-Romagna, Italia</t>
  </si>
  <si>
    <t>IT37E0854213100000000746568</t>
  </si>
  <si>
    <t>Arnalt de Larrasoaña 1. Piso 1ºA CP 31016 Pamplona</t>
  </si>
  <si>
    <t xml:space="preserve">JOSE RAMON +34 644 34 42 76 </t>
  </si>
  <si>
    <t>ES50 2095 5664 1091 2013 3149</t>
  </si>
  <si>
    <t>ES6100810003930001851788</t>
  </si>
  <si>
    <t>Virgen de la Paz, 2, Benarrabá, Andalucía 29490, España</t>
  </si>
  <si>
    <t>Inmaculada +34 646 25 22 71</t>
  </si>
  <si>
    <t>ES 43 0075 0595 1006 0031 8891</t>
  </si>
  <si>
    <t xml:space="preserve">BARCELONA </t>
  </si>
  <si>
    <t>ES95 2100 0360 0302 0040 6873</t>
  </si>
  <si>
    <t>habitaciòn Luccas oficina</t>
  </si>
  <si>
    <t>ES75 0182 0382 7102 0152 2078</t>
  </si>
  <si>
    <t>Cari Rooms Salomons Pisos Madrid
+34 658 13 23 00</t>
  </si>
  <si>
    <t>Renta   1150 €  ES76 1465 0100 99 1761827991
Limpieza  303€  ES08 1465 0100 96 2021407764
Fianza   950€   ES 52 1465 0100 9220 4565 3288</t>
  </si>
  <si>
    <t>28-11-24</t>
  </si>
  <si>
    <t>Tatiana orozco  padilla +34 603 92 93 84</t>
  </si>
  <si>
    <t>ES442100 0007 8402 0205 3691</t>
  </si>
  <si>
    <t>DOLORES +34 696 56 85 51</t>
  </si>
  <si>
    <t>PAGO EFECTIVO</t>
  </si>
  <si>
    <t>ES51 2100 5204 0521 0036 3066</t>
  </si>
  <si>
    <t>ES6420953150209120384498</t>
  </si>
  <si>
    <t xml:space="preserve">GIRONA </t>
  </si>
  <si>
    <t>Agencia PRUJA FORNIELES PARES SL</t>
  </si>
  <si>
    <t>ES09 0182 7307 4202 0009 3104</t>
  </si>
  <si>
    <t xml:space="preserve">ASTURIAS </t>
  </si>
  <si>
    <t xml:space="preserve">ES05 2100 5946 4113 0049 2324 </t>
  </si>
  <si>
    <t>María del Carmen Jarones Bueno</t>
  </si>
  <si>
    <t>ES89 0049 5475 8124 1605 8084</t>
  </si>
  <si>
    <t>31-09-25</t>
  </si>
  <si>
    <t xml:space="preserve">TUDELA </t>
  </si>
  <si>
    <t>ES85 0049 0036 1120 1163 8187</t>
  </si>
  <si>
    <t>ES26 0049 0194 8320 1024 2467</t>
  </si>
  <si>
    <t xml:space="preserve">PALENCIA </t>
  </si>
  <si>
    <t>APARTAMENTOS EN VILLALOBON, SL.</t>
  </si>
  <si>
    <t>ES75 3085 0095 6127 4469 0724</t>
  </si>
  <si>
    <t>JORDI FLORES NAVARRO</t>
  </si>
  <si>
    <t>ES97 0182 7932 5102 0150 5808</t>
  </si>
  <si>
    <t>Silvia Llobregat Rego</t>
  </si>
  <si>
    <t>ES51 0049 4680 8221 1606 4277</t>
  </si>
  <si>
    <t>ES64 3059 0024 8715 4935 7117</t>
  </si>
  <si>
    <t>Calle de Sant Isidor 31, 2-2, Sabadell. Espanha.</t>
  </si>
  <si>
    <t xml:space="preserve">ES94 0081 0217 1900 0189 9798 </t>
  </si>
  <si>
    <t>ES48 2100 2574 7701 1030 3680</t>
  </si>
  <si>
    <t>calle Bertrán de Seva 2 Granollers</t>
  </si>
  <si>
    <t>BE28 9051 6985 8020</t>
  </si>
  <si>
    <t>ES7401826380930201599030</t>
  </si>
  <si>
    <t>María Luisa Mompó Buchón</t>
  </si>
  <si>
    <t>ES12 3058 2223 3528 1001 1026</t>
  </si>
  <si>
    <t>aloajmiento pago hasta febrero 2025</t>
  </si>
  <si>
    <t>ES74 2100 4314 1122 0005 0108</t>
  </si>
  <si>
    <t>ES67 2100 2904 0502 1632 9505</t>
  </si>
  <si>
    <t>ES32 0049 7343 7123 1000 1072</t>
  </si>
  <si>
    <t>calle Manuel Iradier 28 4º dcha. Vitoria-Gasteiz</t>
  </si>
  <si>
    <t>ES51 2095 3150 2110 9166 3061</t>
  </si>
  <si>
    <t>Granollers, calle Moianés 11 5º-2ª</t>
  </si>
  <si>
    <t>D. Alejandro Martín</t>
  </si>
  <si>
    <t>ES 92 2103 7442 45 0010002945</t>
  </si>
  <si>
    <t>Gustavo +34 684 37 35 79</t>
  </si>
  <si>
    <t>María Lourdes Rodríguez Dafolgueira</t>
  </si>
  <si>
    <t>ES83 3008 0265 05 4384722627</t>
  </si>
  <si>
    <t>C. Corpus Christi, 10, 47005 Valladolid</t>
  </si>
  <si>
    <t xml:space="preserve">CANTABRIA </t>
  </si>
  <si>
    <t>Carlos Maza Rodríguez</t>
  </si>
  <si>
    <t>ES35 0128 0391 2501 0001 9002</t>
  </si>
  <si>
    <t>ALMERIA</t>
  </si>
  <si>
    <t>ES8621035060150010051940</t>
  </si>
  <si>
    <t>ES25 2100 7794 8207 0050 0667</t>
  </si>
  <si>
    <t>ES83 0182 0573 1002 0170 6366</t>
  </si>
  <si>
    <t>C. Escritor Andeyro Castillo, 1, Málaga-Este, 29017 Málaga - APARTAMENTOS LA MUNDIAL</t>
  </si>
  <si>
    <t>ES54 0081 7444 1100 0156 2064</t>
  </si>
  <si>
    <t>ES45 2100 4698 73 02 0000 9448</t>
  </si>
  <si>
    <t>GIPUZKOA</t>
  </si>
  <si>
    <t>ES7630080181355322571729</t>
  </si>
  <si>
    <t>ES98 0049 7466 9121 1003 1231</t>
  </si>
  <si>
    <t>JAVIER LATORRE TUDELA</t>
  </si>
  <si>
    <t>ES6500495286252416050825</t>
  </si>
  <si>
    <t>FJO</t>
  </si>
  <si>
    <t>PTE CONTRATO</t>
  </si>
  <si>
    <t>C/ Ancla nº3 1ºB 21130 Mazagón (Huelva)</t>
  </si>
  <si>
    <t>ES37 2100 2704 3302 1011 1273</t>
  </si>
  <si>
    <t>FR76 4061 8802 8300 0400 5655 647</t>
  </si>
  <si>
    <t>Eliana lizeth jaramillo piedrahita</t>
  </si>
  <si>
    <t>ES74 0049 0036 1329 1162 3881</t>
  </si>
  <si>
    <t>N/A</t>
  </si>
  <si>
    <t>C/ Rosario, 42 2B - de la ciudad de Albacete</t>
  </si>
  <si>
    <t>ES10 0081 5387 5600 0102 3107</t>
  </si>
  <si>
    <t>C/ Rosario, 42 2A - de la ciudad de Albacete</t>
  </si>
  <si>
    <t>ES20 2100 4533 7321 0059 7154</t>
  </si>
  <si>
    <t>Tamara Troyano Dominguez</t>
  </si>
  <si>
    <t>ES16 2100 4418 1201 0020 2416</t>
  </si>
  <si>
    <t>ES60 3183 1400 5810 0307 1824</t>
  </si>
  <si>
    <t>C. de San Asturio Serrano, 1, 2 1º B 28802 Alcalá de Henares, Madrid</t>
  </si>
  <si>
    <t xml:space="preserve">Renta   1150 €  ES90 1465 0200 24 2037984056
Limpieza  303€  ES08 1465 0100 96 2021407764
</t>
  </si>
  <si>
    <t>1.613€ </t>
  </si>
  <si>
    <t>ES49 2100 2086 5501 0012 6874</t>
  </si>
  <si>
    <t>ES900 1826800970201788521</t>
  </si>
  <si>
    <t xml:space="preserve">VALENCIA </t>
  </si>
  <si>
    <t>Jose Angel Felipe Tamarit</t>
  </si>
  <si>
    <t xml:space="preserve">José +34 744 70 70 70
</t>
  </si>
  <si>
    <t>ES27 0049 0011 2821 1084 1451</t>
  </si>
  <si>
    <t>CARLOS AREIZAGA AGORRETA</t>
  </si>
  <si>
    <t>Marta Naharro Garcia</t>
  </si>
  <si>
    <t>ES88 2100 0014 1702 0102 6565</t>
  </si>
  <si>
    <t xml:space="preserve">	Plaza constitucion 8, 3 izquierda</t>
  </si>
  <si>
    <t>Shisly Castro Hernandez</t>
  </si>
  <si>
    <t>SHISLY +34 674 81 42 35</t>
  </si>
  <si>
    <t>ES48 0049 0036 1021 1161 4571</t>
  </si>
  <si>
    <t>situada en C/Rat de Penat, Nº6 Bajo, Urb.La Malla, 46940, Manises-Valencia.</t>
  </si>
  <si>
    <t>Pedro García Trillo</t>
  </si>
  <si>
    <t>Shidue kojarata yoshitomy</t>
  </si>
  <si>
    <t>Bizum +34 697 32 54 97</t>
  </si>
  <si>
    <t>Octavian Sabin Brinzeiu</t>
  </si>
  <si>
    <t>ES87 2100 7794 8102 0003 6830</t>
  </si>
  <si>
    <t>Santiago Varela Pallarolas</t>
  </si>
  <si>
    <t>ES60 2100 2380 9902 0014 9897</t>
  </si>
  <si>
    <t>Casa situada en Carrer Ponent, núm. 5, de Banyoles.</t>
  </si>
  <si>
    <t>MANUEL JESUS FERNANDEZ CASTELLA</t>
  </si>
  <si>
    <t>Alberto 667 71 21 17/ Maria +34 693 59 44 11</t>
  </si>
  <si>
    <t>ES42 2100 4235 5121 0055 4924</t>
  </si>
  <si>
    <t xml:space="preserve">Jaume </t>
  </si>
  <si>
    <t>+34 619 75 79 50 Jaume</t>
  </si>
  <si>
    <t>ES 05 2100 0509 5502 0052 1103</t>
  </si>
  <si>
    <t>CACERES</t>
  </si>
  <si>
    <t>Francisco Jose Gonzalez Briz</t>
  </si>
  <si>
    <t>ES13 2103 7843 34 0010187974</t>
  </si>
  <si>
    <t>ANA ISABEL HERNÁNDEZ CASTRO</t>
  </si>
  <si>
    <t>+34 630 97 06 59 ~Anita</t>
  </si>
  <si>
    <t>ES39 2103 4401 5700 1236 4924</t>
  </si>
  <si>
    <t>ES49 2100 4465 4801 0025 4065</t>
  </si>
  <si>
    <t>Isabel Quintanar Del Rey Cuenca</t>
  </si>
  <si>
    <t xml:space="preserve">Bizum +34 608 99 72 60 Isabel                                 Bizum +34 610 57 38 29 AAB (hijo Isabel)               
Bizum +34 629 84 95 91 Josema (Esposo Isabel)     </t>
  </si>
  <si>
    <t>NURIA GARCIA BORRERO</t>
  </si>
  <si>
    <t>ES29 2100 7167 8702 0002 8966</t>
  </si>
  <si>
    <t>MARIA DOLORES OUTEDA PIETO</t>
  </si>
  <si>
    <t>Diego Fonseca.+34 692 060 557.</t>
  </si>
  <si>
    <t>ES84 2100 4247 1022 0014 5671</t>
  </si>
  <si>
    <t>Zulema Rodríguez felix</t>
  </si>
  <si>
    <t>ES0630080243703530973712</t>
  </si>
  <si>
    <t>MOHAMMED DJAWAD BERRAHOU</t>
  </si>
  <si>
    <t>ES08 2100 4144 4407 0000 6432</t>
  </si>
  <si>
    <t>Manuel Donaire Moro</t>
  </si>
  <si>
    <t xml:space="preserve">Bizum 634591539 </t>
  </si>
  <si>
    <t>Eulogio Serdan Kalea, 19, 01012 Vitoria-Gasteiz – Alava</t>
  </si>
  <si>
    <t>MARIA CRISTINA VELASQUEZ MENDEZ</t>
  </si>
  <si>
    <t>ES76 3035 0429 09 4291014272</t>
  </si>
  <si>
    <t>ALOJAMIENTO DE STOCCO LO PASA EL 13/04 A KR</t>
  </si>
  <si>
    <t>1A142 Av. Manuel Llaneza, 43, Centro, 33208 Gijón, Asturias, Spain</t>
  </si>
  <si>
    <t>R2R Consulting Inmobiliario</t>
  </si>
  <si>
    <t>ES82 3035 0363 9936 3002 1492</t>
  </si>
  <si>
    <t>1A111 C. Conde Toreno, 34, Gijon-Este, 33204 Gijón, Asturias, Spain</t>
  </si>
  <si>
    <t>110A 46 Avenida de Portugal, 33207 Gijón, España</t>
  </si>
  <si>
    <t>168A  Av. Manuel Llaneza, 43,Centro, 33208 Gijón, Asturias, Spain</t>
  </si>
  <si>
    <t>Jaime septien parras</t>
  </si>
  <si>
    <t>Luis Fernando Martinez Martínez de Baroja</t>
  </si>
  <si>
    <t>ES8420953115609117921098</t>
  </si>
  <si>
    <t>PENDIENTE REVISAR Y GUARDAR CONTRATO</t>
  </si>
  <si>
    <t>EDWIN ARMANDO FLOREZ</t>
  </si>
  <si>
    <t>ES64 2095 3150 2091 2038 4498</t>
  </si>
  <si>
    <t>Alfonso Ameijeiras Traserra</t>
  </si>
  <si>
    <t>ES02 2100 3206 6122 0063 3392</t>
  </si>
  <si>
    <t>01  CAMA KOTRIK</t>
  </si>
  <si>
    <t>Sergio Mendoza Ballestero (propietario)</t>
  </si>
  <si>
    <t>ES67 2100 4709 1902 0004 9269</t>
  </si>
  <si>
    <t>Nombre del propietario: Martin Azaola Unzueta</t>
  </si>
  <si>
    <t>ES06 0081 7058 0000 0104 1410</t>
  </si>
  <si>
    <t>Luis +34 630 74 80 77</t>
  </si>
  <si>
    <t>ES61 0049 5205 1428 9000 4179 021</t>
  </si>
  <si>
    <t>C/ GOYA Nº 3 5º DRCH</t>
  </si>
  <si>
    <t>Dº Adiran Gómez Gandarias</t>
  </si>
  <si>
    <t>ES84 0081 2710 1200 0882 6892</t>
  </si>
  <si>
    <t>POSIBILIDAD DE AMPLIAR PTE LLEVAR 01 CAMA</t>
  </si>
  <si>
    <t>AGROLUR 2000 SL</t>
  </si>
  <si>
    <t>ES ES43 6717 0002 9175 1877 0011</t>
  </si>
  <si>
    <t>Cristian Fusalba Fernández</t>
  </si>
  <si>
    <t>ES02 3085 0013 9927 4448 9218</t>
  </si>
  <si>
    <t>Contacto Arnulfo Sanchez Rueda +57 310 2130583</t>
  </si>
  <si>
    <t>PISO CEDIDO POR STOCCO 21-06-25</t>
  </si>
  <si>
    <t>Aracely Guzmán vaca</t>
  </si>
  <si>
    <t>ES4121002904020277244374</t>
  </si>
  <si>
    <t>Virginia izquierdo paredes</t>
  </si>
  <si>
    <t>Virginia +34 691 55 77 62 </t>
  </si>
  <si>
    <t>ES8430850013972680682016</t>
  </si>
  <si>
    <t>MANUEL DE SEDAS RODRÍGUEZ</t>
  </si>
  <si>
    <t>ES70 1465 0100 9117 6591 6459</t>
  </si>
  <si>
    <t>STOCCO</t>
  </si>
  <si>
    <t>CLARA MARÍA IGLESIA VALDAYO</t>
  </si>
  <si>
    <t>ES26 3187 0021 1226 9845 0513</t>
  </si>
  <si>
    <t>MANUEL AGUSTIN GONZALEZ VALDAYO</t>
  </si>
  <si>
    <t>ES93 2100 2696 4401 0102 7418</t>
  </si>
  <si>
    <t>Alex Guerrero Bortoloto</t>
  </si>
  <si>
    <t>ES14 0182 6296 1202 0805 2086</t>
  </si>
  <si>
    <t>Victoria Castillo</t>
  </si>
  <si>
    <t>ES6430350232902321050764</t>
  </si>
  <si>
    <t>MATILDE CECILIA BLASCO (NUBIA)</t>
  </si>
  <si>
    <t>Matilde 34 629441926</t>
  </si>
  <si>
    <t>ES260049548022271623 7671 </t>
  </si>
  <si>
    <t>Karol Valentina Marin Rivera</t>
  </si>
  <si>
    <t>ES6501820362250201583130</t>
  </si>
  <si>
    <t>325€ cada habitaciòn</t>
  </si>
  <si>
    <t>Nikhool Bulla</t>
  </si>
  <si>
    <t>ES58 0182 8114 2002 0013 5012</t>
  </si>
  <si>
    <t>Carrer Mestre Pompeu Fabra, 4, 08261 Cardona, Barcelona</t>
  </si>
  <si>
    <t>Joaquim Prujà Roca</t>
  </si>
  <si>
    <t>Begoña Martínez cuadra</t>
  </si>
  <si>
    <t>ES9020855655130330063095</t>
  </si>
  <si>
    <t>José María Labarta Arque</t>
  </si>
  <si>
    <t>ES5820855402450330246831 </t>
  </si>
  <si>
    <t>JOAQUIN OTALORA QUINTANA</t>
  </si>
  <si>
    <t>ES15 0081 2802 7200 0104 3813</t>
  </si>
  <si>
    <t>STOCCO (02 HABITACIONES) C/U 450€</t>
  </si>
  <si>
    <t>Juan Carlos Santamaria</t>
  </si>
  <si>
    <t>Plaça d'Andalusia, 7, 17007 Germans Sàbat, Girona.Apt 1</t>
  </si>
  <si>
    <t>ALLOTJAMENTS CALL DE GIRONA S.L</t>
  </si>
  <si>
    <t>ES5621001631680200143348</t>
  </si>
  <si>
    <t>DANNA CAMILA TORRES MILLAN</t>
  </si>
  <si>
    <t>ES5101826800960201651629</t>
  </si>
  <si>
    <t>Miguel Fuentes Moreda</t>
  </si>
  <si>
    <t>ES5730350274742740021868</t>
  </si>
  <si>
    <t>Homey Galicia Servicios Turísticos S.L.</t>
  </si>
  <si>
    <t>ES3520805571103040033887</t>
  </si>
  <si>
    <t>Antonio Rios Vega / Mercedes Cristina Rios Vega</t>
  </si>
  <si>
    <t>Patricia Pacha Inmo Services +34 667 71 15 00</t>
  </si>
  <si>
    <t>ES08 3058 0823 1027 20013749 </t>
  </si>
  <si>
    <t>MIGUEL GONZALO RAMÓN</t>
  </si>
  <si>
    <t>ES1320855313260330171251</t>
  </si>
  <si>
    <t>Diana Sánchez Jiménez </t>
  </si>
  <si>
    <t>ES3130080166145061650429</t>
  </si>
  <si>
    <t>Javier García de Vicuña</t>
  </si>
  <si>
    <t>ES7930080160485012261425</t>
  </si>
  <si>
    <t>LC VACATION, S.L.</t>
  </si>
  <si>
    <t>ES36 3191 0001 7965 0650 2126</t>
  </si>
  <si>
    <t>Jose Carlos Millan Homedes</t>
  </si>
  <si>
    <t>ES23 2100 0109 0401 0141 4419</t>
  </si>
  <si>
    <t>Marta Aguaviva Caballero</t>
  </si>
  <si>
    <t>ES50 0081 2706 1800 0832 8442</t>
  </si>
  <si>
    <t>BARDON SERVICES BCN, SL</t>
  </si>
  <si>
    <t>ES81 0182 1797 3702 0388 5161</t>
  </si>
  <si>
    <t>Oscar Herrero Mancebo</t>
  </si>
  <si>
    <t>Calle polvorín viejo N°5/ 1° Izquierda</t>
  </si>
  <si>
    <t>Eder Lope Campos</t>
  </si>
  <si>
    <t>Eder Lopez +34 647 42 64 28</t>
  </si>
  <si>
    <t>ES3020953321251094490876</t>
  </si>
  <si>
    <t>Calle zamora, 4 1A, 09003, Burgos</t>
  </si>
  <si>
    <t>DAVID PENA PLANELL</t>
  </si>
  <si>
    <t>ES58 0049 5272 7321 1608 4074</t>
  </si>
  <si>
    <t>CASILDA CRUZ POYATOS</t>
  </si>
  <si>
    <t>javier cote callejas</t>
  </si>
  <si>
    <t>ES54 2100 1783 5202 0005 1887</t>
  </si>
  <si>
    <t xml:space="preserve">ES90 2095 5312 3010 6341 5573
 </t>
  </si>
  <si>
    <t>APARTAMENTO  NEW GOTIC C/ Candeles número 1, ENTRESUELO.</t>
  </si>
  <si>
    <t>Maria Ángeles Palomar González</t>
  </si>
  <si>
    <t>Calle Tierra del Pan Nº 43,Valladolid.</t>
  </si>
  <si>
    <t>Eva Choclan Fuentes</t>
  </si>
  <si>
    <t>+34 606 50 59 95~Elisa</t>
  </si>
  <si>
    <t>ES35 0049 0954 8320 9128 2725</t>
  </si>
  <si>
    <t xml:space="preserve">Tiene 4 habitaciones, 2 baños y 3 camas </t>
  </si>
  <si>
    <t>Yolanda Moreno Cruz (Sra.Casilda Cruz Madre)</t>
  </si>
  <si>
    <t>+34 620 03 75 49 ~Yolanda</t>
  </si>
  <si>
    <t>Sra.Casilda Cruz</t>
  </si>
  <si>
    <t>E1235</t>
  </si>
  <si>
    <t>E0856</t>
  </si>
  <si>
    <t>E0651</t>
  </si>
  <si>
    <t>E0120</t>
  </si>
  <si>
    <t>E0826</t>
  </si>
  <si>
    <t/>
  </si>
  <si>
    <t>E1305</t>
  </si>
  <si>
    <t>E0706</t>
  </si>
  <si>
    <t>E0688</t>
  </si>
  <si>
    <t>no</t>
  </si>
  <si>
    <t>E0009</t>
  </si>
  <si>
    <t>E0821</t>
  </si>
  <si>
    <t>E0669</t>
  </si>
  <si>
    <t>E1017</t>
  </si>
  <si>
    <t>E0853</t>
  </si>
  <si>
    <t>E0803</t>
  </si>
  <si>
    <t>E1447</t>
  </si>
  <si>
    <t>E0864</t>
  </si>
  <si>
    <t>E0937</t>
  </si>
  <si>
    <t>E0813</t>
  </si>
  <si>
    <t>E0004</t>
  </si>
  <si>
    <t>E0977</t>
  </si>
  <si>
    <t>E0938</t>
  </si>
  <si>
    <t>E0533</t>
  </si>
  <si>
    <t>E1211</t>
  </si>
  <si>
    <t>E0901</t>
  </si>
  <si>
    <t>E0899</t>
  </si>
  <si>
    <t>E1213</t>
  </si>
  <si>
    <t>E1297</t>
  </si>
  <si>
    <t>E0743</t>
  </si>
  <si>
    <t>E1033</t>
  </si>
  <si>
    <t>E1002</t>
  </si>
  <si>
    <t>E1005</t>
  </si>
  <si>
    <t>E1003</t>
  </si>
  <si>
    <t>E0986</t>
  </si>
  <si>
    <t>E1021</t>
  </si>
  <si>
    <t>E1031</t>
  </si>
  <si>
    <t>E0582</t>
  </si>
  <si>
    <t>E0172</t>
  </si>
  <si>
    <t>E0794</t>
  </si>
  <si>
    <t>E0661</t>
  </si>
  <si>
    <t>E0245</t>
  </si>
  <si>
    <t>E0662</t>
  </si>
  <si>
    <t>E0162</t>
  </si>
  <si>
    <t>E0823</t>
  </si>
  <si>
    <t>E0778</t>
  </si>
  <si>
    <t>E1390</t>
  </si>
  <si>
    <t>E1001</t>
  </si>
  <si>
    <t>E0520</t>
  </si>
  <si>
    <t>E0987</t>
  </si>
  <si>
    <t>E1058</t>
  </si>
  <si>
    <t>E0451</t>
  </si>
  <si>
    <t>E1056</t>
  </si>
  <si>
    <t>E0447</t>
  </si>
  <si>
    <t>E0528</t>
  </si>
  <si>
    <t>E0712</t>
  </si>
  <si>
    <t>E0717</t>
  </si>
  <si>
    <t>E0862</t>
  </si>
  <si>
    <t>E0344</t>
  </si>
  <si>
    <t>E0427</t>
  </si>
  <si>
    <t>E1364</t>
  </si>
  <si>
    <t>E0759</t>
  </si>
  <si>
    <t>E0060</t>
  </si>
  <si>
    <t>E0859</t>
  </si>
  <si>
    <t>E0860</t>
  </si>
  <si>
    <t>E1184</t>
  </si>
  <si>
    <t>E1090</t>
  </si>
  <si>
    <t>E0455</t>
  </si>
  <si>
    <t>E0709</t>
  </si>
  <si>
    <t>E1046</t>
  </si>
  <si>
    <t>E0764</t>
  </si>
  <si>
    <t>E0767</t>
  </si>
  <si>
    <t>E0646</t>
  </si>
  <si>
    <t>E0678</t>
  </si>
  <si>
    <t>E0736</t>
  </si>
  <si>
    <t>E0797</t>
  </si>
  <si>
    <t>E0732</t>
  </si>
  <si>
    <t>E0946</t>
  </si>
  <si>
    <t>E0985</t>
  </si>
  <si>
    <t>E1205</t>
  </si>
  <si>
    <t>E0309</t>
  </si>
  <si>
    <t>E0885</t>
  </si>
  <si>
    <t>E0698</t>
  </si>
  <si>
    <t>E0918</t>
  </si>
  <si>
    <t>E0321</t>
  </si>
  <si>
    <t>E1360</t>
  </si>
  <si>
    <t>E0133</t>
  </si>
  <si>
    <t>E0292</t>
  </si>
  <si>
    <t>E1052</t>
  </si>
  <si>
    <t>E0656</t>
  </si>
  <si>
    <t>E0677</t>
  </si>
  <si>
    <t>E1051</t>
  </si>
  <si>
    <t>E0386</t>
  </si>
  <si>
    <t>E0785</t>
  </si>
  <si>
    <t>E0875</t>
  </si>
  <si>
    <t>E0737</t>
  </si>
  <si>
    <t>E1273</t>
  </si>
  <si>
    <t>E0181</t>
  </si>
  <si>
    <t>E0909</t>
  </si>
  <si>
    <t>E0768</t>
  </si>
  <si>
    <t>E0874</t>
  </si>
  <si>
    <t>E0952</t>
  </si>
  <si>
    <t>E0505</t>
  </si>
  <si>
    <t>E0733</t>
  </si>
  <si>
    <t>E0507</t>
  </si>
  <si>
    <t>E0828</t>
  </si>
  <si>
    <t>E1344</t>
  </si>
  <si>
    <t>E0463</t>
  </si>
  <si>
    <t>E0886</t>
  </si>
  <si>
    <t>E0420</t>
  </si>
  <si>
    <t>E0445</t>
  </si>
  <si>
    <t>E0923</t>
  </si>
  <si>
    <t>E0825</t>
  </si>
  <si>
    <t>E0798</t>
  </si>
  <si>
    <t>E0779</t>
  </si>
  <si>
    <t>E1198</t>
  </si>
  <si>
    <t>E0388</t>
  </si>
  <si>
    <t>E0750</t>
  </si>
  <si>
    <t>E1272</t>
  </si>
  <si>
    <t>E0903</t>
  </si>
  <si>
    <t>E0756</t>
  </si>
  <si>
    <t>E0302</t>
  </si>
  <si>
    <t>E0925</t>
  </si>
  <si>
    <t>E0699</t>
  </si>
  <si>
    <t>E0012</t>
  </si>
  <si>
    <t>E1343</t>
  </si>
  <si>
    <t>E0439</t>
  </si>
  <si>
    <t>E0893</t>
  </si>
  <si>
    <t>E0625</t>
  </si>
  <si>
    <t>E0894</t>
  </si>
  <si>
    <t>E1109</t>
  </si>
  <si>
    <t>E0611</t>
  </si>
  <si>
    <t>E1375</t>
  </si>
  <si>
    <t>E0676</t>
  </si>
  <si>
    <t>E0730</t>
  </si>
  <si>
    <t>E0810</t>
  </si>
  <si>
    <t>E1047</t>
  </si>
  <si>
    <t>E0422</t>
  </si>
  <si>
    <t>E0924</t>
  </si>
  <si>
    <t>E1221</t>
  </si>
  <si>
    <t>E0740</t>
  </si>
  <si>
    <t>E0456</t>
  </si>
  <si>
    <t>E1287</t>
  </si>
  <si>
    <t>E0769</t>
  </si>
  <si>
    <t>E0315</t>
  </si>
  <si>
    <t>E0983</t>
  </si>
  <si>
    <t>E0868</t>
  </si>
  <si>
    <t>E0550</t>
  </si>
  <si>
    <t>E0128</t>
  </si>
  <si>
    <t>E1050</t>
  </si>
  <si>
    <t>E0224</t>
  </si>
  <si>
    <t>E0394</t>
  </si>
  <si>
    <t>E0714</t>
  </si>
  <si>
    <t>E0984</t>
  </si>
  <si>
    <t>E0713</t>
  </si>
  <si>
    <t>E0110</t>
  </si>
  <si>
    <t>E1105</t>
  </si>
  <si>
    <t>E0679</t>
  </si>
  <si>
    <t>E0132</t>
  </si>
  <si>
    <t>E1137</t>
  </si>
  <si>
    <t>E0537</t>
  </si>
  <si>
    <t>E0508</t>
  </si>
  <si>
    <t>E0689</t>
  </si>
  <si>
    <t>E0940</t>
  </si>
  <si>
    <t>E0530</t>
  </si>
  <si>
    <t>E0760</t>
  </si>
  <si>
    <t>E0978</t>
  </si>
  <si>
    <t>E0690</t>
  </si>
  <si>
    <t>E1921</t>
  </si>
  <si>
    <t>E1060</t>
  </si>
  <si>
    <t>E0960</t>
  </si>
  <si>
    <t>E1054</t>
  </si>
  <si>
    <t>E0822</t>
  </si>
  <si>
    <t>E0809</t>
  </si>
  <si>
    <t>E0457</t>
  </si>
  <si>
    <t>E1087</t>
  </si>
  <si>
    <t>E0671</t>
  </si>
  <si>
    <t>E0741</t>
  </si>
  <si>
    <t>E0827</t>
  </si>
  <si>
    <t>E0052</t>
  </si>
  <si>
    <t>E1231</t>
  </si>
  <si>
    <t>E2079</t>
  </si>
  <si>
    <t>E0766</t>
  </si>
  <si>
    <t>E0020</t>
  </si>
  <si>
    <t>E0076</t>
  </si>
  <si>
    <t>E1154</t>
  </si>
  <si>
    <t>E1293</t>
  </si>
  <si>
    <t>E0867</t>
  </si>
  <si>
    <t>E0068</t>
  </si>
  <si>
    <t>E0980</t>
  </si>
  <si>
    <t>E0057</t>
  </si>
  <si>
    <t>E0576</t>
  </si>
  <si>
    <t>E0708</t>
  </si>
  <si>
    <t>E0846</t>
  </si>
  <si>
    <t>E0845</t>
  </si>
  <si>
    <t>E0838</t>
  </si>
  <si>
    <t>E0847</t>
  </si>
  <si>
    <t>E1192</t>
  </si>
  <si>
    <t>E0346</t>
  </si>
  <si>
    <t>E0170</t>
  </si>
  <si>
    <t>E0753</t>
  </si>
  <si>
    <t>E0861</t>
  </si>
  <si>
    <t>E0650</t>
  </si>
  <si>
    <t>E0812</t>
  </si>
  <si>
    <t>E1226</t>
  </si>
  <si>
    <t>E0377</t>
  </si>
  <si>
    <t>E0658</t>
  </si>
  <si>
    <t>E0473</t>
  </si>
  <si>
    <t>E0348</t>
  </si>
  <si>
    <t>E0836</t>
  </si>
  <si>
    <t>E1193</t>
  </si>
  <si>
    <t>E1162</t>
  </si>
  <si>
    <t>E0774</t>
  </si>
  <si>
    <t>E0572</t>
  </si>
  <si>
    <t>E0751</t>
  </si>
  <si>
    <t>E0506</t>
  </si>
  <si>
    <t>E0330</t>
  </si>
  <si>
    <t>E0581</t>
  </si>
  <si>
    <t>E0179</t>
  </si>
  <si>
    <t>E0347</t>
  </si>
  <si>
    <t>E1064</t>
  </si>
  <si>
    <t>E2082</t>
  </si>
  <si>
    <t>E0840</t>
  </si>
  <si>
    <t>E1349</t>
  </si>
  <si>
    <t>E0850</t>
  </si>
  <si>
    <t>E0407</t>
  </si>
  <si>
    <t>E1096</t>
  </si>
  <si>
    <t>E0549</t>
  </si>
  <si>
    <t>E0786</t>
  </si>
  <si>
    <t>E0384</t>
  </si>
  <si>
    <t>E0411</t>
  </si>
  <si>
    <t>E0957</t>
  </si>
  <si>
    <t>E0586</t>
  </si>
  <si>
    <t>E0294</t>
  </si>
  <si>
    <t>E0752</t>
  </si>
  <si>
    <t>E0335</t>
  </si>
  <si>
    <t>E0419</t>
  </si>
  <si>
    <t>E0653</t>
  </si>
  <si>
    <t>E0991</t>
  </si>
  <si>
    <t>E1112</t>
  </si>
  <si>
    <t>E0702</t>
  </si>
  <si>
    <t>E0429</t>
  </si>
  <si>
    <t>E0360</t>
  </si>
  <si>
    <t>E1099</t>
  </si>
  <si>
    <t>E0832</t>
  </si>
  <si>
    <t>E0839</t>
  </si>
  <si>
    <t>E0664</t>
  </si>
  <si>
    <t>E0147</t>
  </si>
  <si>
    <t>E0852</t>
  </si>
  <si>
    <t>E0229</t>
  </si>
  <si>
    <t>E0050</t>
  </si>
  <si>
    <t>E0126</t>
  </si>
  <si>
    <t>E0892</t>
  </si>
  <si>
    <t>E0889</t>
  </si>
  <si>
    <t>E0125</t>
  </si>
  <si>
    <t>E0180</t>
  </si>
  <si>
    <t>E1895</t>
  </si>
  <si>
    <t>E0161</t>
  </si>
  <si>
    <t>E1106</t>
  </si>
  <si>
    <t>E1346</t>
  </si>
  <si>
    <t>E0857</t>
  </si>
  <si>
    <t>E0681</t>
  </si>
  <si>
    <t>E0617</t>
  </si>
  <si>
    <t>E1194</t>
  </si>
  <si>
    <t>E0030</t>
  </si>
  <si>
    <t>E0858</t>
  </si>
  <si>
    <t>E0521</t>
  </si>
  <si>
    <t>E0517</t>
  </si>
  <si>
    <t>E0513</t>
  </si>
  <si>
    <t>E1392</t>
  </si>
  <si>
    <t>E0274</t>
  </si>
  <si>
    <t>E0175</t>
  </si>
  <si>
    <t>E0480</t>
  </si>
  <si>
    <t>E0383</t>
  </si>
  <si>
    <t>E0362</t>
  </si>
  <si>
    <t>E0762</t>
  </si>
  <si>
    <t>E0166</t>
  </si>
  <si>
    <t>E0990</t>
  </si>
  <si>
    <t>E0994</t>
  </si>
  <si>
    <t>E1172</t>
  </si>
  <si>
    <t>E0454</t>
  </si>
  <si>
    <t>E1095</t>
  </si>
  <si>
    <t>E1230</t>
  </si>
  <si>
    <t>E0675</t>
  </si>
  <si>
    <t>E1368</t>
  </si>
  <si>
    <t>E1370</t>
  </si>
  <si>
    <t>E0459</t>
  </si>
  <si>
    <t>E0393</t>
  </si>
  <si>
    <t>E0329</t>
  </si>
  <si>
    <t>E1098</t>
  </si>
  <si>
    <t>E0202</t>
  </si>
  <si>
    <t>E0225</t>
  </si>
  <si>
    <t>E0112</t>
  </si>
  <si>
    <t>E0176</t>
  </si>
  <si>
    <t>E1086</t>
  </si>
  <si>
    <t>E0573</t>
  </si>
  <si>
    <t>E0687</t>
  </si>
  <si>
    <t>E0782</t>
  </si>
  <si>
    <t>E0042</t>
  </si>
  <si>
    <t>E0700</t>
  </si>
  <si>
    <t>E0974</t>
  </si>
  <si>
    <t>E0880</t>
  </si>
  <si>
    <t>E1347</t>
  </si>
  <si>
    <t>E0195</t>
  </si>
  <si>
    <t>E0194</t>
  </si>
  <si>
    <t>E0045</t>
  </si>
  <si>
    <t>E1084</t>
  </si>
  <si>
    <t>E0049</t>
  </si>
  <si>
    <t>E0415</t>
  </si>
  <si>
    <t>E1085</t>
  </si>
  <si>
    <t>E0169</t>
  </si>
  <si>
    <t>E0040</t>
  </si>
  <si>
    <t>E0663</t>
  </si>
  <si>
    <t>E1220</t>
  </si>
  <si>
    <t>E0406</t>
  </si>
  <si>
    <t>E0548</t>
  </si>
  <si>
    <t>E0428</t>
  </si>
  <si>
    <t>E1237</t>
  </si>
  <si>
    <t>E0350</t>
  </si>
  <si>
    <t>E0007</t>
  </si>
  <si>
    <t>E0796</t>
  </si>
  <si>
    <t>E0452</t>
  </si>
  <si>
    <t>E1388</t>
  </si>
  <si>
    <t>E1301</t>
  </si>
  <si>
    <t>E0870</t>
  </si>
  <si>
    <t>E1196</t>
  </si>
  <si>
    <t>E1178</t>
  </si>
  <si>
    <t>E1348</t>
  </si>
  <si>
    <t>E0888</t>
  </si>
  <si>
    <t>E0781</t>
  </si>
  <si>
    <t>E1128</t>
  </si>
  <si>
    <t>E0955</t>
  </si>
  <si>
    <t>E0555</t>
  </si>
  <si>
    <t>E0317</t>
  </si>
  <si>
    <t>E1110</t>
  </si>
  <si>
    <t>E0516</t>
  </si>
  <si>
    <t>E0424</t>
  </si>
  <si>
    <t>E1404</t>
  </si>
  <si>
    <t>E0250</t>
  </si>
  <si>
    <t>E0584</t>
  </si>
  <si>
    <t>E0491</t>
  </si>
  <si>
    <t>E0047</t>
  </si>
  <si>
    <t>E0633</t>
  </si>
  <si>
    <t>E0035</t>
  </si>
  <si>
    <t>E0545</t>
  </si>
  <si>
    <t>E1384</t>
  </si>
  <si>
    <t>E1382</t>
  </si>
  <si>
    <t>E0272</t>
  </si>
  <si>
    <t>E0278</t>
  </si>
  <si>
    <t>E0601</t>
  </si>
  <si>
    <t>E1148</t>
  </si>
  <si>
    <t>E0890</t>
  </si>
  <si>
    <t>E0599</t>
  </si>
  <si>
    <t>E0134</t>
  </si>
  <si>
    <t>E0644</t>
  </si>
  <si>
    <t>E0359</t>
  </si>
  <si>
    <t>E1371</t>
  </si>
  <si>
    <t>E1195</t>
  </si>
  <si>
    <t>E0935</t>
  </si>
  <si>
    <t>E0934</t>
  </si>
  <si>
    <t>E1373</t>
  </si>
  <si>
    <t>E0303</t>
  </si>
  <si>
    <t>E1083</t>
  </si>
  <si>
    <t>E0692</t>
  </si>
  <si>
    <t>E1367</t>
  </si>
  <si>
    <t>E0995</t>
  </si>
  <si>
    <t>E1244</t>
  </si>
  <si>
    <t>E1381</t>
  </si>
  <si>
    <t>E2043</t>
  </si>
  <si>
    <t>E0932</t>
  </si>
  <si>
    <t>E0544</t>
  </si>
  <si>
    <t>E0926</t>
  </si>
  <si>
    <t>E0966</t>
  </si>
  <si>
    <t>E0241</t>
  </si>
  <si>
    <t>E0800</t>
  </si>
  <si>
    <t>E0396</t>
  </si>
  <si>
    <t>E1380</t>
  </si>
  <si>
    <t>E0578</t>
  </si>
  <si>
    <t>E0173</t>
  </si>
  <si>
    <t>E0438</t>
  </si>
  <si>
    <t>E0609</t>
  </si>
  <si>
    <t>E0588</t>
  </si>
  <si>
    <t>E0587</t>
  </si>
  <si>
    <t>E1236</t>
  </si>
  <si>
    <t>E1240</t>
  </si>
  <si>
    <t>E0993</t>
  </si>
  <si>
    <t>E0044</t>
  </si>
  <si>
    <t>E0694</t>
  </si>
  <si>
    <t>E0487</t>
  </si>
  <si>
    <t>E0830</t>
  </si>
  <si>
    <t>E0310</t>
  </si>
  <si>
    <t>E1386</t>
  </si>
  <si>
    <t>E1243</t>
  </si>
  <si>
    <t>E1242</t>
  </si>
  <si>
    <t>E0111</t>
  </si>
  <si>
    <t>E0107</t>
  </si>
  <si>
    <t>E0197</t>
  </si>
  <si>
    <t>E0201</t>
  </si>
  <si>
    <t>E0594</t>
  </si>
  <si>
    <t>E1337</t>
  </si>
  <si>
    <t>E1332</t>
  </si>
  <si>
    <t>E0770</t>
  </si>
  <si>
    <t>E0061</t>
  </si>
  <si>
    <t>E0316</t>
  </si>
  <si>
    <t>E0761</t>
  </si>
  <si>
    <t>E0941</t>
  </si>
  <si>
    <t>E1188</t>
  </si>
  <si>
    <t>E1330</t>
  </si>
  <si>
    <t>E0298</t>
  </si>
  <si>
    <t>E0297</t>
  </si>
  <si>
    <t>E0795</t>
  </si>
  <si>
    <t>E1865</t>
  </si>
  <si>
    <t>E0165</t>
  </si>
  <si>
    <t>E1271</t>
  </si>
  <si>
    <t>E1241</t>
  </si>
  <si>
    <t>E1067</t>
  </si>
  <si>
    <t>E0327</t>
  </si>
  <si>
    <t>E1201</t>
  </si>
  <si>
    <t>E0214</t>
  </si>
  <si>
    <t>E0213</t>
  </si>
  <si>
    <t>E1232</t>
  </si>
  <si>
    <t>E1307</t>
  </si>
  <si>
    <t>E0307</t>
  </si>
  <si>
    <t>E0458</t>
  </si>
  <si>
    <t>E0728</t>
  </si>
  <si>
    <t>E1133</t>
  </si>
  <si>
    <t>E0230</t>
  </si>
  <si>
    <t>E0747</t>
  </si>
  <si>
    <t>E1979</t>
  </si>
  <si>
    <t>E0931</t>
  </si>
  <si>
    <t>E0748</t>
  </si>
  <si>
    <t>E0395</t>
  </si>
  <si>
    <t>E0232</t>
  </si>
  <si>
    <t>E0083</t>
  </si>
  <si>
    <t>E0273</t>
  </si>
  <si>
    <t>E0148</t>
  </si>
  <si>
    <t>E0933</t>
  </si>
  <si>
    <t>E0514</t>
  </si>
  <si>
    <t>E0697</t>
  </si>
  <si>
    <t>E0413</t>
  </si>
  <si>
    <t>E0210</t>
  </si>
  <si>
    <t>E0282</t>
  </si>
  <si>
    <t>E0742</t>
  </si>
  <si>
    <t>E0876</t>
  </si>
  <si>
    <t>E0610</t>
  </si>
  <si>
    <t>E0251</t>
  </si>
  <si>
    <t>E1312</t>
  </si>
  <si>
    <t>E0849</t>
  </si>
  <si>
    <t>E1316</t>
  </si>
  <si>
    <t>E0006</t>
  </si>
  <si>
    <t>E0801</t>
  </si>
  <si>
    <t>E0032</t>
  </si>
  <si>
    <t>E0402</t>
  </si>
  <si>
    <t>E0401</t>
  </si>
  <si>
    <t>E0308</t>
  </si>
  <si>
    <t>E0311</t>
  </si>
  <si>
    <t>E0136</t>
  </si>
  <si>
    <t>E0072</t>
  </si>
  <si>
    <t>E1286</t>
  </si>
  <si>
    <t>E0086</t>
  </si>
  <si>
    <t>E1190</t>
  </si>
  <si>
    <t>E1268</t>
  </si>
  <si>
    <t>E1354</t>
  </si>
  <si>
    <t>E0784</t>
  </si>
  <si>
    <t>E0182</t>
  </si>
  <si>
    <t>E0333</t>
  </si>
  <si>
    <t>E1023</t>
  </si>
  <si>
    <t>E0691</t>
  </si>
  <si>
    <t>E1045</t>
  </si>
  <si>
    <t>E1319</t>
  </si>
  <si>
    <t>E1313</t>
  </si>
  <si>
    <t>E1331</t>
  </si>
  <si>
    <t>E1334</t>
  </si>
  <si>
    <t>E1324</t>
  </si>
  <si>
    <t>E1318</t>
  </si>
  <si>
    <t>E1335</t>
  </si>
  <si>
    <t>E1314</t>
  </si>
  <si>
    <t>E1336</t>
  </si>
  <si>
    <t>E1339</t>
  </si>
  <si>
    <t>E1327</t>
  </si>
  <si>
    <t>E1338</t>
  </si>
  <si>
    <t>E0802</t>
  </si>
  <si>
    <t>E1066</t>
  </si>
  <si>
    <t>E2083</t>
  </si>
  <si>
    <t>E1206</t>
  </si>
  <si>
    <t>E0884</t>
  </si>
  <si>
    <t>E0553</t>
  </si>
  <si>
    <t>E0449</t>
  </si>
  <si>
    <t>E0299</t>
  </si>
  <si>
    <t>E0683</t>
  </si>
  <si>
    <t>E0234</t>
  </si>
  <si>
    <t>E0266</t>
  </si>
  <si>
    <t>E0269</t>
  </si>
  <si>
    <t>E1897</t>
  </si>
  <si>
    <t>E1821</t>
  </si>
  <si>
    <t>E0589</t>
  </si>
  <si>
    <t>E0590</t>
  </si>
  <si>
    <t>E0565</t>
  </si>
  <si>
    <t>E1072</t>
  </si>
  <si>
    <t>E0075</t>
  </si>
  <si>
    <t>E0592</t>
  </si>
  <si>
    <t>E0725</t>
  </si>
  <si>
    <t>E0724</t>
  </si>
  <si>
    <t>E0301</t>
  </si>
  <si>
    <t>E0233</t>
  </si>
  <si>
    <t>E1070</t>
  </si>
  <si>
    <t>E0649</t>
  </si>
  <si>
    <t>E0648</t>
  </si>
  <si>
    <t>E0354</t>
  </si>
  <si>
    <t>E0403</t>
  </si>
  <si>
    <t>E0219</t>
  </si>
  <si>
    <t>E0481</t>
  </si>
  <si>
    <t>E0716</t>
  </si>
  <si>
    <t>E0257</t>
  </si>
  <si>
    <t>E0080</t>
  </si>
  <si>
    <t>E2012</t>
  </si>
  <si>
    <t>E0390</t>
  </si>
  <si>
    <t>E0614</t>
  </si>
  <si>
    <t>E1171</t>
  </si>
  <si>
    <t>E0531</t>
  </si>
  <si>
    <t>E0081</t>
  </si>
  <si>
    <t>E0580</t>
  </si>
  <si>
    <t>E0271</t>
  </si>
  <si>
    <t>E1202</t>
  </si>
  <si>
    <t>E0313</t>
  </si>
  <si>
    <t>E0873</t>
  </si>
  <si>
    <t>E0562</t>
  </si>
  <si>
    <t>E0038</t>
  </si>
  <si>
    <t>E0640</t>
  </si>
  <si>
    <t>E1239</t>
  </si>
  <si>
    <t>E1356</t>
  </si>
  <si>
    <t>E0967</t>
  </si>
  <si>
    <t>E0596</t>
  </si>
  <si>
    <t>E0499</t>
  </si>
  <si>
    <t>E0314</t>
  </si>
  <si>
    <t>E1049</t>
  </si>
  <si>
    <t>E0654</t>
  </si>
  <si>
    <t>E0381</t>
  </si>
  <si>
    <t>E1069</t>
  </si>
  <si>
    <t>E0613</t>
  </si>
  <si>
    <t>E0305</t>
  </si>
  <si>
    <t>E0745</t>
  </si>
  <si>
    <t>E2020</t>
  </si>
  <si>
    <t>E0612</t>
  </si>
  <si>
    <t>E1731</t>
  </si>
  <si>
    <t>E2026</t>
  </si>
  <si>
    <t>E0164</t>
  </si>
  <si>
    <t>E0174</t>
  </si>
  <si>
    <t>E0710</t>
  </si>
  <si>
    <t>E0231</t>
  </si>
  <si>
    <t>E1355</t>
  </si>
  <si>
    <t>E1181</t>
  </si>
  <si>
    <t>E0262</t>
  </si>
  <si>
    <t>E0258</t>
  </si>
  <si>
    <t>E1357</t>
  </si>
  <si>
    <t>E1183</t>
  </si>
  <si>
    <t>E1182</t>
  </si>
  <si>
    <t>E0433</t>
  </si>
  <si>
    <t>E0163</t>
  </si>
  <si>
    <t>E1189</t>
  </si>
  <si>
    <t>E0595</t>
  </si>
  <si>
    <t>E0791</t>
  </si>
  <si>
    <t>E1435</t>
  </si>
  <si>
    <t>E0492</t>
  </si>
  <si>
    <t>E0085</t>
  </si>
  <si>
    <t>E0082</t>
  </si>
  <si>
    <t>E0319</t>
  </si>
  <si>
    <t>E0602</t>
  </si>
  <si>
    <t>E1281</t>
  </si>
  <si>
    <t>E0323</t>
  </si>
  <si>
    <t>E1284</t>
  </si>
  <si>
    <t>E0421</t>
  </si>
  <si>
    <t>E0705</t>
  </si>
  <si>
    <t>E0320</t>
  </si>
  <si>
    <t>E0465</t>
  </si>
  <si>
    <t>E0464</t>
  </si>
  <si>
    <t>E0318</t>
  </si>
  <si>
    <t>E0466</t>
  </si>
  <si>
    <t>E0527</t>
  </si>
  <si>
    <t>E1129</t>
  </si>
  <si>
    <t>E0461</t>
  </si>
  <si>
    <t>E0529</t>
  </si>
  <si>
    <t>E0332</t>
  </si>
  <si>
    <t>E0325</t>
  </si>
  <si>
    <t>E0391</t>
  </si>
  <si>
    <t>E1835</t>
  </si>
  <si>
    <t>E0399</t>
  </si>
  <si>
    <t>E0412</t>
  </si>
  <si>
    <t>E0468</t>
  </si>
  <si>
    <t>E0115</t>
  </si>
  <si>
    <t>E2126</t>
  </si>
  <si>
    <t>E0001</t>
  </si>
  <si>
    <t>E0285</t>
  </si>
  <si>
    <t>E0680</t>
  </si>
  <si>
    <t>E0684</t>
  </si>
  <si>
    <t>E1075</t>
  </si>
  <si>
    <t>E0053</t>
  </si>
  <si>
    <t>E0056</t>
  </si>
  <si>
    <t>E0054</t>
  </si>
  <si>
    <t>E0055</t>
  </si>
  <si>
    <t>E0051</t>
  </si>
  <si>
    <t>E0916</t>
  </si>
  <si>
    <t>E0137</t>
  </si>
  <si>
    <t>E0943</t>
  </si>
  <si>
    <t>E1383</t>
  </si>
  <si>
    <t>E0223</t>
  </si>
  <si>
    <t>E0379</t>
  </si>
  <si>
    <t>E0237</t>
  </si>
  <si>
    <t>E0615</t>
  </si>
  <si>
    <t>E0450</t>
  </si>
  <si>
    <t>E0808</t>
  </si>
  <si>
    <t>E0630</t>
  </si>
  <si>
    <t>E0629</t>
  </si>
  <si>
    <t>E0296</t>
  </si>
  <si>
    <t>E0192</t>
  </si>
  <si>
    <t>E0252</t>
  </si>
  <si>
    <t>E1247</t>
  </si>
  <si>
    <t>E1065</t>
  </si>
  <si>
    <t>E1443</t>
  </si>
  <si>
    <t>E1417</t>
  </si>
  <si>
    <t>E0239</t>
  </si>
  <si>
    <t>E1398</t>
  </si>
  <si>
    <t>E1396</t>
  </si>
  <si>
    <t>E1397</t>
  </si>
  <si>
    <t>E0851</t>
  </si>
  <si>
    <t>E0467</t>
  </si>
  <si>
    <t>E0982</t>
  </si>
  <si>
    <t>E0805</t>
  </si>
  <si>
    <t>E0718</t>
  </si>
  <si>
    <t>E1022</t>
  </si>
  <si>
    <t>E0707</t>
  </si>
  <si>
    <t>E0738</t>
  </si>
  <si>
    <t>E1361</t>
  </si>
  <si>
    <t>E0121</t>
  </si>
  <si>
    <t>E0674</t>
  </si>
  <si>
    <t>E0293</t>
  </si>
  <si>
    <t>E0863</t>
  </si>
  <si>
    <t>E1275</t>
  </si>
  <si>
    <t>E1363</t>
  </si>
  <si>
    <t>E1362</t>
  </si>
  <si>
    <t>E1577</t>
  </si>
  <si>
    <t>E0500</t>
  </si>
  <si>
    <t>E0127</t>
  </si>
  <si>
    <t>E1228</t>
  </si>
  <si>
    <t>E0345</t>
  </si>
  <si>
    <t>E0246</t>
  </si>
  <si>
    <t>E0953</t>
  </si>
  <si>
    <t>E1019</t>
  </si>
  <si>
    <t>E0811</t>
  </si>
  <si>
    <t>E0771</t>
  </si>
  <si>
    <t>E0757</t>
  </si>
  <si>
    <t>E1453</t>
  </si>
  <si>
    <t>E0842</t>
  </si>
  <si>
    <t>E0988</t>
  </si>
  <si>
    <t>E0261</t>
  </si>
  <si>
    <t>E0682</t>
  </si>
  <si>
    <t>E0472</t>
  </si>
  <si>
    <t>E1059</t>
  </si>
  <si>
    <t>E0877</t>
  </si>
  <si>
    <t>E0253</t>
  </si>
  <si>
    <t>E1053</t>
  </si>
  <si>
    <t>E0101</t>
  </si>
  <si>
    <t>E0835</t>
  </si>
  <si>
    <t>E0616</t>
  </si>
  <si>
    <t>E0989</t>
  </si>
  <si>
    <t>E0008</t>
  </si>
  <si>
    <t>E0041</t>
  </si>
  <si>
    <t>E0896</t>
  </si>
  <si>
    <t>E0772</t>
  </si>
  <si>
    <t>E0773</t>
  </si>
  <si>
    <t>E1197</t>
  </si>
  <si>
    <t>E0829</t>
  </si>
  <si>
    <t>E0790</t>
  </si>
  <si>
    <t>E0538</t>
  </si>
  <si>
    <t>E0945</t>
  </si>
  <si>
    <t>E0036</t>
  </si>
  <si>
    <t>E0023</t>
  </si>
  <si>
    <t>E0979</t>
  </si>
  <si>
    <t>E0735</t>
  </si>
  <si>
    <t>E0476</t>
  </si>
  <si>
    <t>E2085</t>
  </si>
  <si>
    <t>E1229</t>
  </si>
  <si>
    <t>E0284</t>
  </si>
  <si>
    <t>E0392</t>
  </si>
  <si>
    <t>E0777</t>
  </si>
  <si>
    <t>E0776</t>
  </si>
  <si>
    <t>E0349</t>
  </si>
  <si>
    <t>E0883</t>
  </si>
  <si>
    <t>E0788</t>
  </si>
  <si>
    <t>E0914</t>
  </si>
  <si>
    <t>E0834</t>
  </si>
  <si>
    <t>E0693</t>
  </si>
  <si>
    <t>E0848</t>
  </si>
  <si>
    <t>E0775</t>
  </si>
  <si>
    <t>E0703</t>
  </si>
  <si>
    <t>E0204</t>
  </si>
  <si>
    <t>E0371</t>
  </si>
  <si>
    <t>E0638</t>
  </si>
  <si>
    <t>E0841</t>
  </si>
  <si>
    <t>E0837</t>
  </si>
  <si>
    <t>E0556</t>
  </si>
  <si>
    <t>E0843</t>
  </si>
  <si>
    <t>E0655</t>
  </si>
  <si>
    <t>E0029</t>
  </si>
  <si>
    <t>E0019</t>
  </si>
  <si>
    <t>E0844</t>
  </si>
  <si>
    <t>E0046</t>
  </si>
  <si>
    <t>E1291</t>
  </si>
  <si>
    <t>E0660</t>
  </si>
  <si>
    <t>E1552</t>
  </si>
  <si>
    <t>E0425</t>
  </si>
  <si>
    <t>E0607</t>
  </si>
  <si>
    <t>E1429</t>
  </si>
  <si>
    <t>E1276</t>
  </si>
  <si>
    <t>E1043</t>
  </si>
  <si>
    <t>E0287</t>
  </si>
  <si>
    <t>E0780</t>
  </si>
  <si>
    <t>E1170</t>
  </si>
  <si>
    <t>E0913</t>
  </si>
  <si>
    <t>E0027</t>
  </si>
  <si>
    <t>E0515</t>
  </si>
  <si>
    <t>E0512</t>
  </si>
  <si>
    <t>E0541</t>
  </si>
  <si>
    <t>E1041</t>
  </si>
  <si>
    <t>E0488</t>
  </si>
  <si>
    <t>E0968</t>
  </si>
  <si>
    <t>E0641</t>
  </si>
  <si>
    <t>E1359</t>
  </si>
  <si>
    <t>E0478</t>
  </si>
  <si>
    <t>E0523</t>
  </si>
  <si>
    <t>E0326</t>
  </si>
  <si>
    <t>E1093</t>
  </si>
  <si>
    <t>E0043</t>
  </si>
  <si>
    <t>E1025</t>
  </si>
  <si>
    <t>E0410</t>
  </si>
  <si>
    <t>E1274</t>
  </si>
  <si>
    <t>E0793</t>
  </si>
  <si>
    <t>E0037</t>
  </si>
  <si>
    <t>E0118</t>
  </si>
  <si>
    <t>E0440</t>
  </si>
  <si>
    <t>E0929</t>
  </si>
  <si>
    <t>E1097</t>
  </si>
  <si>
    <t>E0372</t>
  </si>
  <si>
    <t>E0652</t>
  </si>
  <si>
    <t>E0117</t>
  </si>
  <si>
    <t>E0312</t>
  </si>
  <si>
    <t>E1296</t>
  </si>
  <si>
    <t>E0475</t>
  </si>
  <si>
    <t>E0211</t>
  </si>
  <si>
    <t>E0704</t>
  </si>
  <si>
    <t>E0378</t>
  </si>
  <si>
    <t>E0954</t>
  </si>
  <si>
    <t>E0920</t>
  </si>
  <si>
    <t>E0028</t>
  </si>
  <si>
    <t>E0585</t>
  </si>
  <si>
    <t>E0927</t>
  </si>
  <si>
    <t>E0936</t>
  </si>
  <si>
    <t>E0729</t>
  </si>
  <si>
    <t>E0820</t>
  </si>
  <si>
    <t>E1321</t>
  </si>
  <si>
    <t>E0765</t>
  </si>
  <si>
    <t>E0711</t>
  </si>
  <si>
    <t>E0928</t>
  </si>
  <si>
    <t>E0824</t>
  </si>
  <si>
    <t>E1217</t>
  </si>
  <si>
    <t>E0247</t>
  </si>
  <si>
    <t>E0887</t>
  </si>
  <si>
    <t>E0066</t>
  </si>
  <si>
    <t>E0322</t>
  </si>
  <si>
    <t>E0474</t>
  </si>
  <si>
    <t>E0734</t>
  </si>
  <si>
    <t>E0509</t>
  </si>
  <si>
    <t>E1204</t>
  </si>
  <si>
    <t>E0100</t>
  </si>
  <si>
    <t>E0065</t>
  </si>
  <si>
    <t>E1127</t>
  </si>
  <si>
    <t>E0534</t>
  </si>
  <si>
    <t>E1222</t>
  </si>
  <si>
    <t>E1113</t>
  </si>
  <si>
    <t>E1068</t>
  </si>
  <si>
    <t>E0361</t>
  </si>
  <si>
    <t>E0064</t>
  </si>
  <si>
    <t>E0203</t>
  </si>
  <si>
    <t>E1304</t>
  </si>
  <si>
    <t>E0895</t>
  </si>
  <si>
    <t>E0255</t>
  </si>
  <si>
    <t>E1020</t>
  </si>
  <si>
    <t>E0193</t>
  </si>
  <si>
    <t>E0022</t>
  </si>
  <si>
    <t>E1617</t>
  </si>
  <si>
    <t>E1094</t>
  </si>
  <si>
    <t>E0404</t>
  </si>
  <si>
    <t>E0171</t>
  </si>
  <si>
    <t>E0236</t>
  </si>
  <si>
    <t>E0418</t>
  </si>
  <si>
    <t>E0504</t>
  </si>
  <si>
    <t>E1472</t>
  </si>
  <si>
    <t>E0727</t>
  </si>
  <si>
    <t>E1216</t>
  </si>
  <si>
    <t>E0448</t>
  </si>
  <si>
    <t>E2021</t>
  </si>
  <si>
    <t>E1267</t>
  </si>
  <si>
    <t>E1391</t>
  </si>
  <si>
    <t>E1266</t>
  </si>
  <si>
    <t>E0501</t>
  </si>
  <si>
    <t>E1369</t>
  </si>
  <si>
    <t>E1199</t>
  </si>
  <si>
    <t>E0227</t>
  </si>
  <si>
    <t>E0199</t>
  </si>
  <si>
    <t>E0198</t>
  </si>
  <si>
    <t>E0502</t>
  </si>
  <si>
    <t>E0866</t>
  </si>
  <si>
    <t>E0551</t>
  </si>
  <si>
    <t>E1114</t>
  </si>
  <si>
    <t>E0430</t>
  </si>
  <si>
    <t>E0799</t>
  </si>
  <si>
    <t>E1320</t>
  </si>
  <si>
    <t>E0200</t>
  </si>
  <si>
    <t>E0639</t>
  </si>
  <si>
    <t>E0304</t>
  </si>
  <si>
    <t>E0503</t>
  </si>
  <si>
    <t>E1476</t>
  </si>
  <si>
    <t>E1160</t>
  </si>
  <si>
    <t>E1826</t>
  </si>
  <si>
    <t>E1340</t>
  </si>
  <si>
    <t>E0598</t>
  </si>
  <si>
    <t>E0597</t>
  </si>
  <si>
    <t>E0205</t>
  </si>
  <si>
    <t>E0951</t>
  </si>
  <si>
    <t>E1999</t>
  </si>
  <si>
    <t>E0306</t>
  </si>
  <si>
    <t>E0212</t>
  </si>
  <si>
    <t>E1200</t>
  </si>
  <si>
    <t>E0215</t>
  </si>
  <si>
    <t>E0564</t>
  </si>
  <si>
    <t>E0058</t>
  </si>
  <si>
    <t>E0792</t>
  </si>
  <si>
    <t>E0376</t>
  </si>
  <si>
    <t>E0731</t>
  </si>
  <si>
    <t>E1187</t>
  </si>
  <si>
    <t>E1372</t>
  </si>
  <si>
    <t>E0356</t>
  </si>
  <si>
    <t>E0423</t>
  </si>
  <si>
    <t>E1207</t>
  </si>
  <si>
    <t>E0153</t>
  </si>
  <si>
    <t>E1436</t>
  </si>
  <si>
    <t>E1076</t>
  </si>
  <si>
    <t>E1077</t>
  </si>
  <si>
    <t>E1071</t>
  </si>
  <si>
    <t>E1079</t>
  </si>
  <si>
    <t>E0002</t>
  </si>
  <si>
    <t>E0408</t>
  </si>
  <si>
    <t>E0300</t>
  </si>
  <si>
    <t>E2025</t>
  </si>
  <si>
    <t>E0067</t>
  </si>
  <si>
    <t>E1074</t>
  </si>
  <si>
    <t>E0259</t>
  </si>
  <si>
    <t>E0591</t>
  </si>
  <si>
    <t>E0098</t>
  </si>
  <si>
    <t>E0099</t>
  </si>
  <si>
    <t>E0353</t>
  </si>
  <si>
    <t>E1494</t>
  </si>
  <si>
    <t>E1092</t>
  </si>
  <si>
    <t>E0981</t>
  </si>
  <si>
    <t>E0151</t>
  </si>
  <si>
    <t>E0563</t>
  </si>
  <si>
    <t>E0146</t>
  </si>
  <si>
    <t>E0547</t>
  </si>
  <si>
    <t>E0749</t>
  </si>
  <si>
    <t>E1191</t>
  </si>
  <si>
    <t>E0917</t>
  </si>
  <si>
    <t>E0817</t>
  </si>
  <si>
    <t>E0295</t>
  </si>
  <si>
    <t>E0872</t>
  </si>
  <si>
    <t>E0263</t>
  </si>
  <si>
    <t>E0005</t>
  </si>
  <si>
    <t>E0003</t>
  </si>
  <si>
    <t>E0018</t>
  </si>
  <si>
    <t>E0217</t>
  </si>
  <si>
    <t>E0510</t>
  </si>
  <si>
    <t>E1018</t>
  </si>
  <si>
    <t>E0975</t>
  </si>
  <si>
    <t>E1161</t>
  </si>
  <si>
    <t>E0087</t>
  </si>
  <si>
    <t>E0519</t>
  </si>
  <si>
    <t>E0216</t>
  </si>
  <si>
    <t>E0559</t>
  </si>
  <si>
    <t>E0123</t>
  </si>
  <si>
    <t>E0122</t>
  </si>
  <si>
    <t>E1169</t>
  </si>
  <si>
    <t>E1415</t>
  </si>
  <si>
    <t>E1233</t>
  </si>
  <si>
    <t>E1377</t>
  </si>
  <si>
    <t>E1648</t>
  </si>
  <si>
    <t>E1081</t>
  </si>
  <si>
    <t>E0324</t>
  </si>
  <si>
    <t>E0470</t>
  </si>
  <si>
    <t>E1300</t>
  </si>
  <si>
    <t>E1342</t>
  </si>
  <si>
    <t>E1299</t>
  </si>
  <si>
    <t>E1269</t>
  </si>
  <si>
    <t>E1430</t>
  </si>
  <si>
    <t>E1427</t>
  </si>
  <si>
    <t>E1697</t>
  </si>
  <si>
    <t>E0695</t>
  </si>
  <si>
    <t>E0696</t>
  </si>
  <si>
    <t>E1080</t>
  </si>
  <si>
    <t>E0238</t>
  </si>
  <si>
    <t>E0240</t>
  </si>
  <si>
    <t>E1423</t>
  </si>
  <si>
    <t>E1774</t>
  </si>
  <si>
    <t>E1416</t>
  </si>
  <si>
    <t>E0626</t>
  </si>
  <si>
    <t>E0628</t>
  </si>
  <si>
    <t>E0623</t>
  </si>
  <si>
    <t>E0471</t>
  </si>
  <si>
    <t>E1422</t>
  </si>
  <si>
    <t>E0891</t>
  </si>
  <si>
    <t>E1414</t>
  </si>
  <si>
    <t>E0489</t>
  </si>
  <si>
    <t>E1306</t>
  </si>
  <si>
    <t>E0490</t>
  </si>
  <si>
    <t>E1613</t>
  </si>
  <si>
    <t>E1411</t>
  </si>
  <si>
    <t>E0787</t>
  </si>
  <si>
    <t>E1395</t>
  </si>
  <si>
    <t>E1444</t>
  </si>
  <si>
    <t>E0130</t>
  </si>
  <si>
    <t>E0486</t>
  </si>
  <si>
    <t>E0484</t>
  </si>
  <si>
    <t>E0715</t>
  </si>
  <si>
    <t>E0997</t>
  </si>
  <si>
    <t>E1044</t>
  </si>
  <si>
    <t>E1119</t>
  </si>
  <si>
    <t>E1039</t>
  </si>
  <si>
    <t>E1037</t>
  </si>
  <si>
    <t>E1036</t>
  </si>
  <si>
    <t>E1806</t>
  </si>
  <si>
    <t>E0363</t>
  </si>
  <si>
    <t>E0102</t>
  </si>
  <si>
    <t>E0912</t>
  </si>
  <si>
    <t>E0196</t>
  </si>
  <si>
    <t>E1214</t>
  </si>
  <si>
    <t>E0095</t>
  </si>
  <si>
    <t>E0871</t>
  </si>
  <si>
    <t>E0532</t>
  </si>
  <si>
    <t>E0031</t>
  </si>
  <si>
    <t>E0453</t>
  </si>
  <si>
    <t>E1000</t>
  </si>
  <si>
    <t>E0522</t>
  </si>
  <si>
    <t>E0686</t>
  </si>
  <si>
    <t>E0996</t>
  </si>
  <si>
    <t>E1042</t>
  </si>
  <si>
    <t>E1104</t>
  </si>
  <si>
    <t>E1040</t>
  </si>
  <si>
    <t>E1038</t>
  </si>
  <si>
    <t>E0352</t>
  </si>
  <si>
    <t>E0351</t>
  </si>
  <si>
    <t>E0902</t>
  </si>
  <si>
    <t>E1685</t>
  </si>
  <si>
    <t>E1126</t>
  </si>
  <si>
    <t>E0222</t>
  </si>
  <si>
    <t>E0228</t>
  </si>
  <si>
    <t>E1048</t>
  </si>
  <si>
    <t>E0647</t>
  </si>
  <si>
    <t>E0495</t>
  </si>
  <si>
    <t>E0906</t>
  </si>
  <si>
    <t>E1057</t>
  </si>
  <si>
    <t>E0672</t>
  </si>
  <si>
    <t>E0493</t>
  </si>
  <si>
    <t>E0248</t>
  </si>
  <si>
    <t>E0673</t>
  </si>
  <si>
    <t>E1412</t>
  </si>
  <si>
    <t>E0444</t>
  </si>
  <si>
    <t>E0207</t>
  </si>
  <si>
    <t>E1385</t>
  </si>
  <si>
    <t>E1294</t>
  </si>
  <si>
    <t>E0206</t>
  </si>
  <si>
    <t>E0911</t>
  </si>
  <si>
    <t>E0939</t>
  </si>
  <si>
    <t>E1227</t>
  </si>
  <si>
    <t>E0881</t>
  </si>
  <si>
    <t>E0256</t>
  </si>
  <si>
    <t>E1091</t>
  </si>
  <si>
    <t>E0443</t>
  </si>
  <si>
    <t>E1015</t>
  </si>
  <si>
    <t>E0998</t>
  </si>
  <si>
    <t>E1014</t>
  </si>
  <si>
    <t>E0109</t>
  </si>
  <si>
    <t>E0267</t>
  </si>
  <si>
    <t>E1130</t>
  </si>
  <si>
    <t>E1393</t>
  </si>
  <si>
    <t>E1167</t>
  </si>
  <si>
    <t>E0400</t>
  </si>
  <si>
    <t>E0910</t>
  </si>
  <si>
    <t>E0969</t>
  </si>
  <si>
    <t>E1100</t>
  </si>
  <si>
    <t>E1089</t>
  </si>
  <si>
    <t>E1175</t>
  </si>
  <si>
    <t>E0524</t>
  </si>
  <si>
    <t>E1185</t>
  </si>
  <si>
    <t>E0726</t>
  </si>
  <si>
    <t>E0364</t>
  </si>
  <si>
    <t>E0469</t>
  </si>
  <si>
    <t>E1445</t>
  </si>
  <si>
    <t>E0358</t>
  </si>
  <si>
    <t>E0622</t>
  </si>
  <si>
    <t>E0288</t>
  </si>
  <si>
    <t>E0290</t>
  </si>
  <si>
    <t>E0289</t>
  </si>
  <si>
    <t>E0281</t>
  </si>
  <si>
    <t>E0280</t>
  </si>
  <si>
    <t>E0286</t>
  </si>
  <si>
    <t>E0283</t>
  </si>
  <si>
    <t>E0279</t>
  </si>
  <si>
    <t>E0291</t>
  </si>
  <si>
    <t>E0414</t>
  </si>
  <si>
    <t>E0409</t>
  </si>
  <si>
    <t>E0209</t>
  </si>
  <si>
    <t>E0208</t>
  </si>
  <si>
    <t>E0113</t>
  </si>
  <si>
    <t>E0355</t>
  </si>
  <si>
    <t>E1629</t>
  </si>
  <si>
    <t>E0152</t>
  </si>
  <si>
    <t>E0494</t>
  </si>
  <si>
    <t>E1406</t>
  </si>
  <si>
    <t>E0431</t>
  </si>
  <si>
    <t>E0496</t>
  </si>
  <si>
    <t>E0498</t>
  </si>
  <si>
    <t>E0497</t>
  </si>
  <si>
    <t>E0417</t>
  </si>
  <si>
    <t>E0116</t>
  </si>
  <si>
    <t>E1424</t>
  </si>
  <si>
    <t>E0155</t>
  </si>
  <si>
    <t>E0571</t>
  </si>
  <si>
    <t>E0397</t>
  </si>
  <si>
    <t>E0254</t>
  </si>
  <si>
    <t>E0343</t>
  </si>
  <si>
    <t>E0645</t>
  </si>
  <si>
    <t>E0620</t>
  </si>
  <si>
    <t>E0014</t>
  </si>
  <si>
    <t>E0015</t>
  </si>
  <si>
    <t>E0013</t>
  </si>
  <si>
    <t>E0017</t>
  </si>
  <si>
    <t>E0016</t>
  </si>
  <si>
    <t>E0033</t>
  </si>
  <si>
    <t>E0034</t>
  </si>
  <si>
    <t>E0235</t>
  </si>
  <si>
    <t>E0275</t>
  </si>
  <si>
    <t>E1566</t>
  </si>
  <si>
    <t>E1434</t>
  </si>
  <si>
    <t>E0242</t>
  </si>
  <si>
    <t>E0526</t>
  </si>
  <si>
    <t>E0525</t>
  </si>
  <si>
    <t>E1474</t>
  </si>
  <si>
    <t>E1610</t>
  </si>
  <si>
    <t>E1523</t>
  </si>
  <si>
    <t>E1400</t>
  </si>
  <si>
    <t>E0149</t>
  </si>
  <si>
    <t>E1514</t>
  </si>
  <si>
    <t>E0619</t>
  </si>
  <si>
    <t>E1468</t>
  </si>
  <si>
    <t>E1525</t>
  </si>
  <si>
    <t>E1649</t>
  </si>
  <si>
    <t>E0462</t>
  </si>
  <si>
    <t>E1303</t>
  </si>
  <si>
    <t>E1562</t>
  </si>
  <si>
    <t>E1799</t>
  </si>
  <si>
    <t>E1502</t>
  </si>
  <si>
    <t>E1438</t>
  </si>
  <si>
    <t>E1451</t>
  </si>
  <si>
    <t>E1544</t>
  </si>
  <si>
    <t>E1458</t>
  </si>
  <si>
    <t>E1501</t>
  </si>
  <si>
    <t>E1473</t>
  </si>
  <si>
    <t>E1470</t>
  </si>
  <si>
    <t>E1452</t>
  </si>
  <si>
    <t>E0157</t>
  </si>
  <si>
    <t>E0579</t>
  </si>
  <si>
    <t>E1482</t>
  </si>
  <si>
    <t>E0632</t>
  </si>
  <si>
    <t>E1428</t>
  </si>
  <si>
    <t>E1723</t>
  </si>
  <si>
    <t>E0634</t>
  </si>
  <si>
    <t>E0442</t>
  </si>
  <si>
    <t>E0441</t>
  </si>
  <si>
    <t>E0416</t>
  </si>
  <si>
    <t>E0561</t>
  </si>
  <si>
    <t>E0605</t>
  </si>
  <si>
    <t>E2076</t>
  </si>
  <si>
    <t>E1726</t>
  </si>
  <si>
    <t>E1576</t>
  </si>
  <si>
    <t>E1492</t>
  </si>
  <si>
    <t>E1461</t>
  </si>
  <si>
    <t>E1485</t>
  </si>
  <si>
    <t>E1440</t>
  </si>
  <si>
    <t>E1441</t>
  </si>
  <si>
    <t>E0554</t>
  </si>
  <si>
    <t>E1532</t>
  </si>
  <si>
    <t>E1922</t>
  </si>
  <si>
    <t>E1582</t>
  </si>
  <si>
    <t>E0536</t>
  </si>
  <si>
    <t>E0535</t>
  </si>
  <si>
    <t>E0357</t>
  </si>
  <si>
    <t>E1459</t>
  </si>
  <si>
    <t>E1674</t>
  </si>
  <si>
    <t>E1522</t>
  </si>
  <si>
    <t>E1543</t>
  </si>
  <si>
    <t>E1586</t>
  </si>
  <si>
    <t>E1442</t>
  </si>
  <si>
    <t>E0244</t>
  </si>
  <si>
    <t>E1563</t>
  </si>
  <si>
    <t>E1575</t>
  </si>
  <si>
    <t>E1545</t>
  </si>
  <si>
    <t>E1686</t>
  </si>
  <si>
    <t>E0373</t>
  </si>
  <si>
    <t>E1455</t>
  </si>
  <si>
    <t>E1569</t>
  </si>
  <si>
    <t>E1466</t>
  </si>
  <si>
    <t>E0479</t>
  </si>
  <si>
    <t>E0190</t>
  </si>
  <si>
    <t>E0973</t>
  </si>
  <si>
    <t>E0189</t>
  </si>
  <si>
    <t>E0178</t>
  </si>
  <si>
    <t>E1512</t>
  </si>
  <si>
    <t>E0097</t>
  </si>
  <si>
    <t>E1571</t>
  </si>
  <si>
    <t>E0070</t>
  </si>
  <si>
    <t>E0485</t>
  </si>
  <si>
    <t>E0483</t>
  </si>
  <si>
    <t>E0482</t>
  </si>
  <si>
    <t>E0621</t>
  </si>
  <si>
    <t>E1971</t>
  </si>
  <si>
    <t>E1490</t>
  </si>
  <si>
    <t>E1717</t>
  </si>
  <si>
    <t>E1705</t>
  </si>
  <si>
    <t>E1484</t>
  </si>
  <si>
    <t>E1729</t>
  </si>
  <si>
    <t>E0177</t>
  </si>
  <si>
    <t>E1573</t>
  </si>
  <si>
    <t>E1579</t>
  </si>
  <si>
    <t>E1533</t>
  </si>
  <si>
    <t>E1536</t>
  </si>
  <si>
    <t>E0560</t>
  </si>
  <si>
    <t>E1700</t>
  </si>
  <si>
    <t>E1739</t>
  </si>
  <si>
    <t>E1506</t>
  </si>
  <si>
    <t>E1407</t>
  </si>
  <si>
    <t>E1711</t>
  </si>
  <si>
    <t>E1503</t>
  </si>
  <si>
    <t>E1505</t>
  </si>
  <si>
    <t>E1559</t>
  </si>
  <si>
    <t>E1534</t>
  </si>
  <si>
    <t>E1530</t>
  </si>
  <si>
    <t>E1529</t>
  </si>
  <si>
    <t>E1585</t>
  </si>
  <si>
    <t>E0636</t>
  </si>
  <si>
    <t>E0631</t>
  </si>
  <si>
    <t>E0637</t>
  </si>
  <si>
    <t>E0635</t>
  </si>
  <si>
    <t>E1408</t>
  </si>
  <si>
    <t>E0574</t>
  </si>
  <si>
    <t>E1681</t>
  </si>
  <si>
    <t>E1540</t>
  </si>
  <si>
    <t>E2040</t>
  </si>
  <si>
    <t>E1671</t>
  </si>
  <si>
    <t>E1721</t>
  </si>
  <si>
    <t>E1669</t>
  </si>
  <si>
    <t>E1531</t>
  </si>
  <si>
    <t>E1714</t>
  </si>
  <si>
    <t>E0048</t>
  </si>
  <si>
    <t>E1742</t>
  </si>
  <si>
    <t>E1748</t>
  </si>
  <si>
    <t>E1751</t>
  </si>
  <si>
    <t>E1736</t>
  </si>
  <si>
    <t>E1437</t>
  </si>
  <si>
    <t>E1446</t>
  </si>
  <si>
    <t>E1713</t>
  </si>
  <si>
    <t>E1662</t>
  </si>
  <si>
    <t>E1668</t>
  </si>
  <si>
    <t>E1426</t>
  </si>
  <si>
    <t>E0159</t>
  </si>
  <si>
    <t>E1680</t>
  </si>
  <si>
    <t>E1752</t>
  </si>
  <si>
    <t>E1425</t>
  </si>
  <si>
    <t>E1757</t>
  </si>
  <si>
    <t>E0131</t>
  </si>
  <si>
    <t>E1679</t>
  </si>
  <si>
    <t>E1740</t>
  </si>
  <si>
    <t>E1732</t>
  </si>
  <si>
    <t>E1734</t>
  </si>
  <si>
    <t>E1131</t>
  </si>
  <si>
    <t>E1547</t>
  </si>
  <si>
    <t>E1701</t>
  </si>
  <si>
    <t>E1678</t>
  </si>
  <si>
    <t>E1673</t>
  </si>
  <si>
    <t>E1672</t>
  </si>
  <si>
    <t>E1477</t>
  </si>
  <si>
    <t>E1541</t>
  </si>
  <si>
    <t>E1561</t>
  </si>
  <si>
    <t>E1693</t>
  </si>
  <si>
    <t>E1486</t>
  </si>
  <si>
    <t>E0460</t>
  </si>
  <si>
    <t>E1590</t>
  </si>
  <si>
    <t>E1738</t>
  </si>
  <si>
    <t>E1556</t>
  </si>
  <si>
    <t>E0435</t>
  </si>
  <si>
    <t>E1587</t>
  </si>
  <si>
    <t>E1478</t>
  </si>
  <si>
    <t>E0600</t>
  </si>
  <si>
    <t>E1764</t>
  </si>
  <si>
    <t>E1755</t>
  </si>
  <si>
    <t>E1564</t>
  </si>
  <si>
    <t>E1754</t>
  </si>
  <si>
    <t>E1572</t>
  </si>
  <si>
    <t>E1762</t>
  </si>
  <si>
    <t>E1761</t>
  </si>
  <si>
    <t>E0405</t>
  </si>
  <si>
    <t>E1696</t>
  </si>
  <si>
    <t>E1510</t>
  </si>
  <si>
    <t>E2073</t>
  </si>
  <si>
    <t>E1704</t>
  </si>
  <si>
    <t>E1765</t>
  </si>
  <si>
    <t>E1413</t>
  </si>
  <si>
    <t>E1719</t>
  </si>
  <si>
    <t>E1715</t>
  </si>
  <si>
    <t>E1720</t>
  </si>
  <si>
    <t>E1684</t>
  </si>
  <si>
    <t>E1802</t>
  </si>
  <si>
    <t>E1783</t>
  </si>
  <si>
    <t>E0575</t>
  </si>
  <si>
    <t>E1504</t>
  </si>
  <si>
    <t>E1675</t>
  </si>
  <si>
    <t>E0389</t>
  </si>
  <si>
    <t>E2074</t>
  </si>
  <si>
    <t>E1803</t>
  </si>
  <si>
    <t>E1791</t>
  </si>
  <si>
    <t>E2098</t>
  </si>
  <si>
    <t>E0106</t>
  </si>
  <si>
    <t>E1118</t>
  </si>
  <si>
    <t>E1804</t>
  </si>
  <si>
    <t>E1763</t>
  </si>
  <si>
    <t>E1152</t>
  </si>
  <si>
    <t>E1151</t>
  </si>
  <si>
    <t>E1805</t>
  </si>
  <si>
    <t>E0387</t>
  </si>
  <si>
    <t>E1796</t>
  </si>
  <si>
    <t>E1481</t>
  </si>
  <si>
    <t>E1695</t>
  </si>
  <si>
    <t>E1737</t>
  </si>
  <si>
    <t>E1733</t>
  </si>
  <si>
    <t>E1747</t>
  </si>
  <si>
    <t>E0539</t>
  </si>
  <si>
    <t>E1800</t>
  </si>
  <si>
    <t>E1760</t>
  </si>
  <si>
    <t>E1150</t>
  </si>
  <si>
    <t>E1829</t>
  </si>
  <si>
    <t>E1663</t>
  </si>
  <si>
    <t>E1820</t>
  </si>
  <si>
    <t>E1454</t>
  </si>
  <si>
    <t>E1471</t>
  </si>
  <si>
    <t>E1508</t>
  </si>
  <si>
    <t>E1578</t>
  </si>
  <si>
    <t>E0243</t>
  </si>
  <si>
    <t>E1833</t>
  </si>
  <si>
    <t>E0365</t>
  </si>
  <si>
    <t>E1903</t>
  </si>
  <si>
    <t>E1399</t>
  </si>
  <si>
    <t>E1759</t>
  </si>
  <si>
    <t>E1779</t>
  </si>
  <si>
    <t>E1618</t>
  </si>
  <si>
    <t>E1818</t>
  </si>
  <si>
    <t>E1117</t>
  </si>
  <si>
    <t>E1615</t>
  </si>
  <si>
    <t>E1592</t>
  </si>
  <si>
    <t>E1699</t>
  </si>
  <si>
    <t>E1707</t>
  </si>
  <si>
    <t>E1527</t>
  </si>
  <si>
    <t>E1940</t>
  </si>
  <si>
    <t>E1795</t>
  </si>
  <si>
    <t>E1665</t>
  </si>
  <si>
    <t>E1149</t>
  </si>
  <si>
    <t>E0385</t>
  </si>
  <si>
    <t>E1819</t>
  </si>
  <si>
    <t>E1749</t>
  </si>
  <si>
    <t>E1518</t>
  </si>
  <si>
    <t>E1858</t>
  </si>
  <si>
    <t>E1469</t>
  </si>
  <si>
    <t>E1862</t>
  </si>
  <si>
    <t>E1834</t>
  </si>
  <si>
    <t>E1583</t>
  </si>
  <si>
    <t>E1852</t>
  </si>
  <si>
    <t>E1797</t>
  </si>
  <si>
    <t>E1402</t>
  </si>
  <si>
    <t>E0552</t>
  </si>
  <si>
    <t>E1073</t>
  </si>
  <si>
    <t>E1496</t>
  </si>
  <si>
    <t>E1718</t>
  </si>
  <si>
    <t>E1659</t>
  </si>
  <si>
    <t>E1832</t>
  </si>
  <si>
    <t>E1881</t>
  </si>
  <si>
    <t>E2100</t>
  </si>
  <si>
    <t>E1639</t>
  </si>
  <si>
    <t>E1670</t>
  </si>
  <si>
    <t>E1785</t>
  </si>
  <si>
    <t>E1874</t>
  </si>
  <si>
    <t>E1916</t>
  </si>
  <si>
    <t>E1772</t>
  </si>
  <si>
    <t>E1498</t>
  </si>
  <si>
    <t>E1710</t>
  </si>
  <si>
    <t>E1857</t>
  </si>
  <si>
    <t>E1744</t>
  </si>
  <si>
    <t>E1868</t>
  </si>
  <si>
    <t>E1289</t>
  </si>
  <si>
    <t>E1709</t>
  </si>
  <si>
    <t>E1777</t>
  </si>
  <si>
    <t>E1768</t>
  </si>
  <si>
    <t>E1712</t>
  </si>
  <si>
    <t>E1919</t>
  </si>
  <si>
    <t>E1920</t>
  </si>
  <si>
    <t>E0518</t>
  </si>
  <si>
    <t>E1581</t>
  </si>
  <si>
    <t>E1846</t>
  </si>
  <si>
    <t>E1147</t>
  </si>
  <si>
    <t>E1906</t>
  </si>
  <si>
    <t>E0145</t>
  </si>
  <si>
    <t>E1962</t>
  </si>
  <si>
    <t>E1875</t>
  </si>
  <si>
    <t>E1845</t>
  </si>
  <si>
    <t>E1894</t>
  </si>
  <si>
    <t>E1924</t>
  </si>
  <si>
    <t>E1789</t>
  </si>
  <si>
    <t>E1792</t>
  </si>
  <si>
    <t>E1790</t>
  </si>
  <si>
    <t>E2037</t>
  </si>
  <si>
    <t>E1683</t>
  </si>
  <si>
    <t>E1849</t>
  </si>
  <si>
    <t>E1814</t>
  </si>
  <si>
    <t>E2003</t>
  </si>
  <si>
    <t>E1907</t>
  </si>
  <si>
    <t>E1507</t>
  </si>
  <si>
    <t>E1913</t>
  </si>
  <si>
    <t>E1937</t>
  </si>
  <si>
    <t>E1816</t>
  </si>
  <si>
    <t>E1815</t>
  </si>
  <si>
    <t>E1983</t>
  </si>
  <si>
    <t>E1911</t>
  </si>
  <si>
    <t>E1869</t>
  </si>
  <si>
    <t>E0608</t>
  </si>
  <si>
    <t>E0604</t>
  </si>
  <si>
    <t>E0606</t>
  </si>
  <si>
    <t>E1831</t>
  </si>
  <si>
    <t>E1953</t>
  </si>
  <si>
    <t>E1954</t>
  </si>
  <si>
    <t>E1959</t>
  </si>
  <si>
    <t>E1878</t>
  </si>
  <si>
    <t>E1879</t>
  </si>
  <si>
    <t>E1892</t>
  </si>
  <si>
    <t>E1893</t>
  </si>
  <si>
    <t>E1958</t>
  </si>
  <si>
    <t>E1896</t>
  </si>
  <si>
    <t>E1859</t>
  </si>
  <si>
    <t>E1898</t>
  </si>
  <si>
    <t>E2004</t>
  </si>
  <si>
    <t>E1889</t>
  </si>
  <si>
    <t>E1773</t>
  </si>
  <si>
    <t>E1756</t>
  </si>
  <si>
    <t>E1872</t>
  </si>
  <si>
    <t>E1854</t>
  </si>
  <si>
    <t>E1842</t>
  </si>
  <si>
    <t>E1781</t>
  </si>
  <si>
    <t>E0025</t>
  </si>
  <si>
    <t>E1982</t>
  </si>
  <si>
    <t>E1986</t>
  </si>
  <si>
    <t>E1967</t>
  </si>
  <si>
    <t>E1974</t>
  </si>
  <si>
    <t>E1844</t>
  </si>
  <si>
    <t>E2035</t>
  </si>
  <si>
    <t>E1677</t>
  </si>
  <si>
    <t>E1682</t>
  </si>
  <si>
    <t>E0382</t>
  </si>
  <si>
    <t>E1745</t>
  </si>
  <si>
    <t>E1951</t>
  </si>
  <si>
    <t>E1943</t>
  </si>
  <si>
    <t>E1933</t>
  </si>
  <si>
    <t>E1952</t>
  </si>
  <si>
    <t>E1905</t>
  </si>
  <si>
    <t>E1989</t>
  </si>
  <si>
    <t>E2002</t>
  </si>
  <si>
    <t>E1992</t>
  </si>
  <si>
    <t>E1938</t>
  </si>
  <si>
    <t>E2001</t>
  </si>
  <si>
    <t>E1929</t>
  </si>
  <si>
    <t>E1993</t>
  </si>
  <si>
    <t>E1991</t>
  </si>
  <si>
    <t>E1988</t>
  </si>
  <si>
    <t>E1885</t>
  </si>
  <si>
    <t>E1928</t>
  </si>
  <si>
    <t>E1996</t>
  </si>
  <si>
    <t>E1866</t>
  </si>
  <si>
    <t>E1882</t>
  </si>
  <si>
    <t>E1891</t>
  </si>
  <si>
    <t>E1883</t>
  </si>
  <si>
    <t>E1877</t>
  </si>
  <si>
    <t>E1880</t>
  </si>
  <si>
    <t>E1939</t>
  </si>
  <si>
    <t>E0096</t>
  </si>
  <si>
    <t>E1848</t>
  </si>
  <si>
    <t>E1847</t>
  </si>
  <si>
    <t>E1811</t>
  </si>
  <si>
    <t>E1457</t>
  </si>
  <si>
    <t>E1822</t>
  </si>
  <si>
    <t>E1871</t>
  </si>
  <si>
    <t>E1925</t>
  </si>
  <si>
    <t>E2019</t>
  </si>
  <si>
    <t>E2050</t>
  </si>
  <si>
    <t>E1813</t>
  </si>
  <si>
    <t>E2048</t>
  </si>
  <si>
    <t>E1918</t>
  </si>
  <si>
    <t>E1980</t>
  </si>
  <si>
    <t>E1990</t>
  </si>
  <si>
    <t>E1775</t>
  </si>
  <si>
    <t>E1727</t>
  </si>
  <si>
    <t>E1730</t>
  </si>
  <si>
    <t>E1694</t>
  </si>
  <si>
    <t>E1828</t>
  </si>
  <si>
    <t>E1830</t>
  </si>
  <si>
    <t>E1981</t>
  </si>
  <si>
    <t>E1941</t>
  </si>
  <si>
    <t>E1946</t>
  </si>
  <si>
    <t>E2060</t>
  </si>
  <si>
    <t>E1926</t>
  </si>
  <si>
    <t>E1841</t>
  </si>
  <si>
    <t>E1912</t>
  </si>
  <si>
    <t>E1965</t>
  </si>
  <si>
    <t>E1927</t>
  </si>
  <si>
    <t>E1843</t>
  </si>
  <si>
    <t>E1961</t>
  </si>
  <si>
    <t>E1890</t>
  </si>
  <si>
    <t>E1976</t>
  </si>
  <si>
    <t>E2006</t>
  </si>
  <si>
    <t>E1132</t>
  </si>
  <si>
    <t>E1856</t>
  </si>
  <si>
    <t>E2059</t>
  </si>
  <si>
    <t>E1780</t>
  </si>
  <si>
    <t>E1836</t>
  </si>
  <si>
    <t>E1978</t>
  </si>
  <si>
    <t>E1703</t>
  </si>
  <si>
    <t>E0436</t>
  </si>
  <si>
    <t>E0437</t>
  </si>
  <si>
    <t>E0432</t>
  </si>
  <si>
    <t>E0593</t>
  </si>
  <si>
    <t>E2016</t>
  </si>
  <si>
    <t>E2007</t>
  </si>
  <si>
    <t>E1932</t>
  </si>
  <si>
    <t>E1767</t>
  </si>
  <si>
    <t>E1840</t>
  </si>
  <si>
    <t>E1955</t>
  </si>
  <si>
    <t>E1770</t>
  </si>
  <si>
    <t>E1839</t>
  </si>
  <si>
    <t>E1945</t>
  </si>
  <si>
    <t>E1851</t>
  </si>
  <si>
    <t>E2067</t>
  </si>
  <si>
    <t>E2068</t>
  </si>
  <si>
    <t>E2069</t>
  </si>
  <si>
    <t>E1998</t>
  </si>
  <si>
    <t>E0063</t>
  </si>
  <si>
    <t>E2066</t>
  </si>
  <si>
    <t>E2064</t>
  </si>
  <si>
    <t>E2058</t>
  </si>
  <si>
    <t>E1741</t>
  </si>
  <si>
    <t>E2046</t>
  </si>
  <si>
    <t>E1824</t>
  </si>
  <si>
    <t>E2008</t>
  </si>
  <si>
    <t>E2009</t>
  </si>
  <si>
    <t>E1801</t>
  </si>
  <si>
    <t>E1944</t>
  </si>
  <si>
    <t>E1560</t>
  </si>
  <si>
    <t>E1973</t>
  </si>
  <si>
    <t>E1972</t>
  </si>
  <si>
    <t>E1753</t>
  </si>
  <si>
    <t>E0276</t>
  </si>
  <si>
    <t>E1994</t>
  </si>
  <si>
    <t>E1995</t>
  </si>
  <si>
    <t>E1825</t>
  </si>
  <si>
    <t>E1930</t>
  </si>
  <si>
    <t>E0543</t>
  </si>
  <si>
    <t>E1769</t>
  </si>
  <si>
    <t>E2023</t>
  </si>
  <si>
    <t>E0583</t>
  </si>
  <si>
    <t>E2090</t>
  </si>
  <si>
    <t>E2015</t>
  </si>
  <si>
    <t>E2014</t>
  </si>
  <si>
    <t>E1676</t>
  </si>
  <si>
    <t>E1120</t>
  </si>
  <si>
    <t>E2047</t>
  </si>
  <si>
    <t>E1778</t>
  </si>
  <si>
    <t>E1915</t>
  </si>
  <si>
    <t>E1923</t>
  </si>
  <si>
    <t>E1794</t>
  </si>
  <si>
    <t>E1968</t>
  </si>
  <si>
    <t>E1970</t>
  </si>
  <si>
    <t>E1942</t>
  </si>
  <si>
    <t>E0542</t>
  </si>
  <si>
    <t>E0540</t>
  </si>
  <si>
    <t>E2049</t>
  </si>
  <si>
    <t>E2070</t>
  </si>
  <si>
    <t>E1539</t>
  </si>
  <si>
    <t>E1690</t>
  </si>
  <si>
    <t>E1524</t>
  </si>
  <si>
    <t>E1809</t>
  </si>
  <si>
    <t>E1888</t>
  </si>
  <si>
    <t>E1146</t>
  </si>
  <si>
    <t>E1853</t>
  </si>
  <si>
    <t>E1810</t>
  </si>
  <si>
    <t>E1776</t>
  </si>
  <si>
    <t>E0277</t>
  </si>
  <si>
    <t>E0074</t>
  </si>
  <si>
    <t>E2075</t>
  </si>
  <si>
    <t>E1497</t>
  </si>
  <si>
    <t>E2032</t>
  </si>
  <si>
    <t>E1948</t>
  </si>
  <si>
    <t>E1863</t>
  </si>
  <si>
    <t>E2112</t>
  </si>
  <si>
    <t>E1702</t>
  </si>
  <si>
    <t>E2072</t>
  </si>
  <si>
    <t>E1599</t>
  </si>
  <si>
    <t>E1949</t>
  </si>
  <si>
    <t>E0380</t>
  </si>
  <si>
    <t>E2113</t>
  </si>
  <si>
    <t>E0558</t>
  </si>
  <si>
    <t>E1145</t>
  </si>
  <si>
    <t>E0108</t>
  </si>
  <si>
    <t>E2095</t>
  </si>
  <si>
    <t>E2045</t>
  </si>
  <si>
    <t>E1917</t>
  </si>
  <si>
    <t>E2137</t>
  </si>
  <si>
    <t>E2039</t>
  </si>
  <si>
    <t>E2125</t>
  </si>
  <si>
    <t>E1975</t>
  </si>
  <si>
    <t>E1448</t>
  </si>
  <si>
    <t>E1787</t>
  </si>
  <si>
    <t>E1124</t>
  </si>
  <si>
    <t>E1969</t>
  </si>
  <si>
    <t>E2134</t>
  </si>
  <si>
    <t>E2077</t>
  </si>
  <si>
    <t>E0094</t>
  </si>
  <si>
    <t>E2052</t>
  </si>
  <si>
    <t>E2120</t>
  </si>
  <si>
    <t>E2119</t>
  </si>
  <si>
    <t>E2121</t>
  </si>
  <si>
    <t>E2118</t>
  </si>
  <si>
    <t>E2117</t>
  </si>
  <si>
    <t>E2123</t>
  </si>
  <si>
    <t>E2144</t>
  </si>
  <si>
    <t>E2097</t>
  </si>
  <si>
    <t>E2099</t>
  </si>
  <si>
    <t>E2101</t>
  </si>
  <si>
    <t>E2103</t>
  </si>
  <si>
    <t>E2094</t>
  </si>
  <si>
    <t>E1144</t>
  </si>
  <si>
    <t>E2061</t>
  </si>
  <si>
    <t>E0092</t>
  </si>
  <si>
    <t>E1548</t>
  </si>
  <si>
    <t>E1143</t>
  </si>
  <si>
    <t>E0260</t>
  </si>
  <si>
    <t>E1950</t>
  </si>
  <si>
    <t>E1886</t>
  </si>
  <si>
    <t>E2109</t>
  </si>
  <si>
    <t>E2131</t>
  </si>
  <si>
    <t>E2054</t>
  </si>
  <si>
    <t>E2053</t>
  </si>
  <si>
    <t>E2143</t>
  </si>
  <si>
    <t>E2063</t>
  </si>
  <si>
    <t>E0758</t>
  </si>
  <si>
    <t>E0919</t>
  </si>
  <si>
    <t>E0477</t>
  </si>
  <si>
    <t>E1378</t>
  </si>
  <si>
    <t>E1055</t>
  </si>
  <si>
    <t>E1225</t>
  </si>
  <si>
    <t>E0930</t>
  </si>
  <si>
    <t>E2033</t>
  </si>
  <si>
    <t>E2051</t>
  </si>
  <si>
    <t>E0073</t>
  </si>
  <si>
    <t>E2042</t>
  </si>
  <si>
    <t>E0398</t>
  </si>
  <si>
    <t>E1513</t>
  </si>
  <si>
    <t>E2000</t>
  </si>
  <si>
    <t>E2056</t>
  </si>
  <si>
    <t>E2036</t>
  </si>
  <si>
    <t>E0369</t>
  </si>
  <si>
    <t>E0566</t>
  </si>
  <si>
    <t>E0569</t>
  </si>
  <si>
    <t>E0568</t>
  </si>
  <si>
    <t>E0567</t>
  </si>
  <si>
    <t>E0570</t>
  </si>
  <si>
    <t>E0375</t>
  </si>
  <si>
    <t>E1827</t>
  </si>
  <si>
    <t>E0511</t>
  </si>
  <si>
    <t>E1121</t>
  </si>
  <si>
    <t>E2124</t>
  </si>
  <si>
    <t>E2044</t>
  </si>
  <si>
    <t>E0374</t>
  </si>
  <si>
    <t>E0657</t>
  </si>
  <si>
    <t>E1786</t>
  </si>
  <si>
    <t>E1142</t>
  </si>
  <si>
    <t>E1141</t>
  </si>
  <si>
    <t>E1957</t>
  </si>
  <si>
    <t>E1855</t>
  </si>
  <si>
    <t>E0426</t>
  </si>
  <si>
    <t>E1909</t>
  </si>
  <si>
    <t>E1574</t>
  </si>
  <si>
    <t>E1123</t>
  </si>
  <si>
    <t>E1899</t>
  </si>
  <si>
    <t>E1910</t>
  </si>
  <si>
    <t>E1977</t>
  </si>
  <si>
    <t>E2110</t>
  </si>
  <si>
    <t>E0366</t>
  </si>
  <si>
    <t>E1546</t>
  </si>
  <si>
    <t>E0268</t>
  </si>
  <si>
    <t>E0264</t>
  </si>
  <si>
    <t>E2128</t>
  </si>
  <si>
    <t>E1788</t>
  </si>
  <si>
    <t>E1515</t>
  </si>
  <si>
    <t>E0144</t>
  </si>
  <si>
    <t>E1997</t>
  </si>
  <si>
    <t>E0557</t>
  </si>
  <si>
    <t>E0577</t>
  </si>
  <si>
    <t>E2024</t>
  </si>
  <si>
    <t>E1698</t>
  </si>
  <si>
    <t>E0093</t>
  </si>
  <si>
    <t>E1687</t>
  </si>
  <si>
    <t>E2115</t>
  </si>
  <si>
    <t>E0089</t>
  </si>
  <si>
    <t>E1140</t>
  </si>
  <si>
    <t>E1139</t>
  </si>
  <si>
    <t>E2107</t>
  </si>
  <si>
    <t>E2129</t>
  </si>
  <si>
    <t>E2132</t>
  </si>
  <si>
    <t>E2108</t>
  </si>
  <si>
    <t>E0062</t>
  </si>
  <si>
    <t>E0367</t>
  </si>
  <si>
    <t>E0670</t>
  </si>
  <si>
    <t>E0739</t>
  </si>
  <si>
    <t>E1351</t>
  </si>
  <si>
    <t>E1365</t>
  </si>
  <si>
    <t>E1165</t>
  </si>
  <si>
    <t>E1164</t>
  </si>
  <si>
    <t>E1358</t>
  </si>
  <si>
    <t>E1394</t>
  </si>
  <si>
    <t>E2088</t>
  </si>
  <si>
    <t>E1111</t>
  </si>
  <si>
    <t>E1034</t>
  </si>
  <si>
    <t>E1215</t>
  </si>
  <si>
    <t>E0685</t>
  </si>
  <si>
    <t>E1290</t>
  </si>
  <si>
    <t>E0900</t>
  </si>
  <si>
    <t>E1004</t>
  </si>
  <si>
    <t>E1032</t>
  </si>
  <si>
    <t>E0090</t>
  </si>
  <si>
    <t>E1176</t>
  </si>
  <si>
    <t>E1101</t>
  </si>
  <si>
    <t>E0446</t>
  </si>
  <si>
    <t>E1645</t>
  </si>
  <si>
    <t>E0370</t>
  </si>
  <si>
    <t>E1873</t>
  </si>
  <si>
    <t>E2091</t>
  </si>
  <si>
    <t>E1500</t>
  </si>
  <si>
    <t>E1558</t>
  </si>
  <si>
    <t>E0091</t>
  </si>
  <si>
    <t>E2031</t>
  </si>
  <si>
    <t>E2105</t>
  </si>
  <si>
    <t>E1465</t>
  </si>
  <si>
    <t>E1509</t>
  </si>
  <si>
    <t>E1557</t>
  </si>
  <si>
    <t>E2022</t>
  </si>
  <si>
    <t>E0368</t>
  </si>
  <si>
    <t>E1138</t>
  </si>
  <si>
    <t>E1136</t>
  </si>
  <si>
    <t>E1135</t>
  </si>
  <si>
    <t>E2028</t>
  </si>
  <si>
    <t>E1134</t>
  </si>
  <si>
    <t>E0069</t>
  </si>
  <si>
    <t>E2034</t>
  </si>
  <si>
    <t>E0818</t>
  </si>
  <si>
    <t>E0105</t>
  </si>
  <si>
    <t>E0104</t>
  </si>
  <si>
    <t>E0723</t>
  </si>
  <si>
    <t>E0088</t>
  </si>
  <si>
    <t>E2116</t>
  </si>
  <si>
    <t>21.589.900</t>
  </si>
  <si>
    <t>413.887.900</t>
  </si>
  <si>
    <t>-31.618.500</t>
  </si>
  <si>
    <t>40.6286200°</t>
  </si>
  <si>
    <t>-16.432.300</t>
  </si>
  <si>
    <t>428.168.700</t>
  </si>
  <si>
    <t>-39.290.700</t>
  </si>
  <si>
    <t>389.862.600</t>
  </si>
  <si>
    <t>44.444.800</t>
  </si>
  <si>
    <t>504.113.600</t>
  </si>
  <si>
    <t>61.849.600</t>
  </si>
  <si>
    <t>486.843.900</t>
  </si>
  <si>
    <t>-3.70256.</t>
  </si>
  <si>
    <t>-2.459.740</t>
  </si>
  <si>
    <t>368.381.400</t>
  </si>
  <si>
    <t>-3.60667.</t>
  </si>
  <si>
    <t>416.167.400</t>
  </si>
  <si>
    <t>-41.073.400</t>
  </si>
  <si>
    <t>386.871.200</t>
  </si>
  <si>
    <t>59.731.700</t>
  </si>
  <si>
    <t>373.828.300</t>
  </si>
  <si>
    <t>-0.31176.</t>
  </si>
  <si>
    <t>-16.372.817</t>
  </si>
  <si>
    <t>420.744.029</t>
  </si>
  <si>
    <t>-88.882.000</t>
  </si>
  <si>
    <t>385.244.000</t>
  </si>
  <si>
    <t>28.249.300</t>
  </si>
  <si>
    <t>419.831.100</t>
  </si>
  <si>
    <t>5.56749.</t>
  </si>
  <si>
    <t>5.063.373</t>
  </si>
  <si>
    <t>-18.045.800</t>
  </si>
  <si>
    <t>420.793.700</t>
  </si>
  <si>
    <t>-4.16706.</t>
  </si>
  <si>
    <t>4.296.262</t>
  </si>
  <si>
    <t>-26.726.800</t>
  </si>
  <si>
    <t>428.499.800</t>
  </si>
  <si>
    <t>416.560.600</t>
  </si>
  <si>
    <t>6.1926.</t>
  </si>
  <si>
    <t>4.935.571</t>
  </si>
  <si>
    <t>12.20121.</t>
  </si>
  <si>
    <t>44.41344 </t>
  </si>
  <si>
    <t>-33.599.600</t>
  </si>
  <si>
    <t>404.820.500</t>
  </si>
  <si>
    <t>4.872.657</t>
  </si>
  <si>
    <t>-1.85643.</t>
  </si>
  <si>
    <t>-0.98623.</t>
  </si>
  <si>
    <t>3.760.512</t>
  </si>
  <si>
    <t>1.2500000°</t>
  </si>
  <si>
    <t>411.166.700</t>
  </si>
  <si>
    <t>394.697.500</t>
  </si>
  <si>
    <t>4.210.359</t>
  </si>
  <si>
    <t>-29.252.800</t>
  </si>
  <si>
    <t>432.627.100</t>
  </si>
  <si>
    <t>-6.46667.</t>
  </si>
  <si>
    <t>3.887.789</t>
  </si>
  <si>
    <t>-3.67975.</t>
  </si>
  <si>
    <t>4.042.972</t>
  </si>
  <si>
    <t>-3.02156.</t>
  </si>
  <si>
    <t>3.915.759</t>
  </si>
  <si>
    <t>-3.68715.</t>
  </si>
  <si>
    <t>-3.70184.</t>
  </si>
  <si>
    <t>4.234.106</t>
  </si>
  <si>
    <t>-47.237.200</t>
  </si>
  <si>
    <t>416.551.800</t>
  </si>
  <si>
    <t>-4.77275.</t>
  </si>
  <si>
    <t>3.789.155</t>
  </si>
  <si>
    <t>-2.665.460</t>
  </si>
  <si>
    <t>42.548.721</t>
  </si>
  <si>
    <t>5.57067.</t>
  </si>
  <si>
    <t>4.329.276</t>
  </si>
  <si>
    <t>-0.48149. </t>
  </si>
  <si>
    <t>-6.37224.</t>
  </si>
  <si>
    <t>3.947.649</t>
  </si>
  <si>
    <t>-1.25343.</t>
  </si>
  <si>
    <t>4.191.804</t>
  </si>
  <si>
    <t>1.61139.</t>
  </si>
  <si>
    <t>2° 26′ 44″ O</t>
  </si>
  <si>
    <t>42° 27′ 54″ N</t>
  </si>
  <si>
    <t>-6.949.540</t>
  </si>
  <si>
    <t>37.257.150</t>
  </si>
  <si>
    <t>-24.133.400</t>
  </si>
  <si>
    <t>432.160.100</t>
  </si>
  <si>
    <t>-27.333.300</t>
  </si>
  <si>
    <t>432.166.700</t>
  </si>
  <si>
    <t>-6.4894.</t>
  </si>
  <si>
    <t>4.205.201</t>
  </si>
  <si>
    <t>2.75745.</t>
  </si>
  <si>
    <t>2.24439.</t>
  </si>
  <si>
    <t>3.87826.</t>
  </si>
  <si>
    <t>-4.52406.</t>
  </si>
  <si>
    <t> -6.2891.</t>
  </si>
  <si>
    <t>2.19576.</t>
  </si>
  <si>
    <t>12.13054.</t>
  </si>
  <si>
    <t>2° 10′ O</t>
  </si>
  <si>
    <t>43° 10′ N</t>
  </si>
  <si>
    <t>-4.42034.</t>
  </si>
  <si>
    <t>36.72016 </t>
  </si>
  <si>
    <t>-0.51167.</t>
  </si>
  <si>
    <t>4.38678.</t>
  </si>
  <si>
    <t> 0.48171.</t>
  </si>
  <si>
    <t>44.85157 </t>
  </si>
  <si>
    <t>-4.02263.</t>
  </si>
  <si>
    <t>-4.88583.</t>
  </si>
  <si>
    <t>3.651.543</t>
  </si>
  <si>
    <t>-5.57032.</t>
  </si>
  <si>
    <t> -8.57207.</t>
  </si>
  <si>
    <t>4.075.648</t>
  </si>
  <si>
    <t>5.33308.</t>
  </si>
  <si>
    <t>4.786.263</t>
  </si>
  <si>
    <t> 9.18951. </t>
  </si>
  <si>
    <t>3.20639.</t>
  </si>
  <si>
    <t>5.074.497</t>
  </si>
  <si>
    <t>-0.4087.</t>
  </si>
  <si>
    <t>5.120.892</t>
  </si>
  <si>
    <t>-8.54348.</t>
  </si>
  <si>
    <t>4.82823.</t>
  </si>
  <si>
    <t>4.631.407</t>
  </si>
  <si>
    <t>-7.55602.</t>
  </si>
  <si>
    <t>4.300.992</t>
  </si>
  <si>
    <t>-5.32042.</t>
  </si>
  <si>
    <t>-2.13333.</t>
  </si>
  <si>
    <t>4.006.667</t>
  </si>
  <si>
    <t>-83.960.000</t>
  </si>
  <si>
    <t>433.713.500</t>
  </si>
  <si>
    <t>-4.11839.</t>
  </si>
  <si>
    <t>4.094.808</t>
  </si>
  <si>
    <t>-64.145.200</t>
  </si>
  <si>
    <t>433.376.500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</si>
</sst>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3" formatCode="_-* #,##0.00_-;\-* #,##0.00_-;_-* &quot;-&quot;??_-;_-@_-"/>
    <numFmt numFmtId="164" formatCode="dd\-mm\-yy;@"/>
    <numFmt numFmtId="165" formatCode="#,##0.00\ [$€-1]"/>
    <numFmt numFmtId="166" formatCode="#,##0.00\ [$€-C0A]"/>
    <numFmt numFmtId="167" formatCode="d\-m\-yyyy;@"/>
    <numFmt numFmtId="168" formatCode="[$€-2]\ #,##0.00"/>
    <numFmt numFmtId="169" formatCode="#,##0.00\ &quot;€&quot;"/>
    <numFmt numFmtId="170" formatCode="_-[$€-2]\ * #,##0.00_-;\-[$€-2]\ * #,##0.00_-;_-[$€-2]\ * &quot;-&quot;??_-;_-@_-"/>
    <numFmt numFmtId="171" formatCode="#,##0.00\ [$€-40A]"/>
    <numFmt numFmtId="172" formatCode="_-* #,##0.00\ [$€-C0A]_-;\-* #,##0.00\ [$€-C0A]_-;_-* &quot;-&quot;??\ [$€-C0A]_-;_-@_-"/>
    <numFmt numFmtId="173" formatCode="#,##0\ &quot;€&quot;"/>
    <numFmt numFmtId="174" formatCode="&quot;$&quot;#,##0"/>
    <numFmt numFmtId="175" formatCode="#,##0\ [$€-C0A]"/>
    <numFmt numFmtId="176" formatCode="_(&quot;$&quot;* #,##0.00_);_(&quot;$&quot;* \(#,##0.00\);_(&quot;$&quot;* &quot;-&quot;??_);_(@_)"/>
    <numFmt numFmtId="177" formatCode="_([$€-2]\ * #,##0_);_([$€-2]\ * \(#,##0\);_([$€-2]\ * &quot;-&quot;??_);_(@_)"/>
    <numFmt numFmtId="178" formatCode="_([$€-2]\ * #,##0.00_);_([$€-2]\ * \(#,##0.00\);_([$€-2]\ * &quot;-&quot;??_);_(@_)"/>
    <numFmt numFmtId="179" formatCode="#,##0.0\ [$€-1]"/>
  </numFmts>
  <fonts count="84">
    <font>
      <sz val="11"/>
      <color theme="1"/>
      <name val="Calibri"/>
      <scheme val="minor"/>
    </font>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u/>
      <sz val="11"/>
      <color theme="10"/>
      <name val="Calibri"/>
      <family val="2"/>
      <scheme val="minor"/>
    </font>
    <font>
      <b/>
      <sz val="11"/>
      <color theme="1"/>
      <name val="Calibri"/>
      <family val="2"/>
    </font>
    <font>
      <sz val="11"/>
      <color theme="1"/>
      <name val="Calibri"/>
      <family val="2"/>
    </font>
    <font>
      <b/>
      <sz val="12"/>
      <color theme="1"/>
      <name val="Calibri"/>
      <family val="2"/>
      <scheme val="minor"/>
    </font>
    <font>
      <sz val="11"/>
      <color theme="4"/>
      <name val="Calibri"/>
      <family val="2"/>
      <scheme val="minor"/>
    </font>
    <font>
      <sz val="11"/>
      <color rgb="FF0070C0"/>
      <name val="Calibri"/>
      <family val="2"/>
    </font>
    <font>
      <sz val="11"/>
      <color rgb="FFFF0000"/>
      <name val="Calibri"/>
      <family val="2"/>
    </font>
    <font>
      <sz val="11"/>
      <color rgb="FF0070C0"/>
      <name val="Calibri"/>
      <family val="2"/>
      <scheme val="minor"/>
    </font>
    <font>
      <sz val="11"/>
      <color theme="4"/>
      <name val="Calibri"/>
      <family val="2"/>
    </font>
    <font>
      <sz val="11"/>
      <color theme="4" tint="-0.249977111117893"/>
      <name val="Calibri"/>
      <family val="2"/>
    </font>
    <font>
      <b/>
      <sz val="11"/>
      <color rgb="FF0070C0"/>
      <name val="Calibri"/>
      <family val="2"/>
    </font>
    <font>
      <sz val="11"/>
      <color rgb="FF305496"/>
      <name val="Calibri"/>
      <family val="2"/>
    </font>
    <font>
      <sz val="11"/>
      <color theme="4" tint="-0.249977111117893"/>
      <name val="Calibri"/>
      <family val="2"/>
      <scheme val="minor"/>
    </font>
    <font>
      <sz val="11"/>
      <color rgb="FF0070C0"/>
      <name val="Aptos Narrow"/>
      <family val="2"/>
    </font>
    <font>
      <sz val="11"/>
      <color theme="9" tint="-0.499984740745262"/>
      <name val="Calibri"/>
      <family val="2"/>
    </font>
    <font>
      <sz val="11"/>
      <color rgb="FF242424"/>
      <name val="Aptos Narrow"/>
      <family val="2"/>
    </font>
    <font>
      <sz val="11"/>
      <color rgb="FF203764"/>
      <name val="Calibri"/>
      <family val="2"/>
    </font>
    <font>
      <sz val="11"/>
      <color rgb="FF000000"/>
      <name val="Calibri"/>
      <family val="2"/>
      <scheme val="minor"/>
    </font>
    <font>
      <b/>
      <sz val="11"/>
      <color rgb="FF305496"/>
      <name val="Calibri"/>
      <family val="2"/>
    </font>
    <font>
      <sz val="11"/>
      <color theme="4" tint="-0.499984740745262"/>
      <name val="Calibri"/>
      <family val="2"/>
    </font>
    <font>
      <sz val="11"/>
      <color rgb="FF0070C0"/>
      <name val="Calibri"/>
      <family val="2"/>
      <scheme val="major"/>
    </font>
    <font>
      <sz val="11"/>
      <color theme="1"/>
      <name val="Calibri"/>
      <family val="2"/>
      <charset val="1"/>
    </font>
    <font>
      <b/>
      <sz val="11"/>
      <color rgb="FFFF0000"/>
      <name val="Calibri"/>
      <family val="2"/>
      <scheme val="minor"/>
    </font>
    <font>
      <sz val="9"/>
      <color rgb="FF333333"/>
      <name val="Segoe UI"/>
      <family val="2"/>
    </font>
    <font>
      <sz val="11"/>
      <color rgb="FF242424"/>
      <name val="Calibri"/>
      <family val="2"/>
      <scheme val="minor"/>
    </font>
    <font>
      <sz val="12"/>
      <color rgb="FF000000"/>
      <name val="Aptos"/>
      <family val="2"/>
    </font>
    <font>
      <b/>
      <sz val="12"/>
      <color rgb="FF000000"/>
      <name val="Aptos"/>
      <family val="2"/>
    </font>
    <font>
      <sz val="11"/>
      <color rgb="FFC00000"/>
      <name val="Calibri"/>
      <family val="2"/>
    </font>
    <font>
      <sz val="11"/>
      <color rgb="FFFF0000"/>
      <name val="Aptos Narrow"/>
      <family val="2"/>
    </font>
    <font>
      <sz val="11"/>
      <color rgb="FF305496"/>
      <name val="Arial"/>
      <family val="2"/>
    </font>
    <font>
      <sz val="11"/>
      <color theme="10"/>
      <name val="Calibri"/>
      <family val="2"/>
      <scheme val="minor"/>
    </font>
    <font>
      <sz val="11"/>
      <color rgb="FF000000"/>
      <name val="Calibri"/>
      <family val="2"/>
    </font>
    <font>
      <sz val="11"/>
      <color theme="4"/>
      <name val="Aptos"/>
      <family val="2"/>
      <charset val="1"/>
    </font>
    <font>
      <b/>
      <sz val="11"/>
      <color theme="4"/>
      <name val="Aptos"/>
      <family val="2"/>
      <charset val="1"/>
    </font>
    <font>
      <b/>
      <u/>
      <sz val="11"/>
      <color theme="4"/>
      <name val="Aptos"/>
      <family val="2"/>
      <charset val="1"/>
    </font>
    <font>
      <sz val="11"/>
      <color rgb="FF707070"/>
      <name val="Segoe UI"/>
      <family val="2"/>
    </font>
    <font>
      <sz val="11"/>
      <color rgb="FF242424"/>
      <name val="Segoe UI"/>
      <family val="2"/>
    </font>
    <font>
      <sz val="12"/>
      <color theme="1"/>
      <name val="Aptos"/>
      <family val="2"/>
      <charset val="1"/>
    </font>
    <font>
      <sz val="11"/>
      <color theme="1"/>
      <name val="Aptos"/>
      <family val="2"/>
      <charset val="1"/>
    </font>
    <font>
      <sz val="11"/>
      <color rgb="FF242424"/>
      <name val="Aptos"/>
      <family val="2"/>
      <charset val="1"/>
    </font>
    <font>
      <b/>
      <sz val="11"/>
      <color rgb="FF242424"/>
      <name val="Aptos"/>
      <family val="2"/>
      <charset val="1"/>
    </font>
    <font>
      <sz val="11"/>
      <color theme="4" tint="-0.249977111117893"/>
      <name val="Aptos"/>
      <family val="2"/>
      <charset val="1"/>
    </font>
    <font>
      <b/>
      <sz val="11"/>
      <color theme="4" tint="-0.249977111117893"/>
      <name val="Aptos"/>
      <family val="2"/>
      <charset val="1"/>
    </font>
    <font>
      <sz val="9"/>
      <color rgb="FF020817"/>
      <name val="Calibri"/>
      <family val="2"/>
      <scheme val="minor"/>
    </font>
    <font>
      <sz val="11"/>
      <color rgb="FF305496"/>
      <name val="Aptos"/>
      <family val="2"/>
    </font>
    <font>
      <b/>
      <sz val="11"/>
      <color rgb="FF305496"/>
      <name val="Aptos"/>
      <family val="2"/>
    </font>
    <font>
      <sz val="11"/>
      <color rgb="FF7030A0"/>
      <name val="Calibri"/>
      <family val="2"/>
      <scheme val="minor"/>
    </font>
    <font>
      <b/>
      <sz val="11"/>
      <color rgb="FF000000"/>
      <name val="Calibri"/>
      <family val="2"/>
    </font>
    <font>
      <b/>
      <sz val="11"/>
      <color rgb="FF0070C0"/>
      <name val="Calibri"/>
      <family val="2"/>
      <scheme val="minor"/>
    </font>
    <font>
      <sz val="11"/>
      <color theme="1"/>
      <name val="Times New Roman"/>
      <family val="1"/>
    </font>
    <font>
      <strike/>
      <sz val="11"/>
      <color theme="1"/>
      <name val="Calibri"/>
      <family val="2"/>
      <scheme val="minor"/>
    </font>
    <font>
      <sz val="11"/>
      <color rgb="FF242424"/>
      <name val="Calibri"/>
      <family val="2"/>
    </font>
    <font>
      <sz val="11"/>
      <color rgb="FFFF0000"/>
      <name val="Arial"/>
      <family val="2"/>
    </font>
    <font>
      <b/>
      <sz val="11"/>
      <color rgb="FFFF0000"/>
      <name val="Calibri"/>
      <family val="2"/>
    </font>
    <font>
      <sz val="11"/>
      <color rgb="FF242424"/>
      <name val="Aptos"/>
      <family val="2"/>
    </font>
    <font>
      <b/>
      <sz val="11"/>
      <color rgb="FF242424"/>
      <name val="Aptos"/>
      <family val="2"/>
    </font>
    <font>
      <b/>
      <sz val="11"/>
      <color rgb="FFEE0000"/>
      <name val="Calibri"/>
      <family val="2"/>
    </font>
    <font>
      <sz val="11"/>
      <color rgb="FFEE0000"/>
      <name val="Calibri"/>
      <family val="2"/>
    </font>
    <font>
      <sz val="12"/>
      <color rgb="FF305496"/>
      <name val="Aptos"/>
      <family val="2"/>
    </font>
    <font>
      <b/>
      <sz val="12"/>
      <color rgb="FF305496"/>
      <name val="Aptos"/>
      <family val="2"/>
    </font>
    <font>
      <b/>
      <sz val="11"/>
      <color rgb="FF242424"/>
      <name val="Inherit"/>
      <charset val="1"/>
    </font>
    <font>
      <b/>
      <sz val="11"/>
      <color rgb="FF242424"/>
      <name val="inherit"/>
    </font>
    <font>
      <sz val="10"/>
      <color rgb="FF305496"/>
      <name val="Calibri"/>
      <family val="2"/>
    </font>
    <font>
      <sz val="10"/>
      <color rgb="FF4472C4"/>
      <name val="Aptos"/>
      <family val="2"/>
    </font>
    <font>
      <sz val="12"/>
      <color theme="4" tint="-0.249977111117893"/>
      <name val="Aptos"/>
      <family val="2"/>
    </font>
    <font>
      <sz val="10"/>
      <color theme="4" tint="-0.249977111117893"/>
      <name val="Calibri"/>
      <family val="2"/>
      <charset val="1"/>
    </font>
    <font>
      <sz val="11"/>
      <color rgb="FF305496"/>
      <name val="Calibri"/>
      <family val="2"/>
      <scheme val="minor"/>
    </font>
    <font>
      <b/>
      <sz val="11"/>
      <color rgb="FF000000"/>
      <name val="Calibri"/>
      <family val="2"/>
      <scheme val="minor"/>
    </font>
    <font>
      <sz val="11"/>
      <name val="Aptos Narrow"/>
      <family val="2"/>
    </font>
    <font>
      <sz val="11"/>
      <color rgb="FF000000"/>
      <name val="Calibri"/>
      <family val="2"/>
      <scheme val="major"/>
    </font>
    <font>
      <sz val="11"/>
      <color theme="4" tint="-0.249977111117893"/>
      <name val="Aptos"/>
      <family val="2"/>
    </font>
    <font>
      <b/>
      <sz val="11"/>
      <color theme="4" tint="-0.249977111117893"/>
      <name val="Aptos"/>
      <family val="2"/>
    </font>
    <font>
      <b/>
      <sz val="12"/>
      <color theme="4" tint="-0.249977111117893"/>
      <name val="Aptos"/>
      <family val="2"/>
    </font>
    <font>
      <sz val="12"/>
      <color rgb="FFFF0000"/>
      <name val="Calibri"/>
      <family val="2"/>
    </font>
    <font>
      <sz val="11"/>
      <color rgb="FFFF0000"/>
      <name val="Calibri"/>
      <family val="2"/>
      <charset val="1"/>
    </font>
    <font>
      <b/>
      <sz val="11"/>
      <color rgb="FF242424"/>
      <name val="Segoe UI"/>
      <family val="2"/>
    </font>
    <font>
      <sz val="11"/>
      <color rgb="FF305496"/>
      <name val="Segoe UI"/>
      <family val="2"/>
    </font>
    <font>
      <b/>
      <sz val="11"/>
      <color rgb="FF305496"/>
      <name val="Segoe UI"/>
      <family val="2"/>
    </font>
    <font>
      <sz val="11"/>
      <color rgb="FF1E53A3"/>
      <name val="Calibri"/>
      <family val="2"/>
      <scheme val="minor"/>
    </font>
  </fonts>
  <fills count="13">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4" tint="0.79998168889431442"/>
        <bgColor theme="4" tint="0.79998168889431442"/>
      </patternFill>
    </fill>
    <fill>
      <patternFill patternType="solid">
        <fgColor theme="5" tint="0.39997558519241921"/>
        <bgColor indexed="64"/>
      </patternFill>
    </fill>
    <fill>
      <patternFill patternType="solid">
        <fgColor theme="0"/>
        <bgColor indexed="64"/>
      </patternFill>
    </fill>
    <fill>
      <patternFill patternType="solid">
        <fgColor theme="9" tint="0.39997558519241921"/>
        <bgColor indexed="64"/>
      </patternFill>
    </fill>
    <fill>
      <patternFill patternType="solid">
        <fgColor theme="5"/>
        <bgColor indexed="64"/>
      </patternFill>
    </fill>
    <fill>
      <patternFill patternType="solid">
        <fgColor theme="5" tint="0.59999389629810485"/>
        <bgColor indexed="64"/>
      </patternFill>
    </fill>
    <fill>
      <patternFill patternType="solid">
        <fgColor rgb="FFFFFF00"/>
        <bgColor theme="4" tint="0.79998168889431442"/>
      </patternFill>
    </fill>
    <fill>
      <patternFill patternType="solid">
        <fgColor rgb="FFFFFFFF"/>
        <bgColor indexed="64"/>
      </patternFill>
    </fill>
  </fills>
  <borders count="10">
    <border>
      <left/>
      <right/>
      <top/>
      <bottom/>
      <diagonal/>
    </border>
    <border>
      <left style="thin">
        <color theme="0"/>
      </left>
      <right/>
      <top style="thin">
        <color theme="0"/>
      </top>
      <bottom/>
      <diagonal/>
    </border>
    <border>
      <left/>
      <right/>
      <top/>
      <bottom style="thin">
        <color theme="4"/>
      </bottom>
      <diagonal/>
    </border>
    <border>
      <left style="thin">
        <color theme="0"/>
      </left>
      <right style="thin">
        <color theme="0"/>
      </right>
      <top style="thin">
        <color theme="0"/>
      </top>
      <bottom style="thin">
        <color theme="0"/>
      </bottom>
      <diagonal/>
    </border>
    <border>
      <left style="thin">
        <color rgb="FFFFFFFF"/>
      </left>
      <right/>
      <top style="thin">
        <color rgb="FFFFFFFF"/>
      </top>
      <bottom/>
      <diagonal/>
    </border>
    <border>
      <left style="thin">
        <color rgb="FFFFFFFF"/>
      </left>
      <right style="thin">
        <color rgb="FFFFFFFF"/>
      </right>
      <top style="thin">
        <color rgb="FFFFFFFF"/>
      </top>
      <bottom style="thin">
        <color rgb="FFFFFFFF"/>
      </bottom>
      <diagonal/>
    </border>
    <border>
      <left/>
      <right/>
      <top style="thin">
        <color theme="0"/>
      </top>
      <bottom/>
      <diagonal/>
    </border>
    <border>
      <left/>
      <right/>
      <top style="thin">
        <color rgb="FFFFFFFF"/>
      </top>
      <bottom/>
      <diagonal/>
    </border>
    <border>
      <left style="thin">
        <color theme="0"/>
      </left>
      <right style="thin">
        <color theme="0"/>
      </right>
      <top style="thin">
        <color theme="0"/>
      </top>
      <bottom/>
      <diagonal/>
    </border>
    <border>
      <left style="thin">
        <color rgb="FFFFFFFF"/>
      </left>
      <right style="thin">
        <color rgb="FFFFFFFF"/>
      </right>
      <top style="thin">
        <color rgb="FFFFFFFF"/>
      </top>
      <bottom/>
      <diagonal/>
    </border>
  </borders>
  <cellStyleXfs count="3">
    <xf numFmtId="0" fontId="0" fillId="0" borderId="0"/>
    <xf numFmtId="43" fontId="2" fillId="0" borderId="0" applyFont="0" applyFill="0" applyBorder="0" applyAlignment="0" applyProtection="0"/>
    <xf numFmtId="0" fontId="5" fillId="0" borderId="0" applyNumberFormat="0" applyFill="0" applyBorder="0" applyAlignment="0" applyProtection="0"/>
  </cellStyleXfs>
  <cellXfs count="383">
    <xf numFmtId="0" fontId="0" fillId="0" borderId="0" xfId="0"/>
    <xf numFmtId="0" fontId="6" fillId="0" borderId="0" xfId="0" applyFont="1" applyAlignment="1">
      <alignment horizontal="center" vertical="center"/>
    </xf>
    <xf numFmtId="0" fontId="7" fillId="0" borderId="0" xfId="0" applyFont="1" applyAlignment="1">
      <alignment horizontal="center" vertical="center"/>
    </xf>
    <xf numFmtId="164" fontId="6" fillId="0" borderId="0" xfId="0" applyNumberFormat="1" applyFont="1" applyAlignment="1">
      <alignment horizontal="center" vertical="center"/>
    </xf>
    <xf numFmtId="2" fontId="6" fillId="0" borderId="0" xfId="0" applyNumberFormat="1" applyFont="1" applyAlignment="1">
      <alignment horizontal="center" vertical="center"/>
    </xf>
    <xf numFmtId="165" fontId="6" fillId="0" borderId="0" xfId="0" applyNumberFormat="1" applyFont="1" applyAlignment="1">
      <alignment horizontal="center" vertical="center"/>
    </xf>
    <xf numFmtId="166" fontId="6" fillId="0" borderId="0" xfId="0" applyNumberFormat="1" applyFont="1" applyAlignment="1">
      <alignment horizontal="center" vertical="center"/>
    </xf>
    <xf numFmtId="167" fontId="6" fillId="0" borderId="0" xfId="0" applyNumberFormat="1" applyFont="1" applyAlignment="1">
      <alignment horizontal="center" vertical="center"/>
    </xf>
    <xf numFmtId="164" fontId="7" fillId="0" borderId="0" xfId="0" applyNumberFormat="1" applyFont="1" applyAlignment="1">
      <alignment horizontal="center" vertical="center"/>
    </xf>
    <xf numFmtId="0" fontId="8" fillId="0" borderId="0" xfId="0" applyFont="1" applyAlignment="1">
      <alignment horizontal="center"/>
    </xf>
    <xf numFmtId="0" fontId="0" fillId="0" borderId="0" xfId="0" applyAlignment="1">
      <alignment horizontal="center"/>
    </xf>
    <xf numFmtId="0" fontId="7" fillId="0" borderId="0" xfId="0" applyFont="1" applyAlignment="1">
      <alignment horizontal="left" vertical="center"/>
    </xf>
    <xf numFmtId="166" fontId="7" fillId="0" borderId="0" xfId="0" applyNumberFormat="1" applyFont="1" applyAlignment="1">
      <alignment horizontal="center" vertical="center"/>
    </xf>
    <xf numFmtId="2" fontId="7" fillId="0" borderId="0" xfId="0" applyNumberFormat="1" applyFont="1" applyAlignment="1">
      <alignment horizontal="center" vertical="center"/>
    </xf>
    <xf numFmtId="167" fontId="7" fillId="0" borderId="0" xfId="0" applyNumberFormat="1" applyFont="1" applyAlignment="1">
      <alignment horizontal="center" vertical="center"/>
    </xf>
    <xf numFmtId="168" fontId="7" fillId="0" borderId="0" xfId="0" applyNumberFormat="1" applyFont="1" applyAlignment="1">
      <alignment horizontal="center" vertical="center"/>
    </xf>
    <xf numFmtId="1" fontId="7" fillId="0" borderId="0" xfId="0" applyNumberFormat="1" applyFont="1" applyAlignment="1">
      <alignment horizontal="center" vertical="center"/>
    </xf>
    <xf numFmtId="0" fontId="9" fillId="0" borderId="0" xfId="0" applyFont="1"/>
    <xf numFmtId="0" fontId="10" fillId="0" borderId="0" xfId="0" applyFont="1" applyAlignment="1">
      <alignment horizontal="left" vertical="center"/>
    </xf>
    <xf numFmtId="0" fontId="9" fillId="0" borderId="0" xfId="0" applyFont="1" applyAlignment="1">
      <alignment vertical="center"/>
    </xf>
    <xf numFmtId="166" fontId="7" fillId="0" borderId="0" xfId="0" applyNumberFormat="1" applyFont="1" applyAlignment="1">
      <alignment horizontal="center"/>
    </xf>
    <xf numFmtId="0" fontId="7" fillId="0" borderId="0" xfId="0" applyFont="1" applyAlignment="1">
      <alignment horizontal="left"/>
    </xf>
    <xf numFmtId="164" fontId="0" fillId="0" borderId="0" xfId="0" applyNumberFormat="1" applyAlignment="1">
      <alignment horizontal="center"/>
    </xf>
    <xf numFmtId="2" fontId="0" fillId="0" borderId="0" xfId="0" applyNumberFormat="1" applyAlignment="1">
      <alignment horizontal="center"/>
    </xf>
    <xf numFmtId="166" fontId="0" fillId="0" borderId="0" xfId="0" applyNumberFormat="1" applyAlignment="1">
      <alignment horizontal="center"/>
    </xf>
    <xf numFmtId="167" fontId="0" fillId="0" borderId="0" xfId="0" applyNumberFormat="1" applyAlignment="1">
      <alignment horizontal="center"/>
    </xf>
    <xf numFmtId="169" fontId="7" fillId="0" borderId="0" xfId="0" applyNumberFormat="1" applyFont="1" applyAlignment="1">
      <alignment horizontal="center" vertical="center"/>
    </xf>
    <xf numFmtId="0" fontId="6" fillId="0" borderId="0" xfId="0" applyFont="1"/>
    <xf numFmtId="166" fontId="2" fillId="0" borderId="0" xfId="0" applyNumberFormat="1" applyFont="1" applyAlignment="1">
      <alignment horizontal="center"/>
    </xf>
    <xf numFmtId="0" fontId="2" fillId="0" borderId="0" xfId="0" applyFont="1" applyAlignment="1">
      <alignment horizontal="center"/>
    </xf>
    <xf numFmtId="0" fontId="2" fillId="0" borderId="0" xfId="0" applyFont="1"/>
    <xf numFmtId="0" fontId="11" fillId="0" borderId="0" xfId="0" applyFont="1" applyAlignment="1">
      <alignment horizontal="left" vertical="center"/>
    </xf>
    <xf numFmtId="0" fontId="12" fillId="0" borderId="0" xfId="0" applyFont="1"/>
    <xf numFmtId="0" fontId="13" fillId="0" borderId="0" xfId="0" applyFont="1" applyAlignment="1">
      <alignment horizontal="center" vertical="center"/>
    </xf>
    <xf numFmtId="0" fontId="13" fillId="0" borderId="0" xfId="0" applyFont="1" applyAlignment="1">
      <alignment horizontal="left" vertical="center"/>
    </xf>
    <xf numFmtId="164" fontId="13" fillId="0" borderId="0" xfId="0" applyNumberFormat="1" applyFont="1" applyAlignment="1">
      <alignment horizontal="center" vertical="center"/>
    </xf>
    <xf numFmtId="166" fontId="13" fillId="0" borderId="0" xfId="0" applyNumberFormat="1" applyFont="1" applyAlignment="1">
      <alignment horizontal="center" vertical="center"/>
    </xf>
    <xf numFmtId="167" fontId="13" fillId="0" borderId="0" xfId="0" applyNumberFormat="1" applyFont="1" applyAlignment="1">
      <alignment horizontal="center" vertical="center"/>
    </xf>
    <xf numFmtId="168" fontId="13" fillId="0" borderId="0" xfId="0" applyNumberFormat="1" applyFont="1" applyAlignment="1">
      <alignment horizontal="center" vertical="center"/>
    </xf>
    <xf numFmtId="1" fontId="13" fillId="0" borderId="0" xfId="0" applyNumberFormat="1" applyFont="1" applyAlignment="1">
      <alignment horizontal="center" vertical="center"/>
    </xf>
    <xf numFmtId="169" fontId="13" fillId="0" borderId="0" xfId="0" applyNumberFormat="1" applyFont="1" applyAlignment="1">
      <alignment horizontal="center" vertical="center"/>
    </xf>
    <xf numFmtId="164" fontId="2" fillId="0" borderId="0" xfId="0" applyNumberFormat="1" applyFont="1" applyAlignment="1">
      <alignment horizontal="center"/>
    </xf>
    <xf numFmtId="2" fontId="2" fillId="0" borderId="0" xfId="0" applyNumberFormat="1" applyFont="1" applyAlignment="1">
      <alignment horizontal="center"/>
    </xf>
    <xf numFmtId="167" fontId="2" fillId="0" borderId="0" xfId="0" applyNumberFormat="1" applyFont="1" applyAlignment="1">
      <alignment horizontal="center"/>
    </xf>
    <xf numFmtId="0" fontId="9" fillId="0" borderId="0" xfId="0" applyFont="1" applyAlignment="1">
      <alignment horizontal="left"/>
    </xf>
    <xf numFmtId="0" fontId="0" fillId="0" borderId="0" xfId="0" applyAlignment="1">
      <alignment vertical="center"/>
    </xf>
    <xf numFmtId="0" fontId="2" fillId="0" borderId="0" xfId="0" applyFont="1" applyAlignment="1">
      <alignment horizontal="left"/>
    </xf>
    <xf numFmtId="166" fontId="14" fillId="0" borderId="0" xfId="0" applyNumberFormat="1" applyFont="1" applyAlignment="1">
      <alignment horizontal="center" vertical="center"/>
    </xf>
    <xf numFmtId="0" fontId="15" fillId="0" borderId="0" xfId="0" applyFont="1" applyAlignment="1">
      <alignment horizontal="left" vertical="center"/>
    </xf>
    <xf numFmtId="0" fontId="0" fillId="0" borderId="0" xfId="0" applyAlignment="1">
      <alignment horizontal="left"/>
    </xf>
    <xf numFmtId="0" fontId="14" fillId="0" borderId="0" xfId="0" applyFont="1" applyAlignment="1">
      <alignment horizontal="left" vertical="center"/>
    </xf>
    <xf numFmtId="0" fontId="17" fillId="0" borderId="0" xfId="0" applyFont="1"/>
    <xf numFmtId="0" fontId="18" fillId="0" borderId="0" xfId="0" applyFont="1" applyAlignment="1">
      <alignment horizontal="left"/>
    </xf>
    <xf numFmtId="0" fontId="10" fillId="0" borderId="0" xfId="0" applyFont="1"/>
    <xf numFmtId="166" fontId="7" fillId="0" borderId="0" xfId="0" applyNumberFormat="1" applyFont="1" applyAlignment="1">
      <alignment horizontal="left" vertical="center"/>
    </xf>
    <xf numFmtId="168" fontId="19" fillId="0" borderId="0" xfId="0" applyNumberFormat="1" applyFont="1" applyAlignment="1">
      <alignment horizontal="center" vertical="center"/>
    </xf>
    <xf numFmtId="0" fontId="10" fillId="0" borderId="0" xfId="0" applyFont="1" applyAlignment="1">
      <alignment horizontal="center" vertical="center"/>
    </xf>
    <xf numFmtId="166" fontId="10" fillId="0" borderId="0" xfId="0" applyNumberFormat="1" applyFont="1" applyAlignment="1">
      <alignment horizontal="center" vertical="center"/>
    </xf>
    <xf numFmtId="164" fontId="10" fillId="0" borderId="0" xfId="0" applyNumberFormat="1" applyFont="1" applyAlignment="1">
      <alignment horizontal="center" vertical="center"/>
    </xf>
    <xf numFmtId="2" fontId="10" fillId="0" borderId="0" xfId="0" applyNumberFormat="1" applyFont="1" applyAlignment="1">
      <alignment horizontal="center" vertical="center"/>
    </xf>
    <xf numFmtId="167" fontId="10" fillId="0" borderId="0" xfId="0" applyNumberFormat="1" applyFont="1" applyAlignment="1">
      <alignment horizontal="center" vertical="center"/>
    </xf>
    <xf numFmtId="169" fontId="10" fillId="0" borderId="0" xfId="0" applyNumberFormat="1" applyFont="1" applyAlignment="1">
      <alignment horizontal="center" vertical="center"/>
    </xf>
    <xf numFmtId="168" fontId="11" fillId="0" borderId="0" xfId="0" applyNumberFormat="1" applyFont="1" applyAlignment="1">
      <alignment horizontal="center" vertical="center"/>
    </xf>
    <xf numFmtId="16" fontId="11" fillId="0" borderId="0" xfId="0" applyNumberFormat="1" applyFont="1" applyAlignment="1">
      <alignment horizontal="left" vertical="center"/>
    </xf>
    <xf numFmtId="0" fontId="7" fillId="0" borderId="0" xfId="0" applyFont="1" applyAlignment="1">
      <alignment horizontal="center"/>
    </xf>
    <xf numFmtId="0" fontId="2" fillId="0" borderId="0" xfId="0" applyFont="1" applyAlignment="1">
      <alignment horizontal="center" vertical="center"/>
    </xf>
    <xf numFmtId="164" fontId="2" fillId="0" borderId="0" xfId="0" applyNumberFormat="1" applyFont="1" applyAlignment="1">
      <alignment horizontal="center" vertical="center"/>
    </xf>
    <xf numFmtId="0" fontId="20" fillId="0" borderId="0" xfId="0" applyFont="1"/>
    <xf numFmtId="0" fontId="2" fillId="2" borderId="0" xfId="0" applyFont="1" applyFill="1" applyAlignment="1">
      <alignment horizontal="left"/>
    </xf>
    <xf numFmtId="0" fontId="7" fillId="3" borderId="0" xfId="0" applyFont="1" applyFill="1" applyAlignment="1">
      <alignment horizontal="left" vertical="center"/>
    </xf>
    <xf numFmtId="0" fontId="0" fillId="2" borderId="0" xfId="0" applyFill="1"/>
    <xf numFmtId="170" fontId="7" fillId="0" borderId="0" xfId="0" applyNumberFormat="1" applyFont="1" applyAlignment="1">
      <alignment horizontal="center" vertical="center"/>
    </xf>
    <xf numFmtId="166" fontId="2" fillId="0" borderId="0" xfId="0" applyNumberFormat="1" applyFont="1" applyAlignment="1">
      <alignment horizontal="center" vertical="center"/>
    </xf>
    <xf numFmtId="3" fontId="7" fillId="0" borderId="0" xfId="0" applyNumberFormat="1" applyFont="1" applyAlignment="1">
      <alignment horizontal="center" vertical="center"/>
    </xf>
    <xf numFmtId="3" fontId="7" fillId="0" borderId="0" xfId="0" applyNumberFormat="1" applyFont="1" applyAlignment="1">
      <alignment horizontal="left" vertical="center"/>
    </xf>
    <xf numFmtId="167" fontId="2" fillId="0" borderId="0" xfId="0" applyNumberFormat="1" applyFont="1"/>
    <xf numFmtId="166" fontId="2" fillId="0" borderId="0" xfId="0" applyNumberFormat="1" applyFont="1"/>
    <xf numFmtId="167" fontId="11" fillId="0" borderId="0" xfId="0" applyNumberFormat="1" applyFont="1" applyAlignment="1">
      <alignment horizontal="center" vertical="center"/>
    </xf>
    <xf numFmtId="166" fontId="7" fillId="0" borderId="0" xfId="1" applyNumberFormat="1" applyFont="1" applyBorder="1" applyAlignment="1">
      <alignment horizontal="center" vertical="center"/>
    </xf>
    <xf numFmtId="167" fontId="7" fillId="0" borderId="0" xfId="0" applyNumberFormat="1" applyFont="1" applyAlignment="1">
      <alignment horizontal="center"/>
    </xf>
    <xf numFmtId="165" fontId="7" fillId="0" borderId="0" xfId="0" applyNumberFormat="1" applyFont="1" applyAlignment="1">
      <alignment horizontal="center" vertical="center"/>
    </xf>
    <xf numFmtId="165" fontId="11" fillId="0" borderId="0" xfId="0" applyNumberFormat="1" applyFont="1" applyAlignment="1">
      <alignment horizontal="center" vertical="center"/>
    </xf>
    <xf numFmtId="0" fontId="22" fillId="0" borderId="0" xfId="0" applyFont="1" applyAlignment="1">
      <alignment horizontal="center" vertical="center"/>
    </xf>
    <xf numFmtId="164" fontId="15" fillId="0" borderId="0" xfId="0" applyNumberFormat="1" applyFont="1" applyAlignment="1">
      <alignment horizontal="center" vertical="center"/>
    </xf>
    <xf numFmtId="14" fontId="11" fillId="0" borderId="0" xfId="0" applyNumberFormat="1" applyFont="1" applyAlignment="1">
      <alignment horizontal="left" vertical="center"/>
    </xf>
    <xf numFmtId="0" fontId="16" fillId="0" borderId="0" xfId="0" applyFont="1" applyAlignment="1">
      <alignment horizontal="left" vertical="center"/>
    </xf>
    <xf numFmtId="0" fontId="12" fillId="0" borderId="0" xfId="0" applyFont="1" applyAlignment="1">
      <alignment horizontal="left" vertical="center"/>
    </xf>
    <xf numFmtId="0" fontId="12" fillId="0" borderId="0" xfId="0" applyFont="1" applyAlignment="1">
      <alignment horizontal="left"/>
    </xf>
    <xf numFmtId="0" fontId="24" fillId="0" borderId="0" xfId="0" applyFont="1" applyAlignment="1">
      <alignment horizontal="center" vertical="center"/>
    </xf>
    <xf numFmtId="167" fontId="14" fillId="0" borderId="0" xfId="0" applyNumberFormat="1" applyFont="1" applyAlignment="1">
      <alignment horizontal="center" vertical="center"/>
    </xf>
    <xf numFmtId="16" fontId="7" fillId="0" borderId="0" xfId="0" applyNumberFormat="1" applyFont="1" applyAlignment="1">
      <alignment horizontal="left" vertical="center"/>
    </xf>
    <xf numFmtId="166" fontId="11" fillId="0" borderId="0" xfId="0" applyNumberFormat="1" applyFont="1" applyAlignment="1">
      <alignment horizontal="center" vertical="center"/>
    </xf>
    <xf numFmtId="164" fontId="12" fillId="0" borderId="0" xfId="0" applyNumberFormat="1" applyFont="1" applyAlignment="1">
      <alignment horizontal="center"/>
    </xf>
    <xf numFmtId="2" fontId="12" fillId="0" borderId="0" xfId="0" applyNumberFormat="1" applyFont="1" applyAlignment="1">
      <alignment horizontal="center"/>
    </xf>
    <xf numFmtId="166" fontId="12" fillId="0" borderId="0" xfId="0" applyNumberFormat="1" applyFont="1" applyAlignment="1">
      <alignment horizontal="center"/>
    </xf>
    <xf numFmtId="167" fontId="12" fillId="0" borderId="0" xfId="0" applyNumberFormat="1" applyFont="1" applyAlignment="1">
      <alignment horizontal="center"/>
    </xf>
    <xf numFmtId="14" fontId="7" fillId="0" borderId="0" xfId="0" applyNumberFormat="1" applyFont="1" applyAlignment="1">
      <alignment horizontal="left" vertical="center"/>
    </xf>
    <xf numFmtId="0" fontId="11" fillId="0" borderId="1" xfId="0" applyFont="1" applyBorder="1" applyAlignment="1">
      <alignment horizontal="left" vertical="center"/>
    </xf>
    <xf numFmtId="167" fontId="0" fillId="0" borderId="0" xfId="0" applyNumberFormat="1"/>
    <xf numFmtId="0" fontId="3" fillId="0" borderId="0" xfId="0" applyFont="1" applyAlignment="1">
      <alignment horizontal="left" vertical="center"/>
    </xf>
    <xf numFmtId="0" fontId="2" fillId="0" borderId="0" xfId="0" applyFont="1" applyAlignment="1">
      <alignment horizontal="left" wrapText="1"/>
    </xf>
    <xf numFmtId="0" fontId="11" fillId="2" borderId="0" xfId="0" applyFont="1" applyFill="1" applyAlignment="1">
      <alignment horizontal="left" vertical="center"/>
    </xf>
    <xf numFmtId="164" fontId="3" fillId="0" borderId="0" xfId="0" applyNumberFormat="1" applyFont="1" applyAlignment="1">
      <alignment horizontal="center"/>
    </xf>
    <xf numFmtId="0" fontId="25" fillId="0" borderId="0" xfId="0" applyFont="1" applyAlignment="1">
      <alignment horizontal="left"/>
    </xf>
    <xf numFmtId="0" fontId="7" fillId="0" borderId="1" xfId="0" applyFont="1" applyBorder="1" applyAlignment="1">
      <alignment horizontal="left" vertical="center"/>
    </xf>
    <xf numFmtId="0" fontId="20" fillId="0" borderId="0" xfId="0" applyFont="1" applyAlignment="1">
      <alignment horizontal="left"/>
    </xf>
    <xf numFmtId="0" fontId="26" fillId="0" borderId="0" xfId="0" applyFont="1"/>
    <xf numFmtId="0" fontId="3" fillId="0" borderId="0" xfId="0" applyFont="1" applyAlignment="1">
      <alignment horizontal="left"/>
    </xf>
    <xf numFmtId="171" fontId="0" fillId="0" borderId="0" xfId="0" applyNumberFormat="1" applyAlignment="1">
      <alignment horizontal="center"/>
    </xf>
    <xf numFmtId="0" fontId="27" fillId="0" borderId="0" xfId="0" applyFont="1" applyAlignment="1">
      <alignment horizontal="left"/>
    </xf>
    <xf numFmtId="0" fontId="28" fillId="0" borderId="0" xfId="0" applyFont="1"/>
    <xf numFmtId="0" fontId="29" fillId="0" borderId="0" xfId="0" applyFont="1" applyAlignment="1">
      <alignment horizontal="left"/>
    </xf>
    <xf numFmtId="164" fontId="2" fillId="0" borderId="0" xfId="0" applyNumberFormat="1" applyFont="1" applyAlignment="1">
      <alignment horizontal="left"/>
    </xf>
    <xf numFmtId="0" fontId="25" fillId="0" borderId="0" xfId="0" applyFont="1" applyAlignment="1">
      <alignment horizontal="left" vertical="center"/>
    </xf>
    <xf numFmtId="172" fontId="2" fillId="0" borderId="0" xfId="0" applyNumberFormat="1" applyFont="1"/>
    <xf numFmtId="0" fontId="10" fillId="0" borderId="1" xfId="0" applyFont="1" applyBorder="1" applyAlignment="1">
      <alignment horizontal="left" vertical="center"/>
    </xf>
    <xf numFmtId="0" fontId="7" fillId="0" borderId="0" xfId="0" applyFont="1" applyAlignment="1">
      <alignment horizontal="center" vertical="center" wrapText="1"/>
    </xf>
    <xf numFmtId="0" fontId="7" fillId="2" borderId="0" xfId="0" applyFont="1" applyFill="1" applyAlignment="1">
      <alignment horizontal="center" vertical="center"/>
    </xf>
    <xf numFmtId="0" fontId="7" fillId="2" borderId="0" xfId="0" applyFont="1" applyFill="1" applyAlignment="1">
      <alignment horizontal="left" vertical="center"/>
    </xf>
    <xf numFmtId="166" fontId="7" fillId="2" borderId="0" xfId="0" applyNumberFormat="1" applyFont="1" applyFill="1" applyAlignment="1">
      <alignment horizontal="center" vertical="center"/>
    </xf>
    <xf numFmtId="164" fontId="2" fillId="2" borderId="0" xfId="0" applyNumberFormat="1" applyFont="1" applyFill="1" applyAlignment="1">
      <alignment horizontal="center"/>
    </xf>
    <xf numFmtId="164" fontId="0" fillId="2" borderId="0" xfId="0" applyNumberFormat="1" applyFill="1" applyAlignment="1">
      <alignment horizontal="center"/>
    </xf>
    <xf numFmtId="2" fontId="2" fillId="2" borderId="0" xfId="0" applyNumberFormat="1" applyFont="1" applyFill="1" applyAlignment="1">
      <alignment horizontal="center"/>
    </xf>
    <xf numFmtId="166" fontId="2" fillId="2" borderId="0" xfId="0" applyNumberFormat="1" applyFont="1" applyFill="1" applyAlignment="1">
      <alignment horizontal="center"/>
    </xf>
    <xf numFmtId="167" fontId="7" fillId="2" borderId="0" xfId="0" applyNumberFormat="1" applyFont="1" applyFill="1" applyAlignment="1">
      <alignment horizontal="center" vertical="center"/>
    </xf>
    <xf numFmtId="167" fontId="0" fillId="2" borderId="0" xfId="0" applyNumberFormat="1" applyFill="1" applyAlignment="1">
      <alignment horizontal="center"/>
    </xf>
    <xf numFmtId="170" fontId="7" fillId="2" borderId="0" xfId="0" applyNumberFormat="1" applyFont="1" applyFill="1" applyAlignment="1">
      <alignment horizontal="center" vertical="center"/>
    </xf>
    <xf numFmtId="2" fontId="7" fillId="2" borderId="0" xfId="0" applyNumberFormat="1" applyFont="1" applyFill="1" applyAlignment="1">
      <alignment horizontal="center" vertical="center"/>
    </xf>
    <xf numFmtId="0" fontId="7" fillId="2" borderId="0" xfId="0" applyFont="1" applyFill="1" applyAlignment="1">
      <alignment horizontal="left"/>
    </xf>
    <xf numFmtId="2" fontId="0" fillId="2" borderId="0" xfId="0" applyNumberFormat="1" applyFill="1" applyAlignment="1">
      <alignment horizontal="center"/>
    </xf>
    <xf numFmtId="166" fontId="7" fillId="2" borderId="0" xfId="0" applyNumberFormat="1" applyFont="1" applyFill="1" applyAlignment="1">
      <alignment horizontal="center"/>
    </xf>
    <xf numFmtId="166" fontId="0" fillId="2" borderId="0" xfId="0" applyNumberFormat="1" applyFill="1" applyAlignment="1">
      <alignment horizontal="center"/>
    </xf>
    <xf numFmtId="167" fontId="7" fillId="2" borderId="0" xfId="0" applyNumberFormat="1" applyFont="1" applyFill="1" applyAlignment="1">
      <alignment horizontal="center"/>
    </xf>
    <xf numFmtId="0" fontId="11" fillId="0" borderId="0" xfId="0" applyFont="1" applyAlignment="1">
      <alignment horizontal="left"/>
    </xf>
    <xf numFmtId="2" fontId="7" fillId="0" borderId="0" xfId="0" applyNumberFormat="1" applyFont="1" applyAlignment="1">
      <alignment horizontal="center" vertical="center" wrapText="1"/>
    </xf>
    <xf numFmtId="0" fontId="12" fillId="0" borderId="0" xfId="0" applyFont="1" applyAlignment="1">
      <alignment horizontal="center"/>
    </xf>
    <xf numFmtId="0" fontId="7" fillId="0" borderId="0" xfId="0" applyFont="1" applyAlignment="1">
      <alignment horizontal="left" vertical="center" wrapText="1"/>
    </xf>
    <xf numFmtId="164" fontId="0" fillId="0" borderId="0" xfId="0" applyNumberFormat="1" applyAlignment="1">
      <alignment horizontal="center" wrapText="1"/>
    </xf>
    <xf numFmtId="2" fontId="0" fillId="0" borderId="0" xfId="0" applyNumberFormat="1" applyAlignment="1">
      <alignment horizontal="center" wrapText="1"/>
    </xf>
    <xf numFmtId="166" fontId="7" fillId="0" borderId="0" xfId="0" applyNumberFormat="1" applyFont="1" applyAlignment="1">
      <alignment horizontal="center" vertical="center" wrapText="1"/>
    </xf>
    <xf numFmtId="166" fontId="0" fillId="0" borderId="0" xfId="0" applyNumberFormat="1" applyAlignment="1">
      <alignment horizontal="center" wrapText="1"/>
    </xf>
    <xf numFmtId="167" fontId="7" fillId="0" borderId="0" xfId="0" applyNumberFormat="1" applyFont="1" applyAlignment="1">
      <alignment horizontal="center" vertical="center" wrapText="1"/>
    </xf>
    <xf numFmtId="167" fontId="0" fillId="0" borderId="0" xfId="0" applyNumberFormat="1" applyAlignment="1">
      <alignment horizontal="center" wrapText="1"/>
    </xf>
    <xf numFmtId="169" fontId="7" fillId="0" borderId="0" xfId="0" applyNumberFormat="1" applyFont="1" applyAlignment="1">
      <alignment horizontal="center" vertical="center" wrapText="1"/>
    </xf>
    <xf numFmtId="0" fontId="7" fillId="4" borderId="0" xfId="0" applyFont="1" applyFill="1" applyAlignment="1">
      <alignment horizontal="left" vertical="center"/>
    </xf>
    <xf numFmtId="0" fontId="33" fillId="0" borderId="0" xfId="0" applyFont="1" applyAlignment="1">
      <alignment horizontal="left"/>
    </xf>
    <xf numFmtId="0" fontId="7" fillId="0" borderId="0" xfId="0" applyFont="1" applyAlignment="1">
      <alignment horizontal="left" wrapText="1"/>
    </xf>
    <xf numFmtId="0" fontId="35" fillId="0" borderId="0" xfId="2" applyFont="1" applyFill="1" applyBorder="1" applyAlignment="1"/>
    <xf numFmtId="0" fontId="37" fillId="0" borderId="0" xfId="0" applyFont="1"/>
    <xf numFmtId="0" fontId="40" fillId="0" borderId="0" xfId="0" applyFont="1"/>
    <xf numFmtId="164" fontId="7" fillId="0" borderId="0" xfId="0" applyNumberFormat="1" applyFont="1" applyAlignment="1">
      <alignment horizontal="left" vertical="center"/>
    </xf>
    <xf numFmtId="0" fontId="41" fillId="0" borderId="0" xfId="0" applyFont="1" applyAlignment="1">
      <alignment horizontal="left" vertical="center" wrapText="1" indent="1"/>
    </xf>
    <xf numFmtId="0" fontId="4" fillId="0" borderId="0" xfId="0" applyFont="1"/>
    <xf numFmtId="0" fontId="10" fillId="0" borderId="0" xfId="0" applyFont="1" applyAlignment="1">
      <alignment horizontal="center"/>
    </xf>
    <xf numFmtId="0" fontId="42" fillId="0" borderId="0" xfId="0" applyFont="1"/>
    <xf numFmtId="0" fontId="0" fillId="0" borderId="2" xfId="0" applyBorder="1"/>
    <xf numFmtId="0" fontId="7" fillId="0" borderId="3" xfId="0" applyFont="1" applyBorder="1" applyAlignment="1">
      <alignment horizontal="left" vertical="center"/>
    </xf>
    <xf numFmtId="0" fontId="7" fillId="0" borderId="1" xfId="0" applyFont="1" applyBorder="1" applyAlignment="1">
      <alignment horizontal="center" vertical="center"/>
    </xf>
    <xf numFmtId="166" fontId="7" fillId="0" borderId="1" xfId="0" applyNumberFormat="1" applyFont="1" applyBorder="1" applyAlignment="1">
      <alignment horizontal="center" vertical="center"/>
    </xf>
    <xf numFmtId="167" fontId="2" fillId="2" borderId="0" xfId="0" applyNumberFormat="1" applyFont="1" applyFill="1" applyAlignment="1">
      <alignment horizontal="center"/>
    </xf>
    <xf numFmtId="0" fontId="43" fillId="0" borderId="0" xfId="0" applyFont="1"/>
    <xf numFmtId="0" fontId="44" fillId="0" borderId="0" xfId="0" applyFont="1"/>
    <xf numFmtId="0" fontId="3" fillId="0" borderId="0" xfId="0" applyFont="1" applyAlignment="1">
      <alignment horizontal="center"/>
    </xf>
    <xf numFmtId="0" fontId="46" fillId="0" borderId="0" xfId="0" applyFont="1"/>
    <xf numFmtId="0" fontId="7" fillId="0" borderId="4" xfId="0" applyFont="1" applyBorder="1" applyAlignment="1">
      <alignment horizontal="center" vertical="center"/>
    </xf>
    <xf numFmtId="0" fontId="6" fillId="0" borderId="0" xfId="0" applyFont="1" applyAlignment="1">
      <alignment horizontal="left" vertical="center"/>
    </xf>
    <xf numFmtId="0" fontId="35" fillId="0" borderId="0" xfId="2" applyFont="1" applyFill="1" applyBorder="1"/>
    <xf numFmtId="0" fontId="17" fillId="2" borderId="0" xfId="0" applyFont="1" applyFill="1"/>
    <xf numFmtId="0" fontId="48" fillId="0" borderId="0" xfId="0" applyFont="1"/>
    <xf numFmtId="0" fontId="7" fillId="0" borderId="5" xfId="0" applyFont="1" applyBorder="1" applyAlignment="1">
      <alignment horizontal="left" vertical="center"/>
    </xf>
    <xf numFmtId="0" fontId="49" fillId="0" borderId="0" xfId="0" applyFont="1"/>
    <xf numFmtId="0" fontId="0" fillId="0" borderId="0" xfId="0" applyAlignment="1">
      <alignment wrapText="1"/>
    </xf>
    <xf numFmtId="173" fontId="7" fillId="0" borderId="0" xfId="0" applyNumberFormat="1" applyFont="1" applyAlignment="1">
      <alignment horizontal="center" vertical="center"/>
    </xf>
    <xf numFmtId="0" fontId="51" fillId="0" borderId="0" xfId="0" applyFont="1" applyAlignment="1">
      <alignment horizontal="left" vertical="center"/>
    </xf>
    <xf numFmtId="0" fontId="7" fillId="0" borderId="0" xfId="0" applyFont="1"/>
    <xf numFmtId="0" fontId="27" fillId="0" borderId="0" xfId="0" applyFont="1" applyAlignment="1">
      <alignment horizontal="left" vertical="center"/>
    </xf>
    <xf numFmtId="0" fontId="53" fillId="0" borderId="0" xfId="0" applyFont="1" applyAlignment="1">
      <alignment horizontal="left" vertical="center"/>
    </xf>
    <xf numFmtId="3" fontId="13" fillId="0" borderId="0" xfId="0" applyNumberFormat="1" applyFont="1" applyAlignment="1">
      <alignment horizontal="center" vertical="center"/>
    </xf>
    <xf numFmtId="0" fontId="16" fillId="0" borderId="0" xfId="0" applyFont="1"/>
    <xf numFmtId="0" fontId="3" fillId="0" borderId="0" xfId="0" applyFont="1"/>
    <xf numFmtId="167" fontId="7" fillId="0" borderId="0" xfId="0" applyNumberFormat="1" applyFont="1"/>
    <xf numFmtId="0" fontId="7" fillId="0" borderId="6" xfId="0" applyFont="1" applyBorder="1" applyAlignment="1">
      <alignment horizontal="left" vertical="center"/>
    </xf>
    <xf numFmtId="0" fontId="12" fillId="0" borderId="1" xfId="0" applyFont="1" applyBorder="1" applyAlignment="1">
      <alignment horizontal="left"/>
    </xf>
    <xf numFmtId="1" fontId="7" fillId="0" borderId="0" xfId="0" applyNumberFormat="1" applyFont="1" applyAlignment="1">
      <alignment horizontal="left" vertical="center"/>
    </xf>
    <xf numFmtId="0" fontId="14" fillId="0" borderId="0" xfId="0" applyFont="1" applyAlignment="1">
      <alignment horizontal="center" vertical="center"/>
    </xf>
    <xf numFmtId="0" fontId="7" fillId="0" borderId="2" xfId="0" applyFont="1" applyBorder="1" applyAlignment="1">
      <alignment horizontal="center" vertical="center"/>
    </xf>
    <xf numFmtId="0" fontId="17" fillId="0" borderId="0" xfId="0" applyFont="1" applyAlignment="1">
      <alignment horizontal="center"/>
    </xf>
    <xf numFmtId="0" fontId="11" fillId="0" borderId="0" xfId="0" applyFont="1" applyAlignment="1">
      <alignment horizontal="center" vertical="center"/>
    </xf>
    <xf numFmtId="0" fontId="54" fillId="0" borderId="0" xfId="0" applyFont="1"/>
    <xf numFmtId="0" fontId="36" fillId="0" borderId="0" xfId="0" applyFont="1" applyAlignment="1">
      <alignment horizontal="left" vertical="center"/>
    </xf>
    <xf numFmtId="14" fontId="10" fillId="0" borderId="0" xfId="0" applyNumberFormat="1" applyFont="1" applyAlignment="1">
      <alignment horizontal="left" vertical="center"/>
    </xf>
    <xf numFmtId="0" fontId="12" fillId="0" borderId="1" xfId="0" applyFont="1" applyBorder="1" applyAlignment="1">
      <alignment horizontal="left" vertical="center"/>
    </xf>
    <xf numFmtId="0" fontId="3" fillId="0" borderId="1" xfId="0" applyFont="1" applyBorder="1" applyAlignment="1">
      <alignment horizontal="left" vertical="center"/>
    </xf>
    <xf numFmtId="0" fontId="55" fillId="0" borderId="0" xfId="0" applyFont="1"/>
    <xf numFmtId="0" fontId="10" fillId="0" borderId="6" xfId="0" applyFont="1" applyBorder="1" applyAlignment="1">
      <alignment horizontal="left" vertical="center"/>
    </xf>
    <xf numFmtId="0" fontId="11" fillId="0" borderId="5" xfId="0" applyFont="1" applyBorder="1" applyAlignment="1">
      <alignment horizontal="left" vertical="center"/>
    </xf>
    <xf numFmtId="0" fontId="10" fillId="0" borderId="4" xfId="0" applyFont="1" applyBorder="1" applyAlignment="1">
      <alignment horizontal="left" vertical="center"/>
    </xf>
    <xf numFmtId="0" fontId="0" fillId="2" borderId="0" xfId="0" applyFill="1" applyAlignment="1">
      <alignment horizontal="left"/>
    </xf>
    <xf numFmtId="0" fontId="7" fillId="2" borderId="1" xfId="0" applyFont="1" applyFill="1" applyBorder="1" applyAlignment="1">
      <alignment horizontal="center" vertical="center"/>
    </xf>
    <xf numFmtId="166" fontId="7" fillId="2" borderId="1" xfId="0" applyNumberFormat="1" applyFont="1" applyFill="1" applyBorder="1" applyAlignment="1">
      <alignment horizontal="center" vertical="center"/>
    </xf>
    <xf numFmtId="0" fontId="56" fillId="0" borderId="0" xfId="0" applyFont="1" applyAlignment="1">
      <alignment horizontal="left"/>
    </xf>
    <xf numFmtId="0" fontId="2" fillId="0" borderId="1" xfId="0" applyFont="1" applyBorder="1"/>
    <xf numFmtId="0" fontId="30" fillId="0" borderId="0" xfId="0" applyFont="1"/>
    <xf numFmtId="0" fontId="0" fillId="0" borderId="1" xfId="0" applyBorder="1" applyAlignment="1">
      <alignment horizontal="center"/>
    </xf>
    <xf numFmtId="0" fontId="0" fillId="0" borderId="1" xfId="0" applyBorder="1"/>
    <xf numFmtId="166" fontId="11" fillId="0" borderId="1" xfId="0" applyNumberFormat="1" applyFont="1" applyBorder="1" applyAlignment="1">
      <alignment horizontal="center" vertical="center"/>
    </xf>
    <xf numFmtId="174" fontId="7" fillId="0" borderId="0" xfId="0" applyNumberFormat="1" applyFont="1" applyAlignment="1">
      <alignment horizontal="center" vertical="center"/>
    </xf>
    <xf numFmtId="0" fontId="10" fillId="0" borderId="3" xfId="0" applyFont="1" applyBorder="1" applyAlignment="1">
      <alignment horizontal="left" vertical="center"/>
    </xf>
    <xf numFmtId="175" fontId="7" fillId="0" borderId="0" xfId="0" applyNumberFormat="1" applyFont="1" applyAlignment="1">
      <alignment horizontal="center" vertical="center"/>
    </xf>
    <xf numFmtId="0" fontId="2" fillId="0" borderId="0" xfId="0" applyFont="1" applyAlignment="1">
      <alignment vertical="center"/>
    </xf>
    <xf numFmtId="0" fontId="13" fillId="0" borderId="1" xfId="0" applyFont="1" applyBorder="1" applyAlignment="1">
      <alignment horizontal="left" vertical="center"/>
    </xf>
    <xf numFmtId="0" fontId="2" fillId="0" borderId="0" xfId="0" applyFont="1" applyAlignment="1">
      <alignment horizontal="left" vertical="center"/>
    </xf>
    <xf numFmtId="0" fontId="58" fillId="0" borderId="0" xfId="0" applyFont="1" applyAlignment="1">
      <alignment horizontal="left" vertical="center"/>
    </xf>
    <xf numFmtId="0" fontId="58" fillId="0" borderId="1" xfId="0" applyFont="1" applyBorder="1" applyAlignment="1">
      <alignment horizontal="left" vertical="center"/>
    </xf>
    <xf numFmtId="166" fontId="3" fillId="0" borderId="0" xfId="0" applyNumberFormat="1" applyFont="1"/>
    <xf numFmtId="0" fontId="7" fillId="0" borderId="7" xfId="0" applyFont="1" applyBorder="1" applyAlignment="1">
      <alignment horizontal="left" vertical="center"/>
    </xf>
    <xf numFmtId="0" fontId="3" fillId="0" borderId="7" xfId="0" applyFont="1" applyBorder="1" applyAlignment="1">
      <alignment horizontal="left" vertical="center"/>
    </xf>
    <xf numFmtId="0" fontId="45" fillId="0" borderId="0" xfId="0" applyFont="1"/>
    <xf numFmtId="0" fontId="7" fillId="0" borderId="4" xfId="0" applyFont="1" applyBorder="1" applyAlignment="1">
      <alignment horizontal="left" vertical="center"/>
    </xf>
    <xf numFmtId="0" fontId="11" fillId="0" borderId="7" xfId="0" applyFont="1" applyBorder="1" applyAlignment="1">
      <alignment horizontal="left" vertical="center"/>
    </xf>
    <xf numFmtId="0" fontId="11" fillId="3" borderId="7" xfId="0" applyFont="1" applyFill="1" applyBorder="1" applyAlignment="1">
      <alignment horizontal="left" vertical="center"/>
    </xf>
    <xf numFmtId="0" fontId="10" fillId="0" borderId="7" xfId="0" applyFont="1" applyBorder="1" applyAlignment="1">
      <alignment horizontal="left" vertical="center"/>
    </xf>
    <xf numFmtId="166" fontId="7" fillId="0" borderId="2" xfId="0" applyNumberFormat="1" applyFont="1" applyBorder="1" applyAlignment="1">
      <alignment horizontal="center" vertical="center"/>
    </xf>
    <xf numFmtId="0" fontId="18" fillId="0" borderId="1" xfId="0" applyFont="1" applyBorder="1" applyAlignment="1">
      <alignment horizontal="left"/>
    </xf>
    <xf numFmtId="0" fontId="7" fillId="2" borderId="1" xfId="0" applyFont="1" applyFill="1" applyBorder="1" applyAlignment="1">
      <alignment horizontal="left" vertical="center"/>
    </xf>
    <xf numFmtId="164" fontId="7" fillId="0" borderId="0" xfId="0" applyNumberFormat="1" applyFont="1" applyAlignment="1">
      <alignment horizontal="center" vertical="center" wrapText="1"/>
    </xf>
    <xf numFmtId="0" fontId="41" fillId="0" borderId="0" xfId="0" applyFont="1" applyAlignment="1">
      <alignment horizontal="left" vertical="center"/>
    </xf>
    <xf numFmtId="0" fontId="7" fillId="0" borderId="8" xfId="0" applyFont="1" applyBorder="1" applyAlignment="1">
      <alignment horizontal="left" vertical="center"/>
    </xf>
    <xf numFmtId="0" fontId="11" fillId="0" borderId="8" xfId="0" applyFont="1" applyBorder="1" applyAlignment="1">
      <alignment horizontal="left" vertical="center"/>
    </xf>
    <xf numFmtId="0" fontId="18" fillId="0" borderId="8" xfId="0" applyFont="1" applyBorder="1" applyAlignment="1">
      <alignment horizontal="left"/>
    </xf>
    <xf numFmtId="0" fontId="11" fillId="2" borderId="8" xfId="0" applyFont="1" applyFill="1" applyBorder="1" applyAlignment="1">
      <alignment horizontal="left" vertical="center"/>
    </xf>
    <xf numFmtId="0" fontId="3" fillId="0" borderId="4" xfId="0" applyFont="1" applyBorder="1" applyAlignment="1">
      <alignment horizontal="left" vertical="center"/>
    </xf>
    <xf numFmtId="0" fontId="7" fillId="4" borderId="1" xfId="0" applyFont="1" applyFill="1" applyBorder="1" applyAlignment="1">
      <alignment horizontal="left" vertical="center"/>
    </xf>
    <xf numFmtId="0" fontId="10" fillId="0" borderId="8" xfId="0" applyFont="1" applyBorder="1" applyAlignment="1">
      <alignment horizontal="left" vertical="center"/>
    </xf>
    <xf numFmtId="3" fontId="14" fillId="0" borderId="0" xfId="0" applyNumberFormat="1" applyFont="1" applyAlignment="1">
      <alignment horizontal="center" vertical="center"/>
    </xf>
    <xf numFmtId="169" fontId="11" fillId="0" borderId="0" xfId="0" applyNumberFormat="1" applyFont="1" applyAlignment="1">
      <alignment horizontal="center" vertical="center"/>
    </xf>
    <xf numFmtId="169" fontId="0" fillId="0" borderId="0" xfId="0" applyNumberFormat="1"/>
    <xf numFmtId="176" fontId="7" fillId="0" borderId="0" xfId="0" applyNumberFormat="1" applyFont="1" applyAlignment="1">
      <alignment horizontal="center" vertical="center"/>
    </xf>
    <xf numFmtId="0" fontId="61" fillId="0" borderId="0" xfId="0" applyFont="1" applyAlignment="1">
      <alignment horizontal="left" vertical="center"/>
    </xf>
    <xf numFmtId="0" fontId="11" fillId="3" borderId="0" xfId="0" applyFont="1" applyFill="1" applyAlignment="1">
      <alignment horizontal="left" vertical="center"/>
    </xf>
    <xf numFmtId="0" fontId="62" fillId="0" borderId="0" xfId="0" applyFont="1" applyAlignment="1">
      <alignment horizontal="left" vertical="center"/>
    </xf>
    <xf numFmtId="0" fontId="14" fillId="5" borderId="0" xfId="0" applyFont="1" applyFill="1" applyAlignment="1">
      <alignment horizontal="center" vertical="center"/>
    </xf>
    <xf numFmtId="0" fontId="22" fillId="0" borderId="0" xfId="0" applyFont="1" applyAlignment="1">
      <alignment horizontal="left"/>
    </xf>
    <xf numFmtId="0" fontId="63" fillId="0" borderId="0" xfId="0" applyFont="1" applyAlignment="1">
      <alignment wrapText="1"/>
    </xf>
    <xf numFmtId="0" fontId="65" fillId="0" borderId="0" xfId="0" applyFont="1"/>
    <xf numFmtId="0" fontId="17" fillId="0" borderId="0" xfId="0" applyFont="1" applyAlignment="1">
      <alignment horizontal="left"/>
    </xf>
    <xf numFmtId="0" fontId="11" fillId="0" borderId="0" xfId="0" applyFont="1" applyAlignment="1">
      <alignment horizontal="left" vertical="center" wrapText="1"/>
    </xf>
    <xf numFmtId="172" fontId="7" fillId="0" borderId="0" xfId="0" applyNumberFormat="1" applyFont="1" applyAlignment="1">
      <alignment horizontal="center" vertical="center"/>
    </xf>
    <xf numFmtId="0" fontId="0" fillId="0" borderId="0" xfId="0" applyAlignment="1">
      <alignment horizontal="left" wrapText="1"/>
    </xf>
    <xf numFmtId="177" fontId="7" fillId="0" borderId="0" xfId="0" applyNumberFormat="1" applyFont="1" applyAlignment="1">
      <alignment horizontal="center" vertical="center"/>
    </xf>
    <xf numFmtId="178" fontId="7" fillId="0" borderId="0" xfId="0" applyNumberFormat="1" applyFont="1" applyAlignment="1">
      <alignment horizontal="center" vertical="center"/>
    </xf>
    <xf numFmtId="0" fontId="2" fillId="2" borderId="0" xfId="0" applyFont="1" applyFill="1"/>
    <xf numFmtId="0" fontId="11" fillId="6" borderId="0" xfId="0" applyFont="1" applyFill="1" applyAlignment="1">
      <alignment horizontal="left" vertical="center"/>
    </xf>
    <xf numFmtId="0" fontId="69" fillId="0" borderId="0" xfId="0" applyFont="1"/>
    <xf numFmtId="0" fontId="70" fillId="0" borderId="0" xfId="0" applyFont="1"/>
    <xf numFmtId="0" fontId="63" fillId="0" borderId="0" xfId="0" applyFont="1"/>
    <xf numFmtId="167" fontId="69" fillId="0" borderId="0" xfId="0" applyNumberFormat="1" applyFont="1" applyAlignment="1">
      <alignment horizontal="left" vertical="center"/>
    </xf>
    <xf numFmtId="0" fontId="73" fillId="0" borderId="0" xfId="0" applyFont="1"/>
    <xf numFmtId="0" fontId="74" fillId="0" borderId="0" xfId="0" applyFont="1" applyAlignment="1">
      <alignment horizontal="left"/>
    </xf>
    <xf numFmtId="0" fontId="7" fillId="0" borderId="1" xfId="0" applyFont="1" applyBorder="1" applyAlignment="1">
      <alignment horizontal="left" vertical="center" wrapText="1"/>
    </xf>
    <xf numFmtId="0" fontId="14" fillId="0" borderId="1" xfId="0" applyFont="1" applyBorder="1" applyAlignment="1">
      <alignment horizontal="left" vertical="center"/>
    </xf>
    <xf numFmtId="0" fontId="11" fillId="3" borderId="1" xfId="0" applyFont="1" applyFill="1" applyBorder="1" applyAlignment="1">
      <alignment horizontal="left" vertical="center"/>
    </xf>
    <xf numFmtId="167" fontId="14" fillId="0" borderId="0" xfId="0" applyNumberFormat="1" applyFont="1" applyAlignment="1">
      <alignment horizontal="left" vertical="center"/>
    </xf>
    <xf numFmtId="0" fontId="0" fillId="7" borderId="0" xfId="0" applyFill="1"/>
    <xf numFmtId="0" fontId="17" fillId="0" borderId="1" xfId="0" applyFont="1" applyBorder="1" applyAlignment="1">
      <alignment horizontal="center"/>
    </xf>
    <xf numFmtId="0" fontId="11" fillId="2" borderId="1" xfId="0" applyFont="1" applyFill="1" applyBorder="1" applyAlignment="1">
      <alignment horizontal="left" vertical="center"/>
    </xf>
    <xf numFmtId="0" fontId="16" fillId="3" borderId="1" xfId="0" applyFont="1" applyFill="1" applyBorder="1" applyAlignment="1">
      <alignment horizontal="center"/>
    </xf>
    <xf numFmtId="0" fontId="30" fillId="0" borderId="0" xfId="0" applyFont="1" applyAlignment="1">
      <alignment vertical="center"/>
    </xf>
    <xf numFmtId="0" fontId="2" fillId="0" borderId="1" xfId="0" applyFont="1" applyBorder="1" applyAlignment="1">
      <alignment horizontal="center"/>
    </xf>
    <xf numFmtId="0" fontId="7" fillId="0" borderId="1" xfId="0" applyFont="1" applyBorder="1" applyAlignment="1">
      <alignment horizontal="center" vertical="center" wrapText="1"/>
    </xf>
    <xf numFmtId="169" fontId="0" fillId="0" borderId="0" xfId="0" applyNumberFormat="1" applyAlignment="1">
      <alignment horizontal="center"/>
    </xf>
    <xf numFmtId="166" fontId="0" fillId="0" borderId="0" xfId="0" applyNumberFormat="1"/>
    <xf numFmtId="0" fontId="75" fillId="0" borderId="0" xfId="0" applyFont="1"/>
    <xf numFmtId="0" fontId="7" fillId="3" borderId="1" xfId="0" applyFont="1" applyFill="1" applyBorder="1" applyAlignment="1">
      <alignment horizontal="left" vertical="center"/>
    </xf>
    <xf numFmtId="0" fontId="11" fillId="6" borderId="1" xfId="0" applyFont="1" applyFill="1" applyBorder="1" applyAlignment="1">
      <alignment horizontal="left" vertical="center"/>
    </xf>
    <xf numFmtId="0" fontId="2" fillId="0" borderId="1" xfId="0" applyFont="1" applyBorder="1" applyAlignment="1">
      <alignment horizontal="left" vertical="center"/>
    </xf>
    <xf numFmtId="0" fontId="3" fillId="0" borderId="1" xfId="0" applyFont="1" applyBorder="1"/>
    <xf numFmtId="0" fontId="0" fillId="2" borderId="0" xfId="0" applyFill="1" applyAlignment="1">
      <alignment horizontal="center"/>
    </xf>
    <xf numFmtId="0" fontId="3" fillId="0" borderId="6" xfId="0" applyFont="1" applyBorder="1" applyAlignment="1">
      <alignment horizontal="left" vertical="center"/>
    </xf>
    <xf numFmtId="0" fontId="11" fillId="0" borderId="6" xfId="0" applyFont="1" applyBorder="1" applyAlignment="1">
      <alignment horizontal="left" vertical="center"/>
    </xf>
    <xf numFmtId="0" fontId="11" fillId="2" borderId="6" xfId="0" applyFont="1" applyFill="1" applyBorder="1" applyAlignment="1">
      <alignment horizontal="left" vertical="center"/>
    </xf>
    <xf numFmtId="166" fontId="14" fillId="5" borderId="0" xfId="0" applyNumberFormat="1" applyFont="1" applyFill="1" applyAlignment="1">
      <alignment horizontal="center" vertical="center"/>
    </xf>
    <xf numFmtId="0" fontId="41" fillId="0" borderId="0" xfId="0" applyFont="1"/>
    <xf numFmtId="0" fontId="14" fillId="8" borderId="0" xfId="0" applyFont="1" applyFill="1" applyAlignment="1">
      <alignment horizontal="left" vertical="center"/>
    </xf>
    <xf numFmtId="0" fontId="7" fillId="2" borderId="3" xfId="0" applyFont="1" applyFill="1" applyBorder="1" applyAlignment="1">
      <alignment horizontal="left" vertical="center"/>
    </xf>
    <xf numFmtId="0" fontId="7" fillId="2" borderId="0" xfId="0" applyFont="1" applyFill="1" applyAlignment="1">
      <alignment horizontal="left" wrapText="1"/>
    </xf>
    <xf numFmtId="0" fontId="58" fillId="2" borderId="0" xfId="0" applyFont="1" applyFill="1" applyAlignment="1">
      <alignment horizontal="left" vertical="center"/>
    </xf>
    <xf numFmtId="0" fontId="11" fillId="3" borderId="6" xfId="0" applyFont="1" applyFill="1" applyBorder="1" applyAlignment="1">
      <alignment horizontal="left" vertical="center"/>
    </xf>
    <xf numFmtId="0" fontId="58" fillId="3" borderId="0" xfId="0" applyFont="1" applyFill="1" applyAlignment="1">
      <alignment horizontal="left" vertical="center"/>
    </xf>
    <xf numFmtId="0" fontId="14" fillId="2" borderId="0" xfId="0" applyFont="1" applyFill="1" applyAlignment="1">
      <alignment horizontal="left" vertical="center"/>
    </xf>
    <xf numFmtId="0" fontId="7" fillId="2" borderId="8" xfId="0" applyFont="1" applyFill="1" applyBorder="1" applyAlignment="1">
      <alignment horizontal="left" vertical="center"/>
    </xf>
    <xf numFmtId="0" fontId="10" fillId="2" borderId="0" xfId="0" applyFont="1" applyFill="1" applyAlignment="1">
      <alignment horizontal="left" vertical="center"/>
    </xf>
    <xf numFmtId="0" fontId="11" fillId="0" borderId="4" xfId="0" applyFont="1" applyBorder="1" applyAlignment="1">
      <alignment horizontal="left" vertical="center"/>
    </xf>
    <xf numFmtId="0" fontId="58" fillId="0" borderId="8" xfId="0" applyFont="1" applyBorder="1" applyAlignment="1">
      <alignment horizontal="left" vertical="center"/>
    </xf>
    <xf numFmtId="164" fontId="7" fillId="2" borderId="0" xfId="0" applyNumberFormat="1" applyFont="1" applyFill="1" applyAlignment="1">
      <alignment horizontal="center" vertical="center"/>
    </xf>
    <xf numFmtId="0" fontId="7" fillId="2" borderId="6" xfId="0" applyFont="1" applyFill="1" applyBorder="1" applyAlignment="1">
      <alignment horizontal="left" vertical="center"/>
    </xf>
    <xf numFmtId="0" fontId="7" fillId="9" borderId="0" xfId="0" applyFont="1" applyFill="1" applyAlignment="1">
      <alignment horizontal="left" vertical="center"/>
    </xf>
    <xf numFmtId="0" fontId="7" fillId="2" borderId="0" xfId="0" applyFont="1" applyFill="1" applyAlignment="1">
      <alignment horizontal="left" vertical="center" wrapText="1"/>
    </xf>
    <xf numFmtId="0" fontId="3" fillId="3" borderId="0" xfId="0" applyFont="1" applyFill="1" applyAlignment="1">
      <alignment horizontal="left"/>
    </xf>
    <xf numFmtId="167" fontId="69" fillId="2" borderId="0" xfId="0" applyNumberFormat="1" applyFont="1" applyFill="1" applyAlignment="1">
      <alignment horizontal="left" vertical="center"/>
    </xf>
    <xf numFmtId="167" fontId="7" fillId="0" borderId="0" xfId="0" applyNumberFormat="1" applyFont="1" applyAlignment="1">
      <alignment horizontal="left" vertical="center"/>
    </xf>
    <xf numFmtId="0" fontId="16" fillId="0" borderId="0" xfId="0" applyFont="1" applyAlignment="1">
      <alignment horizontal="center"/>
    </xf>
    <xf numFmtId="0" fontId="30" fillId="0" borderId="0" xfId="0" applyFont="1" applyAlignment="1">
      <alignment vertical="center" wrapText="1"/>
    </xf>
    <xf numFmtId="0" fontId="78" fillId="0" borderId="1" xfId="0" applyFont="1" applyBorder="1" applyAlignment="1">
      <alignment horizontal="left" vertical="center"/>
    </xf>
    <xf numFmtId="0" fontId="2" fillId="2" borderId="0" xfId="0" applyFont="1" applyFill="1" applyAlignment="1">
      <alignment horizontal="left" vertical="center"/>
    </xf>
    <xf numFmtId="164" fontId="0" fillId="0" borderId="0" xfId="0" applyNumberFormat="1" applyAlignment="1">
      <alignment horizontal="center" vertical="center"/>
    </xf>
    <xf numFmtId="2" fontId="2" fillId="0" borderId="0" xfId="0" applyNumberFormat="1" applyFont="1" applyAlignment="1">
      <alignment horizontal="center" vertical="center"/>
    </xf>
    <xf numFmtId="167" fontId="2" fillId="0" borderId="0" xfId="0" applyNumberFormat="1" applyFont="1" applyAlignment="1">
      <alignment horizontal="center" vertical="center"/>
    </xf>
    <xf numFmtId="0" fontId="7" fillId="10" borderId="0" xfId="0" applyFont="1" applyFill="1" applyAlignment="1">
      <alignment horizontal="left" vertical="center"/>
    </xf>
    <xf numFmtId="0" fontId="6" fillId="2" borderId="0" xfId="0" applyFont="1" applyFill="1" applyAlignment="1">
      <alignment horizontal="left" vertical="center"/>
    </xf>
    <xf numFmtId="0" fontId="31" fillId="0" borderId="0" xfId="0" applyFont="1"/>
    <xf numFmtId="0" fontId="14" fillId="2" borderId="0" xfId="0" applyFont="1" applyFill="1" applyAlignment="1">
      <alignment horizontal="left" vertical="center" wrapText="1"/>
    </xf>
    <xf numFmtId="0" fontId="16" fillId="3" borderId="0" xfId="0" applyFont="1" applyFill="1" applyAlignment="1">
      <alignment horizontal="center"/>
    </xf>
    <xf numFmtId="0" fontId="79" fillId="0" borderId="0" xfId="0" applyFont="1"/>
    <xf numFmtId="166" fontId="7" fillId="3" borderId="0" xfId="0" applyNumberFormat="1" applyFont="1" applyFill="1" applyAlignment="1">
      <alignment horizontal="center" vertical="center"/>
    </xf>
    <xf numFmtId="0" fontId="16" fillId="0" borderId="0" xfId="0" applyFont="1" applyAlignment="1">
      <alignment horizontal="center" vertical="center"/>
    </xf>
    <xf numFmtId="0" fontId="14" fillId="2" borderId="0" xfId="0" applyFont="1" applyFill="1" applyAlignment="1">
      <alignment horizontal="center" vertical="center"/>
    </xf>
    <xf numFmtId="0" fontId="14" fillId="11" borderId="0" xfId="0" applyFont="1" applyFill="1" applyAlignment="1">
      <alignment horizontal="center" vertical="center"/>
    </xf>
    <xf numFmtId="0" fontId="14" fillId="2" borderId="0" xfId="0" applyFont="1" applyFill="1" applyAlignment="1">
      <alignment horizontal="left"/>
    </xf>
    <xf numFmtId="0" fontId="6" fillId="0" borderId="1" xfId="0" applyFont="1" applyBorder="1" applyAlignment="1">
      <alignment horizontal="left" vertical="center"/>
    </xf>
    <xf numFmtId="0" fontId="3" fillId="3" borderId="0" xfId="0" applyFont="1" applyFill="1" applyAlignment="1">
      <alignment horizontal="left" vertical="center"/>
    </xf>
    <xf numFmtId="0" fontId="11" fillId="0" borderId="9" xfId="0" applyFont="1" applyBorder="1" applyAlignment="1">
      <alignment horizontal="left" vertical="center"/>
    </xf>
    <xf numFmtId="0" fontId="7" fillId="0" borderId="9" xfId="0" applyFont="1" applyBorder="1" applyAlignment="1">
      <alignment horizontal="left" vertical="center"/>
    </xf>
    <xf numFmtId="0" fontId="7" fillId="0" borderId="5" xfId="0" applyFont="1" applyBorder="1" applyAlignment="1">
      <alignment horizontal="center" vertical="center"/>
    </xf>
    <xf numFmtId="0" fontId="58" fillId="0" borderId="9" xfId="0" applyFont="1" applyBorder="1" applyAlignment="1">
      <alignment horizontal="left" vertical="center"/>
    </xf>
    <xf numFmtId="0" fontId="6" fillId="0" borderId="5" xfId="0" applyFont="1" applyBorder="1" applyAlignment="1">
      <alignment horizontal="left" vertical="center"/>
    </xf>
    <xf numFmtId="0" fontId="7" fillId="2" borderId="9" xfId="0" applyFont="1" applyFill="1" applyBorder="1" applyAlignment="1">
      <alignment horizontal="left" vertical="center"/>
    </xf>
    <xf numFmtId="0" fontId="7" fillId="2" borderId="5" xfId="0" applyFont="1" applyFill="1" applyBorder="1" applyAlignment="1">
      <alignment horizontal="left" vertical="center"/>
    </xf>
    <xf numFmtId="0" fontId="14" fillId="0" borderId="0" xfId="0" applyFont="1" applyAlignment="1">
      <alignment horizontal="left"/>
    </xf>
    <xf numFmtId="0" fontId="3" fillId="0" borderId="9" xfId="0" applyFont="1" applyBorder="1" applyAlignment="1">
      <alignment horizontal="left" vertical="center"/>
    </xf>
    <xf numFmtId="164" fontId="4" fillId="0" borderId="0" xfId="0" applyNumberFormat="1" applyFont="1" applyAlignment="1">
      <alignment horizontal="center"/>
    </xf>
    <xf numFmtId="0" fontId="7" fillId="3" borderId="9" xfId="0" applyFont="1" applyFill="1" applyBorder="1" applyAlignment="1">
      <alignment horizontal="left" vertical="center"/>
    </xf>
    <xf numFmtId="0" fontId="11" fillId="6" borderId="9" xfId="0" applyFont="1" applyFill="1" applyBorder="1" applyAlignment="1">
      <alignment horizontal="left" vertical="center"/>
    </xf>
    <xf numFmtId="0" fontId="2" fillId="2" borderId="0" xfId="0" applyFont="1" applyFill="1" applyAlignment="1">
      <alignment horizontal="left" wrapText="1"/>
    </xf>
    <xf numFmtId="0" fontId="10" fillId="0" borderId="9" xfId="0" applyFont="1" applyBorder="1" applyAlignment="1">
      <alignment horizontal="left" vertical="center"/>
    </xf>
    <xf numFmtId="166" fontId="7" fillId="0" borderId="0" xfId="0" applyNumberFormat="1" applyFont="1" applyAlignment="1">
      <alignment horizontal="center" wrapText="1"/>
    </xf>
    <xf numFmtId="167" fontId="7" fillId="0" borderId="0" xfId="0" applyNumberFormat="1" applyFont="1" applyAlignment="1">
      <alignment horizontal="center" wrapText="1"/>
    </xf>
    <xf numFmtId="0" fontId="80" fillId="0" borderId="0" xfId="0" applyFont="1" applyAlignment="1">
      <alignment horizontal="left" vertical="center" wrapText="1" indent="1"/>
    </xf>
    <xf numFmtId="0" fontId="81" fillId="0" borderId="0" xfId="0" applyFont="1" applyAlignment="1">
      <alignment horizontal="left" vertical="center"/>
    </xf>
    <xf numFmtId="0" fontId="80" fillId="12" borderId="0" xfId="0" applyFont="1" applyFill="1" applyAlignment="1">
      <alignment wrapText="1"/>
    </xf>
    <xf numFmtId="0" fontId="7" fillId="0" borderId="0" xfId="0" applyFont="1" applyAlignment="1">
      <alignment vertical="center"/>
    </xf>
    <xf numFmtId="0" fontId="2" fillId="2" borderId="0" xfId="0" applyFont="1" applyFill="1" applyAlignment="1">
      <alignment vertical="center" wrapText="1"/>
    </xf>
    <xf numFmtId="164" fontId="2" fillId="0" borderId="0" xfId="0" applyNumberFormat="1" applyFont="1" applyAlignment="1">
      <alignment horizontal="center" wrapText="1"/>
    </xf>
    <xf numFmtId="2" fontId="2" fillId="0" borderId="0" xfId="0" applyNumberFormat="1" applyFont="1" applyAlignment="1">
      <alignment horizontal="center" wrapText="1"/>
    </xf>
    <xf numFmtId="166" fontId="2" fillId="0" borderId="0" xfId="0" applyNumberFormat="1" applyFont="1" applyAlignment="1">
      <alignment horizontal="center" wrapText="1"/>
    </xf>
    <xf numFmtId="167" fontId="2" fillId="0" borderId="0" xfId="0" applyNumberFormat="1" applyFont="1" applyAlignment="1">
      <alignment wrapText="1"/>
    </xf>
    <xf numFmtId="0" fontId="2" fillId="2" borderId="0" xfId="0" applyFont="1" applyFill="1" applyAlignment="1">
      <alignment wrapText="1"/>
    </xf>
    <xf numFmtId="2" fontId="17" fillId="0" borderId="0" xfId="0" applyNumberFormat="1" applyFont="1" applyAlignment="1">
      <alignment horizontal="center"/>
    </xf>
    <xf numFmtId="166" fontId="14" fillId="0" borderId="0" xfId="0" applyNumberFormat="1" applyFont="1" applyAlignment="1">
      <alignment horizontal="center"/>
    </xf>
    <xf numFmtId="0" fontId="14" fillId="0" borderId="0" xfId="0" applyFont="1" applyAlignment="1">
      <alignment horizontal="center" vertical="center" wrapText="1"/>
    </xf>
    <xf numFmtId="0" fontId="0" fillId="2" borderId="0" xfId="0" applyFill="1" applyAlignment="1">
      <alignment wrapText="1"/>
    </xf>
    <xf numFmtId="167" fontId="2" fillId="0" borderId="0" xfId="0" applyNumberFormat="1" applyFont="1" applyAlignment="1">
      <alignment horizontal="center" wrapText="1"/>
    </xf>
    <xf numFmtId="0" fontId="41" fillId="0" borderId="0" xfId="0" applyFont="1" applyAlignment="1">
      <alignment horizontal="left" vertical="center" indent="1"/>
    </xf>
    <xf numFmtId="2" fontId="0" fillId="0" borderId="0" xfId="0" applyNumberFormat="1"/>
    <xf numFmtId="165" fontId="0" fillId="0" borderId="0" xfId="0" applyNumberFormat="1" applyAlignment="1">
      <alignment horizontal="center"/>
    </xf>
    <xf numFmtId="0" fontId="2" fillId="0" borderId="0" xfId="0" applyFont="1" applyAlignment="1">
      <alignment wrapText="1"/>
    </xf>
    <xf numFmtId="164" fontId="0" fillId="0" borderId="0" xfId="0" applyNumberFormat="1"/>
    <xf numFmtId="165" fontId="0" fillId="0" borderId="0" xfId="0" applyNumberFormat="1"/>
    <xf numFmtId="164" fontId="2" fillId="0" borderId="0" xfId="0" applyNumberFormat="1" applyFont="1"/>
    <xf numFmtId="164" fontId="0" fillId="2" borderId="0" xfId="0" applyNumberFormat="1" applyFill="1"/>
    <xf numFmtId="165" fontId="0" fillId="2" borderId="0" xfId="0" applyNumberFormat="1" applyFill="1"/>
    <xf numFmtId="164" fontId="2" fillId="0" borderId="0" xfId="0" applyNumberFormat="1" applyFont="1" applyAlignment="1">
      <alignment horizontal="right"/>
    </xf>
    <xf numFmtId="165" fontId="2" fillId="0" borderId="0" xfId="0" applyNumberFormat="1" applyFont="1"/>
    <xf numFmtId="2" fontId="2" fillId="0" borderId="0" xfId="0" applyNumberFormat="1" applyFont="1"/>
    <xf numFmtId="0" fontId="3" fillId="2" borderId="0" xfId="0" applyFont="1" applyFill="1"/>
    <xf numFmtId="0" fontId="0" fillId="0" borderId="0" xfId="0" applyAlignment="1">
      <alignment horizontal="left" vertical="center"/>
    </xf>
    <xf numFmtId="0" fontId="0" fillId="0" borderId="0" xfId="0" applyAlignment="1">
      <alignment vertical="center" wrapText="1"/>
    </xf>
    <xf numFmtId="164" fontId="0" fillId="0" borderId="0" xfId="0" applyNumberFormat="1" applyAlignment="1">
      <alignment horizontal="right" vertical="center"/>
    </xf>
    <xf numFmtId="165" fontId="0" fillId="0" borderId="0" xfId="0" applyNumberFormat="1" applyAlignment="1">
      <alignment vertical="center"/>
    </xf>
    <xf numFmtId="164" fontId="0" fillId="0" borderId="0" xfId="0" applyNumberFormat="1" applyAlignment="1">
      <alignment horizontal="right"/>
    </xf>
    <xf numFmtId="165" fontId="0" fillId="0" borderId="0" xfId="0" applyNumberFormat="1" applyAlignment="1">
      <alignment horizontal="right"/>
    </xf>
    <xf numFmtId="0" fontId="0" fillId="0" borderId="0" xfId="0" applyAlignment="1">
      <alignment horizontal="right"/>
    </xf>
    <xf numFmtId="164" fontId="7" fillId="0" borderId="0" xfId="0" applyNumberFormat="1" applyFont="1" applyAlignment="1">
      <alignment horizontal="right" vertical="center"/>
    </xf>
    <xf numFmtId="164" fontId="3" fillId="0" borderId="0" xfId="0" applyNumberFormat="1" applyFont="1"/>
    <xf numFmtId="0" fontId="33" fillId="0" borderId="0" xfId="0" applyFont="1"/>
    <xf numFmtId="179" fontId="0" fillId="0" borderId="0" xfId="0" applyNumberFormat="1" applyAlignment="1">
      <alignment horizontal="right" vertical="center"/>
    </xf>
    <xf numFmtId="0" fontId="0" fillId="0" borderId="0" xfId="0" applyAlignment="1">
      <alignment horizontal="right" indent="1"/>
    </xf>
    <xf numFmtId="0" fontId="0" fillId="0" borderId="0" xfId="0" applyAlignment="1">
      <alignment horizontal="center" vertical="center"/>
    </xf>
    <xf numFmtId="165" fontId="0" fillId="0" borderId="0" xfId="0" applyNumberFormat="1" applyAlignment="1">
      <alignment horizontal="center" vertical="center"/>
    </xf>
    <xf numFmtId="0" fontId="0" fillId="0" borderId="0" xfId="0" applyAlignment="1">
      <alignment horizontal="right" vertical="center"/>
    </xf>
    <xf numFmtId="0" fontId="83" fillId="0" borderId="0" xfId="0" applyFont="1"/>
    <xf numFmtId="0" fontId="14" fillId="5" borderId="0" xfId="0" applyFont="1" applyFill="1" applyAlignment="1">
      <alignment vertical="center"/>
    </xf>
    <xf numFmtId="0" fontId="17" fillId="5" borderId="0" xfId="0" applyFont="1" applyFill="1"/>
  </cellXfs>
  <cellStyles count="3">
    <cellStyle name="Hiperlink" xfId="2" builtinId="8"/>
    <cellStyle name="Normal" xfId="0" builtinId="0"/>
    <cellStyle name="Vírgula" xfId="1" builtinId="3"/>
  </cellStyles>
  <dxfs count="14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theme="4" tint="0.59996337778862885"/>
        </patternFill>
      </fill>
    </dxf>
    <dxf>
      <fill>
        <patternFill>
          <bgColor rgb="FFFFCC66"/>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FFCC66"/>
        </patternFill>
      </fill>
    </dxf>
    <dxf>
      <fill>
        <patternFill>
          <bgColor rgb="FFFF7C80"/>
        </patternFill>
      </fill>
    </dxf>
    <dxf>
      <fill>
        <patternFill>
          <bgColor theme="4" tint="0.59996337778862885"/>
        </patternFill>
      </fill>
    </dxf>
    <dxf>
      <fill>
        <patternFill>
          <bgColor rgb="FFCCFFCC"/>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7C80"/>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FFCC66"/>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rgb="FFFFCC66"/>
        </patternFill>
      </fill>
    </dxf>
    <dxf>
      <fill>
        <patternFill>
          <bgColor theme="4" tint="0.59996337778862885"/>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theme="4" tint="0.59996337778862885"/>
        </patternFill>
      </fill>
    </dxf>
    <dxf>
      <fill>
        <patternFill>
          <bgColor rgb="FFFFCC66"/>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theme="4" tint="0.59996337778862885"/>
        </patternFill>
      </fill>
    </dxf>
    <dxf>
      <fill>
        <patternFill>
          <bgColor rgb="FFFFCC66"/>
        </patternFill>
      </fill>
    </dxf>
    <dxf>
      <fill>
        <patternFill>
          <bgColor rgb="FFFF7C80"/>
        </patternFill>
      </fill>
    </dxf>
    <dxf>
      <fill>
        <patternFill>
          <bgColor rgb="FFCCFFCC"/>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FF7C80"/>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rgb="FFCCFFCC"/>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CC66"/>
        </patternFill>
      </fill>
    </dxf>
    <dxf>
      <fill>
        <patternFill>
          <bgColor theme="4" tint="0.59996337778862885"/>
        </patternFill>
      </fill>
    </dxf>
    <dxf>
      <fill>
        <patternFill>
          <bgColor rgb="FFCCFFCC"/>
        </patternFill>
      </fill>
    </dxf>
    <dxf>
      <fill>
        <patternFill>
          <bgColor rgb="FFFF7C80"/>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bgColor rgb="FFFFC000"/>
        </patternFill>
      </fill>
    </dxf>
    <dxf>
      <fill>
        <patternFill>
          <bgColor theme="9" tint="0.79998168889431442"/>
        </patternFill>
      </fill>
    </dxf>
    <dxf>
      <fill>
        <patternFill>
          <bgColor rgb="FFFF7C80"/>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FF7C80"/>
        </patternFill>
      </fill>
    </dxf>
    <dxf>
      <fill>
        <patternFill>
          <bgColor theme="9" tint="0.79998168889431442"/>
        </patternFill>
      </fill>
    </dxf>
    <dxf>
      <fill>
        <patternFill>
          <bgColor rgb="FFFFC000"/>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CCFFCC"/>
        </patternFill>
      </fill>
    </dxf>
    <dxf>
      <fill>
        <patternFill>
          <bgColor rgb="FFFF7C80"/>
        </patternFill>
      </fill>
    </dxf>
    <dxf>
      <fill>
        <patternFill>
          <bgColor rgb="FFFFCC66"/>
        </patternFill>
      </fill>
    </dxf>
    <dxf>
      <fill>
        <patternFill>
          <bgColor rgb="FFFFCC66"/>
        </patternFill>
      </fill>
    </dxf>
    <dxf>
      <fill>
        <patternFill>
          <bgColor theme="4" tint="0.59996337778862885"/>
        </patternFill>
      </fill>
    </dxf>
    <dxf>
      <fill>
        <patternFill>
          <bgColor rgb="FFFF7C80"/>
        </patternFill>
      </fill>
    </dxf>
    <dxf>
      <fill>
        <patternFill>
          <bgColor rgb="FFCCFFCC"/>
        </patternFill>
      </fill>
    </dxf>
    <dxf>
      <fill>
        <patternFill>
          <bgColor rgb="FFCCFFCC"/>
        </patternFill>
      </fill>
    </dxf>
    <dxf>
      <fill>
        <patternFill>
          <bgColor theme="4" tint="0.59996337778862885"/>
        </patternFill>
      </fill>
    </dxf>
    <dxf>
      <fill>
        <patternFill>
          <bgColor rgb="FFFFCC66"/>
        </patternFill>
      </fill>
    </dxf>
    <dxf>
      <fill>
        <patternFill>
          <bgColor rgb="FFFF7C80"/>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7C80"/>
        </patternFill>
      </fill>
    </dxf>
    <dxf>
      <fill>
        <patternFill>
          <bgColor rgb="FFFFCC66"/>
        </patternFill>
      </fill>
    </dxf>
    <dxf>
      <fill>
        <patternFill>
          <bgColor rgb="FFCCFFCC"/>
        </patternFill>
      </fill>
    </dxf>
    <dxf>
      <fill>
        <patternFill>
          <bgColor theme="4" tint="0.59996337778862885"/>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FFCC66"/>
        </patternFill>
      </fill>
    </dxf>
    <dxf>
      <fill>
        <patternFill>
          <bgColor rgb="FFCCFFCC"/>
        </patternFill>
      </fill>
    </dxf>
    <dxf>
      <fill>
        <patternFill>
          <bgColor rgb="FFFF7C80"/>
        </patternFill>
      </fill>
    </dxf>
    <dxf>
      <fill>
        <patternFill>
          <bgColor theme="4" tint="0.59996337778862885"/>
        </patternFill>
      </fill>
    </dxf>
    <dxf>
      <fill>
        <patternFill>
          <bgColor rgb="FFFFCC66"/>
        </patternFill>
      </fill>
    </dxf>
    <dxf>
      <fill>
        <patternFill>
          <bgColor rgb="FFCCFFCC"/>
        </patternFill>
      </fill>
    </dxf>
    <dxf>
      <fill>
        <patternFill>
          <bgColor theme="4" tint="0.59996337778862885"/>
        </patternFill>
      </fill>
    </dxf>
    <dxf>
      <fill>
        <patternFill>
          <bgColor rgb="FFFF7C80"/>
        </patternFill>
      </fill>
    </dxf>
    <dxf>
      <fill>
        <patternFill>
          <bgColor theme="4" tint="0.59996337778862885"/>
        </patternFill>
      </fill>
    </dxf>
    <dxf>
      <fill>
        <patternFill>
          <bgColor rgb="FFCCFFCC"/>
        </patternFill>
      </fill>
    </dxf>
    <dxf>
      <fill>
        <patternFill>
          <bgColor rgb="FFFFCC66"/>
        </patternFill>
      </fill>
    </dxf>
    <dxf>
      <fill>
        <patternFill>
          <bgColor rgb="FFFF7C80"/>
        </patternFill>
      </fill>
    </dxf>
    <dxf>
      <fill>
        <patternFill>
          <bgColor theme="4" tint="0.59996337778862885"/>
        </patternFill>
      </fill>
    </dxf>
    <dxf>
      <fill>
        <patternFill>
          <bgColor rgb="FFFF7C80"/>
        </patternFill>
      </fill>
    </dxf>
    <dxf>
      <fill>
        <patternFill>
          <bgColor rgb="FFCCFFCC"/>
        </patternFill>
      </fill>
    </dxf>
    <dxf>
      <fill>
        <patternFill>
          <bgColor rgb="FFFFCC66"/>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bgColor theme="9" tint="0.79998168889431442"/>
        </patternFill>
      </fill>
    </dxf>
    <dxf>
      <fill>
        <patternFill>
          <bgColor rgb="FFFF7C80"/>
        </patternFill>
      </fill>
    </dxf>
    <dxf>
      <fill>
        <patternFill>
          <bgColor rgb="FFFFC000"/>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bgColor rgb="FFFF7C80"/>
        </patternFill>
      </fill>
    </dxf>
    <dxf>
      <fill>
        <patternFill>
          <bgColor rgb="FFCCFFCC"/>
        </patternFill>
      </fill>
    </dxf>
    <dxf>
      <fill>
        <patternFill>
          <bgColor rgb="FFFFCC66"/>
        </patternFill>
      </fill>
    </dxf>
    <dxf>
      <fill>
        <patternFill>
          <bgColor theme="4" tint="0.59996337778862885"/>
        </patternFill>
      </fill>
    </dxf>
    <dxf>
      <fill>
        <patternFill>
          <bgColor rgb="FFCCFFCC"/>
        </patternFill>
      </fill>
    </dxf>
    <dxf>
      <fill>
        <patternFill>
          <bgColor theme="4" tint="0.59996337778862885"/>
        </patternFill>
      </fill>
    </dxf>
    <dxf>
      <fill>
        <patternFill>
          <bgColor rgb="FFFF7C80"/>
        </patternFill>
      </fill>
    </dxf>
    <dxf>
      <fill>
        <patternFill>
          <bgColor rgb="FFFFCC66"/>
        </patternFill>
      </fill>
    </dxf>
    <dxf>
      <fill>
        <patternFill>
          <bgColor theme="4" tint="0.59996337778862885"/>
        </patternFill>
      </fill>
    </dxf>
    <dxf>
      <fill>
        <patternFill>
          <bgColor rgb="FFFFCC66"/>
        </patternFill>
      </fill>
    </dxf>
    <dxf>
      <fill>
        <patternFill>
          <bgColor rgb="FFCCFFCC"/>
        </patternFill>
      </fill>
    </dxf>
    <dxf>
      <fill>
        <patternFill>
          <bgColor rgb="FFFF7C80"/>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66CCFF"/>
        </patternFill>
      </fill>
    </dxf>
    <dxf>
      <fill>
        <patternFill patternType="solid">
          <fgColor rgb="FFFFD966"/>
          <bgColor rgb="FFFFFF00"/>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FD966"/>
          <bgColor rgb="FF66CCFF"/>
        </patternFill>
      </fill>
    </dxf>
    <dxf>
      <fill>
        <patternFill patternType="solid">
          <fgColor rgb="FFFFD966"/>
          <bgColor rgb="FFFFFF00"/>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bgColor theme="9" tint="0.79998168889431442"/>
        </patternFill>
      </fill>
    </dxf>
    <dxf>
      <fill>
        <patternFill>
          <bgColor rgb="FFFFC000"/>
        </patternFill>
      </fill>
    </dxf>
    <dxf>
      <fill>
        <patternFill>
          <bgColor rgb="FFFF7C80"/>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bgColor rgb="FFFFCC66"/>
        </patternFill>
      </fill>
    </dxf>
    <dxf>
      <fill>
        <patternFill>
          <bgColor rgb="FFFF7C80"/>
        </patternFill>
      </fill>
    </dxf>
    <dxf>
      <fill>
        <patternFill>
          <bgColor rgb="FFCCFFCC"/>
        </patternFill>
      </fill>
    </dxf>
    <dxf>
      <fill>
        <patternFill>
          <bgColor theme="4" tint="0.59996337778862885"/>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patternType="solid">
          <fgColor rgb="FFFFD966"/>
          <bgColor rgb="FFFFAB3B"/>
        </patternFill>
      </fill>
    </dxf>
    <dxf>
      <fill>
        <patternFill patternType="solid">
          <fgColor rgb="FFF19155"/>
          <bgColor rgb="FFF0756C"/>
        </patternFill>
      </fill>
    </dxf>
    <dxf>
      <fill>
        <patternFill patternType="solid">
          <fgColor rgb="FFB7E1CD"/>
          <bgColor rgb="FFB7E1CD"/>
        </patternFill>
      </fill>
    </dxf>
    <dxf>
      <fill>
        <patternFill patternType="solid">
          <fgColor rgb="FFB7E1CD"/>
          <bgColor rgb="FFB7E1CD"/>
        </patternFill>
      </fill>
    </dxf>
    <dxf>
      <fill>
        <patternFill patternType="solid">
          <fgColor rgb="FFF19155"/>
          <bgColor rgb="FFF0756C"/>
        </patternFill>
      </fill>
    </dxf>
    <dxf>
      <fill>
        <patternFill patternType="solid">
          <fgColor rgb="FFFFD966"/>
          <bgColor rgb="FFFFAB3B"/>
        </patternFill>
      </fill>
    </dxf>
    <dxf>
      <fill>
        <patternFill>
          <bgColor rgb="FFFF0000"/>
        </patternFill>
      </fill>
    </dxf>
    <dxf>
      <font>
        <b val="0"/>
        <i val="0"/>
        <strike val="0"/>
        <condense val="0"/>
        <extend val="0"/>
        <outline val="0"/>
        <shadow val="0"/>
        <u val="none"/>
        <vertAlign val="baseline"/>
        <sz val="11"/>
        <color theme="1"/>
        <name val="Calibri"/>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2" formatCode="0.00"/>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7" formatCode="d\-m\-yyyy;@"/>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Calibri"/>
      </font>
      <numFmt numFmtId="167" formatCode="d\-m\-yyyy;@"/>
      <fill>
        <patternFill patternType="none">
          <fgColor indexed="64"/>
          <bgColor auto="1"/>
        </patternFill>
      </fill>
      <alignment textRotation="0" wrapText="0" justifyLastLine="0" shrinkToFit="0" readingOrder="0"/>
    </dxf>
    <dxf>
      <font>
        <b val="0"/>
        <i val="0"/>
        <strike val="0"/>
        <condense val="0"/>
        <extend val="0"/>
        <outline val="0"/>
        <shadow val="0"/>
        <u val="none"/>
        <vertAlign val="baseline"/>
        <sz val="11"/>
        <color theme="1"/>
        <name val="Calibri"/>
        <family val="2"/>
        <scheme val="none"/>
      </font>
      <numFmt numFmtId="167" formatCode="d\-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7" formatCode="d\-m\-yyyy;@"/>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7" formatCode="d\-m\-yyyy;@"/>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0.00\ [$€-C0A]"/>
      <alignment horizontal="center" vertical="bottom" textRotation="0" wrapText="0" indent="0" justifyLastLine="0" shrinkToFit="0" readingOrder="0"/>
    </dxf>
    <dxf>
      <font>
        <strike val="0"/>
        <outline val="0"/>
        <shadow val="0"/>
        <u val="none"/>
        <vertAlign val="baseline"/>
        <sz val="11"/>
      </font>
      <numFmt numFmtId="166" formatCode="#,##0.00\ [$€-C0A]"/>
      <alignment textRotation="0" wrapText="0" justifyLastLine="0" shrinkToFit="0" readingOrder="0"/>
    </dxf>
    <dxf>
      <font>
        <b val="0"/>
        <i val="0"/>
        <strike val="0"/>
        <condense val="0"/>
        <extend val="0"/>
        <outline val="0"/>
        <shadow val="0"/>
        <u val="none"/>
        <vertAlign val="baseline"/>
        <sz val="11"/>
        <color rgb="FFFF0000"/>
        <name val="Calibri"/>
        <family val="2"/>
        <scheme val="minor"/>
      </font>
      <numFmt numFmtId="166" formatCode="#,##0.00\ [$€-C0A]"/>
      <fill>
        <patternFill patternType="none">
          <fgColor indexed="64"/>
          <bgColor indexed="65"/>
        </patternFill>
      </fill>
      <alignment horizontal="center" vertical="bottom" textRotation="0" wrapText="0" indent="0" justifyLastLine="0" shrinkToFit="0" readingOrder="0"/>
    </dxf>
    <dxf>
      <font>
        <strike val="0"/>
        <outline val="0"/>
        <shadow val="0"/>
        <u val="none"/>
        <vertAlign val="baseline"/>
        <sz val="11"/>
        <name val="Calibri"/>
      </font>
      <numFmt numFmtId="166" formatCode="#,##0.00\ [$€-C0A]"/>
      <fill>
        <patternFill patternType="none">
          <fgColor indexed="64"/>
          <bgColor auto="1"/>
        </patternFill>
      </fill>
      <alignment textRotation="0" wrapText="0" justifyLastLine="0" shrinkToFit="0" readingOrder="0"/>
    </dxf>
    <dxf>
      <font>
        <b val="0"/>
        <i val="0"/>
        <strike val="0"/>
        <condense val="0"/>
        <extend val="0"/>
        <outline val="0"/>
        <shadow val="0"/>
        <u val="none"/>
        <vertAlign val="baseline"/>
        <sz val="11"/>
        <color theme="1"/>
        <name val="Calibri"/>
        <family val="2"/>
        <scheme val="none"/>
      </font>
      <numFmt numFmtId="166" formatCode="#,##0.00\ [$€-C0A]"/>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6" formatCode="#,##0.00\ [$€-C0A]"/>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2" formatCode="0.00"/>
      <alignment horizontal="center" vertical="bottom" textRotation="0" wrapText="0" indent="0" justifyLastLine="0" shrinkToFit="0" readingOrder="0"/>
    </dxf>
    <dxf>
      <font>
        <strike val="0"/>
        <outline val="0"/>
        <shadow val="0"/>
        <u val="none"/>
        <vertAlign val="baseline"/>
        <sz val="11"/>
      </font>
      <numFmt numFmtId="2" formatCode="0.00"/>
      <alignment textRotation="0" wrapText="0" justifyLastLine="0" shrinkToFit="0" readingOrder="0"/>
    </dxf>
    <dxf>
      <font>
        <b val="0"/>
        <i val="0"/>
        <strike val="0"/>
        <condense val="0"/>
        <extend val="0"/>
        <outline val="0"/>
        <shadow val="0"/>
        <u val="none"/>
        <vertAlign val="baseline"/>
        <sz val="11"/>
        <color theme="1"/>
        <name val="Calibri"/>
        <family val="2"/>
        <scheme val="minor"/>
      </font>
      <numFmt numFmtId="164" formatCode="dd\-mm\-yy;@"/>
      <alignment horizontal="center" vertical="bottom" textRotation="0" wrapText="0" indent="0" justifyLastLine="0" shrinkToFit="0" readingOrder="0"/>
    </dxf>
    <dxf>
      <font>
        <strike val="0"/>
        <outline val="0"/>
        <shadow val="0"/>
        <u val="none"/>
        <vertAlign val="baseline"/>
        <sz val="11"/>
      </font>
      <numFmt numFmtId="164" formatCode="dd\-mm\-yy;@"/>
      <alignment textRotation="0" wrapText="0" justifyLastLine="0" shrinkToFit="0" readingOrder="0"/>
    </dxf>
    <dxf>
      <font>
        <b val="0"/>
        <i val="0"/>
        <strike val="0"/>
        <condense val="0"/>
        <extend val="0"/>
        <outline val="0"/>
        <shadow val="0"/>
        <u val="none"/>
        <vertAlign val="baseline"/>
        <sz val="11"/>
        <color theme="1"/>
        <name val="Calibri"/>
        <family val="2"/>
        <scheme val="minor"/>
      </font>
      <numFmt numFmtId="164" formatCode="dd\-mm\-yy;@"/>
      <alignment horizontal="center" vertical="bottom" textRotation="0" wrapText="0" indent="0" justifyLastLine="0" shrinkToFit="0" readingOrder="0"/>
    </dxf>
    <dxf>
      <font>
        <strike val="0"/>
        <outline val="0"/>
        <shadow val="0"/>
        <u val="none"/>
        <vertAlign val="baseline"/>
        <sz val="11"/>
      </font>
      <numFmt numFmtId="164" formatCode="dd\-mm\-yy;@"/>
      <alignment textRotation="0" wrapText="0" justifyLastLine="0" shrinkToFit="0" readingOrder="0"/>
    </dxf>
    <dxf>
      <font>
        <b val="0"/>
        <i val="0"/>
        <strike val="0"/>
        <condense val="0"/>
        <extend val="0"/>
        <outline val="0"/>
        <shadow val="0"/>
        <u val="none"/>
        <vertAlign val="baseline"/>
        <sz val="11"/>
        <color theme="1"/>
        <name val="Calibri"/>
        <family val="2"/>
        <scheme val="none"/>
      </font>
      <numFmt numFmtId="166" formatCode="#,##0.00\ [$€-C0A]"/>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166" formatCode="#,##0.00\ [$€-C0A]"/>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left" vertical="bottom" textRotation="0" wrapText="0" indent="0" justifyLastLine="0" shrinkToFit="0" readingOrder="0"/>
    </dxf>
    <dxf>
      <font>
        <strike val="0"/>
        <outline val="0"/>
        <shadow val="0"/>
        <u val="none"/>
        <vertAlign val="baseline"/>
        <sz val="11"/>
        <name val="Calibri"/>
      </font>
      <fill>
        <patternFill patternType="none">
          <fgColor indexed="64"/>
          <bgColor auto="1"/>
        </patternFill>
      </fill>
      <alignment horizontal="left"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0" formatCode="General"/>
      <fill>
        <patternFill patternType="none">
          <fgColor indexed="64"/>
          <bgColor indexed="65"/>
        </patternFill>
      </fill>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none"/>
      </font>
      <numFmt numFmtId="0" formatCode="General"/>
      <fill>
        <patternFill patternType="none">
          <fgColor indexed="64"/>
          <bgColor auto="1"/>
        </patternFill>
      </fill>
      <alignment horizontal="center" vertical="center" textRotation="0" wrapText="0" indent="0" justifyLastLine="0" shrinkToFit="0" readingOrder="0"/>
    </dxf>
    <dxf>
      <font>
        <strike val="0"/>
        <outline val="0"/>
        <shadow val="0"/>
        <u val="none"/>
        <vertAlign val="baseline"/>
        <sz val="11"/>
        <name val="Calibri"/>
      </font>
      <fill>
        <patternFill patternType="none">
          <fgColor indexed="64"/>
          <bgColor auto="1"/>
        </patternFill>
      </fill>
      <alignment textRotation="0" wrapText="0" justifyLastLine="0" shrinkToFit="0" readingOrder="0"/>
    </dxf>
    <dxf>
      <font>
        <b/>
        <i val="0"/>
        <strike val="0"/>
        <condense val="0"/>
        <extend val="0"/>
        <outline val="0"/>
        <shadow val="0"/>
        <u val="none"/>
        <vertAlign val="baseline"/>
        <sz val="11"/>
        <color theme="1"/>
        <name val="Calibri"/>
        <scheme val="none"/>
      </font>
      <fill>
        <patternFill patternType="none">
          <fgColor indexed="64"/>
          <bgColor auto="1"/>
        </patternFill>
      </fill>
      <alignment horizontal="center" vertical="center" textRotation="0" wrapText="0" indent="0" justifyLastLine="0" shrinkToFit="0" readingOrder="0"/>
    </dxf>
    <dxf>
      <numFmt numFmtId="165" formatCode="#,##0.00\ [$€-1]"/>
    </dxf>
    <dxf>
      <numFmt numFmtId="165" formatCode="#,##0.00\ [$€-1]"/>
    </dxf>
    <dxf>
      <numFmt numFmtId="164" formatCode="dd\-mm\-yy;@"/>
    </dxf>
    <dxf>
      <numFmt numFmtId="164" formatCode="dd\-mm\-yy;@"/>
    </dxf>
    <dxf>
      <font>
        <b val="0"/>
        <i val="0"/>
        <strike val="0"/>
        <condense val="0"/>
        <extend val="0"/>
        <outline val="0"/>
        <shadow val="0"/>
        <u val="none"/>
        <vertAlign val="baseline"/>
        <sz val="11"/>
        <color theme="1"/>
        <name val="Calibri"/>
        <family val="2"/>
        <scheme val="none"/>
      </font>
      <alignment horizontal="left" vertical="center"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Ver1" id="{10ED7AD5-8B99-479A-83C2-1E4728655214}">
    <nsvFilter filterId="{C812E57E-988B-4BAE-A513-228EE3D08B93}" ref="A1:AB6084" tableId="1">
      <columnFilter colId="5" id="{70759C19-4A90-4745-858B-D78B0F6DB898}">
        <filter colId="5">
          <x:filters>
            <x:filter val="Posada La Estela De Barros Bo. Barros, 54, 39408 Barros, Cantabria"/>
          </x:filters>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2" id="{799B726E-1CBC-4A37-9FD8-34F8562AB3BE}">
    <nsvFilter filterId="{C812E57E-988B-4BAE-A513-228EE3D08B93}" ref="A1:AB6084" tableId="1">
      <columnFilter colId="2" id="{318E9DB0-C7D0-4BB6-B6FE-3CB3DEA64EC5}">
        <filter colId="2">
          <x:filters>
            <x:filter val="JOSIAS CANDELO BOLAÑOS"/>
          </x:filters>
        </filter>
      </columnFilter>
      <columnFilter colId="4" id="{34B2C1BB-D035-4485-A042-F12A180A42F7}">
        <filter colId="4">
          <x:filters>
            <x:filter val="LLEIDA"/>
          </x:filters>
        </filter>
      </columnFilter>
      <columnFilter colId="8" id="{41C3EB12-AB0B-40A3-AA4B-4018781EB3DB}">
        <filter colId="8">
          <x:filters>
            <x:filter val="MEN PROYECTOS Y MONTAJES INDUSTRIALES"/>
          </x:filters>
        </filter>
      </columnFilter>
      <sortRules>
        <sortRule colId="21" id="{C4E7A6F4-574B-48E7-B445-C18B57DE782E}">
          <sortCondition ref="V1:V6084"/>
        </sortRule>
      </sortRules>
    </nsvFilter>
  </namedSheetView>
  <namedSheetView name="Ver3" id="{0928E949-810E-4A6D-9B2E-71F1854C7F8E}">
    <nsvFilter filterId="{C812E57E-988B-4BAE-A513-228EE3D08B93}" ref="A1:AB6084" tableId="1">
      <columnFilter colId="5" id="{70759C19-4A90-4745-858B-D78B0F6DB898}">
        <filter colId="5">
          <x:filters>
            <x:filter val="Carrer dels Porxos 2, 25165 Juncosa, España"/>
          </x:filters>
        </filter>
      </columnFilter>
      <columnFilter colId="8" id="{41C3EB12-AB0B-40A3-AA4B-4018781EB3DB}">
        <filter colId="8">
          <x:filters>
            <x:filter val="MEN PROYECTOS Y MONTAJES INDUSTRIALES"/>
          </x:filters>
        </filter>
      </columnFilter>
      <columnFilter colId="25" id="{09D5C25D-DEF7-48B9-8961-5E1A3299D597}">
        <filter colId="25">
          <x:filters>
            <x:filter val="EN CURSO"/>
          </x:filters>
        </filter>
      </columnFilter>
    </nsvFilter>
  </namedSheetView>
  <namedSheetView name="Ver4" id="{3E9E43C3-31F5-4456-9109-C2EAB93817DF}">
    <nsvFilter filterId="{C812E57E-988B-4BAE-A513-228EE3D08B93}" ref="A1:AB6084" tableId="1">
      <columnFilter colId="5" id="{70759C19-4A90-4745-858B-D78B0F6DB898}">
        <filter colId="5">
          <x:filters>
            <x:filter val="c/ calvari 54 puerta 14 olesa d Montserrat"/>
          </x:filters>
        </filter>
      </columnFilter>
      <sortRules>
        <sortRule colId="21" id="{C4E7A6F4-574B-48E7-B445-C18B57DE782E}">
          <sortCondition ref="V1:V6084"/>
        </sortRule>
      </sortRules>
    </nsvFilter>
  </namedSheetView>
  <namedSheetView name="Ver5" id="{6CDA8331-8A34-42B4-9542-B785C25D35E4}">
    <nsvFilter filterId="{C812E57E-988B-4BAE-A513-228EE3D08B93}" ref="A1:AB6084" tableId="1">
      <sortRules>
        <sortRule colId="21" id="{C4E7A6F4-574B-48E7-B445-C18B57DE782E}">
          <sortCondition ref="V1:V6084"/>
        </sortRule>
      </sortRules>
    </nsvFilter>
  </namedSheetView>
  <namedSheetView name="Ver6" id="{BC71BE51-7A11-4503-A911-BE3D65F62D58}">
    <nsvFilter filterId="{C812E57E-988B-4BAE-A513-228EE3D08B93}" ref="A1:AB6084" tableId="1">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7" id="{2697B654-ABEB-423A-8221-0A749118C7B1}">
    <nsvFilter filterId="{C812E57E-988B-4BAE-A513-228EE3D08B93}" ref="A1:AB6084" tableId="1">
      <columnFilter colId="4" id="{34B2C1BB-D035-4485-A042-F12A180A42F7}">
        <filter colId="4">
          <x:filters>
            <x:filter val="LUGO"/>
          </x:filters>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8" id="{F9413493-DEA3-4456-ADA8-91B2BCBA4D16}">
    <nsvFilter filterId="{C812E57E-988B-4BAE-A513-228EE3D08B93}" ref="A1:AB6084" tableId="1">
      <columnFilter colId="5" id="{70759C19-4A90-4745-858B-D78B0F6DB898}">
        <filter colId="5">
          <x:filters>
            <x:filter val="Carrer d'Anselm Clavé, 25, 2da, 2da.08130 Santa Perpètua de Mogoda, Barcelona"/>
          </x:filters>
        </filter>
      </columnFilter>
      <sortRules>
        <sortRule colId="8" id="{41C3EB12-AB0B-40A3-AA4B-4018781EB3DB}">
          <sortCondition ref="I1:I6084"/>
        </sortRule>
      </sortRules>
    </nsvFilter>
  </namedSheetView>
  <namedSheetView name="Ver9" id="{C6DB20E5-A20F-4380-9F14-560189DAD59E}">
    <nsvFilter filterId="{C812E57E-988B-4BAE-A513-228EE3D08B93}" ref="A1:AB6084" tableId="1">
      <columnFilter colId="5" id="{70759C19-4A90-4745-858B-D78B0F6DB898}">
        <filter colId="5">
          <x:filters>
            <x:filter val="CATALONIA SABADELL Plaza Catalunya, 10 - 12, 08206 Sabadell, España"/>
          </x:filters>
        </filter>
      </columnFilter>
      <columnFilter colId="7" id="{D6584D72-DF74-413D-A2D8-943A1ED9C4E4}">
        <filter colId="7">
          <x:filters>
            <x:filter val="2025/270"/>
          </x:filters>
        </filter>
      </columnFilter>
      <sortRules>
        <sortRule colId="21" id="{C4E7A6F4-574B-48E7-B445-C18B57DE782E}">
          <sortCondition ref="V1:V6084"/>
        </sortRule>
      </sortRules>
    </nsvFilter>
  </namedSheetView>
  <namedSheetView name="Ver10" id="{249E7A63-BC09-40A3-874A-51CDCBC0FF37}">
    <nsvFilter filterId="{C812E57E-988B-4BAE-A513-228EE3D08B93}" ref="A1:AB6084" tableId="1">
      <columnFilter colId="4" id="{34B2C1BB-D035-4485-A042-F12A180A42F7}">
        <filter colId="4">
          <x:filters>
            <x:filter val="CANTABRIA"/>
          </x:filters>
        </filter>
      </columnFilter>
      <columnFilter colId="8" id="{41C3EB12-AB0B-40A3-AA4B-4018781EB3DB}">
        <filter colId="8">
          <x:filters>
            <x:filter val="IMASA"/>
          </x:filters>
        </filter>
      </columnFilter>
      <columnFilter colId="10" id="{BD00AD9B-20BF-454B-8C04-B5822AE12714}">
        <filter colId="10">
          <x:filters>
            <x:dateGroupItem year="2025" month="4" dateTimeGrouping="month"/>
            <x:dateGroupItem year="2025" month="5" dateTimeGrouping="month"/>
          </x:filters>
        </filter>
      </columnFilter>
    </nsvFilter>
  </namedSheetView>
  <namedSheetView name="Ver11" id="{531EE7E3-BB5F-496D-A042-55AAE7C4EE24}">
    <nsvFilter filterId="{C812E57E-988B-4BAE-A513-228EE3D08B93}" ref="A1:AB6084" tableId="1">
      <columnFilter colId="3" id="{61A7E910-CA88-4676-8FC4-9011DA47E7F4}">
        <filter colId="3">
          <x:filters>
            <x:filter val="BELGICA"/>
          </x:filters>
        </filter>
      </columnFilter>
      <columnFilter colId="7" id="{D6584D72-DF74-413D-A2D8-943A1ED9C4E4}">
        <filter colId="7">
          <x:filters>
            <x:filter val="2025/021"/>
            <x:filter val="R2025/033/021"/>
          </x:filters>
        </filter>
      </columnFilter>
    </nsvFilter>
  </namedSheetView>
  <namedSheetView name="Ver12" id="{E29E78A4-C5C5-421A-840B-954C391069EE}">
    <nsvFilter filterId="{C812E57E-988B-4BAE-A513-228EE3D08B93}" ref="A1:AB6084" tableId="1">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13" id="{619224D5-254F-4B3A-883F-03D228A0E296}">
    <nsvFilter filterId="{C812E57E-988B-4BAE-A513-228EE3D08B93}" ref="A1:AB6084" tableId="1">
      <columnFilter colId="8" id="{41C3EB12-AB0B-40A3-AA4B-4018781EB3DB}">
        <filter colId="8">
          <x:filters>
            <x:filter val="GRUPO VENTO"/>
          </x:filters>
        </filter>
      </columnFilter>
    </nsvFilter>
  </namedSheetView>
  <namedSheetView name="Ver14" id="{806E91EA-5439-406E-B645-76887BA2BDB5}">
    <nsvFilter filterId="{C812E57E-988B-4BAE-A513-228EE3D08B93}" ref="A1:AB6084" tableId="1">
      <columnFilter colId="4" id="{34B2C1BB-D035-4485-A042-F12A180A42F7}">
        <filter colId="4">
          <x:filters>
            <x:filter val="LLEIDA"/>
          </x:filters>
        </filter>
      </columnFilter>
      <columnFilter colId="25" id="{09D5C25D-DEF7-48B9-8961-5E1A3299D597}">
        <filter colId="25">
          <x:filters>
            <x:filter val="EN CURSO"/>
          </x:filters>
        </filter>
      </columnFilter>
      <sortRules>
        <sortRule colId="23" id="{712F7D00-F5DD-4ACC-AACC-CDE4FA51AFF2}">
          <sortCondition ref="X1:X6084"/>
        </sortRule>
      </sortRules>
    </nsvFilter>
  </namedSheetView>
  <namedSheetView name="Ver15" id="{D975CF8D-5EA6-4B65-8BE2-F1FE9FD4F84A}">
    <nsvFilter filterId="{C812E57E-988B-4BAE-A513-228EE3D08B93}" ref="A1:AB6084" tableId="1">
      <columnFilter colId="7" id="{D6584D72-DF74-413D-A2D8-943A1ED9C4E4}">
        <filter colId="7">
          <x:filters>
            <x:filter val="2025/271"/>
          </x:filters>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16" id="{1A786B44-61B2-4603-9E24-15D181EDEDC4}">
    <nsvFilter filterId="{C812E57E-988B-4BAE-A513-228EE3D08B93}" ref="A1:AB6084" tableId="1">
      <columnFilter colId="5" id="{70759C19-4A90-4745-858B-D78B0F6DB898}">
        <filter colId="5">
          <x:filters>
            <x:filter val="Pensión Iruña Vapor Habana Kalea, 1, bajo, 48980 Santurtzi, Bizkaia"/>
          </x:filters>
        </filter>
      </columnFilter>
      <columnFilter colId="19" id="{0EFFEE8A-FD77-42BE-A42D-70CD9B601B9B}">
        <filter colId="19">
          <x:filters>
            <x:filter val="TEMPORAL"/>
          </x:filters>
        </filter>
      </columnFilter>
      <sortRules>
        <sortRule colId="21" id="{C4E7A6F4-574B-48E7-B445-C18B57DE782E}">
          <sortCondition ref="V1:V6084"/>
        </sortRule>
      </sortRules>
    </nsvFilter>
  </namedSheetView>
  <namedSheetView name="Ver17" id="{DAC69EC3-E5F9-4DAA-A732-34C980ECEE1F}">
    <nsvFilter filterId="{C812E57E-988B-4BAE-A513-228EE3D08B93}" ref="A1:AB6084" tableId="1">
      <columnFilter colId="2" id="{318E9DB0-C7D0-4BB6-B6FE-3CB3DEA64EC5}">
        <filter colId="2">
          <x:filters>
            <x:filter val="FREDIS ANTONIO MORELOS COLON"/>
          </x:filters>
        </filter>
      </columnFilter>
      <columnFilter colId="8" id="{41C3EB12-AB0B-40A3-AA4B-4018781EB3DB}">
        <filter colId="8">
          <x:filters>
            <x:filter val="MATEU INOXWELDING S.L"/>
          </x:filters>
        </filter>
      </columnFilter>
      <sortRules>
        <sortRule colId="21" id="{C4E7A6F4-574B-48E7-B445-C18B57DE782E}">
          <sortCondition ref="V1:V6084"/>
        </sortRule>
      </sortRules>
    </nsvFilter>
  </namedSheetView>
  <namedSheetView name="Ver18" id="{55300D38-E130-420D-B0BA-23289476E453}">
    <nsvFilter filterId="{C812E57E-988B-4BAE-A513-228EE3D08B93}" ref="A1:AB6084" tableId="1">
      <columnFilter colId="8" id="{41C3EB12-AB0B-40A3-AA4B-4018781EB3DB}">
        <filter colId="8">
          <x:filters blank="1">
            <x:filter val="DBIZ INSTALACIONES Y SERVICIOS INDUSTRIALES S.L"/>
            <x:filter val="TECNICAS DE VENTILACIÓN CALGE"/>
          </x:filters>
        </filter>
      </columnFilter>
      <columnFilter colId="25" id="{09D5C25D-DEF7-48B9-8961-5E1A3299D597}">
        <filter colId="25">
          <x:filters blank="1">
            <x:filter val="EN CURSO"/>
          </x:filters>
        </filter>
      </columnFilter>
      <sortRules>
        <sortRule colId="21" id="{C4E7A6F4-574B-48E7-B445-C18B57DE782E}">
          <sortCondition ref="V1:V6084"/>
        </sortRule>
      </sortRules>
    </nsvFilter>
  </namedSheetView>
  <namedSheetView name="Ver19" id="{197409AB-BF1C-43DF-AED4-D2F6ED4DE8EF}">
    <nsvFilter filterId="{C812E57E-988B-4BAE-A513-228EE3D08B93}" ref="A1:AB6084" tableId="1">
      <columnFilter colId="8" id="{41C3EB12-AB0B-40A3-AA4B-4018781EB3DB}">
        <filter colId="8">
          <x:filters>
            <x:filter val="MMTCI AS"/>
          </x:filters>
        </filter>
      </columnFilter>
      <sortRules>
        <sortRule colId="21" id="{C4E7A6F4-574B-48E7-B445-C18B57DE782E}">
          <sortCondition ref="V1:V6084"/>
        </sortRule>
      </sortRules>
    </nsvFilter>
  </namedSheetView>
  <namedSheetView name="Ver20" id="{6354B179-3025-4518-92FF-5D78DED6C7A2}">
    <nsvFilter filterId="{C812E57E-988B-4BAE-A513-228EE3D08B93}" ref="A1:AB6084" tableId="1">
      <columnFilter colId="6" id="{874E314E-09CE-4043-93DE-59C249DB8745}">
        <filter colId="6">
          <x:filters>
            <x:filter val="BALTASAR BALAGUER +34 655 62 52 15"/>
            <x:filter val="Lucia +34 629 73 97 58"/>
          </x:filters>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21" id="{7C5C29C1-9666-4D8C-A992-AD892EB842EB}">
    <nsvFilter filterId="{C812E57E-988B-4BAE-A513-228EE3D08B93}" ref="A1:AB6084" tableId="1">
      <columnFilter colId="8" id="{41C3EB12-AB0B-40A3-AA4B-4018781EB3DB}">
        <filter colId="8">
          <x:filters>
            <x:filter val="INOXIDABLES DE MEDINA S.L"/>
          </x:filters>
        </filter>
      </columnFilter>
      <columnFilter colId="25" id="{09D5C25D-DEF7-48B9-8961-5E1A3299D597}">
        <filter colId="25">
          <x:filters blank="1">
            <x:filter val="EN CURSO"/>
          </x:filters>
        </filter>
      </columnFilter>
    </nsvFilter>
  </namedSheetView>
  <namedSheetView name="Ver22" id="{12AF4FEC-BB0D-41D3-9F93-04C1B113410F}">
    <nsvFilter filterId="{C812E57E-988B-4BAE-A513-228EE3D08B93}" ref="A1:AB6084" tableId="1">
      <columnFilter colId="4" id="{34B2C1BB-D035-4485-A042-F12A180A42F7}">
        <filter colId="4">
          <x:filters>
            <x:filter val="LLEIDA"/>
          </x:filters>
        </filter>
      </columnFilter>
      <columnFilter colId="6" id="{874E314E-09CE-4043-93DE-59C249DB8745}">
        <filter colId="6">
          <x:filters>
            <x:filter val="+34 619 75 79 50~Jaume"/>
            <x:filter val="Jaume +34 637 42 46 07"/>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23" id="{8785E608-C363-4899-AC53-A3E1FC4D5906}">
    <nsvFilter filterId="{C812E57E-988B-4BAE-A513-228EE3D08B93}" ref="A1:AB6084" tableId="1">
      <columnFilter colId="12" id="{99D7E1C0-B794-4E1A-BD1B-801626C0E022}">
        <filter colId="12">
          <x:filters blank="1"/>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er24" id="{61529B45-727E-4763-80AD-734429905889}">
    <nsvFilter filterId="{C812E57E-988B-4BAE-A513-228EE3D08B93}" ref="A1:AB6084" tableId="1">
      <columnFilter colId="8" id="{41C3EB12-AB0B-40A3-AA4B-4018781EB3DB}">
        <filter colId="8">
          <x:filters>
            <x:filter val="CRANTE"/>
          </x:filters>
        </filter>
      </columnFilter>
      <columnFilter colId="19" id="{0EFFEE8A-FD77-42BE-A42D-70CD9B601B9B}">
        <filter colId="19">
          <x:filters>
            <x:filter val="TEMPORAL"/>
          </x:filters>
        </filter>
      </columnFilter>
      <columnFilter colId="25" id="{09D5C25D-DEF7-48B9-8961-5E1A3299D597}">
        <filter colId="25">
          <x:filters>
            <x:filter val="EN CURSO"/>
          </x:filters>
        </filter>
      </columnFilter>
      <sortRules>
        <sortRule colId="21" id="{C4E7A6F4-574B-48E7-B445-C18B57DE782E}">
          <sortCondition ref="V1:V6084"/>
        </sortRule>
      </sortRules>
    </nsvFilter>
  </namedSheetView>
  <namedSheetView name="Vista 1" id="{F79D545C-5A77-471A-AB48-58AC00625863}"/>
  <namedSheetView name="Vista 2" id="{B4D8829A-652C-4DD0-B401-C6C191691081}">
    <nsvFilter filterId="{C812E57E-988B-4BAE-A513-228EE3D08B93}" ref="A1:AB6084" tableId="1">
      <columnFilter colId="19" id="{0EFFEE8A-FD77-42BE-A42D-70CD9B601B9B}">
        <filter colId="19">
          <x:filters>
            <x:filter val="TEMPORAL"/>
          </x:filters>
        </filter>
      </columnFilter>
      <columnFilter colId="25" id="{09D5C25D-DEF7-48B9-8961-5E1A3299D597}">
        <filter colId="25">
          <x:filters>
            <x:filter val="EN CURSO"/>
          </x:filters>
        </filter>
      </columnFilter>
    </nsvFilter>
  </namedSheetView>
</namedSheetViews>
</file>

<file path=xl/persons/person.xml><?xml version="1.0" encoding="utf-8"?>
<personList xmlns="http://schemas.microsoft.com/office/spreadsheetml/2018/threadedcomments" xmlns:x="http://schemas.openxmlformats.org/spreadsheetml/2006/main">
  <person displayName="Yuli Paola" id="{8BEA8CB1-BB33-44FC-A791-4439DE945680}" userId="S::rh2@kr-industrial.com::e9ee0a32-d0a6-48cb-a392-6d3f0817a951" providerId="AD"/>
  <person displayName="Leidys" id="{4D8483EF-5A39-4E7B-A473-929EF5A077E1}" userId="S::leidys@gestaologinpro.com::fa01f9a2-6b21-4ac7-8423-b548a0fbac93" providerId="AD"/>
  <person displayName="Rebecca" id="{E3C446A3-37B8-466B-82DA-8F7BAC7681F7}" userId="S::rebecca@gestaologinpro.com::3f7744e0-04e2-4350-8365-5ffeb894b290" providerId="AD"/>
  <person displayName="Rebeca Castro Pareja" id="{98986A2A-739A-4851-A979-4B0D560C46CD}" userId="S::logistica@kr-industrial.com::5331707e-4526-46b9-bf6d-ed5dae241cf2" providerId="AD"/>
  <person displayName="LEIDYS" id="{17D30B62-2123-41F1-B603-E5411FDFA3E0}" userId="S::logistica2@kr-industrial.com::5ec461a5-527c-43b8-9c2f-600ed8eca453"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99A3437-6C46-438C-A33D-08E6588E1AD1}" name="Tabla1" displayName="Tabla1" ref="A1:AB6084" totalsRowShown="0" headerRowDxfId="1406" dataDxfId="1405">
  <autoFilter ref="A1:AB6084" xr:uid="{C812E57E-988B-4BAE-A513-228EE3D08B93}"/>
  <tableColumns count="28">
    <tableColumn id="21" xr3:uid="{24390036-614B-4219-9B51-FB3E5ED25358}" name="COD" dataDxfId="1404" totalsRowDxfId="1403"/>
    <tableColumn id="1" xr3:uid="{6FACF477-C2A7-4C6F-8312-4DDB6DA3C529}" name="EMPRESA" dataDxfId="1402" totalsRowDxfId="1401"/>
    <tableColumn id="2" xr3:uid="{318E9DB0-C7D0-4BB6-B6FE-3CB3DEA64EC5}" name="COLABORADOR" dataDxfId="1400" totalsRowDxfId="1399"/>
    <tableColumn id="3" xr3:uid="{61A7E910-CA88-4676-8FC4-9011DA47E7F4}" name="PAIS" dataDxfId="1398" totalsRowDxfId="1397"/>
    <tableColumn id="4" xr3:uid="{34B2C1BB-D035-4485-A042-F12A180A42F7}" name="LOCALIDAD" dataDxfId="1396" totalsRowDxfId="1395"/>
    <tableColumn id="5" xr3:uid="{70759C19-4A90-4745-858B-D78B0F6DB898}" name="DIRECCION HOSPEDAJE" dataDxfId="1394" totalsRowDxfId="1393"/>
    <tableColumn id="6" xr3:uid="{874E314E-09CE-4043-93DE-59C249DB8745}" name="CONTACTO" dataDxfId="1392" totalsRowDxfId="1391"/>
    <tableColumn id="7" xr3:uid="{D6584D72-DF74-413D-A2D8-943A1ED9C4E4}" name="Nº PEDIDO" dataDxfId="1390" totalsRowDxfId="1389"/>
    <tableColumn id="8" xr3:uid="{41C3EB12-AB0B-40A3-AA4B-4018781EB3DB}" name="CLIENTE" dataDxfId="1388" totalsRowDxfId="1387"/>
    <tableColumn id="25" xr3:uid="{D90F8CF2-6603-4030-857D-EC8711DD72BA}" name="FECHA INICIO" dataDxfId="1386" totalsRowDxfId="1385">
      <calculatedColumnFormula>+Tabla1[[#This Row],[FECHA ENTRADA]]</calculatedColumnFormula>
    </tableColumn>
    <tableColumn id="24" xr3:uid="{BD00AD9B-20BF-454B-8C04-B5822AE12714}" name="FECHA FIN " dataDxfId="1384" totalsRowDxfId="1383"/>
    <tableColumn id="26" xr3:uid="{4577077B-828D-4459-A655-60312DBAD4E9}" name="TOTAL DIAS PROYECTO" dataDxfId="1382" totalsRowDxfId="1381">
      <calculatedColumnFormula>_xlfn.DAYS(Tabla1[[#This Row],[FECHA FIN ]],Tabla1[[#This Row],[FECHA INICIO]])</calculatedColumnFormula>
    </tableColumn>
    <tableColumn id="20" xr3:uid="{99D7E1C0-B794-4E1A-BD1B-801626C0E022}" name="COSTO TEMPORAL" dataDxfId="1380" totalsRowDxfId="1379"/>
    <tableColumn id="9" xr3:uid="{E74E9219-13E3-4A3A-89E6-86E5A5BAAB6B}" name="COSTO FIJO " dataDxfId="1378" totalsRowDxfId="1377"/>
    <tableColumn id="22" xr3:uid="{6518FA25-DA14-47C1-AD48-0B96DAB67D1A}" name="COSTO TOTAL ALOJAMIENTO" dataDxfId="1376" totalsRowDxfId="1375">
      <calculatedColumnFormula>(Tabla1[[#This Row],[COSTO FIJO ]]/30)*Tabla1[[#This Row],[TOTAL DIAS PROYECTO]]+(Tabla1[[#This Row],[COSTO TEMPORAL]])</calculatedColumnFormula>
    </tableColumn>
    <tableColumn id="23" xr3:uid="{B45CCF07-5597-44AA-B1AE-A64BF2E83B6A}" name="COSTO COCHE" dataDxfId="1374" totalsRowDxfId="1373"/>
    <tableColumn id="27" xr3:uid="{FA866DA0-4E5F-45AF-85CF-546119A153B7}" name="COSTO TOTAL COCHE" dataDxfId="1372" totalsRowDxfId="1371">
      <calculatedColumnFormula>+(Tabla1[[#This Row],[COSTO COCHE]]/30)*Tabla1[[#This Row],[TOTAL DIAS PROYECTO]]</calculatedColumnFormula>
    </tableColumn>
    <tableColumn id="28" xr3:uid="{99C5475C-03FB-4728-92AD-12FCA4743ED5}" name="COSTO PROYECTO" dataDxfId="1370" totalsRowDxfId="1369">
      <calculatedColumnFormula>+Tabla1[[#This Row],[COSTO TOTAL ALOJAMIENTO]]+Tabla1[[#This Row],[COSTO TOTAL COCHE]]</calculatedColumnFormula>
    </tableColumn>
    <tableColumn id="10" xr3:uid="{847BE3C5-0707-415C-A70C-057072D16C34}" name="PLATAFORMA" dataDxfId="1368" totalsRowDxfId="1367"/>
    <tableColumn id="11" xr3:uid="{0EFFEE8A-FD77-42BE-A42D-70CD9B601B9B}" name="TIPO ALOJAMIENTO" dataDxfId="1366" totalsRowDxfId="1365"/>
    <tableColumn id="12" xr3:uid="{06D39060-8ECD-4C1A-8334-63F86E5D026C}" name="FECHA ENTRADA" dataDxfId="1364" totalsRowDxfId="1363"/>
    <tableColumn id="13" xr3:uid="{C4E7A6F4-574B-48E7-B445-C18B57DE782E}" name="FECHA SALIDA" dataDxfId="1362" totalsRowDxfId="1361"/>
    <tableColumn id="14" xr3:uid="{1B1B395D-CFBF-4390-A7BE-CAF79E94B0EC}" name="FIANZA" dataDxfId="1360" totalsRowDxfId="1359"/>
    <tableColumn id="15" xr3:uid="{712F7D00-F5DD-4ACC-AACC-CDE4FA51AFF2}" name="FECHA PAGO" dataDxfId="1358" totalsRowDxfId="1357"/>
    <tableColumn id="16" xr3:uid="{722C3BBE-59FC-4D3B-B31D-CDB2AB6F4319}" name="OBSERVACIONES" dataDxfId="1356" totalsRowDxfId="1355"/>
    <tableColumn id="17" xr3:uid="{09D5C25D-DEF7-48B9-8961-5E1A3299D597}" name="ESTATUS" dataDxfId="1354" totalsRowDxfId="1353"/>
    <tableColumn id="18" xr3:uid="{97D5530D-0E66-4CB8-A5E6-39427C7F8C13}" name="LONGITUD" dataDxfId="1352" totalsRowDxfId="1351"/>
    <tableColumn id="19" xr3:uid="{9013B7EF-BFDD-4E98-BD29-DDF8BB9A25F3}" name="LATITUD" dataDxfId="1350" totalsRowDxfId="1349"/>
  </tableColumns>
  <tableStyleInfo name="TableStyleLight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5ED3172-F6D2-4C8C-8B8B-134B24822478}" name="Tabla3" displayName="Tabla3" ref="A1:Q303" totalsRowShown="0" headerRowDxfId="1412">
  <autoFilter ref="A1:Q303" xr:uid="{95ED3172-F6D2-4C8C-8B8B-134B24822478}"/>
  <tableColumns count="17">
    <tableColumn id="1" xr3:uid="{88D0DB36-9947-4E9E-9388-0BD50501F734}" name="PAIS"/>
    <tableColumn id="2" xr3:uid="{380DDA4D-564F-4EBC-8EE9-5389F33E5B5C}" name="CIUDAD"/>
    <tableColumn id="3" xr3:uid="{7FA426AC-A918-4FA7-95F1-9EC06F6081A8}" name="DIRECCION HOSPEDAJE"/>
    <tableColumn id="17" xr3:uid="{F97E4E9A-9C37-4CCB-B866-85699CD76480}" name="NOMBRE" dataDxfId="1411"/>
    <tableColumn id="4" xr3:uid="{FC81028F-0ED3-4495-83E9-EDDEE9DC74AD}" name="CONTACTO"/>
    <tableColumn id="15" xr3:uid="{F26DAE34-D649-4A75-A247-9B8A4B0A3B9B}" name="IBAN"/>
    <tableColumn id="5" xr3:uid="{2B65C6BE-2F49-4CCD-A1EB-ABB14C9AE1DA}" name="FECHA INICIO" dataDxfId="1410"/>
    <tableColumn id="6" xr3:uid="{9F6B2CD8-006D-440E-B0FF-E51BA704DEF3}" name="FECHA FIN" dataDxfId="1409"/>
    <tableColumn id="7" xr3:uid="{56BFFFA6-CDDC-4637-A18A-30B26343E9CB}" name="AVISO DIAS"/>
    <tableColumn id="8" xr3:uid="{97135A31-3FB1-4086-BC96-604858663E8B}" name="COSTO FIJO" dataDxfId="1408"/>
    <tableColumn id="9" xr3:uid="{55F24D3D-21AD-4026-B7DA-B2C6F970D037}" name="FIANZA" dataDxfId="1407"/>
    <tableColumn id="10" xr3:uid="{7095D53C-6376-415A-A98C-702D4E0B3D65}" name="FECHA PAGO"/>
    <tableColumn id="11" xr3:uid="{BA2090CE-F7AD-4135-97E0-7677D677AF11}" name="Columna1"/>
    <tableColumn id="12" xr3:uid="{85AA344A-D423-4E83-AC30-52A63D5AD5D6}" name="CAMAS"/>
    <tableColumn id="13" xr3:uid="{6CAF1EFD-8D4D-4B76-979A-432F1619488B}" name="OBSERVACIONES"/>
    <tableColumn id="14" xr3:uid="{206C15F5-DDF7-4FE1-8D6B-D2EB886A1AD7}" name="ESTATUS"/>
    <tableColumn id="16" xr3:uid="{2C3AD489-6B02-4825-838E-46D0D573FF3A}" name="Columna2"/>
  </tableColumns>
  <tableStyleInfo name="TableStyleLight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F2" dT="2025-02-13T10:05:11.33" personId="{17D30B62-2123-41F1-B603-E5411FDFA3E0}" id="{1F3A5176-3086-447C-99C7-C394AEEC9BF0}">
    <text>4 Habitaciones 5 camas 1 sofá</text>
  </threadedComment>
  <threadedComment ref="F2" dT="2025-11-07T07:08:43.68" personId="{98986A2A-739A-4851-A979-4B0D560C46CD}" id="{234AAAA0-B706-454F-B7F0-B61D20F41F91}" parentId="{1F3A5176-3086-447C-99C7-C394AEEC9BF0}">
    <text>875,50 alquiler</text>
  </threadedComment>
  <threadedComment ref="F2" dT="2026-08-19T09:16:29.54" personId="{E3C446A3-37B8-466B-82DA-8F7BAC7681F7}" id="{AAAB4EDB-6547-4D15-8ABE-5926EBD926DC}" parentId="{1F3A5176-3086-447C-99C7-C394AEEC9BF0}">
    <text>FIANZA 1700€</text>
  </threadedComment>
  <threadedComment ref="F3" dT="2025-02-13T10:05:11.33" personId="{17D30B62-2123-41F1-B603-E5411FDFA3E0}" id="{FB5AACC2-D614-46FA-B99A-CB134BC1492C}">
    <text>Habitacion doble para trabajadores cant 1 Costo 60€/noche
Habitacion triple para trabajadores cant 3 Costo 75€/noche cada una
(camas separadas)</text>
  </threadedComment>
  <threadedComment ref="F4" dT="2025-02-13T10:05:11.33" personId="{17D30B62-2123-41F1-B603-E5411FDFA3E0}" id="{C82F52E7-8913-4D05-997A-65FE0AB33FD7}">
    <text>Habitacion doble para trabajadores cant 1 Costo 60€/noche
Habitacion triple para trabajadores cant 3 Costo 75€/noche cada una
(camas separadas)</text>
  </threadedComment>
  <threadedComment ref="F5" dT="2025-02-13T10:05:11.33" personId="{17D30B62-2123-41F1-B603-E5411FDFA3E0}" id="{F520F488-B23D-4D47-85A1-24DE0F421E4C}">
    <text>Habitacion doble para trabajadores cant 1 Costo 60€/noche
Habitacion triple para trabajadores cant 3 Costo 75€/noche cada una
(camas separadas)</text>
  </threadedComment>
  <threadedComment ref="F6" dT="2025-02-13T10:05:11.33" personId="{17D30B62-2123-41F1-B603-E5411FDFA3E0}" id="{80D8878B-9224-4985-905D-2B3A3868FA50}">
    <text>Habitacion doble para trabajadores cant 1 Costo 60€/noche
Habitacion triple para trabajadores cant 3 Costo 75€/noche cada una
(camas separadas)</text>
  </threadedComment>
  <threadedComment ref="F7" dT="2025-02-13T10:05:11.33" personId="{17D30B62-2123-41F1-B603-E5411FDFA3E0}" id="{74EFBBA5-49E6-4DA2-B500-8A190421BAF4}">
    <text>Habitacion doble para trabajadores cant 1 Costo 60€/noche
Habitacion triple para trabajadores cant 3 Costo 75€/noche cada una
(camas separadas)</text>
  </threadedComment>
  <threadedComment ref="F8" dT="2025-02-13T10:05:11.33" personId="{17D30B62-2123-41F1-B603-E5411FDFA3E0}" id="{DC807AC4-8E8D-47C1-9137-2DB7BB9F8B9A}">
    <text>Habitacion doble para trabajadores cant 1 Costo 60€/noche
Habitacion triple para trabajadores cant 3 Costo 75€/noche cada una
(camas separadas)</text>
  </threadedComment>
  <threadedComment ref="F9" dT="2025-02-13T10:05:11.33" personId="{17D30B62-2123-41F1-B603-E5411FDFA3E0}" id="{3001D028-9B00-481F-A8C7-4E41A1AE73B4}">
    <text>Habitacion doble para trabajadores cant 1 Costo 60€/noche
Habitacion triple para trabajadores cant 3 Costo 75€/noche cada una
(camas separadas)</text>
  </threadedComment>
  <threadedComment ref="F10" dT="2025-02-13T10:05:11.33" personId="{17D30B62-2123-41F1-B603-E5411FDFA3E0}" id="{5C64C916-DC22-46A7-B9EB-12AE7F3C0AC5}">
    <text>Habitacion doble para trabajadores cant 1 Costo 60€/noche
Habitacion triple para trabajadores cant 3 Costo 75€/noche cada una
(camas separadas)</text>
  </threadedComment>
  <threadedComment ref="F11" dT="2025-02-13T10:05:11.33" personId="{17D30B62-2123-41F1-B603-E5411FDFA3E0}" id="{CC2D8335-F7D9-47B6-B407-E233623B8DEA}">
    <text>Habitacion doble para trabajadores cant 1 Costo 60€/noche
Habitacion triple para trabajadores cant 3 Costo 75€/noche cada una
(camas separadas)</text>
  </threadedComment>
  <threadedComment ref="F12" dT="2025-02-13T10:05:11.33" personId="{17D30B62-2123-41F1-B603-E5411FDFA3E0}" id="{A37DD1AA-839D-4A5C-8229-1E53DC7B2069}">
    <text>Habitacion doble para trabajadores cant 1 Costo 60€/noche
Habitacion triple para trabajadores cant 3 Costo 75€/noche cada una
(camas separadas)</text>
  </threadedComment>
  <threadedComment ref="F13" dT="2025-02-13T10:05:11.33" personId="{17D30B62-2123-41F1-B603-E5411FDFA3E0}" id="{36B2CC65-67CE-4BBC-9336-DA5985938958}">
    <text>Habitacion doble para trabajadores cant 1 Costo 60€/noche
Habitacion triple para trabajadores cant 3 Costo 75€/noche cada una
(camas separadas)</text>
  </threadedComment>
  <threadedComment ref="F14" dT="2024-08-19T11:49:32.68" personId="{98986A2A-739A-4851-A979-4B0D560C46CD}" id="{EDE97EB4-1FCF-473F-B1D1-AE1CD6AD13B2}">
    <text>3 habitaciones</text>
  </threadedComment>
  <threadedComment ref="F15" dT="2024-08-19T11:49:32.68" personId="{98986A2A-739A-4851-A979-4B0D560C46CD}" id="{8EBD1334-AF20-40A9-A013-EC360ED3BAD8}">
    <text>3 habitaciones</text>
  </threadedComment>
  <threadedComment ref="F18" dT="2025-02-13T10:05:11.33" personId="{17D30B62-2123-41F1-B603-E5411FDFA3E0}" id="{72F63D37-B11C-41E3-B7D1-6929F019F821}">
    <text>Habitacion doble para trabajadores cant 1 Costo 60€/noche
Habitacion triple para trabajadores cant 3 Costo 75€/noche cada una
(camas separadas)</text>
  </threadedComment>
  <threadedComment ref="F19" dT="2025-02-13T10:05:11.33" personId="{17D30B62-2123-41F1-B603-E5411FDFA3E0}" id="{1E4179F9-6078-4961-8EB2-2F5C4E950AA3}">
    <text>Habitacion doble para trabajadores cant 1 Costo 60€/noche
Habitacion triple para trabajadores cant 3 Costo 75€/noche cada una
(camas separadas)</text>
  </threadedComment>
  <threadedComment ref="F20" dT="2025-02-13T10:05:11.33" personId="{17D30B62-2123-41F1-B603-E5411FDFA3E0}" id="{6D993A87-3409-46C8-860C-13C2044C78FC}">
    <text>Habitacion doble para trabajadores cant 1 Costo 60€/noche
Habitacion triple para trabajadores cant 3 Costo 75€/noche cada una
(camas separadas)</text>
  </threadedComment>
  <threadedComment ref="F22" dT="2025-02-13T10:05:11.33" personId="{17D30B62-2123-41F1-B603-E5411FDFA3E0}" id="{2F172EBF-29B5-4588-AAB0-A930DF915A51}">
    <text>Habitacion doble para trabajadores cant 1 Costo 60€/noche
Habitacion triple para trabajadores cant 3 Costo 75€/noche cada una
(camas separadas)</text>
  </threadedComment>
  <threadedComment ref="F23" dT="2025-02-13T10:05:11.33" personId="{17D30B62-2123-41F1-B603-E5411FDFA3E0}" id="{F6D37633-F21F-4C72-A7D2-69766F9864DA}">
    <text>Habitacion doble para trabajadores cant 1 Costo 60€/noche
Habitacion triple para trabajadores cant 3 Costo 75€/noche cada una
(camas separadas)</text>
  </threadedComment>
  <threadedComment ref="F24" dT="2025-02-13T10:05:11.33" personId="{17D30B62-2123-41F1-B603-E5411FDFA3E0}" id="{3250967B-56EC-43D5-8DC3-6B4CD72A3860}">
    <text>Habitacion doble para trabajadores cant 1 Costo 60€/noche
Habitacion triple para trabajadores cant 3 Costo 75€/noche cada una
(camas separadas)</text>
  </threadedComment>
  <threadedComment ref="F25" dT="2025-02-13T10:05:11.33" personId="{17D30B62-2123-41F1-B603-E5411FDFA3E0}" id="{37E59BC1-3C08-47F7-ADEE-2C5CAC9C68EB}">
    <text>Habitacion doble para trabajadores cant 1 Costo 60€/noche
Habitacion triple para trabajadores cant 3 Costo 75€/noche cada una
(camas separadas)</text>
  </threadedComment>
  <threadedComment ref="F26" dT="2025-02-13T10:05:11.33" personId="{17D30B62-2123-41F1-B603-E5411FDFA3E0}" id="{0F4A1576-7760-4FCD-A1A9-141C67CB2313}">
    <text>Habitacion doble para trabajadores cant 1 Costo 60€/noche
Habitacion triple para trabajadores cant 3 Costo 75€/noche cada una
(camas separadas)</text>
  </threadedComment>
  <threadedComment ref="F27" dT="2025-02-13T10:05:11.33" personId="{17D30B62-2123-41F1-B603-E5411FDFA3E0}" id="{8EB67D82-0952-4395-8D99-E183AC95FFCA}">
    <text>Habitacion doble para trabajadores cant 1 Costo 60€/noche
Habitacion triple para trabajadores cant 3 Costo 75€/noche cada una
(camas separadas)</text>
  </threadedComment>
  <threadedComment ref="F28" dT="2025-02-13T10:05:11.33" personId="{17D30B62-2123-41F1-B603-E5411FDFA3E0}" id="{13690811-4F2A-4F82-A8CD-2BAF67CBF5A6}">
    <text>Habitacion doble para trabajadores cant 1 Costo 60€/noche
Habitacion triple para trabajadores cant 3 Costo 75€/noche cada una
(camas separadas)</text>
  </threadedComment>
  <threadedComment ref="F29" dT="2025-02-13T10:05:11.33" personId="{17D30B62-2123-41F1-B603-E5411FDFA3E0}" id="{3F237E91-4C4F-471F-9ECD-C1D5CD72BADC}">
    <text>Habitacion doble para trabajadores cant 1 Costo 60€/noche
Habitacion triple para trabajadores cant 3 Costo 75€/noche cada una
(camas separadas)</text>
  </threadedComment>
  <threadedComment ref="F30" dT="2025-02-13T10:05:11.33" personId="{17D30B62-2123-41F1-B603-E5411FDFA3E0}" id="{2A53B506-B8AF-4F2C-A0D7-48AC42303457}">
    <text>Habitacion doble para trabajadores cant 1 Costo 60€/noche
Habitacion triple para trabajadores cant 3 Costo 75€/noche cada una
(camas separadas)</text>
  </threadedComment>
  <threadedComment ref="F31" dT="2025-02-13T10:05:11.33" personId="{17D30B62-2123-41F1-B603-E5411FDFA3E0}" id="{6C4F3235-1D21-4BC5-B090-B94801F07A73}">
    <text>Habitacion doble para trabajadores cant 1 Costo 60€/noche
Habitacion triple para trabajadores cant 3 Costo 75€/noche cada una
(camas separadas)</text>
  </threadedComment>
  <threadedComment ref="F32" dT="2025-02-13T10:05:11.33" personId="{17D30B62-2123-41F1-B603-E5411FDFA3E0}" id="{A4F390A7-62C8-4F5B-B2F2-804FA75863BB}">
    <text>Habitacion doble para trabajadores cant 1 Costo 60€/noche
Habitacion triple para trabajadores cant 3 Costo 75€/noche cada una
(camas separadas)</text>
  </threadedComment>
  <threadedComment ref="F33" dT="2025-02-13T10:05:11.33" personId="{17D30B62-2123-41F1-B603-E5411FDFA3E0}" id="{58F04E42-EAFE-448B-B886-88C2B234EABE}">
    <text>Habitacion doble para trabajadores cant 1 Costo 60€/noche
Habitacion triple para trabajadores cant 3 Costo 75€/noche cada una
(camas separadas)</text>
  </threadedComment>
  <threadedComment ref="F34" dT="2025-02-13T10:05:11.33" personId="{17D30B62-2123-41F1-B603-E5411FDFA3E0}" id="{75BFC895-1B8D-4B36-AF8C-E91B08FA0152}">
    <text>Habitacion doble para trabajadores cant 1 Costo 60€/noche
Habitacion triple para trabajadores cant 3 Costo 75€/noche cada una
(camas separadas)</text>
  </threadedComment>
  <threadedComment ref="F35" dT="2025-02-13T10:05:11.33" personId="{17D30B62-2123-41F1-B603-E5411FDFA3E0}" id="{B54B0156-12C6-4DBE-A492-10B1F9AE794E}">
    <text>Habitacion doble para trabajadores cant 1 Costo 60€/noche
Habitacion triple para trabajadores cant 3 Costo 75€/noche cada una
(camas separadas)</text>
  </threadedComment>
  <threadedComment ref="F36" dT="2025-02-13T10:05:11.33" personId="{17D30B62-2123-41F1-B603-E5411FDFA3E0}" id="{E3CA3065-5F35-43EC-BEFE-6BF3BFAB9AE4}">
    <text>Habitacion doble para trabajadores cant 1 Costo 60€/noche
Habitacion triple para trabajadores cant 3 Costo 75€/noche cada una
(camas separadas)</text>
  </threadedComment>
  <threadedComment ref="F37" dT="2025-02-13T10:05:11.33" personId="{17D30B62-2123-41F1-B603-E5411FDFA3E0}" id="{A27FF3EC-536B-46E6-8CD1-489ECA653E32}">
    <text>Habitacion doble para trabajadores cant 1 Costo 60€/noche
Habitacion triple para trabajadores cant 3 Costo 75€/noche cada una
(camas separadas)</text>
  </threadedComment>
  <threadedComment ref="F38" dT="2025-02-13T10:05:11.33" personId="{17D30B62-2123-41F1-B603-E5411FDFA3E0}" id="{BDFC0039-4560-4E70-9F37-98EA265D9C6E}">
    <text>Habitacion doble para trabajadores cant 1 Costo 60€/noche
Habitacion triple para trabajadores cant 3 Costo 75€/noche cada una
(camas separadas)</text>
  </threadedComment>
  <threadedComment ref="F39" dT="2025-02-13T10:05:11.33" personId="{17D30B62-2123-41F1-B603-E5411FDFA3E0}" id="{B4465285-7EC0-4306-8B85-267C7B482C94}">
    <text>Habitacion doble para trabajadores cant 1 Costo 60€/noche
Habitacion triple para trabajadores cant 3 Costo 75€/noche cada una
(camas separadas)</text>
  </threadedComment>
  <threadedComment ref="F40" dT="2025-02-13T10:05:11.33" personId="{17D30B62-2123-41F1-B603-E5411FDFA3E0}" id="{5A3D13C1-FE03-4556-8303-243B472162CD}">
    <text>Habitacion doble para trabajadores cant 1 Costo 60€/noche
Habitacion triple para trabajadores cant 3 Costo 75€/noche cada una
(camas separadas)</text>
  </threadedComment>
  <threadedComment ref="F43" dT="2025-02-13T10:05:11.33" personId="{17D30B62-2123-41F1-B603-E5411FDFA3E0}" id="{B2E6BF57-72DF-4C76-9E13-9EDF933FAA37}">
    <text>Habitacion doble para trabajadores cant 1 Costo 60€/noche
Habitacion triple para trabajadores cant 3 Costo 75€/noche cada una
(camas separadas)</text>
  </threadedComment>
  <threadedComment ref="F44" dT="2025-02-13T10:05:11.33" personId="{17D30B62-2123-41F1-B603-E5411FDFA3E0}" id="{C1B7530D-7931-444A-A2E7-9453659B98A2}">
    <text>Habitacion doble para trabajadores cant 1 Costo 60€/noche
Habitacion triple para trabajadores cant 3 Costo 75€/noche cada una
(camas separadas)</text>
  </threadedComment>
  <threadedComment ref="F45" dT="2025-02-13T10:05:11.33" personId="{17D30B62-2123-41F1-B603-E5411FDFA3E0}" id="{D6033A4B-D7B4-4F3B-A71B-097A1CAEBFB4}">
    <text>Habitacion doble para trabajadores cant 1 Costo 60€/noche
Habitacion triple para trabajadores cant 3 Costo 75€/noche cada una
(camas separadas)</text>
  </threadedComment>
  <threadedComment ref="F46" dT="2025-02-13T10:05:11.33" personId="{17D30B62-2123-41F1-B603-E5411FDFA3E0}" id="{34A59ECD-52C3-4030-8A1E-B64FA4E959D9}">
    <text>Habitacion doble para trabajadores cant 1 Costo 60€/noche
Habitacion triple para trabajadores cant 3 Costo 75€/noche cada una
(camas separadas)</text>
  </threadedComment>
  <threadedComment ref="F47" dT="2025-02-13T10:05:11.33" personId="{17D30B62-2123-41F1-B603-E5411FDFA3E0}" id="{A1AD9234-761F-4027-A6C4-6BC9EA7234E0}">
    <text>Habitacion doble para trabajadores cant 1 Costo 60€/noche
Habitacion triple para trabajadores cant 3 Costo 75€/noche cada una
(camas separadas)</text>
  </threadedComment>
  <threadedComment ref="F48" dT="2025-02-13T10:05:11.33" personId="{17D30B62-2123-41F1-B603-E5411FDFA3E0}" id="{22111ECA-9639-4D07-B9FF-3E2BE1181633}">
    <text>Habitacion doble para trabajadores cant 1 Costo 60€/noche
Habitacion triple para trabajadores cant 3 Costo 75€/noche cada una
(camas separadas)</text>
  </threadedComment>
  <threadedComment ref="F49" dT="2025-02-13T10:05:11.33" personId="{17D30B62-2123-41F1-B603-E5411FDFA3E0}" id="{85A5EE2A-1561-4A71-9C60-DC94F4C02450}">
    <text>Habitacion doble para trabajadores cant 1 Costo 60€/noche
Habitacion triple para trabajadores cant 3 Costo 75€/noche cada una
(camas separadas)</text>
  </threadedComment>
  <threadedComment ref="F50" dT="2025-02-13T10:05:11.33" personId="{17D30B62-2123-41F1-B603-E5411FDFA3E0}" id="{8138A278-7ECD-4E8C-B127-4988BE2A51F0}">
    <text>Habitacion doble para trabajadores cant 1 Costo 60€/noche
Habitacion triple para trabajadores cant 3 Costo 75€/noche cada una
(camas separadas)</text>
  </threadedComment>
  <threadedComment ref="F51" dT="2025-02-13T10:05:11.33" personId="{17D30B62-2123-41F1-B603-E5411FDFA3E0}" id="{F69BBB03-5628-41D1-BC56-4B36688AD3D9}">
    <text>Habitacion doble para trabajadores cant 1 Costo 60€/noche
Habitacion triple para trabajadores cant 3 Costo 75€/noche cada una
(camas separadas)</text>
  </threadedComment>
  <threadedComment ref="F52" dT="2025-02-13T10:05:11.33" personId="{17D30B62-2123-41F1-B603-E5411FDFA3E0}" id="{F967E98E-7EF0-4416-8354-E982CF8BD0A3}">
    <text>Habitacion doble para trabajadores cant 1 Costo 60€/noche
Habitacion triple para trabajadores cant 3 Costo 75€/noche cada una
(camas separadas)</text>
  </threadedComment>
  <threadedComment ref="F53" dT="2025-02-13T10:05:11.33" personId="{17D30B62-2123-41F1-B603-E5411FDFA3E0}" id="{02BA8C86-F346-4756-AA04-D61F3F853EBD}">
    <text>Habitacion doble para trabajadores cant 1 Costo 60€/noche
Habitacion triple para trabajadores cant 3 Costo 75€/noche cada una
(camas separadas)</text>
  </threadedComment>
  <threadedComment ref="F54" dT="2025-02-13T10:05:11.33" personId="{17D30B62-2123-41F1-B603-E5411FDFA3E0}" id="{C75DD269-5AA0-4263-BDC3-1A827264B823}">
    <text>Habitacion doble para trabajadores cant 1 Costo 60€/noche
Habitacion triple para trabajadores cant 3 Costo 75€/noche cada una
(camas separadas)</text>
  </threadedComment>
  <threadedComment ref="F55" dT="2025-02-13T10:05:11.33" personId="{17D30B62-2123-41F1-B603-E5411FDFA3E0}" id="{44D2ECB0-3201-4823-8B54-CD45C063B7A4}">
    <text>Habitacion doble para trabajadores cant 1 Costo 60€/noche
Habitacion triple para trabajadores cant 3 Costo 75€/noche cada una
(camas separadas)</text>
  </threadedComment>
  <threadedComment ref="F56" dT="2025-03-03T18:16:08.96" personId="{98986A2A-739A-4851-A979-4B0D560C46CD}" id="{60AC2263-BAB2-4313-B2E3-B8239680144B}">
    <text>03 camas, 1500€ alquiler, 600€ fianza</text>
  </threadedComment>
  <threadedComment ref="F57" dT="2025-02-13T10:05:11.33" personId="{17D30B62-2123-41F1-B603-E5411FDFA3E0}" id="{7BE24675-0917-46A8-A5C7-7A250BDEABFB}">
    <text>Habitacion doble para trabajadores cant 1 Costo 60€/noche
Habitacion triple para trabajadores cant 3 Costo 75€/noche cada una
(camas separadas)</text>
  </threadedComment>
  <threadedComment ref="F58" dT="2024-06-25T09:14:46.90" personId="{98986A2A-739A-4851-A979-4B0D560C46CD}" id="{07B878CA-627F-4F2A-BD50-242BF74A20EB}">
    <text>Fianza 1000, alquiler 1250, 05 camas. Nuevo Contrato Febrero 2025</text>
  </threadedComment>
  <threadedComment ref="F59" dT="2024-05-27T13:32:52.76" personId="{98986A2A-739A-4851-A979-4B0D560C46CD}" id="{32F41062-9E13-4FBB-B556-AC34476D8BBE}">
    <text>9 camas</text>
  </threadedComment>
  <threadedComment ref="F60" dT="2025-02-13T10:05:11.33" personId="{17D30B62-2123-41F1-B603-E5411FDFA3E0}" id="{1BA41471-15B9-4682-994C-2D90AD7B5D5E}">
    <text>Habitacion doble para trabajadores cant 1 Costo 60€/noche
Habitacion triple para trabajadores cant 3 Costo 75€/noche cada una
(camas separadas)</text>
  </threadedComment>
  <threadedComment ref="F61" dT="2025-02-13T10:05:11.33" personId="{17D30B62-2123-41F1-B603-E5411FDFA3E0}" id="{60129457-6E63-438E-9ED1-093561FA2D8D}">
    <text>Habitacion doble para trabajadores cant 1 Costo 60€/noche
Habitacion triple para trabajadores cant 3 Costo 75€/noche cada una
(camas separadas)</text>
  </threadedComment>
  <threadedComment ref="F62" dT="2025-02-13T10:05:11.33" personId="{17D30B62-2123-41F1-B603-E5411FDFA3E0}" id="{4DAB539C-4CC6-47F2-B2B5-331CF0805833}">
    <text>Habitacion doble para trabajadores cant 1 Costo 60€/noche
Habitacion triple para trabajadores cant 3 Costo 75€/noche cada una
(camas separadas)</text>
  </threadedComment>
  <threadedComment ref="F63" dT="2025-02-13T10:05:11.33" personId="{17D30B62-2123-41F1-B603-E5411FDFA3E0}" id="{C92C71CA-E3B0-4991-9EFA-ED37DB04696B}">
    <text>Habitacion doble para trabajadores cant 1 Costo 60€/noche
Habitacion triple para trabajadores cant 3 Costo 75€/noche cada una
(camas separadas)</text>
  </threadedComment>
  <threadedComment ref="F64" dT="2025-02-13T10:05:11.33" personId="{17D30B62-2123-41F1-B603-E5411FDFA3E0}" id="{D7FC4AFF-CD9B-4C15-8544-69A3C0DCAE9F}">
    <text>Habitacion doble para trabajadores cant 1 Costo 60€/noche
Habitacion triple para trabajadores cant 3 Costo 75€/noche cada una
(camas separadas)</text>
  </threadedComment>
  <threadedComment ref="F65" dT="2025-02-13T10:05:11.33" personId="{17D30B62-2123-41F1-B603-E5411FDFA3E0}" id="{602C1A68-7DF5-4AC1-B345-FEB77816D773}">
    <text>Habitacion doble para trabajadores cant 1 Costo 60€/noche
Habitacion triple para trabajadores cant 3 Costo 75€/noche cada una
(camas separadas)</text>
  </threadedComment>
  <threadedComment ref="F67" dT="2025-02-13T10:05:11.33" personId="{17D30B62-2123-41F1-B603-E5411FDFA3E0}" id="{F5ECD249-991C-4F8E-94CB-FA1933EC2D3B}">
    <text>Habitacion doble para trabajadores cant 1 Costo 60€/noche
Habitacion triple para trabajadores cant 3 Costo 75€/noche cada una
(camas separadas)</text>
  </threadedComment>
  <threadedComment ref="F68" dT="2025-02-13T10:05:11.33" personId="{17D30B62-2123-41F1-B603-E5411FDFA3E0}" id="{E0D14B6C-3CA7-4A1D-A0B5-9D6D11DFAE0F}">
    <text>Habitacion doble para trabajadores cant 1 Costo 60€/noche
Habitacion triple para trabajadores cant 3 Costo 75€/noche cada una
(camas separadas)</text>
  </threadedComment>
  <threadedComment ref="W68" dT="2024-06-25T09:18:57.53" personId="{98986A2A-739A-4851-A979-4B0D560C46CD}" id="{B85001F4-AE15-46EC-BE79-ADF570267404}">
    <text>Esta fianza (600) pasa al pedido MIMESE 189</text>
  </threadedComment>
  <threadedComment ref="F69" dT="2025-02-13T10:05:11.33" personId="{17D30B62-2123-41F1-B603-E5411FDFA3E0}" id="{E5741D2A-DDF1-4602-8C5D-97A0AF56E345}">
    <text>Habitacion doble para trabajadores cant 1 Costo 60€/noche
Habitacion triple para trabajadores cant 3 Costo 75€/noche cada una
(camas separadas)</text>
  </threadedComment>
  <threadedComment ref="F70" dT="2025-02-13T10:05:11.33" personId="{17D30B62-2123-41F1-B603-E5411FDFA3E0}" id="{669C5A5F-280C-4E6A-8BFE-3B56AF5F0CC6}">
    <text>Habitacion doble para trabajadores cant 1 Costo 60€/noche
Habitacion triple para trabajadores cant 3 Costo 75€/noche cada una
(camas separadas)</text>
  </threadedComment>
  <threadedComment ref="F71" dT="2024-06-25T09:17:04.42" personId="{98986A2A-739A-4851-A979-4B0D560C46CD}" id="{62B43C9A-F3B7-4D02-8EF9-03371ED21C6B}">
    <text>600 fianza</text>
  </threadedComment>
  <threadedComment ref="F72" dT="2024-08-19T11:49:32.68" personId="{98986A2A-739A-4851-A979-4B0D560C46CD}" id="{B2A0ABBD-4E36-4C50-A5A9-5F1E109A7B61}">
    <text>3 habitaciones</text>
  </threadedComment>
  <threadedComment ref="F73" dT="2025-02-13T10:05:11.33" personId="{17D30B62-2123-41F1-B603-E5411FDFA3E0}" id="{7078AAE5-002A-40BE-9A15-960AB1A6A8AD}">
    <text>Habitacion doble para trabajadores cant 1 Costo 60€/noche
Habitacion triple para trabajadores cant 3 Costo 75€/noche cada una
(camas separadas)</text>
  </threadedComment>
  <threadedComment ref="F74" dT="2025-02-13T10:05:11.33" personId="{17D30B62-2123-41F1-B603-E5411FDFA3E0}" id="{EA8318CE-EE4A-40E6-840A-E56785AE35F6}">
    <text>Habitacion doble para trabajadores cant 1 Costo 60€/noche
Habitacion triple para trabajadores cant 3 Costo 75€/noche cada una
(camas separadas)</text>
  </threadedComment>
  <threadedComment ref="F75" dT="2025-02-13T10:05:11.33" personId="{17D30B62-2123-41F1-B603-E5411FDFA3E0}" id="{DC991A5A-3BA1-4994-B480-43FB36DCA588}">
    <text>Habitacion doble para trabajadores cant 1 Costo 60€/noche
Habitacion triple para trabajadores cant 3 Costo 75€/noche cada una
(camas separadas)</text>
  </threadedComment>
  <threadedComment ref="F76" dT="2025-02-13T10:05:11.33" personId="{17D30B62-2123-41F1-B603-E5411FDFA3E0}" id="{72F767A2-4CAD-4DE7-A6A4-A1D038FB84C4}">
    <text>Habitacion doble para trabajadores cant 1 Costo 60€/noche
Habitacion triple para trabajadores cant 3 Costo 75€/noche cada una
(camas separadas)</text>
  </threadedComment>
  <threadedComment ref="F77" dT="2025-02-13T10:05:11.33" personId="{17D30B62-2123-41F1-B603-E5411FDFA3E0}" id="{99DA0966-58E6-4529-9327-B8A332128AB8}">
    <text>Habitacion doble para trabajadores cant 1 Costo 60€/noche
Habitacion triple para trabajadores cant 3 Costo 75€/noche cada una
(camas separadas)</text>
  </threadedComment>
  <threadedComment ref="F78" dT="2025-02-13T10:05:11.33" personId="{17D30B62-2123-41F1-B603-E5411FDFA3E0}" id="{944F0E21-D1F9-4C99-8CDC-723BF2E7A87F}">
    <text>Habitacion doble para trabajadores cant 1 Costo 60€/noche
Habitacion triple para trabajadores cant 3 Costo 75€/noche cada una
(camas separadas)</text>
  </threadedComment>
  <threadedComment ref="F79" dT="2025-02-13T10:05:11.33" personId="{17D30B62-2123-41F1-B603-E5411FDFA3E0}" id="{B9B8ED8E-6C7D-417B-975C-3BC9A45E2D19}">
    <text>Habitacion doble para trabajadores cant 1 Costo 60€/noche
Habitacion triple para trabajadores cant 3 Costo 75€/noche cada una
(camas separadas)</text>
  </threadedComment>
  <threadedComment ref="F80" dT="2025-02-13T10:05:11.33" personId="{17D30B62-2123-41F1-B603-E5411FDFA3E0}" id="{AF664C97-51FC-424A-B5AA-EC5AB6A1F969}">
    <text>Habitacion doble para trabajadores cant 1 Costo 60€/noche
Habitacion triple para trabajadores cant 3 Costo 75€/noche cada una
(camas separadas)</text>
  </threadedComment>
  <threadedComment ref="F81" dT="2025-02-13T10:05:11.33" personId="{17D30B62-2123-41F1-B603-E5411FDFA3E0}" id="{413FF5C8-2C37-4CAF-A838-9F3C6EA6725C}">
    <text>Habitacion doble para trabajadores cant 1 Costo 60€/noche
Habitacion triple para trabajadores cant 3 Costo 75€/noche cada una
(camas separadas)</text>
  </threadedComment>
  <threadedComment ref="F82" dT="2025-02-13T10:05:11.33" personId="{17D30B62-2123-41F1-B603-E5411FDFA3E0}" id="{B1F304F0-06CC-4A8E-A4A4-7BE359656F8C}">
    <text>Habitacion doble para trabajadores cant 1 Costo 60€/noche
Habitacion triple para trabajadores cant 3 Costo 75€/noche cada una
(camas separadas)</text>
  </threadedComment>
  <threadedComment ref="F83" dT="2024-08-19T11:49:32.68" personId="{98986A2A-739A-4851-A979-4B0D560C46CD}" id="{B12BF335-1FF1-46F4-B706-23A71AD180C0}">
    <text>3 habitaciones</text>
  </threadedComment>
  <threadedComment ref="F84" dT="2024-08-19T11:49:32.68" personId="{98986A2A-739A-4851-A979-4B0D560C46CD}" id="{43568F83-C2E2-4AE3-9962-B773F7A1C530}">
    <text>3 habitaciones</text>
  </threadedComment>
  <threadedComment ref="F85" dT="2024-08-19T11:49:32.68" personId="{98986A2A-739A-4851-A979-4B0D560C46CD}" id="{D89C4A7F-27FC-4C58-B490-EC6B2BC2AA2B}">
    <text>3 habitaciones</text>
  </threadedComment>
  <threadedComment ref="F86" dT="2025-02-13T10:05:11.33" personId="{17D30B62-2123-41F1-B603-E5411FDFA3E0}" id="{6D0DC5B6-F586-4C66-95A0-EDE8467E27D4}">
    <text>Habitacion doble para trabajadores cant 1 Costo 60€/noche
Habitacion triple para trabajadores cant 3 Costo 75€/noche cada una
(camas separadas)</text>
  </threadedComment>
  <threadedComment ref="F87" dT="2025-02-13T10:05:11.33" personId="{17D30B62-2123-41F1-B603-E5411FDFA3E0}" id="{49CE200D-142B-49DD-97A4-42AB0FE540F7}">
    <text>Habitacion doble para trabajadores cant 1 Costo 60€/noche
Habitacion triple para trabajadores cant 3 Costo 75€/noche cada una
(camas separadas)</text>
  </threadedComment>
  <threadedComment ref="F88" dT="2025-02-13T10:05:11.33" personId="{17D30B62-2123-41F1-B603-E5411FDFA3E0}" id="{402A532A-D234-4DB7-B9D3-052C5CB22A9C}">
    <text>Habitacion doble para trabajadores cant 1 Costo 60€/noche
Habitacion triple para trabajadores cant 3 Costo 75€/noche cada una
(camas separadas)</text>
  </threadedComment>
  <threadedComment ref="F89" dT="2025-02-13T10:05:11.33" personId="{17D30B62-2123-41F1-B603-E5411FDFA3E0}" id="{4275E70C-41DB-4724-970E-0C0A8769FAE1}">
    <text>Habitacion doble para trabajadores cant 1 Costo 60€/noche
Habitacion triple para trabajadores cant 3 Costo 75€/noche cada una
(camas separadas)</text>
  </threadedComment>
  <threadedComment ref="F90" dT="2025-02-13T10:05:11.33" personId="{17D30B62-2123-41F1-B603-E5411FDFA3E0}" id="{1E5E2979-AE87-4553-B3E0-5A60EA7ACB8A}">
    <text>Habitacion doble para trabajadores cant 1 Costo 60€/noche
Habitacion triple para trabajadores cant 3 Costo 75€/noche cada una
(camas separadas)</text>
  </threadedComment>
  <threadedComment ref="F91" dT="2025-02-13T10:05:11.33" personId="{17D30B62-2123-41F1-B603-E5411FDFA3E0}" id="{DCA6D234-3BD3-4315-8D40-7F458A9FCB85}">
    <text>Habitacion doble para trabajadores cant 1 Costo 60€/noche
Habitacion triple para trabajadores cant 3 Costo 75€/noche cada una
(camas separadas)</text>
  </threadedComment>
  <threadedComment ref="F92" dT="2025-02-13T10:05:11.33" personId="{17D30B62-2123-41F1-B603-E5411FDFA3E0}" id="{A0743FF9-A3B2-4EBB-B157-52FF11CD0236}">
    <text>Habitacion doble para trabajadores cant 1 Costo 60€/noche
Habitacion triple para trabajadores cant 3 Costo 75€/noche cada una
(camas separadas)</text>
  </threadedComment>
  <threadedComment ref="F93" dT="2025-02-13T10:05:11.33" personId="{17D30B62-2123-41F1-B603-E5411FDFA3E0}" id="{262466DB-96DB-4589-B587-1701C40A74B3}">
    <text>Habitacion doble para trabajadores cant 1 Costo 60€/noche
Habitacion triple para trabajadores cant 3 Costo 75€/noche cada una
(camas separadas)</text>
  </threadedComment>
  <threadedComment ref="F94" dT="2025-02-13T10:05:11.33" personId="{17D30B62-2123-41F1-B603-E5411FDFA3E0}" id="{5FC94AC5-9E83-42FD-B326-4D311BE5CE2E}">
    <text>Habitacion doble para trabajadores cant 1 Costo 60€/noche
Habitacion triple para trabajadores cant 3 Costo 75€/noche cada una
(camas separadas)</text>
  </threadedComment>
  <threadedComment ref="F95" dT="2025-02-13T10:05:11.33" personId="{17D30B62-2123-41F1-B603-E5411FDFA3E0}" id="{D58E0446-A146-4DE9-829B-82EFE41D8464}">
    <text>Habitacion doble para trabajadores cant 1 Costo 60€/noche
Habitacion triple para trabajadores cant 3 Costo 75€/noche cada una
(camas separadas)</text>
  </threadedComment>
  <threadedComment ref="F96" dT="2025-04-04T09:05:30.54" personId="{17D30B62-2123-41F1-B603-E5411FDFA3E0}" id="{E6D704AC-2C4E-4749-A316-AE774D345B9C}">
    <text>400€ cada habitación =800€.
400€ fianza</text>
  </threadedComment>
  <threadedComment ref="F97" dT="2024-08-19T11:49:32.68" personId="{98986A2A-739A-4851-A979-4B0D560C46CD}" id="{9B65FCDD-4835-4CE1-9732-863697DE6BFD}">
    <text>3 habitaciones</text>
  </threadedComment>
  <threadedComment ref="F98" dT="2025-02-13T10:05:11.33" personId="{17D30B62-2123-41F1-B603-E5411FDFA3E0}" id="{D2377AE9-9974-41B9-8BA5-E61AAAAB358D}">
    <text>Habitacion doble para trabajadores cant 1 Costo 60€/noche
Habitacion triple para trabajadores cant 3 Costo 75€/noche cada una
(camas separadas)</text>
  </threadedComment>
  <threadedComment ref="F99" dT="2025-02-13T10:05:11.33" personId="{17D30B62-2123-41F1-B603-E5411FDFA3E0}" id="{9B201CBA-08CA-4EB4-AD32-E5854E2B206A}">
    <text>Habitacion doble para trabajadores cant 1 Costo 60€/noche
Habitacion triple para trabajadores cant 3 Costo 75€/noche cada una
(camas separadas)</text>
  </threadedComment>
  <threadedComment ref="F100" dT="2025-02-13T10:05:11.33" personId="{17D30B62-2123-41F1-B603-E5411FDFA3E0}" id="{88E3467C-E470-4F79-AD15-8BA8255FF4A5}">
    <text>Habitacion doble para trabajadores cant 1 Costo 60€/noche
Habitacion triple para trabajadores cant 3 Costo 75€/noche cada una
(camas separadas)</text>
  </threadedComment>
  <threadedComment ref="F101" dT="2025-02-13T10:05:11.33" personId="{17D30B62-2123-41F1-B603-E5411FDFA3E0}" id="{5CB3AEBA-5980-41D1-9402-223C6751144D}">
    <text>Habitacion doble para trabajadores cant 1 Costo 60€/noche
Habitacion triple para trabajadores cant 3 Costo 75€/noche cada una
(camas separadas)</text>
  </threadedComment>
  <threadedComment ref="F102" dT="2025-02-13T10:05:11.33" personId="{17D30B62-2123-41F1-B603-E5411FDFA3E0}" id="{9483FD8D-0B22-4213-875D-6E58C62A558F}">
    <text>Habitacion doble para trabajadores cant 1 Costo 60€/noche
Habitacion triple para trabajadores cant 3 Costo 75€/noche cada una
(camas separadas)</text>
  </threadedComment>
  <threadedComment ref="F103" dT="2025-02-13T10:05:11.33" personId="{17D30B62-2123-41F1-B603-E5411FDFA3E0}" id="{EAF6DB4A-6A16-4278-AF7B-07EDCE2DF6C1}">
    <text>Habitacion doble para trabajadores cant 1 Costo 60€/noche
Habitacion triple para trabajadores cant 3 Costo 75€/noche cada una
(camas separadas)</text>
  </threadedComment>
  <threadedComment ref="F104" dT="2025-02-13T10:05:11.33" personId="{17D30B62-2123-41F1-B603-E5411FDFA3E0}" id="{8A3025D8-C096-42FD-BE66-80FD3AC6ECFE}">
    <text>Habitacion doble para trabajadores cant 1 Costo 60€/noche
Habitacion triple para trabajadores cant 3 Costo 75€/noche cada una
(camas separadas)</text>
  </threadedComment>
  <threadedComment ref="F105" dT="2025-02-13T10:05:11.33" personId="{17D30B62-2123-41F1-B603-E5411FDFA3E0}" id="{47F34E39-0E64-4AF6-B66B-1BE87AA575FF}">
    <text>Habitacion doble para trabajadores cant 1 Costo 60€/noche
Habitacion triple para trabajadores cant 3 Costo 75€/noche cada una
(camas separadas)</text>
  </threadedComment>
  <threadedComment ref="F106" dT="2025-02-13T10:05:11.33" personId="{17D30B62-2123-41F1-B603-E5411FDFA3E0}" id="{95867284-6471-4B7F-AC8C-584963E6FF8B}">
    <text>Habitacion doble para trabajadores cant 1 Costo 60€/noche
Habitacion triple para trabajadores cant 3 Costo 75€/noche cada una
(camas separadas)</text>
  </threadedComment>
  <threadedComment ref="F107" dT="2025-02-13T10:05:11.33" personId="{17D30B62-2123-41F1-B603-E5411FDFA3E0}" id="{D67C3E08-BBD5-49E8-AC13-522A5450D99E}">
    <text>Habitacion doble para trabajadores cant 1 Costo 60€/noche
Habitacion triple para trabajadores cant 3 Costo 75€/noche cada una
(camas separadas)</text>
  </threadedComment>
  <threadedComment ref="F108" dT="2025-02-13T10:05:11.33" personId="{17D30B62-2123-41F1-B603-E5411FDFA3E0}" id="{4AC25C6E-4D25-4386-A4AF-598866ACF4BB}">
    <text>Habitacion doble para trabajadores cant 1 Costo 60€/noche
Habitacion triple para trabajadores cant 3 Costo 75€/noche cada una
(camas separadas)</text>
  </threadedComment>
  <threadedComment ref="F111" dT="2025-02-13T10:05:11.33" personId="{17D30B62-2123-41F1-B603-E5411FDFA3E0}" id="{DAF028CA-9CB8-4C08-855F-86663EB0A1C4}">
    <text>Habitacion doble para trabajadores cant 1 Costo 60€/noche
Habitacion triple para trabajadores cant 3 Costo 75€/noche cada una
(camas separadas)</text>
  </threadedComment>
  <threadedComment ref="F112" dT="2025-02-13T10:05:11.33" personId="{17D30B62-2123-41F1-B603-E5411FDFA3E0}" id="{8BCC8FC0-082C-4F5E-80F3-9020C543521C}">
    <text>Habitacion doble para trabajadores cant 1 Costo 60€/noche
Habitacion triple para trabajadores cant 3 Costo 75€/noche cada una
(camas separadas)</text>
  </threadedComment>
  <threadedComment ref="F113" dT="2025-02-13T10:05:11.33" personId="{17D30B62-2123-41F1-B603-E5411FDFA3E0}" id="{8972F45B-301C-4174-B00D-4132DBE3689B}">
    <text>Habitacion doble para trabajadores cant 1 Costo 60€/noche
Habitacion triple para trabajadores cant 3 Costo 75€/noche cada una
(camas separadas)</text>
  </threadedComment>
  <threadedComment ref="F114" dT="2025-02-13T10:05:11.33" personId="{17D30B62-2123-41F1-B603-E5411FDFA3E0}" id="{8A8AD329-5B1F-4769-99F5-18703D3A83F1}">
    <text>Habitacion doble para trabajadores cant 1 Costo 60€/noche
Habitacion triple para trabajadores cant 3 Costo 75€/noche cada una
(camas separadas)</text>
  </threadedComment>
  <threadedComment ref="F116" dT="2025-02-13T10:05:11.33" personId="{17D30B62-2123-41F1-B603-E5411FDFA3E0}" id="{CACAE696-2AFA-435F-B995-572CAA544E93}">
    <text>Habitacion doble para trabajadores cant 1 Costo 60€/noche
Habitacion triple para trabajadores cant 3 Costo 75€/noche cada una
(camas separadas)</text>
  </threadedComment>
  <threadedComment ref="F117" dT="2025-02-13T10:05:11.33" personId="{17D30B62-2123-41F1-B603-E5411FDFA3E0}" id="{39851F9D-5F25-4126-903C-683B78A27BC2}">
    <text>Habitacion doble para trabajadores cant 1 Costo 60€/noche
Habitacion triple para trabajadores cant 3 Costo 75€/noche cada una
(camas separadas)</text>
  </threadedComment>
  <threadedComment ref="F118" dT="2025-02-13T10:05:11.33" personId="{17D30B62-2123-41F1-B603-E5411FDFA3E0}" id="{9EF5C770-7BF6-454D-A4B5-7B710C8FACD8}">
    <text>Habitacion doble para trabajadores cant 1 Costo 60€/noche
Habitacion triple para trabajadores cant 3 Costo 75€/noche cada una
(camas separadas)</text>
  </threadedComment>
  <threadedComment ref="F119" dT="2025-02-13T10:05:11.33" personId="{17D30B62-2123-41F1-B603-E5411FDFA3E0}" id="{317B44D9-21F1-4B7A-A31F-4168A41D92F9}">
    <text>Habitacion doble para trabajadores cant 1 Costo 60€/noche
Habitacion triple para trabajadores cant 3 Costo 75€/noche cada una
(camas separadas)</text>
  </threadedComment>
  <threadedComment ref="F120" dT="2025-02-13T10:05:11.33" personId="{17D30B62-2123-41F1-B603-E5411FDFA3E0}" id="{7C99367D-595A-4812-BEC9-6DD34678C7E3}">
    <text>Habitacion doble para trabajadores cant 1 Costo 60€/noche
Habitacion triple para trabajadores cant 3 Costo 75€/noche cada una
(camas separadas)</text>
  </threadedComment>
  <threadedComment ref="F121" dT="2025-02-13T10:05:11.33" personId="{17D30B62-2123-41F1-B603-E5411FDFA3E0}" id="{CA2E485D-C040-4C0C-8525-47B260BE237F}">
    <text>Habitacion doble para trabajadores cant 1 Costo 60€/noche
Habitacion triple para trabajadores cant 3 Costo 75€/noche cada una
(camas separadas)</text>
  </threadedComment>
  <threadedComment ref="F122" dT="2025-02-13T10:05:11.33" personId="{17D30B62-2123-41F1-B603-E5411FDFA3E0}" id="{EDB17F31-99A4-4100-98F7-DB4C9A6E295B}">
    <text>Habitacion doble para trabajadores cant 1 Costo 60€/noche
Habitacion triple para trabajadores cant 3 Costo 75€/noche cada una
(camas separadas)</text>
  </threadedComment>
  <threadedComment ref="F123" dT="2025-02-13T10:05:11.33" personId="{17D30B62-2123-41F1-B603-E5411FDFA3E0}" id="{0BD22C36-DD6B-47F2-933D-4AE4C1BC12DD}">
    <text>Habitacion doble para trabajadores cant 1 Costo 60€/noche
Habitacion triple para trabajadores cant 3 Costo 75€/noche cada una
(camas separadas)</text>
  </threadedComment>
  <threadedComment ref="F124" dT="2025-02-13T10:05:11.33" personId="{17D30B62-2123-41F1-B603-E5411FDFA3E0}" id="{C08CC9CA-E542-4DB2-AA09-8912A1764062}">
    <text>Habitacion doble para trabajadores cant 1 Costo 60€/noche
Habitacion triple para trabajadores cant 3 Costo 75€/noche cada una
(camas separadas)</text>
  </threadedComment>
  <threadedComment ref="F125" dT="2025-02-13T10:05:11.33" personId="{17D30B62-2123-41F1-B603-E5411FDFA3E0}" id="{E9380961-2DD4-4E90-AD29-54AD3C438F2E}">
    <text>Habitacion doble para trabajadores cant 1 Costo 60€/noche
Habitacion triple para trabajadores cant 3 Costo 75€/noche cada una
(camas separadas)</text>
  </threadedComment>
  <threadedComment ref="F126" dT="2024-07-29T06:45:39.42" personId="{8BEA8CB1-BB33-44FC-A791-4439DE945680}" id="{74B4CAF7-0B05-4260-8803-1B778113A7F6}">
    <text>Alquiler 1700, fianza 1700 6 CAMAS</text>
  </threadedComment>
  <threadedComment ref="F127" dT="2024-06-25T09:17:04.42" personId="{98986A2A-739A-4851-A979-4B0D560C46CD}" id="{830EFEE2-9E7C-4A9E-925D-EA110F2D1654}">
    <text>600 fianza</text>
  </threadedComment>
  <threadedComment ref="F128" dT="2025-02-13T10:05:11.33" personId="{17D30B62-2123-41F1-B603-E5411FDFA3E0}" id="{D2D0F2A2-422A-43E4-B9E3-782675927042}">
    <text>Habitacion doble para trabajadores cant 1 Costo 60€/noche
Habitacion triple para trabajadores cant 3 Costo 75€/noche cada una
(camas separadas)</text>
  </threadedComment>
  <threadedComment ref="F129" dT="2025-02-13T10:05:11.33" personId="{17D30B62-2123-41F1-B603-E5411FDFA3E0}" id="{5DF9768A-0616-440E-8200-0991908D9598}">
    <text>Habitacion doble para trabajadores cant 1 Costo 60€/noche
Habitacion triple para trabajadores cant 3 Costo 75€/noche cada una
(camas separadas)</text>
  </threadedComment>
  <threadedComment ref="F130" dT="2025-02-13T10:05:11.33" personId="{17D30B62-2123-41F1-B603-E5411FDFA3E0}" id="{D8973CC6-EA74-43B8-A39D-94221053008B}">
    <text>Habitacion doble para trabajadores cant 1 Costo 60€/noche
Habitacion triple para trabajadores cant 3 Costo 75€/noche cada una
(camas separadas)</text>
  </threadedComment>
  <threadedComment ref="F131" dT="2024-07-02T10:24:37.73" personId="{98986A2A-739A-4851-A979-4B0D560C46CD}" id="{D48D3760-B3AB-4FA5-889D-AB7670E9377A}">
    <text>alquiler 750 y fianza 750</text>
  </threadedComment>
  <threadedComment ref="F132" dT="2025-02-13T10:05:11.33" personId="{17D30B62-2123-41F1-B603-E5411FDFA3E0}" id="{60042998-BE3C-4A81-898A-E42B554C2A79}">
    <text>Habitacion doble para trabajadores cant 1 Costo 60€/noche
Habitacion triple para trabajadores cant 3 Costo 75€/noche cada una
(camas separadas)</text>
  </threadedComment>
  <threadedComment ref="F133" dT="2025-02-13T10:05:11.33" personId="{17D30B62-2123-41F1-B603-E5411FDFA3E0}" id="{FBA65103-DE1C-4529-85F5-05A7DA57BF84}">
    <text>Habitacion doble para trabajadores cant 1 Costo 60€/noche
Habitacion triple para trabajadores cant 3 Costo 75€/noche cada una
(camas separadas)</text>
  </threadedComment>
  <threadedComment ref="F134" dT="2025-02-13T10:05:11.33" personId="{17D30B62-2123-41F1-B603-E5411FDFA3E0}" id="{DA8567A9-749E-4C76-8E8E-B3C4A1EAD7E7}">
    <text>Habitacion doble para trabajadores cant 1 Costo 60€/noche
Habitacion triple para trabajadores cant 3 Costo 75€/noche cada una
(camas separadas)</text>
  </threadedComment>
  <threadedComment ref="F135" dT="2025-02-13T10:05:11.33" personId="{17D30B62-2123-41F1-B603-E5411FDFA3E0}" id="{77FC99CE-24C9-4064-A5A3-5FCFE27F6B21}">
    <text>Habitacion doble para trabajadores cant 1 Costo 60€/noche
Habitacion triple para trabajadores cant 3 Costo 75€/noche cada una
(camas separadas)</text>
  </threadedComment>
  <threadedComment ref="F136" dT="2025-02-26T14:29:45.42" personId="{17D30B62-2123-41F1-B603-E5411FDFA3E0}" id="{7DC95EFD-3A6D-4E60-9275-6DF71531FC8A}">
    <text>9 Camas, Alquiler 2300€, Fianza 700€</text>
  </threadedComment>
  <threadedComment ref="F136" dT="2026-01-21T15:11:00.84" personId="{4D8483EF-5A39-4E7B-A473-929EF5A077E1}" id="{04CF6F64-AE3D-4BE8-BD2F-79309A714732}" parentId="{7DC95EFD-3A6D-4E60-9275-6DF71531FC8A}">
    <text xml:space="preserve">Descuento a 2000€ </text>
  </threadedComment>
  <threadedComment ref="F137" dT="2025-02-13T10:05:11.33" personId="{17D30B62-2123-41F1-B603-E5411FDFA3E0}" id="{6D3B61BB-E162-479F-95D1-6E3A09307D36}">
    <text>Habitacion doble para trabajadores cant 1 Costo 60€/noche
Habitacion triple para trabajadores cant 3 Costo 75€/noche cada una
(camas separadas)</text>
  </threadedComment>
  <threadedComment ref="W137" dT="2024-06-05T15:46:46.44" personId="{98986A2A-739A-4851-A979-4B0D560C46CD}" id="{08051B7F-1A4E-4C33-BFA0-4AC3D470ED06}">
    <text>Pasa a la fianza Xemir</text>
  </threadedComment>
  <threadedComment ref="F138" dT="2025-04-30T11:00:49.95" personId="{17D30B62-2123-41F1-B603-E5411FDFA3E0}" id="{EC14F1FE-BB73-4D60-8BDE-3C5884D9BA28}">
    <text xml:space="preserve">Alquiler 850€ Fianza 850€ 7 camas </text>
  </threadedComment>
  <threadedComment ref="F139" dT="2025-02-13T10:05:11.33" personId="{17D30B62-2123-41F1-B603-E5411FDFA3E0}" id="{97158D1D-9709-4164-8D9D-44AC6892A12B}">
    <text>Habitacion doble para trabajadores cant 1 Costo 60€/noche
Habitacion triple para trabajadores cant 3 Costo 75€/noche cada una
(camas separadas)</text>
  </threadedComment>
  <threadedComment ref="F140" dT="2025-02-13T10:05:11.33" personId="{17D30B62-2123-41F1-B603-E5411FDFA3E0}" id="{C0E56789-2AE8-4FB6-B7B6-FC4A0EAD539F}">
    <text>Habitacion doble para trabajadores cant 1 Costo 60€/noche
Habitacion triple para trabajadores cant 3 Costo 75€/noche cada una
(camas separadas)</text>
  </threadedComment>
  <threadedComment ref="F141" dT="2025-02-13T10:05:11.33" personId="{17D30B62-2123-41F1-B603-E5411FDFA3E0}" id="{90627AE5-E4BF-4262-A3F8-30CF495E0E11}">
    <text>Habitacion doble para trabajadores cant 1 Costo 60€/noche
Habitacion triple para trabajadores cant 3 Costo 75€/noche cada una
(camas separadas)</text>
  </threadedComment>
  <threadedComment ref="F142" dT="2025-02-13T10:05:11.33" personId="{17D30B62-2123-41F1-B603-E5411FDFA3E0}" id="{0089535B-6324-42A7-A2C1-222962841112}">
    <text>Habitacion doble para trabajadores cant 1 Costo 60€/noche
Habitacion triple para trabajadores cant 3 Costo 75€/noche cada una
(camas separadas)</text>
  </threadedComment>
  <threadedComment ref="F144" dT="2025-02-13T10:05:11.33" personId="{17D30B62-2123-41F1-B603-E5411FDFA3E0}" id="{FFC06A81-BDD2-400C-98D2-95472ABF4FD0}">
    <text>Habitacion doble para trabajadores cant 1 Costo 60€/noche
Habitacion triple para trabajadores cant 3 Costo 75€/noche cada una
(camas separadas)</text>
  </threadedComment>
  <threadedComment ref="F146" dT="2025-02-13T10:05:11.33" personId="{17D30B62-2123-41F1-B603-E5411FDFA3E0}" id="{0B2719C7-628A-4120-9F93-8C5F4424185C}">
    <text>Habitacion doble para trabajadores cant 1 Costo 60€/noche
Habitacion triple para trabajadores cant 3 Costo 75€/noche cada una
(camas separadas)</text>
  </threadedComment>
  <threadedComment ref="F147" dT="2025-02-13T10:05:11.33" personId="{17D30B62-2123-41F1-B603-E5411FDFA3E0}" id="{C1F2EDFA-91E0-41C5-A24D-5F65291D111A}">
    <text>Habitacion doble para trabajadores cant 1 Costo 60€/noche
Habitacion triple para trabajadores cant 3 Costo 75€/noche cada una
(camas separadas)</text>
  </threadedComment>
  <threadedComment ref="F148" dT="2025-02-13T10:05:11.33" personId="{17D30B62-2123-41F1-B603-E5411FDFA3E0}" id="{379C4606-3677-44EA-B4B8-F0A557816386}">
    <text>Habitacion doble para trabajadores cant 1 Costo 60€/noche
Habitacion triple para trabajadores cant 3 Costo 75€/noche cada una
(camas separadas)</text>
  </threadedComment>
  <threadedComment ref="F149" dT="2025-02-13T10:05:11.33" personId="{17D30B62-2123-41F1-B603-E5411FDFA3E0}" id="{D6451537-88A1-4F68-B6DE-73C58523B338}">
    <text>Habitacion doble para trabajadores cant 1 Costo 60€/noche
Habitacion triple para trabajadores cant 3 Costo 75€/noche cada una
(camas separadas)</text>
  </threadedComment>
  <threadedComment ref="F150" dT="2025-02-13T10:05:11.33" personId="{17D30B62-2123-41F1-B603-E5411FDFA3E0}" id="{F0668ABC-12B1-41A8-AE7A-8C1CE066AB5F}">
    <text>Habitacion doble para trabajadores cant 1 Costo 60€/noche
Habitacion triple para trabajadores cant 3 Costo 75€/noche cada una
(camas separadas)</text>
  </threadedComment>
  <threadedComment ref="F151" dT="2025-02-13T10:05:11.33" personId="{17D30B62-2123-41F1-B603-E5411FDFA3E0}" id="{67248E16-486B-4101-AC26-1150208B5DA5}">
    <text>Habitacion doble para trabajadores cant 1 Costo 60€/noche
Habitacion triple para trabajadores cant 3 Costo 75€/noche cada una
(camas separadas)</text>
  </threadedComment>
  <threadedComment ref="F152" dT="2025-02-13T10:05:11.33" personId="{17D30B62-2123-41F1-B603-E5411FDFA3E0}" id="{46CEAF48-0279-4704-94BF-48B0964698AD}">
    <text>Habitacion doble para trabajadores cant 1 Costo 60€/noche
Habitacion triple para trabajadores cant 3 Costo 75€/noche cada una
(camas separadas)</text>
  </threadedComment>
  <threadedComment ref="F153" dT="2025-02-13T10:05:11.33" personId="{17D30B62-2123-41F1-B603-E5411FDFA3E0}" id="{901BDA18-E303-4848-8400-3D15A3EBB331}">
    <text>Habitacion doble para trabajadores cant 1 Costo 60€/noche
Habitacion triple para trabajadores cant 3 Costo 75€/noche cada una
(camas separadas)</text>
  </threadedComment>
  <threadedComment ref="F154" dT="2025-02-13T10:05:11.33" personId="{17D30B62-2123-41F1-B603-E5411FDFA3E0}" id="{7D5BAD56-2653-4FB3-8903-469DA46ABD31}">
    <text>Habitacion doble para trabajadores cant 1 Costo 60€/noche
Habitacion triple para trabajadores cant 3 Costo 75€/noche cada una
(camas separadas)</text>
  </threadedComment>
  <threadedComment ref="F155" dT="2025-02-13T10:05:11.33" personId="{17D30B62-2123-41F1-B603-E5411FDFA3E0}" id="{4A530C53-643F-4838-B335-C2C052713851}">
    <text>Habitacion doble para trabajadores cant 1 Costo 60€/noche
Habitacion triple para trabajadores cant 3 Costo 75€/noche cada una
(camas separadas)</text>
  </threadedComment>
  <threadedComment ref="F156" dT="2025-02-13T10:05:11.33" personId="{17D30B62-2123-41F1-B603-E5411FDFA3E0}" id="{DF609116-EF27-46ED-A25F-B6C7075B8622}">
    <text>Habitacion doble para trabajadores cant 1 Costo 60€/noche
Habitacion triple para trabajadores cant 3 Costo 75€/noche cada una
(camas separadas)</text>
  </threadedComment>
  <threadedComment ref="F157" dT="2025-02-13T10:05:11.33" personId="{17D30B62-2123-41F1-B603-E5411FDFA3E0}" id="{F42CC4C5-53B5-45F2-AA39-CE967F5D427D}">
    <text>Habitacion doble para trabajadores cant 1 Costo 60€/noche
Habitacion triple para trabajadores cant 3 Costo 75€/noche cada una
(camas separadas)</text>
  </threadedComment>
  <threadedComment ref="F158" dT="2024-08-06T14:12:58.54" personId="{8BEA8CB1-BB33-44FC-A791-4439DE945680}" id="{0983C346-629E-4C52-BA55-D38DD03852F5}">
    <text>Alquiler 1700, fianza 1700 6 CAMAS</text>
  </threadedComment>
  <threadedComment ref="F159" dT="2025-02-13T10:05:11.33" personId="{17D30B62-2123-41F1-B603-E5411FDFA3E0}" id="{546F35E5-DE32-46D5-9B12-920DD190A656}">
    <text>Habitacion doble para trabajadores cant 1 Costo 60€/noche
Habitacion triple para trabajadores cant 3 Costo 75€/noche cada una
(camas separadas)</text>
  </threadedComment>
  <threadedComment ref="F160" dT="2025-02-13T10:05:11.33" personId="{17D30B62-2123-41F1-B603-E5411FDFA3E0}" id="{A29F71EC-CEF4-40DE-ABAD-70A1DD8AB65C}">
    <text>Habitacion doble para trabajadores cant 1 Costo 60€/noche
Habitacion triple para trabajadores cant 3 Costo 75€/noche cada una
(camas separadas)</text>
  </threadedComment>
  <threadedComment ref="F161" dT="2025-02-13T10:05:11.33" personId="{17D30B62-2123-41F1-B603-E5411FDFA3E0}" id="{BB80DE94-9896-4771-9B45-E4501F0740E3}">
    <text>Habitacion doble para trabajadores cant 1 Costo 60€/noche
Habitacion triple para trabajadores cant 3 Costo 75€/noche cada una
(camas separadas)</text>
  </threadedComment>
  <threadedComment ref="F162" dT="2025-02-13T10:05:11.33" personId="{17D30B62-2123-41F1-B603-E5411FDFA3E0}" id="{5D03208E-F443-46DE-88F8-E0AED5BCDF12}">
    <text>Habitacion doble para trabajadores cant 1 Costo 60€/noche
Habitacion triple para trabajadores cant 3 Costo 75€/noche cada una
(camas separadas)</text>
  </threadedComment>
  <threadedComment ref="F163" dT="2024-05-17T06:49:04.22" personId="{98986A2A-739A-4851-A979-4B0D560C46CD}" id="{513679D4-DDD5-469A-9EC7-DF7E14ADDAF4}">
    <text>Renta 560+30(servicios)
Fianza 1120
Habitaciones 5</text>
  </threadedComment>
  <threadedComment ref="F164" dT="2024-05-17T06:49:04.22" personId="{98986A2A-739A-4851-A979-4B0D560C46CD}" id="{AACF5481-1D0A-4578-A850-55F1735C8090}">
    <text>Renta 560+30(servicios)
Fianza 1120
Habitaciones 5</text>
  </threadedComment>
  <threadedComment ref="F165" dT="2025-02-13T10:05:11.33" personId="{17D30B62-2123-41F1-B603-E5411FDFA3E0}" id="{F013F115-C1CE-4E1F-9821-E45ED59844FE}">
    <text>Habitacion doble para trabajadores cant 1 Costo 60€/noche
Habitacion triple para trabajadores cant 3 Costo 75€/noche cada una
(camas separadas)</text>
  </threadedComment>
  <threadedComment ref="F167" dT="2025-02-13T10:05:11.33" personId="{17D30B62-2123-41F1-B603-E5411FDFA3E0}" id="{B5BF8354-67F5-434B-B5E7-679D29C121FD}">
    <text>Habitacion doble para trabajadores cant 1 Costo 60€/noche
Habitacion triple para trabajadores cant 3 Costo 75€/noche cada una
(camas separadas)</text>
  </threadedComment>
  <threadedComment ref="F168" dT="2025-02-13T10:05:11.33" personId="{17D30B62-2123-41F1-B603-E5411FDFA3E0}" id="{A9090B84-2B89-4293-8989-126F3D970DDC}">
    <text>Habitacion doble para trabajadores cant 1 Costo 60€/noche
Habitacion triple para trabajadores cant 3 Costo 75€/noche cada una
(camas separadas)</text>
  </threadedComment>
  <threadedComment ref="X168" dT="2024-07-30T06:54:16.46" personId="{8BEA8CB1-BB33-44FC-A791-4439DE945680}" id="{CAD2C68A-4113-4713-8981-06569DAFEE2D}">
    <text xml:space="preserve">Se pago mes de agosto y proporcional de Julio 
</text>
  </threadedComment>
  <threadedComment ref="F169" dT="2025-02-13T10:05:11.33" personId="{17D30B62-2123-41F1-B603-E5411FDFA3E0}" id="{67F01555-AC15-479F-BA28-D22427FC219E}">
    <text>Habitacion doble para trabajadores cant 1 Costo 60€/noche
Habitacion triple para trabajadores cant 3 Costo 75€/noche cada una
(camas separadas)</text>
  </threadedComment>
  <threadedComment ref="F172" dT="2025-02-13T10:05:11.33" personId="{17D30B62-2123-41F1-B603-E5411FDFA3E0}" id="{D23460DA-F9A9-4692-9F55-008C5B59C30E}">
    <text>Habitacion doble para trabajadores cant 1 Costo 60€/noche
Habitacion triple para trabajadores cant 3 Costo 75€/noche cada una
(camas separadas)</text>
  </threadedComment>
  <threadedComment ref="F173" dT="2025-02-13T10:05:11.33" personId="{17D30B62-2123-41F1-B603-E5411FDFA3E0}" id="{4F350BE6-D33E-400C-9B0A-7302244EACF7}">
    <text>Habitacion doble para trabajadores cant 1 Costo 60€/noche
Habitacion triple para trabajadores cant 3 Costo 75€/noche cada una
(camas separadas)</text>
  </threadedComment>
  <threadedComment ref="F175" dT="2025-02-13T10:05:11.33" personId="{17D30B62-2123-41F1-B603-E5411FDFA3E0}" id="{00A99DDD-8FA4-43C2-B634-D868B36C6A80}">
    <text>Habitacion doble para trabajadores cant 1 Costo 60€/noche
Habitacion triple para trabajadores cant 3 Costo 75€/noche cada una
(camas separadas)</text>
  </threadedComment>
  <threadedComment ref="F176" dT="2025-02-13T10:05:11.33" personId="{17D30B62-2123-41F1-B603-E5411FDFA3E0}" id="{B800C4B0-5536-483B-91FB-1C59F64EF4EA}">
    <text>Habitacion doble para trabajadores cant 1 Costo 60€/noche
Habitacion triple para trabajadores cant 3 Costo 75€/noche cada una
(camas separadas)</text>
  </threadedComment>
  <threadedComment ref="F177" dT="2025-02-13T10:05:11.33" personId="{17D30B62-2123-41F1-B603-E5411FDFA3E0}" id="{E79516B7-51F1-445A-A209-185F1F342F95}">
    <text>Habitacion doble para trabajadores cant 1 Costo 60€/noche
Habitacion triple para trabajadores cant 3 Costo 75€/noche cada una
(camas separadas)</text>
  </threadedComment>
  <threadedComment ref="F178" dT="2025-02-13T10:05:11.33" personId="{17D30B62-2123-41F1-B603-E5411FDFA3E0}" id="{5F16DF56-6ABE-4100-83AF-457DCC654A44}">
    <text>Habitacion doble para trabajadores cant 1 Costo 60€/noche
Habitacion triple para trabajadores cant 3 Costo 75€/noche cada una
(camas separadas)</text>
  </threadedComment>
  <threadedComment ref="F179" dT="2025-02-13T10:05:11.33" personId="{17D30B62-2123-41F1-B603-E5411FDFA3E0}" id="{9070EEC6-67A0-4398-96E3-11D849EAAFA4}">
    <text>Habitacion doble para trabajadores cant 1 Costo 60€/noche
Habitacion triple para trabajadores cant 3 Costo 75€/noche cada una
(camas separadas)</text>
  </threadedComment>
  <threadedComment ref="F180" dT="2025-02-13T10:05:11.33" personId="{17D30B62-2123-41F1-B603-E5411FDFA3E0}" id="{B54517FC-F011-4606-867A-859E2040AC3B}">
    <text>Habitacion doble para trabajadores cant 1 Costo 60€/noche
Habitacion triple para trabajadores cant 3 Costo 75€/noche cada una
(camas separadas)</text>
  </threadedComment>
  <threadedComment ref="F181" dT="2025-02-13T10:05:11.33" personId="{17D30B62-2123-41F1-B603-E5411FDFA3E0}" id="{B14DBA13-BD7E-4B43-8DDD-94AED9ADA923}">
    <text>Habitacion doble para trabajadores cant 1 Costo 60€/noche
Habitacion triple para trabajadores cant 3 Costo 75€/noche cada una
(camas separadas)</text>
  </threadedComment>
  <threadedComment ref="F182" dT="2025-02-13T10:05:11.33" personId="{17D30B62-2123-41F1-B603-E5411FDFA3E0}" id="{43F7672F-7A0F-4BBC-9D2A-F507D1C99615}">
    <text>Habitacion doble para trabajadores cant 1 Costo 60€/noche
Habitacion triple para trabajadores cant 3 Costo 75€/noche cada una
(camas separadas)</text>
  </threadedComment>
  <threadedComment ref="F183" dT="2025-02-13T10:05:11.33" personId="{17D30B62-2123-41F1-B603-E5411FDFA3E0}" id="{D2D4762A-A894-4F6A-A3B8-92AF2FAA92CC}">
    <text>Habitacion doble para trabajadores cant 1 Costo 60€/noche
Habitacion triple para trabajadores cant 3 Costo 75€/noche cada una
(camas separadas)</text>
  </threadedComment>
  <threadedComment ref="F184" dT="2025-02-13T10:05:11.33" personId="{17D30B62-2123-41F1-B603-E5411FDFA3E0}" id="{27F308D6-889A-45F9-B54B-7F578710E840}">
    <text>Habitacion doble para trabajadores cant 1 Costo 60€/noche
Habitacion triple para trabajadores cant 3 Costo 75€/noche cada una
(camas separadas)</text>
  </threadedComment>
  <threadedComment ref="F185" dT="2025-02-26T08:37:26.53" personId="{98986A2A-739A-4851-A979-4B0D560C46CD}" id="{343EE29C-836F-4E03-90A3-55A381D1F0E4}">
    <text>04 camas, 400 € alquiler</text>
  </threadedComment>
  <threadedComment ref="F186" dT="2025-02-13T10:05:11.33" personId="{17D30B62-2123-41F1-B603-E5411FDFA3E0}" id="{2217564A-00A8-477B-B537-EC4BF24D8D16}">
    <text>Habitacion doble para trabajadores cant 1 Costo 60€/noche
Habitacion triple para trabajadores cant 3 Costo 75€/noche cada una
(camas separadas)</text>
  </threadedComment>
  <threadedComment ref="F187" dT="2025-02-13T10:05:11.33" personId="{17D30B62-2123-41F1-B603-E5411FDFA3E0}" id="{222271DE-4E0A-45FB-A4EA-153B6C95C3B5}">
    <text>Habitacion doble para trabajadores cant 1 Costo 60€/noche
Habitacion triple para trabajadores cant 3 Costo 75€/noche cada una
(camas separadas)</text>
  </threadedComment>
  <threadedComment ref="F188" dT="2025-02-26T14:29:45.42" personId="{17D30B62-2123-41F1-B603-E5411FDFA3E0}" id="{420616C3-65EB-4122-B400-ED6B89677212}">
    <text>9 Camas, Alquiler 2300€, Fianza 700€</text>
  </threadedComment>
  <threadedComment ref="F188" dT="2026-01-21T15:11:00.84" personId="{4D8483EF-5A39-4E7B-A473-929EF5A077E1}" id="{9CB07C71-1F54-404A-95A0-8EF11C3A64E1}" parentId="{420616C3-65EB-4122-B400-ED6B89677212}">
    <text xml:space="preserve">Descuento a 2000€ </text>
  </threadedComment>
  <threadedComment ref="F189" dT="2025-02-13T10:05:11.33" personId="{17D30B62-2123-41F1-B603-E5411FDFA3E0}" id="{9DC36D54-3A5B-4E9A-B6F7-D80FCC856C6E}">
    <text>Habitacion doble para trabajadores cant 1 Costo 60€/noche
Habitacion triple para trabajadores cant 3 Costo 75€/noche cada una
(camas separadas)</text>
  </threadedComment>
  <threadedComment ref="F190" dT="2025-02-13T10:05:11.33" personId="{17D30B62-2123-41F1-B603-E5411FDFA3E0}" id="{0006355D-C724-4A1D-A1E4-ACEA1AE54C18}">
    <text>Habitacion doble para trabajadores cant 1 Costo 60€/noche
Habitacion triple para trabajadores cant 3 Costo 75€/noche cada una
(camas separadas)</text>
  </threadedComment>
  <threadedComment ref="F191" dT="2025-02-13T10:05:11.33" personId="{17D30B62-2123-41F1-B603-E5411FDFA3E0}" id="{F92C3032-8FBE-40DB-9078-871D6E97BE3D}">
    <text>Habitacion doble para trabajadores cant 1 Costo 60€/noche
Habitacion triple para trabajadores cant 3 Costo 75€/noche cada una
(camas separadas)</text>
  </threadedComment>
  <threadedComment ref="F192" dT="2025-02-13T10:05:11.33" personId="{17D30B62-2123-41F1-B603-E5411FDFA3E0}" id="{DC8B1B76-B9AE-4FF4-B867-F8E9A76DC91A}">
    <text>Habitacion doble para trabajadores cant 1 Costo 60€/noche
Habitacion triple para trabajadores cant 3 Costo 75€/noche cada una
(camas separadas)</text>
  </threadedComment>
  <threadedComment ref="F193" dT="2025-02-13T10:05:11.33" personId="{17D30B62-2123-41F1-B603-E5411FDFA3E0}" id="{29FAC6A8-B27E-424D-89E8-8771EADD135E}">
    <text>Habitacion doble para trabajadores cant 1 Costo 60€/noche
Habitacion triple para trabajadores cant 3 Costo 75€/noche cada una
(camas separadas)</text>
  </threadedComment>
  <threadedComment ref="F194" dT="2024-07-08T10:27:26.85" personId="{98986A2A-739A-4851-A979-4B0D560C46CD}" id="{726F213C-D4B1-49E2-9DB8-9E53D5BCAD4D}">
    <text>ALQUILER 2200, FIANZA 650</text>
  </threadedComment>
  <threadedComment ref="F197" dT="2024-07-08T10:27:26.85" personId="{98986A2A-739A-4851-A979-4B0D560C46CD}" id="{EEF27CF0-BB49-421C-9276-28D5DCFFA848}">
    <text>ALQUILER 2200, FIANZA 650</text>
  </threadedComment>
  <threadedComment ref="F198" dT="2024-08-08T15:05:50.75" personId="{8BEA8CB1-BB33-44FC-A791-4439DE945680}" id="{FA821347-4DE6-4028-8D82-613733C6747B}">
    <text>Alquiler 1380 Fianza 2760 Camas 5</text>
  </threadedComment>
  <threadedComment ref="F199" dT="2025-02-13T10:05:11.33" personId="{17D30B62-2123-41F1-B603-E5411FDFA3E0}" id="{1FC389CB-FEF3-4577-BE19-5A0E57BD562A}">
    <text>Habitacion doble para trabajadores cant 1 Costo 60€/noche
Habitacion triple para trabajadores cant 3 Costo 75€/noche cada una
(camas separadas)</text>
  </threadedComment>
  <threadedComment ref="I199" dT="2024-08-23T08:23:47.85" personId="{98986A2A-739A-4851-A979-4B0D560C46CD}" id="{3F13D53B-CDD6-45BE-BC2F-D667E3DC745F}">
    <text xml:space="preserve">B.S.A.TUBERIA, S.L </text>
  </threadedComment>
  <threadedComment ref="F200" dT="2025-02-13T10:05:11.33" personId="{17D30B62-2123-41F1-B603-E5411FDFA3E0}" id="{DE9EF3E0-989B-422F-9A14-BF1D327102D3}">
    <text>Habitacion doble para trabajadores cant 1 Costo 60€/noche
Habitacion triple para trabajadores cant 3 Costo 75€/noche cada una
(camas separadas)</text>
  </threadedComment>
  <threadedComment ref="F201" dT="2025-02-13T10:05:11.33" personId="{17D30B62-2123-41F1-B603-E5411FDFA3E0}" id="{FC69B1C3-700C-4738-B207-99EF8CD423AE}">
    <text>Habitacion doble para trabajadores cant 1 Costo 60€/noche
Habitacion triple para trabajadores cant 3 Costo 75€/noche cada una
(camas separadas)</text>
  </threadedComment>
  <threadedComment ref="F202" dT="2025-03-18T09:49:27.52" personId="{98986A2A-739A-4851-A979-4B0D560C46CD}" id="{3458D565-CB19-4187-B52C-77A00ABA3E1F}">
    <text>04 camas, 400€ alquiler, 400€ fianza</text>
  </threadedComment>
  <threadedComment ref="F203" dT="2025-02-13T10:05:11.33" personId="{17D30B62-2123-41F1-B603-E5411FDFA3E0}" id="{12812226-F706-49D9-AE1D-BF8A16ED67AF}">
    <text>Habitacion doble para trabajadores cant 1 Costo 60€/noche
Habitacion triple para trabajadores cant 3 Costo 75€/noche cada una
(camas separadas)</text>
  </threadedComment>
  <threadedComment ref="F204" dT="2024-09-02T14:58:03.65" personId="{98986A2A-739A-4851-A979-4B0D560C46CD}" id="{48EA3194-71B3-475D-A1B9-F3D3BA2ACBC3}">
    <text>1000 alquiler, 02 habitaciones, 250 fianza</text>
  </threadedComment>
  <threadedComment ref="F206" dT="2025-02-13T10:05:11.33" personId="{17D30B62-2123-41F1-B603-E5411FDFA3E0}" id="{9C595196-7252-45F0-8313-99DCDFDED234}">
    <text>Habitacion doble para trabajadores cant 1 Costo 60€/noche
Habitacion triple para trabajadores cant 3 Costo 75€/noche cada una
(camas separadas)</text>
  </threadedComment>
  <threadedComment ref="F207" dT="2025-02-13T10:05:11.33" personId="{17D30B62-2123-41F1-B603-E5411FDFA3E0}" id="{59042408-0FA9-4F47-A29A-433A9F3A5B8A}">
    <text>Habitacion doble para trabajadores cant 1 Costo 60€/noche
Habitacion triple para trabajadores cant 3 Costo 75€/noche cada una
(camas separadas)</text>
  </threadedComment>
  <threadedComment ref="F208" dT="2025-05-05T11:29:54.02" personId="{98986A2A-739A-4851-A979-4B0D560C46CD}" id="{8D369ABC-A7D3-489E-8370-F967BD79680F}">
    <text>Alquiler 260€ cada habitacion, 400€fianza</text>
  </threadedComment>
  <threadedComment ref="F208" dT="2025-09-24T10:00:00.90" personId="{E3C446A3-37B8-466B-82DA-8F7BAC7681F7}" id="{622EA15F-351A-4093-92F3-5591D2ABD35E}" parentId="{8D369ABC-A7D3-489E-8370-F967BD79680F}">
    <text xml:space="preserve">+2 HABITACIONES (29-09-25) Total piso 1800€ </text>
  </threadedComment>
  <threadedComment ref="F208" dT="2025-12-04T12:55:31.07" personId="{4D8483EF-5A39-4E7B-A473-929EF5A077E1}" id="{46A95B45-DEC7-4F20-B746-B7C53FEFDA9E}" parentId="{8D369ABC-A7D3-489E-8370-F967BD79680F}">
    <text>Alquiler por habitación 260€</text>
  </threadedComment>
  <threadedComment ref="F209" dT="2025-02-26T14:29:45.42" personId="{17D30B62-2123-41F1-B603-E5411FDFA3E0}" id="{235CF7E0-FCD5-4B0F-8094-43738792A2A9}">
    <text>9 Camas, Alquiler 2300€, Fianza 700€</text>
  </threadedComment>
  <threadedComment ref="F209" dT="2026-01-21T15:11:00.84" personId="{4D8483EF-5A39-4E7B-A473-929EF5A077E1}" id="{1062E3CB-3487-47CE-AE51-EE10627983C0}" parentId="{235CF7E0-FCD5-4B0F-8094-43738792A2A9}">
    <text xml:space="preserve">Descuento a 2000€ </text>
  </threadedComment>
  <threadedComment ref="F210" dT="2025-02-13T10:05:11.33" personId="{17D30B62-2123-41F1-B603-E5411FDFA3E0}" id="{7C9CCEE5-A242-4F6F-9835-46683D18BE69}">
    <text>Habitacion doble para trabajadores cant 1 Costo 60€/noche
Habitacion triple para trabajadores cant 3 Costo 75€/noche cada una
(camas separadas)</text>
  </threadedComment>
  <threadedComment ref="F211" dT="2025-02-13T10:05:11.33" personId="{17D30B62-2123-41F1-B603-E5411FDFA3E0}" id="{1419D41A-CC88-4DDB-A016-775AE1B2E575}">
    <text>Habitacion doble para trabajadores cant 1 Costo 60€/noche
Habitacion triple para trabajadores cant 3 Costo 75€/noche cada una
(camas separadas)</text>
  </threadedComment>
  <threadedComment ref="F214" dT="2025-02-13T10:05:11.33" personId="{17D30B62-2123-41F1-B603-E5411FDFA3E0}" id="{C05FF7C1-672F-4674-88A9-1F0BD4655C8A}">
    <text>Habitacion doble para trabajadores cant 1 Costo 60€/noche
Habitacion triple para trabajadores cant 3 Costo 75€/noche cada una
(camas separadas)</text>
  </threadedComment>
  <threadedComment ref="F215" dT="2025-02-13T10:05:11.33" personId="{17D30B62-2123-41F1-B603-E5411FDFA3E0}" id="{EBF18885-48CC-4E4F-8E74-B1D3FC6BF257}">
    <text>4 Habitaciones 5 camas 1 sofá</text>
  </threadedComment>
  <threadedComment ref="F215" dT="2025-11-07T07:08:43.68" personId="{98986A2A-739A-4851-A979-4B0D560C46CD}" id="{4CAA83E3-9B4A-4B5F-ADC8-A1CB3D60E4AD}" parentId="{EBF18885-48CC-4E4F-8E74-B1D3FC6BF257}">
    <text>875,50 alquiler</text>
  </threadedComment>
  <threadedComment ref="F215" dT="2026-08-19T09:16:29.54" personId="{E3C446A3-37B8-466B-82DA-8F7BAC7681F7}" id="{177307E8-ED9A-45D4-819E-A6DAE9ED96E1}" parentId="{EBF18885-48CC-4E4F-8E74-B1D3FC6BF257}">
    <text>FIANZA 1700€</text>
  </threadedComment>
  <threadedComment ref="F216" dT="2025-02-24T10:19:28.57" personId="{98986A2A-739A-4851-A979-4B0D560C46CD}" id="{3826FBFB-75A7-4354-9B06-F0E0EE721415}">
    <text>06 camas</text>
  </threadedComment>
  <threadedComment ref="F217" dT="2025-02-13T10:05:11.33" personId="{17D30B62-2123-41F1-B603-E5411FDFA3E0}" id="{ACFE436E-58B3-4D48-B668-40076D389BD0}">
    <text>Habitacion doble para trabajadores cant 1 Costo 60€/noche
Habitacion triple para trabajadores cant 3 Costo 75€/noche cada una
(camas separadas)</text>
  </threadedComment>
  <threadedComment ref="F218" dT="2025-02-24T10:19:28.57" personId="{98986A2A-739A-4851-A979-4B0D560C46CD}" id="{8AB01522-74DD-480E-A6FC-FB0310F62225}">
    <text>06 camas</text>
  </threadedComment>
  <threadedComment ref="F219" dT="2025-02-13T10:05:11.33" personId="{17D30B62-2123-41F1-B603-E5411FDFA3E0}" id="{26431174-0B9B-417A-A760-B5C39F123B5B}">
    <text>Habitacion doble para trabajadores cant 1 Costo 60€/noche
Habitacion triple para trabajadores cant 3 Costo 75€/noche cada una
(camas separadas)</text>
  </threadedComment>
  <threadedComment ref="F220" dT="2025-02-13T10:05:11.33" personId="{17D30B62-2123-41F1-B603-E5411FDFA3E0}" id="{BE8B61AC-7D9D-4C43-9B39-9A4FB5DE8AB2}">
    <text>Habitacion doble para trabajadores cant 1 Costo 60€/noche
Habitacion triple para trabajadores cant 3 Costo 75€/noche cada una
(camas separadas)</text>
  </threadedComment>
  <threadedComment ref="F221" dT="2025-02-13T10:05:11.33" personId="{17D30B62-2123-41F1-B603-E5411FDFA3E0}" id="{A5293838-3ABF-4BA1-914F-AA8619F516E4}">
    <text>Habitacion doble para trabajadores cant 1 Costo 60€/noche
Habitacion triple para trabajadores cant 3 Costo 75€/noche cada una
(camas separadas)</text>
  </threadedComment>
  <threadedComment ref="F222" dT="2025-02-13T10:05:11.33" personId="{17D30B62-2123-41F1-B603-E5411FDFA3E0}" id="{0DCB957B-6A96-48E2-81C6-6829F192E96D}">
    <text>Habitacion doble para trabajadores cant 1 Costo 60€/noche
Habitacion triple para trabajadores cant 3 Costo 75€/noche cada una
(camas separadas)</text>
  </threadedComment>
  <threadedComment ref="F223" dT="2025-02-13T10:05:11.33" personId="{17D30B62-2123-41F1-B603-E5411FDFA3E0}" id="{63D32F03-4F09-4501-9F4F-3BE9F6100462}">
    <text>Habitacion doble para trabajadores cant 1 Costo 60€/noche
Habitacion triple para trabajadores cant 3 Costo 75€/noche cada una
(camas separadas)</text>
  </threadedComment>
  <threadedComment ref="F224" dT="2025-03-18T09:49:27.52" personId="{98986A2A-739A-4851-A979-4B0D560C46CD}" id="{E2588AAD-015A-4915-8C53-28F3431569FD}">
    <text>04 camas, 400€ alquiler, 400€ fianza</text>
  </threadedComment>
  <threadedComment ref="F225" dT="2025-02-13T10:05:11.33" personId="{17D30B62-2123-41F1-B603-E5411FDFA3E0}" id="{7C59BBE2-379C-4DCC-A17D-5A405B1EA836}">
    <text>Habitacion doble para trabajadores cant 1 Costo 60€/noche
Habitacion triple para trabajadores cant 3 Costo 75€/noche cada una
(camas separadas)</text>
  </threadedComment>
  <threadedComment ref="F226" dT="2025-02-13T10:05:11.33" personId="{17D30B62-2123-41F1-B603-E5411FDFA3E0}" id="{7E4551CE-A55C-4C44-A9CF-0CC56C88BA1F}">
    <text>Habitacion doble para trabajadores cant 1 Costo 60€/noche
Habitacion triple para trabajadores cant 3 Costo 75€/noche cada una
(camas separadas)</text>
  </threadedComment>
  <threadedComment ref="F227" dT="2025-02-13T10:05:11.33" personId="{17D30B62-2123-41F1-B603-E5411FDFA3E0}" id="{711D550A-56A0-4D94-B380-544D793BC2AD}">
    <text>Habitacion doble para trabajadores cant 1 Costo 60€/noche
Habitacion triple para trabajadores cant 3 Costo 75€/noche cada una
(camas separadas)</text>
  </threadedComment>
  <threadedComment ref="F228" dT="2025-02-13T10:05:11.33" personId="{17D30B62-2123-41F1-B603-E5411FDFA3E0}" id="{915E980F-C619-4277-9D62-16D770CEF971}">
    <text>Habitacion doble para trabajadores cant 1 Costo 60€/noche
Habitacion triple para trabajadores cant 3 Costo 75€/noche cada una
(camas separadas)</text>
  </threadedComment>
  <threadedComment ref="F229" dT="2025-02-13T10:05:11.33" personId="{17D30B62-2123-41F1-B603-E5411FDFA3E0}" id="{57797710-4A77-42C4-AD11-A132A2D9BB72}">
    <text>Habitacion doble para trabajadores cant 1 Costo 60€/noche
Habitacion triple para trabajadores cant 3 Costo 75€/noche cada una
(camas separadas)</text>
  </threadedComment>
  <threadedComment ref="F230" dT="2025-04-04T11:03:00.40" personId="{98986A2A-739A-4851-A979-4B0D560C46CD}" id="{1C89B91F-105A-4DB7-B05C-7D38BDBDA196}">
    <text>600€ alquiler, 600€ fianza, 05 camas</text>
  </threadedComment>
  <threadedComment ref="F231" dT="2025-02-13T10:05:11.33" personId="{17D30B62-2123-41F1-B603-E5411FDFA3E0}" id="{291C49ED-6FC3-4D03-9DE6-10740A9D486E}">
    <text>Habitacion doble para trabajadores cant 1 Costo 60€/noche
Habitacion triple para trabajadores cant 3 Costo 75€/noche cada una
(camas separadas)</text>
  </threadedComment>
  <threadedComment ref="F233" dT="2025-02-13T10:05:11.33" personId="{17D30B62-2123-41F1-B603-E5411FDFA3E0}" id="{14FD6A42-AE93-4FE9-AA67-7CD1F91831C9}">
    <text>Habitacion doble para trabajadores cant 1 Costo 60€/noche
Habitacion triple para trabajadores cant 3 Costo 75€/noche cada una
(camas separadas)</text>
  </threadedComment>
  <threadedComment ref="F234" dT="2025-02-13T10:05:11.33" personId="{17D30B62-2123-41F1-B603-E5411FDFA3E0}" id="{BC09FAEA-C3F3-4AEC-AD9C-473235C366F4}">
    <text>Habitacion doble para trabajadores cant 1 Costo 60€/noche
Habitacion triple para trabajadores cant 3 Costo 75€/noche cada una
(camas separadas)</text>
  </threadedComment>
  <threadedComment ref="F235" dT="2025-04-04T11:03:00.40" personId="{98986A2A-739A-4851-A979-4B0D560C46CD}" id="{0048588A-608A-45A1-8DC4-B03E8628047F}">
    <text>600€ alquiler, 600€ fianza, 05 camas</text>
  </threadedComment>
  <threadedComment ref="F236" dT="2025-02-26T14:56:43.99" personId="{17D30B62-2123-41F1-B603-E5411FDFA3E0}" id="{251432B8-1BA3-44EE-8A54-1FBE0A57E4FC}">
    <text>Alojamiento para 9 personas.
 3 apartamentos triples (101-102-121)</text>
  </threadedComment>
  <threadedComment ref="F236" dT="2025-10-14T10:02:06.67" personId="{4D8483EF-5A39-4E7B-A473-929EF5A077E1}" id="{96EA86F6-9647-4C5C-AFE5-5D5574478FD8}" parentId="{251432B8-1BA3-44EE-8A54-1FBE0A57E4FC}">
    <text xml:space="preserve">Alojamiento para 6 personas.
 2 apartamentos triples </text>
  </threadedComment>
  <threadedComment ref="F237" dT="2025-02-13T10:05:11.33" personId="{17D30B62-2123-41F1-B603-E5411FDFA3E0}" id="{724D9427-72B9-443F-9D11-F6CE0261A1AC}">
    <text>Habitacion doble para trabajadores cant 1 Costo 60€/noche
Habitacion triple para trabajadores cant 3 Costo 75€/noche cada una
(camas separadas)</text>
  </threadedComment>
  <threadedComment ref="F238" dT="2025-02-13T10:05:11.33" personId="{17D30B62-2123-41F1-B603-E5411FDFA3E0}" id="{48E46E3E-A5D8-477A-A9D5-974790DAB475}">
    <text>Habitacion doble para trabajadores cant 1 Costo 60€/noche
Habitacion triple para trabajadores cant 3 Costo 75€/noche cada una
(camas separadas)</text>
  </threadedComment>
  <threadedComment ref="F240" dT="2024-08-07T15:38:31.18" personId="{8BEA8CB1-BB33-44FC-A791-4439DE945680}" id="{EF7AEE60-39B8-46E2-9E6A-4E36091B76F4}">
    <text>Alquiler 1300€ Fianza 1300€  Camas 4</text>
  </threadedComment>
  <threadedComment ref="F241" dT="2025-02-13T10:05:11.33" personId="{17D30B62-2123-41F1-B603-E5411FDFA3E0}" id="{0499EC3D-D66C-49C9-B9C3-C122DD73BB4A}">
    <text>Habitacion doble para trabajadores cant 1 Costo 60€/noche
Habitacion triple para trabajadores cant 3 Costo 75€/noche cada una
(camas separadas)</text>
  </threadedComment>
  <threadedComment ref="F242" dT="2025-02-13T10:05:11.33" personId="{17D30B62-2123-41F1-B603-E5411FDFA3E0}" id="{4B0BF54E-27C5-4153-96D8-C3E7257DD3A9}">
    <text>Habitacion doble para trabajadores cant 1 Costo 60€/noche
Habitacion triple para trabajadores cant 3 Costo 75€/noche cada una
(camas separadas)</text>
  </threadedComment>
  <threadedComment ref="F243" dT="2025-02-13T10:05:11.33" personId="{17D30B62-2123-41F1-B603-E5411FDFA3E0}" id="{C36DD3B5-847A-4581-AA95-BD010014F80A}">
    <text>Habitacion doble para trabajadores cant 1 Costo 60€/noche
Habitacion triple para trabajadores cant 3 Costo 75€/noche cada una
(camas separadas)</text>
  </threadedComment>
  <threadedComment ref="F244" dT="2025-02-13T10:05:11.33" personId="{17D30B62-2123-41F1-B603-E5411FDFA3E0}" id="{D74A7F4D-180C-4BE9-8B90-78781DFC99ED}">
    <text>Habitacion doble para trabajadores cant 1 Costo 60€/noche
Habitacion triple para trabajadores cant 3 Costo 75€/noche cada una
(camas separadas)</text>
  </threadedComment>
  <threadedComment ref="F245" dT="2025-02-13T10:05:11.33" personId="{17D30B62-2123-41F1-B603-E5411FDFA3E0}" id="{BBEEDDFC-3D44-4EF9-AC4E-8F63D9B9D966}">
    <text>Habitacion doble para trabajadores cant 1 Costo 60€/noche
Habitacion triple para trabajadores cant 3 Costo 75€/noche cada una
(camas separadas)</text>
  </threadedComment>
  <threadedComment ref="F246" dT="2025-02-13T10:05:11.33" personId="{17D30B62-2123-41F1-B603-E5411FDFA3E0}" id="{A0D1F35F-A201-41DC-B65B-82A3D8790AC1}">
    <text>Habitacion doble para trabajadores cant 1 Costo 60€/noche
Habitacion triple para trabajadores cant 3 Costo 75€/noche cada una
(camas separadas)</text>
  </threadedComment>
  <threadedComment ref="F247" dT="2025-02-13T10:05:11.33" personId="{17D30B62-2123-41F1-B603-E5411FDFA3E0}" id="{4A6BEC4A-5021-4594-BE2F-FE72362D0186}">
    <text>Habitacion doble para trabajadores cant 1 Costo 60€/noche
Habitacion triple para trabajadores cant 3 Costo 75€/noche cada una
(camas separadas)</text>
  </threadedComment>
  <threadedComment ref="F248" dT="2025-02-13T10:05:11.33" personId="{17D30B62-2123-41F1-B603-E5411FDFA3E0}" id="{F0BC28C4-0B52-4B8B-8594-EACF8572CDC5}">
    <text>Habitacion doble para trabajadores cant 1 Costo 60€/noche
Habitacion triple para trabajadores cant 3 Costo 75€/noche cada una
(camas separadas)</text>
  </threadedComment>
  <threadedComment ref="F249" dT="2025-02-13T10:05:11.33" personId="{17D30B62-2123-41F1-B603-E5411FDFA3E0}" id="{655AA623-66A6-4A67-8E19-D564AE18AB91}">
    <text>Habitacion doble para trabajadores cant 1 Costo 60€/noche
Habitacion triple para trabajadores cant 3 Costo 75€/noche cada una
(camas separadas)</text>
  </threadedComment>
  <threadedComment ref="F250" dT="2025-02-13T10:05:11.33" personId="{17D30B62-2123-41F1-B603-E5411FDFA3E0}" id="{CC0686B4-EA31-470F-AF09-49BBEF1E5A85}">
    <text>Habitacion doble para trabajadores cant 1 Costo 60€/noche
Habitacion triple para trabajadores cant 3 Costo 75€/noche cada una
(camas separadas)</text>
  </threadedComment>
  <threadedComment ref="M250" dT="2024-09-02T10:50:12.63" personId="{8BEA8CB1-BB33-44FC-A791-4439DE945680}" id="{48BA3B5C-8ACF-4EEF-84A8-C276A0B7972F}">
    <text>Factura gestión de inmobiliaria factura 2763 por valor 636 euros</text>
  </threadedComment>
  <threadedComment ref="F251" dT="2025-02-13T10:05:11.33" personId="{17D30B62-2123-41F1-B603-E5411FDFA3E0}" id="{4A82CFE5-4A43-49B6-BF4A-3EEB0FD29566}">
    <text>Habitacion doble para trabajadores cant 1 Costo 60€/noche
Habitacion triple para trabajadores cant 3 Costo 75€/noche cada una
(camas separadas)</text>
  </threadedComment>
  <threadedComment ref="F252" dT="2025-02-13T10:05:11.33" personId="{17D30B62-2123-41F1-B603-E5411FDFA3E0}" id="{53534A35-21F0-4E50-8411-A221EA736624}">
    <text>Habitacion doble para trabajadores cant 1 Costo 60€/noche
Habitacion triple para trabajadores cant 3 Costo 75€/noche cada una
(camas separadas)</text>
  </threadedComment>
  <threadedComment ref="F253" dT="2025-02-13T10:05:11.33" personId="{17D30B62-2123-41F1-B603-E5411FDFA3E0}" id="{D4AEEB5A-F1AD-43BB-B93E-5F19412AF147}">
    <text>Alquiler 903.20€ 4 camas</text>
  </threadedComment>
  <threadedComment ref="F254" dT="2025-02-13T10:05:11.33" personId="{17D30B62-2123-41F1-B603-E5411FDFA3E0}" id="{877162E6-94D3-4C18-ACCE-051E5AE74202}">
    <text>Habitacion doble para trabajadores cant 1 Costo 60€/noche
Habitacion triple para trabajadores cant 3 Costo 75€/noche cada una
(camas separadas)</text>
  </threadedComment>
  <threadedComment ref="F255" dT="2025-02-13T10:05:11.33" personId="{17D30B62-2123-41F1-B603-E5411FDFA3E0}" id="{2BE9F8B6-7081-4D46-83C0-9E36BA2726B0}">
    <text>Habitacion doble para trabajadores cant 1 Costo 60€/noche
Habitacion triple para trabajadores cant 3 Costo 75€/noche cada una
(camas separadas)</text>
  </threadedComment>
  <threadedComment ref="W255" dT="2024-10-22T14:42:10.92" personId="{98986A2A-739A-4851-A979-4B0D560C46CD}" id="{878AB074-3222-40C9-9D62-E98B8DFF4C2F}">
    <text xml:space="preserve">Fianza abonada.
</text>
  </threadedComment>
  <threadedComment ref="F256" dT="2025-02-13T10:05:11.33" personId="{17D30B62-2123-41F1-B603-E5411FDFA3E0}" id="{0D6AF40A-C240-4705-ACA4-D614089FE326}">
    <text>Habitacion doble para trabajadores cant 1 Costo 60€/noche
Habitacion triple para trabajadores cant 3 Costo 75€/noche cada una
(camas separadas)</text>
  </threadedComment>
  <threadedComment ref="F257" dT="2025-02-13T10:05:11.33" personId="{17D30B62-2123-41F1-B603-E5411FDFA3E0}" id="{64F6B5CE-EDF4-4C56-95AA-F1A4D481C246}">
    <text>Habitacion doble para trabajadores cant 1 Costo 60€/noche
Habitacion triple para trabajadores cant 3 Costo 75€/noche cada una
(camas separadas)</text>
  </threadedComment>
  <threadedComment ref="F258" dT="2025-02-13T10:05:11.33" personId="{17D30B62-2123-41F1-B603-E5411FDFA3E0}" id="{E0A544AA-24F1-4574-89BE-B76E21191A71}">
    <text>Habitacion doble para trabajadores cant 1 Costo 60€/noche
Habitacion triple para trabajadores cant 3 Costo 75€/noche cada una
(camas separadas)</text>
  </threadedComment>
  <threadedComment ref="F259" dT="2025-02-13T10:05:11.33" personId="{17D30B62-2123-41F1-B603-E5411FDFA3E0}" id="{349D5D98-7C59-48AD-8FC4-F4889E304780}">
    <text>Habitacion doble para trabajadores cant 1 Costo 60€/noche
Habitacion triple para trabajadores cant 3 Costo 75€/noche cada una
(camas separadas)</text>
  </threadedComment>
  <threadedComment ref="F260" dT="2025-02-13T10:05:11.33" personId="{17D30B62-2123-41F1-B603-E5411FDFA3E0}" id="{02AD1570-5405-4BC1-BABE-E571236D2259}">
    <text>Habitacion doble para trabajadores cant 1 Costo 60€/noche
Habitacion triple para trabajadores cant 3 Costo 75€/noche cada una
(camas separadas)</text>
  </threadedComment>
  <threadedComment ref="F261" dT="2025-02-13T10:05:11.33" personId="{17D30B62-2123-41F1-B603-E5411FDFA3E0}" id="{8F760757-64A4-4F0F-B13B-AA30FE028986}">
    <text>Habitacion doble para trabajadores cant 1 Costo 60€/noche
Habitacion triple para trabajadores cant 3 Costo 75€/noche cada una
(camas separadas)</text>
  </threadedComment>
  <threadedComment ref="F262" dT="2025-02-13T10:05:11.33" personId="{17D30B62-2123-41F1-B603-E5411FDFA3E0}" id="{CDD264A5-BA08-4FE0-A9B7-208A7B68CE61}">
    <text>Habitacion doble para trabajadores cant 1 Costo 60€/noche
Habitacion triple para trabajadores cant 3 Costo 75€/noche cada una
(camas separadas)</text>
  </threadedComment>
  <threadedComment ref="F263" dT="2025-02-13T10:05:11.33" personId="{17D30B62-2123-41F1-B603-E5411FDFA3E0}" id="{2A932836-289F-4B87-9245-144E21DB4345}">
    <text>Habitacion doble para trabajadores cant 1 Costo 60€/noche
Habitacion triple para trabajadores cant 3 Costo 75€/noche cada una
(camas separadas)</text>
  </threadedComment>
  <threadedComment ref="F264" dT="2024-08-19T11:49:32.68" personId="{98986A2A-739A-4851-A979-4B0D560C46CD}" id="{5671E80C-9E89-4377-B35C-2A60E3EDB9F8}">
    <text>3 habitaciones</text>
  </threadedComment>
  <threadedComment ref="F265" dT="2025-02-13T10:05:11.33" personId="{17D30B62-2123-41F1-B603-E5411FDFA3E0}" id="{AEC1AE97-B439-4E0D-941B-A28FA895ED5D}">
    <text>Habitacion doble para trabajadores cant 1 Costo 60€/noche
Habitacion triple para trabajadores cant 3 Costo 75€/noche cada una
(camas separadas)</text>
  </threadedComment>
  <threadedComment ref="F266" dT="2025-02-13T10:05:11.33" personId="{17D30B62-2123-41F1-B603-E5411FDFA3E0}" id="{19DCD601-E4AF-4F4D-8C26-B360C1F281A3}">
    <text>Habitacion doble para trabajadores cant 1 Costo 60€/noche
Habitacion triple para trabajadores cant 3 Costo 75€/noche cada una
(camas separadas)</text>
  </threadedComment>
  <threadedComment ref="F267" dT="2025-02-13T10:05:11.33" personId="{17D30B62-2123-41F1-B603-E5411FDFA3E0}" id="{682FE283-ADC0-4213-8F65-999B0CB8DBAA}">
    <text>Habitacion doble para trabajadores cant 1 Costo 60€/noche
Habitacion triple para trabajadores cant 3 Costo 75€/noche cada una
(camas separadas)</text>
  </threadedComment>
  <threadedComment ref="F268" dT="2025-02-13T10:05:11.33" personId="{17D30B62-2123-41F1-B603-E5411FDFA3E0}" id="{F4256274-A24A-4109-9009-44032AFD6645}">
    <text>Habitacion doble para trabajadores cant 1 Costo 60€/noche
Habitacion triple para trabajadores cant 3 Costo 75€/noche cada una
(camas separadas)</text>
  </threadedComment>
  <threadedComment ref="F269" dT="2025-02-13T10:05:11.33" personId="{17D30B62-2123-41F1-B603-E5411FDFA3E0}" id="{3CFA8683-D02B-4FAC-A469-648E21CCBA2A}">
    <text>Habitacion doble para trabajadores cant 1 Costo 60€/noche
Habitacion triple para trabajadores cant 3 Costo 75€/noche cada una
(camas separadas)</text>
  </threadedComment>
  <threadedComment ref="F270" dT="2025-02-13T10:05:11.33" personId="{17D30B62-2123-41F1-B603-E5411FDFA3E0}" id="{B4A9FA52-23CB-4442-A0C4-12CD94997094}">
    <text>Habitacion doble para trabajadores cant 1 Costo 60€/noche
Habitacion triple para trabajadores cant 3 Costo 75€/noche cada una
(camas separadas)</text>
  </threadedComment>
  <threadedComment ref="F271" dT="2025-02-13T10:05:11.33" personId="{17D30B62-2123-41F1-B603-E5411FDFA3E0}" id="{980DB0AC-3ED4-455C-A4F1-79DE86BA86B3}">
    <text>Habitacion doble para trabajadores cant 1 Costo 60€/noche
Habitacion triple para trabajadores cant 3 Costo 75€/noche cada una
(camas separadas)</text>
  </threadedComment>
  <threadedComment ref="F272" dT="2025-02-13T10:05:11.33" personId="{17D30B62-2123-41F1-B603-E5411FDFA3E0}" id="{4892A52B-8B55-4E32-8A99-8289F3E8F665}">
    <text>Habitacion doble para trabajadores cant 1 Costo 60€/noche
Habitacion triple para trabajadores cant 3 Costo 75€/noche cada una
(camas separadas)</text>
  </threadedComment>
  <threadedComment ref="F273" dT="2025-03-03T18:16:08.96" personId="{98986A2A-739A-4851-A979-4B0D560C46CD}" id="{99D8D710-C2DA-46D9-A032-3CEFE472CB15}">
    <text>03 camas, 1500€ alquiler, 600€ fianza</text>
  </threadedComment>
  <threadedComment ref="W273" dT="2024-06-05T10:22:12.37" personId="{98986A2A-739A-4851-A979-4B0D560C46CD}" id="{E538F3D9-0E0B-470B-B1F0-FA4F02076323}">
    <text xml:space="preserve">Fianza de la inmobiliaria Paseo Atelier
</text>
  </threadedComment>
  <threadedComment ref="F274" dT="2025-03-03T18:16:08.96" personId="{98986A2A-739A-4851-A979-4B0D560C46CD}" id="{DC8323F5-670C-4F64-9660-62D441B3F024}">
    <text>03 camas, 1500€ alquiler, 600€ fianza</text>
  </threadedComment>
  <threadedComment ref="W274" dT="2024-06-05T10:21:57.80" personId="{98986A2A-739A-4851-A979-4B0D560C46CD}" id="{3A17F31A-C0E5-4D65-B004-2381A9532835}">
    <text>Fianza de la inmobiliaria Paseo Atelier</text>
  </threadedComment>
  <threadedComment ref="F275" dT="2025-02-13T10:05:11.33" personId="{17D30B62-2123-41F1-B603-E5411FDFA3E0}" id="{721D7B24-C45E-4C4E-93D1-1DC32F861B97}">
    <text>Habitacion doble para trabajadores cant 1 Costo 60€/noche
Habitacion triple para trabajadores cant 3 Costo 75€/noche cada una
(camas separadas)</text>
  </threadedComment>
  <threadedComment ref="F276" dT="2025-02-13T10:05:11.33" personId="{17D30B62-2123-41F1-B603-E5411FDFA3E0}" id="{4611ACB0-3223-4DE8-8DC2-C70BFFF9E0F3}">
    <text>Habitacion doble para trabajadores cant 1 Costo 60€/noche
Habitacion triple para trabajadores cant 3 Costo 75€/noche cada una
(camas separadas)</text>
  </threadedComment>
  <threadedComment ref="W276" dT="2024-08-26T10:55:27.48" personId="{98986A2A-739A-4851-A979-4B0D560C46CD}" id="{6BE72786-5276-48F0-9A79-B171EA09B944}">
    <text>La fianzas d Rodrigo pasa a Diego</text>
  </threadedComment>
  <threadedComment ref="W276" dT="2024-11-18T10:15:18.28" personId="{98986A2A-739A-4851-A979-4B0D560C46CD}" id="{3348A006-F128-451F-822E-67C45A0F5343}" parentId="{6BE72786-5276-48F0-9A79-B171EA09B944}">
    <text>Esta fianza pasa a Luis Alberto Zuñiga pedido 436</text>
  </threadedComment>
  <threadedComment ref="F277" dT="2025-02-13T10:05:11.33" personId="{17D30B62-2123-41F1-B603-E5411FDFA3E0}" id="{22F893F9-6925-440C-A9E9-BBD002D6F144}">
    <text>Habitacion doble para trabajadores cant 1 Costo 60€/noche
Habitacion triple para trabajadores cant 3 Costo 75€/noche cada una
(camas separadas)</text>
  </threadedComment>
  <threadedComment ref="F278" dT="2025-02-13T10:05:11.33" personId="{17D30B62-2123-41F1-B603-E5411FDFA3E0}" id="{22703688-EA43-48CD-A689-D368B151E2DA}">
    <text>Habitacion doble para trabajadores cant 1 Costo 60€/noche
Habitacion triple para trabajadores cant 3 Costo 75€/noche cada una
(camas separadas)</text>
  </threadedComment>
  <threadedComment ref="F279" dT="2025-02-13T10:05:11.33" personId="{17D30B62-2123-41F1-B603-E5411FDFA3E0}" id="{EA7BE6F6-7CEE-408E-93E1-EAAA38A6C4FF}">
    <text>Habitacion doble para trabajadores cant 1 Costo 60€/noche
Habitacion triple para trabajadores cant 3 Costo 75€/noche cada una
(camas separadas)</text>
  </threadedComment>
  <threadedComment ref="F280" dT="2025-02-13T10:05:11.33" personId="{17D30B62-2123-41F1-B603-E5411FDFA3E0}" id="{930E00B4-C686-4EDF-9FBF-8A53C86F88B3}">
    <text>Habitacion doble para trabajadores cant 1 Costo 60€/noche
Habitacion triple para trabajadores cant 3 Costo 75€/noche cada una
(camas separadas)</text>
  </threadedComment>
  <threadedComment ref="F281" dT="2025-02-13T10:05:11.33" personId="{17D30B62-2123-41F1-B603-E5411FDFA3E0}" id="{5F98A77B-8A75-4216-A46B-8613EE02C070}">
    <text>Habitacion doble para trabajadores cant 1 Costo 60€/noche
Habitacion triple para trabajadores cant 3 Costo 75€/noche cada una
(camas separadas)</text>
  </threadedComment>
  <threadedComment ref="F282" dT="2025-03-03T18:16:08.96" personId="{98986A2A-739A-4851-A979-4B0D560C46CD}" id="{4E0BA6A6-1B47-4475-A5A1-3B49E5FC446E}">
    <text>03 camas, 1500€ alquiler, 600€ fianza</text>
  </threadedComment>
  <threadedComment ref="F283" dT="2025-03-03T18:16:08.96" personId="{98986A2A-739A-4851-A979-4B0D560C46CD}" id="{5C9E4D7C-4A8B-4DD0-B00B-CFC9C1205D71}">
    <text>03 camas, 1500€ alquiler, 600€ fianza</text>
  </threadedComment>
  <threadedComment ref="F285" dT="2025-02-13T10:05:11.33" personId="{17D30B62-2123-41F1-B603-E5411FDFA3E0}" id="{3ECAF27D-8C68-4ECB-8A0C-DA10496094A2}">
    <text>Habitacion doble para trabajadores cant 1 Costo 60€/noche
Habitacion triple para trabajadores cant 3 Costo 75€/noche cada una
(camas separadas)</text>
  </threadedComment>
  <threadedComment ref="F286" dT="2025-02-13T10:05:11.33" personId="{17D30B62-2123-41F1-B603-E5411FDFA3E0}" id="{FD432CBE-4295-4E4F-9FE1-8A0E3BDF67AF}">
    <text>Habitacion doble para trabajadores cant 1 Costo 60€/noche
Habitacion triple para trabajadores cant 3 Costo 75€/noche cada una
(camas separadas)</text>
  </threadedComment>
  <threadedComment ref="F287" dT="2025-02-13T10:05:11.33" personId="{17D30B62-2123-41F1-B603-E5411FDFA3E0}" id="{D2028C06-3DD5-4D2C-8327-F3C9FDF85269}">
    <text>Habitacion doble para trabajadores cant 1 Costo 60€/noche
Habitacion triple para trabajadores cant 3 Costo 75€/noche cada una
(camas separadas)</text>
  </threadedComment>
  <threadedComment ref="F288" dT="2025-02-13T10:05:11.33" personId="{17D30B62-2123-41F1-B603-E5411FDFA3E0}" id="{0A89D0FE-EDDB-48AE-9FC1-A0CFFCCC3BF2}">
    <text>Habitacion doble para trabajadores cant 1 Costo 60€/noche
Habitacion triple para trabajadores cant 3 Costo 75€/noche cada una
(camas separadas)</text>
  </threadedComment>
  <threadedComment ref="F289" dT="2025-02-13T10:05:11.33" personId="{17D30B62-2123-41F1-B603-E5411FDFA3E0}" id="{8E9022FC-1E35-44FE-AAD9-0FE9112DE8A0}">
    <text>Habitacion doble para trabajadores cant 1 Costo 60€/noche
Habitacion triple para trabajadores cant 3 Costo 75€/noche cada una
(camas separadas)</text>
  </threadedComment>
  <threadedComment ref="F290" dT="2025-02-13T10:05:11.33" personId="{17D30B62-2123-41F1-B603-E5411FDFA3E0}" id="{8B72F239-126E-4171-9315-101D1DFF5B91}">
    <text>Habitacion doble para trabajadores cant 1 Costo 60€/noche
Habitacion triple para trabajadores cant 3 Costo 75€/noche cada una
(camas separadas)</text>
  </threadedComment>
  <threadedComment ref="F291" dT="2025-02-13T10:05:11.33" personId="{17D30B62-2123-41F1-B603-E5411FDFA3E0}" id="{2D7F0B28-9C5A-445E-960A-54B59CC42295}">
    <text>Habitacion doble para trabajadores cant 1 Costo 60€/noche
Habitacion triple para trabajadores cant 3 Costo 75€/noche cada una
(camas separadas)</text>
  </threadedComment>
  <threadedComment ref="F292" dT="2025-02-13T10:05:11.33" personId="{17D30B62-2123-41F1-B603-E5411FDFA3E0}" id="{01022F30-C331-40E8-BC04-DF4C701AF93A}">
    <text>Habitacion doble para trabajadores cant 1 Costo 60€/noche
Habitacion triple para trabajadores cant 3 Costo 75€/noche cada una
(camas separadas)</text>
  </threadedComment>
  <threadedComment ref="F293" dT="2025-02-13T10:05:11.33" personId="{17D30B62-2123-41F1-B603-E5411FDFA3E0}" id="{AFD90E10-1FCE-4FC6-938D-9C1B1B75D37B}">
    <text>Habitacion doble para trabajadores cant 1 Costo 60€/noche
Habitacion triple para trabajadores cant 3 Costo 75€/noche cada una
(camas separadas)</text>
  </threadedComment>
  <threadedComment ref="F294" dT="2025-02-13T10:05:11.33" personId="{17D30B62-2123-41F1-B603-E5411FDFA3E0}" id="{E3BF4B82-423A-4E6B-ADA7-5B18546C38CF}">
    <text>Habitacion doble para trabajadores cant 1 Costo 60€/noche
Habitacion triple para trabajadores cant 3 Costo 75€/noche cada una
(camas separadas)</text>
  </threadedComment>
  <threadedComment ref="F295" dT="2025-02-13T10:05:11.33" personId="{17D30B62-2123-41F1-B603-E5411FDFA3E0}" id="{655FA928-AF39-42F9-93AC-C8CF0F257BF4}">
    <text>Habitacion doble para trabajadores cant 1 Costo 60€/noche
Habitacion triple para trabajadores cant 3 Costo 75€/noche cada una
(camas separadas)</text>
  </threadedComment>
  <threadedComment ref="F296" dT="2025-02-13T10:05:11.33" personId="{17D30B62-2123-41F1-B603-E5411FDFA3E0}" id="{CDFBE9E4-2076-46FD-8B7C-FBD68FD8E293}">
    <text>Habitacion doble para trabajadores cant 1 Costo 60€/noche
Habitacion triple para trabajadores cant 3 Costo 75€/noche cada una
(camas separadas)</text>
  </threadedComment>
  <threadedComment ref="F297" dT="2025-02-13T10:05:11.33" personId="{17D30B62-2123-41F1-B603-E5411FDFA3E0}" id="{63EB4F8D-2E6F-45E5-A54B-94CA3701C719}">
    <text>Habitacion doble para trabajadores cant 1 Costo 60€/noche
Habitacion triple para trabajadores cant 3 Costo 75€/noche cada una
(camas separadas)</text>
  </threadedComment>
  <threadedComment ref="F299" dT="2025-02-13T10:05:11.33" personId="{17D30B62-2123-41F1-B603-E5411FDFA3E0}" id="{10EB01ED-9DC7-4CA7-8E1F-B9E4410A8565}">
    <text>Habitacion doble para trabajadores cant 1 Costo 60€/noche
Habitacion triple para trabajadores cant 3 Costo 75€/noche cada una
(camas separadas)</text>
  </threadedComment>
  <threadedComment ref="F300" dT="2025-02-13T10:05:11.33" personId="{17D30B62-2123-41F1-B603-E5411FDFA3E0}" id="{DEA3BEB8-7619-41F1-A885-7BD3D92407C5}">
    <text>Habitacion doble para trabajadores cant 1 Costo 60€/noche
Habitacion triple para trabajadores cant 3 Costo 75€/noche cada una
(camas separadas)</text>
  </threadedComment>
  <threadedComment ref="F301" dT="2025-02-13T10:05:11.33" personId="{17D30B62-2123-41F1-B603-E5411FDFA3E0}" id="{DC5FE44A-80A8-421B-86EC-641454C9DF34}">
    <text>Habitacion doble para trabajadores cant 1 Costo 60€/noche
Habitacion triple para trabajadores cant 3 Costo 75€/noche cada una
(camas separadas)</text>
  </threadedComment>
  <threadedComment ref="F302" dT="2025-02-13T10:05:11.33" personId="{17D30B62-2123-41F1-B603-E5411FDFA3E0}" id="{863E90F4-95CE-432C-BA7C-EDBFA26C33A1}">
    <text>Habitacion doble para trabajadores cant 1 Costo 60€/noche
Habitacion triple para trabajadores cant 3 Costo 75€/noche cada una
(camas separadas)</text>
  </threadedComment>
  <threadedComment ref="F304" dT="2025-02-13T10:05:11.33" personId="{17D30B62-2123-41F1-B603-E5411FDFA3E0}" id="{7C63F5C5-A3D6-4FA9-AD88-3C80C4D5FD5A}">
    <text>Habitacion doble para trabajadores cant 1 Costo 60€/noche
Habitacion triple para trabajadores cant 3 Costo 75€/noche cada una
(camas separadas)</text>
  </threadedComment>
  <threadedComment ref="F305" dT="2025-02-13T10:05:11.33" personId="{17D30B62-2123-41F1-B603-E5411FDFA3E0}" id="{8239400E-F09F-40B1-B7C0-03EF40CDF9F7}">
    <text>Habitacion doble para trabajadores cant 1 Costo 60€/noche
Habitacion triple para trabajadores cant 3 Costo 75€/noche cada una
(camas separadas)</text>
  </threadedComment>
  <threadedComment ref="F306" dT="2025-02-13T10:05:11.33" personId="{17D30B62-2123-41F1-B603-E5411FDFA3E0}" id="{CE67147B-8A04-4723-8909-E871D627FB6F}">
    <text>Habitacion doble para trabajadores cant 1 Costo 60€/noche
Habitacion triple para trabajadores cant 3 Costo 75€/noche cada una
(camas separadas)</text>
  </threadedComment>
  <threadedComment ref="F307" dT="2025-02-25T08:01:07.95" personId="{98986A2A-739A-4851-A979-4B0D560C46CD}" id="{7846BDAD-18FE-4D9E-B845-C634A0C71998}">
    <text>03 camas, 1100€ alquiler, 200€ fianza</text>
  </threadedComment>
  <threadedComment ref="F308" dT="2025-02-25T07:41:27.36" personId="{98986A2A-739A-4851-A979-4B0D560C46CD}" id="{83B6ED7B-2687-4757-85DA-3363BBD0A119}">
    <text>Alquiler 2300 Camas 5</text>
  </threadedComment>
  <threadedComment ref="F309" dT="2025-02-13T10:05:11.33" personId="{17D30B62-2123-41F1-B603-E5411FDFA3E0}" id="{DACA2B47-CE16-44AC-B6AC-0E9FC2D84D56}">
    <text>Habitacion doble para trabajadores cant 1 Costo 60€/noche
Habitacion triple para trabajadores cant 3 Costo 75€/noche cada una
(camas separadas)</text>
  </threadedComment>
  <threadedComment ref="F310" dT="2025-02-13T10:05:11.33" personId="{17D30B62-2123-41F1-B603-E5411FDFA3E0}" id="{B592D774-B2F6-4142-A655-739D7AC9E8A1}">
    <text>Habitacion doble para trabajadores cant 1 Costo 60€/noche
Habitacion triple para trabajadores cant 3 Costo 75€/noche cada una
(camas separadas)</text>
  </threadedComment>
  <threadedComment ref="F311" dT="2025-02-13T10:05:11.33" personId="{17D30B62-2123-41F1-B603-E5411FDFA3E0}" id="{24F3ED14-D6E0-4F17-AB0F-92642C6E9C53}">
    <text>Habitacion doble para trabajadores cant 1 Costo 60€/noche
Habitacion triple para trabajadores cant 3 Costo 75€/noche cada una
(camas separadas)</text>
  </threadedComment>
  <threadedComment ref="F312" dT="2025-02-13T10:05:11.33" personId="{17D30B62-2123-41F1-B603-E5411FDFA3E0}" id="{D2AE1E93-944D-4EED-AF30-D00F2690EE96}">
    <text>Habitacion doble para trabajadores cant 1 Costo 60€/noche
Habitacion triple para trabajadores cant 3 Costo 75€/noche cada una
(camas separadas)</text>
  </threadedComment>
  <threadedComment ref="F314" dT="2025-02-13T10:05:11.33" personId="{17D30B62-2123-41F1-B603-E5411FDFA3E0}" id="{CC3FA872-ACC1-4975-954C-0ABFF4D500B7}">
    <text>Habitacion doble para trabajadores cant 1 Costo 60€/noche
Habitacion triple para trabajadores cant 3 Costo 75€/noche cada una
(camas separadas)</text>
  </threadedComment>
  <threadedComment ref="F315" dT="2025-02-13T10:05:11.33" personId="{17D30B62-2123-41F1-B603-E5411FDFA3E0}" id="{6B4AC46B-0722-4712-B525-3B9F2154CC11}">
    <text>Habitacion doble para trabajadores cant 1 Costo 60€/noche
Habitacion triple para trabajadores cant 3 Costo 75€/noche cada una
(camas separadas)</text>
  </threadedComment>
  <threadedComment ref="F316" dT="2025-02-13T10:05:11.33" personId="{17D30B62-2123-41F1-B603-E5411FDFA3E0}" id="{F61C8430-3428-44BF-854C-5A7DD6E88FC1}">
    <text>Habitacion doble para trabajadores cant 1 Costo 60€/noche
Habitacion triple para trabajadores cant 3 Costo 75€/noche cada una
(camas separadas)</text>
  </threadedComment>
  <threadedComment ref="F317" dT="2025-02-26T12:24:18.65" personId="{98986A2A-739A-4851-A979-4B0D560C46CD}" id="{501A98D0-C713-48A5-8F2E-D726B4B7DF58}">
    <text xml:space="preserve">Alquiler 1100 , Fianza 2200  Camas 4
</text>
  </threadedComment>
  <threadedComment ref="F318" dT="2025-02-13T10:05:11.33" personId="{17D30B62-2123-41F1-B603-E5411FDFA3E0}" id="{0AF90793-4C4F-4BE1-8D45-847BF76D6D0A}">
    <text>Habitacion doble para trabajadores cant 1 Costo 60€/noche
Habitacion triple para trabajadores cant 3 Costo 75€/noche cada una
(camas separadas)</text>
  </threadedComment>
  <threadedComment ref="F319" dT="2025-02-13T10:05:11.33" personId="{17D30B62-2123-41F1-B603-E5411FDFA3E0}" id="{A0FC19FB-A040-4D07-824A-5E2CC6898523}">
    <text>Habitacion doble para trabajadores cant 1 Costo 60€/noche
Habitacion triple para trabajadores cant 3 Costo 75€/noche cada una
(camas separadas)</text>
  </threadedComment>
  <threadedComment ref="F320" dT="2025-02-13T10:05:11.33" personId="{17D30B62-2123-41F1-B603-E5411FDFA3E0}" id="{DE6C43E1-51AF-4D10-A14C-CAF41F316CFA}">
    <text>Habitacion doble para trabajadores cant 1 Costo 60€/noche
Habitacion triple para trabajadores cant 3 Costo 75€/noche cada una
(camas separadas)</text>
  </threadedComment>
  <threadedComment ref="F321" dT="2025-02-26T12:24:18.65" personId="{98986A2A-739A-4851-A979-4B0D560C46CD}" id="{E4C22B60-2BC2-4CD3-9607-C506E1A87154}">
    <text xml:space="preserve">Alquiler 1100 , Fianza 2200  Camas 4
</text>
  </threadedComment>
  <threadedComment ref="F322" dT="2025-02-26T12:24:18.65" personId="{98986A2A-739A-4851-A979-4B0D560C46CD}" id="{6D9D7B4D-145E-4882-8CB5-90B2C600FD86}">
    <text xml:space="preserve">Alquiler 1100 , Fianza 2200  Camas 4
</text>
  </threadedComment>
  <threadedComment ref="F323" dT="2025-02-13T10:05:11.33" personId="{17D30B62-2123-41F1-B603-E5411FDFA3E0}" id="{9C0CC31F-FF52-4393-A3C6-03C00291AE73}">
    <text>Habitacion doble para trabajadores cant 1 Costo 60€/noche
Habitacion triple para trabajadores cant 3 Costo 75€/noche cada una
(camas separadas)</text>
  </threadedComment>
  <threadedComment ref="F324" dT="2025-02-13T10:05:11.33" personId="{17D30B62-2123-41F1-B603-E5411FDFA3E0}" id="{D61AA1F7-C81B-4C53-932A-B843CC62E281}">
    <text>Habitacion doble para trabajadores cant 1 Costo 60€/noche
Habitacion triple para trabajadores cant 3 Costo 75€/noche cada una
(camas separadas)</text>
  </threadedComment>
  <threadedComment ref="F325" dT="2025-02-13T10:05:11.33" personId="{17D30B62-2123-41F1-B603-E5411FDFA3E0}" id="{D3A85FF8-3903-4180-8EF9-9324A1A1FAF6}">
    <text>Habitacion doble para trabajadores cant 1 Costo 60€/noche
Habitacion triple para trabajadores cant 3 Costo 75€/noche cada una
(camas separadas)</text>
  </threadedComment>
  <threadedComment ref="F327" dT="2025-02-13T10:05:11.33" personId="{17D30B62-2123-41F1-B603-E5411FDFA3E0}" id="{F7B6DABB-13BC-4739-839B-FD7F3C8CB4F0}">
    <text>Habitacion doble para trabajadores cant 1 Costo 60€/noche
Habitacion triple para trabajadores cant 3 Costo 75€/noche cada una
(camas separadas)</text>
  </threadedComment>
  <threadedComment ref="F328" dT="2025-02-13T10:05:11.33" personId="{17D30B62-2123-41F1-B603-E5411FDFA3E0}" id="{750B1EEB-C45B-43C5-AEC9-9655EAF7CDDA}">
    <text>Habitacion doble para trabajadores cant 1 Costo 60€/noche
Habitacion triple para trabajadores cant 3 Costo 75€/noche cada una
(camas separadas)</text>
  </threadedComment>
  <threadedComment ref="F329" dT="2025-02-13T10:05:11.33" personId="{17D30B62-2123-41F1-B603-E5411FDFA3E0}" id="{2B362A05-9453-41DE-86D7-47345071523F}">
    <text>Habitacion doble para trabajadores cant 1 Costo 60€/noche
Habitacion triple para trabajadores cant 3 Costo 75€/noche cada una
(camas separadas)</text>
  </threadedComment>
  <threadedComment ref="F330" dT="2024-08-08T15:05:50.75" personId="{8BEA8CB1-BB33-44FC-A791-4439DE945680}" id="{0FD10FC7-9890-4877-B7A8-388B001B1A76}">
    <text>Alquiler 1380 Fianza 2760 Camas 5</text>
  </threadedComment>
  <threadedComment ref="F331" dT="2025-02-13T10:05:11.33" personId="{17D30B62-2123-41F1-B603-E5411FDFA3E0}" id="{935C284D-B1C6-4A51-A09F-11A5AA120D2D}">
    <text>Habitacion doble para trabajadores cant 1 Costo 60€/noche
Habitacion triple para trabajadores cant 3 Costo 75€/noche cada una
(camas separadas)</text>
  </threadedComment>
  <threadedComment ref="F332" dT="2025-02-13T10:05:11.33" personId="{17D30B62-2123-41F1-B603-E5411FDFA3E0}" id="{2508BBEA-C784-4AE4-93AD-1948146621B7}">
    <text>Habitacion doble para trabajadores cant 1 Costo 60€/noche
Habitacion triple para trabajadores cant 3 Costo 75€/noche cada una
(camas separadas)</text>
  </threadedComment>
  <threadedComment ref="F333" dT="2025-02-13T10:05:11.33" personId="{17D30B62-2123-41F1-B603-E5411FDFA3E0}" id="{081BEE5E-273E-43CF-8961-8B635189DD69}">
    <text>Habitacion doble para trabajadores cant 1 Costo 60€/noche
Habitacion triple para trabajadores cant 3 Costo 75€/noche cada una
(camas separadas)</text>
  </threadedComment>
  <threadedComment ref="F334" dT="2025-02-13T10:05:11.33" personId="{17D30B62-2123-41F1-B603-E5411FDFA3E0}" id="{11C8981E-BA77-49F9-B560-049911D032F3}">
    <text>Habitacion doble para trabajadores cant 1 Costo 60€/noche
Habitacion triple para trabajadores cant 3 Costo 75€/noche cada una
(camas separadas)</text>
  </threadedComment>
  <threadedComment ref="F335" dT="2025-02-13T10:05:11.33" personId="{17D30B62-2123-41F1-B603-E5411FDFA3E0}" id="{3F21A861-65A7-42CC-875B-0CCF1CA040F6}">
    <text>Habitacion doble para trabajadores cant 1 Costo 60€/noche
Habitacion triple para trabajadores cant 3 Costo 75€/noche cada una
(camas separadas)</text>
  </threadedComment>
  <threadedComment ref="F336" dT="2025-02-13T10:05:11.33" personId="{17D30B62-2123-41F1-B603-E5411FDFA3E0}" id="{F1344912-A1C1-4FF9-97EE-9C04C8F564AB}">
    <text>Habitacion doble para trabajadores cant 1 Costo 60€/noche
Habitacion triple para trabajadores cant 3 Costo 75€/noche cada una
(camas separadas)</text>
  </threadedComment>
  <threadedComment ref="F337" dT="2025-02-13T10:05:11.33" personId="{17D30B62-2123-41F1-B603-E5411FDFA3E0}" id="{87BC1D46-726F-40DD-ADEA-88B480C809FD}">
    <text>Habitacion doble para trabajadores cant 1 Costo 60€/noche
Habitacion triple para trabajadores cant 3 Costo 75€/noche cada una
(camas separadas)</text>
  </threadedComment>
  <threadedComment ref="F338" dT="2025-02-13T10:05:11.33" personId="{17D30B62-2123-41F1-B603-E5411FDFA3E0}" id="{8FBA14A3-31C8-4BF6-800D-34FF162BFBA2}">
    <text>Habitacion doble para trabajadores cant 1 Costo 60€/noche
Habitacion triple para trabajadores cant 3 Costo 75€/noche cada una
(camas separadas)</text>
  </threadedComment>
  <threadedComment ref="F339" dT="2025-02-13T10:05:11.33" personId="{17D30B62-2123-41F1-B603-E5411FDFA3E0}" id="{B4419094-31DD-4B8A-BB14-F18F794522EF}">
    <text>Habitacion doble para trabajadores cant 1 Costo 60€/noche
Habitacion triple para trabajadores cant 3 Costo 75€/noche cada una
(camas separadas)</text>
  </threadedComment>
  <threadedComment ref="F340" dT="2025-02-13T10:05:11.33" personId="{17D30B62-2123-41F1-B603-E5411FDFA3E0}" id="{F6FDBF36-A953-4746-A1B0-EE3A6FB701F4}">
    <text>Habitacion doble para trabajadores cant 1 Costo 60€/noche
Habitacion triple para trabajadores cant 3 Costo 75€/noche cada una
(camas separadas)</text>
  </threadedComment>
  <threadedComment ref="F341" dT="2025-02-13T10:05:11.33" personId="{17D30B62-2123-41F1-B603-E5411FDFA3E0}" id="{F26DF4C6-6C85-4D3F-9997-3D99F7B580A4}">
    <text>Habitacion doble para trabajadores cant 1 Costo 60€/noche
Habitacion triple para trabajadores cant 3 Costo 75€/noche cada una
(camas separadas)</text>
  </threadedComment>
  <threadedComment ref="F342" dT="2025-02-13T10:05:11.33" personId="{17D30B62-2123-41F1-B603-E5411FDFA3E0}" id="{1CC4A915-C6C1-4075-A467-5E64297F9144}">
    <text>Alquiler 903.20€ 4 camas</text>
  </threadedComment>
  <threadedComment ref="F343" dT="2025-02-13T10:05:11.33" personId="{17D30B62-2123-41F1-B603-E5411FDFA3E0}" id="{0D3BA5C7-94DF-4D09-99A5-D938041897B5}">
    <text>3 Habitaciones</text>
  </threadedComment>
  <threadedComment ref="F344" dT="2025-02-13T10:05:11.33" personId="{17D30B62-2123-41F1-B603-E5411FDFA3E0}" id="{1042C5DF-1B2E-455D-8430-BB3BD7F2FDBF}">
    <text>Habitacion doble para trabajadores cant 1 Costo 60€/noche
Habitacion triple para trabajadores cant 3 Costo 75€/noche cada una
(camas separadas)</text>
  </threadedComment>
  <threadedComment ref="F345" dT="2025-02-13T10:05:11.33" personId="{17D30B62-2123-41F1-B603-E5411FDFA3E0}" id="{3DEC0EA9-2611-478F-A6D7-BC95822034A8}">
    <text>Habitacion doble para trabajadores cant 1 Costo 60€/noche
Habitacion triple para trabajadores cant 3 Costo 75€/noche cada una
(camas separadas)</text>
  </threadedComment>
  <threadedComment ref="F346" dT="2025-02-13T10:05:11.33" personId="{17D30B62-2123-41F1-B603-E5411FDFA3E0}" id="{1A449E3D-9891-41B5-BB10-D166EEE2DB12}">
    <text>Habitacion doble para trabajadores cant 1 Costo 60€/noche
Habitacion triple para trabajadores cant 3 Costo 75€/noche cada una
(camas separadas)</text>
  </threadedComment>
  <threadedComment ref="F347" dT="2025-02-13T10:05:11.33" personId="{17D30B62-2123-41F1-B603-E5411FDFA3E0}" id="{BA1A29F3-78E5-461C-B157-7F5BA9972362}">
    <text>Habitacion doble para trabajadores cant 1 Costo 60€/noche
Habitacion triple para trabajadores cant 3 Costo 75€/noche cada una
(camas separadas)</text>
  </threadedComment>
  <threadedComment ref="F348" dT="2025-02-13T10:05:11.33" personId="{17D30B62-2123-41F1-B603-E5411FDFA3E0}" id="{3108B6DF-A802-4BF8-B027-053382073160}">
    <text>Habitacion doble para trabajadores cant 1 Costo 60€/noche
Habitacion triple para trabajadores cant 3 Costo 75€/noche cada una
(camas separadas)</text>
  </threadedComment>
  <threadedComment ref="F349" dT="2025-02-13T10:05:11.33" personId="{17D30B62-2123-41F1-B603-E5411FDFA3E0}" id="{311E2056-53F9-457B-9112-410A2C8991F9}">
    <text>Habitacion doble para trabajadores cant 1 Costo 60€/noche
Habitacion triple para trabajadores cant 3 Costo 75€/noche cada una
(camas separadas)</text>
  </threadedComment>
  <threadedComment ref="F350" dT="2025-02-13T10:05:11.33" personId="{17D30B62-2123-41F1-B603-E5411FDFA3E0}" id="{FB6619B5-9A2F-4F91-A292-CFD4455A11EF}">
    <text>Habitacion doble para trabajadores cant 1 Costo 60€/noche
Habitacion triple para trabajadores cant 3 Costo 75€/noche cada una
(camas separadas)</text>
  </threadedComment>
  <threadedComment ref="F351" dT="2025-02-13T10:05:11.33" personId="{17D30B62-2123-41F1-B603-E5411FDFA3E0}" id="{6725F27A-2273-43C2-8497-C8B624243A64}">
    <text>Habitacion doble para trabajadores cant 1 Costo 60€/noche
Habitacion triple para trabajadores cant 3 Costo 75€/noche cada una
(camas separadas)</text>
  </threadedComment>
  <threadedComment ref="X351" dT="2024-07-30T06:54:16.46" personId="{8BEA8CB1-BB33-44FC-A791-4439DE945680}" id="{CFB6C40C-FDA9-415E-B73C-756DFDE4E676}">
    <text xml:space="preserve">Se pago mes de agosto y proporcional de Julio 
</text>
  </threadedComment>
  <threadedComment ref="F352" dT="2025-02-13T10:05:11.33" personId="{17D30B62-2123-41F1-B603-E5411FDFA3E0}" id="{1DBB4DB4-4363-43E4-A3B3-DF7B8FD8E767}">
    <text>Habitacion doble para trabajadores cant 1 Costo 60€/noche
Habitacion triple para trabajadores cant 3 Costo 75€/noche cada una
(camas separadas)</text>
  </threadedComment>
  <threadedComment ref="F353" dT="2025-02-13T10:05:11.33" personId="{17D30B62-2123-41F1-B603-E5411FDFA3E0}" id="{37D113D5-34DE-4399-B3EA-4CDA3FD02C5F}">
    <text>Habitacion doble para trabajadores cant 1 Costo 60€/noche
Habitacion triple para trabajadores cant 3 Costo 75€/noche cada una
(camas separadas)</text>
  </threadedComment>
  <threadedComment ref="F354" dT="2025-02-13T10:05:11.33" personId="{17D30B62-2123-41F1-B603-E5411FDFA3E0}" id="{B1D79E8B-E132-4C86-A491-459AB86F5580}">
    <text>Habitacion doble para trabajadores cant 1 Costo 60€/noche
Habitacion triple para trabajadores cant 3 Costo 75€/noche cada una
(camas separadas)</text>
  </threadedComment>
  <threadedComment ref="F355" dT="2025-02-13T10:05:11.33" personId="{17D30B62-2123-41F1-B603-E5411FDFA3E0}" id="{16F2F895-3889-4A99-B3C7-2221560B3E25}">
    <text>Habitacion doble para trabajadores cant 1 Costo 60€/noche
Habitacion triple para trabajadores cant 3 Costo 75€/noche cada una
(camas separadas)</text>
  </threadedComment>
  <threadedComment ref="F356" dT="2025-02-13T10:05:11.33" personId="{17D30B62-2123-41F1-B603-E5411FDFA3E0}" id="{39B79ECC-9163-4F53-AFBC-52BE061A38A1}">
    <text>Habitacion doble para trabajadores cant 1 Costo 60€/noche
Habitacion triple para trabajadores cant 3 Costo 75€/noche cada una
(camas separadas)</text>
  </threadedComment>
  <threadedComment ref="F357" dT="2025-02-13T10:05:11.33" personId="{17D30B62-2123-41F1-B603-E5411FDFA3E0}" id="{FD625C43-FB65-4092-A33A-5234F54F2DDD}">
    <text>Habitacion doble para trabajadores cant 1 Costo 60€/noche
Habitacion triple para trabajadores cant 3 Costo 75€/noche cada una
(camas separadas)</text>
  </threadedComment>
  <threadedComment ref="F358" dT="2025-02-13T10:05:11.33" personId="{17D30B62-2123-41F1-B603-E5411FDFA3E0}" id="{3BC8012A-D359-47EA-9179-D925293CDA6E}">
    <text>Habitacion doble para trabajadores cant 1 Costo 60€/noche
Habitacion triple para trabajadores cant 3 Costo 75€/noche cada una
(camas separadas)</text>
  </threadedComment>
  <threadedComment ref="F359" dT="2025-02-13T10:05:11.33" personId="{17D30B62-2123-41F1-B603-E5411FDFA3E0}" id="{2C038B7A-ED75-450F-8937-24EBFAED34B0}">
    <text>Habitacion doble para trabajadores cant 1 Costo 60€/noche
Habitacion triple para trabajadores cant 3 Costo 75€/noche cada una
(camas separadas)</text>
  </threadedComment>
  <threadedComment ref="F360" dT="2025-02-13T10:05:11.33" personId="{17D30B62-2123-41F1-B603-E5411FDFA3E0}" id="{9ECE296F-FCE9-43D6-923B-AE93EBD67D44}">
    <text>Habitacion doble para trabajadores cant 1 Costo 60€/noche
Habitacion triple para trabajadores cant 3 Costo 75€/noche cada una
(camas separadas)</text>
  </threadedComment>
  <threadedComment ref="F361" dT="2025-02-13T10:05:11.33" personId="{17D30B62-2123-41F1-B603-E5411FDFA3E0}" id="{5DDFB6C3-0D33-4C4F-9FF9-5F9F37E99704}">
    <text>Habitacion doble para trabajadores cant 1 Costo 60€/noche
Habitacion triple para trabajadores cant 3 Costo 75€/noche cada una
(camas separadas)</text>
  </threadedComment>
  <threadedComment ref="F362" dT="2025-02-13T10:05:11.33" personId="{17D30B62-2123-41F1-B603-E5411FDFA3E0}" id="{19F02485-67E8-45EA-87C1-1B0E5D35B7BD}">
    <text>Habitacion doble para trabajadores cant 1 Costo 60€/noche
Habitacion triple para trabajadores cant 3 Costo 75€/noche cada una
(camas separadas)</text>
  </threadedComment>
  <threadedComment ref="F363" dT="2024-06-25T09:14:46.90" personId="{98986A2A-739A-4851-A979-4B0D560C46CD}" id="{442BA5CB-F226-43EE-A04D-7FD87DD7B71F}">
    <text>Fianza 1000, alquiler 1250, 05 camas. Nuevo Contrato Febrero 2025</text>
  </threadedComment>
  <threadedComment ref="F364" dT="2025-02-13T10:05:11.33" personId="{17D30B62-2123-41F1-B603-E5411FDFA3E0}" id="{247D2CE2-2AC0-4246-A41C-A48E94C17F5D}">
    <text>Habitacion doble para trabajadores cant 1 Costo 60€/noche
Habitacion triple para trabajadores cant 3 Costo 75€/noche cada una
(camas separadas)</text>
  </threadedComment>
  <threadedComment ref="F365" dT="2025-02-13T10:05:11.33" personId="{17D30B62-2123-41F1-B603-E5411FDFA3E0}" id="{56059C14-E16F-41B3-92AA-6BF395995F48}">
    <text>Habitacion doble para trabajadores cant 1 Costo 60€/noche
Habitacion triple para trabajadores cant 3 Costo 75€/noche cada una
(camas separadas)</text>
  </threadedComment>
  <threadedComment ref="F366" dT="2025-02-13T10:05:11.33" personId="{17D30B62-2123-41F1-B603-E5411FDFA3E0}" id="{262BC46F-ED0F-469C-ABE2-AD76478FF901}">
    <text>Habitacion doble para trabajadores cant 1 Costo 60€/noche
Habitacion triple para trabajadores cant 3 Costo 75€/noche cada una
(camas separadas)</text>
  </threadedComment>
  <threadedComment ref="F367" dT="2025-02-13T10:05:11.33" personId="{17D30B62-2123-41F1-B603-E5411FDFA3E0}" id="{18BF94F1-FDF6-4ED7-B4E8-AC1EDC1EA4AC}">
    <text>Habitacion doble para trabajadores cant 1 Costo 60€/noche
Habitacion triple para trabajadores cant 3 Costo 75€/noche cada una
(camas separadas)</text>
  </threadedComment>
  <threadedComment ref="F368" dT="2025-02-13T10:05:11.33" personId="{17D30B62-2123-41F1-B603-E5411FDFA3E0}" id="{8E375B76-5476-4EB1-BAED-767924583F31}">
    <text>Habitacion doble para trabajadores cant 1 Costo 60€/noche
Habitacion triple para trabajadores cant 3 Costo 75€/noche cada una
(camas separadas)</text>
  </threadedComment>
  <threadedComment ref="F369" dT="2025-02-13T10:05:11.33" personId="{17D30B62-2123-41F1-B603-E5411FDFA3E0}" id="{0DEB2116-E55A-4216-B45E-B25A0D384211}">
    <text>Habitacion doble para trabajadores cant 1 Costo 60€/noche
Habitacion triple para trabajadores cant 3 Costo 75€/noche cada una
(camas separadas)</text>
  </threadedComment>
  <threadedComment ref="F370" dT="2025-02-13T10:05:11.33" personId="{17D30B62-2123-41F1-B603-E5411FDFA3E0}" id="{CCDDC38D-A7FB-487C-BF7C-121C969A8822}">
    <text>Habitacion doble para trabajadores cant 1 Costo 60€/noche
Habitacion triple para trabajadores cant 3 Costo 75€/noche cada una
(camas separadas)</text>
  </threadedComment>
  <threadedComment ref="F371" dT="2025-02-13T10:05:11.33" personId="{17D30B62-2123-41F1-B603-E5411FDFA3E0}" id="{935D8371-9BD3-4417-BAEC-D582B89CBE7F}">
    <text>Habitacion doble para trabajadores cant 1 Costo 60€/noche
Habitacion triple para trabajadores cant 3 Costo 75€/noche cada una
(camas separadas)</text>
  </threadedComment>
  <threadedComment ref="F372" dT="2025-02-13T10:05:11.33" personId="{17D30B62-2123-41F1-B603-E5411FDFA3E0}" id="{0773CA36-D5E9-4006-9B41-0B87FE88E10C}">
    <text>Habitacion doble para trabajadores cant 1 Costo 60€/noche
Habitacion triple para trabajadores cant 3 Costo 75€/noche cada una
(camas separadas)</text>
  </threadedComment>
  <threadedComment ref="F373" dT="2025-02-13T10:05:11.33" personId="{17D30B62-2123-41F1-B603-E5411FDFA3E0}" id="{1AAF68EB-35D3-476D-9203-61FC7BDE27FE}">
    <text>Habitacion doble para trabajadores cant 1 Costo 60€/noche
Habitacion triple para trabajadores cant 3 Costo 75€/noche cada una
(camas separadas)</text>
  </threadedComment>
  <threadedComment ref="F374" dT="2024-08-27T13:30:26.82" personId="{8BEA8CB1-BB33-44FC-A791-4439DE945680}" id="{7AEF9994-6C6E-4505-B3F3-7D82F5166847}">
    <text>ALQUILER 1000 FIANZA 300 CAMAS 3</text>
  </threadedComment>
  <threadedComment ref="F375" dT="2025-02-13T10:05:11.33" personId="{17D30B62-2123-41F1-B603-E5411FDFA3E0}" id="{E900399E-9560-4666-BB92-EB1F712853D3}">
    <text>Habitacion doble para trabajadores cant 1 Costo 60€/noche
Habitacion triple para trabajadores cant 3 Costo 75€/noche cada una
(camas separadas)</text>
  </threadedComment>
  <threadedComment ref="F376" dT="2025-02-13T10:05:11.33" personId="{17D30B62-2123-41F1-B603-E5411FDFA3E0}" id="{CF89DE6D-41F6-4797-B87C-0C62C60E33DA}">
    <text>Habitacion doble para trabajadores cant 1 Costo 60€/noche
Habitacion triple para trabajadores cant 3 Costo 75€/noche cada una
(camas separadas)</text>
  </threadedComment>
  <threadedComment ref="F377" dT="2024-06-25T09:14:46.90" personId="{98986A2A-739A-4851-A979-4B0D560C46CD}" id="{6A848087-FAF5-46CC-9F78-25A15A34B00C}">
    <text>Fianza 1000, alquiler 1250, 05 camas. Nuevo Contrato Febrero 2025</text>
  </threadedComment>
  <threadedComment ref="F378" dT="2024-12-02T09:17:44.96" personId="{98986A2A-739A-4851-A979-4B0D560C46CD}" id="{2C60FBF3-01B4-4464-AF39-D97609A6374F}">
    <text>08 CAMAS</text>
  </threadedComment>
  <threadedComment ref="F379" dT="2025-02-13T10:05:11.33" personId="{17D30B62-2123-41F1-B603-E5411FDFA3E0}" id="{BDAE283B-5226-49F6-9DA6-DBEBE4800E3A}">
    <text>Habitacion doble para trabajadores cant 1 Costo 60€/noche
Habitacion triple para trabajadores cant 3 Costo 75€/noche cada una
(camas separadas)</text>
  </threadedComment>
  <threadedComment ref="F381" dT="2025-02-13T10:05:11.33" personId="{17D30B62-2123-41F1-B603-E5411FDFA3E0}" id="{315991F4-D8DE-429F-A588-07C81D3C3467}">
    <text>Habitacion doble para trabajadores cant 1 Costo 60€/noche
Habitacion triple para trabajadores cant 3 Costo 75€/noche cada una
(camas separadas)</text>
  </threadedComment>
  <threadedComment ref="F382" dT="2025-02-13T10:05:11.33" personId="{17D30B62-2123-41F1-B603-E5411FDFA3E0}" id="{8B9B5F76-0200-4389-AE34-777A50D03E8C}">
    <text>Habitacion doble para trabajadores cant 1 Costo 60€/noche
Habitacion triple para trabajadores cant 3 Costo 75€/noche cada una
(camas separadas)</text>
  </threadedComment>
  <threadedComment ref="F383" dT="2025-02-13T10:05:11.33" personId="{17D30B62-2123-41F1-B603-E5411FDFA3E0}" id="{EB6F8FBC-63EF-450B-956E-9F397DED0F80}">
    <text>Habitacion doble para trabajadores cant 1 Costo 60€/noche
Habitacion triple para trabajadores cant 3 Costo 75€/noche cada una
(camas separadas)</text>
  </threadedComment>
  <threadedComment ref="F384" dT="2025-02-13T10:05:11.33" personId="{17D30B62-2123-41F1-B603-E5411FDFA3E0}" id="{0EEAAC8C-460B-472D-86B3-5DFFE3E173F0}">
    <text>Habitacion doble para trabajadores cant 1 Costo 60€/noche
Habitacion triple para trabajadores cant 3 Costo 75€/noche cada una
(camas separadas)</text>
  </threadedComment>
  <threadedComment ref="F385" dT="2025-02-13T10:05:11.33" personId="{17D30B62-2123-41F1-B603-E5411FDFA3E0}" id="{35DC51CF-7103-4AA5-826A-9AB7D4C317EA}">
    <text>Habitacion doble para trabajadores cant 1 Costo 60€/noche
Habitacion triple para trabajadores cant 3 Costo 75€/noche cada una
(camas separadas)</text>
  </threadedComment>
  <threadedComment ref="F386" dT="2025-02-13T10:05:11.33" personId="{17D30B62-2123-41F1-B603-E5411FDFA3E0}" id="{879DFDFD-61BE-41E8-9E15-424B6638D361}">
    <text>Habitacion doble para trabajadores cant 1 Costo 60€/noche
Habitacion triple para trabajadores cant 3 Costo 75€/noche cada una
(camas separadas)</text>
  </threadedComment>
  <threadedComment ref="F387" dT="2025-02-13T10:05:11.33" personId="{17D30B62-2123-41F1-B603-E5411FDFA3E0}" id="{E7BE95AC-C2EF-46F1-B66E-4831F51F29C3}">
    <text xml:space="preserve">695€Alquiler
695€ Fianza
4 camas </text>
  </threadedComment>
  <threadedComment ref="F388" dT="2025-02-13T10:05:11.33" personId="{17D30B62-2123-41F1-B603-E5411FDFA3E0}" id="{2F37B56B-BC61-445B-93FF-18A6A3A86CCB}">
    <text>Habitacion doble para trabajadores cant 1 Costo 60€/noche
Habitacion triple para trabajadores cant 3 Costo 75€/noche cada una
(camas separadas)</text>
  </threadedComment>
  <threadedComment ref="F389" dT="2024-08-19T11:49:32.68" personId="{98986A2A-739A-4851-A979-4B0D560C46CD}" id="{72853EFD-5823-4B27-9407-F09639DB2A05}">
    <text>3 habitaciones</text>
  </threadedComment>
  <threadedComment ref="F390" dT="2025-02-13T10:05:11.33" personId="{17D30B62-2123-41F1-B603-E5411FDFA3E0}" id="{7B1BC648-B67D-422C-AC59-E59FD2C1302B}">
    <text>Habitacion doble para trabajadores cant 1 Costo 60€/noche
Habitacion triple para trabajadores cant 3 Costo 75€/noche cada una
(camas separadas)</text>
  </threadedComment>
  <threadedComment ref="F391" dT="2025-02-13T10:05:11.33" personId="{17D30B62-2123-41F1-B603-E5411FDFA3E0}" id="{E0C1E0A2-7A80-4595-8D1A-A81DB0E837AB}">
    <text>Habitacion doble para trabajadores cant 1 Costo 60€/noche
Habitacion triple para trabajadores cant 3 Costo 75€/noche cada una
(camas separadas)</text>
  </threadedComment>
  <threadedComment ref="F392" dT="2025-02-13T10:05:11.33" personId="{17D30B62-2123-41F1-B603-E5411FDFA3E0}" id="{926490A3-5DAA-4228-AD4D-53CA1FA9736A}">
    <text>Habitacion doble para trabajadores cant 1 Costo 60€/noche
Habitacion triple para trabajadores cant 3 Costo 75€/noche cada una
(camas separadas)</text>
  </threadedComment>
  <threadedComment ref="F393" dT="2025-02-26T14:56:43.99" personId="{17D30B62-2123-41F1-B603-E5411FDFA3E0}" id="{81E4CB3B-F0EB-4954-A905-D3FC29CCC1A1}">
    <text>Alojamiento para 11 personas.</text>
  </threadedComment>
  <threadedComment ref="F394" dT="2025-02-13T10:05:11.33" personId="{17D30B62-2123-41F1-B603-E5411FDFA3E0}" id="{A26B0B2B-90E6-46AD-B0B6-3D636CBE8F28}">
    <text>Habitacion doble para trabajadores cant 1 Costo 60€/noche
Habitacion triple para trabajadores cant 3 Costo 75€/noche cada una
(camas separadas)</text>
  </threadedComment>
  <threadedComment ref="F395" dT="2025-02-13T10:05:11.33" personId="{17D30B62-2123-41F1-B603-E5411FDFA3E0}" id="{4890F4DC-BD51-426A-8028-D33A53C1F8F0}">
    <text>Habitacion doble para trabajadores cant 1 Costo 60€/noche
Habitacion triple para trabajadores cant 3 Costo 75€/noche cada una
(camas separadas)</text>
  </threadedComment>
  <threadedComment ref="F396" dT="2025-02-13T10:05:11.33" personId="{17D30B62-2123-41F1-B603-E5411FDFA3E0}" id="{ED7DF6C0-26FD-4A39-B18F-8336A7ED14EB}">
    <text>Habitacion doble para trabajadores cant 1 Costo 60€/noche
Habitacion triple para trabajadores cant 3 Costo 75€/noche cada una
(camas separadas)</text>
  </threadedComment>
  <threadedComment ref="F397" dT="2025-02-13T10:05:11.33" personId="{17D30B62-2123-41F1-B603-E5411FDFA3E0}" id="{9B5861AB-59AE-4E6E-9A71-EABBFD781AB4}">
    <text>Habitacion doble para trabajadores cant 1 Costo 60€/noche
Habitacion triple para trabajadores cant 3 Costo 75€/noche cada una
(camas separadas)</text>
  </threadedComment>
  <threadedComment ref="F398" dT="2025-02-13T10:05:11.33" personId="{17D30B62-2123-41F1-B603-E5411FDFA3E0}" id="{C9DE12B7-B1EF-4423-83E3-CF43033F7574}">
    <text>Habitacion doble para trabajadores cant 1 Costo 60€/noche
Habitacion triple para trabajadores cant 3 Costo 75€/noche cada una
(camas separadas)</text>
  </threadedComment>
  <threadedComment ref="F399" dT="2025-02-13T10:05:11.33" personId="{17D30B62-2123-41F1-B603-E5411FDFA3E0}" id="{187DDEC1-2F05-4277-B1F0-3154F40B265A}">
    <text>Habitacion doble para trabajadores cant 1 Costo 60€/noche
Habitacion triple para trabajadores cant 3 Costo 75€/noche cada una
(camas separadas)</text>
  </threadedComment>
  <threadedComment ref="F400" dT="2025-02-13T10:05:11.33" personId="{17D30B62-2123-41F1-B603-E5411FDFA3E0}" id="{913DEF1B-8686-4B1E-B308-F3A8F1570279}">
    <text>Habitacion doble para trabajadores cant 1 Costo 60€/noche
Habitacion triple para trabajadores cant 3 Costo 75€/noche cada una
(camas separadas)</text>
  </threadedComment>
  <threadedComment ref="F401" dT="2025-02-13T10:05:11.33" personId="{17D30B62-2123-41F1-B603-E5411FDFA3E0}" id="{A31797EB-AB2B-4F62-B740-803BA3A701B6}">
    <text>Habitacion doble para trabajadores cant 1 Costo 60€/noche
Habitacion triple para trabajadores cant 3 Costo 75€/noche cada una
(camas separadas)</text>
  </threadedComment>
  <threadedComment ref="F402" dT="2025-02-26T14:29:45.42" personId="{17D30B62-2123-41F1-B603-E5411FDFA3E0}" id="{9BAF6F71-C3DC-423E-9B48-B2CE578960EE}">
    <text>9 Camas, Alquiler 2300€, Fianza 700€</text>
  </threadedComment>
  <threadedComment ref="F402" dT="2026-01-21T15:11:00.84" personId="{4D8483EF-5A39-4E7B-A473-929EF5A077E1}" id="{1096B912-0C93-4E96-9FDD-07143B719062}" parentId="{9BAF6F71-C3DC-423E-9B48-B2CE578960EE}">
    <text xml:space="preserve">Descuento a 2000€ </text>
  </threadedComment>
  <threadedComment ref="F405" dT="2025-02-13T10:05:11.33" personId="{17D30B62-2123-41F1-B603-E5411FDFA3E0}" id="{BD78954C-0B0C-476D-8453-86E55F8E56FC}">
    <text>Habitacion doble para trabajadores cant 1 Costo 60€/noche
Habitacion triple para trabajadores cant 3 Costo 75€/noche cada una
(camas separadas)</text>
  </threadedComment>
  <threadedComment ref="F406" dT="2025-02-13T10:05:11.33" personId="{17D30B62-2123-41F1-B603-E5411FDFA3E0}" id="{63598B2C-B960-4FF0-BB70-4DD5638FFAAA}">
    <text>Habitacion doble para trabajadores cant 1 Costo 60€/noche
Habitacion triple para trabajadores cant 3 Costo 75€/noche cada una
(camas separadas)</text>
  </threadedComment>
  <threadedComment ref="F407" dT="2025-02-13T10:05:11.33" personId="{17D30B62-2123-41F1-B603-E5411FDFA3E0}" id="{41CFA8A5-F3D6-4387-9A51-0C8C9BB126C0}">
    <text>Habitacion doble para trabajadores cant 1 Costo 60€/noche
Habitacion triple para trabajadores cant 3 Costo 75€/noche cada una
(camas separadas)</text>
  </threadedComment>
  <threadedComment ref="F409" dT="2025-02-13T10:05:11.33" personId="{17D30B62-2123-41F1-B603-E5411FDFA3E0}" id="{EADA0789-5365-44CE-88D3-8651A449EFC8}">
    <text>Habitacion doble para trabajadores cant 1 Costo 60€/noche
Habitacion triple para trabajadores cant 3 Costo 75€/noche cada una
(camas separadas)</text>
  </threadedComment>
  <threadedComment ref="F410" dT="2025-02-13T10:05:11.33" personId="{17D30B62-2123-41F1-B603-E5411FDFA3E0}" id="{EA7D76F1-CA07-4C67-B28F-A44DB2FCB8D0}">
    <text>Habitacion doble para trabajadores cant 1 Costo 60€/noche
Habitacion triple para trabajadores cant 3 Costo 75€/noche cada una
(camas separadas)</text>
  </threadedComment>
  <threadedComment ref="F411" dT="2025-02-13T10:05:11.33" personId="{17D30B62-2123-41F1-B603-E5411FDFA3E0}" id="{DE8E8C3F-4FA8-498B-82B9-B46045CACC74}">
    <text>Habitacion doble para trabajadores cant 1 Costo 60€/noche
Habitacion triple para trabajadores cant 3 Costo 75€/noche cada una
(camas separadas)</text>
  </threadedComment>
  <threadedComment ref="F412" dT="2025-02-13T10:05:11.33" personId="{17D30B62-2123-41F1-B603-E5411FDFA3E0}" id="{A99ED56C-5C79-4D45-B493-4993108FF338}">
    <text>Habitacion doble para trabajadores cant 1 Costo 60€/noche
Habitacion triple para trabajadores cant 3 Costo 75€/noche cada una
(camas separadas)</text>
  </threadedComment>
  <threadedComment ref="F413" dT="2025-02-13T10:05:11.33" personId="{17D30B62-2123-41F1-B603-E5411FDFA3E0}" id="{FCD0B773-1C3A-4B25-9580-518F48175A86}">
    <text>Habitacion doble para trabajadores cant 1 Costo 60€/noche
Habitacion triple para trabajadores cant 3 Costo 75€/noche cada una
(camas separadas)</text>
  </threadedComment>
  <threadedComment ref="F414" dT="2025-02-13T10:05:11.33" personId="{17D30B62-2123-41F1-B603-E5411FDFA3E0}" id="{8E773F2C-63F8-42A2-AF9E-29DF5B410E34}">
    <text>Habitacion doble para trabajadores cant 1 Costo 60€/noche
Habitacion triple para trabajadores cant 3 Costo 75€/noche cada una
(camas separadas)</text>
  </threadedComment>
  <threadedComment ref="F415" dT="2025-02-13T10:05:11.33" personId="{17D30B62-2123-41F1-B603-E5411FDFA3E0}" id="{17F5EBB9-1260-4B5C-9098-5BBCBC590A6B}">
    <text>4 Habitaciones 5 camas 1 sofá</text>
  </threadedComment>
  <threadedComment ref="F415" dT="2025-11-07T07:08:43.68" personId="{98986A2A-739A-4851-A979-4B0D560C46CD}" id="{99FDC2CD-F378-4FB4-94DF-9D6C1B712863}" parentId="{17F5EBB9-1260-4B5C-9098-5BBCBC590A6B}">
    <text>875,50 alquiler</text>
  </threadedComment>
  <threadedComment ref="F415" dT="2026-08-19T09:16:29.54" personId="{E3C446A3-37B8-466B-82DA-8F7BAC7681F7}" id="{FA9B0A1F-0731-45AF-97E0-F70F6EE3FB29}" parentId="{17F5EBB9-1260-4B5C-9098-5BBCBC590A6B}">
    <text>FIANZA 1700€</text>
  </threadedComment>
  <threadedComment ref="F416" dT="2025-02-13T10:05:11.33" personId="{17D30B62-2123-41F1-B603-E5411FDFA3E0}" id="{5BABDA90-60EB-4D0E-9448-50862CC11471}">
    <text>Habitacion doble para trabajadores cant 1 Costo 60€/noche
Habitacion triple para trabajadores cant 3 Costo 75€/noche cada una
(camas separadas)</text>
  </threadedComment>
  <threadedComment ref="F418" dT="2025-02-13T10:05:11.33" personId="{17D30B62-2123-41F1-B603-E5411FDFA3E0}" id="{5A82478C-F255-46DB-B814-7830D46AFDD1}">
    <text>Habitacion doble para trabajadores cant 1 Costo 60€/noche
Habitacion triple para trabajadores cant 3 Costo 75€/noche cada una
(camas separadas)</text>
  </threadedComment>
  <threadedComment ref="F419" dT="2025-02-13T10:05:11.33" personId="{17D30B62-2123-41F1-B603-E5411FDFA3E0}" id="{BF5B6A58-A44D-4301-9E6E-F4EE3519D8C7}">
    <text>Habitacion doble para trabajadores cant 1 Costo 60€/noche
Habitacion triple para trabajadores cant 3 Costo 75€/noche cada una
(camas separadas)</text>
  </threadedComment>
  <threadedComment ref="F420" dT="2025-02-13T10:05:11.33" personId="{17D30B62-2123-41F1-B603-E5411FDFA3E0}" id="{093C9CC8-243B-4E4C-8690-810F9EDFFC87}">
    <text>Habitacion doble para trabajadores cant 1 Costo 60€/noche
Habitacion triple para trabajadores cant 3 Costo 75€/noche cada una
(camas separadas)</text>
  </threadedComment>
  <threadedComment ref="F421" dT="2024-12-07T09:48:49.17" personId="{98986A2A-739A-4851-A979-4B0D560C46CD}" id="{6FD85F66-2119-4D05-9CFD-A4557F8B8842}">
    <text>ALQUILER 580, FIANZA 580, 4 CAMAS. Contrato pago hasta Febrero</text>
  </threadedComment>
  <threadedComment ref="F422" dT="2025-02-13T10:05:11.33" personId="{17D30B62-2123-41F1-B603-E5411FDFA3E0}" id="{B6C4E78B-17A9-42E0-91FA-EB040BBCBA86}">
    <text>Habitacion doble para trabajadores cant 1 Costo 60€/noche
Habitacion triple para trabajadores cant 3 Costo 75€/noche cada una
(camas separadas)</text>
  </threadedComment>
  <threadedComment ref="F424" dT="2025-02-13T10:05:11.33" personId="{17D30B62-2123-41F1-B603-E5411FDFA3E0}" id="{087984F5-6232-47BA-8D72-0A2E99B225A0}">
    <text>Habitacion doble para trabajadores cant 1 Costo 60€/noche
Habitacion triple para trabajadores cant 3 Costo 75€/noche cada una
(camas separadas)</text>
  </threadedComment>
  <threadedComment ref="F425" dT="2025-02-13T10:05:11.33" personId="{17D30B62-2123-41F1-B603-E5411FDFA3E0}" id="{493AE948-C355-427B-A36C-72FD9F987E6E}">
    <text>Habitacion doble para trabajadores cant 1 Costo 60€/noche
Habitacion triple para trabajadores cant 3 Costo 75€/noche cada una
(camas separadas)</text>
  </threadedComment>
  <threadedComment ref="F426" dT="2025-02-13T10:05:11.33" personId="{17D30B62-2123-41F1-B603-E5411FDFA3E0}" id="{578D42DF-71D3-4273-89DE-6B2DC6671209}">
    <text>Habitacion doble para trabajadores cant 1 Costo 60€/noche
Habitacion triple para trabajadores cant 3 Costo 75€/noche cada una
(camas separadas)</text>
  </threadedComment>
  <threadedComment ref="F427" dT="2025-02-13T10:05:11.33" personId="{17D30B62-2123-41F1-B603-E5411FDFA3E0}" id="{83032402-E611-459E-BB81-EF51C293A759}">
    <text>Habitacion doble para trabajadores cant 1 Costo 60€/noche
Habitacion triple para trabajadores cant 3 Costo 75€/noche cada una
(camas separadas)</text>
  </threadedComment>
  <threadedComment ref="W427" dT="2024-10-16T16:17:19.67" personId="{98986A2A-739A-4851-A979-4B0D560C46CD}" id="{41339EBE-85C1-4CF9-A4EB-702BD88AD74C}">
    <text>Esta fianza pasa al pedido 375</text>
  </threadedComment>
  <threadedComment ref="F428" dT="2025-02-13T10:05:11.33" personId="{17D30B62-2123-41F1-B603-E5411FDFA3E0}" id="{464B7E09-5144-42DD-9946-7C237D9BA5C1}">
    <text>Habitacion doble para trabajadores cant 1 Costo 60€/noche
Habitacion triple para trabajadores cant 3 Costo 75€/noche cada una
(camas separadas)</text>
  </threadedComment>
  <threadedComment ref="F429" dT="2025-02-13T10:05:11.33" personId="{17D30B62-2123-41F1-B603-E5411FDFA3E0}" id="{4EF7F28F-412A-4169-8B89-8C5A1A36F42F}">
    <text>Habitacion doble para trabajadores cant 1 Costo 60€/noche
Habitacion triple para trabajadores cant 3 Costo 75€/noche cada una
(camas separadas)</text>
  </threadedComment>
  <threadedComment ref="F430" dT="2025-02-13T10:05:11.33" personId="{17D30B62-2123-41F1-B603-E5411FDFA3E0}" id="{E9D5ABE8-6A1F-4F66-9D5F-15688072CDC8}">
    <text>Habitacion doble para trabajadores cant 1 Costo 60€/noche
Habitacion triple para trabajadores cant 3 Costo 75€/noche cada una
(camas separadas)</text>
  </threadedComment>
  <threadedComment ref="F431" dT="2025-02-13T10:05:11.33" personId="{17D30B62-2123-41F1-B603-E5411FDFA3E0}" id="{17B771D2-8A7C-4EA7-8366-8A34CAA0C6F1}">
    <text>Habitacion doble para trabajadores cant 1 Costo 60€/noche
Habitacion triple para trabajadores cant 3 Costo 75€/noche cada una
(camas separadas)</text>
  </threadedComment>
  <threadedComment ref="F432" dT="2025-02-13T10:05:11.33" personId="{17D30B62-2123-41F1-B603-E5411FDFA3E0}" id="{4048DC9D-B29D-4D24-95DC-42335AA164C9}">
    <text>Habitacion doble para trabajadores cant 1 Costo 60€/noche
Habitacion triple para trabajadores cant 3 Costo 75€/noche cada una
(camas separadas)</text>
  </threadedComment>
  <threadedComment ref="F433" dT="2025-02-13T10:05:11.33" personId="{17D30B62-2123-41F1-B603-E5411FDFA3E0}" id="{FE9CBD54-150F-46E0-9DA8-5EF27BF16B6A}">
    <text>Habitacion doble para trabajadores cant 1 Costo 60€/noche
Habitacion triple para trabajadores cant 3 Costo 75€/noche cada una
(camas separadas)</text>
  </threadedComment>
  <threadedComment ref="F434" dT="2025-02-13T10:05:11.33" personId="{17D30B62-2123-41F1-B603-E5411FDFA3E0}" id="{A6882EF9-17AA-44B7-9D6B-0D1D6B091BD9}">
    <text>Habitacion doble para trabajadores cant 1 Costo 60€/noche
Habitacion triple para trabajadores cant 3 Costo 75€/noche cada una
(camas separadas)</text>
  </threadedComment>
  <threadedComment ref="F435" dT="2024-08-19T11:49:32.68" personId="{98986A2A-739A-4851-A979-4B0D560C46CD}" id="{A40A52E8-D0D7-43B8-843D-B2414ACABCA3}">
    <text>3 habitaciones</text>
  </threadedComment>
  <threadedComment ref="F436" dT="2025-02-13T10:05:11.33" personId="{17D30B62-2123-41F1-B603-E5411FDFA3E0}" id="{957FBA4A-5615-4496-BA9E-D2044FFDF9CD}">
    <text>Habitacion doble para trabajadores cant 1 Costo 60€/noche
Habitacion triple para trabajadores cant 3 Costo 75€/noche cada una
(camas separadas)</text>
  </threadedComment>
  <threadedComment ref="F437" dT="2025-02-13T10:05:11.33" personId="{17D30B62-2123-41F1-B603-E5411FDFA3E0}" id="{4C098229-908B-4EBE-B14A-5CE5D5B041DF}">
    <text>Habitacion doble para trabajadores cant 1 Costo 60€/noche
Habitacion triple para trabajadores cant 3 Costo 75€/noche cada una
(camas separadas)</text>
  </threadedComment>
  <threadedComment ref="F438" dT="2025-02-13T10:05:11.33" personId="{17D30B62-2123-41F1-B603-E5411FDFA3E0}" id="{167820F2-51B5-4055-936D-91EB97729A79}">
    <text>Habitacion doble para trabajadores cant 1 Costo 60€/noche
Habitacion triple para trabajadores cant 3 Costo 75€/noche cada una
(camas separadas)</text>
  </threadedComment>
  <threadedComment ref="F439" dT="2025-02-26T14:56:43.99" personId="{17D30B62-2123-41F1-B603-E5411FDFA3E0}" id="{AB0ED2B5-0C7F-4373-A415-30694DAA9FF5}">
    <text>Alojamiento para 9 personas.
 3 apartamentos triples (101-102-121)</text>
  </threadedComment>
  <threadedComment ref="F439" dT="2025-10-14T10:02:06.67" personId="{4D8483EF-5A39-4E7B-A473-929EF5A077E1}" id="{749E7E08-02B1-4A6E-9DFF-732EFC522AEB}" parentId="{AB0ED2B5-0C7F-4373-A415-30694DAA9FF5}">
    <text xml:space="preserve">Alojamiento para 6 personas.
 2 apartamentos triples </text>
  </threadedComment>
  <threadedComment ref="F440" dT="2025-02-13T10:05:11.33" personId="{17D30B62-2123-41F1-B603-E5411FDFA3E0}" id="{C387FE18-F5B2-4D23-A4FF-F322BE3DF81C}">
    <text>Habitacion doble para trabajadores cant 1 Costo 60€/noche
Habitacion triple para trabajadores cant 3 Costo 75€/noche cada una
(camas separadas)</text>
  </threadedComment>
  <threadedComment ref="F441" dT="2025-02-13T10:05:11.33" personId="{17D30B62-2123-41F1-B603-E5411FDFA3E0}" id="{5CBBE8ED-D03A-4105-9997-B2AC84268FCB}">
    <text>Habitacion doble para trabajadores cant 1 Costo 60€/noche
Habitacion triple para trabajadores cant 3 Costo 75€/noche cada una
(camas separadas)</text>
  </threadedComment>
  <threadedComment ref="F442" dT="2024-08-19T11:49:32.68" personId="{98986A2A-739A-4851-A979-4B0D560C46CD}" id="{2882778E-DC6A-41CD-9595-FB40EF70973C}">
    <text>3 habitaciones, 4 camas</text>
  </threadedComment>
  <threadedComment ref="F443" dT="2025-02-13T10:05:11.33" personId="{17D30B62-2123-41F1-B603-E5411FDFA3E0}" id="{EE046C13-DD54-44B7-8985-FCCEC3376BE0}">
    <text>Habitacion doble para trabajadores cant 1 Costo 60€/noche
Habitacion triple para trabajadores cant 3 Costo 75€/noche cada una
(camas separadas)</text>
  </threadedComment>
  <threadedComment ref="F444" dT="2025-02-13T10:05:11.33" personId="{17D30B62-2123-41F1-B603-E5411FDFA3E0}" id="{D11A1598-9B5C-47AB-A7A0-79818B8ECBCC}">
    <text>Habitacion doble para trabajadores cant 1 Costo 60€/noche
Habitacion triple para trabajadores cant 3 Costo 75€/noche cada una
(camas separadas)</text>
  </threadedComment>
  <threadedComment ref="F445" dT="2025-02-13T10:05:11.33" personId="{17D30B62-2123-41F1-B603-E5411FDFA3E0}" id="{4D8A6261-B9AE-4F2E-A705-CDD449615A72}">
    <text>Habitacion doble para trabajadores cant 1 Costo 60€/noche
Habitacion triple para trabajadores cant 3 Costo 75€/noche cada una
(camas separadas)</text>
  </threadedComment>
  <threadedComment ref="F446" dT="2025-02-13T10:05:11.33" personId="{17D30B62-2123-41F1-B603-E5411FDFA3E0}" id="{A76D9791-B15B-439C-99F7-1E1F40E56975}">
    <text>Habitacion doble para trabajadores cant 1 Costo 60€/noche
Habitacion triple para trabajadores cant 3 Costo 75€/noche cada una
(camas separadas)</text>
  </threadedComment>
  <threadedComment ref="F447" dT="2025-02-13T10:05:11.33" personId="{17D30B62-2123-41F1-B603-E5411FDFA3E0}" id="{29291069-7902-4B9D-926C-545143AEE8CC}">
    <text>Habitacion doble para trabajadores cant 1 Costo 60€/noche
Habitacion triple para trabajadores cant 3 Costo 75€/noche cada una
(camas separadas)</text>
  </threadedComment>
  <threadedComment ref="F448" dT="2025-02-13T10:05:11.33" personId="{17D30B62-2123-41F1-B603-E5411FDFA3E0}" id="{83155000-ED43-446E-BB18-E3EDD2B7B4D7}">
    <text>Habitacion doble para trabajadores cant 1 Costo 60€/noche
Habitacion triple para trabajadores cant 3 Costo 75€/noche cada una
(camas separadas)</text>
  </threadedComment>
  <threadedComment ref="F449" dT="2025-02-13T10:05:11.33" personId="{17D30B62-2123-41F1-B603-E5411FDFA3E0}" id="{A3345ED4-1460-4DF1-A508-C11868F7799F}">
    <text>Habitacion doble para trabajadores cant 1 Costo 60€/noche
Habitacion triple para trabajadores cant 3 Costo 75€/noche cada una
(camas separadas)</text>
  </threadedComment>
  <threadedComment ref="F450" dT="2025-02-13T10:05:11.33" personId="{17D30B62-2123-41F1-B603-E5411FDFA3E0}" id="{6774B270-90FA-468D-891E-529C6A7AB891}">
    <text>Habitacion doble para trabajadores cant 1 Costo 60€/noche
Habitacion triple para trabajadores cant 3 Costo 75€/noche cada una
(camas separadas)</text>
  </threadedComment>
  <threadedComment ref="F451" dT="2025-02-13T10:05:11.33" personId="{17D30B62-2123-41F1-B603-E5411FDFA3E0}" id="{1E89CBCE-68C6-43AA-9D18-61C94EAC2E12}">
    <text>Habitacion doble para trabajadores cant 1 Costo 60€/noche
Habitacion triple para trabajadores cant 3 Costo 75€/noche cada una
(camas separadas)</text>
  </threadedComment>
  <threadedComment ref="F452" dT="2025-02-13T10:05:11.33" personId="{17D30B62-2123-41F1-B603-E5411FDFA3E0}" id="{AB321432-662D-4441-A72B-E4F22A9C2879}">
    <text>Habitacion doble para trabajadores cant 1 Costo 60€/noche
Habitacion triple para trabajadores cant 3 Costo 75€/noche cada una
(camas separadas)</text>
  </threadedComment>
  <threadedComment ref="F453" dT="2025-02-13T10:05:11.33" personId="{17D30B62-2123-41F1-B603-E5411FDFA3E0}" id="{ED5CF250-66BC-4A50-B332-4AB0E79D54CE}">
    <text>Habitacion doble para trabajadores cant 1 Costo 60€/noche
Habitacion triple para trabajadores cant 3 Costo 75€/noche cada una
(camas separadas)</text>
  </threadedComment>
  <threadedComment ref="F454" dT="2025-02-13T10:05:11.33" personId="{17D30B62-2123-41F1-B603-E5411FDFA3E0}" id="{6908B281-16CC-4083-B792-F09297B15344}">
    <text>Habitacion doble para trabajadores cant 1 Costo 60€/noche
Habitacion triple para trabajadores cant 3 Costo 75€/noche cada una
(camas separadas)</text>
  </threadedComment>
  <threadedComment ref="F455" dT="2024-09-04T14:01:10.23" personId="{98986A2A-739A-4851-A979-4B0D560C46CD}" id="{6C2531FE-CF8C-4102-9089-963A9AC02E1C}">
    <text>260 € cada habitación, Total 1040€, fianza 1560€</text>
  </threadedComment>
  <threadedComment ref="F456" dT="2025-02-13T10:05:11.33" personId="{17D30B62-2123-41F1-B603-E5411FDFA3E0}" id="{EF026101-F261-4665-8C1F-84C6A64AF485}">
    <text>Alquiler 903.20€ 4 camas</text>
  </threadedComment>
  <threadedComment ref="F457" dT="2025-02-13T10:05:11.33" personId="{17D30B62-2123-41F1-B603-E5411FDFA3E0}" id="{2B6DBB4D-EC11-48A0-A0B2-7E7B7260A7A5}">
    <text>Habitacion doble para trabajadores cant 1 Costo 60€/noche
Habitacion triple para trabajadores cant 3 Costo 75€/noche cada una
(camas separadas)</text>
  </threadedComment>
  <threadedComment ref="F458" dT="2025-02-13T10:05:11.33" personId="{17D30B62-2123-41F1-B603-E5411FDFA3E0}" id="{F5C3C94D-B43C-4796-9F5B-65A2973F8F6A}">
    <text>Habitacion doble para trabajadores cant 1 Costo 60€/noche
Habitacion triple para trabajadores cant 3 Costo 75€/noche cada una
(camas separadas)</text>
  </threadedComment>
  <threadedComment ref="F459" dT="2024-08-08T15:05:50.75" personId="{8BEA8CB1-BB33-44FC-A791-4439DE945680}" id="{CA9B7ACD-CADB-4B1E-B094-65613C1BAA1A}">
    <text>Alquiler 1380 Fianza 2760 Camas 5</text>
  </threadedComment>
  <threadedComment ref="F460" dT="2025-03-18T09:49:27.52" personId="{98986A2A-739A-4851-A979-4B0D560C46CD}" id="{E2963D96-333D-4285-9AF7-5D76A5D41319}">
    <text>04 camas, 400€ alquiler, 400€ fianza</text>
  </threadedComment>
  <threadedComment ref="F461" dT="2025-02-13T10:05:11.33" personId="{17D30B62-2123-41F1-B603-E5411FDFA3E0}" id="{3C97CF48-D05E-41D2-B2A0-BB4076EEE8BB}">
    <text>Habitacion doble para trabajadores cant 1 Costo 60€/noche
Habitacion triple para trabajadores cant 3 Costo 75€/noche cada una
(camas separadas)</text>
  </threadedComment>
  <threadedComment ref="F462" dT="2024-12-07T09:48:49.17" personId="{98986A2A-739A-4851-A979-4B0D560C46CD}" id="{88261B63-1691-45E6-B7BE-721EE3E13A80}">
    <text>ALQUILER 580, FIANZA 580, 4 CAMAS. Contrato pago hasta Febrero</text>
  </threadedComment>
  <threadedComment ref="F463" dT="2025-02-13T10:05:11.33" personId="{17D30B62-2123-41F1-B603-E5411FDFA3E0}" id="{20C3BB0C-E2B1-4BBC-B8F2-EEF7FAD85B52}">
    <text>Habitacion doble para trabajadores cant 1 Costo 60€/noche
Habitacion triple para trabajadores cant 3 Costo 75€/noche cada una
(camas separadas)</text>
  </threadedComment>
  <threadedComment ref="F464" dT="2025-02-13T10:05:11.33" personId="{17D30B62-2123-41F1-B603-E5411FDFA3E0}" id="{3B5E2E74-DEF2-4D32-9592-8C65F14BB6D2}">
    <text>Habitacion doble para trabajadores cant 1 Costo 60€/noche
Habitacion triple para trabajadores cant 3 Costo 75€/noche cada una
(camas separadas)</text>
  </threadedComment>
  <threadedComment ref="F465" dT="2024-12-07T09:48:49.17" personId="{98986A2A-739A-4851-A979-4B0D560C46CD}" id="{730C23B0-69FC-44E7-A9EE-2F0BFC2569FD}">
    <text>ALQUILER 580, FIANZA 580, 4 CAMAS. Contrato pago hasta Febrero</text>
  </threadedComment>
  <threadedComment ref="F466" dT="2025-02-13T10:05:11.33" personId="{17D30B62-2123-41F1-B603-E5411FDFA3E0}" id="{DDAD901A-2AA4-4DBF-BFF0-C05AAA150D19}">
    <text>Habitacion doble para trabajadores cant 1 Costo 60€/noche
Habitacion triple para trabajadores cant 3 Costo 75€/noche cada una
(camas separadas)</text>
  </threadedComment>
  <threadedComment ref="F467" dT="2025-02-13T10:05:11.33" personId="{17D30B62-2123-41F1-B603-E5411FDFA3E0}" id="{D11FAD3C-BBD1-41B4-8733-9AC154195AC9}">
    <text>Habitacion doble para trabajadores cant 1 Costo 60€/noche
Habitacion triple para trabajadores cant 3 Costo 75€/noche cada una
(camas separadas)</text>
  </threadedComment>
  <threadedComment ref="F468" dT="2025-02-13T10:05:11.33" personId="{17D30B62-2123-41F1-B603-E5411FDFA3E0}" id="{308BD4E9-E246-48DB-8135-2F75D305649B}">
    <text>Habitacion doble para trabajadores cant 1 Costo 60€/noche
Habitacion triple para trabajadores cant 3 Costo 75€/noche cada una
(camas separadas)</text>
  </threadedComment>
  <threadedComment ref="F469" dT="2025-02-13T10:05:11.33" personId="{17D30B62-2123-41F1-B603-E5411FDFA3E0}" id="{34C4C650-7D02-473A-8F35-E42764E0EF88}">
    <text>Habitacion doble para trabajadores cant 1 Costo 60€/noche
Habitacion triple para trabajadores cant 3 Costo 75€/noche cada una
(camas separadas)</text>
  </threadedComment>
  <threadedComment ref="F470" dT="2025-02-13T10:05:11.33" personId="{17D30B62-2123-41F1-B603-E5411FDFA3E0}" id="{B5458E14-FD18-42DF-B5A8-A887A9B3277A}">
    <text>Habitacion doble para trabajadores cant 1 Costo 60€/noche
Habitacion triple para trabajadores cant 3 Costo 75€/noche cada una
(camas separadas)</text>
  </threadedComment>
  <threadedComment ref="F471" dT="2025-02-13T10:05:11.33" personId="{17D30B62-2123-41F1-B603-E5411FDFA3E0}" id="{14906936-2B26-48F4-A200-B20F5D7594D9}">
    <text>Habitacion doble para trabajadores cant 1 Costo 60€/noche
Habitacion triple para trabajadores cant 3 Costo 75€/noche cada una
(camas separadas)</text>
  </threadedComment>
  <threadedComment ref="F472" dT="2025-03-10T14:28:20.32" personId="{98986A2A-739A-4851-A979-4B0D560C46CD}" id="{A05ACCC4-A535-4AB0-AB9C-5CF3A3157C1C}">
    <text>02 camas, 700€ alquiler, 500€ fianza</text>
  </threadedComment>
  <threadedComment ref="F473" dT="2025-02-26T14:29:45.42" personId="{17D30B62-2123-41F1-B603-E5411FDFA3E0}" id="{9AF58BEB-6E01-4070-AA7B-298C105648FE}">
    <text>9 Camas, Alquiler 2300€, Fianza 700€</text>
  </threadedComment>
  <threadedComment ref="F473" dT="2026-01-21T15:11:00.84" personId="{4D8483EF-5A39-4E7B-A473-929EF5A077E1}" id="{280CD867-3210-4F43-87BF-5F8BAA5A57B1}" parentId="{9AF58BEB-6E01-4070-AA7B-298C105648FE}">
    <text xml:space="preserve">Descuento a 2000€ </text>
  </threadedComment>
  <threadedComment ref="F474" dT="2025-02-13T10:05:11.33" personId="{17D30B62-2123-41F1-B603-E5411FDFA3E0}" id="{E87B0D8D-0234-4295-B3E6-8ED4E6762297}">
    <text>Habitacion doble para trabajadores cant 1 Costo 60€/noche
Habitacion triple para trabajadores cant 3 Costo 75€/noche cada una
(camas separadas)</text>
  </threadedComment>
  <threadedComment ref="F475" dT="2025-02-13T10:05:11.33" personId="{17D30B62-2123-41F1-B603-E5411FDFA3E0}" id="{2C9BFF4F-469B-42C6-ACD8-564796F31AA9}">
    <text>Habitacion doble para trabajadores cant 1 Costo 60€/noche
Habitacion triple para trabajadores cant 3 Costo 75€/noche cada una
(camas separadas)</text>
  </threadedComment>
  <threadedComment ref="F476" dT="2024-08-19T11:49:32.68" personId="{98986A2A-739A-4851-A979-4B0D560C46CD}" id="{AEE5F870-E147-46FE-BA70-E56E80402BB9}">
    <text>3 habitaciones</text>
  </threadedComment>
  <threadedComment ref="F477" dT="2025-02-13T10:05:11.33" personId="{17D30B62-2123-41F1-B603-E5411FDFA3E0}" id="{55269AD8-F771-4A1D-9BB1-CA128841EAB8}">
    <text>Habitacion doble para trabajadores cant 1 Costo 60€/noche
Habitacion triple para trabajadores cant 3 Costo 75€/noche cada una
(camas separadas)</text>
  </threadedComment>
  <threadedComment ref="F478" dT="2025-04-29T17:02:27.40" personId="{17D30B62-2123-41F1-B603-E5411FDFA3E0}" id="{09050AFD-3873-43A7-93B4-B877E29C99F7}">
    <text xml:space="preserve">Alquiler 1.800€ Fianza 500€ -4 Camas </text>
  </threadedComment>
  <threadedComment ref="F479" dT="2025-02-25T07:41:27.36" personId="{98986A2A-739A-4851-A979-4B0D560C46CD}" id="{18EE7A05-E520-4ADB-AC4F-321580FD8F89}">
    <text>Alquiler 2300 Camas 5</text>
  </threadedComment>
  <threadedComment ref="F480" dT="2026-07-03T08:31:04.30" personId="{98986A2A-739A-4851-A979-4B0D560C46CD}" id="{E6C33292-EE6D-49F2-A1EA-3E01B14B88A3}">
    <text>2000 alquiler, 2000 fianza del piso (Carrer del Monestir de Poblet, 42, 1, Campanar, 46015 València), 04 camas</text>
  </threadedComment>
  <threadedComment ref="U480" dT="2026-07-03T08:54:58.48" personId="{98986A2A-739A-4851-A979-4B0D560C46CD}" id="{43F905D1-F13E-45F4-AA69-2AF76256D884}">
    <text>PTE POR CORREGIR FECHA, ELLOS AÙN NO HAN INGRESADO</text>
  </threadedComment>
  <threadedComment ref="W480" dT="2026-07-03T08:35:15.55" personId="{98986A2A-739A-4851-A979-4B0D560C46CD}" id="{E978819A-BE8D-4A75-AB1D-E5B5D0EE2D33}">
    <text>Esta fianza fue traspasada del piso Carrer del Monestir de Poblet, 42, 1, Campanar, 46015 València</text>
  </threadedComment>
  <threadedComment ref="F481" dT="2025-02-13T10:05:11.33" personId="{17D30B62-2123-41F1-B603-E5411FDFA3E0}" id="{A50C0317-E343-4183-8E9A-A25FE0EFC0B5}">
    <text>Habitacion doble para trabajadores cant 1 Costo 60€/noche
Habitacion triple para trabajadores cant 3 Costo 75€/noche cada una
(camas separadas)</text>
  </threadedComment>
  <threadedComment ref="F482" dT="2025-02-13T10:05:11.33" personId="{17D30B62-2123-41F1-B603-E5411FDFA3E0}" id="{51FE9F10-D271-4947-8DDC-FD83FBD64BA5}">
    <text>Habitacion doble para trabajadores cant 1 Costo 60€/noche
Habitacion triple para trabajadores cant 3 Costo 75€/noche cada una
(camas separadas)</text>
  </threadedComment>
  <threadedComment ref="F483" dT="2024-08-19T11:49:32.68" personId="{98986A2A-739A-4851-A979-4B0D560C46CD}" id="{DE30C165-ED30-4CBC-8590-EC75DDF92DA9}">
    <text>3 habitaciones</text>
  </threadedComment>
  <threadedComment ref="F485" dT="2025-02-13T10:05:11.33" personId="{17D30B62-2123-41F1-B603-E5411FDFA3E0}" id="{4FF8D451-933A-4B3F-8A1B-26F8BE59BC68}">
    <text>Habitacion doble para trabajadores cant 1 Costo 60€/noche
Habitacion triple para trabajadores cant 3 Costo 75€/noche cada una
(camas separadas)</text>
  </threadedComment>
  <threadedComment ref="F486" dT="2025-02-13T10:05:11.33" personId="{17D30B62-2123-41F1-B603-E5411FDFA3E0}" id="{EF747A0F-F10B-42BB-8204-9A509212D3CD}">
    <text>Habitacion doble para trabajadores cant 1 Costo 60€/noche
Habitacion triple para trabajadores cant 3 Costo 75€/noche cada una
(camas separadas)</text>
  </threadedComment>
  <threadedComment ref="W486" dT="2024-08-16T15:02:12.31" personId="{98986A2A-739A-4851-A979-4B0D560C46CD}" id="{297476DB-2A06-4969-9964-C8DB32F8FC12}">
    <text>Carrer Tarragona, tarragona 43820 </text>
  </threadedComment>
  <threadedComment ref="F487" dT="2025-02-13T10:05:11.33" personId="{17D30B62-2123-41F1-B603-E5411FDFA3E0}" id="{7CAA9C42-528D-43F2-BED1-588C8A2C358A}">
    <text>Habitacion doble para trabajadores cant 1 Costo 60€/noche
Habitacion triple para trabajadores cant 3 Costo 75€/noche cada una
(camas separadas)</text>
  </threadedComment>
  <threadedComment ref="F488" dT="2025-02-13T10:05:11.33" personId="{17D30B62-2123-41F1-B603-E5411FDFA3E0}" id="{15985C97-A14F-4236-815C-1FFED46CE3E3}">
    <text>Habitacion doble para trabajadores cant 1 Costo 60€/noche
Habitacion triple para trabajadores cant 3 Costo 75€/noche cada una
(camas separadas)</text>
  </threadedComment>
  <threadedComment ref="F489" dT="2025-02-13T10:05:11.33" personId="{17D30B62-2123-41F1-B603-E5411FDFA3E0}" id="{2EF445B6-DC3C-4745-8A6C-3243AD19BA69}">
    <text>Habitacion doble para trabajadores cant 1 Costo 60€/noche
Habitacion triple para trabajadores cant 3 Costo 75€/noche cada una
(camas separadas)</text>
  </threadedComment>
  <threadedComment ref="F490" dT="2025-02-13T10:05:11.33" personId="{17D30B62-2123-41F1-B603-E5411FDFA3E0}" id="{3ECD2880-DADD-45CF-A614-0CF2BCF7502F}">
    <text>Habitacion doble para trabajadores cant 1 Costo 60€/noche
Habitacion triple para trabajadores cant 3 Costo 75€/noche cada una
(camas separadas)</text>
  </threadedComment>
  <threadedComment ref="F491" dT="2024-08-19T11:49:32.68" personId="{98986A2A-739A-4851-A979-4B0D560C46CD}" id="{F550D3ED-3314-4189-BCDD-50E31CB049CA}">
    <text>3 habitaciones</text>
  </threadedComment>
  <threadedComment ref="F492" dT="2025-02-13T10:05:11.33" personId="{17D30B62-2123-41F1-B603-E5411FDFA3E0}" id="{4F3A4923-07EA-4A2B-89C4-82FFE5BF7337}">
    <text>Habitacion doble para trabajadores cant 1 Costo 60€/noche
Habitacion triple para trabajadores cant 3 Costo 75€/noche cada una
(camas separadas)</text>
  </threadedComment>
  <threadedComment ref="F493" dT="2025-02-13T10:05:11.33" personId="{17D30B62-2123-41F1-B603-E5411FDFA3E0}" id="{7BA5C7F6-65D4-4C41-9AD9-D69D045EFB4E}">
    <text>Habitacion doble para trabajadores cant 1 Costo 60€/noche
Habitacion triple para trabajadores cant 3 Costo 75€/noche cada una
(camas separadas)</text>
  </threadedComment>
  <threadedComment ref="F494" dT="2025-03-03T18:16:08.96" personId="{98986A2A-739A-4851-A979-4B0D560C46CD}" id="{22B67C3A-2744-4E4B-8E85-A593F57751F0}">
    <text>03 camas, 1500€ alquiler, 600€ fianza</text>
  </threadedComment>
  <threadedComment ref="F495" dT="2025-03-03T18:16:08.96" personId="{98986A2A-739A-4851-A979-4B0D560C46CD}" id="{90C93584-1101-49DB-AAEE-445E87095D21}">
    <text>03 camas, 1500€ alquiler, 600€ fianza</text>
  </threadedComment>
  <threadedComment ref="F496" dT="2025-02-13T10:05:11.33" personId="{17D30B62-2123-41F1-B603-E5411FDFA3E0}" id="{0D75C809-0D5D-4BA4-A153-FC4976C78119}">
    <text>Habitacion doble para trabajadores cant 1 Costo 60€/noche
Habitacion triple para trabajadores cant 3 Costo 75€/noche cada una
(camas separadas)</text>
  </threadedComment>
  <threadedComment ref="F497" dT="2025-02-13T10:05:11.33" personId="{17D30B62-2123-41F1-B603-E5411FDFA3E0}" id="{71C032D8-4496-4406-A3FC-5BA35789D9CB}">
    <text>Habitacion doble para trabajadores cant 1 Costo 60€/noche
Habitacion triple para trabajadores cant 3 Costo 75€/noche cada una
(camas separadas)</text>
  </threadedComment>
  <threadedComment ref="F498" dT="2025-02-13T10:05:11.33" personId="{17D30B62-2123-41F1-B603-E5411FDFA3E0}" id="{1E76BC68-BFC6-4D3F-8B2D-2302DF18CCA9}">
    <text>Habitacion doble para trabajadores cant 1 Costo 60€/noche
Habitacion triple para trabajadores cant 3 Costo 75€/noche cada una
(camas separadas)</text>
  </threadedComment>
  <threadedComment ref="F499" dT="2025-02-13T10:05:11.33" personId="{17D30B62-2123-41F1-B603-E5411FDFA3E0}" id="{564A0791-D65B-4F7B-897E-D23E45A5FE52}">
    <text>Habitacion doble para trabajadores cant 1 Costo 60€/noche
Habitacion triple para trabajadores cant 3 Costo 75€/noche cada una
(camas separadas)</text>
  </threadedComment>
  <threadedComment ref="F500" dT="2025-03-03T11:25:05.42" personId="{98986A2A-739A-4851-A979-4B0D560C46CD}" id="{07081967-8D7C-4FD0-AA03-EBD91A3AF1B1}">
    <text>1200€ ALQUILER, 300€ FIANZA, 04 CAMAS</text>
  </threadedComment>
  <threadedComment ref="F501" dT="2025-02-13T10:05:11.33" personId="{17D30B62-2123-41F1-B603-E5411FDFA3E0}" id="{C0E70653-C846-4264-B602-1BBBF2B136D0}">
    <text>Habitacion doble para trabajadores cant 1 Costo 60€/noche
Habitacion triple para trabajadores cant 3 Costo 75€/noche cada una
(camas separadas)</text>
  </threadedComment>
  <threadedComment ref="F502" dT="2025-02-13T10:05:11.33" personId="{17D30B62-2123-41F1-B603-E5411FDFA3E0}" id="{D9E70E1A-3B9A-4E05-AC36-79A1ABBEB6DE}">
    <text>Habitacion doble para trabajadores cant 1 Costo 60€/noche
Habitacion triple para trabajadores cant 3 Costo 75€/noche cada una
(camas separadas)</text>
  </threadedComment>
  <threadedComment ref="F503" dT="2025-02-13T10:05:11.33" personId="{17D30B62-2123-41F1-B603-E5411FDFA3E0}" id="{F8DE5415-5A21-4C2F-9545-C17D8C2023E2}">
    <text>Habitacion doble para trabajadores cant 1 Costo 60€/noche
Habitacion triple para trabajadores cant 3 Costo 75€/noche cada una
(camas separadas)</text>
  </threadedComment>
  <threadedComment ref="F504" dT="2025-02-13T10:05:11.33" personId="{17D30B62-2123-41F1-B603-E5411FDFA3E0}" id="{01E4E99E-9D9F-4D50-AE25-4F6B4C699F9A}">
    <text>Habitacion doble para trabajadores cant 1 Costo 60€/noche
Habitacion triple para trabajadores cant 3 Costo 75€/noche cada una
(camas separadas)</text>
  </threadedComment>
  <threadedComment ref="F505" dT="2025-02-13T10:05:11.33" personId="{17D30B62-2123-41F1-B603-E5411FDFA3E0}" id="{0083DE34-9B84-4D3C-9F1A-F940A9D03550}">
    <text>Habitacion doble para trabajadores cant 1 Costo 60€/noche
Habitacion triple para trabajadores cant 3 Costo 75€/noche cada una
(camas separadas)</text>
  </threadedComment>
  <threadedComment ref="F506" dT="2025-02-13T10:05:11.33" personId="{17D30B62-2123-41F1-B603-E5411FDFA3E0}" id="{33714B47-0C99-4772-B807-724AB0000AD2}">
    <text>Habitacion doble para trabajadores cant 1 Costo 60€/noche
Habitacion triple para trabajadores cant 3 Costo 75€/noche cada una
(camas separadas)</text>
  </threadedComment>
  <threadedComment ref="F507" dT="2025-02-13T10:05:11.33" personId="{17D30B62-2123-41F1-B603-E5411FDFA3E0}" id="{8B17B1EE-0BB4-4C6F-9FBC-3728E8176F8A}">
    <text>Habitacion doble para trabajadores cant 1 Costo 60€/noche
Habitacion triple para trabajadores cant 3 Costo 75€/noche cada una
(camas separadas)</text>
  </threadedComment>
  <threadedComment ref="F508" dT="2025-02-13T10:05:11.33" personId="{17D30B62-2123-41F1-B603-E5411FDFA3E0}" id="{ABE38E1D-0F3A-4D03-BC57-127136D2AAD7}">
    <text>Habitacion doble para trabajadores cant 1 Costo 60€/noche
Habitacion triple para trabajadores cant 3 Costo 75€/noche cada una
(camas separadas)</text>
  </threadedComment>
  <threadedComment ref="F509" dT="2025-02-13T10:05:11.33" personId="{17D30B62-2123-41F1-B603-E5411FDFA3E0}" id="{DD792324-0575-4C51-821F-34D5BD02EFBC}">
    <text>Habitacion doble para trabajadores cant 1 Costo 60€/noche
Habitacion triple para trabajadores cant 3 Costo 75€/noche cada una
(camas separadas)</text>
  </threadedComment>
  <threadedComment ref="F510" dT="2025-02-13T10:05:11.33" personId="{17D30B62-2123-41F1-B603-E5411FDFA3E0}" id="{10602287-D4D8-4DD2-83AA-48842CF6DEC7}">
    <text>Habitacion doble para trabajadores cant 1 Costo 60€/noche
Habitacion triple para trabajadores cant 3 Costo 75€/noche cada una
(camas separadas)</text>
  </threadedComment>
  <threadedComment ref="F511" dT="2025-02-13T10:05:11.33" personId="{17D30B62-2123-41F1-B603-E5411FDFA3E0}" id="{95F32C93-6EDB-49F2-AF9B-EC8CE813B815}">
    <text>Habitacion doble para trabajadores cant 1 Costo 60€/noche
Habitacion triple para trabajadores cant 3 Costo 75€/noche cada una
(camas separadas)</text>
  </threadedComment>
  <threadedComment ref="F513" dT="2025-02-13T10:05:11.33" personId="{17D30B62-2123-41F1-B603-E5411FDFA3E0}" id="{CB7E2480-3824-41FB-8C8B-DA97974D98ED}">
    <text>Habitacion doble para trabajadores cant 1 Costo 60€/noche
Habitacion triple para trabajadores cant 3 Costo 75€/noche cada una
(camas separadas)</text>
  </threadedComment>
  <threadedComment ref="F514" dT="2025-03-10T14:58:16.62" personId="{17D30B62-2123-41F1-B603-E5411FDFA3E0}" id="{2C42C202-A44B-4AA9-9E23-2F73402E0892}">
    <text>4 Camas  Alquiler 680 fianza1.360</text>
  </threadedComment>
  <threadedComment ref="F515" dT="2025-02-13T10:05:11.33" personId="{17D30B62-2123-41F1-B603-E5411FDFA3E0}" id="{51E97B65-8569-4DB7-A7C2-1825034EAFCD}">
    <text>Habitacion doble para trabajadores cant 1 Costo 60€/noche
Habitacion triple para trabajadores cant 3 Costo 75€/noche cada una
(camas separadas)</text>
  </threadedComment>
  <threadedComment ref="F516" dT="2025-02-13T10:05:11.33" personId="{17D30B62-2123-41F1-B603-E5411FDFA3E0}" id="{0662A0F6-8988-490F-AE33-5047BD3EA77C}">
    <text>Habitacion doble para trabajadores cant 1 Costo 60€/noche
Habitacion triple para trabajadores cant 3 Costo 75€/noche cada una
(camas separadas)</text>
  </threadedComment>
  <threadedComment ref="F517" dT="2025-02-13T10:05:11.33" personId="{17D30B62-2123-41F1-B603-E5411FDFA3E0}" id="{DCE83A63-C0D4-42B3-87A2-48B337B93BCF}">
    <text>Habitacion doble para trabajadores cant 1 Costo 60€/noche
Habitacion triple para trabajadores cant 3 Costo 75€/noche cada una
(camas separadas)</text>
  </threadedComment>
  <threadedComment ref="F518" dT="2025-02-13T10:05:11.33" personId="{17D30B62-2123-41F1-B603-E5411FDFA3E0}" id="{D7896E78-7237-4C80-85B5-D6DFAAE9D84D}">
    <text>Habitacion doble para trabajadores cant 1 Costo 60€/noche
Habitacion triple para trabajadores cant 3 Costo 75€/noche cada una
(camas separadas)</text>
  </threadedComment>
  <threadedComment ref="F519" dT="2025-02-13T10:05:11.33" personId="{17D30B62-2123-41F1-B603-E5411FDFA3E0}" id="{92F0ACCB-D872-418D-9D61-3D8AC5990C62}">
    <text>Habitacion doble para trabajadores cant 1 Costo 60€/noche
Habitacion triple para trabajadores cant 3 Costo 75€/noche cada una
(camas separadas)</text>
  </threadedComment>
  <threadedComment ref="F520" dT="2024-11-25T07:37:46.25" personId="{17D30B62-2123-41F1-B603-E5411FDFA3E0}" id="{A1E2A8BE-5719-402D-B809-957ADAAE19EC}">
    <text>Alquiler 700 Camas 2</text>
  </threadedComment>
  <threadedComment ref="F521" dT="2025-02-13T10:05:11.33" personId="{17D30B62-2123-41F1-B603-E5411FDFA3E0}" id="{E0CDA240-9A8E-4BDD-8676-52C0285A48E2}">
    <text>Habitacion doble para trabajadores cant 1 Costo 60€/noche
Habitacion triple para trabajadores cant 3 Costo 75€/noche cada una
(camas separadas)</text>
  </threadedComment>
  <threadedComment ref="F522" dT="2025-02-13T10:05:11.33" personId="{17D30B62-2123-41F1-B603-E5411FDFA3E0}" id="{0CA6283D-6F23-43B9-BAEC-AB2894B1CDDD}">
    <text>Habitacion doble para trabajadores cant 1 Costo 60€/noche
Habitacion triple para trabajadores cant 3 Costo 75€/noche cada una
(camas separadas)</text>
  </threadedComment>
  <threadedComment ref="F523" dT="2025-02-13T10:05:11.33" personId="{17D30B62-2123-41F1-B603-E5411FDFA3E0}" id="{F0B87EEE-BD2D-4573-9A82-969F7AB66BB4}">
    <text>Habitacion doble para trabajadores cant 1 Costo 60€/noche
Habitacion triple para trabajadores cant 3 Costo 75€/noche cada una
(camas separadas)</text>
  </threadedComment>
  <threadedComment ref="F524" dT="2025-02-26T14:56:43.99" personId="{17D30B62-2123-41F1-B603-E5411FDFA3E0}" id="{BB14CC5E-8744-4CFC-B9E1-C7DB8F1547D7}">
    <text>Alojamiento para 11 personas.</text>
  </threadedComment>
  <threadedComment ref="F525" dT="2025-02-13T10:05:11.33" personId="{17D30B62-2123-41F1-B603-E5411FDFA3E0}" id="{B2D539B2-9683-416D-A35E-627327B87D23}">
    <text>Habitacion doble para trabajadores cant 1 Costo 60€/noche
Habitacion triple para trabajadores cant 3 Costo 75€/noche cada una
(camas separadas)</text>
  </threadedComment>
  <threadedComment ref="F526" dT="2025-02-13T10:05:11.33" personId="{17D30B62-2123-41F1-B603-E5411FDFA3E0}" id="{ED7D9131-F354-4501-A564-AFB7116907ED}">
    <text>Habitacion doble para trabajadores cant 1 Costo 60€/noche
Habitacion triple para trabajadores cant 3 Costo 75€/noche cada una
(camas separadas)</text>
  </threadedComment>
  <threadedComment ref="F527" dT="2025-02-13T10:05:11.33" personId="{17D30B62-2123-41F1-B603-E5411FDFA3E0}" id="{BA345E7F-1451-4788-9629-853FCF365524}">
    <text>Habitacion doble para trabajadores cant 1 Costo 60€/noche
Habitacion triple para trabajadores cant 3 Costo 75€/noche cada una
(camas separadas)</text>
  </threadedComment>
  <threadedComment ref="F528" dT="2024-06-25T09:14:46.90" personId="{98986A2A-739A-4851-A979-4B0D560C46CD}" id="{CDAD5548-6DA2-408A-A994-715334058160}">
    <text>Fianza 1000, alquiler 1250, 05 camas. Nuevo Contrato Febrero 2025</text>
  </threadedComment>
  <threadedComment ref="F529" dT="2025-02-13T10:05:11.33" personId="{17D30B62-2123-41F1-B603-E5411FDFA3E0}" id="{9FB4BE4A-A518-4FBD-881A-209AFB62B5A6}">
    <text>Habitacion doble para trabajadores cant 1 Costo 60€/noche
Habitacion triple para trabajadores cant 3 Costo 75€/noche cada una
(camas separadas)</text>
  </threadedComment>
  <threadedComment ref="F530" dT="2025-02-13T10:05:11.33" personId="{17D30B62-2123-41F1-B603-E5411FDFA3E0}" id="{69D9F6D7-A7F8-4A9D-974E-168198C26A45}">
    <text>Habitacion doble para trabajadores cant 1 Costo 60€/noche
Habitacion triple para trabajadores cant 3 Costo 75€/noche cada una
(camas separadas)</text>
  </threadedComment>
  <threadedComment ref="F531" dT="2025-02-13T10:05:11.33" personId="{17D30B62-2123-41F1-B603-E5411FDFA3E0}" id="{629CF72B-544C-417C-ABD7-182863EFE233}">
    <text>Habitacion doble para trabajadores cant 1 Costo 60€/noche
Habitacion triple para trabajadores cant 3 Costo 75€/noche cada una
(camas separadas)</text>
  </threadedComment>
  <threadedComment ref="F532" dT="2025-02-13T10:05:11.33" personId="{17D30B62-2123-41F1-B603-E5411FDFA3E0}" id="{102B3984-C978-43F4-82F0-1C68DE6832E7}">
    <text xml:space="preserve">2 Habitacion </text>
  </threadedComment>
  <threadedComment ref="F533" dT="2025-02-13T10:05:11.33" personId="{17D30B62-2123-41F1-B603-E5411FDFA3E0}" id="{7F11D505-4AE2-4FBA-BA25-56D26BC1CA35}">
    <text>Habitacion doble para trabajadores cant 1 Costo 60€/noche
Habitacion triple para trabajadores cant 3 Costo 75€/noche cada una
(camas separadas)</text>
  </threadedComment>
  <threadedComment ref="F534" dT="2025-02-13T10:05:11.33" personId="{17D30B62-2123-41F1-B603-E5411FDFA3E0}" id="{0F8629EB-2DAD-4041-B799-EA58E7339528}">
    <text>Habitacion doble para trabajadores cant 1 Costo 60€/noche
Habitacion triple para trabajadores cant 3 Costo 75€/noche cada una
(camas separadas)</text>
  </threadedComment>
  <threadedComment ref="F537" dT="2024-12-02T09:17:44.96" personId="{98986A2A-739A-4851-A979-4B0D560C46CD}" id="{839F600A-6AC7-468A-9A32-EF813A01290F}">
    <text>08 CAMAS</text>
  </threadedComment>
  <threadedComment ref="F538" dT="2024-12-02T09:17:44.96" personId="{98986A2A-739A-4851-A979-4B0D560C46CD}" id="{97A63A54-86E2-4E60-90CF-C0CBC37DBDAD}">
    <text>08 CAMAS</text>
  </threadedComment>
  <threadedComment ref="F539" dT="2025-03-07T13:18:36.65" personId="{98986A2A-739A-4851-A979-4B0D560C46CD}" id="{2EC9E184-8DF1-48B3-BB14-653E00A137E6}">
    <text>04 camas, 550€ alquiler, 550€ fianza</text>
  </threadedComment>
  <threadedComment ref="F540" dT="2025-02-13T10:05:11.33" personId="{17D30B62-2123-41F1-B603-E5411FDFA3E0}" id="{E73D9F56-F24D-486E-9F9B-FBC083B59D90}">
    <text>Habitacion doble para trabajadores cant 1 Costo 60€/noche
Habitacion triple para trabajadores cant 3 Costo 75€/noche cada una
(camas separadas)</text>
  </threadedComment>
  <threadedComment ref="F541" dT="2025-02-13T10:05:11.33" personId="{17D30B62-2123-41F1-B603-E5411FDFA3E0}" id="{CE77AC62-793C-46F6-A329-A417668794F0}">
    <text>Habitacion doble para trabajadores cant 1 Costo 60€/noche
Habitacion triple para trabajadores cant 3 Costo 75€/noche cada una
(camas separadas)</text>
  </threadedComment>
  <threadedComment ref="F542" dT="2024-11-05T09:17:59.63" personId="{17D30B62-2123-41F1-B603-E5411FDFA3E0}" id="{9CCF7BF9-AD8D-41AA-A599-EA900B35A957}">
    <text>Alquiler 1400  Fianza 2800 Camas 6</text>
  </threadedComment>
  <threadedComment ref="F542" dT="2024-12-30T10:06:22.23" personId="{98986A2A-739A-4851-A979-4B0D560C46CD}" id="{E474B88F-F466-45C7-8C6B-F35446A4A5AE}" parentId="{9CCF7BF9-AD8D-41AA-A599-EA900B35A957}">
    <text>+01 cama Kotrik llevada 28/12</text>
  </threadedComment>
  <threadedComment ref="F543" dT="2024-11-05T09:17:59.63" personId="{17D30B62-2123-41F1-B603-E5411FDFA3E0}" id="{6D3F1278-EB8A-4E3F-BAB2-F765BE567D66}">
    <text>Alquiler 1400  Fianza 2800 Camas 6</text>
  </threadedComment>
  <threadedComment ref="F543" dT="2024-12-30T10:06:22.23" personId="{98986A2A-739A-4851-A979-4B0D560C46CD}" id="{984097F7-45B7-4B30-AF1B-775B763DC982}" parentId="{6D3F1278-EB8A-4E3F-BAB2-F765BE567D66}">
    <text>+01 cama Kotrik llevada 28/12</text>
  </threadedComment>
  <threadedComment ref="F544" dT="2025-02-13T10:05:11.33" personId="{17D30B62-2123-41F1-B603-E5411FDFA3E0}" id="{29617FD3-0B9E-471C-A883-D10C5234F3ED}">
    <text>Habitacion doble para trabajadores cant 1 Costo 60€/noche
Habitacion triple para trabajadores cant 3 Costo 75€/noche cada una
(camas separadas)</text>
  </threadedComment>
  <threadedComment ref="F545" dT="2025-02-13T10:05:11.33" personId="{17D30B62-2123-41F1-B603-E5411FDFA3E0}" id="{6C0A9973-22D6-4AB2-8BB6-95944AE0CBD8}">
    <text>Habitacion doble para trabajadores cant 1 Costo 60€/noche
Habitacion triple para trabajadores cant 3 Costo 75€/noche cada una
(camas separadas)</text>
  </threadedComment>
  <threadedComment ref="F546" dT="2024-11-05T09:17:59.63" personId="{17D30B62-2123-41F1-B603-E5411FDFA3E0}" id="{E724F0EB-14D6-4AF6-B33B-3EA09442C272}">
    <text>Alquiler 1400  Fianza 2800 Camas 6</text>
  </threadedComment>
  <threadedComment ref="F546" dT="2024-12-30T10:06:22.23" personId="{98986A2A-739A-4851-A979-4B0D560C46CD}" id="{6C7CB444-39D5-4476-BC03-F9A944C30E0E}" parentId="{E724F0EB-14D6-4AF6-B33B-3EA09442C272}">
    <text>+01 cama Kotrik llevada 28/12</text>
  </threadedComment>
  <threadedComment ref="F547" dT="2024-11-05T09:17:59.63" personId="{17D30B62-2123-41F1-B603-E5411FDFA3E0}" id="{F0555DE1-5C5D-485F-8F03-283113B02CE1}">
    <text>Alquiler 1400  Fianza 2800 Camas 6</text>
  </threadedComment>
  <threadedComment ref="F547" dT="2024-12-30T10:06:22.23" personId="{98986A2A-739A-4851-A979-4B0D560C46CD}" id="{D2EE9DDB-3241-4A12-9F80-95BB76DE7B65}" parentId="{F0555DE1-5C5D-485F-8F03-283113B02CE1}">
    <text>+01 cama Kotrik llevada 28/12</text>
  </threadedComment>
  <threadedComment ref="F548" dT="2024-11-05T09:17:59.63" personId="{17D30B62-2123-41F1-B603-E5411FDFA3E0}" id="{EC614E81-3754-45A6-84B9-227096A450C7}">
    <text>Alquiler 1400  Fianza 2800 Camas 6</text>
  </threadedComment>
  <threadedComment ref="F548" dT="2024-12-30T10:06:22.23" personId="{98986A2A-739A-4851-A979-4B0D560C46CD}" id="{5B50AC26-EC5D-47B6-8424-055FDD91C37A}" parentId="{EC614E81-3754-45A6-84B9-227096A450C7}">
    <text>+01 cama Kotrik llevada 28/12</text>
  </threadedComment>
  <threadedComment ref="F549" dT="2024-11-05T09:17:59.63" personId="{17D30B62-2123-41F1-B603-E5411FDFA3E0}" id="{8815EC77-BF4C-46AF-A6F0-4D28897575D6}">
    <text>Alquiler 1400  Fianza 2800 Camas 6</text>
  </threadedComment>
  <threadedComment ref="F549" dT="2024-12-30T10:06:22.23" personId="{98986A2A-739A-4851-A979-4B0D560C46CD}" id="{1BB5BE90-7F0A-468C-B132-9ACA4AD05C5A}" parentId="{8815EC77-BF4C-46AF-A6F0-4D28897575D6}">
    <text>+01 cama Kotrik llevada 28/12</text>
  </threadedComment>
  <threadedComment ref="F550" dT="2025-02-13T10:05:11.33" personId="{17D30B62-2123-41F1-B603-E5411FDFA3E0}" id="{4450A80C-C9CA-4E0C-BCCC-972ED7913828}">
    <text>Habitacion doble para trabajadores cant 1 Costo 60€/noche
Habitacion triple para trabajadores cant 3 Costo 75€/noche cada una
(camas separadas)</text>
  </threadedComment>
  <threadedComment ref="F551" dT="2025-02-13T10:05:11.33" personId="{17D30B62-2123-41F1-B603-E5411FDFA3E0}" id="{B37CA925-8856-4B41-83F4-D4D3187B4B96}">
    <text>Habitacion doble para trabajadores cant 1 Costo 60€/noche
Habitacion triple para trabajadores cant 3 Costo 75€/noche cada una
(camas separadas)</text>
  </threadedComment>
  <threadedComment ref="F552" dT="2024-08-19T11:49:32.68" personId="{98986A2A-739A-4851-A979-4B0D560C46CD}" id="{C6002FC9-2B1B-4D30-BC55-AA14F1637DBB}">
    <text>3 habitaciones</text>
  </threadedComment>
  <threadedComment ref="F553" dT="2024-07-08T10:22:06.21" personId="{98986A2A-739A-4851-A979-4B0D560C46CD}" id="{9F5B0D33-B299-4D8C-82D2-81E513B5575D}">
    <text>1650 FIANZA, 1000 ALQUILER,4 habitaciones</text>
  </threadedComment>
  <threadedComment ref="F554" dT="2025-02-13T10:05:11.33" personId="{17D30B62-2123-41F1-B603-E5411FDFA3E0}" id="{6D693820-EF05-44F9-A5B6-FABA28CD1A89}">
    <text>Habitacion doble para trabajadores cant 1 Costo 60€/noche
Habitacion triple para trabajadores cant 3 Costo 75€/noche cada una
(camas separadas)</text>
  </threadedComment>
  <threadedComment ref="F555" dT="2025-02-13T10:05:11.33" personId="{17D30B62-2123-41F1-B603-E5411FDFA3E0}" id="{6325B447-4042-4D0A-86B6-8FC631CD008F}">
    <text>Habitacion doble para trabajadores cant 1 Costo 60€/noche
Habitacion triple para trabajadores cant 3 Costo 75€/noche cada una
(camas separadas)</text>
  </threadedComment>
  <threadedComment ref="F556" dT="2025-02-13T10:05:11.33" personId="{17D30B62-2123-41F1-B603-E5411FDFA3E0}" id="{9AC1F723-6891-47B7-8762-80C577B17CE3}">
    <text>Habitacion doble para trabajadores cant 1 Costo 60€/noche
Habitacion triple para trabajadores cant 3 Costo 75€/noche cada una
(camas separadas)</text>
  </threadedComment>
  <threadedComment ref="F557" dT="2025-02-13T10:05:11.33" personId="{17D30B62-2123-41F1-B603-E5411FDFA3E0}" id="{B943CCF5-5A8C-4330-BE79-6FA79531D413}">
    <text>Habitacion doble para trabajadores cant 1 Costo 60€/noche
Habitacion triple para trabajadores cant 3 Costo 75€/noche cada una
(camas separadas)</text>
  </threadedComment>
  <threadedComment ref="W557" dT="2024-12-12T12:56:07.23" personId="{98986A2A-739A-4851-A979-4B0D560C46CD}" id="{CB978B86-4691-4407-95DF-26256B2751ED}">
    <text>FIANZA HAROLD LLERENA PEDIDO 051</text>
  </threadedComment>
  <threadedComment ref="F558" dT="2025-02-13T10:05:11.33" personId="{17D30B62-2123-41F1-B603-E5411FDFA3E0}" id="{140501B2-4324-40C3-8126-A4E0F335AE8E}">
    <text xml:space="preserve">2 Habitacion </text>
  </threadedComment>
  <threadedComment ref="F559" dT="2025-02-13T10:05:11.33" personId="{17D30B62-2123-41F1-B603-E5411FDFA3E0}" id="{BC65DB6A-BC1B-45FE-9B33-50FCB7962500}">
    <text>Habitacion doble para trabajadores cant 1 Costo 60€/noche
Habitacion triple para trabajadores cant 3 Costo 75€/noche cada una
(camas separadas)</text>
  </threadedComment>
  <threadedComment ref="F560" dT="2025-02-13T10:05:11.33" personId="{17D30B62-2123-41F1-B603-E5411FDFA3E0}" id="{AE34B559-6241-46F0-AEE0-9628F5C5B18B}">
    <text>Habitacion doble para trabajadores cant 1 Costo 60€/noche
Habitacion triple para trabajadores cant 3 Costo 75€/noche cada una
(camas separadas)</text>
  </threadedComment>
  <threadedComment ref="F561" dT="2025-02-13T10:05:11.33" personId="{17D30B62-2123-41F1-B603-E5411FDFA3E0}" id="{7B677080-94E8-425D-9BEE-6FCD77203C3D}">
    <text>Habitacion doble para trabajadores cant 1 Costo 60€/noche
Habitacion triple para trabajadores cant 3 Costo 75€/noche cada una
(camas separadas)</text>
  </threadedComment>
  <threadedComment ref="F562" dT="2025-02-13T10:05:11.33" personId="{17D30B62-2123-41F1-B603-E5411FDFA3E0}" id="{5D8BDFA3-9EA6-4737-8950-B1B5410F0237}">
    <text>Habitacion doble para trabajadores cant 1 Costo 60€/noche
Habitacion triple para trabajadores cant 3 Costo 75€/noche cada una
(camas separadas)</text>
  </threadedComment>
  <threadedComment ref="F563" dT="2025-02-26T14:29:45.42" personId="{17D30B62-2123-41F1-B603-E5411FDFA3E0}" id="{EC02609D-0FD6-4F6E-A1BC-992331CF9BA1}">
    <text>9 Camas, Alquiler 2300€, Fianza 700€</text>
  </threadedComment>
  <threadedComment ref="F563" dT="2026-01-21T15:11:00.84" personId="{4D8483EF-5A39-4E7B-A473-929EF5A077E1}" id="{FC55E8A9-2283-4E40-9D60-072805FDB06D}" parentId="{EC02609D-0FD6-4F6E-A1BC-992331CF9BA1}">
    <text xml:space="preserve">Descuento a 2000€ </text>
  </threadedComment>
  <threadedComment ref="F564" dT="2025-02-13T10:05:11.33" personId="{17D30B62-2123-41F1-B603-E5411FDFA3E0}" id="{DC71D05C-5867-4FFB-8623-413E55FAD02D}">
    <text>Habitacion doble para trabajadores cant 1 Costo 60€/noche
Habitacion triple para trabajadores cant 3 Costo 75€/noche cada una
(camas separadas)</text>
  </threadedComment>
  <threadedComment ref="F565" dT="2025-02-13T10:05:11.33" personId="{17D30B62-2123-41F1-B603-E5411FDFA3E0}" id="{2F5C86D6-7377-4D95-957C-96E9E5786F47}">
    <text>Habitacion doble para trabajadores cant 1 Costo 60€/noche
Habitacion triple para trabajadores cant 3 Costo 75€/noche cada una
(camas separadas)</text>
  </threadedComment>
  <threadedComment ref="F566" dT="2025-02-13T10:05:11.33" personId="{17D30B62-2123-41F1-B603-E5411FDFA3E0}" id="{27313B12-ECF2-48B9-A6A8-ABC29FDC7EE4}">
    <text>Habitacion doble para trabajadores cant 1 Costo 60€/noche
Habitacion triple para trabajadores cant 3 Costo 75€/noche cada una
(camas separadas)</text>
  </threadedComment>
  <threadedComment ref="F568" dT="2025-02-26T14:56:43.99" personId="{17D30B62-2123-41F1-B603-E5411FDFA3E0}" id="{B5E29548-68DC-47D5-BB1E-D31613D054EB}">
    <text>Alojamiento para 11 personas.</text>
  </threadedComment>
  <threadedComment ref="F569" dT="2025-02-13T10:05:11.33" personId="{17D30B62-2123-41F1-B603-E5411FDFA3E0}" id="{ED2C2692-5036-4496-B38F-D7978CA31D7E}">
    <text>Habitacion doble para trabajadores cant 1 Costo 60€/noche
Habitacion triple para trabajadores cant 3 Costo 75€/noche cada una
(camas separadas)</text>
  </threadedComment>
  <threadedComment ref="F570" dT="2025-02-13T10:05:11.33" personId="{17D30B62-2123-41F1-B603-E5411FDFA3E0}" id="{18E595BD-420A-486B-836A-6C5A22D31CCC}">
    <text>Habitacion doble para trabajadores cant 1 Costo 60€/noche
Habitacion triple para trabajadores cant 3 Costo 75€/noche cada una
(camas separadas)</text>
  </threadedComment>
  <threadedComment ref="F571" dT="2025-02-26T14:56:43.99" personId="{17D30B62-2123-41F1-B603-E5411FDFA3E0}" id="{4F303D35-6F54-4321-BE35-BAC61B072755}">
    <text>Alojamiento para 9 personas.
 3 apartamentos triples (101-102-121)</text>
  </threadedComment>
  <threadedComment ref="F572" dT="2025-02-13T10:05:11.33" personId="{17D30B62-2123-41F1-B603-E5411FDFA3E0}" id="{35879924-4A4F-465F-9B74-2CE1C9DE1CBD}">
    <text>Habitacion doble para trabajadores cant 1 Costo 60€/noche
Habitacion triple para trabajadores cant 3 Costo 75€/noche cada una
(camas separadas)</text>
  </threadedComment>
  <threadedComment ref="F573" dT="2025-02-13T10:05:11.33" personId="{17D30B62-2123-41F1-B603-E5411FDFA3E0}" id="{0025025A-83BD-457A-BA94-F4441FD5CFEA}">
    <text>Habitacion doble para trabajadores cant 1 Costo 60€/noche
Habitacion triple para trabajadores cant 3 Costo 75€/noche cada una
(camas separadas)</text>
  </threadedComment>
  <threadedComment ref="F574" dT="2025-02-13T10:05:11.33" personId="{17D30B62-2123-41F1-B603-E5411FDFA3E0}" id="{BD47FBB5-A4BD-46C5-870B-A93336706382}">
    <text>Habitacion doble para trabajadores cant 1 Costo 60€/noche
Habitacion triple para trabajadores cant 3 Costo 75€/noche cada una
(camas separadas)</text>
  </threadedComment>
  <threadedComment ref="F575" dT="2025-02-13T10:05:11.33" personId="{17D30B62-2123-41F1-B603-E5411FDFA3E0}" id="{C409A929-BEF4-42EC-AAED-DC11867E34CE}">
    <text>Habitacion doble para trabajadores cant 1 Costo 60€/noche
Habitacion triple para trabajadores cant 3 Costo 75€/noche cada una
(camas separadas)</text>
  </threadedComment>
  <threadedComment ref="F576" dT="2025-02-13T10:05:11.33" personId="{17D30B62-2123-41F1-B603-E5411FDFA3E0}" id="{BA265210-EF4B-4877-A429-72B4DA58CC6F}">
    <text>Habitacion doble para trabajadores cant 1 Costo 60€/noche
Habitacion triple para trabajadores cant 3 Costo 75€/noche cada una
(camas separadas)</text>
  </threadedComment>
  <threadedComment ref="F577" dT="2025-03-11T10:08:17.58" personId="{98986A2A-739A-4851-A979-4B0D560C46CD}" id="{F70FB216-02CA-48B3-9DFD-E24DE86ACFC1}">
    <text>06 camas, Renta vivienda 1.380€+ Servicio limpieza 302,50€ =TOTAL 1.682,50€. Fianza 950€ fianza</text>
  </threadedComment>
  <threadedComment ref="F578" dT="2025-02-13T10:05:11.33" personId="{17D30B62-2123-41F1-B603-E5411FDFA3E0}" id="{C8D65E5F-3B7F-476D-A373-C63207A81F2D}">
    <text>Alquiler 903.20€ 4 camas</text>
  </threadedComment>
  <threadedComment ref="F579" dT="2025-02-13T10:05:11.33" personId="{17D30B62-2123-41F1-B603-E5411FDFA3E0}" id="{DD510D20-9725-4E1A-A16A-81997C326A70}">
    <text>Habitacion doble para trabajadores cant 1 Costo 60€/noche
Habitacion triple para trabajadores cant 3 Costo 75€/noche cada una
(camas separadas)</text>
  </threadedComment>
  <threadedComment ref="F580" dT="2025-02-13T10:05:11.33" personId="{17D30B62-2123-41F1-B603-E5411FDFA3E0}" id="{EFB95204-C2C9-4F32-8E82-A7A8533C169B}">
    <text>Habitacion doble para trabajadores cant 1 Costo 60€/noche
Habitacion triple para trabajadores cant 3 Costo 75€/noche cada una
(camas separadas)</text>
  </threadedComment>
  <threadedComment ref="F581" dT="2025-02-13T10:05:11.33" personId="{17D30B62-2123-41F1-B603-E5411FDFA3E0}" id="{E68D3876-7FED-48BD-8EDD-37A41F333FA4}">
    <text>Habitacion doble para trabajadores cant 1 Costo 60€/noche
Habitacion triple para trabajadores cant 3 Costo 75€/noche cada una
(camas separadas)</text>
  </threadedComment>
  <threadedComment ref="F582" dT="2025-02-13T10:05:11.33" personId="{17D30B62-2123-41F1-B603-E5411FDFA3E0}" id="{C3EE649C-95FC-4D69-98C6-B4DABEAB4ED3}">
    <text>Habitacion doble para trabajadores cant 1 Costo 60€/noche
Habitacion triple para trabajadores cant 3 Costo 75€/noche cada una
(camas separadas)</text>
  </threadedComment>
  <threadedComment ref="F583" dT="2025-02-13T10:05:11.33" personId="{17D30B62-2123-41F1-B603-E5411FDFA3E0}" id="{2AB24A6C-BA5B-4199-A168-F0160918DA5B}">
    <text>Habitacion doble para trabajadores cant 1 Costo 60€/noche
Habitacion triple para trabajadores cant 3 Costo 75€/noche cada una
(camas separadas)</text>
  </threadedComment>
  <threadedComment ref="F585" dT="2025-02-13T10:05:11.33" personId="{17D30B62-2123-41F1-B603-E5411FDFA3E0}" id="{89D822E5-2195-4740-B9D5-B70B2DBD3FD1}">
    <text>Habitacion doble para trabajadores cant 1 Costo 60€/noche
Habitacion triple para trabajadores cant 3 Costo 75€/noche cada una
(camas separadas)</text>
  </threadedComment>
  <threadedComment ref="F588" dT="2025-02-13T10:05:11.33" personId="{17D30B62-2123-41F1-B603-E5411FDFA3E0}" id="{45B94F24-1C40-47E3-8143-AA48D28700AD}">
    <text>Habitacion doble para trabajadores cant 1 Costo 60€/noche
Habitacion triple para trabajadores cant 3 Costo 75€/noche cada una
(camas separadas)</text>
  </threadedComment>
  <threadedComment ref="F589" dT="2025-02-26T14:56:43.99" personId="{17D30B62-2123-41F1-B603-E5411FDFA3E0}" id="{752C43F5-3B2E-49E3-B6E3-C0FF0EA60240}">
    <text>Alojamiento para 9 personas.
 3 apartamentos triples (101-102-121)</text>
  </threadedComment>
  <threadedComment ref="F589" dT="2025-10-14T10:02:06.67" personId="{4D8483EF-5A39-4E7B-A473-929EF5A077E1}" id="{230FD24F-12A7-4DFA-93A6-A2DD435B80A0}" parentId="{752C43F5-3B2E-49E3-B6E3-C0FF0EA60240}">
    <text xml:space="preserve">Alojamiento para 6 personas.
 2 apartamentos triples </text>
  </threadedComment>
  <threadedComment ref="F590" dT="2025-02-13T10:05:11.33" personId="{17D30B62-2123-41F1-B603-E5411FDFA3E0}" id="{351AF977-F63D-427F-B061-519EF5CB134C}">
    <text>Habitacion doble para trabajadores cant 1 Costo 60€/noche
Habitacion triple para trabajadores cant 3 Costo 75€/noche cada una
(camas separadas)</text>
  </threadedComment>
  <threadedComment ref="W590" dT="2024-06-25T15:13:14.20" personId="{98986A2A-739A-4851-A979-4B0D560C46CD}" id="{FB1CFE40-EA15-4732-A293-C37D01179BAC}">
    <text>Fianza Inmaculada</text>
  </threadedComment>
  <threadedComment ref="F591" dT="2025-02-24T11:23:00.51" personId="{17D30B62-2123-41F1-B603-E5411FDFA3E0}" id="{3F79B60F-F2C0-430E-BFF2-E6F3A8666DFF}">
    <text>1 Habitaciòn</text>
  </threadedComment>
  <threadedComment ref="F592" dT="2025-02-13T10:05:11.33" personId="{17D30B62-2123-41F1-B603-E5411FDFA3E0}" id="{7E45DDF7-1550-485F-9517-161C6C891F90}">
    <text xml:space="preserve">Alquiler 1438,80€    3 camas </text>
  </threadedComment>
  <threadedComment ref="F593" dT="2025-02-13T10:05:11.33" personId="{17D30B62-2123-41F1-B603-E5411FDFA3E0}" id="{A2B32967-EA53-4ECC-9C93-2623E914D627}">
    <text>Habitacion doble para trabajadores cant 1 Costo 60€/noche
Habitacion triple para trabajadores cant 3 Costo 75€/noche cada una
(camas separadas)</text>
  </threadedComment>
  <threadedComment ref="F594" dT="2025-02-13T10:05:11.33" personId="{17D30B62-2123-41F1-B603-E5411FDFA3E0}" id="{D614214A-DC89-4011-AFA3-85088D65A926}">
    <text>4 Habitaciones 5 camas 1 sofá</text>
  </threadedComment>
  <threadedComment ref="F594" dT="2025-11-07T07:08:43.68" personId="{98986A2A-739A-4851-A979-4B0D560C46CD}" id="{D647677C-39FD-45DD-8B1A-3FB0FB5C8FFB}" parentId="{D614214A-DC89-4011-AFA3-85088D65A926}">
    <text>875,50 alquiler</text>
  </threadedComment>
  <threadedComment ref="F594" dT="2026-08-19T09:16:29.54" personId="{E3C446A3-37B8-466B-82DA-8F7BAC7681F7}" id="{C66DE549-F7BB-4A14-AF68-E969BED14617}" parentId="{D614214A-DC89-4011-AFA3-85088D65A926}">
    <text>FIANZA 1700€</text>
  </threadedComment>
  <threadedComment ref="F595" dT="2025-02-13T10:05:11.33" personId="{17D30B62-2123-41F1-B603-E5411FDFA3E0}" id="{0CD44C21-DB1A-4461-9E35-2BA4FB63396C}">
    <text>Habitacion doble para trabajadores cant 1 Costo 60€/noche
Habitacion triple para trabajadores cant 3 Costo 75€/noche cada una
(camas separadas)</text>
  </threadedComment>
  <threadedComment ref="F597" dT="2025-03-11T10:16:04.90" personId="{98986A2A-739A-4851-A979-4B0D560C46CD}" id="{D4382773-3161-4C53-B9BF-35B9AC2AF984}">
    <text xml:space="preserve">6 camas 
Renta vivienda 1.250€+ Servicio de Limpieza 363€ =TOTAL 1.613€, fianza 
</text>
  </threadedComment>
  <threadedComment ref="F598" dT="2025-03-10T13:00:01.56" personId="{98986A2A-739A-4851-A979-4B0D560C46CD}" id="{08A15EF8-FC0E-4012-AC54-96CA49C2EB9F}">
    <text>3 CAMAS, 600€ALQUILER, 600€FIANZA</text>
  </threadedComment>
  <threadedComment ref="F599" dT="2025-02-13T10:05:11.33" personId="{17D30B62-2123-41F1-B603-E5411FDFA3E0}" id="{033DAAE4-40CD-4A85-B8F1-8C889F2C6553}">
    <text>Habitacion doble para trabajadores cant 1 Costo 60€/noche
Habitacion triple para trabajadores cant 3 Costo 75€/noche cada una
(camas separadas)</text>
  </threadedComment>
  <threadedComment ref="F600" dT="2025-02-13T10:05:11.33" personId="{17D30B62-2123-41F1-B603-E5411FDFA3E0}" id="{79A86E36-87AE-496F-8F57-D464C457C7AF}">
    <text>Habitacion doble para trabajadores cant 1 Costo 60€/noche
Habitacion triple para trabajadores cant 3 Costo 75€/noche cada una
(camas separadas)</text>
  </threadedComment>
  <threadedComment ref="F601" dT="2025-02-13T10:05:11.33" personId="{17D30B62-2123-41F1-B603-E5411FDFA3E0}" id="{C97F8B50-6A81-4F72-B8FD-E26FAC544FC3}">
    <text>Habitacion doble para trabajadores cant 1 Costo 60€/noche
Habitacion triple para trabajadores cant 3 Costo 75€/noche cada una
(camas separadas)</text>
  </threadedComment>
  <threadedComment ref="F602" dT="2024-08-06T14:12:58.54" personId="{8BEA8CB1-BB33-44FC-A791-4439DE945680}" id="{62876490-464C-495B-91E2-175BC177AE2B}">
    <text>Alquiler 1700, fianza 1700 6 CAMAS</text>
  </threadedComment>
  <threadedComment ref="F602" dT="2025-01-16T18:23:38.41" personId="{98986A2A-739A-4851-A979-4B0D560C46CD}" id="{43FB8BB4-B12D-4CC9-9095-E816B26E2E8B}" parentId="{62876490-464C-495B-91E2-175BC177AE2B}">
    <text>5 habitaciones</text>
  </threadedComment>
  <threadedComment ref="F603" dT="2025-02-13T10:05:11.33" personId="{17D30B62-2123-41F1-B603-E5411FDFA3E0}" id="{D08B75D9-C502-41BE-8429-8E90BFD3EE66}">
    <text>Habitacion doble para trabajadores cant 1 Costo 60€/noche
Habitacion triple para trabajadores cant 3 Costo 75€/noche cada una
(camas separadas)</text>
  </threadedComment>
  <threadedComment ref="F604" dT="2025-02-13T10:05:11.33" personId="{17D30B62-2123-41F1-B603-E5411FDFA3E0}" id="{CF3B7F4B-A6A6-4E9F-B35C-D704B466D417}">
    <text>Habitacion doble para trabajadores cant 1 Costo 60€/noche
Habitacion triple para trabajadores cant 3 Costo 75€/noche cada una
(camas separadas)</text>
  </threadedComment>
  <threadedComment ref="F605" dT="2025-02-13T10:05:11.33" personId="{17D30B62-2123-41F1-B603-E5411FDFA3E0}" id="{D2C43839-850C-4D69-B440-0FF29C4787A8}">
    <text>Habitacion doble para trabajadores cant 1 Costo 60€/noche
Habitacion triple para trabajadores cant 3 Costo 75€/noche cada una
(camas separadas)</text>
  </threadedComment>
  <threadedComment ref="F606" dT="2025-02-13T10:05:11.33" personId="{17D30B62-2123-41F1-B603-E5411FDFA3E0}" id="{C6520E26-3615-4F31-9D01-3A72D1BAF3E8}">
    <text xml:space="preserve">2 Habitacion </text>
  </threadedComment>
  <threadedComment ref="F607" dT="2025-02-25T12:49:20.41" personId="{98986A2A-739A-4851-A979-4B0D560C46CD}" id="{E0564A92-A88A-4ACE-8F62-CED940DD94C3}">
    <text xml:space="preserve">Alquiler 650 Fianza 650 camas 4 ( 2 camas dobles propietaria y 2 kotrik) </text>
  </threadedComment>
  <threadedComment ref="F608" dT="2025-02-13T10:05:11.33" personId="{17D30B62-2123-41F1-B603-E5411FDFA3E0}" id="{2AD3DB87-2441-4777-9298-BDCDD3711C65}">
    <text>Habitacion doble para trabajadores cant 1 Costo 60€/noche
Habitacion triple para trabajadores cant 3 Costo 75€/noche cada una
(camas separadas)</text>
  </threadedComment>
  <threadedComment ref="F609" dT="2025-02-13T10:05:11.33" personId="{17D30B62-2123-41F1-B603-E5411FDFA3E0}" id="{BC61C818-F904-4559-9755-8AF23A1E3106}">
    <text>Habitacion doble para trabajadores cant 1 Costo 60€/noche
Habitacion triple para trabajadores cant 3 Costo 75€/noche cada una
(camas separadas)</text>
  </threadedComment>
  <threadedComment ref="F610" dT="2025-02-13T10:05:11.33" personId="{17D30B62-2123-41F1-B603-E5411FDFA3E0}" id="{ED00F730-6D00-488B-9520-29CC0FBCFE1A}">
    <text>1 Habitacion</text>
  </threadedComment>
  <threadedComment ref="F611" dT="2025-02-13T10:05:11.33" personId="{17D30B62-2123-41F1-B603-E5411FDFA3E0}" id="{9DB32202-1C24-4112-B7DF-A0A9FF2B74D5}">
    <text>Habitacion doble para trabajadores cant 1 Costo 60€/noche
Habitacion triple para trabajadores cant 3 Costo 75€/noche cada una
(camas separadas)</text>
  </threadedComment>
  <threadedComment ref="F612" dT="2025-02-13T10:05:11.33" personId="{17D30B62-2123-41F1-B603-E5411FDFA3E0}" id="{5EFD2D42-ED32-4CF8-AEF9-F4FA274D331D}">
    <text>Habitacion doble para trabajadores cant 1 Costo 60€/noche
Habitacion triple para trabajadores cant 3 Costo 75€/noche cada una
(camas separadas)</text>
  </threadedComment>
  <threadedComment ref="F613" dT="2025-02-13T10:05:11.33" personId="{17D30B62-2123-41F1-B603-E5411FDFA3E0}" id="{367A1F78-8DB9-4906-8C3E-B961615D8AC3}">
    <text>1 Habitacion</text>
  </threadedComment>
  <threadedComment ref="F615" dT="2025-02-13T10:05:11.33" personId="{17D30B62-2123-41F1-B603-E5411FDFA3E0}" id="{709C53B0-1233-4007-84DA-32CD8E12BFCD}">
    <text>Habitacion doble para trabajadores cant 1 Costo 60€/noche
Habitacion triple para trabajadores cant 3 Costo 75€/noche cada una
(camas separadas)</text>
  </threadedComment>
  <threadedComment ref="F616" dT="2025-03-10T13:00:01.56" personId="{98986A2A-739A-4851-A979-4B0D560C46CD}" id="{B8305760-527A-4FC5-A8B8-2D90E50C7751}">
    <text>3 CAMAS, 600€ALQUILER, 600€FIANZA</text>
  </threadedComment>
  <threadedComment ref="F617" dT="2025-03-11T10:16:04.90" personId="{98986A2A-739A-4851-A979-4B0D560C46CD}" id="{72757A2D-BC4E-4443-8841-51B69D50A325}">
    <text xml:space="preserve">6 camas 
Renta vivienda 1.250€+ Servicio de Limpieza 363€ =TOTAL 1.613€, fianza 
</text>
  </threadedComment>
  <threadedComment ref="F618" dT="2025-03-11T10:16:04.90" personId="{98986A2A-739A-4851-A979-4B0D560C46CD}" id="{D2F187FF-3287-479E-9BFA-CF41E74B528E}">
    <text xml:space="preserve">6 camas 
Renta vivienda 1.250€+ Servicio de Limpieza 363€ =TOTAL 1.613€, fianza 
</text>
  </threadedComment>
  <threadedComment ref="F619" dT="2025-02-13T10:05:11.33" personId="{17D30B62-2123-41F1-B603-E5411FDFA3E0}" id="{D27DA7EA-CFBF-46D7-8468-78CC20D28DC4}">
    <text>Habitacion doble para trabajadores cant 1 Costo 60€/noche
Habitacion triple para trabajadores cant 3 Costo 75€/noche cada una
(camas separadas)</text>
  </threadedComment>
  <threadedComment ref="F620" dT="2025-02-13T10:05:11.33" personId="{17D30B62-2123-41F1-B603-E5411FDFA3E0}" id="{8603C024-AD67-4B6F-931F-484229507843}">
    <text>Habitacion doble para trabajadores cant 1 Costo 60€/noche
Habitacion triple para trabajadores cant 3 Costo 75€/noche cada una
(camas separadas)</text>
  </threadedComment>
  <threadedComment ref="F621" dT="2025-02-13T10:05:11.33" personId="{17D30B62-2123-41F1-B603-E5411FDFA3E0}" id="{108A64E5-436B-4DFB-A894-91B7F2CFDD4D}">
    <text>Habitacion doble para trabajadores cant 1 Costo 60€/noche
Habitacion triple para trabajadores cant 3 Costo 75€/noche cada una
(camas separadas)</text>
  </threadedComment>
  <threadedComment ref="F622" dT="2025-02-13T10:05:11.33" personId="{17D30B62-2123-41F1-B603-E5411FDFA3E0}" id="{CACE9BE9-D48B-4C88-87AC-8E55056F2CAE}">
    <text>Habitacion doble para trabajadores cant 1 Costo 60€/noche
Habitacion triple para trabajadores cant 3 Costo 75€/noche cada una
(camas separadas)</text>
  </threadedComment>
  <threadedComment ref="F623" dT="2025-02-13T10:05:11.33" personId="{17D30B62-2123-41F1-B603-E5411FDFA3E0}" id="{1BB1EF79-06C9-42E9-B77F-4C5A81659BFF}">
    <text>Habitacion doble para trabajadores cant 1 Costo 60€/noche
Habitacion triple para trabajadores cant 3 Costo 75€/noche cada una
(camas separadas)</text>
  </threadedComment>
  <threadedComment ref="F624" dT="2025-03-03T17:19:31.23" personId="{17D30B62-2123-41F1-B603-E5411FDFA3E0}" id="{7FA7056C-2666-4EEF-A5E3-EF486713811B}">
    <text xml:space="preserve">3 Habitaciones </text>
  </threadedComment>
  <threadedComment ref="F625" dT="2025-03-03T17:19:31.23" personId="{17D30B62-2123-41F1-B603-E5411FDFA3E0}" id="{1F787D65-8C3D-435F-B746-E864B15986A3}">
    <text xml:space="preserve">3 Habitaciones </text>
  </threadedComment>
  <threadedComment ref="F626" dT="2025-03-03T17:19:31.23" personId="{17D30B62-2123-41F1-B603-E5411FDFA3E0}" id="{19B4A515-C577-480D-88BD-0BD8A441C77B}">
    <text xml:space="preserve">3 Habitaciones </text>
  </threadedComment>
  <threadedComment ref="F627" dT="2025-02-13T10:05:11.33" personId="{17D30B62-2123-41F1-B603-E5411FDFA3E0}" id="{B5ECF797-24DE-46D7-956F-ABF55E928CE6}">
    <text>3 Habitaciones</text>
  </threadedComment>
  <threadedComment ref="F628" dT="2025-02-13T10:05:11.33" personId="{17D30B62-2123-41F1-B603-E5411FDFA3E0}" id="{3A5A04A4-3C01-478A-899D-5E0F4DEAF34C}">
    <text>Habitacion doble para trabajadores cant 1 Costo 60€/noche
Habitacion triple para trabajadores cant 3 Costo 75€/noche cada una
(camas separadas)</text>
  </threadedComment>
  <threadedComment ref="F629" dT="2025-03-10T12:31:32.70" personId="{17D30B62-2123-41F1-B603-E5411FDFA3E0}" id="{B47376D8-800A-46C4-9B35-0DF07FEBAE1F}">
    <text xml:space="preserve">Alojamiento entero · 5 camas · 4 huéspedes </text>
  </threadedComment>
  <threadedComment ref="F630" dT="2025-03-10T12:31:32.70" personId="{17D30B62-2123-41F1-B603-E5411FDFA3E0}" id="{11559E4B-78D2-4204-8ADB-9203614C3DA8}">
    <text xml:space="preserve">Alojamiento entero · 5 camas · 4 huéspedes </text>
  </threadedComment>
  <threadedComment ref="F631" dT="2024-08-08T15:05:50.75" personId="{8BEA8CB1-BB33-44FC-A791-4439DE945680}" id="{AAC85CCF-7CC1-4DE7-B0E7-BCDCC45CF850}">
    <text>Alquiler 1380 Fianza 2760 Camas 5</text>
  </threadedComment>
  <threadedComment ref="F632" dT="2024-08-08T15:05:50.75" personId="{8BEA8CB1-BB33-44FC-A791-4439DE945680}" id="{2C0B81C8-FBC2-410F-AE94-284EE0C0283F}">
    <text>Alquiler 1380 Fianza 2760 Camas 5</text>
  </threadedComment>
  <threadedComment ref="F633" dT="2025-02-13T10:05:11.33" personId="{17D30B62-2123-41F1-B603-E5411FDFA3E0}" id="{A2212309-00C5-4AD1-B17C-889C197AE5BF}">
    <text>Habitacion doble para trabajadores cant 1 Costo 60€/noche
Habitacion triple para trabajadores cant 3 Costo 75€/noche cada una
(camas separadas)</text>
  </threadedComment>
  <threadedComment ref="F634" dT="2025-02-13T10:05:11.33" personId="{17D30B62-2123-41F1-B603-E5411FDFA3E0}" id="{234447A7-6BAB-4337-BD12-EF923565720D}">
    <text>Habitacion doble para trabajadores cant 1 Costo 60€/noche
Habitacion triple para trabajadores cant 3 Costo 75€/noche cada una
(camas separadas)</text>
  </threadedComment>
  <threadedComment ref="F635" dT="2025-02-13T10:05:11.33" personId="{17D30B62-2123-41F1-B603-E5411FDFA3E0}" id="{A645835F-17C2-4F76-8651-9E3EB6E97062}">
    <text>Habitacion doble para trabajadores cant 1 Costo 60€/noche
Habitacion triple para trabajadores cant 3 Costo 75€/noche cada una
(camas separadas)</text>
  </threadedComment>
  <threadedComment ref="F641" dT="2025-02-13T10:05:11.33" personId="{17D30B62-2123-41F1-B603-E5411FDFA3E0}" id="{FEECFB73-DEDB-4696-8614-1167176F9975}">
    <text>Habitacion doble para trabajadores cant 1 Costo 60€/noche
Habitacion triple para trabajadores cant 3 Costo 75€/noche cada una
(camas separadas)</text>
  </threadedComment>
  <threadedComment ref="F642" dT="2025-03-31T09:50:42.16" personId="{17D30B62-2123-41F1-B603-E5411FDFA3E0}" id="{E545BDB0-696B-4337-8072-6D78BEAAE205}">
    <text>Alojamiento entero · 4 camas · 4</text>
  </threadedComment>
  <threadedComment ref="F643" dT="2025-02-27T12:11:48.59" personId="{98986A2A-739A-4851-A979-4B0D560C46CD}" id="{29326B23-7EFB-47F7-91CA-45E1099164F6}">
    <text>02 CAMAS</text>
  </threadedComment>
  <threadedComment ref="F644" dT="2025-02-13T10:05:11.33" personId="{17D30B62-2123-41F1-B603-E5411FDFA3E0}" id="{AAFBAA52-B5AD-4BDF-B253-FAAEB4ACCFDA}">
    <text xml:space="preserve">350 cada habitación </text>
  </threadedComment>
  <threadedComment ref="F645" dT="2025-02-13T10:05:11.33" personId="{17D30B62-2123-41F1-B603-E5411FDFA3E0}" id="{265F2455-9517-435A-ABB4-1930C90C1727}">
    <text>Habitacion doble para trabajadores cant 1 Costo 60€/noche
Habitacion triple para trabajadores cant 3 Costo 75€/noche cada una
(camas separadas)</text>
  </threadedComment>
  <threadedComment ref="F647" dT="2025-02-13T10:05:11.33" personId="{17D30B62-2123-41F1-B603-E5411FDFA3E0}" id="{25E3BAA8-1F93-4FF9-A265-4477D46324D3}">
    <text>Habitacion doble para trabajadores cant 1 Costo 60€/noche
Habitacion triple para trabajadores cant 3 Costo 75€/noche cada una
(camas separadas)</text>
  </threadedComment>
  <threadedComment ref="F648" dT="2025-02-13T10:05:11.33" personId="{17D30B62-2123-41F1-B603-E5411FDFA3E0}" id="{49DE7108-F7B1-4CEF-A16D-F7EBE921F5E6}">
    <text>Habitacion doble para trabajadores cant 1 Costo 60€/noche
Habitacion triple para trabajadores cant 3 Costo 75€/noche cada una
(camas separadas)</text>
  </threadedComment>
  <threadedComment ref="W648" dT="2024-08-16T15:14:18.67" personId="{98986A2A-739A-4851-A979-4B0D560C46CD}" id="{F65DBA4E-24DB-4C9A-A688-02B2BA5F8D80}">
    <text>Fianza abonada.</text>
  </threadedComment>
  <threadedComment ref="F649" dT="2025-02-13T10:05:11.33" personId="{17D30B62-2123-41F1-B603-E5411FDFA3E0}" id="{BA5F9AAE-BD3B-4022-85A6-35B98D8D0094}">
    <text>Habitacion doble para trabajadores cant 1 Costo 60€/noche
Habitacion triple para trabajadores cant 3 Costo 75€/noche cada una
(camas separadas)</text>
  </threadedComment>
  <threadedComment ref="F650" dT="2025-02-13T10:05:11.33" personId="{17D30B62-2123-41F1-B603-E5411FDFA3E0}" id="{34183BE2-3F1C-4F26-A79D-B8E7B3C42AE0}">
    <text>Habitacion doble para trabajadores cant 1 Costo 60€/noche
Habitacion triple para trabajadores cant 3 Costo 75€/noche cada una
(camas separadas)</text>
  </threadedComment>
  <threadedComment ref="F651" dT="2025-02-25T14:27:09.00" personId="{98986A2A-739A-4851-A979-4B0D560C46CD}" id="{B96EE841-FAF5-4987-A01F-BFEC72C48897}">
    <text>03 CAMAS, 1450€ ALQUILER, 600€ FIANZA. SE PAGO MARZO</text>
  </threadedComment>
  <threadedComment ref="F652" dT="2025-01-03T11:18:45.85" personId="{98986A2A-739A-4851-A979-4B0D560C46CD}" id="{3E566518-970A-4CEE-AF8A-DFB69381BF48}">
    <text>10 camas renta 3300€, fianza 1700€</text>
  </threadedComment>
  <threadedComment ref="F653" dT="2025-03-10T11:22:43.72" personId="{17D30B62-2123-41F1-B603-E5411FDFA3E0}" id="{D13CD61B-E915-424E-BADA-3DA11D7FF016}">
    <text>1950€/mes, suministros incluidos, para 4 personas, 4 camas. 800€ de fianza.</text>
  </threadedComment>
  <threadedComment ref="F655" dT="2025-02-13T10:05:11.33" personId="{17D30B62-2123-41F1-B603-E5411FDFA3E0}" id="{9E58F470-6E86-4E70-94F7-009D731C90DB}">
    <text>Habitacion doble para trabajadores cant 1 Costo 60€/noche
Habitacion triple para trabajadores cant 3 Costo 75€/noche cada una
(camas separadas)</text>
  </threadedComment>
  <threadedComment ref="F656" dT="2025-02-13T10:05:11.33" personId="{17D30B62-2123-41F1-B603-E5411FDFA3E0}" id="{E26FB366-12BF-4717-83FC-68CAD68916AD}">
    <text>Habitacion doble para trabajadores cant 1 Costo 60€/noche
Habitacion triple para trabajadores cant 3 Costo 75€/noche cada una
(camas separadas)</text>
  </threadedComment>
  <threadedComment ref="F657" dT="2025-02-13T10:05:11.33" personId="{17D30B62-2123-41F1-B603-E5411FDFA3E0}" id="{2590504B-54BA-4603-BB42-E20812E9D56C}">
    <text>Habitacion doble para trabajadores cant 1 Costo 60€/noche
Habitacion triple para trabajadores cant 3 Costo 75€/noche cada una
(camas separadas)</text>
  </threadedComment>
  <threadedComment ref="F658" dT="2024-06-05T10:13:18.67" personId="{98986A2A-739A-4851-A979-4B0D560C46CD}" id="{CB2F949E-B1FF-44E8-BCD3-14475336FC47}">
    <text xml:space="preserve">4 habitaciones, 2000€ ALQUILER
</text>
  </threadedComment>
  <threadedComment ref="F659" dT="2025-02-13T10:05:11.33" personId="{17D30B62-2123-41F1-B603-E5411FDFA3E0}" id="{44510096-DEC5-4B54-9813-CE34E33A86A9}">
    <text>Habitacion doble para trabajadores cant 1 Costo 60€/noche
Habitacion triple para trabajadores cant 3 Costo 75€/noche cada una
(camas separadas)</text>
  </threadedComment>
  <threadedComment ref="F660" dT="2024-11-05T09:17:59.63" personId="{17D30B62-2123-41F1-B603-E5411FDFA3E0}" id="{97734302-BBD4-4361-A3C8-EB2DFD0CBB9B}">
    <text>Alquiler 1400  Fianza 2800 Camas 6</text>
  </threadedComment>
  <threadedComment ref="F660" dT="2024-12-30T10:06:22.23" personId="{98986A2A-739A-4851-A979-4B0D560C46CD}" id="{6D103CA1-1E5A-4126-AD71-A9C2A743C8F0}" parentId="{97734302-BBD4-4361-A3C8-EB2DFD0CBB9B}">
    <text>+01 cama Kotrik llevada 28/12</text>
  </threadedComment>
  <threadedComment ref="F662" dT="2025-05-09T14:42:41.46" personId="{17D30B62-2123-41F1-B603-E5411FDFA3E0}" id="{8F153EEF-3867-436C-9585-90A760BC8B3F}">
    <text>4 CAMAS 2.600€ Alquiler</text>
  </threadedComment>
  <threadedComment ref="F664" dT="2025-03-03T18:16:08.96" personId="{98986A2A-739A-4851-A979-4B0D560C46CD}" id="{41D28F99-F2F0-4FA2-8B74-79F275373E42}">
    <text>03 camas, 1500€ alquiler, 600€ fianza</text>
  </threadedComment>
  <threadedComment ref="F665" dT="2025-02-13T10:05:11.33" personId="{17D30B62-2123-41F1-B603-E5411FDFA3E0}" id="{87C4C907-C30B-45C8-955C-0A074A502A44}">
    <text>Habitacion doble para trabajadores cant 1 Costo 60€/noche
Habitacion triple para trabajadores cant 3 Costo 75€/noche cada una
(camas separadas)</text>
  </threadedComment>
  <threadedComment ref="F666" dT="2025-02-13T10:05:11.33" personId="{17D30B62-2123-41F1-B603-E5411FDFA3E0}" id="{7698035D-9D8E-447C-8297-1EA17E84280F}">
    <text>Habitacion doble para trabajadores cant 1 Costo 60€/noche
Habitacion triple para trabajadores cant 3 Costo 75€/noche cada una
(camas separadas)</text>
  </threadedComment>
  <threadedComment ref="F667" dT="2025-02-13T10:05:11.33" personId="{17D30B62-2123-41F1-B603-E5411FDFA3E0}" id="{5B0D3637-F513-4EB9-A676-27724BBE6A4E}">
    <text>Habitacion doble para trabajadores cant 1 Costo 60€/noche
Habitacion triple para trabajadores cant 3 Costo 75€/noche cada una
(camas separadas)</text>
  </threadedComment>
  <threadedComment ref="X667" dT="2024-07-30T06:54:16.46" personId="{8BEA8CB1-BB33-44FC-A791-4439DE945680}" id="{8FEFB542-36B4-4305-BCEB-7F4C17C15E0C}">
    <text xml:space="preserve">Se pago mes de agosto y proporcional de Julio 
</text>
  </threadedComment>
  <threadedComment ref="F668" dT="2024-08-08T15:05:50.75" personId="{8BEA8CB1-BB33-44FC-A791-4439DE945680}" id="{DC231DC9-EDFD-425E-B4B5-DFC5145E808A}">
    <text>Alquiler 1380 Fianza 2760 Camas 5</text>
  </threadedComment>
  <threadedComment ref="F669" dT="2025-02-13T10:05:11.33" personId="{17D30B62-2123-41F1-B603-E5411FDFA3E0}" id="{D7D1A775-E5D0-4A41-8F32-DADB3E9DC673}">
    <text>Habitacion doble para trabajadores cant 1 Costo 60€/noche
Habitacion triple para trabajadores cant 3 Costo 75€/noche cada una
(camas separadas)</text>
  </threadedComment>
  <threadedComment ref="F670" dT="2025-02-13T10:05:11.33" personId="{17D30B62-2123-41F1-B603-E5411FDFA3E0}" id="{2C7B71D0-CF91-4711-8C6F-417E2BEC292E}">
    <text>Habitacion doble para trabajadores cant 1 Costo 60€/noche
Habitacion triple para trabajadores cant 3 Costo 75€/noche cada una
(camas separadas)</text>
  </threadedComment>
  <threadedComment ref="F671" dT="2025-03-10T12:31:32.70" personId="{17D30B62-2123-41F1-B603-E5411FDFA3E0}" id="{D48AA63B-1011-4C21-90E1-66642B49B996}">
    <text xml:space="preserve">Alojamiento entero · 5 camas · 4 huéspedes </text>
  </threadedComment>
  <threadedComment ref="F676" dT="2025-03-21T07:56:23.33" personId="{98986A2A-739A-4851-A979-4B0D560C46CD}" id="{2142F899-EBE9-4433-B9B9-7A3E71B8D5DC}">
    <text>05 camas</text>
  </threadedComment>
  <threadedComment ref="F678" dT="2025-02-13T10:05:11.33" personId="{17D30B62-2123-41F1-B603-E5411FDFA3E0}" id="{D2FA0B39-BF2D-4567-8EEE-5CF60576240A}">
    <text>Habitacion doble para trabajadores cant 1 Costo 60€/noche
Habitacion triple para trabajadores cant 3 Costo 75€/noche cada una
(camas separadas)</text>
  </threadedComment>
  <threadedComment ref="F679" dT="2025-02-13T10:05:11.33" personId="{17D30B62-2123-41F1-B603-E5411FDFA3E0}" id="{E822355A-81F7-4D03-B7B5-AEBFFC81A4E0}">
    <text>Habitacion doble para trabajadores cant 1 Costo 60€/noche
Habitacion triple para trabajadores cant 3 Costo 75€/noche cada una
(camas separadas)</text>
  </threadedComment>
  <threadedComment ref="F680" dT="2025-02-24T11:23:00.51" personId="{17D30B62-2123-41F1-B603-E5411FDFA3E0}" id="{11FEF750-85F5-491E-90E1-51D60DF0A284}">
    <text>1 Habitaciòn</text>
  </threadedComment>
  <threadedComment ref="F681" dT="2025-02-13T10:05:11.33" personId="{17D30B62-2123-41F1-B603-E5411FDFA3E0}" id="{6C9880A3-3E55-4AE8-B718-9CB8A7B256EA}">
    <text>Habitacion doble para trabajadores cant 1 Costo 60€/noche
Habitacion triple para trabajadores cant 3 Costo 75€/noche cada una
(camas separadas)</text>
  </threadedComment>
  <threadedComment ref="F682" dT="2025-02-13T10:05:11.33" personId="{17D30B62-2123-41F1-B603-E5411FDFA3E0}" id="{CD68BE47-9A0C-493F-B605-E714904664F9}">
    <text>Habitacion doble para trabajadores cant 1 Costo 60€/noche
Habitacion triple para trabajadores cant 3 Costo 75€/noche cada una
(camas separadas)</text>
  </threadedComment>
  <threadedComment ref="F683" dT="2025-03-31T09:50:42.16" personId="{17D30B62-2123-41F1-B603-E5411FDFA3E0}" id="{FB4A4D94-1FF7-4133-A973-4A8806DA6AFF}">
    <text>Alojamiento entero · 4 camas · 4</text>
  </threadedComment>
  <threadedComment ref="F684" dT="2025-02-13T10:05:11.33" personId="{17D30B62-2123-41F1-B603-E5411FDFA3E0}" id="{6FFECD5F-9398-4E3A-B193-BA5B9F436AAC}">
    <text>Habitacion doble para trabajadores cant 1 Costo 60€/noche
Habitacion triple para trabajadores cant 3 Costo 75€/noche cada una
(camas separadas)</text>
  </threadedComment>
  <threadedComment ref="F685" dT="2025-02-13T10:05:11.33" personId="{17D30B62-2123-41F1-B603-E5411FDFA3E0}" id="{E1406B6E-8CDA-48E4-B51C-154B80093B59}">
    <text>Alquiler 903.20€ 4 camas</text>
  </threadedComment>
  <threadedComment ref="F686" dT="2025-11-06T15:04:24.58" personId="{4D8483EF-5A39-4E7B-A473-929EF5A077E1}" id="{7BC82EDB-884B-49DD-9B3B-0B668C736D2A}">
    <text>Habitación Doble -2 camas </text>
  </threadedComment>
  <threadedComment ref="F688" dT="2025-03-17T16:31:33.41" personId="{98986A2A-739A-4851-A979-4B0D560C46CD}" id="{E2AAE160-E8C6-40FF-8F73-D462DE85EE5C}">
    <text>05 CAMAS, 2200€ ALQUILER, N/A APLICA</text>
  </threadedComment>
  <threadedComment ref="F690" dT="2025-12-15T09:10:03.21" personId="{4D8483EF-5A39-4E7B-A473-929EF5A077E1}" id="{1A2DE839-96EB-455C-8DE2-BB9CB2A4012D}">
    <text>Alojamiento entero · 4 camas · 2 viajeros</text>
  </threadedComment>
  <threadedComment ref="F691" dT="2025-03-11T10:08:17.58" personId="{98986A2A-739A-4851-A979-4B0D560C46CD}" id="{1594140A-68E2-4721-AD62-DAD04B016C1F}">
    <text>06 camas, Renta vivienda 1.380€+ Servicio limpieza 302,50€ =TOTAL 1.682,50€. Fianza 950€ fianza</text>
  </threadedComment>
  <threadedComment ref="F692" dT="2025-03-11T10:08:17.58" personId="{98986A2A-739A-4851-A979-4B0D560C46CD}" id="{D41C1B48-861E-400D-81B3-228663B43D31}">
    <text>06 camas, Renta vivienda 1.380€+ Servicio limpieza 302,50€ =TOTAL 1.682,50€. Fianza 950€ fianza</text>
  </threadedComment>
  <threadedComment ref="F693" dT="2024-07-19T10:10:03.54" personId="{98986A2A-739A-4851-A979-4B0D560C46CD}" id="{03E70A38-B2CC-4B87-9FB7-080FB936E13C}">
    <text>Renta vivienda  1.050€ + Servicio de limpieza 302,50€ TOTAL 1.302,50€. 04 habitaciones</text>
  </threadedComment>
  <threadedComment ref="F694" dT="2025-02-13T10:05:11.33" personId="{17D30B62-2123-41F1-B603-E5411FDFA3E0}" id="{DD542986-4520-4AEE-87DD-46931519428D}">
    <text>Habitacion doble para trabajadores cant 1 Costo 60€/noche
Habitacion triple para trabajadores cant 3 Costo 75€/noche cada una
(camas separadas)</text>
  </threadedComment>
  <threadedComment ref="F695" dT="2025-02-13T10:05:11.33" personId="{17D30B62-2123-41F1-B603-E5411FDFA3E0}" id="{7D0F8FBA-FF09-45F6-A59C-1AC1148F7FF7}">
    <text>Habitacion doble para trabajadores cant 1 Costo 60€/noche
Habitacion triple para trabajadores cant 3 Costo 75€/noche cada una
(camas separadas)</text>
  </threadedComment>
  <threadedComment ref="F697" dT="2024-08-19T11:49:32.68" personId="{98986A2A-739A-4851-A979-4B0D560C46CD}" id="{C194C0B2-0A07-48CE-BEC0-F1A8535B5469}">
    <text xml:space="preserve">04 CAMAS, ALQUILER 1080, SIN FIANZA
</text>
  </threadedComment>
  <threadedComment ref="F698" dT="2025-02-13T10:05:11.33" personId="{17D30B62-2123-41F1-B603-E5411FDFA3E0}" id="{22D0EF59-C6DA-461B-BC70-4A936A69FA99}">
    <text>Habitacion doble para trabajadores cant 1 Costo 60€/noche
Habitacion triple para trabajadores cant 3 Costo 75€/noche cada una
(camas separadas)</text>
  </threadedComment>
  <threadedComment ref="F699" dT="2025-03-11T10:10:52.28" personId="{98986A2A-739A-4851-A979-4B0D560C46CD}" id="{B1D90093-21D1-4109-A6B6-6C1F58D8390A}">
    <text xml:space="preserve">6 camas, alquiler 1.450€ + Servicio de Limpieza 302,50€ =TOTAL 1.752,50€. Fianza 950€
</text>
  </threadedComment>
  <threadedComment ref="F700" dT="2025-02-13T10:05:11.33" personId="{17D30B62-2123-41F1-B603-E5411FDFA3E0}" id="{DC51A0AB-5079-454F-9A50-955BAA5358CC}">
    <text>Habitacion doble para trabajadores cant 1 Costo 60€/noche
Habitacion triple para trabajadores cant 3 Costo 75€/noche cada una
(camas separadas)</text>
  </threadedComment>
  <threadedComment ref="F705" dT="2025-01-03T11:18:45.85" personId="{98986A2A-739A-4851-A979-4B0D560C46CD}" id="{DA22C253-C57E-46B2-A083-A10AC99FC4F5}">
    <text>10 camas renta 3300€, fianza 1700€</text>
  </threadedComment>
  <threadedComment ref="F706" dT="2025-02-13T10:05:11.33" personId="{17D30B62-2123-41F1-B603-E5411FDFA3E0}" id="{18F1200A-6C9C-43A0-9335-82919FA13638}">
    <text>Habitacion doble para trabajadores cant 1 Costo 60€/noche
Habitacion triple para trabajadores cant 3 Costo 75€/noche cada una
(camas separadas)</text>
  </threadedComment>
  <threadedComment ref="F707" dT="2024-08-19T11:49:32.68" personId="{98986A2A-739A-4851-A979-4B0D560C46CD}" id="{0D6FED48-BB54-4C36-8AF7-4BD5E8175096}">
    <text xml:space="preserve">04 CAMAS, ALQUILER 1080, SIN FIANZA
</text>
  </threadedComment>
  <threadedComment ref="F708" dT="2024-06-25T09:14:46.90" personId="{98986A2A-739A-4851-A979-4B0D560C46CD}" id="{ED78C977-14F8-42FF-B4DD-A4DB05A80B55}">
    <text>Fianza 1000, alquiler 1250, 05 camas. Nuevo Contrato Febrero 2025</text>
  </threadedComment>
  <threadedComment ref="F709" dT="2025-07-21T11:37:12.50" personId="{98986A2A-739A-4851-A979-4B0D560C46CD}" id="{EE757AFD-74BD-412C-B01D-21BA7DB0FA58}">
    <text>2400€ alquiler, 2400€ fianza, 05 camas</text>
  </threadedComment>
  <threadedComment ref="F710" dT="2025-02-13T10:05:11.33" personId="{17D30B62-2123-41F1-B603-E5411FDFA3E0}" id="{A3FDE4B0-9E1F-4029-BD29-EA0FAF8DFBA9}">
    <text>Habitacion doble para trabajadores cant 1 Costo 60€/noche
Habitacion triple para trabajadores cant 3 Costo 75€/noche cada una
(camas separadas)</text>
  </threadedComment>
  <threadedComment ref="F713" dT="2025-03-10T11:22:43.72" personId="{17D30B62-2123-41F1-B603-E5411FDFA3E0}" id="{6C54BD34-B99F-4F9F-8AA0-C1FC833F9CD8}">
    <text>1950€/mes, suministros incluidos, para 4 personas, 4 camas. 800€ de fianza.</text>
  </threadedComment>
  <threadedComment ref="F714" dT="2025-03-10T11:22:43.72" personId="{17D30B62-2123-41F1-B603-E5411FDFA3E0}" id="{A1E0202B-F7A3-4605-8011-39B098A61A05}">
    <text>1950€/mes, suministros incluidos, para 4 personas, 4 camas. 800€ de fianza.</text>
  </threadedComment>
  <threadedComment ref="F715" dT="2025-02-13T10:05:11.33" personId="{17D30B62-2123-41F1-B603-E5411FDFA3E0}" id="{AC8563E7-8058-44B3-911D-3B1885ED6435}">
    <text>Habitacion doble para trabajadores cant 1 Costo 60€/noche
Habitacion triple para trabajadores cant 3 Costo 75€/noche cada una
(camas separadas)</text>
  </threadedComment>
  <threadedComment ref="F720" dT="2025-02-13T10:05:11.33" personId="{17D30B62-2123-41F1-B603-E5411FDFA3E0}" id="{94DEB769-C019-4052-ACD8-AF99407DD7D4}">
    <text>Habitacion doble para trabajadores cant 1 Costo 60€/noche
Habitacion triple para trabajadores cant 3 Costo 75€/noche cada una
(camas separadas)</text>
  </threadedComment>
  <threadedComment ref="F721" dT="2025-02-13T10:05:11.33" personId="{17D30B62-2123-41F1-B603-E5411FDFA3E0}" id="{20D29B58-AADD-4AC7-880E-2F84DEA61495}">
    <text>3 Camas</text>
  </threadedComment>
  <threadedComment ref="F722" dT="2025-02-13T10:05:11.33" personId="{17D30B62-2123-41F1-B603-E5411FDFA3E0}" id="{95FED0B5-AC49-4895-A4CC-766E073EF2E0}">
    <text>3 Camas</text>
  </threadedComment>
  <threadedComment ref="F723" dT="2025-02-13T10:05:11.33" personId="{17D30B62-2123-41F1-B603-E5411FDFA3E0}" id="{4522BBCF-68AC-42E6-BFE7-BC33D2F56ADA}">
    <text>Habitacion doble para trabajadores cant 1 Costo 60€/noche
Habitacion triple para trabajadores cant 3 Costo 75€/noche cada una
(camas separadas)</text>
  </threadedComment>
  <threadedComment ref="F724" dT="2025-02-13T10:05:11.33" personId="{17D30B62-2123-41F1-B603-E5411FDFA3E0}" id="{03E4A985-D0F0-4F1F-95A7-A7834DF0E1B7}">
    <text>Habitacion doble para trabajadores cant 1 Costo 60€/noche
Habitacion triple para trabajadores cant 3 Costo 75€/noche cada una
(camas separadas)</text>
  </threadedComment>
  <threadedComment ref="F725" dT="2024-06-25T09:14:46.90" personId="{98986A2A-739A-4851-A979-4B0D560C46CD}" id="{B549101C-E6B2-44D8-8647-AA57E3F03D92}">
    <text>Fianza 1000, alquiler 1250, 05 camas. Nuevo Contrato Febrero 2025</text>
  </threadedComment>
  <threadedComment ref="F726" dT="2024-06-25T09:14:46.90" personId="{98986A2A-739A-4851-A979-4B0D560C46CD}" id="{388FFB70-5EAA-42D0-8F87-ADA75072F0AC}">
    <text>Fianza 1000, alquiler 1250, 05 camas. Nuevo Contrato Febrero 2025</text>
  </threadedComment>
  <threadedComment ref="F727" dT="2025-02-13T10:05:11.33" personId="{17D30B62-2123-41F1-B603-E5411FDFA3E0}" id="{EA052927-AE6D-4286-A53F-AACC2013F571}">
    <text>Habitacion doble para trabajadores cant 1 Costo 60€/noche
Habitacion triple para trabajadores cant 3 Costo 75€/noche cada una
(camas separadas)</text>
  </threadedComment>
  <threadedComment ref="F728" dT="2024-06-05T10:13:18.67" personId="{98986A2A-739A-4851-A979-4B0D560C46CD}" id="{BAEBAC53-0C00-4894-BDB4-FDA713ADFA67}">
    <text xml:space="preserve">4 habitaciones, 2000€ ALQUILER
</text>
  </threadedComment>
  <threadedComment ref="F729" dT="2026-01-26T09:23:06.60" personId="{4D8483EF-5A39-4E7B-A473-929EF5A077E1}" id="{7D7C7A2E-949B-4985-B79B-E31BFF340DDC}">
    <text>Alojamiento entero · 4 camas · 3 viajeros</text>
  </threadedComment>
  <threadedComment ref="F731" dT="2026-04-16T10:23:31.09" personId="{4D8483EF-5A39-4E7B-A473-929EF5A077E1}" id="{28F4697C-4DB8-45A4-A485-A06B01DDE776}">
    <text xml:space="preserve"> 2 personas, camas separadas, Alquiler 1300€</text>
  </threadedComment>
  <threadedComment ref="F732" dT="2025-02-24T11:23:00.51" personId="{17D30B62-2123-41F1-B603-E5411FDFA3E0}" id="{C8A0A85F-6649-41D7-98AA-0297E6906B32}">
    <text>1 Habitaciòn</text>
  </threadedComment>
  <threadedComment ref="F733" dT="2025-03-11T10:16:04.90" personId="{98986A2A-739A-4851-A979-4B0D560C46CD}" id="{DABEB5EC-D17C-4D56-B599-46BE0BC1037D}">
    <text xml:space="preserve">6 camas 
Renta vivienda 1.250€+ Servicio de Limpieza 363€ =TOTAL 1.613€, fianza 
</text>
  </threadedComment>
  <threadedComment ref="F734" dT="2025-03-07T13:26:33.19" personId="{98986A2A-739A-4851-A979-4B0D560C46CD}" id="{C26011E9-F61D-477C-8B2C-012796EF23E7}">
    <text>900€ alquiler, 900€ fianza, 03 camas</text>
  </threadedComment>
  <threadedComment ref="F735" dT="2025-02-13T10:05:11.33" personId="{17D30B62-2123-41F1-B603-E5411FDFA3E0}" id="{04C86319-E7A6-48E1-B2ED-8305E9241781}">
    <text>Habitacion doble para trabajadores cant 1 Costo 60€/noche
Habitacion triple para trabajadores cant 3 Costo 75€/noche cada una
(camas separadas)</text>
  </threadedComment>
  <threadedComment ref="F736" dT="2025-02-13T10:05:11.33" personId="{17D30B62-2123-41F1-B603-E5411FDFA3E0}" id="{E50B545B-60F1-489D-B6A4-FBD670B6AC8F}">
    <text>Habitacion doble para trabajadores cant 1 Costo 60€/noche
Habitacion triple para trabajadores cant 3 Costo 75€/noche cada una
(camas separadas)</text>
  </threadedComment>
  <threadedComment ref="F737" dT="2025-02-13T10:05:11.33" personId="{17D30B62-2123-41F1-B603-E5411FDFA3E0}" id="{F7F1301B-0158-475B-B01B-F91AC5DCC9BE}">
    <text>Habitacion doble para trabajadores cant 1 Costo 60€/noche
Habitacion triple para trabajadores cant 3 Costo 75€/noche cada una
(camas separadas)</text>
  </threadedComment>
  <threadedComment ref="F740" dT="2025-03-10T11:22:43.72" personId="{17D30B62-2123-41F1-B603-E5411FDFA3E0}" id="{009B3ECD-BC9C-40DC-9070-19AA4FD75EBD}">
    <text>1950€/mes, suministros incluidos, para 4 personas, 4 camas. 800€ de fianza.</text>
  </threadedComment>
  <threadedComment ref="F742" dT="2025-02-13T10:05:11.33" personId="{17D30B62-2123-41F1-B603-E5411FDFA3E0}" id="{84DE6F6F-76B8-4D89-A2B4-ACB2D095BF32}">
    <text>1 Habitacion</text>
  </threadedComment>
  <threadedComment ref="F743" dT="2026-04-24T13:34:50.92" personId="{4D8483EF-5A39-4E7B-A473-929EF5A077E1}" id="{5BC0AF85-95D7-4BFD-8B84-5A989127E122}">
    <text>(para 2 personas)</text>
  </threadedComment>
  <threadedComment ref="F747" dT="2025-02-13T10:05:11.33" personId="{17D30B62-2123-41F1-B603-E5411FDFA3E0}" id="{2042CD87-0DE0-4907-BE55-09ABAB7F9C37}">
    <text>Habitacion doble para trabajadores cant 1 Costo 30€/noche</text>
  </threadedComment>
  <threadedComment ref="F748" dT="2025-02-13T10:05:11.33" personId="{17D30B62-2123-41F1-B603-E5411FDFA3E0}" id="{A0D4E7E7-30B2-4316-9DA3-19F36034192A}">
    <text>Habitacion doble para trabajadores cant 1 Costo 60€/noche
Habitacion triple para trabajadores cant 3 Costo 75€/noche cada una
(camas separadas)</text>
  </threadedComment>
  <threadedComment ref="F749" dT="2025-02-13T10:05:11.33" personId="{17D30B62-2123-41F1-B603-E5411FDFA3E0}" id="{74C79DC0-1B8C-442B-9AFD-FC5C974F6DC7}">
    <text>Habitacion doble para trabajadores cant 1 Costo 60€/noche
Habitacion triple para trabajadores cant 3 Costo 75€/noche cada una
(camas separadas)</text>
  </threadedComment>
  <threadedComment ref="F750" dT="2025-03-03T14:21:43.14" personId="{98986A2A-739A-4851-A979-4B0D560C46CD}" id="{293E3D5F-16A5-40A9-BD4E-135593A171B1}">
    <text>03 camas, 600€ fianza, 600 € alquiler</text>
  </threadedComment>
  <threadedComment ref="F751" dT="2025-02-18T07:48:51.81" personId="{17D30B62-2123-41F1-B603-E5411FDFA3E0}" id="{3931480F-7105-41C3-99C5-0FEEAC3B838A}">
    <text>Alquiler 415.79€  2 camas individuales</text>
  </threadedComment>
  <threadedComment ref="F752" dT="2025-02-18T07:48:51.81" personId="{17D30B62-2123-41F1-B603-E5411FDFA3E0}" id="{213780F9-346A-44A1-8F26-6EC422DB4C8F}">
    <text>Alquiler 415.79€  2 camas individuales</text>
  </threadedComment>
  <threadedComment ref="F755" dT="2025-03-24T10:15:02.97" personId="{17D30B62-2123-41F1-B603-E5411FDFA3E0}" id="{2192E880-BBD1-4839-B192-D638A0F6D0DB}">
    <text>400€ Por persona alquiler mes, Fianza 500€, 5 Camas.</text>
  </threadedComment>
  <threadedComment ref="F756" dT="2025-03-03T18:16:08.96" personId="{98986A2A-739A-4851-A979-4B0D560C46CD}" id="{117E86EF-1F8C-4A35-B6F5-D27C2EC34B22}">
    <text>03 camas, 1500€ alquiler, 600€ fianza</text>
  </threadedComment>
  <threadedComment ref="F757" dT="2025-02-25T07:33:03.78" personId="{98986A2A-739A-4851-A979-4B0D560C46CD}" id="{ED25198E-C33B-4B70-BEE1-AC9487E32688}">
    <text>04 camas, alquiler 1500 €, fianza 150€</text>
  </threadedComment>
  <threadedComment ref="F758" dT="2025-02-13T10:05:11.33" personId="{17D30B62-2123-41F1-B603-E5411FDFA3E0}" id="{50A2EA8D-069A-4B06-906D-3BEFC1956AEF}">
    <text>Habitacion doble para trabajadores cant 1 Costo 60€/noche
Habitacion triple para trabajadores cant 3 Costo 75€/noche cada una
(camas separadas)</text>
  </threadedComment>
  <threadedComment ref="F759" dT="2025-02-25T12:24:49.79" personId="{98986A2A-739A-4851-A979-4B0D560C46CD}" id="{C27D9935-874A-442B-910A-F510B1F0735A}">
    <text>04 camas, 1500€ alquiler, 1500€ fianza</text>
  </threadedComment>
  <threadedComment ref="F760" dT="2025-02-13T10:05:11.33" personId="{17D30B62-2123-41F1-B603-E5411FDFA3E0}" id="{38D3C69C-DDFC-4984-99F7-F6B4302AAB56}">
    <text>Habitacion doble para trabajadores cant 1 Costo 30€/noche</text>
  </threadedComment>
  <threadedComment ref="F761" dT="2024-08-08T15:05:50.75" personId="{8BEA8CB1-BB33-44FC-A791-4439DE945680}" id="{E5AB2238-CC02-48C6-82DC-E377BDED8985}">
    <text>Alquiler 1380 Fianza 2760 Camas 5</text>
  </threadedComment>
  <threadedComment ref="F764" dT="2025-02-13T10:05:11.33" personId="{17D30B62-2123-41F1-B603-E5411FDFA3E0}" id="{EC8C6E5A-DC03-4913-A56E-908CAE0648E9}">
    <text>Habitacion doble para trabajadores cant 1 Costo 60€/noche
Habitacion triple para trabajadores cant 3 Costo 75€/noche cada una
(camas separadas)</text>
  </threadedComment>
  <threadedComment ref="M764" dT="2024-08-08T15:11:09.94" personId="{8BEA8CB1-BB33-44FC-A791-4439DE945680}" id="{F0414D88-B038-4FF4-844D-5115409EA073}">
    <text xml:space="preserve">Costo de Honorarios de gestión Total 
1669.80
</text>
  </threadedComment>
  <threadedComment ref="F768" dT="2024-08-08T15:05:50.75" personId="{8BEA8CB1-BB33-44FC-A791-4439DE945680}" id="{9CAE3B57-402D-47E0-AF65-ED2F5CBA3B28}">
    <text>Alquiler 1380 Fianza 2760 Camas 5</text>
  </threadedComment>
  <threadedComment ref="N768" dT="2024-08-08T15:11:09.94" personId="{8BEA8CB1-BB33-44FC-A791-4439DE945680}" id="{4D5D3590-E865-470C-8C40-14EBFF222325}">
    <text xml:space="preserve">Costo de Honorarios de gestión Total 
1669.80
</text>
  </threadedComment>
  <threadedComment ref="F769" dT="2025-04-10T09:10:31.11" personId="{17D30B62-2123-41F1-B603-E5411FDFA3E0}" id="{6600607D-E222-4E52-9CFD-ADBCE50D90F8}">
    <text>260€ Cada Habitación, Fianza de 400€</text>
  </threadedComment>
  <threadedComment ref="F770" dT="2024-08-08T15:05:50.75" personId="{8BEA8CB1-BB33-44FC-A791-4439DE945680}" id="{1783728F-5370-4358-8827-C4665152613E}">
    <text>Alquiler 1380 Fianza 2760 Camas 5</text>
  </threadedComment>
  <threadedComment ref="M770" dT="2024-08-08T15:11:09.94" personId="{8BEA8CB1-BB33-44FC-A791-4439DE945680}" id="{59CB6067-FCD5-40A3-82C5-1906B1ADE274}">
    <text xml:space="preserve">Costo de Honorarios de gestión Total 
1669.80
</text>
  </threadedComment>
  <threadedComment ref="F771" dT="2025-02-13T10:05:11.33" personId="{17D30B62-2123-41F1-B603-E5411FDFA3E0}" id="{16982942-3756-4115-85F2-4F6BB7578E3F}">
    <text>Habitacion doble para trabajadores cant 1 Costo 60€/noche
Habitacion triple para trabajadores cant 3 Costo 75€/noche cada una
(camas separadas)</text>
  </threadedComment>
  <threadedComment ref="F772" dT="2025-03-28T11:41:00.56" personId="{17D30B62-2123-41F1-B603-E5411FDFA3E0}" id="{0996844B-FA67-43FE-9B5E-2B329A8CF84F}">
    <text>Apartamento de 3 habitaciones dobles (1 de matrimonio y 4 camas de 90)</text>
  </threadedComment>
  <threadedComment ref="F773" dT="2025-02-13T10:05:11.33" personId="{17D30B62-2123-41F1-B603-E5411FDFA3E0}" id="{BE5FF120-0382-49E0-B0F2-0D18B4CA4184}">
    <text xml:space="preserve">2 Habitacion </text>
  </threadedComment>
  <threadedComment ref="F774" dT="2025-02-13T10:05:11.33" personId="{17D30B62-2123-41F1-B603-E5411FDFA3E0}" id="{9805CD00-3DF4-467C-BBF3-AE2287A4C31B}">
    <text>Habitacion doble para trabajadores cant 1 Costo 60€/noche
Habitacion triple para trabajadores cant 3 Costo 75€/noche cada una
(camas separadas)</text>
  </threadedComment>
  <threadedComment ref="F775" dT="2024-08-19T11:49:32.68" personId="{98986A2A-739A-4851-A979-4B0D560C46CD}" id="{AA1C0E88-4ADB-430A-B184-20616CC9FF3A}">
    <text>01 estudio 02 camas, sin fianza, 750€ alquiler</text>
  </threadedComment>
  <threadedComment ref="F777" dT="2025-02-13T10:05:11.33" personId="{17D30B62-2123-41F1-B603-E5411FDFA3E0}" id="{6A105C12-415E-4C7D-935D-B2F5B2CA8FE3}">
    <text xml:space="preserve">350 cada habitación </text>
  </threadedComment>
  <threadedComment ref="F778" dT="2025-02-26T14:29:45.42" personId="{17D30B62-2123-41F1-B603-E5411FDFA3E0}" id="{078F0E48-3B9E-459E-B0C5-7E990C3B8CA2}">
    <text>9 Camas, Alquiler 2300€, Fianza 700€</text>
  </threadedComment>
  <threadedComment ref="F778" dT="2026-01-21T15:11:00.84" personId="{4D8483EF-5A39-4E7B-A473-929EF5A077E1}" id="{A8FE78C9-57CB-48D3-9E8C-AA4C7EB1FDD9}" parentId="{078F0E48-3B9E-459E-B0C5-7E990C3B8CA2}">
    <text xml:space="preserve">Descuento a 2000€ </text>
  </threadedComment>
  <threadedComment ref="W778" dT="2024-07-16T10:31:31.86" personId="{98986A2A-739A-4851-A979-4B0D560C46CD}" id="{B0DF453D-6E67-43A1-B9B3-39D61EED5E4D}">
    <text>Fianza transferida verificada por thalia (Jesùs)17/06</text>
  </threadedComment>
  <threadedComment ref="F779" dT="2025-02-26T14:29:45.42" personId="{17D30B62-2123-41F1-B603-E5411FDFA3E0}" id="{652D44BF-52EC-4F2E-B750-1E747C778787}">
    <text>9 Camas, Alquiler 2300€, Fianza 700€</text>
  </threadedComment>
  <threadedComment ref="F779" dT="2026-01-21T15:11:00.84" personId="{4D8483EF-5A39-4E7B-A473-929EF5A077E1}" id="{A0064115-A4B3-4BBD-B2C9-340F443EB25D}" parentId="{652D44BF-52EC-4F2E-B750-1E747C778787}">
    <text xml:space="preserve">Descuento a 2000€ </text>
  </threadedComment>
  <threadedComment ref="F781" dT="2025-02-13T10:05:11.33" personId="{17D30B62-2123-41F1-B603-E5411FDFA3E0}" id="{6A9938D4-8392-406F-84DE-2BB0059F34AB}">
    <text>Habitacion doble para trabajadores cant 1 Costo 60€/noche
Habitacion triple para trabajadores cant 3 Costo 75€/noche cada una
(camas separadas)</text>
  </threadedComment>
  <threadedComment ref="F782" dT="2025-02-13T10:05:11.33" personId="{17D30B62-2123-41F1-B603-E5411FDFA3E0}" id="{38AFABD6-DF6D-4929-9F11-6A0F54B1A753}">
    <text>Habitacion doble para trabajadores cant 1 Costo 60€/noche
Habitacion triple para trabajadores cant 3 Costo 75€/noche cada una
(camas separadas)</text>
  </threadedComment>
  <threadedComment ref="F783" dT="2025-02-10T17:07:43.06" personId="{17D30B62-2123-41F1-B603-E5411FDFA3E0}" id="{F27CF93D-7EA5-410F-8719-19630CA84CF1}">
    <text>350€ por cada habitacion
350€ fianza</text>
  </threadedComment>
  <threadedComment ref="F783" dT="2025-02-12T10:28:53.03" personId="{98986A2A-739A-4851-A979-4B0D560C46CD}" id="{A2BF505B-FBFF-4173-9AFE-738E5AC18C7C}" parentId="{F27CF93D-7EA5-410F-8719-19630CA84CF1}">
    <text>04 habitaciones x 350 cu. Fianza 350 c/h Total 1400</text>
  </threadedComment>
  <threadedComment ref="F783" dT="2025-02-12T10:41:29.61" personId="{98986A2A-739A-4851-A979-4B0D560C46CD}" id="{1D503B46-EE76-4E49-9D79-01FD128488CD}" parentId="{F27CF93D-7EA5-410F-8719-19630CA84CF1}">
    <text>Se adicionan 03 habitaciones 10/02 x 350 € c/u. Fianza 350€ c/u. Total 1050€fianza</text>
  </threadedComment>
  <threadedComment ref="F784" dT="2025-02-13T10:05:11.33" personId="{17D30B62-2123-41F1-B603-E5411FDFA3E0}" id="{4A28FB2B-3AA7-4759-8620-EA7DD72E3325}">
    <text>Habitacion doble para trabajadores cant 1 Costo 60€/noche
Habitacion triple para trabajadores cant 3 Costo 75€/noche cada una
(camas separadas)</text>
  </threadedComment>
  <threadedComment ref="F785" dT="2025-02-13T10:05:11.33" personId="{17D30B62-2123-41F1-B603-E5411FDFA3E0}" id="{5F832C42-D82D-44FC-AB6D-A7EF78EA17CF}">
    <text>Habitacion doble para trabajadores cant 1 Costo 60€/noche
Habitacion triple para trabajadores cant 3 Costo 75€/noche cada una
(camas separadas)</text>
  </threadedComment>
  <threadedComment ref="F786" dT="2025-02-13T10:05:11.33" personId="{17D30B62-2123-41F1-B603-E5411FDFA3E0}" id="{99E5AD0F-9483-4584-9A49-5368842F337A}">
    <text>Habitacion doble para trabajadores cant 1 Costo 60€/noche
Habitacion triple para trabajadores cant 3 Costo 75€/noche cada una
(camas separadas)</text>
  </threadedComment>
  <threadedComment ref="F788" dT="2025-02-13T10:05:11.33" personId="{17D30B62-2123-41F1-B603-E5411FDFA3E0}" id="{FFFD4BFC-5E8E-49A6-A83A-2AD99424D46A}">
    <text>Habitacion doble para trabajadores cant 1 Costo 60€/noche
Habitacion triple para trabajadores cant 3 Costo 75€/noche cada una
(camas separadas)</text>
  </threadedComment>
  <threadedComment ref="F789" dT="2025-02-13T10:05:11.33" personId="{17D30B62-2123-41F1-B603-E5411FDFA3E0}" id="{1AD0D72D-FF55-4595-A1FB-BBBCF718D18E}">
    <text>Habitacion doble para trabajadores cant 1 Costo 60€/noche
Habitacion triple para trabajadores cant 3 Costo 75€/noche cada una
(camas separadas)</text>
  </threadedComment>
  <threadedComment ref="F790" dT="2025-02-13T10:05:11.33" personId="{17D30B62-2123-41F1-B603-E5411FDFA3E0}" id="{BFE2FF9F-4495-41EF-97C2-D4D1F87218A7}">
    <text xml:space="preserve">350 cada habitación </text>
  </threadedComment>
  <threadedComment ref="F791" dT="2025-02-25T08:01:07.95" personId="{98986A2A-739A-4851-A979-4B0D560C46CD}" id="{FB87749E-FF20-47C7-9896-A6539A9A9B29}">
    <text>03 camas, 1300€ alquiler, 200€ fianza</text>
  </threadedComment>
  <threadedComment ref="F792" dT="2025-02-25T07:41:27.36" personId="{98986A2A-739A-4851-A979-4B0D560C46CD}" id="{957E9B41-99FC-4AED-8D21-97485F09D8C7}">
    <text>Alquiler 2300 Camas 5</text>
  </threadedComment>
  <threadedComment ref="F793" dT="2024-08-19T11:49:32.68" personId="{98986A2A-739A-4851-A979-4B0D560C46CD}" id="{A0AB175C-5F06-4FEB-974F-276383BE77CC}">
    <text xml:space="preserve">04 CAMAS, ALQUILER 1080, SIN FIANZA
</text>
  </threadedComment>
  <threadedComment ref="F794" dT="2026-04-24T13:34:50.92" personId="{4D8483EF-5A39-4E7B-A473-929EF5A077E1}" id="{49633CBF-15F1-45B4-B6BD-86D20096BC4E}">
    <text>(para 2 personas)</text>
  </threadedComment>
  <threadedComment ref="F795" dT="2024-08-19T11:49:32.68" personId="{98986A2A-739A-4851-A979-4B0D560C46CD}" id="{868FABB1-DA80-470A-8882-842B554062B9}">
    <text xml:space="preserve">04 CAMAS, ALQUILER 1080, SIN FIANZA
</text>
  </threadedComment>
  <threadedComment ref="F803" dT="2025-02-13T10:05:11.33" personId="{17D30B62-2123-41F1-B603-E5411FDFA3E0}" id="{B6DBD535-53B3-4EF9-8B2E-3291E98352B8}">
    <text>Habitacion doble para trabajadores cant 1 Costo 60€/noche
Habitacion triple para trabajadores cant 3 Costo 75€/noche cada una
(camas separadas)</text>
  </threadedComment>
  <threadedComment ref="F806" dT="2025-02-13T10:05:11.33" personId="{17D30B62-2123-41F1-B603-E5411FDFA3E0}" id="{69845A4F-C5C7-4F52-9829-598DB3F84247}">
    <text>Habitacion doble para trabajadores cant 1 Costo 60€/noche
Habitacion triple para trabajadores cant 3 Costo 75€/noche cada una
(camas separadas)</text>
  </threadedComment>
  <threadedComment ref="F812" dT="2024-08-08T15:05:50.75" personId="{8BEA8CB1-BB33-44FC-A791-4439DE945680}" id="{C88C8AD2-497E-41F7-859B-FC35F82F22D3}">
    <text>Alquiler 1380 Fianza 2760 Camas 5</text>
  </threadedComment>
  <threadedComment ref="N812" dT="2024-08-08T15:11:09.94" personId="{8BEA8CB1-BB33-44FC-A791-4439DE945680}" id="{5906CF5F-D465-4E61-8A4B-1387E5473E89}">
    <text xml:space="preserve">Costo de Honorarios de gestión Total 
1669.80
</text>
  </threadedComment>
  <threadedComment ref="F813" dT="2025-04-08T10:52:54.90" personId="{17D30B62-2123-41F1-B603-E5411FDFA3E0}" id="{5D47EA7E-84C0-4E6A-B385-CFDD3531C04F}">
    <text>2 CAMAS</text>
  </threadedComment>
  <threadedComment ref="F814" dT="2025-04-08T10:52:54.90" personId="{17D30B62-2123-41F1-B603-E5411FDFA3E0}" id="{ACD2346F-47E6-41B5-8BCB-7ACD374D7BA6}">
    <text>2 CAMAS</text>
  </threadedComment>
  <threadedComment ref="F815" dT="2025-05-07T15:20:49.27" personId="{17D30B62-2123-41F1-B603-E5411FDFA3E0}" id="{801D1A20-D3CC-440B-99EE-5FC2AF80AD47}">
    <text>Alojamiento para 6 personas 3.450€</text>
  </threadedComment>
  <threadedComment ref="F819" dT="2025-02-13T10:05:11.33" personId="{17D30B62-2123-41F1-B603-E5411FDFA3E0}" id="{E4729C0E-D50D-4ECA-867B-6CE2EC004F3D}">
    <text>Habitacion doble para trabajadores cant 1 Costo 60€/noche
Habitacion triple para trabajadores cant 3 Costo 75€/noche cada una
(camas separadas)</text>
  </threadedComment>
  <threadedComment ref="F820" dT="2024-08-08T15:05:50.75" personId="{8BEA8CB1-BB33-44FC-A791-4439DE945680}" id="{4F09F681-A899-44D5-88CF-266393FF70E7}">
    <text>Alquiler 1380 Fianza 2760 Camas 5</text>
  </threadedComment>
  <threadedComment ref="F821" dT="2025-02-13T10:05:11.33" personId="{17D30B62-2123-41F1-B603-E5411FDFA3E0}" id="{B6C82A5B-388F-4929-9F92-8F09CF212588}">
    <text>Habitacion doble para trabajadores cant 1 Costo 60€/noche
Habitacion triple para trabajadores cant 3 Costo 75€/noche cada una
(camas separadas)</text>
  </threadedComment>
  <threadedComment ref="F822" dT="2025-04-24T14:36:06.83" personId="{17D30B62-2123-41F1-B603-E5411FDFA3E0}" id="{67C7BCAE-DF8F-4950-B37A-1D3C9ECBF87B}">
    <text>Alquiler 1400€ apartamento para 4 personas</text>
  </threadedComment>
  <threadedComment ref="F823" dT="2025-04-24T14:36:06.83" personId="{17D30B62-2123-41F1-B603-E5411FDFA3E0}" id="{53B53A69-A34A-4313-B00B-F9B886EA7574}">
    <text>Alquiler 1400€ apartamento para 4 personas</text>
  </threadedComment>
  <threadedComment ref="F826" dT="2025-03-10T13:00:01.56" personId="{98986A2A-739A-4851-A979-4B0D560C46CD}" id="{F5229061-7702-4112-B85A-35B12DDE639E}">
    <text>3 CAMAS, 600€ALQUILER, 600€FIANZA</text>
  </threadedComment>
  <threadedComment ref="F827" dT="2025-03-14T08:13:00.80" personId="{98986A2A-739A-4851-A979-4B0D560C46CD}" id="{ECA09326-F71D-4981-A30A-61DB2B4259BF}">
    <text>04 camas, 500€ alquiler, 500€ fianza</text>
  </threadedComment>
  <threadedComment ref="F828" dT="2025-03-14T08:13:00.80" personId="{98986A2A-739A-4851-A979-4B0D560C46CD}" id="{21AE264A-631F-4D69-A420-0C79D30E8490}">
    <text>04 camas, 500€ alquiler, 500€ fianza</text>
  </threadedComment>
  <threadedComment ref="F829" dT="2025-02-13T10:05:11.33" personId="{17D30B62-2123-41F1-B603-E5411FDFA3E0}" id="{660B4430-6938-4BE0-852D-4F5A1F5B9629}">
    <text xml:space="preserve">350 cada habitación </text>
  </threadedComment>
  <threadedComment ref="F830" dT="2025-02-13T10:05:11.33" personId="{17D30B62-2123-41F1-B603-E5411FDFA3E0}" id="{6AD2908B-D371-4535-8C52-1B428BB53550}">
    <text>Habitacion doble para trabajadores cant 1 Costo 60€/noche
Habitacion triple para trabajadores cant 3 Costo 75€/noche cada una
(camas separadas)</text>
  </threadedComment>
  <threadedComment ref="F831" dT="2025-03-03T14:21:43.14" personId="{98986A2A-739A-4851-A979-4B0D560C46CD}" id="{DFA93CE2-BED0-4BCD-9694-5D1DE05F5653}">
    <text>03 camas, 600€ fianza, 600 € alquiler</text>
  </threadedComment>
  <threadedComment ref="F838" dT="2025-03-11T10:08:17.58" personId="{98986A2A-739A-4851-A979-4B0D560C46CD}" id="{2E5D05C4-EF47-4923-8CF1-5AF67295B49C}">
    <text>06 camas, Renta vivienda 1.380€+ Servicio limpieza 302,50€ =TOTAL 1.682,50€. Fianza 950€ fianza</text>
  </threadedComment>
  <threadedComment ref="F839" dT="2025-03-11T10:08:17.58" personId="{98986A2A-739A-4851-A979-4B0D560C46CD}" id="{CFCA864E-9EA6-4DD6-8559-59FEC3AB656E}">
    <text>06 camas, Renta vivienda 1.380€+ Servicio limpieza 302,50€ =TOTAL 1.682,50€. Fianza 950€ fianza</text>
  </threadedComment>
  <threadedComment ref="F840" dT="2025-03-24T10:15:02.97" personId="{17D30B62-2123-41F1-B603-E5411FDFA3E0}" id="{D3E2D6C1-9998-4FAF-8C7A-E3AA6417F65E}">
    <text>400€ Por persona alquiler mes, Fianza 500€, 5 Camas.</text>
  </threadedComment>
  <threadedComment ref="F841" dT="2024-08-19T11:49:32.68" personId="{98986A2A-739A-4851-A979-4B0D560C46CD}" id="{9AE17A92-0685-4A42-9A88-3A53B9031941}">
    <text>3 habitaciones</text>
  </threadedComment>
  <threadedComment ref="F842" dT="2025-03-03T15:39:24.40" personId="{98986A2A-739A-4851-A979-4B0D560C46CD}" id="{0494F4A4-59A3-4EF9-9C92-5CC478B1D9CA}">
    <text>1200€ alquiler, 05 camas, 1200€ fianza</text>
  </threadedComment>
  <threadedComment ref="F844" dT="2024-12-07T09:48:49.17" personId="{98986A2A-739A-4851-A979-4B0D560C46CD}" id="{DB38DDA2-7174-4FB5-AAFE-E1A164E5D713}">
    <text>ALQUILER 580, FIANZA 580, 4 CAMAS. Contrato pago hasta Febrero</text>
  </threadedComment>
  <threadedComment ref="F848" dT="2024-06-25T09:14:46.90" personId="{98986A2A-739A-4851-A979-4B0D560C46CD}" id="{65CECF13-CB03-4BE7-9923-146D1712B8E8}">
    <text>Fianza 1000, alquiler 1250, 05 camas. Nuevo Contrato Febrero 2025</text>
  </threadedComment>
  <threadedComment ref="F853" dT="2025-02-13T10:05:11.33" personId="{17D30B62-2123-41F1-B603-E5411FDFA3E0}" id="{60CA46D1-59D3-498F-A542-36089B2E5F95}">
    <text>Habitacion doble para trabajadores cant 1 Costo 60€/noche
Habitacion triple para trabajadores cant 3 Costo 75€/noche cada una
(camas separadas)</text>
  </threadedComment>
  <threadedComment ref="F854" dT="2025-02-13T10:05:11.33" personId="{17D30B62-2123-41F1-B603-E5411FDFA3E0}" id="{3994DF34-468B-4A47-8465-5980D74C1F3F}">
    <text>Habitacion doble para trabajadores cant 1 Costo 60€/noche
Habitacion triple para trabajadores cant 3 Costo 75€/noche cada una
(camas separadas)</text>
  </threadedComment>
  <threadedComment ref="F855" dT="2025-03-04T08:46:27.80" personId="{98986A2A-739A-4851-A979-4B0D560C46CD}" id="{C58DF337-1E35-4FDE-AA0A-F3682413DBE7}">
    <text>01 cama, sin fianza, transferencia al trabajador</text>
  </threadedComment>
  <threadedComment ref="F856" dT="2025-02-13T10:05:11.33" personId="{17D30B62-2123-41F1-B603-E5411FDFA3E0}" id="{F83087C4-C6BB-4A02-AE91-ACF78E1F970C}">
    <text>Habitacion doble para trabajadores cant 1 Costo 60€/noche
Habitacion triple para trabajadores cant 3 Costo 75€/noche cada una
(camas separadas)</text>
  </threadedComment>
  <threadedComment ref="F857" dT="2025-03-31T11:08:28.46" personId="{17D30B62-2123-41F1-B603-E5411FDFA3E0}" id="{29ACA889-E219-4000-82CE-9C33315A9242}">
    <text>5 Camas</text>
  </threadedComment>
  <threadedComment ref="F858" dT="2024-11-25T17:21:01.51" personId="{98986A2A-739A-4851-A979-4B0D560C46CD}" id="{C824E1BC-41C9-4ABD-98D0-AD4FB614A144}">
    <text xml:space="preserve">Alquiler 650 Fianza 650 camas 4 ( 2 camas dobles propietaria y 2 kotrik) 
</text>
  </threadedComment>
  <threadedComment ref="F859" dT="2024-11-25T17:21:01.51" personId="{98986A2A-739A-4851-A979-4B0D560C46CD}" id="{429C22C3-78DF-4194-97EB-8E9E79995F45}">
    <text xml:space="preserve">Alquiler 650 Fianza 650 camas 4 ( 2 camas dobles propietaria y 2 kotrik) 
</text>
  </threadedComment>
  <threadedComment ref="F860" dT="2025-03-31T10:57:54.84" personId="{17D30B62-2123-41F1-B603-E5411FDFA3E0}" id="{0FD2C934-E9DA-4428-A798-052609066AA3}">
    <text>4 CAMAS</text>
  </threadedComment>
  <threadedComment ref="F861" dT="2025-03-31T10:57:54.84" personId="{17D30B62-2123-41F1-B603-E5411FDFA3E0}" id="{3AEA324B-E6D4-478A-9842-A2557C47DD35}">
    <text>4 CAMAS</text>
  </threadedComment>
  <threadedComment ref="F862" dT="2025-02-13T10:05:11.33" personId="{17D30B62-2123-41F1-B603-E5411FDFA3E0}" id="{C1BC418D-E726-4825-88F9-7052A7DE2182}">
    <text>Habitacion doble para trabajadores cant 1 Costo 60€/noche
Habitacion triple para trabajadores cant 3 Costo 75€/noche cada una
(camas separadas)</text>
  </threadedComment>
  <threadedComment ref="F864" dT="2025-02-13T10:05:11.33" personId="{17D30B62-2123-41F1-B603-E5411FDFA3E0}" id="{1774A50F-0B1E-4B21-9E84-03233C0A2321}">
    <text>Habitacion doble para trabajadores cant 1 Costo 60€/noche
Habitacion triple para trabajadores cant 3 Costo 75€/noche cada una
(camas separadas)</text>
  </threadedComment>
  <threadedComment ref="F865" dT="2025-02-13T10:05:11.33" personId="{17D30B62-2123-41F1-B603-E5411FDFA3E0}" id="{B323AB89-5880-4E32-AAF4-53AF9CCC58F7}">
    <text>Habitacion doble para trabajadores cant 1 Costo 60€/noche
Habitacion triple para trabajadores cant 3 Costo 75€/noche cada una
(camas separadas)</text>
  </threadedComment>
  <threadedComment ref="F866" dT="2025-03-03T14:52:00.87" personId="{98986A2A-739A-4851-A979-4B0D560C46CD}" id="{3307F733-A750-4EBB-BDBB-9BC21DCA84E7}">
    <text>03 CAMAS, ALQULER 800. FIANZA 1000,</text>
  </threadedComment>
  <threadedComment ref="F869" dT="2025-02-13T10:05:11.33" personId="{17D30B62-2123-41F1-B603-E5411FDFA3E0}" id="{9F121258-116D-4A7D-A2AB-3A3FED8914E7}">
    <text>Habitacion doble para trabajadores cant 1 Costo 60€/noche
Habitacion triple para trabajadores cant 3 Costo 75€/noche cada una
(camas separadas)</text>
  </threadedComment>
  <threadedComment ref="F870" dT="2025-04-24T14:36:06.83" personId="{17D30B62-2123-41F1-B603-E5411FDFA3E0}" id="{C9FF6943-47C0-4145-9B9C-DD303AC89449}">
    <text>Alquiler 1400€ apartamento para 4 personas</text>
  </threadedComment>
  <threadedComment ref="F871" dT="2025-04-24T14:36:06.83" personId="{17D30B62-2123-41F1-B603-E5411FDFA3E0}" id="{47819010-0C73-4802-A155-B439A4601CDB}">
    <text>Alquiler 1400€ apartamento para 4 personas</text>
  </threadedComment>
  <threadedComment ref="F872" dT="2025-03-03T14:52:00.87" personId="{98986A2A-739A-4851-A979-4B0D560C46CD}" id="{45C3D7A5-83E3-4045-8500-6F9A430FB345}">
    <text>03 CAMAS, ALQULER 800. FIANZA 1000,</text>
  </threadedComment>
  <threadedComment ref="F873" dT="2025-02-13T10:05:11.33" personId="{17D30B62-2123-41F1-B603-E5411FDFA3E0}" id="{0FDEE2A9-98E8-4CBC-A23F-86B34D2FE51B}">
    <text>Habitacion doble para trabajadores cant 1 Costo 60€/noche
Habitacion triple para trabajadores cant 3 Costo 75€/noche cada una
(camas separadas)</text>
  </threadedComment>
  <threadedComment ref="F874" dT="2025-03-18T09:49:27.52" personId="{98986A2A-739A-4851-A979-4B0D560C46CD}" id="{06F8F5F8-1616-4FFE-A57B-11DF512FAB16}">
    <text>04 camas, 400€ alquiler, 400€ fianza</text>
  </threadedComment>
  <threadedComment ref="F877" dT="2025-02-13T10:05:11.33" personId="{17D30B62-2123-41F1-B603-E5411FDFA3E0}" id="{A4E99607-0861-471D-A1DD-9DA66FB7B6A9}">
    <text>3 Habitaciones alquiler 1800</text>
  </threadedComment>
  <threadedComment ref="F878" dT="2024-08-19T11:49:32.68" personId="{98986A2A-739A-4851-A979-4B0D560C46CD}" id="{329D885A-316F-4F3E-9B0D-238A965F6F84}">
    <text>3 habitaciones, 04 CAMAS, 1100€ ALQUILER,</text>
  </threadedComment>
  <threadedComment ref="F880" dT="2025-03-03T14:52:00.87" personId="{98986A2A-739A-4851-A979-4B0D560C46CD}" id="{0D51AF4D-A9D3-4792-98F3-0725BBCC40AB}">
    <text>03 CAMAS, ALQULER 800. FIANZA 1000,</text>
  </threadedComment>
  <threadedComment ref="F883" dT="2025-02-13T10:05:11.33" personId="{17D30B62-2123-41F1-B603-E5411FDFA3E0}" id="{0500A5AA-2DE8-48A0-8D69-365F81F5F150}">
    <text>3 Habitaciones alquiler 1800</text>
  </threadedComment>
  <threadedComment ref="F884" dT="2025-03-04T16:46:23.56" personId="{98986A2A-739A-4851-A979-4B0D560C46CD}" id="{9DE4A49C-FDBE-42F1-9151-742432A417E1}">
    <text>05 CAMAS, 1580€ ALQUILER, 1580€ FIANZA</text>
  </threadedComment>
  <threadedComment ref="F885" dT="2025-03-04T16:46:23.56" personId="{98986A2A-739A-4851-A979-4B0D560C46CD}" id="{7E6181E7-B494-4343-AA06-78E1B1C96289}">
    <text>05 CAMAS, 1580€ ALQUILER, 1580€ FIANZA</text>
  </threadedComment>
  <threadedComment ref="F886" dT="2025-03-11T10:08:17.58" personId="{98986A2A-739A-4851-A979-4B0D560C46CD}" id="{9E90BE98-FBFB-4457-9FDE-B27DCE677491}">
    <text>06 camas, Renta vivienda 1.380€+ Servicio limpieza 302,50€ =TOTAL 1.682,50€. Fianza 950€ fianza</text>
  </threadedComment>
  <threadedComment ref="F887" dT="2025-02-13T10:05:11.33" personId="{17D30B62-2123-41F1-B603-E5411FDFA3E0}" id="{4F3D31CD-37D6-4178-9A37-C25ABA7562DF}">
    <text>Alquiler 903.20€ 4 camas</text>
  </threadedComment>
  <threadedComment ref="F890" dT="2025-03-11T10:10:52.28" personId="{98986A2A-739A-4851-A979-4B0D560C46CD}" id="{F2B79EEA-97F7-457E-9108-AE411395A566}">
    <text xml:space="preserve">6 camas, alquiler 1.450€ + Servicio de Limpieza 302,50€ =TOTAL 1.752,50€. Fianza 950€
</text>
  </threadedComment>
  <threadedComment ref="F891" dT="2025-03-10T16:43:11.01" personId="{17D30B62-2123-41F1-B603-E5411FDFA3E0}" id="{EF34D872-54C7-47A8-9A8D-35CCAB507FFA}">
    <text>3 habitaciones,apto para 4 personas, 1300 alquiler+50 Limpieza</text>
  </threadedComment>
  <threadedComment ref="F892" dT="2025-03-10T16:43:03.96" personId="{17D30B62-2123-41F1-B603-E5411FDFA3E0}" id="{5D5322C5-6951-4CBE-9091-A1EC53F85177}">
    <text>3 habitaciones,apto para 4 personas, 1300 alquiler+50 Limpieza</text>
  </threadedComment>
  <threadedComment ref="F893" dT="2025-02-13T10:05:11.33" personId="{17D30B62-2123-41F1-B603-E5411FDFA3E0}" id="{4981BFFB-5D88-49DE-8231-C5954A2A140E}">
    <text>Habitacion doble para trabajadores cant 1 Costo 60€/noche
Habitacion triple para trabajadores cant 3 Costo 75€/noche cada una
(camas separadas)</text>
  </threadedComment>
  <threadedComment ref="F895" dT="2025-02-13T10:05:11.33" personId="{17D30B62-2123-41F1-B603-E5411FDFA3E0}" id="{AEB1C3E0-D81E-48EC-8234-0E0FDE049F5F}">
    <text>4 CAMAS</text>
  </threadedComment>
  <threadedComment ref="F898" dT="2025-02-13T10:05:11.33" personId="{17D30B62-2123-41F1-B603-E5411FDFA3E0}" id="{E1DC7016-A243-49D2-B871-EA02BDD6C35A}">
    <text>Habitacion doble para trabajadores cant 1 Costo 60€/noche
Habitacion triple para trabajadores cant 3 Costo 75€/noche cada una
(camas separadas)</text>
  </threadedComment>
  <threadedComment ref="F900" dT="2025-03-31T11:08:28.46" personId="{17D30B62-2123-41F1-B603-E5411FDFA3E0}" id="{B7042B53-AEE9-4502-AADE-3912B0508EDA}">
    <text>5 Camas</text>
  </threadedComment>
  <threadedComment ref="F901" dT="2025-03-31T10:59:55.85" personId="{17D30B62-2123-41F1-B603-E5411FDFA3E0}" id="{FA893041-8225-4724-873A-0E79A0D07679}">
    <text xml:space="preserve">5 CAMAS </text>
  </threadedComment>
  <threadedComment ref="F902" dT="2025-02-26T14:29:45.42" personId="{17D30B62-2123-41F1-B603-E5411FDFA3E0}" id="{AD375632-DC46-452A-A58A-92B9DBAEC3C7}">
    <text>9 Camas, Alquiler 2300€, Fianza 700€</text>
  </threadedComment>
  <threadedComment ref="F902" dT="2026-01-21T15:11:00.84" personId="{4D8483EF-5A39-4E7B-A473-929EF5A077E1}" id="{298BDA29-898C-4C0D-8681-AB95044EB936}" parentId="{AD375632-DC46-452A-A58A-92B9DBAEC3C7}">
    <text xml:space="preserve">Descuento a 2000€ </text>
  </threadedComment>
  <threadedComment ref="F903" dT="2025-02-13T10:05:11.33" personId="{17D30B62-2123-41F1-B603-E5411FDFA3E0}" id="{15E01270-17BA-4880-A1B5-789B2BE62747}">
    <text>Habitacion doble para trabajadores cant 1 Costo 60€/noche
Habitacion triple para trabajadores cant 3 Costo 75€/noche cada una
(camas separadas)</text>
  </threadedComment>
  <threadedComment ref="F905" dT="2025-03-07T13:18:36.65" personId="{98986A2A-739A-4851-A979-4B0D560C46CD}" id="{A978151D-17DD-46DC-A907-7701E13BC699}">
    <text>04 camas, 550€ alquiler, 550€ fianza</text>
  </threadedComment>
  <threadedComment ref="F907" dT="2025-02-13T10:05:11.33" personId="{17D30B62-2123-41F1-B603-E5411FDFA3E0}" id="{F9A24878-A7A2-4E26-9F37-6BF14C1840DC}">
    <text>Habitacion doble para trabajadores cant 1 Costo 60€/noche
Habitacion triple para trabajadores cant 3 Costo 75€/noche cada una
(camas separadas)</text>
  </threadedComment>
  <threadedComment ref="F908" dT="2025-05-05T11:29:54.02" personId="{98986A2A-739A-4851-A979-4B0D560C46CD}" id="{39D790B2-041F-4A03-A1AE-68B10939AF24}">
    <text>Alquiler 1300€, 05 habitaciones, 400€fianza</text>
  </threadedComment>
  <threadedComment ref="F911" dT="2025-04-08T10:52:54.90" personId="{17D30B62-2123-41F1-B603-E5411FDFA3E0}" id="{1601B8B0-14D1-49DB-AC2C-76FD4B3DFABC}">
    <text>2 CAMAS</text>
  </threadedComment>
  <threadedComment ref="F912" dT="2025-04-08T10:52:54.90" personId="{17D30B62-2123-41F1-B603-E5411FDFA3E0}" id="{9DCFF6DE-F3CF-4D99-AC69-75F42F6ADD3D}">
    <text>2 CAMAS</text>
  </threadedComment>
  <threadedComment ref="F914" dT="2025-02-13T10:05:11.33" personId="{17D30B62-2123-41F1-B603-E5411FDFA3E0}" id="{5E84FC5C-4272-4CEC-9C0F-65A44D8714A9}">
    <text>Habitacion doble para trabajadores cant 1 Costo 60€/noche
Habitacion triple para trabajadores cant 3 Costo 75€/noche cada una
(camas separadas)</text>
  </threadedComment>
  <threadedComment ref="F917" dT="2024-08-12T06:19:55.68" personId="{8BEA8CB1-BB33-44FC-A791-4439DE945680}" id="{F7C68462-02BA-47C9-9CE8-EA7F167A7A42}">
    <text>ALQUILER  1500    FIANZA     3000   CAMAS 9</text>
  </threadedComment>
  <threadedComment ref="F917" dT="2024-12-02T12:38:12.96" personId="{98986A2A-739A-4851-A979-4B0D560C46CD}" id="{C5C55793-F286-4A7D-92F8-0C3DE1B7D711}" parentId="{F7C68462-02BA-47C9-9CE8-EA7F167A7A42}">
    <text>11 camas, 09 acomodadas, 02 pendientes por acomodar</text>
  </threadedComment>
  <threadedComment ref="F918" dT="2025-03-04T16:46:23.56" personId="{98986A2A-739A-4851-A979-4B0D560C46CD}" id="{6368D215-D5E0-425A-A46C-F6EE1928A770}">
    <text>05 CAMAS, 1580€ ALQUILER, 1580€ FIANZA</text>
  </threadedComment>
  <threadedComment ref="F919" dT="2025-02-13T10:05:11.33" personId="{17D30B62-2123-41F1-B603-E5411FDFA3E0}" id="{F25AC816-4102-496E-9AC2-4F7BD2A03E2D}">
    <text>Habitacion doble para trabajadores cant 1 Costo 60€/noche
Habitacion triple para trabajadores cant 3 Costo 75€/noche cada una
(camas separadas)</text>
  </threadedComment>
  <threadedComment ref="F920" dT="2025-03-31T10:59:55.85" personId="{17D30B62-2123-41F1-B603-E5411FDFA3E0}" id="{82002822-EDAE-45DD-9840-7333B6127FAD}">
    <text xml:space="preserve">5 CAMAS </text>
  </threadedComment>
  <threadedComment ref="F921" dT="2025-02-13T10:05:11.33" personId="{17D30B62-2123-41F1-B603-E5411FDFA3E0}" id="{F9554CC3-7281-4D7F-9A25-3CEBDCB8D6DB}">
    <text>3 CAMAS</text>
  </threadedComment>
  <threadedComment ref="F922" dT="2025-02-13T10:05:11.33" personId="{17D30B62-2123-41F1-B603-E5411FDFA3E0}" id="{5F2E32B4-D89E-44F4-AE61-FA751AA3BD5F}">
    <text>3 CAMAS</text>
  </threadedComment>
  <threadedComment ref="F923" dT="2025-02-13T10:05:11.33" personId="{17D30B62-2123-41F1-B603-E5411FDFA3E0}" id="{768E97BE-059F-4F9D-978A-2740336356D0}">
    <text>3 CAMAS</text>
  </threadedComment>
  <threadedComment ref="F924" dT="2025-04-15T07:59:35.98" personId="{17D30B62-2123-41F1-B603-E5411FDFA3E0}" id="{8ACDB06C-61E7-4123-BF58-7E8109C13F97}">
    <text>Alquiler 300€, suministros 50€</text>
  </threadedComment>
  <threadedComment ref="F925" dT="2025-04-15T07:59:35.98" personId="{17D30B62-2123-41F1-B603-E5411FDFA3E0}" id="{52303F5E-4ABD-488E-81F4-A55C3D161567}">
    <text>Alquiler 300€, suministros 50€</text>
  </threadedComment>
  <threadedComment ref="F926" dT="2025-11-10T10:56:00.16" personId="{4D8483EF-5A39-4E7B-A473-929EF5A077E1}" id="{9D5FD462-2AC6-4111-B969-5AB5BDCA91FF}">
    <text>(para 3 personas)</text>
  </threadedComment>
  <threadedComment ref="F927" dT="2025-02-13T10:05:11.33" personId="{17D30B62-2123-41F1-B603-E5411FDFA3E0}" id="{575EC3F1-E46A-449A-A03F-B4194901FA04}">
    <text>Habitacion doble para trabajadores cant 1 Costo 60€/noche
Habitacion triple para trabajadores cant 3 Costo 75€/noche cada una
(camas separadas)</text>
  </threadedComment>
  <threadedComment ref="F928" dT="2025-03-07T13:18:36.65" personId="{98986A2A-739A-4851-A979-4B0D560C46CD}" id="{3E08C0B8-1FAD-4ECF-B6EC-BF2BEB44B105}">
    <text>04 camas, 550€ alquiler, 550€ fianza</text>
  </threadedComment>
  <threadedComment ref="F930" dT="2024-06-05T10:13:18.67" personId="{98986A2A-739A-4851-A979-4B0D560C46CD}" id="{0A80610E-B45F-4E40-972D-6957F42D8494}">
    <text xml:space="preserve">4 habitaciones, 2000€ ALQUILER
</text>
  </threadedComment>
  <threadedComment ref="F931" dT="2025-05-20T07:05:47.72" personId="{17D30B62-2123-41F1-B603-E5411FDFA3E0}" id="{41BD8F76-D9D3-4D61-9171-E30F9FB083F1}">
    <text>1 Habitación Triple</text>
  </threadedComment>
  <threadedComment ref="F932" dT="2025-05-20T07:05:47.72" personId="{17D30B62-2123-41F1-B603-E5411FDFA3E0}" id="{4E707DB4-DB39-438E-8A0F-3632F3B85C72}">
    <text>1 Habitación Triple</text>
  </threadedComment>
  <threadedComment ref="F935" dT="2025-03-04T16:46:23.56" personId="{98986A2A-739A-4851-A979-4B0D560C46CD}" id="{654E6306-985C-42C1-976B-8613419AD785}">
    <text>05 CAMAS, 1580€ ALQUILER, 1580€ FIANZA</text>
  </threadedComment>
  <threadedComment ref="F936" dT="2025-02-13T10:05:11.33" personId="{17D30B62-2123-41F1-B603-E5411FDFA3E0}" id="{9A34159F-B250-4941-B9EB-00AA409C847E}">
    <text>Habitacion doble para trabajadores cant 1 Costo 60€/noche
Habitacion triple para trabajadores cant 3 Costo 75€/noche cada una
(camas separadas)</text>
  </threadedComment>
  <threadedComment ref="F937" dT="2025-02-13T10:05:11.33" personId="{17D30B62-2123-41F1-B603-E5411FDFA3E0}" id="{E96AA793-099F-4244-AD01-163DE84C0CF2}">
    <text>Habitacion doble para trabajadores cant 1 Costo 60€/noche
Habitacion triple para trabajadores cant 3 Costo 75€/noche cada una
(camas separadas)</text>
  </threadedComment>
  <threadedComment ref="F938" dT="2025-03-03T18:16:08.96" personId="{98986A2A-739A-4851-A979-4B0D560C46CD}" id="{7C175111-E05A-43F3-AC82-296AF58A1785}">
    <text>03 camas, 1500€ alquiler, 600€ fianza</text>
  </threadedComment>
  <threadedComment ref="F939" dT="2024-08-06T14:12:58.54" personId="{8BEA8CB1-BB33-44FC-A791-4439DE945680}" id="{EA7C1CFF-60C9-4D04-BE20-9C8A3C1C81C3}">
    <text>Alquiler 1700, fianza 1700 6 CAMAS</text>
  </threadedComment>
  <threadedComment ref="F939" dT="2025-01-16T18:23:38.41" personId="{98986A2A-739A-4851-A979-4B0D560C46CD}" id="{F72400F0-98D7-4BA4-AB92-905BF1CFA0BF}" parentId="{EA7C1CFF-60C9-4D04-BE20-9C8A3C1C81C3}">
    <text>5 habitaciones</text>
  </threadedComment>
  <threadedComment ref="F940" dT="2025-02-24T10:19:28.57" personId="{98986A2A-739A-4851-A979-4B0D560C46CD}" id="{D9B8CCDF-6694-46C8-8666-5BF961A7326D}">
    <text>06 camas</text>
  </threadedComment>
  <threadedComment ref="F943" dT="2025-04-15T07:45:31.21" personId="{17D30B62-2123-41F1-B603-E5411FDFA3E0}" id="{C9EBA47C-4166-45B2-91A4-6E5F7525AFE9}">
    <text>2 Habitaciones camas individuales</text>
  </threadedComment>
  <threadedComment ref="F944" dT="2025-04-15T07:45:31.21" personId="{17D30B62-2123-41F1-B603-E5411FDFA3E0}" id="{5C77DD76-9A24-46FA-B7DE-DDD030ECE373}">
    <text>2 Habitaciones camas individuales</text>
  </threadedComment>
  <threadedComment ref="F947" dT="2025-02-13T10:05:11.33" personId="{17D30B62-2123-41F1-B603-E5411FDFA3E0}" id="{0262D83E-803D-4AA5-B066-BA71047DCBBC}">
    <text>Habitacion doble para trabajadores cant 1 Costo 60€/noche
Habitacion triple para trabajadores cant 3 Costo 75€/noche cada una
(camas separadas)</text>
  </threadedComment>
  <threadedComment ref="F948" dT="2025-02-13T10:05:11.33" personId="{17D30B62-2123-41F1-B603-E5411FDFA3E0}" id="{A2AA7B29-A249-4B2C-8664-27A16C920B0A}">
    <text>Habitacion doble para trabajadores cant 1 Costo 60€/noche
Habitacion triple para trabajadores cant 3 Costo 75€/noche cada una
(camas separadas)</text>
  </threadedComment>
  <threadedComment ref="F949" dT="2025-02-13T10:05:11.33" personId="{17D30B62-2123-41F1-B603-E5411FDFA3E0}" id="{59E81AA2-BF64-4D81-A674-ED36087457FB}">
    <text>Habitacion doble para trabajadores cant 1 Costo 60€/noche
Habitacion triple para trabajadores cant 3 Costo 75€/noche cada una
(camas separadas)</text>
  </threadedComment>
  <threadedComment ref="F951" dT="2025-02-13T10:05:11.33" personId="{17D30B62-2123-41F1-B603-E5411FDFA3E0}" id="{FAAE5A26-5AD5-4BDF-811C-E8A924B95F53}">
    <text>Habitacion doble para trabajadores cant 1 Costo 60€/noche
Habitacion triple para trabajadores cant 3 Costo 75€/noche cada una
(camas separadas)</text>
  </threadedComment>
  <threadedComment ref="F955" dT="2025-02-13T10:05:11.33" personId="{17D30B62-2123-41F1-B603-E5411FDFA3E0}" id="{0593D0CC-79D9-41AD-879F-4EC1BC64AF55}">
    <text>Habitacion doble para trabajadores cant 1 Costo 60€/noche
Habitacion triple para trabajadores cant 3 Costo 75€/noche cada una
(camas separadas)</text>
  </threadedComment>
  <threadedComment ref="F956" dT="2025-02-13T10:05:11.33" personId="{17D30B62-2123-41F1-B603-E5411FDFA3E0}" id="{4FB93AA5-66C8-4766-B27B-B4E08E214B56}">
    <text>Habitacion doble para trabajadores cant 1 Costo 60€/noche
Habitacion triple para trabajadores cant 3 Costo 75€/noche cada una
(camas separadas)</text>
  </threadedComment>
  <threadedComment ref="F957" dT="2025-02-26T12:24:18.65" personId="{98986A2A-739A-4851-A979-4B0D560C46CD}" id="{C8BF9E39-2E47-463E-9FEC-34811F9BD8EA}">
    <text xml:space="preserve">Alquiler 1100 , Fianza 2200  Camas 4
</text>
  </threadedComment>
  <threadedComment ref="F958" dT="2025-02-13T10:05:11.33" personId="{17D30B62-2123-41F1-B603-E5411FDFA3E0}" id="{75B7B52F-2820-4654-A52A-ED6BF87787E1}">
    <text>Habitacion doble para trabajadores cant 1 Costo 60€/noche
Habitacion triple para trabajadores cant 3 Costo 75€/noche cada una
(camas separadas)</text>
  </threadedComment>
  <threadedComment ref="F959" dT="2025-02-13T10:05:11.33" personId="{17D30B62-2123-41F1-B603-E5411FDFA3E0}" id="{541EC129-E984-41A3-88AD-9BAB273AF7B1}">
    <text>Habitacion doble para trabajadores cant 1 Costo 60€/noche
Habitacion triple para trabajadores cant 3 Costo 75€/noche cada una
(camas separadas)</text>
  </threadedComment>
  <threadedComment ref="F960" dT="2024-08-08T15:05:50.75" personId="{8BEA8CB1-BB33-44FC-A791-4439DE945680}" id="{C530A961-C449-4C74-BD7A-81F2BF0B8ABE}">
    <text>Alquiler 1380 Fianza 2760 Camas 5</text>
  </threadedComment>
  <threadedComment ref="F961" dT="2025-02-13T10:05:11.33" personId="{17D30B62-2123-41F1-B603-E5411FDFA3E0}" id="{430DE242-5157-42E9-9004-9E28B0B4D38D}">
    <text>Habitacion doble para trabajadores cant 1 Costo 60€/noche
Habitacion triple para trabajadores cant 3 Costo 75€/noche cada una
(camas separadas)</text>
  </threadedComment>
  <threadedComment ref="F962" dT="2024-08-08T15:05:50.75" personId="{8BEA8CB1-BB33-44FC-A791-4439DE945680}" id="{EBFA4E49-725D-4E9E-9783-8C5A13AC194A}">
    <text>Alquiler 1380 Fianza 2760 Camas 5</text>
  </threadedComment>
  <threadedComment ref="F963" dT="2025-03-04T16:46:23.56" personId="{98986A2A-739A-4851-A979-4B0D560C46CD}" id="{E39F5E3F-04F2-49CD-A002-F5882615C4EF}">
    <text>05 CAMAS, 1580€ ALQUILER, 1580€ FIANZA</text>
  </threadedComment>
  <threadedComment ref="F964" dT="2024-08-19T11:47:23.13" personId="{98986A2A-739A-4851-A979-4B0D560C46CD}" id="{69CBADA8-4095-4291-A673-458659735866}">
    <text>4 camas</text>
  </threadedComment>
  <threadedComment ref="F965" dT="2024-08-08T15:05:50.75" personId="{8BEA8CB1-BB33-44FC-A791-4439DE945680}" id="{330C6EA1-CE28-4135-B9AD-6995AC53D4CE}">
    <text>Alquiler 1380 Fianza 2760 Camas 5</text>
  </threadedComment>
  <threadedComment ref="F966" dT="2025-02-26T12:24:18.65" personId="{98986A2A-739A-4851-A979-4B0D560C46CD}" id="{4AA7F3AE-50B1-4255-9A66-57755C04EC35}">
    <text xml:space="preserve">Alquiler 1100 , Fianza 2200  Camas 4
</text>
  </threadedComment>
  <threadedComment ref="F967" dT="2024-08-08T15:05:50.75" personId="{8BEA8CB1-BB33-44FC-A791-4439DE945680}" id="{19BAA825-CF59-4E3F-B0B3-6A4E2E519172}">
    <text>Alquiler 1380 Fianza 2760 Camas 5</text>
  </threadedComment>
  <threadedComment ref="F968" dT="2024-08-08T15:05:50.75" personId="{8BEA8CB1-BB33-44FC-A791-4439DE945680}" id="{B07E0781-621E-4496-8A9E-A98692CD6211}">
    <text>Alquiler 1380 Fianza 2760 Camas 5</text>
  </threadedComment>
  <threadedComment ref="F969" dT="2025-02-13T10:05:11.33" personId="{17D30B62-2123-41F1-B603-E5411FDFA3E0}" id="{DE68D6C6-E991-4056-949E-FE7C25F1C9B8}">
    <text>Habitacion doble para trabajadores cant 1 Costo 60€/noche
Habitacion triple para trabajadores cant 3 Costo 75€/noche cada una
(camas separadas)</text>
  </threadedComment>
  <threadedComment ref="F970" dT="2025-02-25T14:27:09.00" personId="{98986A2A-739A-4851-A979-4B0D560C46CD}" id="{72065818-E438-44C1-814E-A4622C13E470}">
    <text>03 CAMAS, 1450€ ALQUILER, 600€ FIANZA. SE PAGO MARZO</text>
  </threadedComment>
  <threadedComment ref="F971" dT="2025-02-13T10:05:11.33" personId="{17D30B62-2123-41F1-B603-E5411FDFA3E0}" id="{BD957BAC-341A-4C68-89AC-23F26D6B19A6}">
    <text>4 CAMAS</text>
  </threadedComment>
  <threadedComment ref="F973" dT="2025-02-13T10:05:11.33" personId="{17D30B62-2123-41F1-B603-E5411FDFA3E0}" id="{622200D8-2CAF-49D9-85EC-92CFC970BEEE}">
    <text>Habitacion doble para trabajadores cant 1 Costo 60€/noche
Habitacion triple para trabajadores cant 3 Costo 75€/noche cada una
(camas separadas)</text>
  </threadedComment>
  <threadedComment ref="F974" dT="2025-03-13T10:07:36.64" personId="{98986A2A-739A-4851-A979-4B0D560C46CD}" id="{56F929A0-7AAB-43CC-AAD2-FA306DB579C4}">
    <text>04 camas, 2000€ alquiler, sin fianza</text>
  </threadedComment>
  <threadedComment ref="V974" dT="2025-03-17T09:26:14.56" personId="{98986A2A-739A-4851-A979-4B0D560C46CD}" id="{A9746360-6F83-4C9C-A75E-C7B188523ACE}">
    <text>Deben pasar a temporal y volver el 21/04</text>
  </threadedComment>
  <threadedComment ref="F975" dT="2025-02-13T10:05:11.33" personId="{17D30B62-2123-41F1-B603-E5411FDFA3E0}" id="{6C4D0987-72F0-4BB6-B914-78ACDF10E28D}">
    <text>Habitacion doble para trabajadores cant 1 Costo 60€/noche
Habitacion triple para trabajadores cant 3 Costo 75€/noche cada una
(camas separadas)</text>
  </threadedComment>
  <threadedComment ref="F976" dT="2024-08-19T11:49:32.68" personId="{98986A2A-739A-4851-A979-4B0D560C46CD}" id="{570A02E5-28B0-41F2-BDFA-97E18BB7FED7}">
    <text>3 habitaciones, 4 camas</text>
  </threadedComment>
  <threadedComment ref="F977" dT="2025-03-03T15:39:24.40" personId="{98986A2A-739A-4851-A979-4B0D560C46CD}" id="{098DFB4F-B10B-4FC7-A4F8-BF2D477A9E3A}">
    <text>1200€ alquiler, 05 camas, 1200€ fianza</text>
  </threadedComment>
  <threadedComment ref="F981" dT="2025-03-03T15:39:24.40" personId="{98986A2A-739A-4851-A979-4B0D560C46CD}" id="{830902E5-624E-44B7-9A77-522D38A72B2B}">
    <text>1200€ alquiler, 05 camas, 1200€ fianza</text>
  </threadedComment>
  <threadedComment ref="F982" dT="2025-02-13T10:05:11.33" personId="{17D30B62-2123-41F1-B603-E5411FDFA3E0}" id="{C1C43B12-3674-40B5-885C-E84B7E05D1B3}">
    <text>Habitacion doble para trabajadores cant 1 Costo 60€/noche
Habitacion triple para trabajadores cant 3 Costo 75€/noche cada una
(camas separadas)</text>
  </threadedComment>
  <threadedComment ref="F983" dT="2025-02-13T10:05:11.33" personId="{17D30B62-2123-41F1-B603-E5411FDFA3E0}" id="{B62B0E26-7853-4C97-A367-CE0242A9A614}">
    <text>Habitacion doble para trabajadores cant 1 Costo 60€/noche
Habitacion triple para trabajadores cant 3 Costo 75€/noche cada una
(camas separadas)</text>
  </threadedComment>
  <threadedComment ref="F984" dT="2025-02-13T10:05:11.33" personId="{17D30B62-2123-41F1-B603-E5411FDFA3E0}" id="{2550E2D5-F2F2-4622-86B1-4D9AF3C2407A}">
    <text>Habitacion doble para trabajadores cant 1 Costo 60€/noche
Habitacion triple para trabajadores cant 3 Costo 75€/noche cada una
(camas separadas)</text>
  </threadedComment>
  <threadedComment ref="F985" dT="2025-02-13T10:05:11.33" personId="{17D30B62-2123-41F1-B603-E5411FDFA3E0}" id="{C064EC1B-5F9A-4CEF-A650-B82B852F6C6E}">
    <text>Habitacion doble para trabajadores cant 1 Costo 60€/noche
Habitacion triple para trabajadores cant 3 Costo 75€/noche cada una
(camas separadas)</text>
  </threadedComment>
  <threadedComment ref="F986" dT="2025-02-13T10:05:11.33" personId="{17D30B62-2123-41F1-B603-E5411FDFA3E0}" id="{896A6A54-A6E8-4BE1-BAF4-4DCBEEC04C07}">
    <text>Habitacion doble para trabajadores cant 1 Costo 60€/noche
Habitacion triple para trabajadores cant 3 Costo 75€/noche cada una
(camas separadas)</text>
  </threadedComment>
  <threadedComment ref="F987" dT="2025-03-04T17:12:38.85" personId="{98986A2A-739A-4851-A979-4B0D560C46CD}" id="{F890C2EF-1A09-44FC-ACDE-A9121D28B996}">
    <text>09 camas, 2100€ fianza, 2100€ alquiler +50€ luz =2150€</text>
  </threadedComment>
  <threadedComment ref="F988" dT="2025-02-13T10:05:11.33" personId="{17D30B62-2123-41F1-B603-E5411FDFA3E0}" id="{65F833F8-1F13-4DFC-AA0D-5D2C3CA895BA}">
    <text>4 CAMAS</text>
  </threadedComment>
  <threadedComment ref="F991" dT="2025-04-24T14:36:06.83" personId="{17D30B62-2123-41F1-B603-E5411FDFA3E0}" id="{99BE4C4B-0D38-41B4-A2F3-E0FA26B71072}">
    <text>Alquiler 1400€ apartamento para 4 personas</text>
  </threadedComment>
  <threadedComment ref="F993" dT="2025-04-24T14:36:06.83" personId="{17D30B62-2123-41F1-B603-E5411FDFA3E0}" id="{D00CF9C8-DBFE-49E6-A7F8-4EE669FFC8DE}">
    <text>Alquiler 1400€ apartamento para 4 personas</text>
  </threadedComment>
  <threadedComment ref="F994" dT="2025-02-13T10:05:11.33" personId="{17D30B62-2123-41F1-B603-E5411FDFA3E0}" id="{D3399937-FDB2-47AD-AE07-E5AF4575CFF7}">
    <text>Habitacion doble para trabajadores cant 1 Costo 60€/noche
Habitacion triple para trabajadores cant 3 Costo 75€/noche cada una
(camas separadas)</text>
  </threadedComment>
  <threadedComment ref="F995" dT="2025-03-24T10:15:02.97" personId="{17D30B62-2123-41F1-B603-E5411FDFA3E0}" id="{D4C31B10-81C5-4C5F-821D-2CCDC577BC6B}">
    <text>400€ Por persona alquiler mes, Fianza 500€, 5 Camas.</text>
  </threadedComment>
  <threadedComment ref="F996" dT="2025-04-29T17:02:27.40" personId="{17D30B62-2123-41F1-B603-E5411FDFA3E0}" id="{395E8B21-B02B-4C44-8082-1F5110B67AA9}">
    <text xml:space="preserve">Alquiler 1.800€ Fianza 500€ -4 Camas </text>
  </threadedComment>
  <threadedComment ref="F997" dT="2025-03-24T10:15:02.97" personId="{17D30B62-2123-41F1-B603-E5411FDFA3E0}" id="{D311BE2F-D1FD-4095-8388-C5C324C1D8C8}">
    <text>400€ Por persona alquiler mes, Fianza 500€, 5 Camas.</text>
  </threadedComment>
  <threadedComment ref="F999" dT="2025-03-11T10:10:52.28" personId="{98986A2A-739A-4851-A979-4B0D560C46CD}" id="{224DA2FA-A889-4169-B654-22A85F281008}">
    <text xml:space="preserve">6 camas, alquiler 1.450€ + Servicio de Limpieza 302,50€ =TOTAL 1.752,50€. Fianza 950€
</text>
  </threadedComment>
  <threadedComment ref="F1000" dT="2025-05-05T11:29:54.02" personId="{98986A2A-739A-4851-A979-4B0D560C46CD}" id="{A4467A11-FAF9-47B5-B09C-FA946393A53F}">
    <text>Alquiler 260€ cada habitacion, 400€fianza</text>
  </threadedComment>
  <threadedComment ref="F1000" dT="2025-09-24T10:00:00.90" personId="{E3C446A3-37B8-466B-82DA-8F7BAC7681F7}" id="{60CB9F41-5270-46F3-9F29-EF11984B4163}" parentId="{A4467A11-FAF9-47B5-B09C-FA946393A53F}">
    <text xml:space="preserve">+2 HABITACIONES (29-09-25) Total piso 1800€ </text>
  </threadedComment>
  <threadedComment ref="F1000" dT="2025-12-04T12:55:31.07" personId="{4D8483EF-5A39-4E7B-A473-929EF5A077E1}" id="{DBFD4CB9-BBB1-41BD-ABCA-2415CB57B9BD}" parentId="{A4467A11-FAF9-47B5-B09C-FA946393A53F}">
    <text>Alquiler por habitación 260€</text>
  </threadedComment>
  <threadedComment ref="F1001" dT="2025-02-13T10:05:11.33" personId="{17D30B62-2123-41F1-B603-E5411FDFA3E0}" id="{EED4FDC0-C040-4391-98A7-563910414B4C}">
    <text>4 CAMAS</text>
  </threadedComment>
  <threadedComment ref="F1003" dT="2025-03-20T12:19:13.98" personId="{98986A2A-739A-4851-A979-4B0D560C46CD}" id="{D7A426CB-177E-4269-8BB0-1F53FBC5F81D}">
    <text>08 camas</text>
  </threadedComment>
  <threadedComment ref="F1004" dT="2025-03-27T16:16:05.36" personId="{17D30B62-2123-41F1-B603-E5411FDFA3E0}" id="{7D1BD760-96AB-475A-9EB2-23B4446B4F92}">
    <text>5 CAMAS</text>
  </threadedComment>
  <threadedComment ref="F1005" dT="2025-03-20T12:19:13.98" personId="{98986A2A-739A-4851-A979-4B0D560C46CD}" id="{FFCC4351-529C-462F-AD76-5683665C1495}">
    <text>08 camas</text>
  </threadedComment>
  <threadedComment ref="F1006" dT="2025-03-19T10:41:19.83" personId="{98986A2A-739A-4851-A979-4B0D560C46CD}" id="{0AAA1FEF-5C45-4156-9F69-00599B50D90B}">
    <text>04 camas</text>
  </threadedComment>
  <threadedComment ref="F1008" dT="2025-02-13T10:05:11.33" personId="{17D30B62-2123-41F1-B603-E5411FDFA3E0}" id="{2C75FB83-8F26-41D3-9AFA-C0FFC75D9FCA}">
    <text>Habitacion doble para trabajadores cant 1 Costo 60€/noche
Habitacion triple para trabajadores cant 3 Costo 75€/noche cada una
(camas separadas)</text>
  </threadedComment>
  <threadedComment ref="F1009" dT="2025-05-29T16:46:04.29" personId="{17D30B62-2123-41F1-B603-E5411FDFA3E0}" id="{54389941-52AC-4EF7-98E3-DB1291BFA8D1}">
    <text>4 habitaciones dobles con lavabo al precio de 40 €/U</text>
  </threadedComment>
  <threadedComment ref="F1010" dT="2025-05-29T16:46:04.29" personId="{17D30B62-2123-41F1-B603-E5411FDFA3E0}" id="{E063A76A-DE9B-4BE9-AF52-9F00473CFE4C}">
    <text>4 habitaciones dobles con lavabo al precio de 40 €/U</text>
  </threadedComment>
  <threadedComment ref="F1011" dT="2025-05-29T16:46:04.29" personId="{17D30B62-2123-41F1-B603-E5411FDFA3E0}" id="{7C23EDBE-307A-4063-9021-9677AD07BE6E}">
    <text>4 habitaciones dobles con lavabo al precio de 40 €/U</text>
  </threadedComment>
  <threadedComment ref="F1021" dT="2024-12-02T09:17:44.96" personId="{98986A2A-739A-4851-A979-4B0D560C46CD}" id="{15A57888-9771-4398-9B27-0657ADE145AA}">
    <text>08 CAMAS, 2500€ alquiler, 2500€ fianza</text>
  </threadedComment>
  <threadedComment ref="F1022" dT="2025-02-26T12:24:18.65" personId="{98986A2A-739A-4851-A979-4B0D560C46CD}" id="{3F65DC7E-21F6-41C3-9F2C-9C8F8BD03BC7}">
    <text xml:space="preserve">Alquiler 1100 , Fianza 2200  Camas 4
</text>
  </threadedComment>
  <threadedComment ref="F1023" dT="2025-02-26T12:24:18.65" personId="{98986A2A-739A-4851-A979-4B0D560C46CD}" id="{FE902D00-2268-4BE7-8933-C7E4894BDA1D}">
    <text xml:space="preserve">Alquiler 1100 , Fianza 2200  Camas 4
</text>
  </threadedComment>
  <threadedComment ref="F1024" dT="2025-02-26T12:24:18.65" personId="{98986A2A-739A-4851-A979-4B0D560C46CD}" id="{D0C24977-B836-42E8-A715-ECB6BC97D7AE}">
    <text xml:space="preserve">Alquiler 1100 , Fianza 2200  Camas 4
</text>
  </threadedComment>
  <threadedComment ref="F1025" dT="2024-08-08T15:05:50.75" personId="{8BEA8CB1-BB33-44FC-A791-4439DE945680}" id="{6F8781B7-DCB2-4C81-9952-B784617AA467}">
    <text>Alquiler 1380 Fianza 2760 Camas 5</text>
  </threadedComment>
  <threadedComment ref="F1026" dT="2024-08-08T15:05:50.75" personId="{8BEA8CB1-BB33-44FC-A791-4439DE945680}" id="{005B436F-20EC-49DE-9A48-80DE4C94A61F}">
    <text>Alquiler 1380 Fianza 2760 Camas 5</text>
  </threadedComment>
  <threadedComment ref="F1027" dT="2024-08-08T15:05:50.75" personId="{8BEA8CB1-BB33-44FC-A791-4439DE945680}" id="{6DC545A3-9D76-4584-88B1-6F14426007C9}">
    <text>Alquiler 1380 Fianza 2760 Camas 5</text>
  </threadedComment>
  <threadedComment ref="F1028" dT="2025-02-13T10:05:11.33" personId="{17D30B62-2123-41F1-B603-E5411FDFA3E0}" id="{4686359E-4133-49B8-BBF7-4207C56CDBBB}">
    <text>Habitacion doble para trabajadores cant 1 Costo 60€/noche
Habitacion triple para trabajadores cant 3 Costo 75€/noche cada una
(camas separadas)</text>
  </threadedComment>
  <threadedComment ref="F1029" dT="2025-03-04T17:12:38.85" personId="{98986A2A-739A-4851-A979-4B0D560C46CD}" id="{F9207297-2A9B-4759-A490-B012A4709CB3}">
    <text>09 camas, 2100€ fianza, 2100€ alquiler +50€ luz =2150€</text>
  </threadedComment>
  <threadedComment ref="F1030" dT="2025-03-04T17:12:38.85" personId="{98986A2A-739A-4851-A979-4B0D560C46CD}" id="{A02B342F-0BBD-407D-9758-16ABE487D39F}">
    <text>09 camas, 2100€ fianza, 2100€ alquiler +50€ luz =2150€</text>
  </threadedComment>
  <threadedComment ref="F1031" dT="2025-03-04T17:12:38.85" personId="{98986A2A-739A-4851-A979-4B0D560C46CD}" id="{E8593F95-3A2A-4EBA-AB4B-62706D2F24B0}">
    <text>09 camas, 2100€ fianza, 2100€ alquiler +50€ luz =2150€</text>
  </threadedComment>
  <threadedComment ref="F1034" dT="2024-11-05T09:17:59.63" personId="{17D30B62-2123-41F1-B603-E5411FDFA3E0}" id="{32992FA7-CF6E-4795-AB56-BA2F76F42802}">
    <text>Alquiler 1400  Fianza 2800 Camas 6</text>
  </threadedComment>
  <threadedComment ref="F1034" dT="2024-12-30T10:06:22.23" personId="{98986A2A-739A-4851-A979-4B0D560C46CD}" id="{A1AC4485-59E6-4664-AFA3-BE035D80231C}" parentId="{32992FA7-CF6E-4795-AB56-BA2F76F42802}">
    <text>+01 cama Kotrik llevada 28/12</text>
  </threadedComment>
  <threadedComment ref="F1035" dT="2025-05-07T15:20:49.27" personId="{17D30B62-2123-41F1-B603-E5411FDFA3E0}" id="{3EFE1B99-C540-41C2-A73D-CDE9A383C773}">
    <text>Alojamiento para 6 personas 3.450€</text>
  </threadedComment>
  <threadedComment ref="F1036" dT="2025-03-04T17:12:38.85" personId="{98986A2A-739A-4851-A979-4B0D560C46CD}" id="{45901168-7A32-4380-8002-BC4EBBC90FAD}">
    <text>09 camas, 2100€ fianza, 2100€ alquiler +50€ luz =2150€</text>
  </threadedComment>
  <threadedComment ref="F1037" dT="2025-03-04T17:12:38.85" personId="{98986A2A-739A-4851-A979-4B0D560C46CD}" id="{DBA8F87C-3875-41B4-B252-BD5A7A2813A1}">
    <text>09 camas, 2100€ fianza, 2100€ alquiler +50€ luz =2150€</text>
  </threadedComment>
  <threadedComment ref="F1038" dT="2025-05-07T15:20:49.27" personId="{17D30B62-2123-41F1-B603-E5411FDFA3E0}" id="{C9ADA729-1179-4D69-9CB7-D71E507A6F97}">
    <text>Alojamiento para 6 personas 3.450€</text>
  </threadedComment>
  <threadedComment ref="F1039" dT="2025-02-24T10:19:28.57" personId="{98986A2A-739A-4851-A979-4B0D560C46CD}" id="{EE58990D-18EF-41B8-A86B-F1AD13048F8B}">
    <text>06 camas</text>
  </threadedComment>
  <threadedComment ref="G1039" dT="2025-02-24T10:19:28.57" personId="{98986A2A-739A-4851-A979-4B0D560C46CD}" id="{5C66B611-8707-410F-B55E-4BAA9EF3877D}">
    <text>06 camas</text>
  </threadedComment>
  <threadedComment ref="F1040" dT="2025-02-24T10:19:28.57" personId="{98986A2A-739A-4851-A979-4B0D560C46CD}" id="{D2C2E19B-2815-491F-92DE-87C278CE5938}">
    <text>06 camas</text>
  </threadedComment>
  <threadedComment ref="G1040" dT="2025-02-24T10:19:28.57" personId="{98986A2A-739A-4851-A979-4B0D560C46CD}" id="{5F72B125-0013-4B18-ACEA-52633A4C117F}">
    <text>06 camas</text>
  </threadedComment>
  <threadedComment ref="F1045" dT="2025-05-05T11:29:54.02" personId="{98986A2A-739A-4851-A979-4B0D560C46CD}" id="{CD0441CA-DB10-4580-8BB4-4C1F15BDEE8A}">
    <text>Alquiler 1300€, 05 habitaciones, 400€fianza</text>
  </threadedComment>
  <threadedComment ref="F1046" dT="2025-05-05T11:29:54.02" personId="{98986A2A-739A-4851-A979-4B0D560C46CD}" id="{4D3A8EA1-4073-435E-8C94-CAB6D367193D}">
    <text>Alquiler 1300€, 05 habitaciones, 400€fianza</text>
  </threadedComment>
  <threadedComment ref="F1047" dT="2025-03-04T17:12:38.85" personId="{98986A2A-739A-4851-A979-4B0D560C46CD}" id="{0150B803-BF8C-47E2-819C-683420FFE667}">
    <text>09 camas, 2100€ fianza, 2100€ alquiler +50€ luz =2150€</text>
  </threadedComment>
  <threadedComment ref="F1048" dT="2025-02-13T10:05:11.33" personId="{17D30B62-2123-41F1-B603-E5411FDFA3E0}" id="{0B7330C8-F948-40F0-8B12-AE40E205BA2F}">
    <text>Habitacion doble para trabajadores cant 1 Costo 60€/noche
Habitacion triple para trabajadores cant 3 Costo 75€/noche cada una
(camas separadas)</text>
  </threadedComment>
  <threadedComment ref="F1049" dT="2025-02-13T10:05:11.33" personId="{17D30B62-2123-41F1-B603-E5411FDFA3E0}" id="{3E8C32A9-9162-46BE-852E-9C1EC8813BE3}">
    <text>Habitacion doble para trabajadores cant 1 Costo 60€/noche
Habitacion triple para trabajadores cant 3 Costo 75€/noche cada una
(camas separadas)</text>
  </threadedComment>
  <threadedComment ref="F1051" dT="2025-02-13T10:05:11.33" personId="{17D30B62-2123-41F1-B603-E5411FDFA3E0}" id="{1626273D-131B-4C36-A940-5257DA8955AE}">
    <text>Habitacion doble para trabajadores cant 1 Costo 60€/noche
Habitacion triple para trabajadores cant 3 Costo 75€/noche cada una
(camas separadas)</text>
  </threadedComment>
  <threadedComment ref="F1052" dT="2025-02-13T10:05:11.33" personId="{17D30B62-2123-41F1-B603-E5411FDFA3E0}" id="{EA99A25A-053E-419F-994D-2F5D0254CF8E}">
    <text>Habitacion doble para trabajadores cant 1 Costo 60€/noche
Habitacion triple para trabajadores cant 3 Costo 75€/noche cada una
(camas separadas)</text>
  </threadedComment>
  <threadedComment ref="F1053" dT="2025-02-13T10:05:11.33" personId="{17D30B62-2123-41F1-B603-E5411FDFA3E0}" id="{F82ACD31-8FE6-4C9A-8118-E4BBD115DF28}">
    <text>Habitacion doble para trabajadores cant 1 Costo 60€/noche
Habitacion triple para trabajadores cant 3 Costo 75€/noche cada una
(camas separadas)</text>
  </threadedComment>
  <threadedComment ref="F1055" dT="2025-02-13T10:05:11.33" personId="{17D30B62-2123-41F1-B603-E5411FDFA3E0}" id="{EFE096A7-C540-4E86-875B-D3C16026BA3E}">
    <text>Habitacion doble para trabajadores cant 1 Costo 60€/noche
Habitacion triple para trabajadores cant 3 Costo 75€/noche cada una
(camas separadas)</text>
  </threadedComment>
  <threadedComment ref="F1056" dT="2025-02-13T10:05:11.33" personId="{17D30B62-2123-41F1-B603-E5411FDFA3E0}" id="{A148E555-9E97-42D4-B8E8-81F96C53828B}">
    <text>Habitacion doble para trabajadores cant 1 Costo 60€/noche
Habitacion triple para trabajadores cant 3 Costo 75€/noche cada una
(camas separadas)</text>
  </threadedComment>
  <threadedComment ref="F1062" dT="2025-02-13T10:05:11.33" personId="{17D30B62-2123-41F1-B603-E5411FDFA3E0}" id="{9271E923-4212-498E-A898-6FBFF390AAFC}">
    <text>Habitacion doble para trabajadores cant 1 Costo 60€/noche
Habitacion triple para trabajadores cant 3 Costo 75€/noche cada una
(camas separadas)</text>
  </threadedComment>
  <threadedComment ref="F1065" dT="2025-02-13T10:05:11.33" personId="{17D30B62-2123-41F1-B603-E5411FDFA3E0}" id="{E40B2C0A-F7CD-47E2-B7AF-1D8934F39B8C}">
    <text>Habitacion doble para trabajadores cant 1 Costo 60€/noche
Habitacion triple para trabajadores cant 3 Costo 75€/noche cada una
(camas separadas)</text>
  </threadedComment>
  <threadedComment ref="F1066" dT="2025-02-13T10:05:11.33" personId="{17D30B62-2123-41F1-B603-E5411FDFA3E0}" id="{0F7000CD-1954-492E-AE18-82EE06A7A607}">
    <text>Habitacion doble para trabajadores cant 1 Costo 60€/noche
Habitacion triple para trabajadores cant 3 Costo 75€/noche cada una
(camas separadas)</text>
  </threadedComment>
  <threadedComment ref="F1068" dT="2025-02-13T10:05:11.33" personId="{17D30B62-2123-41F1-B603-E5411FDFA3E0}" id="{E80D873A-726F-4FBF-8547-7417B954C2BE}">
    <text>Habitacion doble para trabajadores cant 1 Costo 60€/noche
Habitacion triple para trabajadores cant 3 Costo 75€/noche cada una
(camas separadas)</text>
  </threadedComment>
  <threadedComment ref="F1070" dT="2025-02-13T10:05:11.33" personId="{17D30B62-2123-41F1-B603-E5411FDFA3E0}" id="{42C2648A-DD2B-4968-9ECC-93D6A2AC19FC}">
    <text xml:space="preserve">Alquiler 1300, Fianza 1300, 3 camas </text>
  </threadedComment>
  <threadedComment ref="F1073" dT="2025-03-13T14:46:07.24" personId="{98986A2A-739A-4851-A979-4B0D560C46CD}" id="{73E9ACF6-18A0-497E-9AC5-34B7A731C1A3}">
    <text>04 camas</text>
  </threadedComment>
  <threadedComment ref="F1074" dT="2025-03-13T14:46:07.24" personId="{98986A2A-739A-4851-A979-4B0D560C46CD}" id="{DE48C417-E113-4B3C-8EBC-95F52A3C41D5}">
    <text>04 camas</text>
  </threadedComment>
  <threadedComment ref="F1075" dT="2025-03-13T14:46:07.24" personId="{98986A2A-739A-4851-A979-4B0D560C46CD}" id="{8DE15036-1E73-4A50-B737-6F0C4BF979BA}">
    <text>04 camas</text>
  </threadedComment>
  <threadedComment ref="F1076" dT="2024-10-03T07:01:12.96" personId="{98986A2A-739A-4851-A979-4B0D560C46CD}" id="{5D23B466-6AF0-444A-B237-F6165F3D10B1}">
    <text>03 CAMAS, ALQUILER 1195, FIANZA 1800</text>
  </threadedComment>
  <threadedComment ref="F1077" dT="2024-10-03T07:01:12.96" personId="{98986A2A-739A-4851-A979-4B0D560C46CD}" id="{CD559F57-278F-4E24-AE19-EC34D1083DCB}">
    <text>03 CAMAS, ALQUILER 1195, FIANZA 1800</text>
  </threadedComment>
  <threadedComment ref="F1078" dT="2025-02-13T10:05:11.33" personId="{17D30B62-2123-41F1-B603-E5411FDFA3E0}" id="{AAB05C56-1A9A-4BE8-8987-DA89F6CE0B4B}">
    <text>Habitacion doble para trabajadores cant 1 Costo 60€/noche
Habitacion triple para trabajadores cant 3 Costo 75€/noche cada una
(camas separadas)</text>
  </threadedComment>
  <threadedComment ref="F1080" dT="2025-05-20T07:05:47.72" personId="{17D30B62-2123-41F1-B603-E5411FDFA3E0}" id="{DC2726E7-5E75-4323-B305-15640184CF47}">
    <text>1 Habitación Triple</text>
  </threadedComment>
  <threadedComment ref="F1081" dT="2025-05-20T07:05:47.72" personId="{17D30B62-2123-41F1-B603-E5411FDFA3E0}" id="{ED37B977-113F-4C50-922A-C85F0A868C24}">
    <text>1 Habitación Triple</text>
  </threadedComment>
  <threadedComment ref="F1084" dT="2025-03-03T15:39:24.40" personId="{98986A2A-739A-4851-A979-4B0D560C46CD}" id="{16FA2480-415E-4D63-9673-93D913880620}">
    <text>1200€ alquiler, 05 camas, 1200€ fianza</text>
  </threadedComment>
  <threadedComment ref="F1085" dT="2025-03-18T09:49:27.52" personId="{98986A2A-739A-4851-A979-4B0D560C46CD}" id="{080D1D0B-E80A-46D3-90DE-A74F6B68B7AA}">
    <text>04 camas, 400€ alquiler, 400€ fianza</text>
  </threadedComment>
  <threadedComment ref="F1088" dT="2025-02-13T10:05:11.33" personId="{17D30B62-2123-41F1-B603-E5411FDFA3E0}" id="{BCD738F1-5452-4260-875C-3E2A380CF05C}">
    <text>Habitacion doble para trabajadores cant 1 Costo 60€/noche
Habitacion triple para trabajadores cant 3 Costo 75€/noche cada una
(camas separadas)</text>
  </threadedComment>
  <threadedComment ref="F1089" dT="2025-02-13T10:05:11.33" personId="{17D30B62-2123-41F1-B603-E5411FDFA3E0}" id="{B8DD581F-6BA5-4052-A554-868405211CE4}">
    <text>Habitacion doble para trabajadores cant 1 Costo 60€/noche
Habitacion triple para trabajadores cant 3 Costo 75€/noche cada una
(camas separadas)</text>
  </threadedComment>
  <threadedComment ref="F1090" dT="2025-03-24T10:15:02.97" personId="{17D30B62-2123-41F1-B603-E5411FDFA3E0}" id="{1C527A26-C5E4-4461-9ED1-3D86A270D853}">
    <text>400€ Por persona alquiler mes, Fianza 500€, 5 Camas.</text>
  </threadedComment>
  <threadedComment ref="F1091" dT="2025-03-13T10:07:36.64" personId="{98986A2A-739A-4851-A979-4B0D560C46CD}" id="{45C1C9C7-4063-49E8-BE3E-DAFC4A07C963}">
    <text>04 camas, 2000€ alquiler, sin fianza</text>
  </threadedComment>
  <threadedComment ref="V1091" dT="2025-03-17T09:26:14.56" personId="{98986A2A-739A-4851-A979-4B0D560C46CD}" id="{7592BEC1-F4AD-4511-981B-5C552E4AA3EA}">
    <text>Deben pasar a temporal y volver el 21/04</text>
  </threadedComment>
  <threadedComment ref="F1093" dT="2025-07-18T07:48:38.51" personId="{98986A2A-739A-4851-A979-4B0D560C46CD}" id="{3ED0FD00-3572-4A8D-A6DA-926D6427A578}">
    <text>04 CAMAS, ALQUILER 955€</text>
  </threadedComment>
  <threadedComment ref="W1094" dT="2024-08-20T09:17:03.28" personId="{8BEA8CB1-BB33-44FC-A791-4439DE945680}" id="{7631DBAD-72AB-42C6-A2B3-835CC2BDB825}">
    <text>Fianza (Milton Díaz/ Martín segura)</text>
  </threadedComment>
  <threadedComment ref="F1095" dT="2025-02-13T10:05:11.33" personId="{17D30B62-2123-41F1-B603-E5411FDFA3E0}" id="{AD036FF0-1ABC-4D43-A114-896C27601D65}">
    <text>Habitacion doble para trabajadores cant 1 Costo 60€/noche
Habitacion triple para trabajadores cant 3 Costo 75€/noche cada una
(camas separadas)</text>
  </threadedComment>
  <threadedComment ref="F1096" dT="2025-05-20T07:05:47.72" personId="{17D30B62-2123-41F1-B603-E5411FDFA3E0}" id="{E73D80B8-04CD-4FC6-A653-7D74E299461B}">
    <text>1 Habitación Triple</text>
  </threadedComment>
  <threadedComment ref="F1097" dT="2025-05-20T07:05:47.72" personId="{17D30B62-2123-41F1-B603-E5411FDFA3E0}" id="{9294DE0A-C7C2-4468-B4E6-D5E1422CC8C7}">
    <text>1 Habitación Triple</text>
  </threadedComment>
  <threadedComment ref="F1098" dT="2025-02-13T10:05:11.33" personId="{17D30B62-2123-41F1-B603-E5411FDFA3E0}" id="{9EC2BAC3-6619-48E4-AC81-5DB0551D2784}">
    <text>Habitacion doble para trabajadores cant 1 Costo 60€/noche
Habitacion triple para trabajadores cant 3 Costo 75€/noche cada una
(camas separadas)</text>
  </threadedComment>
  <threadedComment ref="F1099" dT="2025-02-13T10:05:11.33" personId="{17D30B62-2123-41F1-B603-E5411FDFA3E0}" id="{62E6AD82-524C-41FC-90A8-C1D466F546EC}">
    <text>Habitacion doble para trabajadores cant 1 Costo 60€/noche
Habitacion triple para trabajadores cant 3 Costo 75€/noche cada una
(camas separadas)</text>
  </threadedComment>
  <threadedComment ref="F1100" dT="2025-02-13T10:05:11.33" personId="{17D30B62-2123-41F1-B603-E5411FDFA3E0}" id="{9046AE59-C210-4E03-9C56-D1EA8E708900}">
    <text>Habitacion doble para trabajadores cant 1 Costo 60€/noche
Habitacion triple para trabajadores cant 3 Costo 75€/noche cada una
(camas separadas)</text>
  </threadedComment>
  <threadedComment ref="F1101" dT="2025-02-13T10:05:11.33" personId="{17D30B62-2123-41F1-B603-E5411FDFA3E0}" id="{219072A0-1E34-486B-AB11-7212C1624345}">
    <text>Habitacion doble para trabajadores cant 1 Costo 60€/noche
Habitacion triple para trabajadores cant 3 Costo 75€/noche cada una
(camas separadas)</text>
  </threadedComment>
  <threadedComment ref="F1102" dT="2025-02-13T10:05:11.33" personId="{17D30B62-2123-41F1-B603-E5411FDFA3E0}" id="{C1170DE2-5EA7-4E12-A1A7-0AAA750EC7A5}">
    <text>Habitacion doble para trabajadores cant 1 Costo 60€/noche
Habitacion triple para trabajadores cant 3 Costo 75€/noche cada una
(camas separadas)</text>
  </threadedComment>
  <threadedComment ref="F1103" dT="2025-02-13T10:05:11.33" personId="{17D30B62-2123-41F1-B603-E5411FDFA3E0}" id="{952ADE7F-4C7A-4EED-8D06-C87098130C8B}">
    <text>Habitacion doble para trabajadores cant 1 Costo 60€/noche
Habitacion triple para trabajadores cant 3 Costo 75€/noche cada una
(camas separadas)</text>
  </threadedComment>
  <threadedComment ref="F1104" dT="2025-02-13T10:05:11.33" personId="{17D30B62-2123-41F1-B603-E5411FDFA3E0}" id="{CDE69C80-8958-4416-B68B-FE779AF3A189}">
    <text>Habitacion doble para trabajadores cant 1 Costo 60€/noche
Habitacion triple para trabajadores cant 3 Costo 75€/noche cada una
(camas separadas)</text>
  </threadedComment>
  <threadedComment ref="F1105" dT="2025-03-31T11:16:24.21" personId="{17D30B62-2123-41F1-B603-E5411FDFA3E0}" id="{BF8301CC-3451-42AB-8D8E-E01A11D6E3C9}">
    <text>Capacidad máxima
6 adultos</text>
  </threadedComment>
  <threadedComment ref="F1106" dT="2025-02-13T10:05:11.33" personId="{17D30B62-2123-41F1-B603-E5411FDFA3E0}" id="{63D18C83-E915-4970-A5AB-213F46D58301}">
    <text>Habitacion doble para trabajadores cant 1 Costo 60€/noche
Habitacion triple para trabajadores cant 3 Costo 75€/noche cada una
(camas separadas)</text>
  </threadedComment>
  <threadedComment ref="F1108" dT="2025-02-13T10:05:11.33" personId="{17D30B62-2123-41F1-B603-E5411FDFA3E0}" id="{A547869B-3211-4ADC-AD05-BEFFDE43511B}">
    <text>Habitacion doble para trabajadores cant 1 Costo 60€/noche
Habitacion triple para trabajadores cant 3 Costo 75€/noche cada una
(camas separadas)</text>
  </threadedComment>
  <threadedComment ref="F1109" dT="2025-02-13T10:05:11.33" personId="{17D30B62-2123-41F1-B603-E5411FDFA3E0}" id="{BD5796EA-E3E8-4CD1-A753-1965923FA0A6}">
    <text>Habitacion doble para trabajadores cant 1 Costo 60€/noche
Habitacion triple para trabajadores cant 3 Costo 75€/noche cada una
(camas separadas)</text>
  </threadedComment>
  <threadedComment ref="F1110" dT="2024-08-19T11:49:32.68" personId="{98986A2A-739A-4851-A979-4B0D560C46CD}" id="{F4EB03F2-C68E-481D-8B7B-CFB2AF8A0390}">
    <text>3 habitaciones</text>
  </threadedComment>
  <threadedComment ref="F1111" dT="2025-02-13T10:05:11.33" personId="{17D30B62-2123-41F1-B603-E5411FDFA3E0}" id="{316AC822-2C2A-4EA9-AD67-948B722071B1}">
    <text>Habitacion doble para trabajadores cant 1 Costo 60€/noche
Habitacion triple para trabajadores cant 3 Costo 75€/noche cada una
(camas separadas)</text>
  </threadedComment>
  <threadedComment ref="F1112" dT="2025-02-13T10:05:11.33" personId="{17D30B62-2123-41F1-B603-E5411FDFA3E0}" id="{7153D8D7-9D7C-4294-8048-E958677B6483}">
    <text>Habitacion doble para trabajadores cant 1 Costo 60€/noche
Habitacion triple para trabajadores cant 3 Costo 75€/noche cada una
(camas separadas)</text>
  </threadedComment>
  <threadedComment ref="F1114" dT="2025-02-13T10:05:11.33" personId="{17D30B62-2123-41F1-B603-E5411FDFA3E0}" id="{221D61CB-E731-403B-ACD5-D559821B2615}">
    <text>Habitacion doble para trabajadores cant 1 Costo 60€/noche
Habitacion triple para trabajadores cant 3 Costo 75€/noche cada una
(camas separadas)</text>
  </threadedComment>
  <threadedComment ref="F1115" dT="2025-02-13T10:05:11.33" personId="{17D30B62-2123-41F1-B603-E5411FDFA3E0}" id="{DD80D321-75FA-4B50-943D-2C6D14D26EB8}">
    <text>Habitacion doble para trabajadores cant 1 Costo 60€/noche
Habitacion triple para trabajadores cant 3 Costo 75€/noche cada una
(camas separadas)</text>
  </threadedComment>
  <threadedComment ref="F1117" dT="2025-02-13T10:05:11.33" personId="{17D30B62-2123-41F1-B603-E5411FDFA3E0}" id="{305FB1D3-C235-429B-88B6-7B91D00FDC54}">
    <text>Habitacion doble para trabajadores cant 1 Costo 60€/noche
Habitacion triple para trabajadores cant 3 Costo 75€/noche cada una
(camas separadas)</text>
  </threadedComment>
  <threadedComment ref="F1118" dT="2025-02-13T10:05:11.33" personId="{17D30B62-2123-41F1-B603-E5411FDFA3E0}" id="{77A9F52D-6098-45A9-9150-E68BB0E9D4F3}">
    <text>Habitacion doble para trabajadores cant 1 Costo 60€/noche
Habitacion triple para trabajadores cant 3 Costo 75€/noche cada una
(camas separadas)</text>
  </threadedComment>
  <threadedComment ref="F1121" dT="2025-02-26T12:24:18.65" personId="{98986A2A-739A-4851-A979-4B0D560C46CD}" id="{8A7B3FB2-D4DA-418A-861A-D99E33165A55}">
    <text xml:space="preserve">Alquiler 1100 , Fianza 2200  Camas 4
</text>
  </threadedComment>
  <threadedComment ref="F1122" dT="2024-08-08T15:05:50.75" personId="{8BEA8CB1-BB33-44FC-A791-4439DE945680}" id="{7F8FE8E1-70D8-42F0-8800-D6E82FAF0DF3}">
    <text>Alquiler 1380 Fianza 2760 Camas 5</text>
  </threadedComment>
  <threadedComment ref="F1123" dT="2025-02-26T12:24:18.65" personId="{98986A2A-739A-4851-A979-4B0D560C46CD}" id="{7A98617A-5319-4386-BFB0-6C189F31B0A6}">
    <text xml:space="preserve">Alquiler 1100 , Fianza 2200  Camas 4
</text>
  </threadedComment>
  <threadedComment ref="F1124" dT="2025-03-10T15:13:28.10" personId="{17D30B62-2123-41F1-B603-E5411FDFA3E0}" id="{FCF8E180-18F3-4AA3-BCAB-B9662C504D0C}">
    <text xml:space="preserve">Habitación Doble - 2 camas </text>
  </threadedComment>
  <threadedComment ref="F1125" dT="2025-03-10T15:13:23.32" personId="{17D30B62-2123-41F1-B603-E5411FDFA3E0}" id="{4F15331D-DE1B-4F5E-95BA-0D6856A723AE}">
    <text xml:space="preserve">Habitación Doble - 2 camas </text>
  </threadedComment>
  <threadedComment ref="F1126" dT="2025-03-04T17:12:38.85" personId="{98986A2A-739A-4851-A979-4B0D560C46CD}" id="{D9E9B9B0-9B3C-4507-8073-D25D29505247}">
    <text>09 camas, 2100€ fianza, 2100€ alquiler +50€ luz =2150€</text>
  </threadedComment>
  <threadedComment ref="F1127" dT="2025-03-04T17:12:38.85" personId="{98986A2A-739A-4851-A979-4B0D560C46CD}" id="{5A910913-EFC2-4AA0-9802-E318A8377AD9}">
    <text>09 camas, 2100€ fianza, 2100€ alquiler +50€ luz =2150€</text>
  </threadedComment>
  <threadedComment ref="F1128" dT="2024-08-08T15:05:50.75" personId="{8BEA8CB1-BB33-44FC-A791-4439DE945680}" id="{C6F10171-75D3-4C2B-B3B4-528835803659}">
    <text>Alquiler 1380 Fianza 2760 Camas 5</text>
  </threadedComment>
  <threadedComment ref="F1129" dT="2025-03-04T17:12:38.85" personId="{98986A2A-739A-4851-A979-4B0D560C46CD}" id="{E6C8F571-1F74-48A0-A9C7-2B076ECBA0F3}">
    <text>09 camas, 2100€ fianza, 2100€ alquiler +50€ luz =2150€</text>
  </threadedComment>
  <threadedComment ref="F1130" dT="2025-03-04T17:12:38.85" personId="{98986A2A-739A-4851-A979-4B0D560C46CD}" id="{C8F383FA-08A5-4E41-8D00-A9100E670C70}">
    <text>09 camas, 2100€ fianza, 2100€ alquiler +50€ luz =2150€</text>
  </threadedComment>
  <threadedComment ref="F1131" dT="2025-03-04T17:12:38.85" personId="{98986A2A-739A-4851-A979-4B0D560C46CD}" id="{C1F226F4-1743-4C6A-A0F5-974375A39AFC}">
    <text>09 camas, 2100€ fianza, 2100€ alquiler +50€ luz =2150€</text>
  </threadedComment>
  <threadedComment ref="F1132" dT="2025-03-04T16:46:23.56" personId="{98986A2A-739A-4851-A979-4B0D560C46CD}" id="{F8346D69-89FA-4E8D-8858-A9844152098D}">
    <text>05 CAMAS, 1580€ ALQUILER, 1580€ FIANZA</text>
  </threadedComment>
  <threadedComment ref="F1133" dT="2025-05-29T13:35:35.34" personId="{17D30B62-2123-41F1-B603-E5411FDFA3E0}" id="{013782AF-9CC6-43D6-BF80-85599C804258}">
    <text xml:space="preserve">2 CAMAS Y 1 SOFA CAMA </text>
  </threadedComment>
  <threadedComment ref="F1134" dT="2025-05-07T15:20:49.27" personId="{17D30B62-2123-41F1-B603-E5411FDFA3E0}" id="{67605B4F-9DEC-4D91-9756-06E7ED82DC97}">
    <text>Alojamiento para 6 personas 3.450€</text>
  </threadedComment>
  <threadedComment ref="F1139" dT="2025-02-10T17:07:43.06" personId="{17D30B62-2123-41F1-B603-E5411FDFA3E0}" id="{CA8EC61E-7670-460A-9F7E-FFFDE9C4F2C5}">
    <text>350€ por cada habitacion
350€ fianza</text>
  </threadedComment>
  <threadedComment ref="F1139" dT="2025-02-12T10:28:53.03" personId="{98986A2A-739A-4851-A979-4B0D560C46CD}" id="{445EB588-039B-4647-9607-37C199F83178}" parentId="{CA8EC61E-7670-460A-9F7E-FFFDE9C4F2C5}">
    <text>04 habitaciones x 350 cu. Fianza 350 c/h Total 1400</text>
  </threadedComment>
  <threadedComment ref="F1139" dT="2025-02-12T10:41:29.61" personId="{98986A2A-739A-4851-A979-4B0D560C46CD}" id="{7F74CAC3-6C3D-487F-90C5-A2C79D70A7EA}" parentId="{CA8EC61E-7670-460A-9F7E-FFFDE9C4F2C5}">
    <text>Se adicionan 03 habitaciones 10/02 x 350 € c/u. Fianza 350€ c/u. Total 1050€fianza</text>
  </threadedComment>
  <threadedComment ref="F1140" dT="2024-08-06T14:12:58.54" personId="{8BEA8CB1-BB33-44FC-A791-4439DE945680}" id="{1A566F86-C64D-4541-9A9F-6F3CF5AA5199}">
    <text>Alquiler 1700, fianza 1700 6 CAMAS</text>
  </threadedComment>
  <threadedComment ref="F1140" dT="2025-01-16T18:23:38.41" personId="{98986A2A-739A-4851-A979-4B0D560C46CD}" id="{B459DEA3-45CE-47B1-9482-0A1659045FDB}" parentId="{1A566F86-C64D-4541-9A9F-6F3CF5AA5199}">
    <text>5 habitaciones</text>
  </threadedComment>
  <threadedComment ref="F1145" dT="2025-02-13T10:05:11.33" personId="{17D30B62-2123-41F1-B603-E5411FDFA3E0}" id="{B4E96EC5-C124-4310-A929-2C4493C26A64}">
    <text>Habitacion doble para trabajadores cant 1 Costo 60€/noche
Habitacion triple para trabajadores cant 3 Costo 75€/noche cada una
(camas separadas)</text>
  </threadedComment>
  <threadedComment ref="F1146" dT="2025-02-26T12:24:18.65" personId="{98986A2A-739A-4851-A979-4B0D560C46CD}" id="{FC5BEADB-6B5D-445E-B0B2-86FE42772D6E}">
    <text xml:space="preserve">Alquiler 1100 , Fianza 2200  Camas 4
</text>
  </threadedComment>
  <threadedComment ref="F1151" dT="2025-02-13T10:05:11.33" personId="{17D30B62-2123-41F1-B603-E5411FDFA3E0}" id="{E6F78B19-735C-434F-9109-CD56D0200C07}">
    <text>3 Habitaciones alquiler 1800</text>
  </threadedComment>
  <threadedComment ref="C1152" dT="2025-05-20T08:31:31.95" personId="{17D30B62-2123-41F1-B603-E5411FDFA3E0}" id="{71EB9C1B-0568-43A2-BE00-A69B8E0CCC04}">
    <text xml:space="preserve">1 habitación </text>
  </threadedComment>
  <threadedComment ref="F1153" dT="2024-10-03T07:01:12.96" personId="{98986A2A-739A-4851-A979-4B0D560C46CD}" id="{941BAB7A-B738-45FC-8B7B-E13559AFA0B2}">
    <text>03 CAMAS, ALQUILER 1195, FIANZA 1800</text>
  </threadedComment>
  <threadedComment ref="F1157" dT="2025-02-13T10:05:11.33" personId="{17D30B62-2123-41F1-B603-E5411FDFA3E0}" id="{8B942E20-50E0-44E0-A067-95707359361A}">
    <text>Habitacion doble para trabajadores cant 1 Costo 60€/noche
Habitacion triple para trabajadores cant 3 Costo 75€/noche cada una
(camas separadas)</text>
  </threadedComment>
  <threadedComment ref="F1158" dT="2025-02-13T10:05:11.33" personId="{17D30B62-2123-41F1-B603-E5411FDFA3E0}" id="{CB171B9B-7708-45C6-81C8-D957745A9068}">
    <text>Habitacion doble para trabajadores cant 1 Costo 60€/noche
Habitacion triple para trabajadores cant 3 Costo 75€/noche cada una
(camas separadas)</text>
  </threadedComment>
  <threadedComment ref="F1159" dT="2025-02-26T12:24:18.65" personId="{98986A2A-739A-4851-A979-4B0D560C46CD}" id="{BCAA91F5-3959-4852-A211-1B494D0E1318}">
    <text xml:space="preserve">Alquiler 1100 , Fianza 2200  Camas 4
</text>
  </threadedComment>
  <threadedComment ref="F1164" dT="2025-05-29T15:37:29.66" personId="{17D30B62-2123-41F1-B603-E5411FDFA3E0}" id="{19EE2077-BED5-4382-B5F0-BE35F96F9483}">
    <text>2 Habitaciones Dobles, camas individuales</text>
  </threadedComment>
  <threadedComment ref="F1165" dT="2025-05-29T15:37:29.66" personId="{17D30B62-2123-41F1-B603-E5411FDFA3E0}" id="{93EB5A3E-A31A-432E-9B46-310F92BF0DD4}">
    <text>2 Habitaciones Dobles, camas individuales</text>
  </threadedComment>
  <threadedComment ref="F1168" dT="2025-03-03T14:21:43.14" personId="{98986A2A-739A-4851-A979-4B0D560C46CD}" id="{16F69C54-9A8D-4689-A1AC-0AE0D11BDA9C}">
    <text>03 camas, 600€ fianza, 600 € alquiler</text>
  </threadedComment>
  <threadedComment ref="F1169" dT="2025-02-20T10:29:05.34" personId="{17D30B62-2123-41F1-B603-E5411FDFA3E0}" id="{046BF413-388C-40F0-BA91-E7902C347072}">
    <text>Alquiler 1.200€/mes
Fianza 600€</text>
  </threadedComment>
  <threadedComment ref="F1170" dT="2024-08-27T13:30:26.82" personId="{8BEA8CB1-BB33-44FC-A791-4439DE945680}" id="{A93C6140-593A-4378-B6F8-8B8101920A5B}">
    <text>ALQUILER 1000 FIANZA 300 CAMAS 3</text>
  </threadedComment>
  <threadedComment ref="F1170" dT="2025-02-03T16:51:01.90" personId="{98986A2A-739A-4851-A979-4B0D560C46CD}" id="{7F09EB88-1E24-4E5F-9EDA-341A4F92D6C9}" parentId="{A93C6140-593A-4378-B6F8-8B8101920A5B}">
    <text>Alquiler 1200€, fianza 300€, 04 camas</text>
  </threadedComment>
  <threadedComment ref="F1175" dT="2025-03-04T17:12:38.85" personId="{98986A2A-739A-4851-A979-4B0D560C46CD}" id="{1F3463A7-DB5D-4A93-9D65-40DD7E759F36}">
    <text>09 camas, 2100€ fianza, 2100€ alquiler +50€ luz =2150€</text>
  </threadedComment>
  <threadedComment ref="F1183" dT="2025-02-13T10:05:11.33" personId="{17D30B62-2123-41F1-B603-E5411FDFA3E0}" id="{67E35FEC-D9A1-466A-A4AC-9F5ABB4061A1}">
    <text>Habitacion doble para trabajadores cant 1 Costo 60€/noche
Habitacion triple para trabajadores cant 3 Costo 75€/noche cada una
(camas separadas)</text>
  </threadedComment>
  <threadedComment ref="F1185" dT="2025-02-13T10:05:11.33" personId="{17D30B62-2123-41F1-B603-E5411FDFA3E0}" id="{2121F028-858E-4194-B66B-91FEEE2FCB1E}">
    <text>Habitacion doble para trabajadores cant 1 Costo 60€/noche
Habitacion triple para trabajadores cant 3 Costo 75€/noche cada una
(camas separadas)</text>
  </threadedComment>
  <threadedComment ref="F1186" dT="2025-02-13T10:05:11.33" personId="{17D30B62-2123-41F1-B603-E5411FDFA3E0}" id="{1A689C57-A9FC-4A56-97B3-9DA65035D718}">
    <text>Habitacion doble para trabajadores cant 1 Costo 60€/noche
Habitacion triple para trabajadores cant 3 Costo 75€/noche cada una
(camas separadas)</text>
  </threadedComment>
  <threadedComment ref="F1187" dT="2025-02-13T10:05:11.33" personId="{17D30B62-2123-41F1-B603-E5411FDFA3E0}" id="{6D7CC0F5-8460-4F12-9C9B-4A8F92B27FBA}">
    <text>Habitacion doble para trabajadores cant 1 Costo 60€/noche
Habitacion triple para trabajadores cant 3 Costo 75€/noche cada una
(camas separadas)</text>
  </threadedComment>
  <threadedComment ref="F1188" dT="2025-02-13T10:05:11.33" personId="{17D30B62-2123-41F1-B603-E5411FDFA3E0}" id="{D68DA4FA-5125-48CE-B2DA-49CF92722484}">
    <text>Habitacion doble para trabajadores cant 1 Costo 60€/noche
Habitacion triple para trabajadores cant 3 Costo 75€/noche cada una
(camas separadas)</text>
  </threadedComment>
  <threadedComment ref="F1189" dT="2025-02-13T10:05:11.33" personId="{17D30B62-2123-41F1-B603-E5411FDFA3E0}" id="{569D943C-3DCB-40BD-9AF5-9AC98B8348D0}">
    <text>Habitacion doble para trabajadores cant 1 Costo 60€/noche
Habitacion triple para trabajadores cant 3 Costo 75€/noche cada una
(camas separadas)</text>
  </threadedComment>
  <threadedComment ref="F1190" dT="2025-02-13T10:05:11.33" personId="{17D30B62-2123-41F1-B603-E5411FDFA3E0}" id="{364168E4-1C53-4AD5-87F7-1994CD3CE2F5}">
    <text>Habitacion doble para trabajadores cant 1 Costo 60€/noche
Habitacion triple para trabajadores cant 3 Costo 75€/noche cada una
(camas separadas)</text>
  </threadedComment>
  <threadedComment ref="F1191" dT="2025-03-04T17:12:38.85" personId="{98986A2A-739A-4851-A979-4B0D560C46CD}" id="{14C790A4-1E37-41D1-B48D-3580F1B362E4}">
    <text>09 camas, 2100€ fianza, 2100€ alquiler +50€ luz =2150€</text>
  </threadedComment>
  <threadedComment ref="F1192" dT="2025-02-26T12:24:18.65" personId="{98986A2A-739A-4851-A979-4B0D560C46CD}" id="{5DCE5321-C4FA-484B-B56A-2D96DE7F8740}">
    <text xml:space="preserve">Alquiler 1100 , Fianza 2200  Camas 4
</text>
  </threadedComment>
  <threadedComment ref="F1193" dT="2025-02-13T10:05:11.33" personId="{17D30B62-2123-41F1-B603-E5411FDFA3E0}" id="{943EBEC1-CFFA-418F-BFB6-5FAF24A9CE2E}">
    <text>Habitacion doble para trabajadores cant 1 Costo 60€/noche
Habitacion triple para trabajadores cant 3 Costo 75€/noche cada una
(camas separadas)</text>
  </threadedComment>
  <threadedComment ref="F1194" dT="2025-02-13T10:05:11.33" personId="{17D30B62-2123-41F1-B603-E5411FDFA3E0}" id="{02864680-DDE9-48F9-9043-49132A3D50CA}">
    <text>Habitacion doble para trabajadores cant 1 Costo 60€/noche
Habitacion triple para trabajadores cant 3 Costo 75€/noche cada una
(camas separadas)</text>
  </threadedComment>
  <threadedComment ref="F1195" dT="2025-02-13T10:05:11.33" personId="{17D30B62-2123-41F1-B603-E5411FDFA3E0}" id="{7E84C7D3-DA52-41EB-8A71-F272D2F081A6}">
    <text>Habitacion doble para trabajadores cant 1 Costo 60€/noche
Habitacion triple para trabajadores cant 3 Costo 75€/noche cada una
(camas separadas)</text>
  </threadedComment>
  <threadedComment ref="F1196" dT="2025-02-13T10:05:11.33" personId="{17D30B62-2123-41F1-B603-E5411FDFA3E0}" id="{5681473A-784D-435E-AFCD-3FDF126EE498}">
    <text>Habitacion doble para trabajadores cant 1 Costo 60€/noche
Habitacion triple para trabajadores cant 3 Costo 75€/noche cada una
(camas separadas)</text>
  </threadedComment>
  <threadedComment ref="F1197" dT="2025-02-13T10:05:11.33" personId="{17D30B62-2123-41F1-B603-E5411FDFA3E0}" id="{D1163193-F93C-4665-8875-BA4965CCC92B}">
    <text>Habitacion doble para trabajadores cant 1 Costo 60€/noche
Habitacion triple para trabajadores cant 3 Costo 75€/noche cada una
(camas separadas)</text>
  </threadedComment>
  <threadedComment ref="F1198" dT="2025-02-13T10:05:11.33" personId="{17D30B62-2123-41F1-B603-E5411FDFA3E0}" id="{06CAE551-8D97-4FA6-961D-B4BE9DA82E70}">
    <text>Habitacion doble para trabajadores cant 1 Costo 60€/noche
Habitacion triple para trabajadores cant 3 Costo 75€/noche cada una
(camas separadas)</text>
  </threadedComment>
  <threadedComment ref="F1199" dT="2025-02-13T10:05:11.33" personId="{17D30B62-2123-41F1-B603-E5411FDFA3E0}" id="{DD0E74EE-FFF0-4B60-B7BF-C7BC56C17D0B}">
    <text>Habitacion doble para trabajadores cant 1 Costo 60€/noche
Habitacion triple para trabajadores cant 3 Costo 75€/noche cada una
(camas separadas)</text>
  </threadedComment>
  <threadedComment ref="F1200" dT="2025-02-13T10:05:11.33" personId="{17D30B62-2123-41F1-B603-E5411FDFA3E0}" id="{34167BF7-26F2-4EBB-8D96-A85BB4F4B1AF}">
    <text>Habitacion doble para trabajadores cant 1 Costo 60€/noche
Habitacion triple para trabajadores cant 3 Costo 75€/noche cada una
(camas separadas)</text>
  </threadedComment>
  <threadedComment ref="F1201" dT="2025-02-13T10:05:11.33" personId="{17D30B62-2123-41F1-B603-E5411FDFA3E0}" id="{5F5DB477-6A10-46BF-9277-CB1825DBB14A}">
    <text>Habitacion doble para trabajadores cant 1 Costo 60€/noche
Habitacion triple para trabajadores cant 3 Costo 75€/noche cada una
(camas separadas)</text>
  </threadedComment>
  <threadedComment ref="F1202" dT="2025-02-13T10:05:11.33" personId="{17D30B62-2123-41F1-B603-E5411FDFA3E0}" id="{F884502C-A826-46AC-8194-29FE35759C39}">
    <text>Habitacion doble para trabajadores cant 1 Costo 60€/noche
Habitacion triple para trabajadores cant 3 Costo 75€/noche cada una
(camas separadas)</text>
  </threadedComment>
  <threadedComment ref="F1203" dT="2025-02-13T10:05:11.33" personId="{17D30B62-2123-41F1-B603-E5411FDFA3E0}" id="{EA18B1F6-C56A-4E3A-92E6-760633FA2A7A}">
    <text>Habitacion doble para trabajadores cant 1 Costo 60€/noche
Habitacion triple para trabajadores cant 3 Costo 75€/noche cada una
(camas separadas)</text>
  </threadedComment>
  <threadedComment ref="F1204" dT="2025-02-13T10:05:11.33" personId="{17D30B62-2123-41F1-B603-E5411FDFA3E0}" id="{312AB08D-4C64-4D10-9D38-A8D59790A7FF}">
    <text>Habitacion doble para trabajadores cant 1 Costo 60€/noche
Habitacion triple para trabajadores cant 3 Costo 75€/noche cada una
(camas separadas)</text>
  </threadedComment>
  <threadedComment ref="F1205" dT="2025-02-13T10:05:11.33" personId="{17D30B62-2123-41F1-B603-E5411FDFA3E0}" id="{75C854D1-B9FD-4271-81C9-08FD3879BC19}">
    <text>Habitacion doble para trabajadores cant 1 Costo 60€/noche
Habitacion triple para trabajadores cant 3 Costo 75€/noche cada una
(camas separadas)</text>
  </threadedComment>
  <threadedComment ref="F1206" dT="2025-02-13T10:05:11.33" personId="{17D30B62-2123-41F1-B603-E5411FDFA3E0}" id="{1B24CB14-4F89-4584-93BC-5127EF3DFC74}">
    <text>Habitacion doble para trabajadores cant 1 Costo 60€/noche
Habitacion triple para trabajadores cant 3 Costo 75€/noche cada una
(camas separadas)</text>
  </threadedComment>
  <threadedComment ref="F1207" dT="2025-02-13T10:05:11.33" personId="{17D30B62-2123-41F1-B603-E5411FDFA3E0}" id="{80464A0B-C992-48DA-98E7-622831B4C372}">
    <text>Habitacion doble para trabajadores cant 1 Costo 60€/noche
Habitacion triple para trabajadores cant 3 Costo 75€/noche cada una
(camas separadas)</text>
  </threadedComment>
  <threadedComment ref="F1209" dT="2025-02-13T10:05:11.33" personId="{17D30B62-2123-41F1-B603-E5411FDFA3E0}" id="{A5912CE5-66DE-4395-A64A-C85B4C477D61}">
    <text>Habitacion doble para trabajadores cant 1 Costo 60€/noche
Habitacion triple para trabajadores cant 3 Costo 75€/noche cada una
(camas separadas)</text>
  </threadedComment>
  <threadedComment ref="F1210" dT="2024-07-30T06:53:27.69" personId="{8BEA8CB1-BB33-44FC-A791-4439DE945680}" id="{45E76B4B-70DD-4183-AC14-8D6FBB993BD3}">
    <text>Alquiler 1200 Fianza 1200 4 camas</text>
  </threadedComment>
  <threadedComment ref="X1210" dT="2024-07-30T06:54:16.46" personId="{8BEA8CB1-BB33-44FC-A791-4439DE945680}" id="{F9C943E8-9BA1-4310-9FEE-56B2EDE1790A}">
    <text xml:space="preserve">Se pago mes de agosto y proporcional de Julio 
</text>
  </threadedComment>
  <threadedComment ref="F1211" dT="2025-02-13T10:05:11.33" personId="{17D30B62-2123-41F1-B603-E5411FDFA3E0}" id="{EA980C44-CF1C-42B6-B939-9EBF3E9B08F4}">
    <text>Habitacion doble para trabajadores cant 1 Costo 60€/noche
Habitacion triple para trabajadores cant 3 Costo 75€/noche cada una
(camas separadas)</text>
  </threadedComment>
  <threadedComment ref="F1212" dT="2025-02-13T10:05:11.33" personId="{17D30B62-2123-41F1-B603-E5411FDFA3E0}" id="{59889516-311E-46DD-818E-821D1F123B7E}">
    <text>Habitacion doble para trabajadores cant 1 Costo 60€/noche
Habitacion triple para trabajadores cant 3 Costo 75€/noche cada una
(camas separadas)</text>
  </threadedComment>
  <threadedComment ref="F1213" dT="2025-02-13T10:05:11.33" personId="{17D30B62-2123-41F1-B603-E5411FDFA3E0}" id="{20AEAFB5-C297-402A-ADF0-C33D580FE857}">
    <text>Habitacion doble para trabajadores cant 1 Costo 60€/noche
Habitacion triple para trabajadores cant 3 Costo 75€/noche cada una
(camas separadas)</text>
  </threadedComment>
  <threadedComment ref="F1214" dT="2025-02-13T10:05:11.33" personId="{17D30B62-2123-41F1-B603-E5411FDFA3E0}" id="{2CE3825A-244D-4913-941C-152FCF0BC9FD}">
    <text>Habitacion doble para trabajadores cant 1 Costo 60€/noche
Habitacion triple para trabajadores cant 3 Costo 75€/noche cada una
(camas separadas)</text>
  </threadedComment>
  <threadedComment ref="F1215" dT="2024-06-17T09:28:27.10" personId="{98986A2A-739A-4851-A979-4B0D560C46CD}" id="{4FB3ED76-2CAD-426A-9757-16887C3CAE15}">
    <text>400 fianza, alquiler 650, 03 camas</text>
  </threadedComment>
  <threadedComment ref="F1216" dT="2025-02-13T10:05:11.33" personId="{17D30B62-2123-41F1-B603-E5411FDFA3E0}" id="{A7096379-7029-4F26-9016-5F273EB81327}">
    <text>Habitacion doble para trabajadores cant 1 Costo 60€/noche
Habitacion triple para trabajadores cant 3 Costo 75€/noche cada una
(camas separadas)</text>
  </threadedComment>
  <threadedComment ref="F1217" dT="2025-02-13T10:05:11.33" personId="{17D30B62-2123-41F1-B603-E5411FDFA3E0}" id="{B89AA87F-5AAE-47C5-B9BB-8961135C95E2}">
    <text>Habitacion doble para trabajadores cant 1 Costo 60€/noche
Habitacion triple para trabajadores cant 3 Costo 75€/noche cada una
(camas separadas)</text>
  </threadedComment>
  <threadedComment ref="F1218" dT="2025-02-13T10:05:11.33" personId="{17D30B62-2123-41F1-B603-E5411FDFA3E0}" id="{AA910AB9-63F9-4CB3-BDAF-2C2759C94166}">
    <text>Habitacion doble para trabajadores cant 1 Costo 60€/noche
Habitacion triple para trabajadores cant 3 Costo 75€/noche cada una
(camas separadas)</text>
  </threadedComment>
  <threadedComment ref="F1219" dT="2025-02-13T10:05:11.33" personId="{17D30B62-2123-41F1-B603-E5411FDFA3E0}" id="{C2083A26-2C6F-4C75-84DB-070933C15DDD}">
    <text>Habitacion doble para trabajadores cant 1 Costo 60€/noche
Habitacion triple para trabajadores cant 3 Costo 75€/noche cada una
(camas separadas)</text>
  </threadedComment>
  <threadedComment ref="F1220" dT="2025-02-13T10:05:11.33" personId="{17D30B62-2123-41F1-B603-E5411FDFA3E0}" id="{DC9CADCA-F2CA-4790-9B73-E3A44F9B9015}">
    <text>Habitacion doble para trabajadores cant 1 Costo 60€/noche
Habitacion triple para trabajadores cant 3 Costo 75€/noche cada una
(camas separadas)</text>
  </threadedComment>
  <threadedComment ref="F1221" dT="2025-02-13T10:05:11.33" personId="{17D30B62-2123-41F1-B603-E5411FDFA3E0}" id="{9A8332C9-B0E8-48FE-A3E9-E2F833EAA63A}">
    <text>Habitacion doble para trabajadores cant 1 Costo 60€/noche
Habitacion triple para trabajadores cant 3 Costo 75€/noche cada una
(camas separadas)</text>
  </threadedComment>
  <threadedComment ref="F1222" dT="2025-02-13T10:05:11.33" personId="{17D30B62-2123-41F1-B603-E5411FDFA3E0}" id="{E84FAED2-3D28-4348-B63B-0C00F61AE92C}">
    <text>Habitacion doble para trabajadores cant 1 Costo 60€/noche
Habitacion triple para trabajadores cant 3 Costo 75€/noche cada una
(camas separadas)</text>
  </threadedComment>
  <threadedComment ref="F1223" dT="2025-02-13T10:05:11.33" personId="{17D30B62-2123-41F1-B603-E5411FDFA3E0}" id="{D791AF7F-3D9A-4926-9F35-D30CE59E7D6A}">
    <text>Habitacion doble para trabajadores cant 1 Costo 60€/noche
Habitacion triple para trabajadores cant 3 Costo 75€/noche cada una
(camas separadas)</text>
  </threadedComment>
  <threadedComment ref="F1224" dT="2025-02-13T10:05:11.33" personId="{17D30B62-2123-41F1-B603-E5411FDFA3E0}" id="{1B1E5218-D1F8-443A-8335-8966181D349D}">
    <text>Habitacion doble para trabajadores cant 1 Costo 60€/noche
Habitacion triple para trabajadores cant 3 Costo 75€/noche cada una
(camas separadas)</text>
  </threadedComment>
  <threadedComment ref="F1226" dT="2025-02-13T10:05:11.33" personId="{17D30B62-2123-41F1-B603-E5411FDFA3E0}" id="{F0F61869-AFE2-4213-AF9A-655BD261A102}">
    <text>Habitacion doble para trabajadores cant 1 Costo 60€/noche
Habitacion triple para trabajadores cant 3 Costo 75€/noche cada una
(camas separadas)</text>
  </threadedComment>
  <threadedComment ref="F1227" dT="2025-03-04T17:12:38.85" personId="{98986A2A-739A-4851-A979-4B0D560C46CD}" id="{B6C042D8-AF07-4D4C-B0BB-3172BB5D0987}">
    <text>09 camas, 2100€ fianza, 2100€ alquiler +50€ luz =2150€</text>
  </threadedComment>
  <threadedComment ref="F1229" dT="2025-02-13T10:05:11.33" personId="{17D30B62-2123-41F1-B603-E5411FDFA3E0}" id="{18F9164A-3977-4400-B5D9-4BC5931167AA}">
    <text>Habitacion doble para trabajadores cant 1 Costo 60€/noche
Habitacion triple para trabajadores cant 3 Costo 75€/noche cada una
(camas separadas)</text>
  </threadedComment>
  <threadedComment ref="F1230" dT="2025-02-13T10:05:11.33" personId="{17D30B62-2123-41F1-B603-E5411FDFA3E0}" id="{3B1AD63B-DF11-498A-96B1-2E73A7D4A62A}">
    <text>Habitacion doble para trabajadores cant 1 Costo 60€/noche
Habitacion triple para trabajadores cant 3 Costo 75€/noche cada una
(camas separadas)</text>
  </threadedComment>
  <threadedComment ref="F1231" dT="2025-02-13T10:05:11.33" personId="{17D30B62-2123-41F1-B603-E5411FDFA3E0}" id="{33B7F7C2-9AF8-4AC4-9625-E2E7F53F0782}">
    <text>Habitacion doble para trabajadores cant 1 Costo 60€/noche
Habitacion triple para trabajadores cant 3 Costo 75€/noche cada una
(camas separadas)</text>
  </threadedComment>
  <threadedComment ref="F1232" dT="2025-02-13T10:05:11.33" personId="{17D30B62-2123-41F1-B603-E5411FDFA3E0}" id="{749E86A9-4662-41F1-BFA7-303AB57B8748}">
    <text>Habitacion doble para trabajadores cant 1 Costo 60€/noche
Habitacion triple para trabajadores cant 3 Costo 75€/noche cada una
(camas separadas)</text>
  </threadedComment>
  <threadedComment ref="F1233" dT="2025-02-13T10:05:11.33" personId="{17D30B62-2123-41F1-B603-E5411FDFA3E0}" id="{AF891A8F-DF0D-4416-A900-D343D8A86A1C}">
    <text>Habitacion doble para trabajadores cant 1 Costo 60€/noche
Habitacion triple para trabajadores cant 3 Costo 75€/noche cada una
(camas separadas)</text>
  </threadedComment>
  <threadedComment ref="F1234" dT="2025-02-13T10:05:11.33" personId="{17D30B62-2123-41F1-B603-E5411FDFA3E0}" id="{D104D838-47DB-448E-BC92-4373768C827A}">
    <text>Habitacion doble para trabajadores cant 1 Costo 60€/noche
Habitacion triple para trabajadores cant 3 Costo 75€/noche cada una
(camas separadas)</text>
  </threadedComment>
  <threadedComment ref="F1235" dT="2025-02-13T10:05:11.33" personId="{17D30B62-2123-41F1-B603-E5411FDFA3E0}" id="{1EF09B41-7952-4156-9AD2-0382FA8E9D9F}">
    <text>Habitacion doble para trabajadores cant 1 Costo 60€/noche
Habitacion triple para trabajadores cant 3 Costo 75€/noche cada una
(camas separadas)</text>
  </threadedComment>
  <threadedComment ref="F1237" dT="2025-02-13T10:05:11.33" personId="{17D30B62-2123-41F1-B603-E5411FDFA3E0}" id="{85620F8D-F59E-4FC6-99B6-ED5CA4846581}">
    <text>Habitacion doble para trabajadores cant 1 Costo 60€/noche
Habitacion triple para trabajadores cant 3 Costo 75€/noche cada una
(camas separadas)</text>
  </threadedComment>
  <threadedComment ref="F1238" dT="2025-02-13T10:05:11.33" personId="{17D30B62-2123-41F1-B603-E5411FDFA3E0}" id="{49E3DB89-BAE1-411E-8188-097F95BC3911}">
    <text>Habitacion doble para trabajadores cant 1 Costo 60€/noche
Habitacion triple para trabajadores cant 3 Costo 75€/noche cada una
(camas separadas)</text>
  </threadedComment>
  <threadedComment ref="F1239" dT="2025-02-13T10:05:11.33" personId="{17D30B62-2123-41F1-B603-E5411FDFA3E0}" id="{EF2197D6-7104-4505-AFB1-ED57D04C84E5}">
    <text>Habitacion doble para trabajadores cant 1 Costo 60€/noche
Habitacion triple para trabajadores cant 3 Costo 75€/noche cada una
(camas separadas)</text>
  </threadedComment>
  <threadedComment ref="F1240" dT="2025-02-24T10:19:28.57" personId="{98986A2A-739A-4851-A979-4B0D560C46CD}" id="{A83EF125-36C5-45BE-9D7C-87C57ED8D04D}">
    <text>06 camas</text>
  </threadedComment>
  <threadedComment ref="F1242" dT="2025-02-13T10:05:11.33" personId="{17D30B62-2123-41F1-B603-E5411FDFA3E0}" id="{8CC2C3AF-AF9C-41E7-A01E-5248F34AEE99}">
    <text>Habitacion doble para trabajadores cant 1 Costo 60€/noche
Habitacion triple para trabajadores cant 3 Costo 75€/noche cada una
(camas separadas)</text>
  </threadedComment>
  <threadedComment ref="F1243" dT="2025-02-13T10:05:11.33" personId="{17D30B62-2123-41F1-B603-E5411FDFA3E0}" id="{6CECD93A-BDFA-49DB-B3F6-30E8A2F8B1E4}">
    <text>Habitacion doble para trabajadores cant 1 Costo 60€/noche
Habitacion triple para trabajadores cant 3 Costo 75€/noche cada una
(camas separadas)</text>
  </threadedComment>
  <threadedComment ref="F1244" dT="2025-02-13T10:05:11.33" personId="{17D30B62-2123-41F1-B603-E5411FDFA3E0}" id="{A1F140F5-DD94-4177-BDEB-E21851C5FBF8}">
    <text>Habitacion doble para trabajadores cant 1 Costo 60€/noche
Habitacion triple para trabajadores cant 3 Costo 75€/noche cada una
(camas separadas)</text>
  </threadedComment>
  <threadedComment ref="F1246" dT="2024-08-19T11:49:32.68" personId="{98986A2A-739A-4851-A979-4B0D560C46CD}" id="{C101C111-2AFE-41DC-B288-A0E2E313F31D}">
    <text>3 habitaciones, 4 camas</text>
  </threadedComment>
  <threadedComment ref="F1247" dT="2025-03-10T14:58:16.62" personId="{17D30B62-2123-41F1-B603-E5411FDFA3E0}" id="{A8838BBB-9D17-4873-8D0F-B494FBD08578}">
    <text>4 Camas  Alquiler 680 fianza1.360</text>
  </threadedComment>
  <threadedComment ref="F1248" dT="2025-02-13T10:05:11.33" personId="{17D30B62-2123-41F1-B603-E5411FDFA3E0}" id="{26A473BC-66D5-4CB2-986E-5FE947C83505}">
    <text>Habitacion doble para trabajadores cant 1 Costo 60€/noche
Habitacion triple para trabajadores cant 3 Costo 75€/noche cada una
(camas separadas)</text>
  </threadedComment>
  <threadedComment ref="W1248" dT="2024-08-26T10:55:47.95" personId="{98986A2A-739A-4851-A979-4B0D560C46CD}" id="{91F49E80-B7C7-47DA-B9AB-5938D17AAB2C}">
    <text>La fianza de Rodrigo pasa a Diego</text>
  </threadedComment>
  <threadedComment ref="F1249" dT="2025-02-13T10:05:11.33" personId="{17D30B62-2123-41F1-B603-E5411FDFA3E0}" id="{1F3D54AE-255F-4DC8-818B-4F45A7CBBEC3}">
    <text>Habitacion doble para trabajadores cant 1 Costo 60€/noche
Habitacion triple para trabajadores cant 3 Costo 75€/noche cada una
(camas separadas)</text>
  </threadedComment>
  <threadedComment ref="F1250" dT="2024-10-28T11:44:32.75" personId="{17D30B62-2123-41F1-B603-E5411FDFA3E0}" id="{AF522035-065D-4BF5-A6D7-98E01259DE9D}">
    <text>Alquiler 2870 Fianza 2870 camas 8</text>
  </threadedComment>
  <threadedComment ref="F1251" dT="2025-02-13T10:05:11.33" personId="{17D30B62-2123-41F1-B603-E5411FDFA3E0}" id="{A0A666C2-0584-42EE-8759-647E76BF4622}">
    <text>Habitacion doble para trabajadores cant 1 Costo 60€/noche
Habitacion triple para trabajadores cant 3 Costo 75€/noche cada una
(camas separadas)</text>
  </threadedComment>
  <threadedComment ref="F1253" dT="2025-02-26T12:24:18.65" personId="{98986A2A-739A-4851-A979-4B0D560C46CD}" id="{C3C91685-9CAA-4F75-909B-D33D410E5CE6}">
    <text xml:space="preserve">Alquiler 1100 , Fianza 2200  Camas 4
</text>
  </threadedComment>
  <threadedComment ref="F1254" dT="2025-02-13T10:05:11.33" personId="{17D30B62-2123-41F1-B603-E5411FDFA3E0}" id="{9D9F1ED7-2D3A-4D5C-8849-3C56A7374567}">
    <text>Habitacion doble para trabajadores cant 1 Costo 60€/noche
Habitacion triple para trabajadores cant 3 Costo 75€/noche cada una
(camas separadas)</text>
  </threadedComment>
  <threadedComment ref="F1255" dT="2024-08-19T11:49:32.68" personId="{98986A2A-739A-4851-A979-4B0D560C46CD}" id="{64310FA1-7FE2-4826-8BE0-596AD5F1BAAB}">
    <text>3 habitaciones, 4 camas</text>
  </threadedComment>
  <threadedComment ref="F1256" dT="2025-02-13T10:05:11.33" personId="{17D30B62-2123-41F1-B603-E5411FDFA3E0}" id="{7EC81D6B-B04E-481C-BC12-22305B3C2ED3}">
    <text>Habitacion doble para trabajadores cant 1 Costo 60€/noche
Habitacion triple para trabajadores cant 3 Costo 75€/noche cada una
(camas separadas)</text>
  </threadedComment>
  <threadedComment ref="F1257" dT="2024-08-19T11:47:23.13" personId="{98986A2A-739A-4851-A979-4B0D560C46CD}" id="{7566778D-0074-4EDE-9C47-18603957C588}">
    <text>4 camas</text>
  </threadedComment>
  <threadedComment ref="F1258" dT="2025-02-13T10:05:11.33" personId="{17D30B62-2123-41F1-B603-E5411FDFA3E0}" id="{9AF2842F-6A85-4EFF-B844-2E534589D4DF}">
    <text>Habitacion doble para trabajadores cant 1 Costo 60€/noche
Habitacion triple para trabajadores cant 3 Costo 75€/noche cada una
(camas separadas)</text>
  </threadedComment>
  <threadedComment ref="F1259" dT="2025-02-13T10:05:11.33" personId="{17D30B62-2123-41F1-B603-E5411FDFA3E0}" id="{746FC97B-D594-4893-8C8F-65E5CB055F7C}">
    <text>Habitacion doble para trabajadores cant 1 Costo 60€/noche
Habitacion triple para trabajadores cant 3 Costo 75€/noche cada una
(camas separadas)</text>
  </threadedComment>
  <threadedComment ref="F1260" dT="2025-02-13T10:05:11.33" personId="{17D30B62-2123-41F1-B603-E5411FDFA3E0}" id="{99B5EA59-603D-45E3-A7CB-29520A223D8F}">
    <text>Habitacion doble para trabajadores cant 1 Costo 60€/noche
Habitacion triple para trabajadores cant 3 Costo 75€/noche cada una
(camas separadas)</text>
  </threadedComment>
  <threadedComment ref="F1261" dT="2025-02-13T10:05:11.33" personId="{17D30B62-2123-41F1-B603-E5411FDFA3E0}" id="{8D17C3D3-1BDF-4B02-A184-F93E3D58CE49}">
    <text>Habitacion doble para trabajadores cant 1 Costo 60€/noche
Habitacion triple para trabajadores cant 3 Costo 75€/noche cada una
(camas separadas)</text>
  </threadedComment>
  <threadedComment ref="F1262" dT="2025-02-13T10:05:11.33" personId="{17D30B62-2123-41F1-B603-E5411FDFA3E0}" id="{7E1E33EB-CC9F-4B2A-8F26-E25E43096C60}">
    <text>Habitacion doble para trabajadores cant 1 Costo 60€/noche
Habitacion triple para trabajadores cant 3 Costo 75€/noche cada una
(camas separadas)</text>
  </threadedComment>
  <threadedComment ref="F1263" dT="2025-02-13T10:05:11.33" personId="{17D30B62-2123-41F1-B603-E5411FDFA3E0}" id="{08D3153F-DCE5-4281-B466-EB23642B05A7}">
    <text>Habitacion doble para trabajadores cant 1 Costo 60€/noche
Habitacion triple para trabajadores cant 3 Costo 75€/noche cada una
(camas separadas)</text>
  </threadedComment>
  <threadedComment ref="F1264" dT="2025-02-13T10:05:11.33" personId="{17D30B62-2123-41F1-B603-E5411FDFA3E0}" id="{CACCFB9A-ED2C-437F-A9B4-3B5C15033FB5}">
    <text>Habitacion doble para trabajadores cant 1 Costo 60€/noche
Habitacion triple para trabajadores cant 3 Costo 75€/noche cada una
(camas separadas)</text>
  </threadedComment>
  <threadedComment ref="F1265" dT="2024-12-07T09:48:49.17" personId="{98986A2A-739A-4851-A979-4B0D560C46CD}" id="{29603C4A-2BCE-4495-AE05-9DFF34E4AB7E}">
    <text>ALQUILER 580, FIANZA 580, 4 CAMAS. Contrato pago hasta Febrero</text>
  </threadedComment>
  <threadedComment ref="F1266" dT="2025-02-13T10:05:11.33" personId="{17D30B62-2123-41F1-B603-E5411FDFA3E0}" id="{85313107-CE94-4737-8815-CE95576BD95A}">
    <text>Habitacion doble para trabajadores cant 1 Costo 60€/noche
Habitacion triple para trabajadores cant 3 Costo 75€/noche cada una
(camas separadas)</text>
  </threadedComment>
  <threadedComment ref="F1267" dT="2025-02-13T10:05:11.33" personId="{17D30B62-2123-41F1-B603-E5411FDFA3E0}" id="{AD3460F9-7F27-4DA3-935D-726F2A8F9AB8}">
    <text>Habitacion doble para trabajadores cant 1 Costo 60€/noche
Habitacion triple para trabajadores cant 3 Costo 75€/noche cada una
(camas separadas)</text>
  </threadedComment>
  <threadedComment ref="F1268" dT="2025-02-13T10:05:11.33" personId="{17D30B62-2123-41F1-B603-E5411FDFA3E0}" id="{4B2E97DB-87D0-4816-9EE4-9AC35557DFE7}">
    <text>Habitacion doble para trabajadores cant 1 Costo 60€/noche
Habitacion triple para trabajadores cant 3 Costo 75€/noche cada una
(camas separadas)</text>
  </threadedComment>
  <threadedComment ref="F1269" dT="2025-02-13T10:05:11.33" personId="{17D30B62-2123-41F1-B603-E5411FDFA3E0}" id="{6A9CF1A3-4F2F-4AA4-9096-1C151F9059EE}">
    <text>Habitacion doble para trabajadores cant 1 Costo 60€/noche
Habitacion triple para trabajadores cant 3 Costo 75€/noche cada una
(camas separadas)</text>
  </threadedComment>
  <threadedComment ref="F1270" dT="2025-02-13T10:05:11.33" personId="{17D30B62-2123-41F1-B603-E5411FDFA3E0}" id="{36937F57-3FE2-4209-8C6D-B9E565E7AF88}">
    <text>Habitacion doble para trabajadores cant 1 Costo 60€/noche
Habitacion triple para trabajadores cant 3 Costo 75€/noche cada una
(camas separadas)</text>
  </threadedComment>
  <threadedComment ref="F1271" dT="2025-02-20T10:29:05.34" personId="{17D30B62-2123-41F1-B603-E5411FDFA3E0}" id="{5249CDB8-9E26-41AB-BC29-B40AFD0AB568}">
    <text>Alquiler 1.200€/mes
Fianza 600€</text>
  </threadedComment>
  <threadedComment ref="F1273" dT="2024-08-12T06:19:55.68" personId="{8BEA8CB1-BB33-44FC-A791-4439DE945680}" id="{807F45FE-CDD4-4498-9D2D-48FC60C3E9E0}">
    <text>ALQUILER  1500    FIANZA     3000   CAMAS 9</text>
  </threadedComment>
  <threadedComment ref="F1273" dT="2024-12-02T12:38:12.96" personId="{98986A2A-739A-4851-A979-4B0D560C46CD}" id="{7DCEA213-9883-485B-803E-2561750B29B3}" parentId="{807F45FE-CDD4-4498-9D2D-48FC60C3E9E0}">
    <text>11 camas, 09 acomodadas, 02 pendientes por acomodar</text>
  </threadedComment>
  <threadedComment ref="F1275" dT="2025-02-13T10:05:11.33" personId="{17D30B62-2123-41F1-B603-E5411FDFA3E0}" id="{AA4002AB-97BE-495D-B57B-8B21C512D63F}">
    <text>Habitacion doble para trabajadores cant 1 Costo 60€/noche
Habitacion triple para trabajadores cant 3 Costo 75€/noche cada una
(camas separadas)</text>
  </threadedComment>
  <threadedComment ref="F1278" dT="2025-02-13T10:05:11.33" personId="{17D30B62-2123-41F1-B603-E5411FDFA3E0}" id="{7C10218D-94BC-4628-BC4A-133B05D0A6CC}">
    <text>Habitacion doble para trabajadores cant 1 Costo 60€/noche
Habitacion triple para trabajadores cant 3 Costo 75€/noche cada una
(camas separadas)</text>
  </threadedComment>
  <threadedComment ref="F1279" dT="2025-02-13T10:05:11.33" personId="{17D30B62-2123-41F1-B603-E5411FDFA3E0}" id="{5E2290BE-B063-4F4F-8E4A-D13421319296}">
    <text>Habitacion doble para trabajadores cant 1 Costo 60€/noche
Habitacion triple para trabajadores cant 3 Costo 75€/noche cada una
(camas separadas)</text>
  </threadedComment>
  <threadedComment ref="F1280" dT="2025-02-13T10:05:11.33" personId="{17D30B62-2123-41F1-B603-E5411FDFA3E0}" id="{2733FB99-DA81-4BC9-9E04-8BFAE3076DEF}">
    <text>1650€/Alquiler
1650€/Fianza
5 camas</text>
  </threadedComment>
  <threadedComment ref="F1281" dT="2024-11-07T11:33:47.80" personId="{17D30B62-2123-41F1-B603-E5411FDFA3E0}" id="{842AD7B9-0C33-4096-9143-F7826A94CFA4}">
    <text>Alquiler 2870 Fianza 1435 camas 8</text>
  </threadedComment>
  <threadedComment ref="F1282" dT="2025-02-26T12:24:18.65" personId="{98986A2A-739A-4851-A979-4B0D560C46CD}" id="{FE7036B0-2DD1-4E23-A132-BF2AAC5290A5}">
    <text xml:space="preserve">Alquiler 1100 , Fianza 2200  Camas 4
</text>
  </threadedComment>
  <threadedComment ref="F1283" dT="2025-05-05T11:29:54.02" personId="{98986A2A-739A-4851-A979-4B0D560C46CD}" id="{92A20B28-A218-4940-9377-E8D84DA0D109}">
    <text>Alquiler 1300€, 05 habitaciones, 400€fianza</text>
  </threadedComment>
  <threadedComment ref="F1284" dT="2025-02-13T10:05:11.33" personId="{17D30B62-2123-41F1-B603-E5411FDFA3E0}" id="{0F26A180-A0BB-4DD9-82B2-A79609305AED}">
    <text>Habitacion doble para trabajadores cant 1 Costo 60€/noche
Habitacion triple para trabajadores cant 3 Costo 75€/noche cada una
(camas separadas)</text>
  </threadedComment>
  <threadedComment ref="F1285" dT="2025-02-13T10:05:11.33" personId="{17D30B62-2123-41F1-B603-E5411FDFA3E0}" id="{6893861F-04D6-4B74-89AE-06476A08CD56}">
    <text>Habitacion doble para trabajadores cant 1 Costo 60€/noche
Habitacion triple para trabajadores cant 3 Costo 75€/noche cada una
(camas separadas)</text>
  </threadedComment>
  <threadedComment ref="F1286" dT="2025-03-03T08:16:57.36" personId="{17D30B62-2123-41F1-B603-E5411FDFA3E0}" id="{ED4D2AC7-E600-4974-8503-7DD039558A27}">
    <text>2 Camas Alquiler 1300</text>
  </threadedComment>
  <threadedComment ref="F1287" dT="2025-02-13T10:05:11.33" personId="{17D30B62-2123-41F1-B603-E5411FDFA3E0}" id="{2AFFD0DE-9023-49D6-8746-97D88889B73F}">
    <text>Habitacion doble para trabajadores cant 1 Costo 60€/noche
Habitacion triple para trabajadores cant 3 Costo 75€/noche cada una
(camas separadas)</text>
  </threadedComment>
  <threadedComment ref="F1288" dT="2025-02-13T10:05:11.33" personId="{17D30B62-2123-41F1-B603-E5411FDFA3E0}" id="{BD2EFF8E-B9D7-4B92-A55A-BB6A7A897A45}">
    <text>Habitacion doble para trabajadores cant 1 Costo 60€/noche
Habitacion triple para trabajadores cant 3 Costo 75€/noche cada una
(camas separadas)</text>
  </threadedComment>
  <threadedComment ref="F1289" dT="2025-02-10T17:07:43.06" personId="{17D30B62-2123-41F1-B603-E5411FDFA3E0}" id="{E5D5F0F9-8B04-445A-A5FD-D83192B471FC}">
    <text>350€ por cada habitacion
350€ fianza</text>
  </threadedComment>
  <threadedComment ref="F1289" dT="2025-02-12T10:28:53.03" personId="{98986A2A-739A-4851-A979-4B0D560C46CD}" id="{06020677-CB5E-49BE-BF1D-81B03748C7BE}" parentId="{E5D5F0F9-8B04-445A-A5FD-D83192B471FC}">
    <text>04 habitaciones x 350 cu. Fianza 350 c/h Total 1400</text>
  </threadedComment>
  <threadedComment ref="F1289" dT="2025-02-12T10:41:29.61" personId="{98986A2A-739A-4851-A979-4B0D560C46CD}" id="{D90B50D2-2E6A-498B-85EE-D3AF38752008}" parentId="{E5D5F0F9-8B04-445A-A5FD-D83192B471FC}">
    <text>Se adicionan 03 habitaciones 10/02 x 350 € c/u. Fianza 350€ c/u. Total 1050€fianza</text>
  </threadedComment>
  <threadedComment ref="F1290" dT="2025-02-13T10:05:11.33" personId="{17D30B62-2123-41F1-B603-E5411FDFA3E0}" id="{D70445D1-BA82-4007-B951-6B8B3317E3A3}">
    <text>1650€/Alquiler
1650€/Fianza
5 camas</text>
  </threadedComment>
  <threadedComment ref="F1291" dT="2025-02-25T17:38:25.86" personId="{98986A2A-739A-4851-A979-4B0D560C46CD}" id="{E8F5CCD0-CE15-41D0-BEB7-3A7E9E4B783B}">
    <text xml:space="preserve">Alquiler 1600 Fianza 1600 camas 5
</text>
  </threadedComment>
  <threadedComment ref="F1293" dT="2025-02-26T14:29:45.42" personId="{17D30B62-2123-41F1-B603-E5411FDFA3E0}" id="{58820B03-60AD-4311-B2B4-718BFDA81F63}">
    <text>9 Camas, Alquiler 2300€, Fianza 700€</text>
  </threadedComment>
  <threadedComment ref="F1293" dT="2026-01-21T15:11:00.84" personId="{4D8483EF-5A39-4E7B-A473-929EF5A077E1}" id="{31DFDDCC-D62A-4152-A00E-B1FF1A855DE0}" parentId="{58820B03-60AD-4311-B2B4-718BFDA81F63}">
    <text xml:space="preserve">Descuento a 2000€ </text>
  </threadedComment>
  <threadedComment ref="F1294" dT="2025-02-13T10:05:11.33" personId="{17D30B62-2123-41F1-B603-E5411FDFA3E0}" id="{6C5A32E2-1B12-458F-BD9A-D0E318DE8719}">
    <text>Habitacion doble para trabajadores cant 1 Costo 60€/noche
Habitacion triple para trabajadores cant 3 Costo 75€/noche cada una
(camas separadas)</text>
  </threadedComment>
  <threadedComment ref="V1294" dT="2024-07-08T10:52:24.06" personId="{98986A2A-739A-4851-A979-4B0D560C46CD}" id="{A2EC5273-158A-41AA-A24F-6E3320AA58BD}">
    <text xml:space="preserve">Buscar hotel desde 27/07 al 05/08. martes 06/08 vuelven a la casa hasta el 31/08
</text>
  </threadedComment>
  <threadedComment ref="F1297" dT="2025-02-13T10:05:11.33" personId="{17D30B62-2123-41F1-B603-E5411FDFA3E0}" id="{1170110B-9965-4221-A4A9-F292F9A2338C}">
    <text>Habitacion doble para trabajadores cant 1 Costo 60€/noche
Habitacion triple para trabajadores cant 3 Costo 75€/noche cada una
(camas separadas)</text>
  </threadedComment>
  <threadedComment ref="F1304" dT="2024-11-07T11:33:47.80" personId="{17D30B62-2123-41F1-B603-E5411FDFA3E0}" id="{D3AE824E-66C2-4F36-88EC-19BBBDF35D39}">
    <text>Alquiler 2870 Fianza 1435 camas 8</text>
  </threadedComment>
  <threadedComment ref="F1305" dT="2025-02-13T10:05:11.33" personId="{17D30B62-2123-41F1-B603-E5411FDFA3E0}" id="{FE3D4B67-D018-4D9E-95AA-9A83A47C538C}">
    <text>Habitacion doble para trabajadores cant 1 Costo 60€/noche
Habitacion triple para trabajadores cant 3 Costo 75€/noche cada una
(camas separadas)</text>
  </threadedComment>
  <threadedComment ref="F1306" dT="2025-02-13T10:05:11.33" personId="{17D30B62-2123-41F1-B603-E5411FDFA3E0}" id="{114C877C-069C-4009-B7E6-C123CD1F382E}">
    <text>Habitacion doble para trabajadores cant 1 Costo 60€/noche
Habitacion triple para trabajadores cant 3 Costo 75€/noche cada una
(camas separadas)</text>
  </threadedComment>
  <threadedComment ref="F1307" dT="2025-02-13T10:05:11.33" personId="{17D30B62-2123-41F1-B603-E5411FDFA3E0}" id="{9D218F1B-BB87-45D4-AB4B-5018BD2AA2F7}">
    <text>Habitacion doble para trabajadores cant 1 Costo 60€/noche
Habitacion triple para trabajadores cant 3 Costo 75€/noche cada una
(camas separadas)</text>
  </threadedComment>
  <threadedComment ref="F1308" dT="2025-02-20T10:29:05.34" personId="{17D30B62-2123-41F1-B603-E5411FDFA3E0}" id="{205CFDA3-C764-41DD-8A26-0D25BDFF8306}">
    <text>Alquiler 1.200€/mes
Fianza 600€</text>
  </threadedComment>
  <threadedComment ref="F1309" dT="2024-08-19T11:49:32.68" personId="{98986A2A-739A-4851-A979-4B0D560C46CD}" id="{4CD5AB4A-DAD8-4356-A685-0F8C8F79FE01}">
    <text xml:space="preserve">04 CAMAS, ALQUILER 1080, SIN FIANZA
</text>
  </threadedComment>
  <threadedComment ref="F1310" dT="2025-02-13T10:05:11.33" personId="{17D30B62-2123-41F1-B603-E5411FDFA3E0}" id="{8D4D4A13-23A9-419F-8E6C-DCA25AA3039C}">
    <text>Habitacion doble para trabajadores cant 1 Costo 60€/noche
Habitacion triple para trabajadores cant 3 Costo 75€/noche cada una
(camas separadas)</text>
  </threadedComment>
  <threadedComment ref="F1311" dT="2025-02-13T10:05:11.33" personId="{17D30B62-2123-41F1-B603-E5411FDFA3E0}" id="{203ABEC2-11B9-4BFC-8C7A-4617DC76DAE8}">
    <text>Habitacion doble para trabajadores cant 1 Costo 60€/noche
Habitacion triple para trabajadores cant 3 Costo 75€/noche cada una
(camas separadas)</text>
  </threadedComment>
  <threadedComment ref="F1312" dT="2025-02-13T10:05:11.33" personId="{17D30B62-2123-41F1-B603-E5411FDFA3E0}" id="{B9132E6E-D506-4A23-84E1-899FDD6FEB86}">
    <text>Habitacion doble para trabajadores cant 1 Costo 60€/noche
Habitacion triple para trabajadores cant 3 Costo 75€/noche cada una
(camas separadas)</text>
  </threadedComment>
  <threadedComment ref="F1313" dT="2025-02-13T10:05:11.33" personId="{17D30B62-2123-41F1-B603-E5411FDFA3E0}" id="{7B08C740-80D7-4186-9915-8FB36D0C4A8E}">
    <text>Habitacion doble para trabajadores cant 1 Costo 60€/noche
Habitacion triple para trabajadores cant 3 Costo 75€/noche cada una
(camas separadas)</text>
  </threadedComment>
  <threadedComment ref="F1314" dT="2025-02-13T10:05:11.33" personId="{17D30B62-2123-41F1-B603-E5411FDFA3E0}" id="{EEABA305-ED31-4D13-BAC5-2F45E88E60F0}">
    <text>Habitacion doble para trabajadores cant 1 Costo 60€/noche
Habitacion triple para trabajadores cant 3 Costo 75€/noche cada una
(camas separadas)</text>
  </threadedComment>
  <threadedComment ref="F1315" dT="2025-02-13T10:05:11.33" personId="{17D30B62-2123-41F1-B603-E5411FDFA3E0}" id="{ECE265E9-CFB7-4088-AADF-28DDDD42B1BB}">
    <text>Habitacion doble para trabajadores cant 1 Costo 60€/noche
Habitacion triple para trabajadores cant 3 Costo 75€/noche cada una
(camas separadas)</text>
  </threadedComment>
  <threadedComment ref="F1316" dT="2025-02-13T10:05:11.33" personId="{17D30B62-2123-41F1-B603-E5411FDFA3E0}" id="{FC88DF7E-C0C9-4682-9EFB-6EC4A522CF82}">
    <text>Habitacion doble para trabajadores cant 1 Costo 60€/noche
Habitacion triple para trabajadores cant 3 Costo 75€/noche cada una
(camas separadas)</text>
  </threadedComment>
  <threadedComment ref="F1317" dT="2025-02-13T10:05:11.33" personId="{17D30B62-2123-41F1-B603-E5411FDFA3E0}" id="{76498BC1-2AA8-46B7-8789-0C5CDE170705}">
    <text>Habitacion doble para trabajadores cant 1 Costo 60€/noche
Habitacion triple para trabajadores cant 3 Costo 75€/noche cada una
(camas separadas)</text>
  </threadedComment>
  <threadedComment ref="F1318" dT="2025-02-13T10:05:11.33" personId="{17D30B62-2123-41F1-B603-E5411FDFA3E0}" id="{B1D66662-C1C0-432F-81E1-98AE540EC106}">
    <text>Habitacion doble para trabajadores cant 1 Costo 60€/noche
Habitacion triple para trabajadores cant 3 Costo 75€/noche cada una
(camas separadas)</text>
  </threadedComment>
  <threadedComment ref="F1319" dT="2025-02-13T10:05:11.33" personId="{17D30B62-2123-41F1-B603-E5411FDFA3E0}" id="{7F37E338-480D-4BCA-A924-9E44B9D359BA}">
    <text>Habitacion doble para trabajadores cant 1 Costo 60€/noche
Habitacion triple para trabajadores cant 3 Costo 75€/noche cada una
(camas separadas)</text>
  </threadedComment>
  <threadedComment ref="F1320" dT="2025-02-13T10:05:11.33" personId="{17D30B62-2123-41F1-B603-E5411FDFA3E0}" id="{F6B023C1-6FA3-4472-A297-8AF0384223F6}">
    <text>Habitacion doble para trabajadores cant 1 Costo 60€/noche
Habitacion triple para trabajadores cant 3 Costo 75€/noche cada una
(camas separadas)</text>
  </threadedComment>
  <threadedComment ref="F1321" dT="2025-03-31T09:50:42.16" personId="{17D30B62-2123-41F1-B603-E5411FDFA3E0}" id="{00137D61-3ED7-461A-8C69-92856C1B1AAC}">
    <text>Alojamiento entero · 4 camas · 4</text>
  </threadedComment>
  <threadedComment ref="F1322" dT="2025-05-09T14:42:36.63" personId="{17D30B62-2123-41F1-B603-E5411FDFA3E0}" id="{3AEA13E9-0052-4B14-AC5A-CD4E785E0B03}">
    <text>4 CAMAS 2.600€ Alquiler</text>
  </threadedComment>
  <threadedComment ref="F1324" dT="2025-02-13T10:05:11.33" personId="{17D30B62-2123-41F1-B603-E5411FDFA3E0}" id="{6AF04DCB-2BF5-4AF1-A574-3695576AC5B7}">
    <text>Habitacion doble para trabajadores cant 1 Costo 60€/noche
Habitacion triple para trabajadores cant 3 Costo 75€/noche cada una
(camas separadas)</text>
  </threadedComment>
  <threadedComment ref="F1325" dT="2025-02-13T10:05:11.33" personId="{17D30B62-2123-41F1-B603-E5411FDFA3E0}" id="{463930C3-2C18-400E-838E-E3F86080A7E5}">
    <text>Habitacion doble para trabajadores cant 1 Costo 60€/noche
Habitacion triple para trabajadores cant 3 Costo 75€/noche cada una
(camas separadas)</text>
  </threadedComment>
  <threadedComment ref="F1326" dT="2025-02-13T10:05:11.33" personId="{17D30B62-2123-41F1-B603-E5411FDFA3E0}" id="{65E5A351-76E2-4A8A-93D3-E83A51C1CC00}">
    <text>Habitacion doble para trabajadores cant 1 Costo 60€/noche
Habitacion triple para trabajadores cant 3 Costo 75€/noche cada una
(camas separadas)</text>
  </threadedComment>
  <threadedComment ref="F1327" dT="2025-03-03T10:25:07.54" personId="{98986A2A-739A-4851-A979-4B0D560C46CD}" id="{55C8AB80-D54F-4825-B951-073B07CBFAFD}">
    <text>750€ alquiler, 03 camas, 500€ fianza</text>
  </threadedComment>
  <threadedComment ref="F1328" dT="2025-02-13T10:05:11.33" personId="{17D30B62-2123-41F1-B603-E5411FDFA3E0}" id="{481D90E1-E240-4BD4-BE8A-15D7B8C5E9D0}">
    <text>Habitacion doble para trabajadores cant 1 Costo 60€/noche
Habitacion triple para trabajadores cant 3 Costo 75€/noche cada una
(camas separadas)</text>
  </threadedComment>
  <threadedComment ref="F1329" dT="2025-02-13T10:05:11.33" personId="{17D30B62-2123-41F1-B603-E5411FDFA3E0}" id="{43FA8AE3-2C26-4205-A7A7-E33CF2D699E7}">
    <text>Habitacion doble para trabajadores cant 1 Costo 60€/noche
Habitacion triple para trabajadores cant 3 Costo 75€/noche cada una
(camas separadas)</text>
  </threadedComment>
  <threadedComment ref="F1330" dT="2025-02-13T10:05:11.33" personId="{17D30B62-2123-41F1-B603-E5411FDFA3E0}" id="{9E4C48E9-9032-4E4D-B38C-DA9E4588311C}">
    <text>Habitacion doble para trabajadores cant 1 Costo 60€/noche
Habitacion triple para trabajadores cant 3 Costo 75€/noche cada una
(camas separadas)</text>
  </threadedComment>
  <threadedComment ref="F1331" dT="2025-02-13T10:05:11.33" personId="{17D30B62-2123-41F1-B603-E5411FDFA3E0}" id="{7AF6FE8F-36BC-46DB-AAE8-712A9BD37502}">
    <text>Habitacion doble para trabajadores cant 1 Costo 60€/noche
Habitacion triple para trabajadores cant 3 Costo 75€/noche cada una
(camas separadas)</text>
  </threadedComment>
  <threadedComment ref="F1332" dT="2025-02-13T10:05:11.33" personId="{17D30B62-2123-41F1-B603-E5411FDFA3E0}" id="{726ECBBE-E60D-4B3A-9F32-393638327F98}">
    <text>Habitacion doble para trabajadores cant 1 Costo 60€/noche
Habitacion triple para trabajadores cant 3 Costo 75€/noche cada una
(camas separadas)</text>
  </threadedComment>
  <threadedComment ref="F1333" dT="2025-02-13T10:05:11.33" personId="{17D30B62-2123-41F1-B603-E5411FDFA3E0}" id="{4BB36E5F-F922-4BBA-9B11-F22F455A0A7C}">
    <text>Habitacion doble para trabajadores cant 1 Costo 60€/noche
Habitacion triple para trabajadores cant 3 Costo 75€/noche cada una
(camas separadas)</text>
  </threadedComment>
  <threadedComment ref="F1334" dT="2025-02-13T10:05:11.33" personId="{17D30B62-2123-41F1-B603-E5411FDFA3E0}" id="{DA4DBB5E-7222-449D-9C1C-A0F3E92AD523}">
    <text>Habitacion doble para trabajadores cant 1 Costo 60€/noche
Habitacion triple para trabajadores cant 3 Costo 75€/noche cada una
(camas separadas)</text>
  </threadedComment>
  <threadedComment ref="F1335" dT="2025-02-13T10:05:11.33" personId="{17D30B62-2123-41F1-B603-E5411FDFA3E0}" id="{6DDEE703-7909-40B8-8164-5C2D0FC21B45}">
    <text>Habitacion doble para trabajadores cant 1 Costo 60€/noche
Habitacion triple para trabajadores cant 3 Costo 75€/noche cada una
(camas separadas)</text>
  </threadedComment>
  <threadedComment ref="F1336" dT="2025-02-13T10:05:11.33" personId="{17D30B62-2123-41F1-B603-E5411FDFA3E0}" id="{DE621024-F740-44BA-A906-7A64D3FBBA87}">
    <text>Habitacion doble para trabajadores cant 1 Costo 60€/noche
Habitacion triple para trabajadores cant 3 Costo 75€/noche cada una
(camas separadas)</text>
  </threadedComment>
  <threadedComment ref="F1337" dT="2025-02-13T10:05:11.33" personId="{17D30B62-2123-41F1-B603-E5411FDFA3E0}" id="{29D6EBD0-341A-44BB-A03B-232F52F2FC9B}">
    <text>Habitacion doble para trabajadores cant 1 Costo 60€/noche
Habitacion triple para trabajadores cant 3 Costo 75€/noche cada una
(camas separadas)</text>
  </threadedComment>
  <threadedComment ref="F1338" dT="2025-02-13T10:05:11.33" personId="{17D30B62-2123-41F1-B603-E5411FDFA3E0}" id="{E3AD7DE9-3AF8-41E0-A7A3-E2904C8C7789}">
    <text>Habitacion doble para trabajadores cant 1 Costo 60€/noche
Habitacion triple para trabajadores cant 3 Costo 75€/noche cada una
(camas separadas)</text>
  </threadedComment>
  <threadedComment ref="F1339" dT="2025-02-13T10:05:11.33" personId="{17D30B62-2123-41F1-B603-E5411FDFA3E0}" id="{3E4A8569-54B9-4C08-B94D-A2E7E59221B8}">
    <text>Habitacion doble para trabajadores cant 1 Costo 60€/noche
Habitacion triple para trabajadores cant 3 Costo 75€/noche cada una
(camas separadas)</text>
  </threadedComment>
  <threadedComment ref="F1340" dT="2025-02-13T10:05:11.33" personId="{17D30B62-2123-41F1-B603-E5411FDFA3E0}" id="{1C4B9062-BB8B-4112-8C25-9509A525FF63}">
    <text>Habitacion doble para trabajadores cant 1 Costo 60€/noche
Habitacion triple para trabajadores cant 3 Costo 75€/noche cada una
(camas separadas)</text>
  </threadedComment>
  <threadedComment ref="F1341" dT="2025-02-13T10:05:11.33" personId="{17D30B62-2123-41F1-B603-E5411FDFA3E0}" id="{8C84B4C2-DB87-4009-8D3F-1CD225B5831C}">
    <text>Habitacion doble para trabajadores cant 1 Costo 60€/noche
Habitacion triple para trabajadores cant 3 Costo 75€/noche cada una
(camas separadas)</text>
  </threadedComment>
  <threadedComment ref="F1342" dT="2025-02-13T10:05:11.33" personId="{17D30B62-2123-41F1-B603-E5411FDFA3E0}" id="{E00BF236-2E9C-44C4-8D78-570B9F5DD5BA}">
    <text>Habitacion doble para trabajadores cant 1 Costo 60€/noche
Habitacion triple para trabajadores cant 3 Costo 75€/noche cada una
(camas separadas)</text>
  </threadedComment>
  <threadedComment ref="F1344" dT="2025-02-13T10:05:11.33" personId="{17D30B62-2123-41F1-B603-E5411FDFA3E0}" id="{96C750D0-A43F-4F0E-BDA8-562C88FC883A}">
    <text>Habitacion doble para trabajadores cant 1 Costo 60€/noche
Habitacion triple para trabajadores cant 3 Costo 75€/noche cada una
(camas separadas)</text>
  </threadedComment>
  <threadedComment ref="F1345" dT="2025-02-13T10:05:11.33" personId="{17D30B62-2123-41F1-B603-E5411FDFA3E0}" id="{E0A3CA57-D2E2-48C3-9353-747AE487A927}">
    <text>Habitacion doble para trabajadores cant 1 Costo 60€/noche
Habitacion triple para trabajadores cant 3 Costo 75€/noche cada una
(camas separadas)</text>
  </threadedComment>
  <threadedComment ref="F1347" dT="2025-07-09T14:24:23.31" personId="{98986A2A-739A-4851-A979-4B0D560C46CD}" id="{311FD664-E362-4EB7-8C80-B39E3F9998A5}">
    <text>10 CAMAS</text>
  </threadedComment>
  <threadedComment ref="F1348" dT="2025-02-13T10:05:11.33" personId="{17D30B62-2123-41F1-B603-E5411FDFA3E0}" id="{61B64F22-0B5A-4482-B9C0-EA21873AAF68}">
    <text>Habitacion doble para trabajadores cant 1 Costo 60€/noche
Habitacion triple para trabajadores cant 3 Costo 75€/noche cada una
(camas separadas)</text>
  </threadedComment>
  <threadedComment ref="F1349" dT="2024-07-16T10:19:46.27" personId="{98986A2A-739A-4851-A979-4B0D560C46CD}" id="{2C0A2B42-AAD1-4450-924D-CA02F0E30AD8}">
    <text>900 alquiler, 1800 fianza, 3 habitaciones</text>
  </threadedComment>
  <threadedComment ref="F1350" dT="2024-09-12T13:06:49.40" personId="{8BEA8CB1-BB33-44FC-A791-4439DE945680}" id="{1A5B74E4-EE83-4990-AE05-B45435831760}">
    <text>Alquiler 750 fianza 300 camas 5</text>
  </threadedComment>
  <threadedComment ref="F1351" dT="2025-02-13T10:05:11.33" personId="{17D30B62-2123-41F1-B603-E5411FDFA3E0}" id="{130A59D3-FC66-4CAD-A537-342AF88FD0DC}">
    <text>Habitacion doble para trabajadores cant 1 Costo 60€/noche
Habitacion triple para trabajadores cant 3 Costo 75€/noche cada una
(camas separadas)</text>
  </threadedComment>
  <threadedComment ref="F1352" dT="2025-02-13T10:05:11.33" personId="{17D30B62-2123-41F1-B603-E5411FDFA3E0}" id="{D14F179E-E7F0-47EE-947A-8E3E92AECA50}">
    <text>Habitacion doble para trabajadores cant 1 Costo 60€/noche
Habitacion triple para trabajadores cant 3 Costo 75€/noche cada una
(camas separadas)</text>
  </threadedComment>
  <threadedComment ref="F1353" dT="2024-08-06T14:12:58.54" personId="{8BEA8CB1-BB33-44FC-A791-4439DE945680}" id="{76A57A6B-0283-40CE-8131-F849062FF385}">
    <text>Alquiler 1700, fianza 1700 6 CAMAS</text>
  </threadedComment>
  <threadedComment ref="F1353" dT="2025-01-16T18:23:38.41" personId="{98986A2A-739A-4851-A979-4B0D560C46CD}" id="{2FFE0A05-8B6C-4ED8-B17E-903B0E26A19B}" parentId="{76A57A6B-0283-40CE-8131-F849062FF385}">
    <text>5 habitaciones</text>
  </threadedComment>
  <threadedComment ref="F1354" dT="2025-02-13T10:05:11.33" personId="{17D30B62-2123-41F1-B603-E5411FDFA3E0}" id="{40E18F5A-6857-459B-B865-B7745748D1D0}">
    <text>Habitacion doble para trabajadores cant 1 Costo 60€/noche
Habitacion triple para trabajadores cant 3 Costo 75€/noche cada una
(camas separadas)</text>
  </threadedComment>
  <threadedComment ref="F1355" dT="2025-02-13T10:05:11.33" personId="{17D30B62-2123-41F1-B603-E5411FDFA3E0}" id="{4819E113-4885-427C-B6F7-DBEDBAF6A587}">
    <text>Habitacion doble para trabajadores cant 1 Costo 60€/noche
Habitacion triple para trabajadores cant 3 Costo 75€/noche cada una
(camas separadas)</text>
  </threadedComment>
  <threadedComment ref="F1356" dT="2025-03-19T10:41:19.83" personId="{98986A2A-739A-4851-A979-4B0D560C46CD}" id="{ECBFF313-5EE2-46CA-B865-EF898A1EDE36}">
    <text>04 camas</text>
  </threadedComment>
  <threadedComment ref="F1357" dT="2025-02-13T10:05:11.33" personId="{17D30B62-2123-41F1-B603-E5411FDFA3E0}" id="{755583FA-0EF9-4CD9-9774-B4D02E4EFBEB}">
    <text>Habitacion doble para trabajadores cant 1 Costo 60€/noche
Habitacion triple para trabajadores cant 3 Costo 75€/noche cada una
(camas separadas)</text>
  </threadedComment>
  <threadedComment ref="F1358" dT="2025-02-13T10:05:11.33" personId="{17D30B62-2123-41F1-B603-E5411FDFA3E0}" id="{D207F806-D9ED-4B22-9241-5B53EBDF6B76}">
    <text>Habitacion doble para trabajadores cant 1 Costo 60€/noche
Habitacion triple para trabajadores cant 3 Costo 75€/noche cada una
(camas separadas)</text>
  </threadedComment>
  <threadedComment ref="F1360" dT="2025-02-13T10:05:11.33" personId="{17D30B62-2123-41F1-B603-E5411FDFA3E0}" id="{48159CE6-4979-4243-AF84-6068592AEE50}">
    <text>Habitacion doble para trabajadores cant 1 Costo 60€/noche
Habitacion triple para trabajadores cant 3 Costo 75€/noche cada una
(camas separadas)</text>
  </threadedComment>
  <threadedComment ref="F1362" dT="2025-02-13T10:05:11.33" personId="{17D30B62-2123-41F1-B603-E5411FDFA3E0}" id="{C14BE90D-7217-42F8-8885-3FA432B05650}">
    <text>Habitacion doble para trabajadores cant 1 Costo 60€/noche
Habitacion triple para trabajadores cant 3 Costo 75€/noche cada una
(camas separadas)</text>
  </threadedComment>
  <threadedComment ref="F1363" dT="2024-08-19T11:47:23.13" personId="{98986A2A-739A-4851-A979-4B0D560C46CD}" id="{3EC81440-98BE-407E-B252-BD65F43F843A}">
    <text>4 camas</text>
  </threadedComment>
  <threadedComment ref="F1364" dT="2025-02-13T10:05:11.33" personId="{17D30B62-2123-41F1-B603-E5411FDFA3E0}" id="{2E16DED0-B776-4A02-B4EF-24BDF34581F8}">
    <text>Habitacion doble para trabajadores cant 1 Costo 60€/noche
Habitacion triple para trabajadores cant 3 Costo 75€/noche cada una
(camas separadas)</text>
  </threadedComment>
  <threadedComment ref="F1365" dT="2025-02-13T10:05:11.33" personId="{17D30B62-2123-41F1-B603-E5411FDFA3E0}" id="{E944F237-10FE-4AAD-A60F-5797791FCECE}">
    <text>Habitacion doble para trabajadores cant 1 Costo 60€/noche
Habitacion triple para trabajadores cant 3 Costo 75€/noche cada una
(camas separadas)</text>
  </threadedComment>
  <threadedComment ref="F1366" dT="2025-02-13T10:05:11.33" personId="{17D30B62-2123-41F1-B603-E5411FDFA3E0}" id="{E30BF3BA-813D-4008-B24A-274755800B94}">
    <text>Habitacion doble para trabajadores cant 1 Costo 60€/noche
Habitacion triple para trabajadores cant 3 Costo 75€/noche cada una
(camas separadas)</text>
  </threadedComment>
  <threadedComment ref="F1367" dT="2025-02-13T10:05:11.33" personId="{17D30B62-2123-41F1-B603-E5411FDFA3E0}" id="{9C8F57EE-B72C-4380-84A9-78250829298D}">
    <text>Habitacion doble para trabajadores cant 1 Costo 60€/noche
Habitacion triple para trabajadores cant 3 Costo 75€/noche cada una
(camas separadas)</text>
  </threadedComment>
  <threadedComment ref="F1368" dT="2025-02-13T10:05:11.33" personId="{17D30B62-2123-41F1-B603-E5411FDFA3E0}" id="{0624B878-39A5-48D7-A83E-C4CBE7C4C58A}">
    <text>Habitacion doble para trabajadores cant 1 Costo 60€/noche
Habitacion triple para trabajadores cant 3 Costo 75€/noche cada una
(camas separadas)</text>
  </threadedComment>
  <threadedComment ref="F1369" dT="2025-04-10T09:10:31.11" personId="{17D30B62-2123-41F1-B603-E5411FDFA3E0}" id="{DF96C836-EC1B-4C39-BC13-A47166749C9A}">
    <text>260€ Cada Habitación, Fianza de 400€</text>
  </threadedComment>
  <threadedComment ref="F1370" dT="2025-02-13T10:05:11.33" personId="{17D30B62-2123-41F1-B603-E5411FDFA3E0}" id="{D50575BD-A812-4DFB-B3E5-B65845AB7EEE}">
    <text>Habitacion doble para trabajadores cant 1 Costo 60€/noche
Habitacion triple para trabajadores cant 3 Costo 75€/noche cada una
(camas separadas)</text>
  </threadedComment>
  <threadedComment ref="F1371" dT="2025-02-24T10:19:28.57" personId="{98986A2A-739A-4851-A979-4B0D560C46CD}" id="{756EA00A-2CED-4CF2-967E-546BBC79938A}">
    <text>06 camas</text>
  </threadedComment>
  <threadedComment ref="F1374" dT="2025-02-13T10:05:11.33" personId="{17D30B62-2123-41F1-B603-E5411FDFA3E0}" id="{8DD1601C-D040-4235-AC69-61A3CE1772B4}">
    <text>Habitacion doble para trabajadores cant 1 Costo 60€/noche
Habitacion triple para trabajadores cant 3 Costo 75€/noche cada una
(camas separadas)</text>
  </threadedComment>
  <threadedComment ref="F1375" dT="2025-02-13T10:05:11.33" personId="{17D30B62-2123-41F1-B603-E5411FDFA3E0}" id="{913A6EF8-FE47-4F5F-A47B-6B272AF9BEBD}">
    <text>Habitacion doble para trabajadores cant 1 Costo 60€/noche
Habitacion triple para trabajadores cant 3 Costo 75€/noche cada una
(camas separadas)</text>
  </threadedComment>
  <threadedComment ref="F1376" dT="2024-08-06T14:12:58.54" personId="{8BEA8CB1-BB33-44FC-A791-4439DE945680}" id="{3F061BA6-5929-4575-897C-D7570F5DE5F8}">
    <text>Alquiler 1700, fianza 1700 6 CAMAS</text>
  </threadedComment>
  <threadedComment ref="F1376" dT="2025-01-16T18:23:38.41" personId="{98986A2A-739A-4851-A979-4B0D560C46CD}" id="{C98F7D18-93AC-46E1-A17F-C7CDEB5680E0}" parentId="{3F061BA6-5929-4575-897C-D7570F5DE5F8}">
    <text>5 habitaciones</text>
  </threadedComment>
  <threadedComment ref="F1377" dT="2025-02-13T10:05:11.33" personId="{17D30B62-2123-41F1-B603-E5411FDFA3E0}" id="{CE5401E8-7444-43A8-A72F-D9B08A0D841B}">
    <text>Habitacion doble para trabajadores cant 1 Costo 60€/noche
Habitacion triple para trabajadores cant 3 Costo 75€/noche cada una
(camas separadas)</text>
  </threadedComment>
  <threadedComment ref="F1378" dT="2025-03-14T11:47:25.74" personId="{17D30B62-2123-41F1-B603-E5411FDFA3E0}" id="{C2A9EBDB-86C8-4349-AC68-95698609E271}">
    <text>Alquiler 1250 +200 de Fianza</text>
  </threadedComment>
  <threadedComment ref="F1379" dT="2025-02-13T10:05:11.33" personId="{17D30B62-2123-41F1-B603-E5411FDFA3E0}" id="{2694DD95-5B89-4AED-99FF-2C50D40C5FF1}">
    <text>Habitacion doble para trabajadores cant 1 Costo 60€/noche
Habitacion triple para trabajadores cant 3 Costo 75€/noche cada una
(camas separadas)</text>
  </threadedComment>
  <threadedComment ref="F1380" dT="2025-02-13T10:05:11.33" personId="{17D30B62-2123-41F1-B603-E5411FDFA3E0}" id="{CEE61A6F-87CE-44BA-A32F-943CD1520DCA}">
    <text>1650€/Alquiler
1650€/Fianza
5 camas</text>
  </threadedComment>
  <threadedComment ref="F1381" dT="2025-02-13T10:05:11.33" personId="{17D30B62-2123-41F1-B603-E5411FDFA3E0}" id="{04935F19-7D3B-476E-8561-97178A988304}">
    <text>Habitacion doble para trabajadores cant 1 Costo 60€/noche
Habitacion triple para trabajadores cant 3 Costo 75€/noche cada una
(camas separadas)</text>
  </threadedComment>
  <threadedComment ref="F1382" dT="2025-02-25T17:38:25.86" personId="{98986A2A-739A-4851-A979-4B0D560C46CD}" id="{A3B7FA66-287C-4BCF-AF43-8386D4F83DF7}">
    <text xml:space="preserve">Alquiler 1600 Fianza 1600 camas 5
</text>
  </threadedComment>
  <threadedComment ref="F1383" dT="2025-02-13T10:05:11.33" personId="{17D30B62-2123-41F1-B603-E5411FDFA3E0}" id="{BD76CC1A-5F92-457B-8606-218778F0EAE9}">
    <text>Habitacion doble para trabajadores cant 1 Costo 60€/noche
Habitacion triple para trabajadores cant 3 Costo 75€/noche cada una
(camas separadas)</text>
  </threadedComment>
  <threadedComment ref="F1384" dT="2025-02-13T10:05:11.33" personId="{17D30B62-2123-41F1-B603-E5411FDFA3E0}" id="{4101EBD3-B285-4C81-97C8-61BEE157F9AA}">
    <text>Habitacion doble para trabajadores cant 1 Costo 60€/noche
Habitacion triple para trabajadores cant 3 Costo 75€/noche cada una
(camas separadas)</text>
  </threadedComment>
  <threadedComment ref="F1385" dT="2025-02-13T10:05:11.33" personId="{17D30B62-2123-41F1-B603-E5411FDFA3E0}" id="{E7D77660-A4ED-42E0-94C5-21CCD8113A0B}">
    <text>Habitacion doble para trabajadores cant 1 Costo 60€/noche
Habitacion triple para trabajadores cant 3 Costo 75€/noche cada una
(camas separadas)</text>
  </threadedComment>
  <threadedComment ref="F1386" dT="2025-02-13T10:05:11.33" personId="{17D30B62-2123-41F1-B603-E5411FDFA3E0}" id="{3BAC0E79-842A-4912-98D3-FFF826315D05}">
    <text>Habitacion doble para trabajadores cant 1 Costo 60€/noche
Habitacion triple para trabajadores cant 3 Costo 75€/noche cada una
(camas separadas)</text>
  </threadedComment>
  <threadedComment ref="F1387" dT="2025-02-24T10:19:28.57" personId="{98986A2A-739A-4851-A979-4B0D560C46CD}" id="{8B5738DF-033A-4CFD-B1B5-5B87CDCF233E}">
    <text>06 camas</text>
  </threadedComment>
  <threadedComment ref="G1387" dT="2025-02-24T10:19:28.57" personId="{98986A2A-739A-4851-A979-4B0D560C46CD}" id="{FB9BBE20-3567-4874-817D-E8ACB0CD2778}">
    <text>06 camas</text>
  </threadedComment>
  <threadedComment ref="F1388" dT="2025-02-13T10:05:11.33" personId="{17D30B62-2123-41F1-B603-E5411FDFA3E0}" id="{C945E498-EE43-421A-BB29-E9D2CA3E1E73}">
    <text>Habitacion doble para trabajadores cant 1 Costo 60€/noche
Habitacion triple para trabajadores cant 3 Costo 75€/noche cada una
(camas separadas)</text>
  </threadedComment>
  <threadedComment ref="F1389" dT="2025-02-13T10:05:11.33" personId="{17D30B62-2123-41F1-B603-E5411FDFA3E0}" id="{84A67600-E9B0-4124-8CA5-BE99830BC1DA}">
    <text>Habitacion doble para trabajadores cant 1 Costo 60€/noche
Habitacion triple para trabajadores cant 3 Costo 75€/noche cada una
(camas separadas)</text>
  </threadedComment>
  <threadedComment ref="F1390" dT="2025-02-13T10:05:11.33" personId="{17D30B62-2123-41F1-B603-E5411FDFA3E0}" id="{45AE78F3-297A-418A-B938-12DC65D1D277}">
    <text>Habitacion doble para trabajadores cant 1 Costo 60€/noche
Habitacion triple para trabajadores cant 3 Costo 75€/noche cada una
(camas separadas)</text>
  </threadedComment>
  <threadedComment ref="F1391" dT="2025-02-13T10:05:11.33" personId="{17D30B62-2123-41F1-B603-E5411FDFA3E0}" id="{4AD6C1FA-F0A5-4882-ADC3-8F37F5E34FA6}">
    <text>Habitacion doble para trabajadores cant 1 Costo 60€/noche
Habitacion triple para trabajadores cant 3 Costo 75€/noche cada una
(camas separadas)</text>
  </threadedComment>
  <threadedComment ref="F1392" dT="2025-02-13T10:05:11.33" personId="{17D30B62-2123-41F1-B603-E5411FDFA3E0}" id="{ED29CE68-64DE-4F4B-8F71-D033F4B7C509}">
    <text>Habitacion doble para trabajadores cant 1 Costo 60€/noche
Habitacion triple para trabajadores cant 3 Costo 75€/noche cada una
(camas separadas)</text>
  </threadedComment>
  <threadedComment ref="F1393" dT="2025-02-24T10:19:28.57" personId="{98986A2A-739A-4851-A979-4B0D560C46CD}" id="{9CFA106A-B879-45C0-B2A6-6CFE11A9CD8C}">
    <text>06 camas</text>
  </threadedComment>
  <threadedComment ref="F1395" dT="2025-02-13T10:05:11.33" personId="{17D30B62-2123-41F1-B603-E5411FDFA3E0}" id="{0BCFE751-CBAE-49CE-A024-208AB52197D6}">
    <text>Habitacion doble para trabajadores cant 1 Costo 60€/noche
Habitacion triple para trabajadores cant 3 Costo 75€/noche cada una
(camas separadas)</text>
  </threadedComment>
  <threadedComment ref="F1396" dT="2025-02-13T10:05:11.33" personId="{17D30B62-2123-41F1-B603-E5411FDFA3E0}" id="{704D32EE-9EEE-43EB-8AB1-64E568860AE8}">
    <text>Habitacion doble para trabajadores cant 1 Costo 60€/noche
Habitacion triple para trabajadores cant 3 Costo 75€/noche cada una
(camas separadas)</text>
  </threadedComment>
  <threadedComment ref="F1397" dT="2025-02-13T10:05:11.33" personId="{17D30B62-2123-41F1-B603-E5411FDFA3E0}" id="{63698114-D6A6-49FB-B6B8-6BBF2C30DE0C}">
    <text>1650€/Alquiler
1650€/Fianza
5 camas</text>
  </threadedComment>
  <threadedComment ref="F1398" dT="2025-02-13T10:05:11.33" personId="{17D30B62-2123-41F1-B603-E5411FDFA3E0}" id="{054B90A4-438C-4A51-B28C-0EEA8A5AB378}">
    <text>Habitacion doble para trabajadores cant 1 Costo 60€/noche
Habitacion triple para trabajadores cant 3 Costo 75€/noche cada una
(camas separadas)</text>
  </threadedComment>
  <threadedComment ref="F1399" dT="2025-02-13T10:05:11.33" personId="{17D30B62-2123-41F1-B603-E5411FDFA3E0}" id="{47461028-3755-4277-BA45-96769ED6565B}">
    <text>Habitacion doble para trabajadores cant 1 Costo 60€/noche
Habitacion triple para trabajadores cant 3 Costo 75€/noche cada una
(camas separadas)</text>
  </threadedComment>
  <threadedComment ref="F1400" dT="2024-08-06T14:12:58.54" personId="{8BEA8CB1-BB33-44FC-A791-4439DE945680}" id="{AA9419C9-4AF2-478B-9111-9B778E79BFDA}">
    <text>Alquiler 1700, fianza 1700 6 CAMAS</text>
  </threadedComment>
  <threadedComment ref="F1400" dT="2025-01-16T18:23:38.41" personId="{98986A2A-739A-4851-A979-4B0D560C46CD}" id="{BF460446-4164-4B8E-8717-6851522893A9}" parentId="{AA9419C9-4AF2-478B-9111-9B778E79BFDA}">
    <text>5 habitaciones</text>
  </threadedComment>
  <threadedComment ref="F1401" dT="2025-02-13T10:05:11.33" personId="{17D30B62-2123-41F1-B603-E5411FDFA3E0}" id="{FA25CD6D-E314-47A8-B71A-4CF4B37116C9}">
    <text>Habitacion doble para trabajadores cant 1 Costo 60€/noche
Habitacion triple para trabajadores cant 3 Costo 75€/noche cada una
(camas separadas)</text>
  </threadedComment>
  <threadedComment ref="F1402" dT="2025-02-13T10:05:11.33" personId="{17D30B62-2123-41F1-B603-E5411FDFA3E0}" id="{68D8A8AE-506A-45B0-A5D3-5140E5198EB2}">
    <text>Habitacion doble para trabajadores cant 1 Costo 60€/noche
Habitacion triple para trabajadores cant 3 Costo 75€/noche cada una
(camas separadas)</text>
  </threadedComment>
  <threadedComment ref="F1403" dT="2025-02-13T10:05:11.33" personId="{17D30B62-2123-41F1-B603-E5411FDFA3E0}" id="{63B366F2-5D4D-4444-A04A-1D20E1522185}">
    <text>Habitacion doble para trabajadores cant 1 Costo 60€/noche
Habitacion triple para trabajadores cant 3 Costo 75€/noche cada una
(camas separadas)</text>
  </threadedComment>
  <threadedComment ref="F1404" dT="2025-02-13T10:05:11.33" personId="{17D30B62-2123-41F1-B603-E5411FDFA3E0}" id="{9FE1F1E0-712F-42A1-9D13-6E35FF01BE4D}">
    <text>Habitacion doble para trabajadores cant 1 Costo 60€/noche
Habitacion triple para trabajadores cant 3 Costo 75€/noche cada una
(camas separadas)</text>
  </threadedComment>
  <threadedComment ref="F1405" dT="2025-03-14T11:47:25.74" personId="{17D30B62-2123-41F1-B603-E5411FDFA3E0}" id="{5DF376C3-2E98-420E-A943-83251C699888}">
    <text>Alquiler 1250 +200 de Fianza</text>
  </threadedComment>
  <threadedComment ref="F1407" dT="2025-02-13T10:05:11.33" personId="{17D30B62-2123-41F1-B603-E5411FDFA3E0}" id="{42512DA5-4F50-4E97-B9A3-5212ACB60549}">
    <text>Habitacion doble para trabajadores cant 1 Costo 60€/noche
Habitacion triple para trabajadores cant 3 Costo 75€/noche cada una
(camas separadas)</text>
  </threadedComment>
  <threadedComment ref="F1408" dT="2025-02-13T10:05:11.33" personId="{17D30B62-2123-41F1-B603-E5411FDFA3E0}" id="{B87A2907-7A1B-4E28-87B1-9A099AEA5217}">
    <text>Habitacion doble para trabajadores cant 1 Costo 60€/noche
Habitacion triple para trabajadores cant 3 Costo 75€/noche cada una
(camas separadas)</text>
  </threadedComment>
  <threadedComment ref="F1409" dT="2025-02-13T10:05:11.33" personId="{17D30B62-2123-41F1-B603-E5411FDFA3E0}" id="{0174C341-52EF-4666-97DF-3EF0D417FBF0}">
    <text>Habitacion doble para trabajadores cant 1 Costo 60€/noche
Habitacion triple para trabajadores cant 3 Costo 75€/noche cada una
(camas separadas)</text>
  </threadedComment>
  <threadedComment ref="F1410" dT="2025-02-13T10:05:11.33" personId="{17D30B62-2123-41F1-B603-E5411FDFA3E0}" id="{D8CB6A56-F92F-4F82-87B2-484747D2025C}">
    <text>Habitacion doble para trabajadores cant 1 Costo 60€/noche
Habitacion triple para trabajadores cant 3 Costo 75€/noche cada una
(camas separadas)</text>
  </threadedComment>
  <threadedComment ref="F1411" dT="2024-08-19T11:49:32.68" personId="{98986A2A-739A-4851-A979-4B0D560C46CD}" id="{EAA0A7B4-1B41-4B06-A031-FF673FF363CD}">
    <text xml:space="preserve">04 CAMAS, ALQUILER 1080, SIN FIANZA
</text>
  </threadedComment>
  <threadedComment ref="F1412" dT="2025-02-13T10:05:11.33" personId="{17D30B62-2123-41F1-B603-E5411FDFA3E0}" id="{9C58D189-AD7A-4CFA-B31F-E3A5A9219965}">
    <text>Habitacion doble para trabajadores cant 1 Costo 60€/noche
Habitacion triple para trabajadores cant 3 Costo 75€/noche cada una
(camas separadas)</text>
  </threadedComment>
  <threadedComment ref="F1413" dT="2025-02-13T10:05:11.33" personId="{17D30B62-2123-41F1-B603-E5411FDFA3E0}" id="{67942E92-E6A6-430B-822A-2FF93D4E23A8}">
    <text>Habitacion doble para trabajadores cant 1 Costo 60€/noche
Habitacion triple para trabajadores cant 3 Costo 75€/noche cada una
(camas separadas)</text>
  </threadedComment>
  <threadedComment ref="F1414" dT="2025-02-13T10:05:11.33" personId="{17D30B62-2123-41F1-B603-E5411FDFA3E0}" id="{EA41F480-8AF3-4C39-8FB9-84339D9F5885}">
    <text>Habitacion doble para trabajadores cant 1 Costo 60€/noche
Habitacion triple para trabajadores cant 3 Costo 75€/noche cada una
(camas separadas)</text>
  </threadedComment>
  <threadedComment ref="F1415" dT="2025-02-13T10:05:11.33" personId="{17D30B62-2123-41F1-B603-E5411FDFA3E0}" id="{FE51A6CC-AA93-41AD-BE63-8D026F7DC5B6}">
    <text>Habitacion doble para trabajadores cant 1 Costo 60€/noche
Habitacion triple para trabajadores cant 3 Costo 75€/noche cada una
(camas separadas)</text>
  </threadedComment>
  <threadedComment ref="F1417" dT="2025-02-13T10:05:11.33" personId="{17D30B62-2123-41F1-B603-E5411FDFA3E0}" id="{B6321A92-951F-4DD0-B04C-1B70666D3680}">
    <text>Habitacion doble para trabajadores cant 1 Costo 60€/noche
Habitacion triple para trabajadores cant 3 Costo 75€/noche cada una
(camas separadas)</text>
  </threadedComment>
  <threadedComment ref="F1420" dT="2024-11-07T11:33:47.80" personId="{17D30B62-2123-41F1-B603-E5411FDFA3E0}" id="{67389EE6-DCCB-4A73-85F9-0DEDB4A66851}">
    <text>Alquiler 2870 Fianza 1435 camas 8</text>
  </threadedComment>
  <threadedComment ref="Y1420" dT="2024-08-12T06:19:55.68" personId="{8BEA8CB1-BB33-44FC-A791-4439DE945680}" id="{B4731B14-4858-4CDA-8EB8-64BA0DAC2CB7}">
    <text>ALQUILER  1500    FIANZA     3000   CAMAS 9</text>
  </threadedComment>
  <threadedComment ref="F1421" dT="2025-03-03T09:04:07.99" personId="{17D30B62-2123-41F1-B603-E5411FDFA3E0}" id="{630E112C-3424-4B1F-BB3B-C689C7955F83}">
    <text>4 Habitaciones Alquiler 810€/mes
Fianza 900€ Suministros 33,28€</text>
  </threadedComment>
  <threadedComment ref="F1422" dT="2025-02-13T10:05:11.33" personId="{17D30B62-2123-41F1-B603-E5411FDFA3E0}" id="{3AE8ACC1-2466-401F-A356-62A71F8416CC}">
    <text>1650€/Alquiler
1650€/Fianza
5 camas</text>
  </threadedComment>
  <threadedComment ref="F1423" dT="2025-02-13T10:05:11.33" personId="{17D30B62-2123-41F1-B603-E5411FDFA3E0}" id="{383DDF88-109E-48E4-8A60-6578D2C14AA2}">
    <text>Habitacion doble para trabajadores cant 1 Costo 60€/noche
Habitacion triple para trabajadores cant 3 Costo 75€/noche cada una
(camas separadas)</text>
  </threadedComment>
  <threadedComment ref="Y1423" dT="2024-05-29T14:29:10.89" personId="{98986A2A-739A-4851-A979-4B0D560C46CD}" id="{82C2BA3B-C386-4F64-874F-C892B20E894B}">
    <text xml:space="preserve">Alquiler 1300
</text>
  </threadedComment>
  <threadedComment ref="F1424" dT="2025-02-13T10:05:11.33" personId="{17D30B62-2123-41F1-B603-E5411FDFA3E0}" id="{C1BD06E2-3CB7-408A-812F-CBD4AE361ABC}">
    <text>Habitacion doble para trabajadores cant 1 Costo 60€/noche
Habitacion triple para trabajadores cant 3 Costo 75€/noche cada una
(camas separadas)</text>
  </threadedComment>
  <threadedComment ref="F1425" dT="2025-02-13T10:05:11.33" personId="{17D30B62-2123-41F1-B603-E5411FDFA3E0}" id="{2DBB4FE4-FE0E-4D25-8448-FF5CF02BE937}">
    <text>Habitacion doble para trabajadores cant 1 Costo 60€/noche
Habitacion triple para trabajadores cant 3 Costo 75€/noche cada una
(camas separadas)</text>
  </threadedComment>
  <threadedComment ref="F1426" dT="2025-02-13T10:05:11.33" personId="{17D30B62-2123-41F1-B603-E5411FDFA3E0}" id="{939E08BE-3069-4838-A3BC-288322A203A8}">
    <text>Habitacion doble para trabajadores cant 1 Costo 60€/noche
Habitacion triple para trabajadores cant 3 Costo 75€/noche cada una
(camas separadas)</text>
  </threadedComment>
  <threadedComment ref="F1427" dT="2025-02-13T10:05:11.33" personId="{17D30B62-2123-41F1-B603-E5411FDFA3E0}" id="{F2360E07-2066-4FFD-8CCF-B3D2830FD50E}">
    <text>Habitacion doble para trabajadores cant 1 Costo 60€/noche
Habitacion triple para trabajadores cant 3 Costo 75€/noche cada una
(camas separadas)</text>
  </threadedComment>
  <threadedComment ref="F1428" dT="2025-02-13T10:05:11.33" personId="{17D30B62-2123-41F1-B603-E5411FDFA3E0}" id="{3133C543-D07E-440F-887B-0D6DF171678A}">
    <text>Habitacion doble para trabajadores cant 1 Costo 60€/noche
Habitacion triple para trabajadores cant 3 Costo 75€/noche cada una
(camas separadas)</text>
  </threadedComment>
  <threadedComment ref="F1429" dT="2025-02-13T10:05:11.33" personId="{17D30B62-2123-41F1-B603-E5411FDFA3E0}" id="{76DE0C8B-4BCF-4D5A-9DCD-4CAD5C7FF64C}">
    <text>Habitacion doble para trabajadores cant 1 Costo 60€/noche
Habitacion triple para trabajadores cant 3 Costo 75€/noche cada una
(camas separadas)</text>
  </threadedComment>
  <threadedComment ref="F1430" dT="2025-02-13T10:05:11.33" personId="{17D30B62-2123-41F1-B603-E5411FDFA3E0}" id="{E5FC370B-756B-41CA-81D7-79706CF6A887}">
    <text>Habitacion doble para trabajadores cant 1 Costo 60€/noche
Habitacion triple para trabajadores cant 3 Costo 75€/noche cada una
(camas separadas)</text>
  </threadedComment>
  <threadedComment ref="F1431" dT="2025-02-13T10:05:11.33" personId="{17D30B62-2123-41F1-B603-E5411FDFA3E0}" id="{8CAFB39F-CF81-45C3-885F-A320BBE4CC96}">
    <text>Habitacion doble para trabajadores cant 1 Costo 60€/noche
Habitacion triple para trabajadores cant 3 Costo 75€/noche cada una
(camas separadas)</text>
  </threadedComment>
  <threadedComment ref="F1432" dT="2025-02-13T10:05:11.33" personId="{17D30B62-2123-41F1-B603-E5411FDFA3E0}" id="{20E37C0C-8BA9-46E5-987A-4CA0B70BF1DD}">
    <text>Habitacion doble para trabajadores cant 1 Costo 60€/noche
Habitacion triple para trabajadores cant 3 Costo 75€/noche cada una
(camas separadas)</text>
  </threadedComment>
  <threadedComment ref="F1433" dT="2025-02-13T10:05:11.33" personId="{17D30B62-2123-41F1-B603-E5411FDFA3E0}" id="{A87A6CF1-DCCC-4B44-B6FC-F315FAD55B71}">
    <text>Habitacion doble para trabajadores cant 1 Costo 60€/noche
Habitacion triple para trabajadores cant 3 Costo 75€/noche cada una
(camas separadas)</text>
  </threadedComment>
  <threadedComment ref="F1434" dT="2025-02-13T10:05:11.33" personId="{17D30B62-2123-41F1-B603-E5411FDFA3E0}" id="{654210B8-B6B1-46D1-B1E6-08626E9212CA}">
    <text>Habitacion doble para trabajadores cant 1 Costo 60€/noche
Habitacion triple para trabajadores cant 3 Costo 75€/noche cada una
(camas separadas)</text>
  </threadedComment>
  <threadedComment ref="F1435" dT="2025-02-13T10:05:11.33" personId="{17D30B62-2123-41F1-B603-E5411FDFA3E0}" id="{35E3681A-33FC-424F-914E-0E34F8D7685D}">
    <text>Habitacion doble para trabajadores cant 1 Costo 60€/noche
Habitacion triple para trabajadores cant 3 Costo 75€/noche cada una
(camas separadas)</text>
  </threadedComment>
  <threadedComment ref="F1436" dT="2025-02-13T10:05:11.33" personId="{17D30B62-2123-41F1-B603-E5411FDFA3E0}" id="{0CF9E612-CB8B-486C-9E43-F84C0F71C355}">
    <text>Habitacion doble para trabajadores cant 1 Costo 60€/noche
Habitacion triple para trabajadores cant 3 Costo 75€/noche cada una
(camas separadas)</text>
  </threadedComment>
  <threadedComment ref="F1437" dT="2025-03-14T11:47:25.74" personId="{17D30B62-2123-41F1-B603-E5411FDFA3E0}" id="{A82CCCD6-8E98-48A9-8EB4-F9D8E4561240}">
    <text>Alquiler 1250 +200 de Fianza</text>
  </threadedComment>
  <threadedComment ref="F1438" dT="2025-02-13T10:05:11.33" personId="{17D30B62-2123-41F1-B603-E5411FDFA3E0}" id="{5ED15336-ECA7-4902-8416-8E7A9C629098}">
    <text>Habitacion doble para trabajadores cant 1 Costo 60€/noche
Habitacion triple para trabajadores cant 3 Costo 75€/noche cada una
(camas separadas)</text>
  </threadedComment>
  <threadedComment ref="F1439" dT="2025-03-14T11:47:25.74" personId="{17D30B62-2123-41F1-B603-E5411FDFA3E0}" id="{35E4B9DC-9DA8-4E71-8122-8485306B4277}">
    <text>Alquiler 1250 +200 de Fianza</text>
  </threadedComment>
  <threadedComment ref="F1440" dT="2025-02-13T10:05:11.33" personId="{17D30B62-2123-41F1-B603-E5411FDFA3E0}" id="{CD762F21-DAD1-48C0-8925-9206B227449E}">
    <text>Habitacion doble para trabajadores cant 1 Costo 60€/noche
Habitacion triple para trabajadores cant 3 Costo 75€/noche cada una
(camas separadas)</text>
  </threadedComment>
  <threadedComment ref="F1441" dT="2025-03-14T11:47:25.74" personId="{17D30B62-2123-41F1-B603-E5411FDFA3E0}" id="{ACA7F3FE-855B-4C09-BA72-A922D0A5A1E3}">
    <text>Alquiler 1250 +200 de Fianza</text>
  </threadedComment>
  <threadedComment ref="F1442" dT="2025-02-13T10:05:11.33" personId="{17D30B62-2123-41F1-B603-E5411FDFA3E0}" id="{2D4DCFF2-F79A-4620-BC16-9C5C835BC908}">
    <text>Habitacion doble para trabajadores cant 1 Costo 60€/noche
Habitacion triple para trabajadores cant 3 Costo 75€/noche cada una
(camas separadas)</text>
  </threadedComment>
  <threadedComment ref="Y1442" dT="2024-08-12T06:19:55.68" personId="{8BEA8CB1-BB33-44FC-A791-4439DE945680}" id="{EA3506EB-AA9B-4D93-826D-3EE35D41E145}">
    <text>ALQUILER  1500    FIANZA     3000   CAMAS 9</text>
  </threadedComment>
  <threadedComment ref="F1443" dT="2025-02-13T10:05:11.33" personId="{17D30B62-2123-41F1-B603-E5411FDFA3E0}" id="{15817355-7B14-4963-80F4-CAEB15A489AB}">
    <text>Habitacion doble para trabajadores cant 1 Costo 60€/noche
Habitacion triple para trabajadores cant 3 Costo 75€/noche cada una
(camas separadas)</text>
  </threadedComment>
  <threadedComment ref="F1444" dT="2025-02-13T10:05:11.33" personId="{17D30B62-2123-41F1-B603-E5411FDFA3E0}" id="{6E6620D8-241E-4DF1-AC5C-342AEB973803}">
    <text xml:space="preserve">695€Alquiler
695€ Fianza
4 camas </text>
  </threadedComment>
  <threadedComment ref="F1445" dT="2025-02-13T10:05:11.33" personId="{17D30B62-2123-41F1-B603-E5411FDFA3E0}" id="{B6977672-0AF6-4569-94EE-AAF4915F18F3}">
    <text>Habitacion doble para trabajadores cant 1 Costo 60€/noche
Habitacion triple para trabajadores cant 3 Costo 75€/noche cada una
(camas separadas)</text>
  </threadedComment>
  <threadedComment ref="F1446" dT="2025-02-13T10:05:11.33" personId="{17D30B62-2123-41F1-B603-E5411FDFA3E0}" id="{3AE6D3CB-8D3C-4E2F-99C5-9BF680A53BD1}">
    <text>Habitacion doble para trabajadores cant 1 Costo 60€/noche
Habitacion triple para trabajadores cant 3 Costo 75€/noche cada una
(camas separadas)</text>
  </threadedComment>
  <threadedComment ref="F1448" dT="2025-02-13T10:05:11.33" personId="{17D30B62-2123-41F1-B603-E5411FDFA3E0}" id="{DA0AEDA3-BDA8-47F4-AB5C-65D6B6EDB2B7}">
    <text>Habitacion doble para trabajadores cant 1 Costo 60€/noche
Habitacion triple para trabajadores cant 3 Costo 75€/noche cada una
(camas separadas)</text>
  </threadedComment>
  <threadedComment ref="F1450" dT="2025-02-13T10:05:11.33" personId="{17D30B62-2123-41F1-B603-E5411FDFA3E0}" id="{A3118DBB-12A8-48CB-AF05-1E4AED7F0A34}">
    <text>Habitacion doble para trabajadores cant 1 Costo 60€/noche
Habitacion triple para trabajadores cant 3 Costo 75€/noche cada una
(camas separadas)</text>
  </threadedComment>
  <threadedComment ref="F1451" dT="2025-02-13T10:05:11.33" personId="{17D30B62-2123-41F1-B603-E5411FDFA3E0}" id="{94552C91-B8CE-43EB-88DF-8895BBE69725}">
    <text>Habitacion doble para trabajadores cant 1 Costo 60€/noche
Habitacion triple para trabajadores cant 3 Costo 75€/noche cada una
(camas separadas)</text>
  </threadedComment>
  <threadedComment ref="F1453" dT="2025-02-13T10:05:11.33" personId="{17D30B62-2123-41F1-B603-E5411FDFA3E0}" id="{38D9B583-7B20-4E3B-854E-EE88176422C2}">
    <text>Habitacion doble para trabajadores cant 1 Costo 60€/noche
Habitacion triple para trabajadores cant 3 Costo 75€/noche cada una
(camas separadas)</text>
  </threadedComment>
  <threadedComment ref="F1454" dT="2025-03-04T16:46:23.56" personId="{98986A2A-739A-4851-A979-4B0D560C46CD}" id="{7AC57825-2B56-4101-BC32-629873C17BB2}">
    <text>05 CAMAS, 1580€ ALQUILER, 1580€ FIANZA</text>
  </threadedComment>
  <threadedComment ref="F1455" dT="2025-02-24T10:19:28.57" personId="{98986A2A-739A-4851-A979-4B0D560C46CD}" id="{6F63F70D-4F18-49F0-8EE5-99AEF6B31002}">
    <text>06 camas</text>
  </threadedComment>
  <threadedComment ref="F1457" dT="2025-02-13T10:05:11.33" personId="{17D30B62-2123-41F1-B603-E5411FDFA3E0}" id="{3B6076BD-8761-484A-AE03-634ED914D047}">
    <text>Habitacion doble para trabajadores cant 1 Costo 60€/noche
Habitacion triple para trabajadores cant 3 Costo 75€/noche cada una
(camas separadas)</text>
  </threadedComment>
  <threadedComment ref="F1458" dT="2025-02-13T10:05:11.33" personId="{17D30B62-2123-41F1-B603-E5411FDFA3E0}" id="{A39C26B6-4A22-481B-B94F-947289CFB1D1}">
    <text>Habitacion doble para trabajadores cant 1 Costo 60€/noche
Habitacion triple para trabajadores cant 3 Costo 75€/noche cada una
(camas separadas)</text>
  </threadedComment>
  <threadedComment ref="F1459" dT="2025-02-13T10:05:11.33" personId="{17D30B62-2123-41F1-B603-E5411FDFA3E0}" id="{AB9B27FE-58FE-4BCE-910A-5E209CAE6886}">
    <text>2 Habitaciones de 350€ y                   1 Habitación de 375€</text>
  </threadedComment>
  <threadedComment ref="F1460" dT="2025-02-13T10:05:11.33" personId="{17D30B62-2123-41F1-B603-E5411FDFA3E0}" id="{E43448F3-1743-4208-B1CB-931691BB2721}">
    <text>Habitacion doble para trabajadores cant 1 Costo 60€/noche
Habitacion triple para trabajadores cant 3 Costo 75€/noche cada una
(camas separadas)</text>
  </threadedComment>
  <threadedComment ref="F1461" dT="2025-02-13T10:05:11.33" personId="{17D30B62-2123-41F1-B603-E5411FDFA3E0}" id="{8CE4EDB0-E1CD-4F89-B19E-320529A297F1}">
    <text>Habitacion doble para trabajadores cant 1 Costo 60€/noche
Habitacion triple para trabajadores cant 3 Costo 75€/noche cada una
(camas separadas)</text>
  </threadedComment>
  <threadedComment ref="W1461" dT="2024-08-16T15:20:47.21" personId="{98986A2A-739A-4851-A979-4B0D560C46CD}" id="{D2587A8C-203A-4CF7-B865-E670DE5DF4FB}">
    <text>Fianza de nelson acosta</text>
  </threadedComment>
  <threadedComment ref="F1462" dT="2025-02-13T10:05:11.33" personId="{17D30B62-2123-41F1-B603-E5411FDFA3E0}" id="{7BFC5BEB-1A6D-488F-876B-0E35342D58A5}">
    <text>Habitacion doble para trabajadores cant 1 Costo 60€/noche
Habitacion triple para trabajadores cant 3 Costo 75€/noche cada una
(camas separadas)</text>
  </threadedComment>
  <threadedComment ref="F1463" dT="2025-02-13T10:05:11.33" personId="{17D30B62-2123-41F1-B603-E5411FDFA3E0}" id="{E529CBEF-A836-43B2-BDFC-41036C31DF22}">
    <text>Habitacion doble para trabajadores cant 1 Costo 60€/noche
Habitacion triple para trabajadores cant 3 Costo 75€/noche cada una
(camas separadas)</text>
  </threadedComment>
  <threadedComment ref="F1464" dT="2025-02-13T10:05:11.33" personId="{17D30B62-2123-41F1-B603-E5411FDFA3E0}" id="{14DC0D5D-F915-40D3-A440-7C56D15169EB}">
    <text>Habitacion doble para trabajadores cant 1 Costo 60€/noche
Habitacion triple para trabajadores cant 3 Costo 75€/noche cada una
(camas separadas)</text>
  </threadedComment>
  <threadedComment ref="F1466" dT="2024-08-19T11:47:23.13" personId="{98986A2A-739A-4851-A979-4B0D560C46CD}" id="{1EB79376-85FF-4BBF-9812-04A26D19F2FC}">
    <text>4 camas</text>
  </threadedComment>
  <threadedComment ref="F1467" dT="2025-02-13T10:05:11.33" personId="{17D30B62-2123-41F1-B603-E5411FDFA3E0}" id="{25BB0F45-758E-4317-8C2A-0013C124B0EA}">
    <text>Habitacion doble para trabajadores cant 1 Costo 60€/noche
Habitacion triple para trabajadores cant 3 Costo 75€/noche cada una
(camas separadas)</text>
  </threadedComment>
  <threadedComment ref="F1468" dT="2025-02-13T10:05:11.33" personId="{17D30B62-2123-41F1-B603-E5411FDFA3E0}" id="{BD1A0FCA-F06F-486C-A817-C07046AEA413}">
    <text>Habitacion doble para trabajadores cant 1 Costo 60€/noche
Habitacion triple para trabajadores cant 3 Costo 75€/noche cada una
(camas separadas)</text>
  </threadedComment>
  <threadedComment ref="F1469" dT="2025-02-13T10:05:11.33" personId="{17D30B62-2123-41F1-B603-E5411FDFA3E0}" id="{27F3E3A9-326C-4F56-A7EC-7C2E8F603069}">
    <text>Habitacion doble para trabajadores cant 1 Costo 60€/noche
Habitacion triple para trabajadores cant 3 Costo 75€/noche cada una
(camas separadas)</text>
  </threadedComment>
  <threadedComment ref="F1471" dT="2025-02-13T10:05:11.33" personId="{17D30B62-2123-41F1-B603-E5411FDFA3E0}" id="{74D4272F-8081-42E8-BDC4-A440EABB270B}">
    <text>Habitacion doble para trabajadores cant 1 Costo 60€/noche
Habitacion triple para trabajadores cant 3 Costo 75€/noche cada una
(camas separadas)</text>
  </threadedComment>
  <threadedComment ref="F1474" dT="2025-02-24T10:19:28.57" personId="{98986A2A-739A-4851-A979-4B0D560C46CD}" id="{4DEF9158-4DDD-45FC-8ABB-E96264924E11}">
    <text>06 camas</text>
  </threadedComment>
  <threadedComment ref="F1475" dT="2025-02-13T10:05:11.33" personId="{17D30B62-2123-41F1-B603-E5411FDFA3E0}" id="{A7CB6E0F-8D94-4B38-9FBE-296CF3BEEEA1}">
    <text>Habitacion doble para trabajadores cant 1 Costo 60€/noche
Habitacion triple para trabajadores cant 3 Costo 75€/noche cada una
(camas separadas)</text>
  </threadedComment>
  <threadedComment ref="F1476" dT="2024-08-06T14:12:58.54" personId="{8BEA8CB1-BB33-44FC-A791-4439DE945680}" id="{D3DDE10E-26B3-4550-A8C8-A3F274FEB420}">
    <text>Alquiler 1700, fianza 1700 6 CAMAS</text>
  </threadedComment>
  <threadedComment ref="F1476" dT="2025-01-16T18:23:38.41" personId="{98986A2A-739A-4851-A979-4B0D560C46CD}" id="{99A4069D-1D65-4697-ABF1-C34A531F2C48}" parentId="{D3DDE10E-26B3-4550-A8C8-A3F274FEB420}">
    <text>5 habitaciones</text>
  </threadedComment>
  <threadedComment ref="F1477" dT="2024-11-07T11:33:47.80" personId="{17D30B62-2123-41F1-B603-E5411FDFA3E0}" id="{623BD32E-BCD6-484C-B2BD-660FB9525312}">
    <text>Alquiler 2870 Fianza 1435 camas 8</text>
  </threadedComment>
  <threadedComment ref="F1478" dT="2025-02-13T10:05:11.33" personId="{17D30B62-2123-41F1-B603-E5411FDFA3E0}" id="{D6E29A97-2ABD-4854-A4B2-6DAC599F1CBB}">
    <text>Habitacion doble para trabajadores cant 1 Costo 60€/noche
Habitacion triple para trabajadores cant 3 Costo 75€/noche cada una
(camas separadas)</text>
  </threadedComment>
  <threadedComment ref="F1479" dT="2025-02-13T10:05:11.33" personId="{17D30B62-2123-41F1-B603-E5411FDFA3E0}" id="{3B898F25-3DCE-4E82-889A-CCE681047453}">
    <text>Habitacion doble para trabajadores cant 1 Costo 60€/noche
Habitacion triple para trabajadores cant 3 Costo 75€/noche cada una
(camas separadas)</text>
  </threadedComment>
  <threadedComment ref="F1480" dT="2025-02-13T10:05:11.33" personId="{17D30B62-2123-41F1-B603-E5411FDFA3E0}" id="{D185505D-3797-4669-81CC-8999FCC8FE00}">
    <text>Habitacion doble para trabajadores cant 1 Costo 60€/noche
Habitacion triple para trabajadores cant 3 Costo 75€/noche cada una
(camas separadas)</text>
  </threadedComment>
  <threadedComment ref="F1481" dT="2025-02-13T10:05:11.33" personId="{17D30B62-2123-41F1-B603-E5411FDFA3E0}" id="{801E09C4-CAA3-4AA3-8DBC-CD8BEAE5EF18}">
    <text>Habitacion doble para trabajadores cant 1 Costo 60€/noche
Habitacion triple para trabajadores cant 3 Costo 75€/noche cada una
(camas separadas)</text>
  </threadedComment>
  <threadedComment ref="F1482" dT="2025-02-13T10:05:11.33" personId="{17D30B62-2123-41F1-B603-E5411FDFA3E0}" id="{73D02B0C-96FE-415F-8DC9-884647817CF9}">
    <text>Habitacion doble para trabajadores cant 1 Costo 60€/noche
Habitacion triple para trabajadores cant 3 Costo 75€/noche cada una
(camas separadas)</text>
  </threadedComment>
  <threadedComment ref="F1483" dT="2025-02-13T10:05:11.33" personId="{17D30B62-2123-41F1-B603-E5411FDFA3E0}" id="{E8819874-5BB0-4C1C-A1B9-1CC03162DBDB}">
    <text>Habitacion doble para trabajadores cant 1 Costo 60€/noche
Habitacion triple para trabajadores cant 3 Costo 75€/noche cada una
(camas separadas)</text>
  </threadedComment>
  <threadedComment ref="F1484" dT="2024-08-19T11:49:32.68" personId="{98986A2A-739A-4851-A979-4B0D560C46CD}" id="{D3479374-FD15-4025-8095-66AB882019B0}">
    <text>3 habitaciones</text>
  </threadedComment>
  <threadedComment ref="F1485" dT="2025-02-13T10:05:11.33" personId="{17D30B62-2123-41F1-B603-E5411FDFA3E0}" id="{B8FC0F97-7526-4730-8A8E-0211C514CBCA}">
    <text>Habitacion doble para trabajadores cant 1 Costo 60€/noche
Habitacion triple para trabajadores cant 3 Costo 75€/noche cada una
(camas separadas)</text>
  </threadedComment>
  <threadedComment ref="F1486" dT="2025-02-13T10:05:11.33" personId="{17D30B62-2123-41F1-B603-E5411FDFA3E0}" id="{B10938B7-D89B-492D-98F8-E530B0A06CC8}">
    <text>Habitacion doble para trabajadores cant 1 Costo 60€/noche
Habitacion triple para trabajadores cant 3 Costo 75€/noche cada una
(camas separadas)</text>
  </threadedComment>
  <threadedComment ref="F1487" dT="2025-02-13T10:05:11.33" personId="{17D30B62-2123-41F1-B603-E5411FDFA3E0}" id="{C9FBF77A-D82B-4425-9450-69EC6FF9A3D4}">
    <text>Habitacion doble para trabajadores cant 1 Costo 60€/noche
Habitacion triple para trabajadores cant 3 Costo 75€/noche cada una
(camas separadas)</text>
  </threadedComment>
  <threadedComment ref="F1489" dT="2025-02-13T10:05:11.33" personId="{17D30B62-2123-41F1-B603-E5411FDFA3E0}" id="{8BCA166A-B206-4F0F-909E-E429B50C0965}">
    <text>Habitacion doble para trabajadores cant 1 Costo 60€/noche
Habitacion triple para trabajadores cant 3 Costo 75€/noche cada una
(camas separadas)</text>
  </threadedComment>
  <threadedComment ref="F1490" dT="2025-02-13T10:05:11.33" personId="{17D30B62-2123-41F1-B603-E5411FDFA3E0}" id="{C0F10A1E-EEF1-48CE-A68C-AD7AC1EFE3B7}">
    <text>Habitacion doble para trabajadores cant 1 Costo 60€/noche
Habitacion triple para trabajadores cant 3 Costo 75€/noche cada una
(camas separadas)</text>
  </threadedComment>
  <threadedComment ref="F1491" dT="2025-02-13T10:05:11.33" personId="{17D30B62-2123-41F1-B603-E5411FDFA3E0}" id="{42F2C271-07AC-4BBE-BBCB-8C93E7AFD000}">
    <text>Habitacion doble para trabajadores cant 1 Costo 60€/noche
Habitacion triple para trabajadores cant 3 Costo 75€/noche cada una
(camas separadas)</text>
  </threadedComment>
  <threadedComment ref="F1492" dT="2024-06-05T10:13:18.67" personId="{98986A2A-739A-4851-A979-4B0D560C46CD}" id="{C943C445-6A28-436E-96B5-D1D82D720B83}">
    <text xml:space="preserve">4 habitaciones, 2000€ ALQUILER
</text>
  </threadedComment>
  <threadedComment ref="F1493" dT="2025-02-13T10:05:11.33" personId="{17D30B62-2123-41F1-B603-E5411FDFA3E0}" id="{10FEE080-5E6C-47BD-B0A1-FE22B031044E}">
    <text>Habitacion doble para trabajadores cant 1 Costo 60€/noche
Habitacion triple para trabajadores cant 3 Costo 75€/noche cada una
(camas separadas)</text>
  </threadedComment>
  <threadedComment ref="W1493" dT="2024-06-05T15:47:01.00" personId="{98986A2A-739A-4851-A979-4B0D560C46CD}" id="{DE58E494-6A51-46A6-882D-20F54F9AA98E}">
    <text>Pasa a la fianza Wilman</text>
  </threadedComment>
  <threadedComment ref="F1494" dT="2024-11-05T09:17:59.63" personId="{17D30B62-2123-41F1-B603-E5411FDFA3E0}" id="{5D46C98A-BB85-42B5-9457-CE786AA852FF}">
    <text>Alquiler 1400  Fianza 2800 Camas 6</text>
  </threadedComment>
  <threadedComment ref="F1494" dT="2024-12-30T10:06:22.23" personId="{98986A2A-739A-4851-A979-4B0D560C46CD}" id="{B11D92FE-05C2-48E9-94BB-43A3C2730BD3}" parentId="{5D46C98A-BB85-42B5-9457-CE786AA852FF}">
    <text>+01 cama Kotrik llevada 28/12</text>
  </threadedComment>
  <threadedComment ref="F1496" dT="2024-11-07T11:33:47.80" personId="{17D30B62-2123-41F1-B603-E5411FDFA3E0}" id="{F82193A9-8F63-4548-ADF7-AD9673A1B55B}">
    <text>Alquiler 2870 Fianza 1435 camas 8</text>
  </threadedComment>
  <threadedComment ref="F1497" dT="2025-02-13T10:05:11.33" personId="{17D30B62-2123-41F1-B603-E5411FDFA3E0}" id="{80531449-E903-42FB-B3E9-0E4E5B9A7AC4}">
    <text>Habitacion doble para trabajadores cant 1 Costo 60€/noche
Habitacion triple para trabajadores cant 3 Costo 75€/noche cada una
(camas separadas)</text>
  </threadedComment>
  <threadedComment ref="F1498" dT="2024-06-25T09:14:46.90" personId="{98986A2A-739A-4851-A979-4B0D560C46CD}" id="{C7DE91DB-970E-42BE-958A-14B46AE3D22D}">
    <text>Fianza 1000, alquiler 1250, 05 camas. Nuevo Contrato Febrero 2025</text>
  </threadedComment>
  <threadedComment ref="F1499" dT="2025-02-13T10:05:11.33" personId="{17D30B62-2123-41F1-B603-E5411FDFA3E0}" id="{42689178-E3C1-49AA-A7CC-28C1D0D010FE}">
    <text>Habitacion doble para trabajadores cant 1 Costo 60€/noche
Habitacion triple para trabajadores cant 3 Costo 75€/noche cada una
(camas separadas)</text>
  </threadedComment>
  <threadedComment ref="F1500" dT="2025-02-13T10:05:11.33" personId="{17D30B62-2123-41F1-B603-E5411FDFA3E0}" id="{0DD3FFEA-05E5-4199-BB86-BB9DA3F9B639}">
    <text>Habitacion doble para trabajadores cant 1 Costo 60€/noche
Habitacion triple para trabajadores cant 3 Costo 75€/noche cada una
(camas separadas)</text>
  </threadedComment>
  <threadedComment ref="F1502" dT="2026-07-20T14:53:39.34" personId="{4D8483EF-5A39-4E7B-A473-929EF5A077E1}" id="{B2110774-A9C5-4137-930C-AF833AB362F9}">
    <text xml:space="preserve">1500€ mes de Julio (14/07 al 14/08)
3000€ dos meses de fianza 
6 Camas
+01 cama Kotrik llevada 28/12/25
</text>
  </threadedComment>
  <threadedComment ref="F1505" dT="2025-02-13T10:05:11.33" personId="{17D30B62-2123-41F1-B603-E5411FDFA3E0}" id="{24B05F68-65E5-4705-BFD2-22AF0DC173BC}">
    <text>Habitacion doble para trabajadores cant 1 Costo 60€/noche
Habitacion triple para trabajadores cant 3 Costo 75€/noche cada una
(camas separadas)</text>
  </threadedComment>
  <threadedComment ref="F1506" dT="2025-02-13T10:05:11.33" personId="{17D30B62-2123-41F1-B603-E5411FDFA3E0}" id="{0F2ADAC2-1B5B-46F9-9378-8193BA5EC75E}">
    <text>Habitacion doble para trabajadores cant 1 Costo 60€/noche
Habitacion triple para trabajadores cant 3 Costo 75€/noche cada una
(camas separadas)</text>
  </threadedComment>
  <threadedComment ref="F1507" dT="2025-02-13T10:05:11.33" personId="{17D30B62-2123-41F1-B603-E5411FDFA3E0}" id="{1D8FA0C1-9F5A-4ACF-BF8F-AE2004536AE9}">
    <text>Habitacion doble para trabajadores cant 1 Costo 60€/noche
Habitacion triple para trabajadores cant 3 Costo 75€/noche cada una
(camas separadas)</text>
  </threadedComment>
  <threadedComment ref="F1508" dT="2025-02-13T10:05:11.33" personId="{17D30B62-2123-41F1-B603-E5411FDFA3E0}" id="{617F53EA-302E-4BE6-9B92-7B0880CABAB5}">
    <text>Habitacion doble para trabajadores cant 1 Costo 60€/noche
Habitacion triple para trabajadores cant 3 Costo 75€/noche cada una
(camas separadas)</text>
  </threadedComment>
  <threadedComment ref="F1509" dT="2025-02-13T10:05:11.33" personId="{17D30B62-2123-41F1-B603-E5411FDFA3E0}" id="{1C696C7D-9540-468F-9650-32258C4A0EF6}">
    <text>Habitacion doble para trabajadores cant 1 Costo 60€/noche
Habitacion triple para trabajadores cant 3 Costo 75€/noche cada una
(camas separadas)</text>
  </threadedComment>
  <threadedComment ref="F1510" dT="2025-02-25T17:38:25.86" personId="{98986A2A-739A-4851-A979-4B0D560C46CD}" id="{D25549B0-F4FC-4B4B-8648-84199E978438}">
    <text xml:space="preserve">Alquiler 1600 Fianza 1600 camas 5
</text>
  </threadedComment>
  <threadedComment ref="F1511" dT="2025-02-13T10:05:11.33" personId="{17D30B62-2123-41F1-B603-E5411FDFA3E0}" id="{C07EEDF1-21CF-4F32-8ED3-FBAF14DC96E4}">
    <text>Habitacion doble para trabajadores cant 1 Costo 60€/noche
Habitacion triple para trabajadores cant 3 Costo 75€/noche cada una
(camas separadas)</text>
  </threadedComment>
  <threadedComment ref="F1512" dT="2025-02-13T10:05:11.33" personId="{17D30B62-2123-41F1-B603-E5411FDFA3E0}" id="{E0867A71-CBD9-4D0E-86FD-FF942A95EC9D}">
    <text>Habitacion doble para trabajadores cant 1 Costo 60€/noche
Habitacion triple para trabajadores cant 3 Costo 75€/noche cada una
(camas separadas)</text>
  </threadedComment>
  <threadedComment ref="F1513" dT="2025-02-13T10:05:11.33" personId="{17D30B62-2123-41F1-B603-E5411FDFA3E0}" id="{9C4B4456-484B-40F4-AE89-1DF948F9FFF0}">
    <text>2 Habitaciones de 350€ y                   1 Habitación de 375€</text>
  </threadedComment>
  <threadedComment ref="F1514" dT="2025-02-24T10:19:28.57" personId="{98986A2A-739A-4851-A979-4B0D560C46CD}" id="{7D12F493-963C-4B16-B3DB-64503FA76B78}">
    <text>06 camas</text>
  </threadedComment>
  <threadedComment ref="F1515" dT="2025-02-13T10:05:11.33" personId="{17D30B62-2123-41F1-B603-E5411FDFA3E0}" id="{E62C1AD7-D810-43B2-AF32-6200BFD10DEA}">
    <text>Habitacion doble para trabajadores cant 1 Costo 60€/noche
Habitacion triple para trabajadores cant 3 Costo 75€/noche cada una
(camas separadas)</text>
  </threadedComment>
  <threadedComment ref="F1516" dT="2025-02-13T10:05:11.33" personId="{17D30B62-2123-41F1-B603-E5411FDFA3E0}" id="{B9139E06-0C54-4131-8F46-C9A23624A414}">
    <text>3 Habitaciones alquiler 1800</text>
  </threadedComment>
  <threadedComment ref="F1518" dT="2025-02-13T10:05:11.33" personId="{17D30B62-2123-41F1-B603-E5411FDFA3E0}" id="{B281E12F-A1AC-4B40-A435-98B92AE6289D}">
    <text>Habitacion doble para trabajadores cant 1 Costo 60€/noche
Habitacion triple para trabajadores cant 3 Costo 75€/noche cada una
(camas separadas)</text>
  </threadedComment>
  <threadedComment ref="F1519" dT="2025-02-13T10:05:11.33" personId="{17D30B62-2123-41F1-B603-E5411FDFA3E0}" id="{0799C3E8-6D13-4D2F-99DE-59AFDB2C1AF8}">
    <text>Habitacion doble para trabajadores cant 1 Costo 60€/noche
Habitacion triple para trabajadores cant 3 Costo 75€/noche cada una
(camas separadas)</text>
  </threadedComment>
  <threadedComment ref="F1520" dT="2025-03-21T15:44:19.97" personId="{17D30B62-2123-41F1-B603-E5411FDFA3E0}" id="{DEF34F38-77DE-43E0-BDC3-C6B9AC881C9A}">
    <text>Fianza 2.400€, Alquiler 1.200€, 6 Camas.</text>
  </threadedComment>
  <threadedComment ref="F1521" dT="2025-09-17T07:53:50.71" personId="{17D30B62-2123-41F1-B603-E5411FDFA3E0}" id="{E92A00FE-08F8-473A-ACBB-F6ADEEC0680A}">
    <text>4 camas</text>
  </threadedComment>
  <threadedComment ref="F1522" dT="2025-02-13T10:05:11.33" personId="{17D30B62-2123-41F1-B603-E5411FDFA3E0}" id="{23582150-BAC6-4C6F-B650-94A5708A6E56}">
    <text>Habitacion doble para trabajadores cant 1 Costo 60€/noche
Habitacion triple para trabajadores cant 3 Costo 75€/noche cada una
(camas separadas)</text>
  </threadedComment>
  <threadedComment ref="F1523" dT="2024-11-07T11:33:47.80" personId="{17D30B62-2123-41F1-B603-E5411FDFA3E0}" id="{6D578A57-F5F6-4D08-968E-3D5511EE31D3}">
    <text>Alquiler 2870 Fianza 1435 camas 8</text>
  </threadedComment>
  <threadedComment ref="F1524" dT="2025-02-24T10:19:28.57" personId="{98986A2A-739A-4851-A979-4B0D560C46CD}" id="{E3161958-2233-49FC-86A0-FB86BB0DAF38}">
    <text>06 camas</text>
  </threadedComment>
  <threadedComment ref="G1524" dT="2025-02-24T10:19:28.57" personId="{98986A2A-739A-4851-A979-4B0D560C46CD}" id="{1D8EC535-8C0E-48B3-9D94-037B3BED56F2}">
    <text>06 camas</text>
  </threadedComment>
  <threadedComment ref="F1525" dT="2025-03-21T15:44:19.97" personId="{17D30B62-2123-41F1-B603-E5411FDFA3E0}" id="{9A3D9FD5-4CCE-4714-9C29-DCEDE51B7B71}">
    <text>Fianza 2.400€, Alquiler 1.200€, 6 Camas.</text>
  </threadedComment>
  <threadedComment ref="F1526" dT="2025-03-03T09:04:07.99" personId="{17D30B62-2123-41F1-B603-E5411FDFA3E0}" id="{6C87909B-72BB-4BCD-B3B7-C4BEA8538C0D}">
    <text>4 Habitaciones Alquiler 810€/mes
Fianza 900€ Suministros 33,28€</text>
  </threadedComment>
  <threadedComment ref="F1527" dT="2025-02-13T10:05:11.33" personId="{17D30B62-2123-41F1-B603-E5411FDFA3E0}" id="{D0C5014B-187F-420D-9E1E-C589132A53D1}">
    <text>Habitacion doble para trabajadores cant 1 Costo 60€/noche
Habitacion triple para trabajadores cant 3 Costo 75€/noche cada una
(camas separadas)</text>
  </threadedComment>
  <threadedComment ref="F1528" dT="2024-08-12T06:19:55.68" personId="{8BEA8CB1-BB33-44FC-A791-4439DE945680}" id="{33BEAAA4-1F8E-46F0-B25C-7F9D769B4354}">
    <text>ALQUILER  1500    FIANZA     3000   CAMAS 9</text>
  </threadedComment>
  <threadedComment ref="F1528" dT="2024-12-02T12:38:12.96" personId="{98986A2A-739A-4851-A979-4B0D560C46CD}" id="{C305EFD1-6522-4C72-8D36-0D45A4CE344E}" parentId="{33BEAAA4-1F8E-46F0-B25C-7F9D769B4354}">
    <text>11 camas, 09 acomodadas, 02 pendientes por acomodar</text>
  </threadedComment>
  <threadedComment ref="F1529" dT="2025-02-26T14:29:45.42" personId="{17D30B62-2123-41F1-B603-E5411FDFA3E0}" id="{8788A069-6A9F-47E4-AD54-E4647536A029}">
    <text>9 Camas, Alquiler 2300€, Fianza 700€</text>
  </threadedComment>
  <threadedComment ref="F1529" dT="2026-01-21T15:11:00.84" personId="{4D8483EF-5A39-4E7B-A473-929EF5A077E1}" id="{243C189C-D99F-4459-B8C3-B8AFE29B96BD}" parentId="{8788A069-6A9F-47E4-AD54-E4647536A029}">
    <text xml:space="preserve">Descuento a 2000€ </text>
  </threadedComment>
  <threadedComment ref="F1530" dT="2025-02-25T17:38:25.86" personId="{98986A2A-739A-4851-A979-4B0D560C46CD}" id="{8AE0D7AA-F613-4482-A907-3B8EACB5FA0A}">
    <text xml:space="preserve">Alquiler 1600 Fianza 1600 camas 5
</text>
  </threadedComment>
  <threadedComment ref="F1531" dT="2025-02-13T10:05:11.33" personId="{17D30B62-2123-41F1-B603-E5411FDFA3E0}" id="{6709147A-F365-4A5A-BC8B-8256F92D83D0}">
    <text>Habitacion doble para trabajadores cant 1 Costo 60€/noche
Habitacion triple para trabajadores cant 3 Costo 75€/noche cada una
(camas separadas)</text>
  </threadedComment>
  <threadedComment ref="F1532" dT="2024-08-27T13:30:26.82" personId="{8BEA8CB1-BB33-44FC-A791-4439DE945680}" id="{FB5EA14B-EE3C-4FCA-AE7A-65AAE461F896}">
    <text>ALQUILER 1000 FIANZA 300 CAMAS 3</text>
  </threadedComment>
  <threadedComment ref="F1532" dT="2025-02-03T16:51:01.90" personId="{98986A2A-739A-4851-A979-4B0D560C46CD}" id="{311D46F7-35BD-4F3B-AE0F-680A98D77266}" parentId="{FB5EA14B-EE3C-4FCA-AE7A-65AAE461F896}">
    <text>Alquiler 1200€, fianza 300€, 04 camas</text>
  </threadedComment>
  <threadedComment ref="F1533" dT="2025-02-26T08:58:40.27" personId="{98986A2A-739A-4851-A979-4B0D560C46CD}" id="{7F905218-554E-46B0-ADF4-E9B3FBFA6749}">
    <text>04 CAMAS, 1200€ALQUILER, 1200€ FIANZA</text>
  </threadedComment>
  <threadedComment ref="F1534" dT="2025-03-03T09:04:07.99" personId="{17D30B62-2123-41F1-B603-E5411FDFA3E0}" id="{26733838-B25B-41AC-BCE5-1FE519986BDA}">
    <text>4 Habitaciones Alquiler 810€/mes
Fianza 900€ Suministros 33,28€</text>
  </threadedComment>
  <threadedComment ref="F1535" dT="2024-11-05T09:17:59.63" personId="{17D30B62-2123-41F1-B603-E5411FDFA3E0}" id="{DAC637B5-05FD-41F9-91AC-23FDA94F1BDD}">
    <text>Alquiler 1400  Fianza 2800 Camas 6</text>
  </threadedComment>
  <threadedComment ref="F1535" dT="2024-12-30T10:06:22.23" personId="{98986A2A-739A-4851-A979-4B0D560C46CD}" id="{89341CA1-F624-43CD-A47E-2349CF700AB8}" parentId="{DAC637B5-05FD-41F9-91AC-23FDA94F1BDD}">
    <text>+01 cama Kotrik llevada 28/12</text>
  </threadedComment>
  <threadedComment ref="F1536" dT="2025-02-13T10:05:11.33" personId="{17D30B62-2123-41F1-B603-E5411FDFA3E0}" id="{0ED8F869-0ECF-4E0C-AF51-0004A0CA29B6}">
    <text>Habitacion doble para trabajadores cant 1 Costo 60€/noche
Habitacion triple para trabajadores cant 3 Costo 75€/noche cada una
(camas separadas)</text>
  </threadedComment>
  <threadedComment ref="F1537" dT="2025-02-13T10:05:11.33" personId="{17D30B62-2123-41F1-B603-E5411FDFA3E0}" id="{52CF6D38-1E13-487C-9D80-B6F61210D1E5}">
    <text>Habitacion doble para trabajadores cant 1 Costo 60€/noche
Habitacion triple para trabajadores cant 3 Costo 75€/noche cada una
(camas separadas)</text>
  </threadedComment>
  <threadedComment ref="F1539" dT="2025-02-13T10:05:11.33" personId="{17D30B62-2123-41F1-B603-E5411FDFA3E0}" id="{4EF62BA5-680E-4F0B-9A13-71A99CDA7644}">
    <text>Habitacion doble para trabajadores cant 1 Costo 60€/noche
Habitacion triple para trabajadores cant 3 Costo 75€/noche cada una
(camas separadas)</text>
  </threadedComment>
  <threadedComment ref="F1540" dT="2025-02-13T10:05:11.33" personId="{17D30B62-2123-41F1-B603-E5411FDFA3E0}" id="{C8D0AEA2-7DAA-47B1-9146-A1118D7A629F}">
    <text>Habitacion doble para trabajadores cant 1 Costo 60€/noche
Habitacion triple para trabajadores cant 3 Costo 75€/noche cada una
(camas separadas)</text>
  </threadedComment>
  <threadedComment ref="F1541" dT="2025-03-03T09:04:07.99" personId="{17D30B62-2123-41F1-B603-E5411FDFA3E0}" id="{46A9D3D6-8468-4D13-9E1B-A80BE3CCE9A1}">
    <text>4 Habitaciones Alquiler 810€/mes
Fianza 900€ Suministros 33,28€</text>
  </threadedComment>
  <threadedComment ref="F1542" dT="2025-02-24T07:37:31.16" personId="{17D30B62-2123-41F1-B603-E5411FDFA3E0}" id="{9ACE7379-D6F5-486E-92B0-94E311E3DB52}">
    <text>Alquiler 1400 3 Habitaciones 5 camas</text>
  </threadedComment>
  <threadedComment ref="F1543" dT="2025-02-13T10:05:11.33" personId="{17D30B62-2123-41F1-B603-E5411FDFA3E0}" id="{B808F6F4-FDCE-4255-B267-CE2769D5EB34}">
    <text>Habitacion doble para trabajadores cant 1 Costo 60€/noche
Habitacion triple para trabajadores cant 3 Costo 75€/noche cada una
(camas separadas)</text>
  </threadedComment>
  <threadedComment ref="F1544" dT="2025-02-13T10:05:11.33" personId="{17D30B62-2123-41F1-B603-E5411FDFA3E0}" id="{25F8A3A5-0E58-46E5-A943-16864072E512}">
    <text>Habitacion doble para trabajadores cant 1 Costo 60€/noche
Habitacion triple para trabajadores cant 3 Costo 75€/noche cada una
(camas separadas)</text>
  </threadedComment>
  <threadedComment ref="F1545" dT="2025-02-13T10:05:11.33" personId="{17D30B62-2123-41F1-B603-E5411FDFA3E0}" id="{EBA645ED-D22F-4456-A012-64F722DF6D52}">
    <text>Habitacion doble para trabajadores cant 1 Costo 60€/noche
Habitacion triple para trabajadores cant 3 Costo 75€/noche cada una
(camas separadas)</text>
  </threadedComment>
  <threadedComment ref="F1546" dT="2025-02-13T10:05:11.33" personId="{17D30B62-2123-41F1-B603-E5411FDFA3E0}" id="{A7B53AF1-FF95-421E-8BD4-F263566B6C49}">
    <text>Habitacion doble para trabajadores cant 1 Costo 60€/noche
Habitacion triple para trabajadores cant 3 Costo 75€/noche cada una
(camas separadas)</text>
  </threadedComment>
  <threadedComment ref="F1547" dT="2025-02-13T10:05:11.33" personId="{17D30B62-2123-41F1-B603-E5411FDFA3E0}" id="{1271058F-F69A-4ECB-A268-228E237F74B7}">
    <text>Habitacion doble para trabajadores cant 1 Costo 60€/noche
Habitacion triple para trabajadores cant 3 Costo 75€/noche cada una
(camas separadas)</text>
  </threadedComment>
  <threadedComment ref="F1550" dT="2025-02-13T10:05:11.33" personId="{17D30B62-2123-41F1-B603-E5411FDFA3E0}" id="{ADC8E0C1-B45A-483E-8C01-73C9EA1AB2FB}">
    <text>Habitacion doble para trabajadores cant 1 Costo 60€/noche
Habitacion triple para trabajadores cant 3 Costo 75€/noche cada una
(camas separadas)</text>
  </threadedComment>
  <threadedComment ref="F1551" dT="2025-02-13T10:05:11.33" personId="{17D30B62-2123-41F1-B603-E5411FDFA3E0}" id="{9CD995A7-3492-46A5-8E9B-D0E426AB0E2A}">
    <text>Habitacion doble para trabajadores cant 1 Costo 60€/noche
Habitacion triple para trabajadores cant 3 Costo 75€/noche cada una
(camas separadas)</text>
  </threadedComment>
  <threadedComment ref="F1552" dT="2025-02-13T10:05:11.33" personId="{17D30B62-2123-41F1-B603-E5411FDFA3E0}" id="{52142A94-433C-4F14-B2A1-6A41110B0141}">
    <text>Habitacion doble para trabajadores cant 1 Costo 60€/noche
Habitacion triple para trabajadores cant 3 Costo 75€/noche cada una
(camas separadas)</text>
  </threadedComment>
  <threadedComment ref="F1553" dT="2025-02-13T10:05:11.33" personId="{17D30B62-2123-41F1-B603-E5411FDFA3E0}" id="{AB78F6AB-59DE-4C96-86DD-6C3A6EB23E0E}">
    <text>Habitacion doble para trabajadores cant 1 Costo 60€/noche
Habitacion triple para trabajadores cant 3 Costo 75€/noche cada una
(camas separadas)</text>
  </threadedComment>
  <threadedComment ref="F1554" dT="2025-02-13T10:05:11.33" personId="{17D30B62-2123-41F1-B603-E5411FDFA3E0}" id="{D0D047B0-D827-4C7F-B1D7-253C99436BBA}">
    <text>Habitacion doble para trabajadores cant 1 Costo 60€/noche
Habitacion triple para trabajadores cant 3 Costo 75€/noche cada una
(camas separadas)</text>
  </threadedComment>
  <threadedComment ref="F1555" dT="2025-02-25T17:38:25.86" personId="{98986A2A-739A-4851-A979-4B0D560C46CD}" id="{652A23A2-30F0-4555-B7F0-4D572487CF64}">
    <text xml:space="preserve">Alquiler 1600 Fianza 1600 camas 5
</text>
  </threadedComment>
  <threadedComment ref="F1556" dT="2025-02-13T10:05:11.33" personId="{17D30B62-2123-41F1-B603-E5411FDFA3E0}" id="{106A3D64-A450-4906-9511-EE402F76F98A}">
    <text>Habitacion doble para trabajadores cant 1 Costo 60€/noche
Habitacion triple para trabajadores cant 3 Costo 75€/noche cada una
(camas separadas)</text>
  </threadedComment>
  <threadedComment ref="F1557" dT="2025-02-13T10:05:11.33" personId="{17D30B62-2123-41F1-B603-E5411FDFA3E0}" id="{DD0075C7-C8CE-4769-AA5D-AA8058B0787B}">
    <text>Habitacion doble para trabajadores cant 1 Costo 60€/noche
Habitacion triple para trabajadores cant 3 Costo 75€/noche cada una
(camas separadas)</text>
  </threadedComment>
  <threadedComment ref="F1558" dT="2024-12-07T09:48:49.17" personId="{98986A2A-739A-4851-A979-4B0D560C46CD}" id="{58B9AC24-55DA-4DB5-9F18-EF3275CFF815}">
    <text>ALQUILER 580, FIANZA 580, 4 CAMAS. Contrato pago hasta Febrero</text>
  </threadedComment>
  <threadedComment ref="F1560" dT="2025-02-13T10:05:11.33" personId="{17D30B62-2123-41F1-B603-E5411FDFA3E0}" id="{52EC6F35-FE9C-4994-ACC4-912236CA7721}">
    <text>4 Habitaciones 5 camas 1 sofá</text>
  </threadedComment>
  <threadedComment ref="F1560" dT="2025-11-07T07:08:43.68" personId="{98986A2A-739A-4851-A979-4B0D560C46CD}" id="{84B62B7C-EE7D-4951-A1D3-C11B31047C34}" parentId="{52EC6F35-FE9C-4994-ACC4-912236CA7721}">
    <text>875,50 alquiler</text>
  </threadedComment>
  <threadedComment ref="F1560" dT="2026-08-19T09:16:29.54" personId="{E3C446A3-37B8-466B-82DA-8F7BAC7681F7}" id="{81519257-786E-4A05-B78C-0498FF9793E1}" parentId="{52EC6F35-FE9C-4994-ACC4-912236CA7721}">
    <text>FIANZA 1700€</text>
  </threadedComment>
  <threadedComment ref="F1561" dT="2025-02-24T10:19:28.57" personId="{98986A2A-739A-4851-A979-4B0D560C46CD}" id="{BD6C87E8-A77A-4882-889C-FF109C74CA24}">
    <text>06 camas</text>
  </threadedComment>
  <threadedComment ref="F1562" dT="2025-02-13T10:05:11.33" personId="{17D30B62-2123-41F1-B603-E5411FDFA3E0}" id="{EF1FF058-BB29-4FB6-A512-C35F44E90FB1}">
    <text>Habitacion doble para trabajadores cant 1 Costo 60€/noche
Habitacion triple para trabajadores cant 3 Costo 75€/noche cada una
(camas separadas)</text>
  </threadedComment>
  <threadedComment ref="F1563" dT="2025-02-13T10:05:11.33" personId="{17D30B62-2123-41F1-B603-E5411FDFA3E0}" id="{294F90BA-B8F0-4945-A8BD-38C6D96E9FD3}">
    <text>Habitacion doble para trabajadores cant 1 Costo 60€/noche
Habitacion triple para trabajadores cant 3 Costo 75€/noche cada una
(camas separadas)</text>
  </threadedComment>
  <threadedComment ref="F1564" dT="2025-02-13T10:05:11.33" personId="{17D30B62-2123-41F1-B603-E5411FDFA3E0}" id="{D12A43EA-145F-4C21-9708-56A653529B8F}">
    <text>Habitacion doble para trabajadores cant 1 Costo 60€/noche
Habitacion triple para trabajadores cant 3 Costo 75€/noche cada una
(camas separadas)</text>
  </threadedComment>
  <threadedComment ref="F1565" dT="2025-03-10T14:58:16.62" personId="{17D30B62-2123-41F1-B603-E5411FDFA3E0}" id="{CC79AF57-D2B5-40A7-A660-8E91FB8AEB49}">
    <text>4 Camas  Alquiler 680 fianza1.360</text>
  </threadedComment>
  <threadedComment ref="F1566" dT="2025-02-13T10:05:11.33" personId="{17D30B62-2123-41F1-B603-E5411FDFA3E0}" id="{B9CA9580-C6CC-4DC7-8744-12831EE36B0B}">
    <text>Habitacion doble para trabajadores cant 1 Costo 60€/noche
Habitacion triple para trabajadores cant 3 Costo 75€/noche cada una
(camas separadas)</text>
  </threadedComment>
  <threadedComment ref="F1567" dT="2025-02-24T10:19:28.57" personId="{98986A2A-739A-4851-A979-4B0D560C46CD}" id="{77A2049C-57DD-4767-8DCD-06971EBD6D3A}">
    <text>06 camas</text>
  </threadedComment>
  <threadedComment ref="F1568" dT="2025-02-13T10:05:11.33" personId="{17D30B62-2123-41F1-B603-E5411FDFA3E0}" id="{6DC9E823-BD70-4842-AD1D-AEB177054F21}">
    <text>Habitacion doble para trabajadores cant 1 Costo 60€/noche
Habitacion triple para trabajadores cant 3 Costo 75€/noche cada una
(camas separadas)</text>
  </threadedComment>
  <threadedComment ref="F1569" dT="2024-08-12T06:19:55.68" personId="{8BEA8CB1-BB33-44FC-A791-4439DE945680}" id="{D6E3615C-5F21-40ED-BC45-E00F25296592}">
    <text>ALQUILER  1500    FIANZA     3000   CAMAS 9</text>
  </threadedComment>
  <threadedComment ref="F1569" dT="2024-12-02T12:38:12.96" personId="{98986A2A-739A-4851-A979-4B0D560C46CD}" id="{E147A0A2-3D9E-4178-9CA0-628FFB253145}" parentId="{D6E3615C-5F21-40ED-BC45-E00F25296592}">
    <text>11 camas, 09 acomodadas, 02 pendientes por acomodar</text>
  </threadedComment>
  <threadedComment ref="F1570" dT="2025-02-13T10:05:11.33" personId="{17D30B62-2123-41F1-B603-E5411FDFA3E0}" id="{47FE9B75-4467-45C6-81C2-F5A18AA561A7}">
    <text>Habitacion doble para trabajadores cant 1 Costo 60€/noche
Habitacion triple para trabajadores cant 3 Costo 75€/noche cada una
(camas separadas)</text>
  </threadedComment>
  <threadedComment ref="F1571" dT="2025-02-13T10:05:11.33" personId="{17D30B62-2123-41F1-B603-E5411FDFA3E0}" id="{7A12D805-2170-4A54-8568-41094C574A71}">
    <text>Habitacion doble para trabajadores cant 1 Costo 60€/noche
Habitacion triple para trabajadores cant 3 Costo 75€/noche cada una
(camas separadas)</text>
  </threadedComment>
  <threadedComment ref="F1572" dT="2025-02-13T10:05:11.33" personId="{17D30B62-2123-41F1-B603-E5411FDFA3E0}" id="{3F74A78F-28B5-4E8D-8429-5D504F205047}">
    <text>Habitacion doble para trabajadores cant 1 Costo 60€/noche
Habitacion triple para trabajadores cant 3 Costo 75€/noche cada una
(camas separadas)</text>
  </threadedComment>
  <threadedComment ref="F1573" dT="2025-02-13T10:05:11.33" personId="{17D30B62-2123-41F1-B603-E5411FDFA3E0}" id="{539C3D64-4D05-4CD7-A64E-B742FD1AEFB2}">
    <text>Habitacion doble para trabajadores cant 1 Costo 60€/noche
Habitacion triple para trabajadores cant 3 Costo 75€/noche cada una
(camas separadas)</text>
  </threadedComment>
  <threadedComment ref="F1574" dT="2025-02-13T10:05:11.33" personId="{17D30B62-2123-41F1-B603-E5411FDFA3E0}" id="{1F51D408-6F95-4781-A7E8-AF72E14232A0}">
    <text>Habitacion doble para trabajadores cant 1 Costo 60€/noche
Habitacion triple para trabajadores cant 3 Costo 75€/noche cada una
(camas separadas)</text>
  </threadedComment>
  <threadedComment ref="F1575" dT="2025-02-13T10:05:11.33" personId="{17D30B62-2123-41F1-B603-E5411FDFA3E0}" id="{568C58E1-6A16-422B-977F-0CFB000EDECD}">
    <text>Habitacion doble para trabajadores cant 1 Costo 60€/noche
Habitacion triple para trabajadores cant 3 Costo 75€/noche cada una
(camas separadas)</text>
  </threadedComment>
  <threadedComment ref="F1576" dT="2025-02-24T10:19:28.57" personId="{98986A2A-739A-4851-A979-4B0D560C46CD}" id="{C0C40645-330B-4963-9E3C-83CAB4AF18A9}">
    <text>06 camas</text>
  </threadedComment>
  <threadedComment ref="F1577" dT="2025-02-13T10:05:11.33" personId="{17D30B62-2123-41F1-B603-E5411FDFA3E0}" id="{4A30D1B2-7E5E-4164-BBC2-E04D3CE07759}">
    <text>Habitacion doble para trabajadores cant 1 Costo 60€/noche
Habitacion triple para trabajadores cant 3 Costo 75€/noche cada una
(camas separadas)</text>
  </threadedComment>
  <threadedComment ref="F1579" dT="2025-02-13T10:05:11.33" personId="{17D30B62-2123-41F1-B603-E5411FDFA3E0}" id="{3DC31508-3CF2-4CED-AE7E-1ABF2632A3D3}">
    <text>Habitacion doble para trabajadores cant 1 Costo 60€/noche
Habitacion triple para trabajadores cant 3 Costo 75€/noche cada una
(camas separadas)</text>
  </threadedComment>
  <threadedComment ref="F1580" dT="2025-02-13T10:05:11.33" personId="{17D30B62-2123-41F1-B603-E5411FDFA3E0}" id="{6EE3C729-3B40-46B2-9F73-42191E3216B0}">
    <text>Habitacion doble para trabajadores cant 1 Costo 60€/noche
Habitacion triple para trabajadores cant 3 Costo 75€/noche cada una
(camas separadas)</text>
  </threadedComment>
  <threadedComment ref="F1581" dT="2025-02-25T17:38:25.86" personId="{98986A2A-739A-4851-A979-4B0D560C46CD}" id="{CE680F31-83B6-4BD7-9679-A568FB5A95E0}">
    <text xml:space="preserve">Alquiler 1600 Fianza 1600 camas 5
</text>
  </threadedComment>
  <threadedComment ref="F1582" dT="2024-08-08T15:05:50.75" personId="{8BEA8CB1-BB33-44FC-A791-4439DE945680}" id="{D065DC30-9ABD-47A4-B59F-4C80826BF4FA}">
    <text>Alquiler 1380 Fianza 2760 Camas 5</text>
  </threadedComment>
  <threadedComment ref="F1583" dT="2025-02-13T10:05:11.33" personId="{17D30B62-2123-41F1-B603-E5411FDFA3E0}" id="{8B97EDBC-9F53-4983-A1D3-7D93516A2A12}">
    <text>Habitacion doble para trabajadores cant 1 Costo 60€/noche
Habitacion triple para trabajadores cant 3 Costo 75€/noche cada una
(camas separadas)</text>
  </threadedComment>
  <threadedComment ref="F1584" dT="2025-02-13T10:05:11.33" personId="{17D30B62-2123-41F1-B603-E5411FDFA3E0}" id="{14D2ECFA-F376-45F0-8C87-6489C74E91C6}">
    <text>1650€/Alquiler
1650€/Fianza
5 camas</text>
  </threadedComment>
  <threadedComment ref="F1585" dT="2026-02-16T08:56:30.42" personId="{4D8483EF-5A39-4E7B-A473-929EF5A077E1}" id="{98DAA0E8-90F4-485B-9D15-B78ED9769D52}">
    <text>2 Camas alquiler 900€</text>
  </threadedComment>
  <threadedComment ref="F1586" dT="2024-11-05T09:17:59.63" personId="{17D30B62-2123-41F1-B603-E5411FDFA3E0}" id="{A64EDBEF-9AB8-447E-9217-AC2F674BE45E}">
    <text>Alquiler 1400  Fianza 2800 Camas 6</text>
  </threadedComment>
  <threadedComment ref="F1586" dT="2024-12-30T10:06:22.23" personId="{98986A2A-739A-4851-A979-4B0D560C46CD}" id="{5264420A-2F32-4461-A336-FA657C817E7A}" parentId="{A64EDBEF-9AB8-447E-9217-AC2F674BE45E}">
    <text>+01 cama Kotrik llevada 28/12</text>
  </threadedComment>
  <threadedComment ref="F1587" dT="2025-02-25T17:38:25.86" personId="{98986A2A-739A-4851-A979-4B0D560C46CD}" id="{57E7A4EE-CE78-4200-B0AB-62D4D913333C}">
    <text xml:space="preserve">Alquiler 1600 Fianza 1600 camas 5
</text>
  </threadedComment>
  <threadedComment ref="F1588" dT="2025-03-31T08:10:03.75" personId="{17D30B62-2123-41F1-B603-E5411FDFA3E0}" id="{41D7C8A7-7357-4020-9945-2D5E481307B2}">
    <text>5 camas, alquiler 2.250€</text>
  </threadedComment>
  <threadedComment ref="F1589" dT="2025-02-13T10:05:11.33" personId="{17D30B62-2123-41F1-B603-E5411FDFA3E0}" id="{885AE54E-ECD2-4061-AEB8-3739053F9F6E}">
    <text>Habitacion doble para trabajadores cant 1 Costo 60€/noche
Habitacion triple para trabajadores cant 3 Costo 75€/noche cada una
(camas separadas)</text>
  </threadedComment>
  <threadedComment ref="F1590" dT="2025-02-13T10:05:11.33" personId="{17D30B62-2123-41F1-B603-E5411FDFA3E0}" id="{AB66F2F2-2A37-4382-8356-11314F072026}">
    <text>Habitacion doble para trabajadores cant 1 Costo 60€/noche
Habitacion triple para trabajadores cant 3 Costo 75€/noche cada una
(camas separadas)</text>
  </threadedComment>
  <threadedComment ref="F1591" dT="2025-02-13T10:05:11.33" personId="{17D30B62-2123-41F1-B603-E5411FDFA3E0}" id="{123B6F6D-E13C-42F0-9E29-D6E46D1BEED5}">
    <text>Habitacion doble para trabajadores cant 1 Costo 60€/noche
Habitacion triple para trabajadores cant 3 Costo 75€/noche cada una
(camas separadas)</text>
  </threadedComment>
  <threadedComment ref="F1592" dT="2025-02-26T08:58:40.27" personId="{98986A2A-739A-4851-A979-4B0D560C46CD}" id="{19FF7E2E-2B78-4EE9-93A6-68A4D58DC96A}">
    <text>04 CAMAS, 1200€ALQUILER, 1200€ FIANZA</text>
  </threadedComment>
  <threadedComment ref="F1593" dT="2025-02-13T10:05:11.33" personId="{17D30B62-2123-41F1-B603-E5411FDFA3E0}" id="{4F465ABB-36B0-4BAA-B3AB-A90CAC1F5516}">
    <text>Habitacion doble para trabajadores cant 1 Costo 60€/noche
Habitacion triple para trabajadores cant 3 Costo 75€/noche cada una
(camas separadas)</text>
  </threadedComment>
  <threadedComment ref="F1594" dT="2025-09-17T07:54:06.16" personId="{17D30B62-2123-41F1-B603-E5411FDFA3E0}" id="{199B3516-DFEE-49BA-88C7-0E04CF00A5CF}">
    <text>4 camas</text>
  </threadedComment>
  <threadedComment ref="F1595" dT="2025-03-31T08:10:03.75" personId="{17D30B62-2123-41F1-B603-E5411FDFA3E0}" id="{1EF806D6-25AE-4B60-B442-3F510F4A0CAA}">
    <text>5 camas, alquiler 2.250€</text>
  </threadedComment>
  <threadedComment ref="F1596" dT="2025-02-13T10:05:11.33" personId="{17D30B62-2123-41F1-B603-E5411FDFA3E0}" id="{92B3EBFE-2B82-4D0C-A928-7CAA9638BE06}">
    <text>Habitacion doble para trabajadores cant 1 Costo 60€/noche
Habitacion triple para trabajadores cant 3 Costo 75€/noche cada una
(camas separadas)</text>
  </threadedComment>
  <threadedComment ref="F1597" dT="2025-03-03T11:25:05.42" personId="{98986A2A-739A-4851-A979-4B0D560C46CD}" id="{6FDDDF60-E96F-4DC5-BA17-1C8C4C9D5D95}">
    <text>1200€ ALQUILER, 300€ FIANZA, 04 CAMAS</text>
  </threadedComment>
  <threadedComment ref="F1598" dT="2024-06-25T09:14:46.90" personId="{98986A2A-739A-4851-A979-4B0D560C46CD}" id="{17358978-FD03-44BA-B419-5E22FEE67104}">
    <text>Fianza 1000, alquiler 1250, 05 camas. Nuevo Contrato Febrero 2025</text>
  </threadedComment>
  <threadedComment ref="F1599" dT="2025-02-13T10:05:11.33" personId="{17D30B62-2123-41F1-B603-E5411FDFA3E0}" id="{3CDBEC76-49B1-46E3-8C53-AA7E8DB2B1DB}">
    <text>Habitacion doble para trabajadores cant 1 Costo 60€/noche
Habitacion triple para trabajadores cant 3 Costo 75€/noche cada una
(camas separadas)</text>
  </threadedComment>
  <threadedComment ref="F1600" dT="2025-02-13T10:05:11.33" personId="{17D30B62-2123-41F1-B603-E5411FDFA3E0}" id="{BB10960F-21FE-47AE-8967-EAB1D8CA5DB2}">
    <text>Habitacion doble para trabajadores cant 1 Costo 60€/noche
Habitacion triple para trabajadores cant 3 Costo 75€/noche cada una
(camas separadas)</text>
  </threadedComment>
  <threadedComment ref="F1601" dT="2025-02-13T10:05:11.33" personId="{17D30B62-2123-41F1-B603-E5411FDFA3E0}" id="{36EF801E-7B9F-4F4A-BE90-6F9A9A9F09E9}">
    <text>Habitacion doble para trabajadores cant 1 Costo 60€/noche
Habitacion triple para trabajadores cant 3 Costo 75€/noche cada una
(camas separadas)</text>
  </threadedComment>
  <threadedComment ref="F1602" dT="2025-02-13T10:05:11.33" personId="{17D30B62-2123-41F1-B603-E5411FDFA3E0}" id="{CEF29064-098B-4453-B482-83F30BFCA3F6}">
    <text>Habitacion doble para trabajadores cant 1 Costo 60€/noche
Habitacion triple para trabajadores cant 3 Costo 75€/noche cada una
(camas separadas)</text>
  </threadedComment>
  <threadedComment ref="F1603" dT="2025-02-13T10:05:11.33" personId="{17D30B62-2123-41F1-B603-E5411FDFA3E0}" id="{4DC4C6A9-B426-4EFF-9C27-F23B70A32087}">
    <text>Habitacion doble para trabajadores cant 1 Costo 60€/noche
Habitacion triple para trabajadores cant 3 Costo 75€/noche cada una
(camas separadas)</text>
  </threadedComment>
  <threadedComment ref="F1604" dT="2025-02-13T10:05:11.33" personId="{17D30B62-2123-41F1-B603-E5411FDFA3E0}" id="{3037A1E2-A2E0-440C-8650-D114797B6B93}">
    <text>Habitacion doble para trabajadores cant 1 Costo 60€/noche
Habitacion triple para trabajadores cant 3 Costo 75€/noche cada una
(camas separadas)</text>
  </threadedComment>
  <threadedComment ref="F1605" dT="2025-02-13T10:05:11.33" personId="{17D30B62-2123-41F1-B603-E5411FDFA3E0}" id="{377FC017-E06D-4095-99F8-38A27B766F4E}">
    <text>4 Habitaciones 5 camas 1 sofá</text>
  </threadedComment>
  <threadedComment ref="F1605" dT="2025-11-07T07:08:43.68" personId="{98986A2A-739A-4851-A979-4B0D560C46CD}" id="{DACCFC0A-DC08-4281-BA7C-5D9E086D8718}" parentId="{377FC017-E06D-4095-99F8-38A27B766F4E}">
    <text>875,50 alquiler</text>
  </threadedComment>
  <threadedComment ref="F1605" dT="2026-08-19T09:16:29.54" personId="{E3C446A3-37B8-466B-82DA-8F7BAC7681F7}" id="{4452760A-1F34-48CF-9831-C4D4F6EBB62C}" parentId="{377FC017-E06D-4095-99F8-38A27B766F4E}">
    <text>FIANZA 1700€</text>
  </threadedComment>
  <threadedComment ref="F1606" dT="2025-02-13T10:05:11.33" personId="{17D30B62-2123-41F1-B603-E5411FDFA3E0}" id="{EE7F0F24-4B92-4736-A2A8-B06A0FE8CDB4}">
    <text>Habitacion doble para trabajadores cant 1 Costo 60€/noche
Habitacion triple para trabajadores cant 3 Costo 75€/noche cada una
(camas separadas)</text>
  </threadedComment>
  <threadedComment ref="F1607" dT="2025-02-13T10:05:11.33" personId="{17D30B62-2123-41F1-B603-E5411FDFA3E0}" id="{3EE847C6-BB0A-4EFC-B1DF-52AD9058C46B}">
    <text>Habitacion doble para trabajadores cant 1 Costo 60€/noche
Habitacion triple para trabajadores cant 3 Costo 75€/noche cada una
(camas separadas)</text>
  </threadedComment>
  <threadedComment ref="F1608" dT="2025-02-13T10:05:11.33" personId="{17D30B62-2123-41F1-B603-E5411FDFA3E0}" id="{4C73B14E-CE07-4D00-8A6D-33D42A81CFAA}">
    <text>Habitacion doble para trabajadores cant 1 Costo 60€/noche
Habitacion triple para trabajadores cant 3 Costo 75€/noche cada una
(camas separadas)</text>
  </threadedComment>
  <threadedComment ref="F1609" dT="2025-02-13T10:05:11.33" personId="{17D30B62-2123-41F1-B603-E5411FDFA3E0}" id="{2C3C1C57-EE56-4B3B-A63D-476348C3A0FD}">
    <text>Habitacion doble para trabajadores cant 1 Costo 60€/noche
Habitacion triple para trabajadores cant 3 Costo 75€/noche cada una
(camas separadas)</text>
  </threadedComment>
  <threadedComment ref="F1610" dT="2025-02-13T10:05:11.33" personId="{17D30B62-2123-41F1-B603-E5411FDFA3E0}" id="{88AF39BE-BFDE-4EC5-9BB2-5A7954ECE8B6}">
    <text>Habitacion doble para trabajadores cant 1 Costo 60€/noche
Habitacion triple para trabajadores cant 3 Costo 75€/noche cada una
(camas separadas)</text>
  </threadedComment>
  <threadedComment ref="F1611" dT="2025-02-13T10:05:11.33" personId="{17D30B62-2123-41F1-B603-E5411FDFA3E0}" id="{DD2709F7-87DC-48EE-8208-E86FF1F146FE}">
    <text>Habitacion doble para trabajadores cant 1 Costo 60€/noche
Habitacion triple para trabajadores cant 3 Costo 75€/noche cada una
(camas separadas)</text>
  </threadedComment>
  <threadedComment ref="F1612" dT="2025-02-13T10:05:11.33" personId="{17D30B62-2123-41F1-B603-E5411FDFA3E0}" id="{0C8675CC-7F69-4066-ADB7-DA0B782BF930}">
    <text>Habitacion doble para trabajadores cant 1 Costo 60€/noche
Habitacion triple para trabajadores cant 3 Costo 75€/noche cada una
(camas separadas)</text>
  </threadedComment>
  <threadedComment ref="F1613" dT="2025-02-13T10:05:11.33" personId="{17D30B62-2123-41F1-B603-E5411FDFA3E0}" id="{305F446F-8657-4198-AFF5-AA6FFBE3C452}">
    <text>Habitacion doble para trabajadores cant 1 Costo 60€/noche
Habitacion triple para trabajadores cant 3 Costo 75€/noche cada una
(camas separadas)</text>
  </threadedComment>
  <threadedComment ref="F1614" dT="2025-02-13T10:05:11.33" personId="{17D30B62-2123-41F1-B603-E5411FDFA3E0}" id="{545B2B20-5542-429A-B2C4-052530AB4BF0}">
    <text>Habitacion doble para trabajadores cant 1 Costo 60€/noche
Habitacion triple para trabajadores cant 3 Costo 75€/noche cada una
(camas separadas)</text>
  </threadedComment>
  <threadedComment ref="F1615" dT="2025-02-13T10:05:11.33" personId="{17D30B62-2123-41F1-B603-E5411FDFA3E0}" id="{D56141B3-B08A-4F31-8D4C-B06E15495F28}">
    <text>Habitacion doble para trabajadores cant 1 Costo 60€/noche
Habitacion triple para trabajadores cant 3 Costo 75€/noche cada una
(camas separadas)</text>
  </threadedComment>
  <threadedComment ref="F1616" dT="2025-02-13T10:05:11.33" personId="{17D30B62-2123-41F1-B603-E5411FDFA3E0}" id="{16BA8C80-5814-4D5B-A4AF-3C7D1DC29909}">
    <text>Habitacion doble para trabajadores cant 1 Costo 60€/noche
Habitacion triple para trabajadores cant 3 Costo 75€/noche cada una
(camas separadas)</text>
  </threadedComment>
  <threadedComment ref="F1617" dT="2025-03-31T08:10:03.75" personId="{17D30B62-2123-41F1-B603-E5411FDFA3E0}" id="{51DF3139-7A48-4BCB-932D-97071CED7B59}">
    <text>5 camas, alquiler 2.250€</text>
  </threadedComment>
  <threadedComment ref="F1618" dT="2025-03-31T08:10:03.75" personId="{17D30B62-2123-41F1-B603-E5411FDFA3E0}" id="{8320630B-2F27-4E09-9341-4218CC54B7EF}">
    <text>5 camas, alquiler 2.250€</text>
  </threadedComment>
  <threadedComment ref="F1619" dT="2025-11-06T15:04:28.98" personId="{4D8483EF-5A39-4E7B-A473-929EF5A077E1}" id="{634C8F65-D51C-44C6-AE26-246982C34CA2}">
    <text>Habitación Doble - 2 camas </text>
  </threadedComment>
  <threadedComment ref="F1620" dT="2025-04-10T09:10:31.11" personId="{17D30B62-2123-41F1-B603-E5411FDFA3E0}" id="{3489D24F-7785-41DD-B80F-946281AE3BF4}">
    <text>260€ Cada Habitación, Fianza de 400€</text>
  </threadedComment>
  <threadedComment ref="F1621" dT="2025-12-15T09:10:06.54" personId="{4D8483EF-5A39-4E7B-A473-929EF5A077E1}" id="{EB51F6BA-06E6-42B0-BF64-41BE143AF368}">
    <text>Alojamiento entero · 4 camas · 2 viajeros</text>
  </threadedComment>
  <threadedComment ref="F1622" dT="2025-02-13T10:05:11.33" personId="{17D30B62-2123-41F1-B603-E5411FDFA3E0}" id="{66302C8D-2F74-4EC9-A05F-5683DC10D4F1}">
    <text>Habitacion doble para trabajadores cant 1 Costo 60€/noche
Habitacion triple para trabajadores cant 3 Costo 75€/noche cada una
(camas separadas)</text>
  </threadedComment>
  <threadedComment ref="F1625" dT="2026-01-26T09:23:06.60" personId="{4D8483EF-5A39-4E7B-A473-929EF5A077E1}" id="{504D5047-D5B6-4DAF-8E03-7EA10D3BDC6E}">
    <text>Alojamiento entero · 4 camas · 3 viajeros</text>
  </threadedComment>
  <threadedComment ref="F1626" dT="2025-04-10T09:10:31.11" personId="{17D30B62-2123-41F1-B603-E5411FDFA3E0}" id="{AD95B523-AA41-42A4-8310-6B4DD2D6FA8C}">
    <text>260€ Cada Habitación, Fianza de 400€</text>
  </threadedComment>
  <threadedComment ref="F1627" dT="2025-05-05T11:29:54.02" personId="{98986A2A-739A-4851-A979-4B0D560C46CD}" id="{F149E0E2-5CAA-4C6E-B5A3-CA649D9A4F48}">
    <text>Alquiler 1300€, 05 habitaciones, 400€fianza</text>
  </threadedComment>
  <threadedComment ref="F1628" dT="2025-02-13T10:05:11.33" personId="{17D30B62-2123-41F1-B603-E5411FDFA3E0}" id="{24D033E8-47ED-4974-9422-6BDC7364431A}">
    <text>Habitacion doble para trabajadores cant 1 Costo 60€/noche
Habitacion triple para trabajadores cant 3 Costo 75€/noche cada una
(camas separadas)</text>
  </threadedComment>
  <threadedComment ref="F1629" dT="2025-03-03T10:25:07.54" personId="{98986A2A-739A-4851-A979-4B0D560C46CD}" id="{67DA3711-DACB-43EC-AA9B-C3F3C3B057EE}">
    <text>750€ alquiler, 03 camas, 500€ fianza</text>
  </threadedComment>
  <threadedComment ref="F1631" dT="2025-02-13T10:05:11.33" personId="{17D30B62-2123-41F1-B603-E5411FDFA3E0}" id="{6532E8D8-C46B-4316-9D9D-A44FEDEA21DB}">
    <text>Habitacion doble para trabajadores cant 1 Costo 60€/noche
Habitacion triple para trabajadores cant 3 Costo 75€/noche cada una
(camas separadas)</text>
  </threadedComment>
  <threadedComment ref="F1632" dT="2025-02-13T10:05:11.33" personId="{17D30B62-2123-41F1-B603-E5411FDFA3E0}" id="{DB6377F0-2D33-4E70-B2D5-47F0B7AC579C}">
    <text>Habitacion doble para trabajadores cant 1 Costo 60€/noche
Habitacion triple para trabajadores cant 3 Costo 75€/noche cada una
(camas separadas)</text>
  </threadedComment>
  <threadedComment ref="F1633" dT="2026-04-16T10:23:31.09" personId="{4D8483EF-5A39-4E7B-A473-929EF5A077E1}" id="{DC4B13E1-11AA-4DBE-99A0-3B538E9BAB17}">
    <text xml:space="preserve"> 2 personas, camas separadas, Alquiler 1300€</text>
  </threadedComment>
  <threadedComment ref="F1634" dT="2026-04-24T13:34:43.67" personId="{4D8483EF-5A39-4E7B-A473-929EF5A077E1}" id="{C9B86364-8CFA-4A2A-A76A-B5FF3BC10DE6}">
    <text>(para 2 personas)</text>
  </threadedComment>
  <threadedComment ref="F1635" dT="2025-02-13T10:05:11.33" personId="{17D30B62-2123-41F1-B603-E5411FDFA3E0}" id="{053AD546-EE04-407A-A85E-A7FA2EFBD0C9}">
    <text>Habitacion doble para trabajadores cant 1 Costo 60€/noche
Habitacion triple para trabajadores cant 3 Costo 75€/noche cada una
(camas separadas)</text>
  </threadedComment>
  <threadedComment ref="F1636" dT="2025-02-13T10:05:11.33" personId="{17D30B62-2123-41F1-B603-E5411FDFA3E0}" id="{EDC02185-7BF2-4400-A0C1-696A2C0CD9A3}">
    <text>Habitacion doble para trabajadores cant 1 Costo 60€/noche
Habitacion triple para trabajadores cant 3 Costo 75€/noche cada una
(camas separadas)</text>
  </threadedComment>
  <threadedComment ref="F1637" dT="2025-02-13T10:05:11.33" personId="{17D30B62-2123-41F1-B603-E5411FDFA3E0}" id="{F0AA5DBA-E912-4DFB-8200-6F6864782CC3}">
    <text>Habitacion doble para trabajadores cant 1 Costo 60€/noche
Habitacion triple para trabajadores cant 3 Costo 75€/noche cada una
(camas separadas)</text>
  </threadedComment>
  <threadedComment ref="F1638" dT="2026-04-24T13:34:43.67" personId="{4D8483EF-5A39-4E7B-A473-929EF5A077E1}" id="{A07F364A-5DE3-4E0A-93B4-410C565B1D01}">
    <text>(para 2 personas)</text>
  </threadedComment>
  <threadedComment ref="F1639" dT="2025-02-13T10:05:11.33" personId="{17D30B62-2123-41F1-B603-E5411FDFA3E0}" id="{7F83EB10-DB88-4F28-A27B-CC6C7D6CD6F8}">
    <text>Habitacion doble para trabajadores cant 1 Costo 60€/noche
Habitacion triple para trabajadores cant 3 Costo 75€/noche cada una
(camas separadas)</text>
  </threadedComment>
  <threadedComment ref="F1642" dT="2025-02-13T10:05:11.33" personId="{17D30B62-2123-41F1-B603-E5411FDFA3E0}" id="{E3A78949-9B77-463E-90C1-F5E6F1D9B408}">
    <text>Habitacion doble para trabajadores cant 1 Costo 60€/noche
Habitacion triple para trabajadores cant 3 Costo 75€/noche cada una
(camas separadas)</text>
  </threadedComment>
  <threadedComment ref="F1643" dT="2025-02-13T10:05:11.33" personId="{17D30B62-2123-41F1-B603-E5411FDFA3E0}" id="{AD51C7EE-1AFA-4DF2-B137-5F884AC81DFF}">
    <text>Habitacion doble para trabajadores cant 1 Costo 60€/noche
Habitacion triple para trabajadores cant 3 Costo 75€/noche cada una
(camas separadas)</text>
  </threadedComment>
  <threadedComment ref="F1644" dT="2025-02-13T10:05:11.33" personId="{17D30B62-2123-41F1-B603-E5411FDFA3E0}" id="{16F62C91-254F-4803-9874-76ED16C07664}">
    <text>Habitacion doble para trabajadores cant 1 Costo 60€/noche
Habitacion triple para trabajadores cant 3 Costo 75€/noche cada una
(camas separadas)</text>
  </threadedComment>
  <threadedComment ref="F1646" dT="2025-02-13T10:05:11.33" personId="{17D30B62-2123-41F1-B603-E5411FDFA3E0}" id="{09340A4C-1775-4E19-9A7D-FD9A3A54AD2B}">
    <text>Habitacion doble para trabajadores cant 1 Costo 60€/noche
Habitacion triple para trabajadores cant 3 Costo 75€/noche cada una
(camas separadas)</text>
  </threadedComment>
  <threadedComment ref="F1647" dT="2024-06-17T09:28:27.10" personId="{98986A2A-739A-4851-A979-4B0D560C46CD}" id="{7F8BFC4A-69D8-4872-8965-F12B3AE982C1}">
    <text>400 fianza, alquiler 650, 03 camas</text>
  </threadedComment>
  <threadedComment ref="F1650" dT="2025-02-13T10:05:11.33" personId="{17D30B62-2123-41F1-B603-E5411FDFA3E0}" id="{B3236240-E3C0-4F22-BB2B-C643853D2D3E}">
    <text>Habitacion doble para trabajadores cant 1 Costo 60€/noche
Habitacion triple para trabajadores cant 3 Costo 75€/noche cada una
(camas separadas)</text>
  </threadedComment>
  <threadedComment ref="F1653" dT="2025-02-13T10:05:11.33" personId="{17D30B62-2123-41F1-B603-E5411FDFA3E0}" id="{94BE6FFB-5934-48F1-AD3B-D304A76ED9D6}">
    <text>Habitacion doble para trabajadores cant 1 Costo 60€/noche
Habitacion triple para trabajadores cant 3 Costo 75€/noche cada una
(camas separadas)</text>
  </threadedComment>
  <threadedComment ref="F1656" dT="2025-02-13T10:05:11.33" personId="{17D30B62-2123-41F1-B603-E5411FDFA3E0}" id="{6CE28FD0-5840-422C-89DC-877C2DA97CF9}">
    <text>Habitacion doble para trabajadores cant 1 Costo 60€/noche
Habitacion triple para trabajadores cant 3 Costo 75€/noche cada una
(camas separadas)</text>
  </threadedComment>
  <threadedComment ref="F1657" dT="2025-02-13T10:05:11.33" personId="{17D30B62-2123-41F1-B603-E5411FDFA3E0}" id="{F4E369AE-A414-419F-830B-0573BE15443E}">
    <text>Habitacion doble para trabajadores cant 1 Costo 60€/noche
Habitacion triple para trabajadores cant 3 Costo 75€/noche cada una
(camas separadas)</text>
  </threadedComment>
  <threadedComment ref="F1658" dT="2025-02-13T10:05:11.33" personId="{17D30B62-2123-41F1-B603-E5411FDFA3E0}" id="{0B6F60DD-6DC1-44B6-9DEC-F0C92FB509A7}">
    <text>Habitacion doble para trabajadores cant 1 Costo 60€/noche
Habitacion triple para trabajadores cant 3 Costo 75€/noche cada una
(camas separadas)</text>
  </threadedComment>
  <threadedComment ref="F1661" dT="2025-03-03T17:19:31.23" personId="{17D30B62-2123-41F1-B603-E5411FDFA3E0}" id="{7EA672BD-D5B3-492B-8626-43FF598126D3}">
    <text xml:space="preserve">3 Habitaciones </text>
  </threadedComment>
  <threadedComment ref="F1663" dT="2025-02-13T10:05:11.33" personId="{17D30B62-2123-41F1-B603-E5411FDFA3E0}" id="{42B483EF-F02E-4CF3-9297-829DE253392D}">
    <text>Habitacion doble para trabajadores cant 1 Costo 60€/noche
Habitacion triple para trabajadores cant 3 Costo 75€/noche cada una
(camas separadas)</text>
  </threadedComment>
  <threadedComment ref="F1669" dT="2025-02-13T10:05:11.33" personId="{17D30B62-2123-41F1-B603-E5411FDFA3E0}" id="{EE787D20-9481-4048-9D61-4156F82AC604}">
    <text>Habitacion doble para trabajadores cant 1 Costo 60€/noche
Habitacion triple para trabajadores cant 3 Costo 75€/noche cada una
(camas separadas)</text>
  </threadedComment>
  <threadedComment ref="F1670" dT="2025-02-13T10:05:11.33" personId="{17D30B62-2123-41F1-B603-E5411FDFA3E0}" id="{A8959033-2443-4D37-BCAE-1035C417BCFC}">
    <text>Habitacion doble para trabajadores cant 1 Costo 60€/noche
Habitacion triple para trabajadores cant 3 Costo 75€/noche cada una
(camas separadas)</text>
  </threadedComment>
  <threadedComment ref="F1672" dT="2025-02-26T08:58:40.27" personId="{98986A2A-739A-4851-A979-4B0D560C46CD}" id="{502E2B5B-0988-4429-B856-EC24B21BA769}">
    <text>04 CAMAS, 1200€ALQUILER, 1200€ FIANZA</text>
  </threadedComment>
  <threadedComment ref="F1675" dT="2025-03-31T08:10:03.75" personId="{17D30B62-2123-41F1-B603-E5411FDFA3E0}" id="{446946CB-3F35-4105-95F5-FB8394EF86E4}">
    <text>5 camas, alquiler 2.250€</text>
  </threadedComment>
  <threadedComment ref="F1678" dT="2025-03-07T13:18:36.65" personId="{98986A2A-739A-4851-A979-4B0D560C46CD}" id="{F330F182-2719-4942-BE61-810D4120C93F}">
    <text>04 camas, 550€ alquiler, 550€ fianza</text>
  </threadedComment>
  <threadedComment ref="F1679" dT="2025-02-13T10:05:11.33" personId="{17D30B62-2123-41F1-B603-E5411FDFA3E0}" id="{9DE5255F-9B2E-4CDB-8C0B-2E823885314F}">
    <text>Habitacion doble para trabajadores cant 1 Costo 60€/noche
Habitacion triple para trabajadores cant 3 Costo 75€/noche cada una
(camas separadas)</text>
  </threadedComment>
  <threadedComment ref="F1680" dT="2025-02-13T10:05:11.33" personId="{17D30B62-2123-41F1-B603-E5411FDFA3E0}" id="{4F90E652-2A00-4953-BC61-1C4A1CCDE9AA}">
    <text>Habitacion doble para trabajadores cant 1 Costo 60€/noche
Habitacion triple para trabajadores cant 3 Costo 75€/noche cada una
(camas separadas)</text>
  </threadedComment>
  <threadedComment ref="F1681" dT="2025-02-13T10:05:11.33" personId="{17D30B62-2123-41F1-B603-E5411FDFA3E0}" id="{E041A8DB-CCF5-467B-A99C-4308BD9FBD85}">
    <text>Habitacion doble para trabajadores cant 1 Costo 60€/noche
Habitacion triple para trabajadores cant 3 Costo 75€/noche cada una
(camas separadas)</text>
  </threadedComment>
  <threadedComment ref="F1685" dT="2025-02-13T10:05:11.33" personId="{17D30B62-2123-41F1-B603-E5411FDFA3E0}" id="{D465B762-24DA-472A-A2EB-F1D92D932EC2}">
    <text>Habitacion doble para trabajadores cant 1 Costo 60€/noche
Habitacion triple para trabajadores cant 3 Costo 75€/noche cada una
(camas separadas)</text>
  </threadedComment>
  <threadedComment ref="F1686" dT="2025-02-13T10:05:11.33" personId="{17D30B62-2123-41F1-B603-E5411FDFA3E0}" id="{BA2DB1A8-32C7-47A1-A168-079F182E81B7}">
    <text>Habitacion doble para trabajadores cant 1 Costo 60€/noche
Habitacion triple para trabajadores cant 3 Costo 75€/noche cada una
(camas separadas)</text>
  </threadedComment>
  <threadedComment ref="F1687" dT="2025-02-13T10:05:11.33" personId="{17D30B62-2123-41F1-B603-E5411FDFA3E0}" id="{C8E3428D-403D-4121-BD7A-10F1D1190CA9}">
    <text>Habitacion doble para trabajadores cant 1 Costo 60€/noche
Habitacion triple para trabajadores cant 3 Costo 75€/noche cada una
(camas separadas)</text>
  </threadedComment>
  <threadedComment ref="F1689" dT="2025-02-13T10:05:11.33" personId="{17D30B62-2123-41F1-B603-E5411FDFA3E0}" id="{65A4B8BB-0FD6-4965-8D35-5C5ECE70C481}">
    <text>Habitacion doble para trabajadores cant 1 Costo 60€/noche
Habitacion triple para trabajadores cant 3 Costo 75€/noche cada una
(camas separadas)</text>
  </threadedComment>
  <threadedComment ref="F1690" dT="2025-03-10T12:31:32.70" personId="{17D30B62-2123-41F1-B603-E5411FDFA3E0}" id="{28C605D1-FDD5-47FF-923F-A06FE019CCA9}">
    <text xml:space="preserve">Alojamiento entero · 5 camas · 4 huéspedes </text>
  </threadedComment>
  <threadedComment ref="F1691" dT="2025-02-24T11:23:00.51" personId="{17D30B62-2123-41F1-B603-E5411FDFA3E0}" id="{65CC93B3-C000-4AC4-BBAD-3D60B2BA7165}">
    <text>1 Habitaciòn</text>
  </threadedComment>
  <threadedComment ref="F1693" dT="2025-02-24T11:23:00.51" personId="{17D30B62-2123-41F1-B603-E5411FDFA3E0}" id="{645DE304-B501-4B96-8225-3C7EA2DF1920}">
    <text>1 Habitaciòn</text>
  </threadedComment>
  <threadedComment ref="F1695" dT="2025-02-13T10:05:11.33" personId="{17D30B62-2123-41F1-B603-E5411FDFA3E0}" id="{B0DA6902-9041-448D-AFE8-A61D953FBD05}">
    <text>Habitacion doble para trabajadores cant 1 Costo 60€/noche
Habitacion triple para trabajadores cant 3 Costo 75€/noche cada una
(camas separadas)</text>
  </threadedComment>
  <threadedComment ref="F1696" dT="2025-02-24T11:23:00.51" personId="{17D30B62-2123-41F1-B603-E5411FDFA3E0}" id="{E9FC2793-9625-4F8C-97AC-1E64FCA73EE5}">
    <text>1 Habitaciòn</text>
  </threadedComment>
  <threadedComment ref="F1698" dT="2025-03-04T08:46:27.80" personId="{98986A2A-739A-4851-A979-4B0D560C46CD}" id="{6034F987-0282-492F-9B0F-9ACD5A606C4B}">
    <text>01 cama, sin fianza, transferencia al trabajador</text>
  </threadedComment>
  <threadedComment ref="F1699" dT="2025-02-25T14:27:09.00" personId="{98986A2A-739A-4851-A979-4B0D560C46CD}" id="{94A0C11E-9496-4216-9D91-909E538FB3DB}">
    <text>03 CAMAS, 1450€ ALQUILER, 600€ FIANZA. SE PAGO MARZO</text>
  </threadedComment>
  <threadedComment ref="F1703" dT="2025-02-13T10:05:11.33" personId="{17D30B62-2123-41F1-B603-E5411FDFA3E0}" id="{72152E56-730F-435F-8F29-F69C25021C72}">
    <text>Habitacion doble para trabajadores cant 1 Costo 60€/noche
Habitacion triple para trabajadores cant 3 Costo 75€/noche cada una
(camas separadas)</text>
  </threadedComment>
  <threadedComment ref="F1704" dT="2025-02-13T10:05:11.33" personId="{17D30B62-2123-41F1-B603-E5411FDFA3E0}" id="{34AAAA3E-20A1-414A-A05C-0C0851A6EEAE}">
    <text>Habitacion doble para trabajadores cant 1 Costo 60€/noche
Habitacion triple para trabajadores cant 3 Costo 75€/noche cada una
(camas separadas)</text>
  </threadedComment>
  <threadedComment ref="F1707" dT="2025-12-22T15:03:27.69" personId="{4D8483EF-5A39-4E7B-A473-929EF5A077E1}" id="{DE7DD26B-6EFA-4A9F-8C0E-4CCB1084A240}">
    <text>4 camas</text>
  </threadedComment>
  <threadedComment ref="F1708" dT="2025-02-27T12:11:48.59" personId="{98986A2A-739A-4851-A979-4B0D560C46CD}" id="{6F4B6E4D-0188-4D07-BC91-FF226F161D07}">
    <text>02 CAMAS</text>
  </threadedComment>
  <threadedComment ref="F1710" dT="2026-03-20T10:36:22.90" personId="{4D8483EF-5A39-4E7B-A473-929EF5A077E1}" id="{AF880A66-9BE1-4536-A6D2-288DD93EDA1A}">
    <text>Casa de 3 dormitorios
Dormitorio 1-2 camas individuales
Dormitorio 2-2 camas individuales
Dormitorio 3-2 sofás cama
Sala de estar 1 sofá cama</text>
    <extLst>
      <x:ext xmlns:xltc2="http://schemas.microsoft.com/office/spreadsheetml/2020/threadedcomments2" uri="{F7C98A9C-CBB3-438F-8F68-D28B6AF4A901}">
        <xltc2:checksum>2822991603</xltc2:checksum>
        <xltc2:hyperlink startIndex="0" length="21" url="https://www.booking.com/hotel/es/casa-familiar-el-gran-alacant.es.html?label=es-es-booking-desktop-onknyt5TBrS8m9RnGd*6fgS652829001115%3Apl%3Ata%3Ap1%3Ap2%3Aac%3Aap%3Aneg%3Afi%3Atikwd-65526620%3Alp9199239%3Ali%3Adec%3Adm&amp;sid=94a6c958ba7d8898ee65ce2dd0ef8aaa&amp;aid=2311236#RD1470279201"/>
      </x:ext>
    </extLst>
  </threadedComment>
  <threadedComment ref="F1712" dT="2025-03-21T15:44:19.97" personId="{17D30B62-2123-41F1-B603-E5411FDFA3E0}" id="{15EC8D5B-7F99-4FD0-9BC5-79C631F37FAE}">
    <text>Fianza 2.400€, Alquiler 1.200€, 6 Camas.</text>
  </threadedComment>
  <threadedComment ref="F1713" dT="2025-05-20T10:52:45.06" personId="{17D30B62-2123-41F1-B603-E5411FDFA3E0}" id="{E9B31EB9-410D-4D70-929A-C3A1B5F0590B}">
    <text>7 Habitaciones Dobles</text>
  </threadedComment>
  <threadedComment ref="F1714" dT="2025-05-20T10:52:45.06" personId="{17D30B62-2123-41F1-B603-E5411FDFA3E0}" id="{8FFCB3CF-1F56-41D7-AB2B-1C3C0C7E630E}">
    <text>7 Habitaciones Dobles</text>
  </threadedComment>
  <threadedComment ref="F1715" dT="2025-03-31T08:10:03.75" personId="{17D30B62-2123-41F1-B603-E5411FDFA3E0}" id="{A9B0FA25-C276-48AB-8A1D-37E7590F4B68}">
    <text>5 camas, alquiler 2.250€</text>
  </threadedComment>
  <threadedComment ref="F1716" dT="2025-10-02T10:09:40.57" personId="{17D30B62-2123-41F1-B603-E5411FDFA3E0}" id="{21631E3B-8743-4BEA-82EF-1DE7D00EF308}">
    <text>Alojamiento entero · 4 camas · 4 viajeros</text>
  </threadedComment>
  <threadedComment ref="F1717" dT="2026-01-29T14:32:41.57" personId="{4D8483EF-5A39-4E7B-A473-929EF5A077E1}" id="{30B9C7DE-D34D-4FDE-830A-6260FE106F23}">
    <text>Alojamiento para 6 personas</text>
  </threadedComment>
  <threadedComment ref="F1718" dT="2025-02-25T14:27:09.00" personId="{98986A2A-739A-4851-A979-4B0D560C46CD}" id="{45741ABE-E148-40F1-BC29-08B40D65FD6F}">
    <text>03 CAMAS, 1450€ ALQUILER, 600€ FIANZA. SE PAGO MARZO</text>
  </threadedComment>
  <threadedComment ref="F1719" dT="2025-02-13T10:05:11.33" personId="{17D30B62-2123-41F1-B603-E5411FDFA3E0}" id="{B0BE1DCE-C6AA-4495-B6AE-BA90366B0030}">
    <text>Habitacion doble para trabajadores cant 1 Costo 60€/noche
Habitacion triple para trabajadores cant 3 Costo 75€/noche cada una
(camas separadas)</text>
  </threadedComment>
  <threadedComment ref="F1720" dT="2025-02-13T10:05:11.33" personId="{17D30B62-2123-41F1-B603-E5411FDFA3E0}" id="{D99550F0-38D4-40A5-ABC2-16DBA21FE3E9}">
    <text>Habitacion doble para trabajadores cant 1 Costo 60€/noche
Habitacion triple para trabajadores cant 3 Costo 75€/noche cada una
(camas separadas)</text>
  </threadedComment>
  <threadedComment ref="F1727" dT="2025-02-13T10:05:11.33" personId="{17D30B62-2123-41F1-B603-E5411FDFA3E0}" id="{519CD68A-29AD-495D-8A2D-4591D6C19448}">
    <text>3 Camas</text>
  </threadedComment>
  <threadedComment ref="F1728" dT="2024-06-05T10:13:18.67" personId="{98986A2A-739A-4851-A979-4B0D560C46CD}" id="{0A8B4BB6-38D3-4923-8771-C2C04E840B8D}">
    <text xml:space="preserve">4 habitaciones, 2000€ ALQUILER
</text>
  </threadedComment>
  <threadedComment ref="F1735" dT="2025-02-25T14:27:09.00" personId="{98986A2A-739A-4851-A979-4B0D560C46CD}" id="{B73A914F-67B9-4258-84CB-711184BC31A8}">
    <text>03 CAMAS, 1450€ ALQUILER, 600€ FIANZA. SE PAGO MARZO</text>
  </threadedComment>
  <threadedComment ref="F1736" dT="2025-02-13T10:05:11.33" personId="{17D30B62-2123-41F1-B603-E5411FDFA3E0}" id="{0AC0D569-0450-4C53-9B73-8AB0ADE60BA3}">
    <text>Habitacion doble para trabajadores cant 1 Costo 60€/noche
Habitacion triple para trabajadores cant 3 Costo 75€/noche cada una
(camas separadas)</text>
  </threadedComment>
  <threadedComment ref="F1741" dT="2025-02-13T10:05:11.33" personId="{17D30B62-2123-41F1-B603-E5411FDFA3E0}" id="{1775C2CB-BA68-434F-9499-250F55B7C8BD}">
    <text>Habitacion doble para trabajadores cant 1 Costo 60€/noche
Habitacion triple para trabajadores cant 3 Costo 75€/noche cada una
(camas separadas)</text>
  </threadedComment>
  <threadedComment ref="F1746" dT="2025-02-13T10:05:11.33" personId="{17D30B62-2123-41F1-B603-E5411FDFA3E0}" id="{5F084CE4-8CC5-4146-AE85-554F332E308F}">
    <text>Habitacion doble para trabajadores cant 1 Costo 60€/noche
Habitacion triple para trabajadores cant 3 Costo 75€/noche cada una
(camas separadas)</text>
  </threadedComment>
  <threadedComment ref="F1747" dT="2025-02-13T10:05:11.33" personId="{17D30B62-2123-41F1-B603-E5411FDFA3E0}" id="{3D65C0B0-7429-4F64-B74A-C9113F2F04DF}">
    <text>Habitacion doble para trabajadores cant 1 Costo 60€/noche
Habitacion triple para trabajadores cant 3 Costo 75€/noche cada una
(camas separadas)</text>
  </threadedComment>
  <threadedComment ref="F1750" dT="2025-05-20T10:52:45.06" personId="{17D30B62-2123-41F1-B603-E5411FDFA3E0}" id="{F7C3E355-9D8B-4F32-A81E-61A92F1EA85F}">
    <text>7 Habitaciones Dobles</text>
  </threadedComment>
  <threadedComment ref="F1753" dT="2025-02-13T10:05:11.33" personId="{17D30B62-2123-41F1-B603-E5411FDFA3E0}" id="{4D70D47F-E16F-44F6-B0B2-E98B06FC0D12}">
    <text>Habitacion doble para trabajadores cant 1 Costo 60€/noche
Habitacion triple para trabajadores cant 3 Costo 75€/noche cada una
(camas separadas)</text>
  </threadedComment>
  <threadedComment ref="F1754" dT="2025-03-28T11:41:04.91" personId="{17D30B62-2123-41F1-B603-E5411FDFA3E0}" id="{BF1BF847-C040-4FCD-BDAE-1C574280E527}">
    <text>Apartamento de 3 habitaciones dobles (1 de matrimonio y 4 camas de 90)</text>
  </threadedComment>
  <threadedComment ref="F1755" dT="2025-03-28T11:41:04.91" personId="{17D30B62-2123-41F1-B603-E5411FDFA3E0}" id="{9EB0B131-533B-40BA-87DD-575F2B61FEA5}">
    <text>Apartamento de 3 habitaciones dobles (1 de matrimonio y 4 camas de 90)</text>
  </threadedComment>
  <threadedComment ref="F1756" dT="2025-03-28T11:41:04.91" personId="{17D30B62-2123-41F1-B603-E5411FDFA3E0}" id="{020CD498-9127-43AB-8B2C-FA2ACC8E4B58}">
    <text>Apartamento de 3 habitaciones dobles (1 de matrimonio y 4 camas de 90)</text>
  </threadedComment>
  <threadedComment ref="F1758" dT="2025-02-13T10:05:11.33" personId="{17D30B62-2123-41F1-B603-E5411FDFA3E0}" id="{87BAA357-BB2A-4D74-AEAA-19DA3FD13B3F}">
    <text>4 CAMAS</text>
  </threadedComment>
  <threadedComment ref="F1761" dT="2025-02-13T10:05:11.33" personId="{17D30B62-2123-41F1-B603-E5411FDFA3E0}" id="{917A9F12-0236-405C-9E79-532EECFA0E02}">
    <text>4 CAMAS</text>
  </threadedComment>
  <threadedComment ref="F1763" dT="2026-01-29T14:32:41.57" personId="{4D8483EF-5A39-4E7B-A473-929EF5A077E1}" id="{C5262C02-E715-4A25-9F36-838D9A9A1F1C}">
    <text>Alojamiento para 6 personas</text>
  </threadedComment>
  <threadedComment ref="F1764" dT="2026-04-24T14:08:31.91" personId="{4D8483EF-5A39-4E7B-A473-929EF5A077E1}" id="{EBC651DA-A102-48CF-8D21-570719849191}">
    <text>Alojamiento entero · 4 camas · 4 viajeros </text>
  </threadedComment>
  <threadedComment ref="F1765" dT="2026-05-20T08:56:43.03" personId="{4D8483EF-5A39-4E7B-A473-929EF5A077E1}" id="{86029976-0304-46B4-81B8-CA301EE1E890}">
    <text>(para 4 personas)</text>
  </threadedComment>
  <threadedComment ref="F1766" dT="2025-02-13T10:05:11.33" personId="{17D30B62-2123-41F1-B603-E5411FDFA3E0}" id="{54860AFD-66E6-4AA0-AF1D-0E3E67CAF721}">
    <text>Habitacion doble para trabajadores cant 1 Costo 60€/noche
Habitacion triple para trabajadores cant 3 Costo 75€/noche cada una
(camas separadas)</text>
  </threadedComment>
  <threadedComment ref="F1767" dT="2025-02-13T10:05:11.33" personId="{17D30B62-2123-41F1-B603-E5411FDFA3E0}" id="{DEDCD1FB-EDC4-4FD9-B5E7-AA6D66057F78}">
    <text>Habitacion doble para trabajadores cant 1 Costo 60€/noche
Habitacion triple para trabajadores cant 3 Costo 75€/noche cada una
(camas separadas)</text>
  </threadedComment>
  <threadedComment ref="F1769" dT="2025-02-13T10:05:11.33" personId="{17D30B62-2123-41F1-B603-E5411FDFA3E0}" id="{12A27514-52BD-43FC-9603-62628AE113DC}">
    <text>Habitacion doble para trabajadores cant 1 Costo 60€/noche
Habitacion triple para trabajadores cant 3 Costo 75€/noche cada una
(camas separadas)</text>
  </threadedComment>
  <threadedComment ref="F1770" dT="2025-03-03T14:21:43.14" personId="{98986A2A-739A-4851-A979-4B0D560C46CD}" id="{E7F7874A-A1D3-451B-963C-0CE8AA566447}">
    <text>03 camas, 600€ fianza, 600 € alquiler</text>
  </threadedComment>
  <threadedComment ref="F1771" dT="2025-05-20T10:52:45.06" personId="{17D30B62-2123-41F1-B603-E5411FDFA3E0}" id="{DE8D0C17-2AE8-4E40-AC8B-6BF1088AB47C}">
    <text>7 Habitaciones Dobles</text>
  </threadedComment>
  <threadedComment ref="F1772" dT="2024-08-19T11:49:32.68" personId="{98986A2A-739A-4851-A979-4B0D560C46CD}" id="{BCC18DD7-294F-4A5D-90E4-20FF3DAF7C04}">
    <text>01 estudio 02 camas, sin fianza, 750€ alquiler</text>
  </threadedComment>
  <threadedComment ref="F1773" dT="2025-04-24T14:36:06.83" personId="{17D30B62-2123-41F1-B603-E5411FDFA3E0}" id="{F3A10FB6-1511-483E-A9F9-DB3D285A141D}">
    <text>Alquiler 1400€ apartamento para 4 personas</text>
  </threadedComment>
  <threadedComment ref="F1774" dT="2025-04-24T14:36:06.83" personId="{17D30B62-2123-41F1-B603-E5411FDFA3E0}" id="{5F16923F-CE1D-41A6-BC50-A3762ED8775A}">
    <text>Alquiler 1400€ apartamento para 4 personas</text>
  </threadedComment>
  <threadedComment ref="F1775" dT="2025-04-24T14:36:06.83" personId="{17D30B62-2123-41F1-B603-E5411FDFA3E0}" id="{781693DA-2A02-4E26-A30E-F3AA18012C39}">
    <text>Alquiler 1400€ apartamento para 4 personas</text>
  </threadedComment>
  <threadedComment ref="F1776" dT="2025-04-24T14:36:06.83" personId="{17D30B62-2123-41F1-B603-E5411FDFA3E0}" id="{CEC40023-67AC-40DA-9F59-5993F9C536B9}">
    <text>Alquiler 1400€ apartamento para 4 personas</text>
  </threadedComment>
  <threadedComment ref="F1779" dT="2024-08-19T11:49:32.68" personId="{98986A2A-739A-4851-A979-4B0D560C46CD}" id="{7B5EE798-C792-49F1-8957-B584BC978945}">
    <text xml:space="preserve">04 CAMAS, ALQUILER 1080, SIN FIANZA
</text>
  </threadedComment>
  <threadedComment ref="F1783" dT="2025-02-13T10:05:11.33" personId="{17D30B62-2123-41F1-B603-E5411FDFA3E0}" id="{32A0BB48-A374-48A1-B19D-D59D80C4C5ED}">
    <text>Habitacion doble para trabajadores cant 1 Costo 60€/noche
Habitacion triple para trabajadores cant 3 Costo 75€/noche cada una
(camas separadas)</text>
  </threadedComment>
  <threadedComment ref="F1784" dT="2025-05-20T10:52:45.06" personId="{17D30B62-2123-41F1-B603-E5411FDFA3E0}" id="{5E92AD6B-7C12-4F62-A7B4-95B644E9F670}">
    <text>7 Habitaciones Dobles</text>
  </threadedComment>
  <threadedComment ref="F1785" dT="2025-03-31T10:59:55.85" personId="{17D30B62-2123-41F1-B603-E5411FDFA3E0}" id="{53D7502B-A130-426A-A4EC-B9770DC587D6}">
    <text xml:space="preserve">5 CAMAS </text>
  </threadedComment>
  <threadedComment ref="F1786" dT="2025-03-31T10:59:55.85" personId="{17D30B62-2123-41F1-B603-E5411FDFA3E0}" id="{3D04C3F8-CD2C-43EC-982F-6F74D72CD4D7}">
    <text xml:space="preserve">5 CAMAS </text>
  </threadedComment>
  <threadedComment ref="F1787" dT="2025-02-13T10:05:11.33" personId="{17D30B62-2123-41F1-B603-E5411FDFA3E0}" id="{69C8B11C-3F4F-44F2-87B2-580F8BEEB395}">
    <text>Habitacion doble para trabajadores cant 1 Costo 60€/noche
Habitacion triple para trabajadores cant 3 Costo 75€/noche cada una
(camas separadas)</text>
  </threadedComment>
  <threadedComment ref="F1788" dT="2025-03-31T11:08:28.46" personId="{17D30B62-2123-41F1-B603-E5411FDFA3E0}" id="{D8EA178F-E893-465A-9A07-34205B71FEBD}">
    <text>5 Camas</text>
  </threadedComment>
  <threadedComment ref="F1789" dT="2025-03-31T10:57:54.84" personId="{17D30B62-2123-41F1-B603-E5411FDFA3E0}" id="{C7D0FE03-BC70-43A4-B151-B4F9487C3D2E}">
    <text>4 CAMAS</text>
  </threadedComment>
  <threadedComment ref="F1790" dT="2025-03-31T11:16:24.21" personId="{17D30B62-2123-41F1-B603-E5411FDFA3E0}" id="{C81F807B-C806-406E-82EC-70BF198A6C87}">
    <text>Capacidad máxima
6 adultos</text>
  </threadedComment>
  <threadedComment ref="F1792" dT="2025-03-31T11:16:24.21" personId="{17D30B62-2123-41F1-B603-E5411FDFA3E0}" id="{ABB570FE-9269-4840-A6A9-9F12D5F4AAB4}">
    <text>Capacidad máxima
6 adultos</text>
  </threadedComment>
  <threadedComment ref="F1794" dT="2025-02-13T10:05:11.33" personId="{17D30B62-2123-41F1-B603-E5411FDFA3E0}" id="{4438D940-45EF-4B24-AB3F-A335BDF03EF9}">
    <text>Habitacion doble para trabajadores cant 1 Costo 60€/noche
Habitacion triple para trabajadores cant 3 Costo 75€/noche cada una
(camas separadas)</text>
  </threadedComment>
  <threadedComment ref="F1795" dT="2025-05-20T10:52:45.06" personId="{17D30B62-2123-41F1-B603-E5411FDFA3E0}" id="{F4CEA172-A967-4179-8C2D-CA9884FC5EA8}">
    <text>7 Habitaciones Dobles</text>
  </threadedComment>
  <threadedComment ref="F1796" dT="2025-03-31T11:16:24.21" personId="{17D30B62-2123-41F1-B603-E5411FDFA3E0}" id="{52616F8F-C5CA-4B1E-AA78-0ADF0DFDC145}">
    <text>Capacidad máxima
6 adultos</text>
  </threadedComment>
  <threadedComment ref="F1797" dT="2025-03-31T10:57:54.84" personId="{17D30B62-2123-41F1-B603-E5411FDFA3E0}" id="{A495D628-4585-4F15-A94A-B810000E8B8D}">
    <text>4 CAMAS</text>
  </threadedComment>
  <threadedComment ref="F1798" dT="2024-11-25T17:21:01.51" personId="{98986A2A-739A-4851-A979-4B0D560C46CD}" id="{BA454C9F-2DBD-4B56-B2BE-D37875CF1AE0}">
    <text xml:space="preserve">Alquiler 650 Fianza 650 camas 4 ( 2 camas dobles propietaria y 2 kotrik) 
</text>
  </threadedComment>
  <threadedComment ref="F1799" dT="2025-05-20T10:52:45.06" personId="{17D30B62-2123-41F1-B603-E5411FDFA3E0}" id="{1386C930-8DFD-493F-9705-5D270D4A2960}">
    <text>7 Habitaciones Dobles</text>
  </threadedComment>
  <threadedComment ref="F1800" dT="2025-02-13T10:05:11.33" personId="{17D30B62-2123-41F1-B603-E5411FDFA3E0}" id="{1BD89AC8-5FD5-47EB-A3EB-69CBF5A9FFB4}">
    <text>Habitacion doble para trabajadores cant 1 Costo 60€/noche
Habitacion triple para trabajadores cant 3 Costo 75€/noche cada una
(camas separadas)</text>
  </threadedComment>
  <threadedComment ref="F1802" dT="2025-03-31T11:08:28.46" personId="{17D30B62-2123-41F1-B603-E5411FDFA3E0}" id="{100D058E-6A86-40CD-8AA5-B246B7725856}">
    <text>5 Camas</text>
  </threadedComment>
  <threadedComment ref="F1803" dT="2025-03-31T11:08:28.46" personId="{17D30B62-2123-41F1-B603-E5411FDFA3E0}" id="{568BC079-2447-4102-9C2C-048B461AE607}">
    <text>5 Camas</text>
  </threadedComment>
  <threadedComment ref="F1804" dT="2025-03-31T11:16:24.21" personId="{17D30B62-2123-41F1-B603-E5411FDFA3E0}" id="{DD21FD7A-26B6-4803-9717-297F9D35F10C}">
    <text>Capacidad máxima
6 adultos</text>
  </threadedComment>
  <threadedComment ref="F1805" dT="2025-05-05T09:51:05.97" personId="{17D30B62-2123-41F1-B603-E5411FDFA3E0}" id="{01E1FCCE-F067-4AD5-9385-ECABA5728894}">
    <text>3 CAMAS Alquiler 1.604,80 € Fianza600€</text>
  </threadedComment>
  <threadedComment ref="F1806" dT="2025-05-05T09:51:05.97" personId="{17D30B62-2123-41F1-B603-E5411FDFA3E0}" id="{29FDD906-B2E2-4F3D-8E07-A8B503D6D6A7}">
    <text>3 CAMAS Alquiler 1.604,80 € Fianza600€</text>
  </threadedComment>
  <threadedComment ref="F1807" dT="2025-05-05T09:51:05.97" personId="{17D30B62-2123-41F1-B603-E5411FDFA3E0}" id="{DC241A91-4CE9-4166-8892-2F955E532C8F}">
    <text>3 CAMAS Alquiler 1.604,80 € Fianza600€</text>
  </threadedComment>
  <threadedComment ref="F1810" dT="2025-02-13T10:05:11.33" personId="{17D30B62-2123-41F1-B603-E5411FDFA3E0}" id="{A0BA6C76-4FB7-42F3-B331-63346ECF9A9E}">
    <text>Habitacion doble para trabajadores cant 1 Costo 60€/noche
Habitacion triple para trabajadores cant 3 Costo 75€/noche cada una
(camas separadas)</text>
  </threadedComment>
  <threadedComment ref="F1813" dT="2025-04-16T16:17:15.83" personId="{17D30B62-2123-41F1-B603-E5411FDFA3E0}" id="{CBEC6EE9-8171-45F5-9E09-F74695FA7C5D}">
    <text>1.195€   Alquiler 1.800€ Fianza 3 camas</text>
  </threadedComment>
  <threadedComment ref="F1815" dT="2025-04-16T16:17:15.83" personId="{17D30B62-2123-41F1-B603-E5411FDFA3E0}" id="{B2A7DF46-8BE1-43D2-B0CF-1EC163A6B152}">
    <text>1.195€   Alquiler 1.800€ Fianza 3 camas</text>
  </threadedComment>
  <threadedComment ref="F1816" dT="2025-02-13T10:05:11.33" personId="{17D30B62-2123-41F1-B603-E5411FDFA3E0}" id="{54BA0857-0B69-4CA7-BC00-02FD0582AEB4}">
    <text>Habitacion doble para trabajadores cant 1 Costo 60€/noche
Habitacion triple para trabajadores cant 3 Costo 75€/noche cada una
(camas separadas)</text>
  </threadedComment>
  <threadedComment ref="F1820" dT="2025-05-20T10:52:45.06" personId="{17D30B62-2123-41F1-B603-E5411FDFA3E0}" id="{F9C4A850-C7C3-4CC4-B040-A6561E5B5A7F}">
    <text>7 Habitaciones Dobles</text>
  </threadedComment>
  <threadedComment ref="F1829" dT="2024-08-19T11:49:32.68" personId="{98986A2A-739A-4851-A979-4B0D560C46CD}" id="{72E09D0E-8592-4A6D-856A-CEC3ABC13A63}">
    <text>3 habitaciones, 04 CAMAS, 1100€ ALQUILER,</text>
  </threadedComment>
  <threadedComment ref="F1838" dT="2025-05-20T10:52:45.06" personId="{17D30B62-2123-41F1-B603-E5411FDFA3E0}" id="{574B21E9-F5E6-4D49-8CE2-8215E925C261}">
    <text>7 Habitaciones Dobles</text>
  </threadedComment>
  <threadedComment ref="F1839" dT="2025-05-20T10:52:45.06" personId="{17D30B62-2123-41F1-B603-E5411FDFA3E0}" id="{B22FAB9D-36D7-40F1-A9A0-F9A39350FD28}">
    <text>7 Habitaciones Dobles</text>
  </threadedComment>
  <threadedComment ref="F1840" dT="2025-05-20T10:52:45.06" personId="{17D30B62-2123-41F1-B603-E5411FDFA3E0}" id="{426E18A9-56ED-405A-A948-CD75F99CF600}">
    <text>7 Habitaciones Dobles</text>
  </threadedComment>
  <threadedComment ref="F1841" dT="2025-05-20T10:52:45.06" personId="{17D30B62-2123-41F1-B603-E5411FDFA3E0}" id="{BB3DC384-07EA-4282-9FD0-21CD38655A71}">
    <text>7 Habitaciones Dobles</text>
  </threadedComment>
  <threadedComment ref="F1849" dT="2025-04-30T11:00:49.95" personId="{17D30B62-2123-41F1-B603-E5411FDFA3E0}" id="{54325F7C-E88E-4BBE-9715-A9392D763428}">
    <text xml:space="preserve">Alquiler 850€ Fianza 850€ 7 camas </text>
  </threadedComment>
  <threadedComment ref="F1850" dT="2025-03-03T15:39:24.40" personId="{98986A2A-739A-4851-A979-4B0D560C46CD}" id="{98D5BFA1-5DBC-430C-8EAB-2A2F08AB3713}">
    <text>1200€ alquiler, 05 camas, 1200€ fianza</text>
  </threadedComment>
  <threadedComment ref="F1851" dT="2025-02-13T10:05:11.33" personId="{17D30B62-2123-41F1-B603-E5411FDFA3E0}" id="{BD6E4716-7E1B-456D-A4B3-162F881EC2F5}">
    <text>Habitacion doble para trabajadores cant 1 Costo 60€/noche
Habitacion triple para trabajadores cant 3 Costo 75€/noche cada una
(camas separadas)</text>
  </threadedComment>
  <threadedComment ref="F1852" dT="2025-02-13T10:05:11.33" personId="{17D30B62-2123-41F1-B603-E5411FDFA3E0}" id="{B1876AA9-9321-4550-9D6D-041B863924A2}">
    <text>Habitacion doble para trabajadores cant 1 Costo 60€/noche
Habitacion triple para trabajadores cant 3 Costo 75€/noche cada una
(camas separadas)</text>
  </threadedComment>
  <threadedComment ref="F1853" dT="2025-02-13T10:05:11.33" personId="{17D30B62-2123-41F1-B603-E5411FDFA3E0}" id="{A22290DD-014A-4D1E-9D77-7A795617792D}">
    <text>Habitacion doble para trabajadores cant 1 Costo 60€/noche
Habitacion triple para trabajadores cant 3 Costo 75€/noche cada una
(camas separadas)</text>
  </threadedComment>
  <threadedComment ref="F1854" dT="2025-02-13T10:05:11.33" personId="{17D30B62-2123-41F1-B603-E5411FDFA3E0}" id="{9715DA22-47C0-42AF-ADB5-E31E716BCFE6}">
    <text>01 apartamento para 3 personas y 03 apartamentos para 2 personas</text>
  </threadedComment>
  <threadedComment ref="F1856" dT="2025-02-13T10:05:11.33" personId="{17D30B62-2123-41F1-B603-E5411FDFA3E0}" id="{D010C7F2-734D-4838-A252-ED00CF98A200}">
    <text>1 Habitación Triple de Baño privado</text>
  </threadedComment>
  <threadedComment ref="F1859" dT="2025-03-28T10:34:30.44" personId="{17D30B62-2123-41F1-B603-E5411FDFA3E0}" id="{F2BD1A3A-C5AB-4F92-9335-8DA4C9385326}">
    <text>Habitación 400 € Mes con servicios incluidos</text>
  </threadedComment>
  <threadedComment ref="F1860" dT="2025-03-28T10:34:30.44" personId="{17D30B62-2123-41F1-B603-E5411FDFA3E0}" id="{A59BF54D-38B3-47E8-B750-B113F33FE2E4}">
    <text>Habitación 400 € Mes con servicios incluidos</text>
  </threadedComment>
  <threadedComment ref="F1861" dT="2025-05-20T10:52:45.06" personId="{17D30B62-2123-41F1-B603-E5411FDFA3E0}" id="{C77F50B2-01F4-4748-A0DA-1403BB4DEF8C}">
    <text>7 Habitaciones Dobles</text>
  </threadedComment>
  <threadedComment ref="F1862" dT="2025-02-13T10:05:11.33" personId="{17D30B62-2123-41F1-B603-E5411FDFA3E0}" id="{D3DB2CCD-FBD1-407E-9519-41EA1AD3658E}">
    <text>Habitacion doble para trabajadores cant 1 Costo 60€/noche
Habitacion triple para trabajadores cant 3 Costo 75€/noche cada una
(camas separadas)</text>
  </threadedComment>
  <threadedComment ref="F1863" dT="2025-05-20T07:05:47.72" personId="{17D30B62-2123-41F1-B603-E5411FDFA3E0}" id="{E8BF6619-2E0F-471E-BFA8-0416F72866BA}">
    <text>1 Habitación Triple</text>
  </threadedComment>
  <threadedComment ref="F1866" dT="2025-02-13T10:05:11.33" personId="{17D30B62-2123-41F1-B603-E5411FDFA3E0}" id="{E32C6C66-B180-41D1-86D3-911088A81897}">
    <text>Habitacion doble para trabajadores cant 1 Costo 60€/noche
Habitacion triple para trabajadores cant 3 Costo 75€/noche cada una
(camas separadas)</text>
  </threadedComment>
  <threadedComment ref="F1868" dT="2025-02-13T10:05:11.33" personId="{17D30B62-2123-41F1-B603-E5411FDFA3E0}" id="{398A3A8A-F62E-44BA-A5CF-87517FCB27C7}">
    <text>Habitacion doble para trabajadores cant 1 Costo 60€/noche
Habitacion triple para trabajadores cant 3 Costo 75€/noche cada una
(camas separadas)</text>
  </threadedComment>
  <threadedComment ref="F1869" dT="2025-02-13T10:05:11.33" personId="{17D30B62-2123-41F1-B603-E5411FDFA3E0}" id="{35372CDA-0036-4B7F-9F34-7459C10E2A73}">
    <text>Habitacion doble para trabajadores cant 1 Costo 60€/noche
Habitacion triple para trabajadores cant 3 Costo 75€/noche cada una
(camas separadas)</text>
  </threadedComment>
  <threadedComment ref="F1870" dT="2025-02-13T10:05:11.33" personId="{17D30B62-2123-41F1-B603-E5411FDFA3E0}" id="{ED74C16B-0677-4775-BBA0-E728F8E6A884}">
    <text>Habitacion doble para trabajadores cant 1 Costo 60€/noche
Habitacion triple para trabajadores cant 3 Costo 75€/noche cada una
(camas separadas)</text>
  </threadedComment>
  <threadedComment ref="F1871" dT="2025-02-13T10:05:11.33" personId="{17D30B62-2123-41F1-B603-E5411FDFA3E0}" id="{1DAA45F8-5902-40DE-BE08-72D3F6A8691C}">
    <text>Habitacion doble para trabajadores cant 1 Costo 60€/noche
Habitacion triple para trabajadores cant 3 Costo 75€/noche cada una
(camas separadas)</text>
  </threadedComment>
  <threadedComment ref="F1875" dT="2025-05-20T10:52:45.06" personId="{17D30B62-2123-41F1-B603-E5411FDFA3E0}" id="{2CC40DE8-0A2C-45C7-B3B2-00729C2E716A}">
    <text>7 Habitaciones Dobles</text>
  </threadedComment>
  <threadedComment ref="F1876" dT="2025-05-21T09:30:56.83" personId="{17D30B62-2123-41F1-B603-E5411FDFA3E0}" id="{17C6066B-CD0A-4FB4-A123-4C1B9830CBA1}">
    <text>Alojamiento entero · 5 camas · 5 huéspedes </text>
  </threadedComment>
  <threadedComment ref="F1877" dT="2025-02-13T10:05:11.33" personId="{17D30B62-2123-41F1-B603-E5411FDFA3E0}" id="{67FB66AA-19F9-44E7-9805-0B00F49AC79D}">
    <text>Habitacion doble para trabajadores cant 1 Costo 60€/noche
Habitacion triple para trabajadores cant 3 Costo 75€/noche cada una
(camas separadas)</text>
  </threadedComment>
  <threadedComment ref="F1878" dT="2025-02-13T10:05:11.33" personId="{17D30B62-2123-41F1-B603-E5411FDFA3E0}" id="{2B3D110B-D49A-4AE4-9E18-50BD4E3D1992}">
    <text>Habitacion doble para trabajadores cant 1 Costo 60€/noche
Habitacion triple para trabajadores cant 3 Costo 75€/noche cada una
(camas separadas)</text>
  </threadedComment>
  <threadedComment ref="F1879" dT="2025-02-13T10:05:11.33" personId="{17D30B62-2123-41F1-B603-E5411FDFA3E0}" id="{0CC30296-D5CB-46F7-8965-4419F2340A19}">
    <text>Alquiler 903.20€ 4 camas</text>
  </threadedComment>
  <threadedComment ref="F1880" dT="2025-02-13T10:05:11.33" personId="{17D30B62-2123-41F1-B603-E5411FDFA3E0}" id="{35B4EA5E-8F54-4A43-B3CC-44022F681F8B}">
    <text>Habitacion doble para trabajadores cant 1 Costo 60€/noche
Habitacion triple para trabajadores cant 3 Costo 75€/noche cada una
(camas separadas)</text>
  </threadedComment>
  <threadedComment ref="F1881" dT="2024-11-05T09:17:59.63" personId="{17D30B62-2123-41F1-B603-E5411FDFA3E0}" id="{3F4689D9-F8E0-477D-BF09-52DEFE7E7813}">
    <text>Alquiler 1400  Fianza 2800 Camas 6</text>
  </threadedComment>
  <threadedComment ref="F1881" dT="2024-12-30T10:06:22.23" personId="{98986A2A-739A-4851-A979-4B0D560C46CD}" id="{283BC935-F33D-4CF1-ABD7-EF28A88C024D}" parentId="{3F4689D9-F8E0-477D-BF09-52DEFE7E7813}">
    <text>+01 cama Kotrik llevada 28/12</text>
  </threadedComment>
  <threadedComment ref="F1882" dT="2025-02-13T10:05:11.33" personId="{17D30B62-2123-41F1-B603-E5411FDFA3E0}" id="{A039D1C1-3CC6-4C9A-9912-2D8443C507F4}">
    <text>Habitacion doble para trabajadores cant 1 Costo 60€/noche
Habitacion triple para trabajadores cant 3 Costo 75€/noche cada una
(camas separadas)</text>
  </threadedComment>
  <threadedComment ref="F1883" dT="2025-02-13T10:05:11.33" personId="{17D30B62-2123-41F1-B603-E5411FDFA3E0}" id="{C7362469-9168-45BA-AEBD-25F5BBFE718B}">
    <text>1 Habitación Triple de Baño privado</text>
  </threadedComment>
  <threadedComment ref="F1884" dT="2025-02-13T10:05:11.33" personId="{17D30B62-2123-41F1-B603-E5411FDFA3E0}" id="{DAC48133-ABF9-4C41-8063-2FC465A7F88E}">
    <text>Alquiler 903.20€ 4 camas</text>
  </threadedComment>
  <threadedComment ref="F1885" dT="2024-11-05T09:17:59.63" personId="{17D30B62-2123-41F1-B603-E5411FDFA3E0}" id="{F62CD489-1677-4FC3-9003-85776F1BB4F3}">
    <text>Alquiler 1400  Fianza 2800 Camas 6</text>
  </threadedComment>
  <threadedComment ref="F1885" dT="2024-12-30T10:06:22.23" personId="{98986A2A-739A-4851-A979-4B0D560C46CD}" id="{2F662CCC-6744-491F-9E62-644DA1BFB92D}" parentId="{F62CD489-1677-4FC3-9003-85776F1BB4F3}">
    <text>+01 cama Kotrik llevada 28/12</text>
  </threadedComment>
  <threadedComment ref="F1886" dT="2025-03-21T15:44:19.97" personId="{17D30B62-2123-41F1-B603-E5411FDFA3E0}" id="{E8B5C738-E049-48AF-84CF-9520887FB199}">
    <text>Fianza 2.400€, Alquiler 1.200€, 6 Camas.</text>
  </threadedComment>
  <threadedComment ref="F1887" dT="2024-11-05T09:17:59.63" personId="{17D30B62-2123-41F1-B603-E5411FDFA3E0}" id="{C30320CA-07AA-4E98-8B75-65EF4ACD7942}">
    <text>Alquiler 1400  Fianza 2800 Camas 6</text>
  </threadedComment>
  <threadedComment ref="F1887" dT="2024-12-30T10:06:22.23" personId="{98986A2A-739A-4851-A979-4B0D560C46CD}" id="{5AF51FEB-453C-415F-A538-9B4CB5ED1915}" parentId="{C30320CA-07AA-4E98-8B75-65EF4ACD7942}">
    <text>+01 cama Kotrik llevada 28/12</text>
  </threadedComment>
  <threadedComment ref="F1888" dT="2025-02-13T10:05:11.33" personId="{17D30B62-2123-41F1-B603-E5411FDFA3E0}" id="{BFEC8992-1A19-46AF-9C3F-9C4E56F80676}">
    <text>Alquiler 903.20€ 4 camas</text>
  </threadedComment>
  <threadedComment ref="F1889" dT="2025-05-21T09:30:56.83" personId="{17D30B62-2123-41F1-B603-E5411FDFA3E0}" id="{A4768EB2-B86B-4D65-A8FD-5A4A3643E883}">
    <text>Alojamiento entero · 5 camas · 5 huéspedes </text>
  </threadedComment>
  <threadedComment ref="F1891" dT="2025-05-21T09:30:56.83" personId="{17D30B62-2123-41F1-B603-E5411FDFA3E0}" id="{22459EC7-7F8A-429F-9B25-A2FC66E42686}">
    <text>Alojamiento entero · 5 camas · 5 huéspedes </text>
  </threadedComment>
  <threadedComment ref="F1892" dT="2025-02-13T10:05:11.33" personId="{17D30B62-2123-41F1-B603-E5411FDFA3E0}" id="{4271377D-BCF7-4CDE-AD63-E2DCE7DB607A}">
    <text>Habitacion doble para trabajadores cant 1 Costo 60€/noche
Habitacion triple para trabajadores cant 3 Costo 75€/noche cada una
(camas separadas)</text>
  </threadedComment>
  <threadedComment ref="F1893" dT="2025-05-21T09:30:56.83" personId="{17D30B62-2123-41F1-B603-E5411FDFA3E0}" id="{34122289-AC95-43ED-BC29-AAECA5EDAB70}">
    <text>Alojamiento entero · 5 camas · 5 huéspedes </text>
  </threadedComment>
  <threadedComment ref="F1894" dT="2025-03-21T15:44:19.97" personId="{17D30B62-2123-41F1-B603-E5411FDFA3E0}" id="{7361DDE1-D236-4915-B4E6-BAF5457583C1}">
    <text>Fianza 2.400€, Alquiler 1.200€, 6 Camas.</text>
  </threadedComment>
  <threadedComment ref="F1895" dT="2025-02-13T10:05:11.33" personId="{17D30B62-2123-41F1-B603-E5411FDFA3E0}" id="{3F1EED7A-D8EB-412C-9E41-76FF6F377D2A}">
    <text>Alquiler 903.20€ 4 camas</text>
  </threadedComment>
  <threadedComment ref="F1896" dT="2025-02-13T10:05:11.33" personId="{17D30B62-2123-41F1-B603-E5411FDFA3E0}" id="{F690E487-CE03-4709-B5EB-1D9977F03709}">
    <text>Habitacion doble para trabajadores cant 1 Costo 60€/noche
Habitacion triple para trabajadores cant 3 Costo 75€/noche cada una
(camas separadas)</text>
  </threadedComment>
  <threadedComment ref="F1897" dT="2025-02-13T10:05:11.33" personId="{17D30B62-2123-41F1-B603-E5411FDFA3E0}" id="{7177335D-D039-48A4-BFF3-30BBC9A97574}">
    <text>Habitacion doble para trabajadores cant 1 Costo 60€/noche
Habitacion triple para trabajadores cant 3 Costo 75€/noche cada una
(camas separadas)</text>
  </threadedComment>
  <threadedComment ref="F1898" dT="2025-02-13T10:05:11.33" personId="{17D30B62-2123-41F1-B603-E5411FDFA3E0}" id="{2A3B7EFF-144B-49E3-BCA7-417B1A504BE0}">
    <text>Habitacion doble para trabajadores cant 1 Costo 60€/noche
Habitacion triple para trabajadores cant 3 Costo 75€/noche cada una
(camas separadas)</text>
  </threadedComment>
  <threadedComment ref="F1899" dT="2024-06-25T09:14:46.90" personId="{98986A2A-739A-4851-A979-4B0D560C46CD}" id="{77F54B05-29F5-4A96-903A-FB37E27CAE2E}">
    <text>Fianza 1000, alquiler 1250, 05 camas. Nuevo Contrato Febrero 2025</text>
  </threadedComment>
  <threadedComment ref="F1900" dT="2025-02-13T10:05:11.33" personId="{17D30B62-2123-41F1-B603-E5411FDFA3E0}" id="{DDAADE80-737F-4108-AD55-8A5B5DA91CC2}">
    <text>Habitacion doble para trabajadores cant 1 Costo 60€/noche
Habitacion triple para trabajadores cant 3 Costo 75€/noche cada una
(camas separadas)</text>
  </threadedComment>
  <threadedComment ref="F1901" dT="2025-03-31T08:10:03.75" personId="{17D30B62-2123-41F1-B603-E5411FDFA3E0}" id="{AC6C39D8-45CA-4238-8746-827FDE573968}">
    <text>5 camas, alquiler 2.250€</text>
  </threadedComment>
  <threadedComment ref="F1902" dT="2025-03-03T15:39:24.40" personId="{98986A2A-739A-4851-A979-4B0D560C46CD}" id="{FB41A5F3-8D86-4599-ADE4-40043DC12D23}">
    <text>1200€ alquiler, 05 camas, 1200€ fianza</text>
  </threadedComment>
  <threadedComment ref="F1903" dT="2026-05-15T14:22:00.00" personId="{4D8483EF-5A39-4E7B-A473-929EF5A077E1}" id="{C73A31A2-7251-41C9-877B-A3FB5EE11C3E}">
    <text xml:space="preserve">Alojamiento para 4 personas.
 2 apartamento DOBLES </text>
  </threadedComment>
  <threadedComment ref="F1905" dT="2025-02-13T10:05:11.33" personId="{17D30B62-2123-41F1-B603-E5411FDFA3E0}" id="{74A22BD6-8FDF-4D8F-BA13-8AB474B953D7}">
    <text>4 CAMAS</text>
  </threadedComment>
  <threadedComment ref="F1907" dT="2025-04-24T14:36:06.83" personId="{17D30B62-2123-41F1-B603-E5411FDFA3E0}" id="{F56CC020-91B3-4A1D-8550-B82DC54B05F7}">
    <text>Alquiler 1400€ apartamento para 4 personas</text>
  </threadedComment>
  <threadedComment ref="F1909" dT="2025-02-13T10:05:11.33" personId="{17D30B62-2123-41F1-B603-E5411FDFA3E0}" id="{CBABA9C0-89D3-46A6-AF36-686701D87F41}">
    <text>Habitacion doble para trabajadores cant 1 Costo 60€/noche
Habitacion triple para trabajadores cant 3 Costo 75€/noche cada una
(camas separadas)</text>
  </threadedComment>
  <threadedComment ref="F1913" dT="2025-04-24T14:36:06.83" personId="{17D30B62-2123-41F1-B603-E5411FDFA3E0}" id="{25CE206A-7EB1-4C30-8CC3-5A74BFD1D824}">
    <text>Alquiler 1400€ apartamento para 4 personas</text>
  </threadedComment>
  <threadedComment ref="F1916" dT="2025-02-13T10:05:11.33" personId="{17D30B62-2123-41F1-B603-E5411FDFA3E0}" id="{A4962D25-3C76-474E-84AF-806E3CF23D9F}">
    <text>Habitacion doble para trabajadores cant 1 Costo 60€/noche
Habitacion triple para trabajadores cant 3 Costo 75€/noche cada una
(camas separadas)</text>
  </threadedComment>
  <threadedComment ref="F1917" dT="2025-03-04T08:46:27.80" personId="{98986A2A-739A-4851-A979-4B0D560C46CD}" id="{12B97FA6-3262-4719-8CDA-FF1610D8CFA2}">
    <text>01 cama, sin fianza, transferencia al trabajador</text>
  </threadedComment>
  <threadedComment ref="F1918" dT="2025-05-29T16:46:04.29" personId="{17D30B62-2123-41F1-B603-E5411FDFA3E0}" id="{8A9187AB-DEAC-4C89-862D-4F7E4D47DF8A}">
    <text>4 habitaciones dobles con lavabo al precio de 40 €/U</text>
  </threadedComment>
  <threadedComment ref="F1919" dT="2025-05-29T16:46:04.29" personId="{17D30B62-2123-41F1-B603-E5411FDFA3E0}" id="{8A90F9AD-8F94-4FF7-AB80-4931B3479CDE}">
    <text>4 habitaciones dobles con lavabo al precio de 40 €/U</text>
  </threadedComment>
  <threadedComment ref="F1920" dT="2025-05-29T16:46:04.29" personId="{17D30B62-2123-41F1-B603-E5411FDFA3E0}" id="{09F87D82-EE96-4B2A-9978-A264E5FECE6E}">
    <text>4 habitaciones dobles con lavabo al precio de 40 €/U</text>
  </threadedComment>
  <threadedComment ref="F1921" dT="2025-05-29T16:46:04.29" personId="{17D30B62-2123-41F1-B603-E5411FDFA3E0}" id="{E2274140-0047-47F6-858C-E350C34DD7F6}">
    <text>4 habitaciones dobles con lavabo al precio de 40 €/U</text>
  </threadedComment>
  <threadedComment ref="F1923" dT="2025-05-29T16:46:04.29" personId="{17D30B62-2123-41F1-B603-E5411FDFA3E0}" id="{292EAE13-BB7E-44A2-90E5-4C14574B6818}">
    <text>4 habitaciones dobles con lavabo al precio de 40 €/U</text>
  </threadedComment>
  <threadedComment ref="F1924" dT="2025-02-13T10:05:11.33" personId="{17D30B62-2123-41F1-B603-E5411FDFA3E0}" id="{17AFD52A-5CCD-4DC7-9C33-D4982564C143}">
    <text>01 apartamento para 3 personas y 03 apartamentos para 2 personas</text>
  </threadedComment>
  <threadedComment ref="F1925" dT="2025-04-07T06:50:18.61" personId="{98986A2A-739A-4851-A979-4B0D560C46CD}" id="{57E7AA2D-B930-4E6D-B4CA-F1E0891BA166}">
    <text>05 CAMAS</text>
  </threadedComment>
  <threadedComment ref="F1926" dT="2025-03-03T18:16:08.96" personId="{98986A2A-739A-4851-A979-4B0D560C46CD}" id="{477AA7F7-BD4D-4B27-A595-AE769430E25D}">
    <text>03 camas, 1500€ alquiler, 600€ fianza</text>
  </threadedComment>
  <threadedComment ref="F1928" dT="2025-03-24T10:15:02.97" personId="{17D30B62-2123-41F1-B603-E5411FDFA3E0}" id="{EE4B3C5C-6916-4E27-8D1A-F891F81B013A}">
    <text>400€ Por persona alquiler mes, Fianza 500€, 5 Camas.</text>
  </threadedComment>
  <threadedComment ref="F1929" dT="2025-03-24T10:15:02.97" personId="{17D30B62-2123-41F1-B603-E5411FDFA3E0}" id="{462625B4-3DE3-4940-B349-ADEB18725682}">
    <text>400€ Por persona alquiler mes, Fianza 500€, 5 Camas.</text>
  </threadedComment>
  <threadedComment ref="F1934" dT="2025-03-24T10:15:02.97" personId="{17D30B62-2123-41F1-B603-E5411FDFA3E0}" id="{31FE69F5-2332-4122-9A5A-440823CF7A65}">
    <text>400€ Por persona alquiler mes, Fianza 500€, 5 Camas.</text>
  </threadedComment>
  <threadedComment ref="F1935" dT="2025-05-07T15:20:49.27" personId="{17D30B62-2123-41F1-B603-E5411FDFA3E0}" id="{B1E23383-FDCE-4324-9230-C152F5FC80D1}">
    <text>Alojamiento para 6 personas 3.450€</text>
  </threadedComment>
  <threadedComment ref="F1936" dT="2025-02-13T10:05:11.33" personId="{17D30B62-2123-41F1-B603-E5411FDFA3E0}" id="{323273D0-EADF-4C99-B88D-E2965FEFBDDE}">
    <text>Habitacion doble para trabajadores cant 1 Costo 60€/noche
Habitacion triple para trabajadores cant 3 Costo 75€/noche cada una
(camas separadas)</text>
  </threadedComment>
  <threadedComment ref="F1937" dT="2025-04-29T17:02:27.40" personId="{17D30B62-2123-41F1-B603-E5411FDFA3E0}" id="{3825FA98-A9B3-4DA5-8E72-50CC7CEAF036}">
    <text xml:space="preserve">Alquiler 1.800€ Fianza 500€ -4 Camas </text>
  </threadedComment>
  <threadedComment ref="F1938" dT="2025-02-13T10:05:11.33" personId="{17D30B62-2123-41F1-B603-E5411FDFA3E0}" id="{52CB87A6-8D5B-4379-A942-83248C5A2375}">
    <text>Habitacion doble para trabajadores cant 1 Costo 60€/noche
Habitacion triple para trabajadores cant 3 Costo 75€/noche cada una
(camas separadas)</text>
  </threadedComment>
  <threadedComment ref="F1939" dT="2025-05-07T15:20:49.27" personId="{17D30B62-2123-41F1-B603-E5411FDFA3E0}" id="{D3F4708C-CE58-41DA-AE93-00D5BAB1CBF7}">
    <text>Alojamiento para 6 personas 3.450€</text>
  </threadedComment>
  <threadedComment ref="F1940" dT="2025-05-21T09:30:56.83" personId="{17D30B62-2123-41F1-B603-E5411FDFA3E0}" id="{B4DCACC2-437A-445B-B4CC-9EF7CCC2B1A1}">
    <text>Alojamiento entero · 5 camas · 5 huéspedes </text>
  </threadedComment>
  <threadedComment ref="F1941" dT="2025-02-13T10:05:11.33" personId="{17D30B62-2123-41F1-B603-E5411FDFA3E0}" id="{D0E389E8-E746-4E61-8DCF-85DEE1C3C8AD}">
    <text>Habitacion doble para trabajadores cant 1 Costo 60€/noche
Habitacion triple para trabajadores cant 3 Costo 75€/noche cada una
(camas separadas)</text>
  </threadedComment>
  <threadedComment ref="F1942" dT="2025-02-13T10:05:11.33" personId="{17D30B62-2123-41F1-B603-E5411FDFA3E0}" id="{DD16A7C5-75F2-4054-9672-589BD2FF44BA}">
    <text xml:space="preserve">2 Habitacion </text>
  </threadedComment>
  <threadedComment ref="F1943" dT="2025-02-13T10:05:11.33" personId="{17D30B62-2123-41F1-B603-E5411FDFA3E0}" id="{FE851FAA-D45F-4F63-9323-65EE8CD94A95}">
    <text>Habitacion doble para trabajadores cant 1 Costo 60€/noche
Habitacion triple para trabajadores cant 3 Costo 75€/noche cada una
(camas separadas)</text>
  </threadedComment>
  <threadedComment ref="F1946" dT="2025-02-13T10:05:11.33" personId="{17D30B62-2123-41F1-B603-E5411FDFA3E0}" id="{1660C2B2-6C64-4561-80C3-2EA2DE5EB9CD}">
    <text>Habitacion doble para trabajadores cant 1 Costo 60€/noche
Habitacion triple para trabajadores cant 3 Costo 75€/noche cada una
(camas separadas)</text>
  </threadedComment>
  <threadedComment ref="W1946" dT="2024-06-18T08:48:14.50" personId="{98986A2A-739A-4851-A979-4B0D560C46CD}" id="{7F886356-30A3-4A9B-9A78-507639BEC345}">
    <text xml:space="preserve">Est afianza pasa a Jeisson reemplazo de Ricardo
</text>
  </threadedComment>
  <threadedComment ref="F1948" dT="2025-02-13T10:05:11.33" personId="{17D30B62-2123-41F1-B603-E5411FDFA3E0}" id="{6DD1B635-7915-48D1-B3AC-5FD4124B14F8}">
    <text>Habitacion doble para trabajadores cant 1 Costo 60€/noche
Habitacion triple para trabajadores cant 3 Costo 75€/noche cada una
(camas separadas)</text>
  </threadedComment>
  <threadedComment ref="W1948" dT="2024-07-24T11:09:08.00" personId="{98986A2A-739A-4851-A979-4B0D560C46CD}" id="{9C935796-9F10-42B5-8B87-27D4964CFEEE}">
    <text>Esta fianza pasa a Marco</text>
  </threadedComment>
  <threadedComment ref="F1949" dT="2025-02-13T10:05:11.33" personId="{17D30B62-2123-41F1-B603-E5411FDFA3E0}" id="{4C614177-E911-4D6B-9A22-FC694E01C37D}">
    <text>Habitacion doble para trabajadores cant 1 Costo 60€/noche
Habitacion triple para trabajadores cant 3 Costo 75€/noche cada una
(camas separadas)</text>
  </threadedComment>
  <threadedComment ref="F1950" dT="2025-02-13T10:05:11.33" personId="{17D30B62-2123-41F1-B603-E5411FDFA3E0}" id="{6339B36C-2F05-437A-9BAC-98B4DFE3368A}">
    <text>Habitacion doble para trabajadores cant 1 Costo 60€/noche
Habitacion triple para trabajadores cant 3 Costo 75€/noche cada una
(camas separadas)</text>
  </threadedComment>
  <threadedComment ref="F1951" dT="2024-08-08T15:05:50.75" personId="{8BEA8CB1-BB33-44FC-A791-4439DE945680}" id="{69B34BF2-F08C-476A-B0B4-11A9BDCC4435}">
    <text>Alquiler 1380 Fianza 2760 Camas 5</text>
  </threadedComment>
  <threadedComment ref="F1952" dT="2025-02-26T14:29:45.42" personId="{17D30B62-2123-41F1-B603-E5411FDFA3E0}" id="{410AB333-2E74-4C02-A19C-AAF77DF31F6F}">
    <text>9 Camas, Alquiler 2300€, Fianza 700€</text>
  </threadedComment>
  <threadedComment ref="F1952" dT="2026-01-21T15:11:00.84" personId="{4D8483EF-5A39-4E7B-A473-929EF5A077E1}" id="{0B0933D5-980E-4EC6-AAC1-D0F5765CDE80}" parentId="{410AB333-2E74-4C02-A19C-AAF77DF31F6F}">
    <text xml:space="preserve">Descuento a 2000€ </text>
  </threadedComment>
  <threadedComment ref="F1953" dT="2025-03-04T17:12:38.85" personId="{98986A2A-739A-4851-A979-4B0D560C46CD}" id="{AE161493-A10B-439A-B69E-A1908483C6D7}">
    <text>09 camas, 2100€ fianza, 2100€ alquiler +50€ luz =2150€</text>
  </threadedComment>
  <threadedComment ref="F1954" dT="2025-04-29T17:02:27.40" personId="{17D30B62-2123-41F1-B603-E5411FDFA3E0}" id="{8FEC7426-8129-4951-B2D8-BB5DD863319B}">
    <text xml:space="preserve">Alquiler 1.800€ Fianza 500€ -4 Camas </text>
  </threadedComment>
  <threadedComment ref="F1955" dT="2024-11-07T17:15:37.18" personId="{98986A2A-739A-4851-A979-4B0D560C46CD}" id="{5E41C3DC-E71A-4A31-BEDA-4B0D8BFDB65C}">
    <text>04 camas 1500€, fianza 1000€</text>
  </threadedComment>
  <threadedComment ref="F1957" dT="2025-05-07T15:20:49.27" personId="{17D30B62-2123-41F1-B603-E5411FDFA3E0}" id="{8C86004D-DF7A-4705-890A-68D36D27112C}">
    <text>Alojamiento para 6 personas 3.450€</text>
  </threadedComment>
  <threadedComment ref="F1958" dT="2025-02-13T10:05:11.33" personId="{17D30B62-2123-41F1-B603-E5411FDFA3E0}" id="{FED9617D-C7D9-4AE2-B954-CAC67FE9A2D8}">
    <text>Habitacion doble para trabajadores cant 1 Costo 60€/noche
Habitacion triple para trabajadores cant 3 Costo 75€/noche cada una
(camas separadas)</text>
  </threadedComment>
  <threadedComment ref="F1960" dT="2025-02-13T10:05:11.33" personId="{17D30B62-2123-41F1-B603-E5411FDFA3E0}" id="{827F083F-1C65-4857-B8F0-A610C99CD442}">
    <text>Habitacion doble para trabajadores cant 1 Costo 60€/noche
Habitacion triple para trabajadores cant 3 Costo 75€/noche cada una
(camas separadas)</text>
  </threadedComment>
  <threadedComment ref="F1961" dT="2025-02-26T14:29:45.42" personId="{17D30B62-2123-41F1-B603-E5411FDFA3E0}" id="{0E4A5466-F26D-439B-AF91-F36A70183980}">
    <text>9 Camas, Alquiler 2300€, Fianza 700€</text>
  </threadedComment>
  <threadedComment ref="F1961" dT="2026-01-21T15:11:00.84" personId="{4D8483EF-5A39-4E7B-A473-929EF5A077E1}" id="{28EC4C4B-106C-4EFE-8055-208E3ABAECFD}" parentId="{0E4A5466-F26D-439B-AF91-F36A70183980}">
    <text xml:space="preserve">Descuento a 2000€ </text>
  </threadedComment>
  <threadedComment ref="F1962" dT="2025-02-13T10:05:11.33" personId="{17D30B62-2123-41F1-B603-E5411FDFA3E0}" id="{157AC6F9-71C5-445C-90BF-2408F81F37B5}">
    <text>Habitacion doble para trabajadores cant 1 Costo 60€/noche
Habitacion triple para trabajadores cant 3 Costo 75€/noche cada una
(camas separadas)</text>
  </threadedComment>
  <threadedComment ref="F1964" dT="2026-07-20T14:53:39.34" personId="{4D8483EF-5A39-4E7B-A473-929EF5A077E1}" id="{8C381730-F636-4274-B36C-5A30019067E1}">
    <text xml:space="preserve">1500€ mes de Julio (14/07 al 14/08)
3000€ dos meses de fianza 
6 Camas
+01 cama Kotrik llevada 28/12/25
</text>
  </threadedComment>
  <threadedComment ref="F1968" dT="2025-02-13T10:05:11.33" personId="{17D30B62-2123-41F1-B603-E5411FDFA3E0}" id="{3DEB0F96-F8A0-4B1D-B07B-961E0C1C65E4}">
    <text>Habitacion doble para trabajadores cant 1 Costo 60€/noche
Habitacion triple para trabajadores cant 3 Costo 75€/noche cada una
(camas separadas)</text>
  </threadedComment>
  <threadedComment ref="F1969" dT="2025-02-13T10:05:11.33" personId="{17D30B62-2123-41F1-B603-E5411FDFA3E0}" id="{BBE8CEC8-BDCD-4A52-8D2A-308DD184FAAA}">
    <text>Habitacion doble para trabajadores cant 1 Costo 60€/noche
Habitacion triple para trabajadores cant 3 Costo 75€/noche cada una
(camas separadas)</text>
  </threadedComment>
  <threadedComment ref="F1971" dT="2025-05-20T07:05:47.72" personId="{17D30B62-2123-41F1-B603-E5411FDFA3E0}" id="{96D79736-0B99-428F-8CD4-52BFD4523F16}">
    <text>1 Habitación Triple</text>
  </threadedComment>
  <threadedComment ref="F1972" dT="2025-03-31T10:57:54.84" personId="{17D30B62-2123-41F1-B603-E5411FDFA3E0}" id="{83DD07BA-940F-4CC0-9326-7F8AEDE860D1}">
    <text>4 CAMAS Alquiler 1.620,95 € Fianza 600€</text>
  </threadedComment>
  <threadedComment ref="F1973" dT="2025-03-31T11:08:28.46" personId="{17D30B62-2123-41F1-B603-E5411FDFA3E0}" id="{62689724-8153-484A-9980-8EDCCBE69B59}">
    <text>5 Camas Alquiler 1.846,20 € Fianza 600€</text>
  </threadedComment>
  <threadedComment ref="F1974" dT="2025-03-07T13:26:33.19" personId="{98986A2A-739A-4851-A979-4B0D560C46CD}" id="{4B9F4F74-6041-4C22-988B-98484C8ED519}">
    <text>900€ alquiler, 900€ fianza, 03 camas</text>
  </threadedComment>
  <threadedComment ref="F1975" dT="2025-03-04T17:12:38.85" personId="{98986A2A-739A-4851-A979-4B0D560C46CD}" id="{D1757329-1C70-45D1-BF94-644F3FD51017}">
    <text>09 camas, 2100€ fianza, 2100€ alquiler +50€ luz =2150€</text>
  </threadedComment>
  <threadedComment ref="F1976" dT="2025-03-31T10:57:54.84" personId="{17D30B62-2123-41F1-B603-E5411FDFA3E0}" id="{5CAFADBC-55C4-4DB6-9995-E79B90292CFB}">
    <text>4 CAMAS Alquiler 1.620,95 € Fianza 600€</text>
  </threadedComment>
  <threadedComment ref="F1978" dT="2025-03-07T10:15:30.92" personId="{17D30B62-2123-41F1-B603-E5411FDFA3E0}" id="{71AE9B69-835C-4EAC-98A4-CB5432347BA2}">
    <text xml:space="preserve">Renta 1.050€ 
Suministros 200€
Huésped extra 150€ ( cuando se requiera ) 
Servicio de limpieza 300€ + IVA ( 363€) 
</text>
  </threadedComment>
  <threadedComment ref="F1980" dT="2025-02-13T10:05:11.33" personId="{17D30B62-2123-41F1-B603-E5411FDFA3E0}" id="{84F44E87-9215-47BE-8C2A-86FB13B3FFAE}">
    <text>Habitacion doble para trabajadores cant 1 Costo 60€/noche
Habitacion triple para trabajadores cant 3 Costo 75€/noche cada una
(camas separadas)</text>
  </threadedComment>
  <threadedComment ref="F1982" dT="2025-02-13T10:05:11.33" personId="{17D30B62-2123-41F1-B603-E5411FDFA3E0}" id="{15F3A58F-0349-4C79-A5E6-B75E7209750A}">
    <text>Habitacion doble para trabajadores cant 1 Costo 60€/noche
Habitacion triple para trabajadores cant 3 Costo 75€/noche cada una
(camas separadas)</text>
  </threadedComment>
  <threadedComment ref="F1983" dT="2025-02-13T10:05:11.33" personId="{17D30B62-2123-41F1-B603-E5411FDFA3E0}" id="{5DA9C53E-C63F-4D46-9108-8E7AD9532B8E}">
    <text>Habitacion doble para trabajadores cant 1 Costo 60€/noche
Habitacion triple para trabajadores cant 3 Costo 75€/noche cada una
(camas separadas)</text>
  </threadedComment>
  <threadedComment ref="F1984" dT="2025-02-13T10:05:11.33" personId="{17D30B62-2123-41F1-B603-E5411FDFA3E0}" id="{5D0C4CD4-7974-4688-82E6-18B033146AF3}">
    <text>Habitacion doble para trabajadores cant 1 Costo 60€/noche
Habitacion triple para trabajadores cant 3 Costo 75€/noche cada una
(camas separadas)</text>
  </threadedComment>
  <threadedComment ref="F1985" dT="2025-05-20T07:05:47.72" personId="{17D30B62-2123-41F1-B603-E5411FDFA3E0}" id="{1D63B8E2-02CA-49B1-A158-A14951799075}">
    <text>1 Habitación Triple</text>
  </threadedComment>
  <threadedComment ref="F1986" dT="2025-02-26T14:29:45.42" personId="{17D30B62-2123-41F1-B603-E5411FDFA3E0}" id="{99909709-EC83-412F-99D0-FE71377C2872}">
    <text>9 Camas, Alquiler 2300€, Fianza 700€</text>
  </threadedComment>
  <threadedComment ref="F1986" dT="2026-01-21T15:11:00.84" personId="{4D8483EF-5A39-4E7B-A473-929EF5A077E1}" id="{D8477F2E-510C-4FC3-B0C6-65F40A82DE50}" parentId="{99909709-EC83-412F-99D0-FE71377C2872}">
    <text xml:space="preserve">Descuento a 2000€ </text>
  </threadedComment>
  <threadedComment ref="F1987" dT="2025-05-20T07:05:47.72" personId="{17D30B62-2123-41F1-B603-E5411FDFA3E0}" id="{636072A1-6358-40E9-9588-9C29142918A0}">
    <text>1 Habitación Triple</text>
  </threadedComment>
  <threadedComment ref="F1988" dT="2025-03-31T11:08:28.46" personId="{17D30B62-2123-41F1-B603-E5411FDFA3E0}" id="{9C323E7B-6478-4359-AD13-DD2FC0446DDE}">
    <text>5 Camas Alquiler 1.846,20 € Fianza 600€</text>
  </threadedComment>
  <threadedComment ref="F1990" dT="2025-02-26T14:29:45.42" personId="{17D30B62-2123-41F1-B603-E5411FDFA3E0}" id="{19773CD9-8D17-43AD-943E-1A61DD28647E}">
    <text>9 Camas, Alquiler 2300€, Fianza 700€</text>
  </threadedComment>
  <threadedComment ref="F1990" dT="2026-01-21T15:11:00.84" personId="{4D8483EF-5A39-4E7B-A473-929EF5A077E1}" id="{F0DAA1AA-26E3-4AD7-8610-FB691871CAE4}" parentId="{19773CD9-8D17-43AD-943E-1A61DD28647E}">
    <text xml:space="preserve">Descuento a 2000€ </text>
  </threadedComment>
  <threadedComment ref="F1991" dT="2025-05-21T09:39:32.90" personId="{17D30B62-2123-41F1-B603-E5411FDFA3E0}" id="{FDE0516C-993A-4D00-ABF0-3A8E135EA27A}">
    <text>1 Habitación, Alquiler 300€, el pago se realiza a cada trabajador</text>
  </threadedComment>
  <threadedComment ref="F1992" dT="2025-02-13T10:05:11.33" personId="{17D30B62-2123-41F1-B603-E5411FDFA3E0}" id="{DAD3C833-AB11-458F-A474-DE6AB03B7884}">
    <text>Habitacion doble para trabajadores cant 1 Costo 60€/noche
Habitacion triple para trabajadores cant 3 Costo 75€/noche cada una
(camas separadas)</text>
  </threadedComment>
  <threadedComment ref="F1993" dT="2025-02-26T14:29:45.42" personId="{17D30B62-2123-41F1-B603-E5411FDFA3E0}" id="{0B0D0309-2B1D-4CE7-A3E4-964262781C87}">
    <text>9 Camas, Alquiler 2300€, Fianza 700€</text>
  </threadedComment>
  <threadedComment ref="F1993" dT="2026-01-21T15:11:00.84" personId="{4D8483EF-5A39-4E7B-A473-929EF5A077E1}" id="{61400D93-B884-4CCD-85A2-736BD3F095BC}" parentId="{0B0D0309-2B1D-4CE7-A3E4-964262781C87}">
    <text xml:space="preserve">Descuento a 2000€ </text>
  </threadedComment>
  <threadedComment ref="F1994" dT="2025-02-26T14:29:45.42" personId="{17D30B62-2123-41F1-B603-E5411FDFA3E0}" id="{A9D71F60-A43D-4FB3-9C5E-E03A11DCD30C}">
    <text>9 Camas, Alquiler 2300€, Fianza 700€</text>
  </threadedComment>
  <threadedComment ref="F1994" dT="2026-01-21T15:11:00.84" personId="{4D8483EF-5A39-4E7B-A473-929EF5A077E1}" id="{FC7CBFBD-3E2A-41D4-9A8B-A163CBDDFC7C}" parentId="{A9D71F60-A43D-4FB3-9C5E-E03A11DCD30C}">
    <text xml:space="preserve">Descuento a 2000€ </text>
  </threadedComment>
  <threadedComment ref="F1995" dT="2025-02-25T07:41:27.36" personId="{98986A2A-739A-4851-A979-4B0D560C46CD}" id="{A9D92443-3852-4974-93A3-2DE3B5F1F0D6}">
    <text>Alquiler 2300 Camas 5</text>
  </threadedComment>
  <threadedComment ref="F1996" dT="2025-03-31T11:16:24.21" personId="{17D30B62-2123-41F1-B603-E5411FDFA3E0}" id="{E5A334F9-9FDA-452F-A3CB-3E945FB1D418}">
    <text>Capacidad máxima
6 adultos Alquiler 1.809,45 € Fianza 600€</text>
  </threadedComment>
  <threadedComment ref="F1997" dT="2025-02-13T10:05:11.33" personId="{17D30B62-2123-41F1-B603-E5411FDFA3E0}" id="{2CA37E9A-6D34-4BE3-9A08-C5A13601DBD2}">
    <text>Habitacion doble para trabajadores cant 1 Costo 60€/noche
Habitacion triple para trabajadores cant 3 Costo 75€/noche cada una
(camas separadas)</text>
  </threadedComment>
  <threadedComment ref="F1998" dT="2025-02-13T10:05:11.33" personId="{17D30B62-2123-41F1-B603-E5411FDFA3E0}" id="{BB0C10B6-D6A7-40DF-B08C-E04E10912CCB}">
    <text>Habitacion doble para trabajadores cant 1 Costo 60€/noche
Habitacion triple para trabajadores cant 3 Costo 75€/noche cada una
(camas separadas)</text>
  </threadedComment>
  <threadedComment ref="F1999" dT="2025-05-21T09:39:32.90" personId="{17D30B62-2123-41F1-B603-E5411FDFA3E0}" id="{FC82C133-FB13-490F-8D87-734A7F58609F}">
    <text>1 Habitación, Alquiler 300€, el pago se realiza a cada trabajador</text>
  </threadedComment>
  <threadedComment ref="F2000" dT="2025-05-21T09:39:32.90" personId="{17D30B62-2123-41F1-B603-E5411FDFA3E0}" id="{5D4DC3A9-E82B-484E-AE15-95345704E9F6}">
    <text>1 Habitación, Alquiler 300€, el pago se realiza a cada trabajador</text>
  </threadedComment>
  <threadedComment ref="F2001" dT="2025-05-20T10:52:45.06" personId="{17D30B62-2123-41F1-B603-E5411FDFA3E0}" id="{FF835D17-D48F-4F8C-9D4C-C2F08EFD8084}">
    <text>7 Habitaciones Dobles</text>
  </threadedComment>
  <threadedComment ref="F2002" dT="2025-02-13T10:05:11.33" personId="{17D30B62-2123-41F1-B603-E5411FDFA3E0}" id="{F594AD7B-6C87-4CBA-84DE-BD5B48BDA620}">
    <text>4 CAMAS</text>
  </threadedComment>
  <threadedComment ref="F2003" dT="2025-02-13T10:05:11.33" personId="{17D30B62-2123-41F1-B603-E5411FDFA3E0}" id="{53C99187-9D5A-495B-B15D-ABEB8E1B2CC1}">
    <text xml:space="preserve">350 cada habitación </text>
  </threadedComment>
  <threadedComment ref="F2004" dT="2025-05-29T07:46:33.84" personId="{17D30B62-2123-41F1-B603-E5411FDFA3E0}" id="{83E608FA-C34A-44B9-9424-89F0FEDD4219}">
    <text>Habitacion doble camas separadas.
Cantidad 1.</text>
  </threadedComment>
  <threadedComment ref="F2005" dT="2025-02-13T10:05:11.33" personId="{17D30B62-2123-41F1-B603-E5411FDFA3E0}" id="{60E3C290-B480-44F6-BF26-A0FA00A1E060}">
    <text xml:space="preserve">350 cada habitación </text>
  </threadedComment>
  <threadedComment ref="F2006" dT="2025-02-13T10:05:11.33" personId="{17D30B62-2123-41F1-B603-E5411FDFA3E0}" id="{D1975233-8BB4-44F2-9A02-F9251F626376}">
    <text>Habitacion doble para trabajadores cant 1 Costo 60€/noche
Habitacion triple para trabajadores cant 3 Costo 75€/noche cada una
(camas separadas)</text>
  </threadedComment>
  <threadedComment ref="W2006" dT="2024-07-08T10:28:55.08" personId="{98986A2A-739A-4851-A979-4B0D560C46CD}" id="{C093052D-58EE-445E-B380-7590E7683A85}">
    <text>Fianza de Cesar</text>
  </threadedComment>
  <threadedComment ref="F2007" dT="2025-05-29T07:46:33.84" personId="{17D30B62-2123-41F1-B603-E5411FDFA3E0}" id="{1A1440DA-55E0-4600-AF49-9E84C6D5A5E6}">
    <text>Habitacion doble camas separadas.
Cantidad 1.</text>
  </threadedComment>
  <threadedComment ref="F2008" dT="2025-05-20T10:52:45.06" personId="{17D30B62-2123-41F1-B603-E5411FDFA3E0}" id="{5BA5E382-9ABC-4937-9CFE-0868C95D783D}">
    <text>7 Habitaciones Dobles</text>
  </threadedComment>
  <threadedComment ref="F2009" dT="2025-03-31T11:08:28.46" personId="{17D30B62-2123-41F1-B603-E5411FDFA3E0}" id="{952CC204-D9A8-4D7B-BFAF-342BC5C9C9C4}">
    <text>5 Camas Alquiler 1.846,20 € Fianza 600€</text>
  </threadedComment>
  <threadedComment ref="F2010" dT="2025-05-20T10:52:45.06" personId="{17D30B62-2123-41F1-B603-E5411FDFA3E0}" id="{B30AF5FE-9FDA-4BF7-9D1F-9FAEBA559969}">
    <text>7 Habitaciones Dobles</text>
  </threadedComment>
  <threadedComment ref="F2011" dT="2025-02-13T10:05:11.33" personId="{17D30B62-2123-41F1-B603-E5411FDFA3E0}" id="{586C855D-1EDF-45B5-A109-75714C868F00}">
    <text>Habitacion doble para trabajadores cant 1 Costo 60€/noche
Habitacion triple para trabajadores cant 3 Costo 75€/noche cada una
(camas separadas)</text>
  </threadedComment>
  <threadedComment ref="F2012" dT="2025-03-31T10:57:54.84" personId="{17D30B62-2123-41F1-B603-E5411FDFA3E0}" id="{484F7650-5475-4D94-B3D1-E299B0377EDB}">
    <text>4 CAMAS Alquiler 1.620,95 € Fianza 600€</text>
  </threadedComment>
  <threadedComment ref="F2013" dT="2025-02-13T10:05:11.33" personId="{17D30B62-2123-41F1-B603-E5411FDFA3E0}" id="{0F4A3417-E667-4661-93CA-F108135134E4}">
    <text>Habitacion doble para trabajadores cant 1 Costo 60€/noche
Habitacion triple para trabajadores cant 3 Costo 75€/noche cada una
(camas separadas)</text>
  </threadedComment>
  <threadedComment ref="F2014" dT="2025-02-25T08:01:07.95" personId="{98986A2A-739A-4851-A979-4B0D560C46CD}" id="{CC8C680C-129C-401D-A455-E5262DEEF529}">
    <text>03 camas, 1300€ alquiler, 200€ fianza</text>
  </threadedComment>
  <threadedComment ref="F2015" dT="2025-03-31T11:16:24.21" personId="{17D30B62-2123-41F1-B603-E5411FDFA3E0}" id="{7E737B61-52B9-4F3C-9D22-B4169731F358}">
    <text>Capacidad máxima
6 adultos Alquiler 1.809,45 € Fianza 600€</text>
  </threadedComment>
  <threadedComment ref="F2016" dT="2025-02-13T10:05:11.33" personId="{17D30B62-2123-41F1-B603-E5411FDFA3E0}" id="{64585BAE-26F7-4044-8721-DB66954D8B32}">
    <text>Habitacion doble para trabajadores cant 1 Costo 60€/noche
Habitacion triple para trabajadores cant 3 Costo 75€/noche cada una
(camas separadas)</text>
  </threadedComment>
  <threadedComment ref="F2018" dT="2025-03-31T11:16:24.21" personId="{17D30B62-2123-41F1-B603-E5411FDFA3E0}" id="{EE30915B-B650-4EA2-8EB6-FB8026EC11FE}">
    <text>Capacidad máxima
6 adultos Alquiler 1.809,45 € Fianza 600€</text>
  </threadedComment>
  <threadedComment ref="F2019" dT="2025-03-31T11:16:24.21" personId="{17D30B62-2123-41F1-B603-E5411FDFA3E0}" id="{2E67C41B-2DD8-4B75-85AC-00E0772BD4C8}">
    <text>Capacidad máxima
6 adultos Alquiler 1.809,45 € Fianza 600€</text>
  </threadedComment>
  <threadedComment ref="F2020" dT="2025-03-31T10:57:54.84" personId="{17D30B62-2123-41F1-B603-E5411FDFA3E0}" id="{F636A529-2793-4C4B-B204-8E307909E86A}">
    <text>4 CAMAS Alquiler 1.620,95 € Fianza 600€</text>
  </threadedComment>
  <threadedComment ref="F2021" dT="2025-03-31T11:08:28.46" personId="{17D30B62-2123-41F1-B603-E5411FDFA3E0}" id="{6CF5B98C-BFC7-42ED-99B1-C775D516E417}">
    <text>5 Camas Alquiler 1.846,20 € Fianza 600€</text>
  </threadedComment>
  <threadedComment ref="F2022" dT="2025-03-31T11:08:28.46" personId="{17D30B62-2123-41F1-B603-E5411FDFA3E0}" id="{E76ABD2A-34D0-44A8-892B-E3DE3AFEEF0B}">
    <text>5 Camas Alquiler 1.846,20 € Fianza 600€</text>
  </threadedComment>
  <threadedComment ref="F2023" dT="2025-03-31T11:16:24.21" personId="{17D30B62-2123-41F1-B603-E5411FDFA3E0}" id="{398CD10D-D97C-4CEC-B7F3-985CF6361D99}">
    <text>Capacidad máxima
6 adultos Alquiler 1.809,45 € Fianza 600€</text>
  </threadedComment>
  <threadedComment ref="F2024" dT="2025-03-07T10:15:30.92" personId="{17D30B62-2123-41F1-B603-E5411FDFA3E0}" id="{E6BAC681-2B99-4190-AB18-AEA6F0279AC9}">
    <text xml:space="preserve">Renta 1.050€ 
Suministros 200€
Huésped extra 150€ ( cuando se requiera ) 
Servicio de limpieza 300€ + IVA ( 363€) 
</text>
  </threadedComment>
  <threadedComment ref="F2025" dT="2025-02-13T10:05:11.33" personId="{17D30B62-2123-41F1-B603-E5411FDFA3E0}" id="{CDF83063-B1B8-4EEB-B015-B55178413EC5}">
    <text>Habitacion doble para trabajadores cant 1 Costo 60€/noche
Habitacion triple para trabajadores cant 3 Costo 75€/noche cada una
(camas separadas)</text>
  </threadedComment>
  <threadedComment ref="F2026" dT="2025-02-26T14:29:45.42" personId="{17D30B62-2123-41F1-B603-E5411FDFA3E0}" id="{B1E30AE4-54C9-4420-A545-A9A6FE16E964}">
    <text>9 Camas, Alquiler 2300€, Fianza 700€</text>
  </threadedComment>
  <threadedComment ref="F2026" dT="2026-01-21T15:11:00.84" personId="{4D8483EF-5A39-4E7B-A473-929EF5A077E1}" id="{AAB9B961-F9E5-44F2-9F19-65633A0CECBF}" parentId="{B1E30AE4-54C9-4420-A545-A9A6FE16E964}">
    <text xml:space="preserve">Descuento a 2000€ </text>
  </threadedComment>
  <threadedComment ref="F2027" dT="2024-07-08T10:22:06.21" personId="{98986A2A-739A-4851-A979-4B0D560C46CD}" id="{C4CDD413-3D1E-416A-BB5D-0268FEE4670D}">
    <text>1650 FIANZA, 1200 ALQUILER,4 habitaciones</text>
  </threadedComment>
  <threadedComment ref="W2027" dT="2024-07-24T13:34:19.92" personId="{98986A2A-739A-4851-A979-4B0D560C46CD}" id="{07FE6F0B-D21F-46ED-B1DB-48441FE5D84B}">
    <text>Fianza de Nelson Acosta de Raùl Gata</text>
  </threadedComment>
  <threadedComment ref="F2028" dT="2025-02-13T10:05:11.33" personId="{17D30B62-2123-41F1-B603-E5411FDFA3E0}" id="{180676EE-5361-4EF9-9E3A-5B5B2FD582D7}">
    <text>4 CAMAS</text>
  </threadedComment>
  <threadedComment ref="F2029" dT="2025-02-13T10:05:11.33" personId="{17D30B62-2123-41F1-B603-E5411FDFA3E0}" id="{B81E102A-5B25-4C44-8E99-9C658407249A}">
    <text>Habitacion doble para trabajadores cant 1 Costo 60€/noche
Habitacion triple para trabajadores cant 3 Costo 75€/noche cada una
(camas separadas)</text>
  </threadedComment>
  <threadedComment ref="F2030" dT="2024-07-08T10:22:06.21" personId="{98986A2A-739A-4851-A979-4B0D560C46CD}" id="{2648A5F0-E44B-4907-8680-BE75A3E4BBF6}">
    <text>1650 FIANZA, 1200 ALQUILER,4 habitaciones</text>
  </threadedComment>
  <threadedComment ref="F2031" dT="2025-04-29T17:02:27.40" personId="{17D30B62-2123-41F1-B603-E5411FDFA3E0}" id="{73B17C6D-BCDB-44C9-BD02-1F6F9E080984}">
    <text xml:space="preserve">Alquiler 1.800€ Fianza 500€ -4 Camas </text>
  </threadedComment>
  <threadedComment ref="F2032" dT="2025-02-13T10:05:11.33" personId="{17D30B62-2123-41F1-B603-E5411FDFA3E0}" id="{477426F9-DA4B-4DFA-8445-9AA659911D4A}">
    <text>Habitacion doble para trabajadores cant 1 Costo 60€/noche
Habitacion triple para trabajadores cant 3 Costo 75€/noche cada una
(camas separadas)</text>
  </threadedComment>
  <threadedComment ref="F2033" dT="2025-05-20T10:52:45.06" personId="{17D30B62-2123-41F1-B603-E5411FDFA3E0}" id="{46509750-6356-443F-AFB1-83C4ABFCFE53}">
    <text>7 Habitaciones Dobles</text>
  </threadedComment>
  <threadedComment ref="F2035" dT="2025-02-13T10:05:11.33" personId="{17D30B62-2123-41F1-B603-E5411FDFA3E0}" id="{DD94C25D-42EA-43D7-9104-C7ED8407A45A}">
    <text>Habitacion doble para trabajadores cant 1 Costo 60€/noche
Habitacion triple para trabajadores cant 3 Costo 75€/noche cada una
(camas separadas)</text>
  </threadedComment>
  <threadedComment ref="F2038" dT="2025-02-26T14:29:45.42" personId="{17D30B62-2123-41F1-B603-E5411FDFA3E0}" id="{9F69632B-344D-49DD-AC40-0B6004BA502B}">
    <text>9 Camas, Alquiler 2300€, Fianza 700€</text>
  </threadedComment>
  <threadedComment ref="F2038" dT="2026-01-21T15:11:00.84" personId="{4D8483EF-5A39-4E7B-A473-929EF5A077E1}" id="{7553D84F-9CAC-43E8-8DBC-D7C8177995CE}" parentId="{9F69632B-344D-49DD-AC40-0B6004BA502B}">
    <text xml:space="preserve">Descuento a 2000€ </text>
  </threadedComment>
  <threadedComment ref="F2039" dT="2025-02-13T10:05:11.33" personId="{17D30B62-2123-41F1-B603-E5411FDFA3E0}" id="{4106C6A4-E2A4-4F78-92C9-F2C868C55991}">
    <text>01 apartamento para 3 personas y 03 apartamentos para 2 personas</text>
  </threadedComment>
  <threadedComment ref="F2040" dT="2025-02-13T10:05:11.33" personId="{17D30B62-2123-41F1-B603-E5411FDFA3E0}" id="{DF822A48-D7B7-4112-9CB5-CE0E388DCE69}">
    <text>Habitacion doble para trabajadores cant 1 Costo 60€/noche
Habitacion triple para trabajadores cant 3 Costo 75€/noche cada una
(camas separadas)</text>
  </threadedComment>
  <threadedComment ref="F2042" dT="2025-03-10T11:22:43.72" personId="{17D30B62-2123-41F1-B603-E5411FDFA3E0}" id="{55D609CD-45D5-4517-9BCD-9C1F50F390A3}">
    <text>1950€/mes, suministros incluidos, para 4 personas, 4 camas. 800€ de fianza.</text>
  </threadedComment>
  <threadedComment ref="F2043" dT="2025-03-10T11:22:43.72" personId="{17D30B62-2123-41F1-B603-E5411FDFA3E0}" id="{DFF83C38-1978-4454-BCB0-6BDFACE0A06C}">
    <text>1950€/mes, suministros incluidos, para 4 personas, 4 camas. 800€ de fianza.</text>
  </threadedComment>
  <threadedComment ref="F2044" dT="2025-02-13T10:05:11.33" personId="{17D30B62-2123-41F1-B603-E5411FDFA3E0}" id="{418B0BD7-4599-4EEE-B35B-5234B4EF8D8C}">
    <text>Habitacion doble para trabajadores cant 1 Costo 60€/noche
Habitacion triple para trabajadores cant 3 Costo 75€/noche cada una
(camas separadas)</text>
  </threadedComment>
  <threadedComment ref="F2045" dT="2025-01-03T11:18:45.85" personId="{98986A2A-739A-4851-A979-4B0D560C46CD}" id="{DE828EF5-6D8E-4C1F-A109-E928F43C830B}">
    <text>10 camas renta 3300€, fianza 1700€</text>
  </threadedComment>
  <threadedComment ref="F2046" dT="2025-02-13T10:05:11.33" personId="{17D30B62-2123-41F1-B603-E5411FDFA3E0}" id="{EE329E6B-3AAC-4ADA-99BB-A2DCB6404D56}">
    <text>Habitacion doble para trabajadores cant 1 Costo 60€/noche
Habitacion triple para trabajadores cant 3 Costo 75€/noche cada una
(camas separadas)</text>
  </threadedComment>
  <threadedComment ref="F2047" dT="2025-02-13T10:05:11.33" personId="{17D30B62-2123-41F1-B603-E5411FDFA3E0}" id="{DA7A0D56-920B-4B61-BFE3-1BEF339E39DB}">
    <text>Habitacion doble para trabajadores cant 1 Costo 60€/noche
Habitacion triple para trabajadores cant 3 Costo 75€/noche cada una
(camas separadas)</text>
  </threadedComment>
  <threadedComment ref="F2049" dT="2025-02-13T10:05:11.33" personId="{17D30B62-2123-41F1-B603-E5411FDFA3E0}" id="{EFED7CE5-1EF7-4908-8234-557E36A934AB}">
    <text>4 CAMAS</text>
  </threadedComment>
  <threadedComment ref="F2053" dT="2025-05-20T10:52:45.06" personId="{17D30B62-2123-41F1-B603-E5411FDFA3E0}" id="{6DAD2732-963D-4200-8734-E00368E27C29}">
    <text>7 Habitaciones Dobles</text>
  </threadedComment>
  <threadedComment ref="F2054" dT="2025-03-18T09:49:27.52" personId="{98986A2A-739A-4851-A979-4B0D560C46CD}" id="{67430AE1-EA0B-4309-93BD-542933FD9ED3}">
    <text>04 camas, 400€ alquiler, 400€ fianza</text>
  </threadedComment>
  <threadedComment ref="F2055" dT="2025-02-13T10:05:11.33" personId="{17D30B62-2123-41F1-B603-E5411FDFA3E0}" id="{2881A653-1F80-4F81-BFFA-66127A9A9D31}">
    <text>Habitacion doble para trabajadores cant 1 Costo 60€/noche
Habitacion triple para trabajadores cant 3 Costo 75€/noche cada una
(camas separadas)</text>
  </threadedComment>
  <threadedComment ref="F2056" dT="2025-02-13T10:05:11.33" personId="{17D30B62-2123-41F1-B603-E5411FDFA3E0}" id="{C0BFF3CD-B783-497C-8222-45F72DE4B9A0}">
    <text>Habitacion doble para trabajadores cant 1 Costo 60€/noche
Habitacion triple para trabajadores cant 3 Costo 75€/noche cada una
(camas separadas)</text>
  </threadedComment>
  <threadedComment ref="F2062" dT="2025-02-26T14:29:45.42" personId="{17D30B62-2123-41F1-B603-E5411FDFA3E0}" id="{A43B8709-C8E1-40EA-9DE0-B525D2D400EE}">
    <text>9 Camas, Alquiler 2300€, Fianza 700€</text>
  </threadedComment>
  <threadedComment ref="F2062" dT="2026-01-21T15:11:00.84" personId="{4D8483EF-5A39-4E7B-A473-929EF5A077E1}" id="{F8654B8E-2802-4356-BA86-310355D65F04}" parentId="{A43B8709-C8E1-40EA-9DE0-B525D2D400EE}">
    <text xml:space="preserve">Descuento a 2000€ </text>
  </threadedComment>
  <threadedComment ref="F2063" dT="2025-03-11T10:16:04.90" personId="{98986A2A-739A-4851-A979-4B0D560C46CD}" id="{80788F59-1BFA-414C-97ED-0C4462CCEDED}">
    <text xml:space="preserve">6 camas 
Renta vivienda 1.250€+ Servicio de Limpieza 363€ =TOTAL 1.613€, fianza 
</text>
  </threadedComment>
  <threadedComment ref="F2065" dT="2025-02-13T10:05:11.33" personId="{17D30B62-2123-41F1-B603-E5411FDFA3E0}" id="{6672A5CE-394F-4E34-8BE6-30099A3AA008}">
    <text>Habitacion doble para trabajadores cant 1 Costo 60€/noche
Habitacion triple para trabajadores cant 3 Costo 75€/noche cada una
(camas separadas)</text>
  </threadedComment>
  <threadedComment ref="F2066" dT="2025-05-20T10:52:45.06" personId="{17D30B62-2123-41F1-B603-E5411FDFA3E0}" id="{7BDBF64E-4D2A-4EDB-A800-AA9DB6B6C1F0}">
    <text>7 Habitaciones Dobles</text>
  </threadedComment>
  <threadedComment ref="F2067" dT="2025-05-20T10:52:45.06" personId="{17D30B62-2123-41F1-B603-E5411FDFA3E0}" id="{D4C1DE88-DBEB-46E2-90CF-26BFB71AC773}">
    <text>7 Habitaciones Dobles</text>
  </threadedComment>
  <threadedComment ref="F2068" dT="2025-05-20T10:52:45.06" personId="{17D30B62-2123-41F1-B603-E5411FDFA3E0}" id="{1CDBD47B-F5AF-4C1D-BB6A-D3463EB7AAD7}">
    <text>7 Habitaciones Dobles</text>
  </threadedComment>
  <threadedComment ref="F2070" dT="2025-02-13T10:05:11.33" personId="{17D30B62-2123-41F1-B603-E5411FDFA3E0}" id="{C93DC880-752D-40CF-9B5B-32B1C99C973F}">
    <text>Habitacion doble para trabajadores cant 1 Costo 60€/noche
Habitacion triple para trabajadores cant 3 Costo 75€/noche cada una
(camas separadas)</text>
  </threadedComment>
  <threadedComment ref="F2071" dT="2025-05-20T10:52:45.06" personId="{17D30B62-2123-41F1-B603-E5411FDFA3E0}" id="{D78671BA-30C6-4D2D-A53B-863A54C4DB2B}">
    <text>7 Habitaciones Dobles</text>
  </threadedComment>
  <threadedComment ref="F2073" dT="2025-02-13T10:05:11.33" personId="{17D30B62-2123-41F1-B603-E5411FDFA3E0}" id="{37577E0C-97D5-4BD1-8375-CBCF38C0F3DB}">
    <text>Habitacion doble para trabajadores cant 1 Costo 60€/noche
Habitacion triple para trabajadores cant 3 Costo 75€/noche cada una
(camas separadas)</text>
  </threadedComment>
  <threadedComment ref="F2074" dT="2025-02-13T10:05:11.33" personId="{17D30B62-2123-41F1-B603-E5411FDFA3E0}" id="{22197E4E-3EE9-4638-BDB7-FA1583D12FBB}">
    <text>Habitacion doble para trabajadores cant 1 Costo 60€/noche
Habitacion triple para trabajadores cant 3 Costo 75€/noche cada una
(camas separadas)</text>
  </threadedComment>
  <threadedComment ref="F2077" dT="2025-05-20T10:52:45.06" personId="{17D30B62-2123-41F1-B603-E5411FDFA3E0}" id="{0669E6D6-DA2C-47C9-9D16-898293FD19C8}">
    <text>7 Habitaciones Dobles</text>
  </threadedComment>
  <threadedComment ref="F2078" dT="2025-03-11T10:16:04.90" personId="{98986A2A-739A-4851-A979-4B0D560C46CD}" id="{A5025598-F5C4-4964-B3F2-4C801561FB15}">
    <text xml:space="preserve">6 camas 
Renta vivienda 1.250€+ Servicio de Limpieza 363€ =TOTAL 1.613€, fianza 
</text>
  </threadedComment>
  <threadedComment ref="F2079" dT="2025-05-20T10:52:45.06" personId="{17D30B62-2123-41F1-B603-E5411FDFA3E0}" id="{DEC15FEB-5A9E-4A34-B77F-9E54F850AE28}">
    <text>7 Habitaciones Dobles</text>
  </threadedComment>
  <threadedComment ref="F2080" dT="2025-02-26T14:29:45.42" personId="{17D30B62-2123-41F1-B603-E5411FDFA3E0}" id="{EECE20D0-DD48-4216-B551-D79F66C268DF}">
    <text>9 Camas, Alquiler 2300€, Fianza 700€</text>
  </threadedComment>
  <threadedComment ref="F2080" dT="2026-01-21T15:11:00.84" personId="{4D8483EF-5A39-4E7B-A473-929EF5A077E1}" id="{6FF7DA3E-21C0-4BD9-B126-4BAC248CBD78}" parentId="{EECE20D0-DD48-4216-B551-D79F66C268DF}">
    <text xml:space="preserve">Descuento a 2000€ </text>
  </threadedComment>
  <threadedComment ref="F2081" dT="2025-05-20T10:52:45.06" personId="{17D30B62-2123-41F1-B603-E5411FDFA3E0}" id="{BB2F8EDE-A199-49CA-B165-E2E867593D40}">
    <text>7 Habitaciones Dobles</text>
  </threadedComment>
  <threadedComment ref="F2083" dT="2025-05-29T15:37:29.66" personId="{17D30B62-2123-41F1-B603-E5411FDFA3E0}" id="{6C21ABAC-B901-4E76-8E29-C7779BEEB0C6}">
    <text>2 Habitaciones Dobles, camas individuales</text>
  </threadedComment>
  <threadedComment ref="F2084" dT="2025-02-13T10:05:11.33" personId="{17D30B62-2123-41F1-B603-E5411FDFA3E0}" id="{16C051C8-2F3C-4168-8FE7-038F475C8226}">
    <text>Habitacion doble para trabajadores cant 1 Costo 60€/noche
Habitacion triple para trabajadores cant 3 Costo 75€/noche cada una
(camas separadas)</text>
  </threadedComment>
  <threadedComment ref="F2086" dT="2025-05-29T15:37:29.66" personId="{17D30B62-2123-41F1-B603-E5411FDFA3E0}" id="{8F5888D2-9E1D-4DBD-B5BA-A7473E945646}">
    <text>2 Habitaciones Dobles, camas individuales</text>
  </threadedComment>
  <threadedComment ref="F2097" dT="2025-03-21T07:56:23.33" personId="{98986A2A-739A-4851-A979-4B0D560C46CD}" id="{BA3BD916-41F7-4F3A-94DE-38E3625F8D0D}">
    <text>05 camas</text>
  </threadedComment>
  <threadedComment ref="F2098" dT="2025-03-21T07:56:23.33" personId="{98986A2A-739A-4851-A979-4B0D560C46CD}" id="{E21A503B-AA8B-4DE9-B828-3D4D690C4D53}">
    <text>05 camas</text>
  </threadedComment>
  <threadedComment ref="F2099" dT="2025-02-26T14:56:43.99" personId="{17D30B62-2123-41F1-B603-E5411FDFA3E0}" id="{0A197F8C-385E-4AF2-884F-76DA106B5478}">
    <text>Alojamiento para 9 personas.
 3 apartamentos triples (101-102-121)</text>
  </threadedComment>
  <threadedComment ref="F2100" dT="2025-05-20T10:52:45.06" personId="{17D30B62-2123-41F1-B603-E5411FDFA3E0}" id="{7B81ED82-A211-4DA0-94B2-90DB9A4AD635}">
    <text>7 Habitaciones Dobles</text>
  </threadedComment>
  <threadedComment ref="F2101" dT="2025-05-20T10:52:45.06" personId="{17D30B62-2123-41F1-B603-E5411FDFA3E0}" id="{23A5832A-B696-476C-B49D-F902A1FF91F3}">
    <text>7 Habitaciones Dobles</text>
  </threadedComment>
  <threadedComment ref="F2102" dT="2025-05-20T10:52:45.06" personId="{17D30B62-2123-41F1-B603-E5411FDFA3E0}" id="{735E7101-AD7E-4491-AA34-2F337BBC4896}">
    <text>7 Habitaciones Dobles</text>
  </threadedComment>
  <threadedComment ref="F2109" dT="2025-05-29T13:35:35.34" personId="{17D30B62-2123-41F1-B603-E5411FDFA3E0}" id="{72E88979-E60C-4053-AD46-CEC402F18EFE}">
    <text xml:space="preserve">2 CAMAS Y 1 SOFA CAMA </text>
  </threadedComment>
  <threadedComment ref="F2110" dT="2025-05-29T13:35:35.34" personId="{17D30B62-2123-41F1-B603-E5411FDFA3E0}" id="{F96D5498-F84B-484D-8BC2-80D30FE47E54}">
    <text xml:space="preserve">2 CAMAS Y 1 SOFA CAMA </text>
  </threadedComment>
  <threadedComment ref="F2114" dT="2025-02-13T10:05:11.33" personId="{17D30B62-2123-41F1-B603-E5411FDFA3E0}" id="{C83FAB06-FD55-4893-B81F-5854BCD49CCB}">
    <text>Habitacion doble para trabajadores cant 1 Costo 60€/noche
Habitacion triple para trabajadores cant 3 Costo 75€/noche cada una
(camas separadas)</text>
  </threadedComment>
  <threadedComment ref="F2115" dT="2025-02-13T10:05:11.33" personId="{17D30B62-2123-41F1-B603-E5411FDFA3E0}" id="{FED21BAD-6718-4A85-ACA1-04EAD234BA77}">
    <text>Habitacion doble para trabajadores cant 1 Costo 60€/noche
Habitacion triple para trabajadores cant 3 Costo 75€/noche cada una
(camas separadas)</text>
  </threadedComment>
  <threadedComment ref="F2116" dT="2025-02-13T10:05:11.33" personId="{17D30B62-2123-41F1-B603-E5411FDFA3E0}" id="{F487E092-CF31-41E4-871F-67656ABAC231}">
    <text>Habitacion doble para trabajadores cant 1 Costo 60€/noche
Habitacion triple para trabajadores cant 3 Costo 75€/noche cada una
(camas separadas)</text>
  </threadedComment>
  <threadedComment ref="F2117" dT="2025-02-13T10:05:11.33" personId="{17D30B62-2123-41F1-B603-E5411FDFA3E0}" id="{46B4E560-2783-46A1-A47C-93CB21AF1916}">
    <text>Habitacion doble para trabajadores cant 1 Costo 60€/noche
Habitacion triple para trabajadores cant 3 Costo 75€/noche cada una
(camas separadas)</text>
  </threadedComment>
  <threadedComment ref="F2118" dT="2025-02-13T10:05:11.33" personId="{17D30B62-2123-41F1-B603-E5411FDFA3E0}" id="{56A6B936-FBEC-4888-8F76-03369C950190}">
    <text>Habitacion doble para trabajadores cant 1 Costo 60€/noche
Habitacion triple para trabajadores cant 3 Costo 75€/noche cada una
(camas separadas)</text>
  </threadedComment>
  <threadedComment ref="F2120" dT="2025-05-07T15:20:49.27" personId="{17D30B62-2123-41F1-B603-E5411FDFA3E0}" id="{B0A10FE1-443A-42BC-BA5B-ABCCB0BFAD1B}">
    <text>Alojamiento para 7 personas 3.990€</text>
  </threadedComment>
  <threadedComment ref="F2122" dT="2025-02-13T10:05:11.33" personId="{17D30B62-2123-41F1-B603-E5411FDFA3E0}" id="{175B3DB1-A244-4984-9024-ADAFC19EAEDD}">
    <text>4 CAMAS</text>
  </threadedComment>
  <threadedComment ref="F2123" dT="2024-11-05T09:17:59.63" personId="{17D30B62-2123-41F1-B603-E5411FDFA3E0}" id="{A3476080-5921-4B32-8F95-4BF81103D934}">
    <text>Alquiler 1400  Fianza 2800 Camas 6</text>
  </threadedComment>
  <threadedComment ref="F2123" dT="2024-12-30T10:06:22.23" personId="{98986A2A-739A-4851-A979-4B0D560C46CD}" id="{D30D8358-36FD-44E5-800C-8AED963C67B0}" parentId="{A3476080-5921-4B32-8F95-4BF81103D934}">
    <text>+01 cama Kotrik llevada 28/12</text>
  </threadedComment>
  <threadedComment ref="F2124" dT="2025-02-13T10:05:11.33" personId="{17D30B62-2123-41F1-B603-E5411FDFA3E0}" id="{52687091-71FA-482A-A5BE-A22F34762B38}">
    <text>Habitacion doble para trabajadores cant 1 Costo 60€/noche
Habitacion triple para trabajadores cant 3 Costo 75€/noche cada una
(camas separadas)</text>
  </threadedComment>
  <threadedComment ref="F2125" dT="2025-02-13T10:05:11.33" personId="{17D30B62-2123-41F1-B603-E5411FDFA3E0}" id="{E92015AD-1E2D-4ADC-BDA7-9AECE6E94FFA}">
    <text>Habitacion doble para trabajadores cant 1 Costo 60€/noche
Habitacion triple para trabajadores cant 3 Costo 75€/noche cada una
(camas separadas)</text>
  </threadedComment>
  <threadedComment ref="F2127" dT="2025-03-11T10:10:52.28" personId="{98986A2A-739A-4851-A979-4B0D560C46CD}" id="{1339B034-DFF0-4747-A66F-44D660052B65}">
    <text xml:space="preserve">6 camas, alquiler 1.450€ + Servicio de Limpieza 302,50€ =TOTAL 1.752,50€. Fianza 950€
</text>
  </threadedComment>
  <threadedComment ref="F2128" dT="2025-02-13T10:05:11.33" personId="{17D30B62-2123-41F1-B603-E5411FDFA3E0}" id="{60018AB2-D635-4A91-B18E-AB2A0BEAB7F5}">
    <text>Habitacion doble para trabajadores cant 1 Costo 60€/noche
Habitacion triple para trabajadores cant 3 Costo 75€/noche cada una
(camas separadas)</text>
  </threadedComment>
  <threadedComment ref="F2129" dT="2025-02-13T10:05:11.33" personId="{17D30B62-2123-41F1-B603-E5411FDFA3E0}" id="{A3AE7F66-8353-412C-9B26-B39E4A600BA4}">
    <text>Habitacion doble para trabajadores cant 1 Costo 60€/noche
Habitacion triple para trabajadores cant 3 Costo 75€/noche cada una
(camas separadas)</text>
  </threadedComment>
  <threadedComment ref="F2130" dT="2025-03-11T10:10:52.28" personId="{98986A2A-739A-4851-A979-4B0D560C46CD}" id="{B911F372-2D4A-44E8-B6E3-45961EB2B061}">
    <text xml:space="preserve">6 camas, alquiler 1.450€ + Servicio de Limpieza 302,50€ =TOTAL 1.752,50€. Fianza 950€
</text>
  </threadedComment>
  <threadedComment ref="F2131" dT="2025-03-11T10:10:52.28" personId="{98986A2A-739A-4851-A979-4B0D560C46CD}" id="{B6567417-18BB-41D7-AE28-1C99CE0FC7D3}">
    <text xml:space="preserve">6 camas, alquiler 1.450€ + Servicio de Limpieza 302,50€ =TOTAL 1.752,50€. Fianza 950€
</text>
  </threadedComment>
  <threadedComment ref="F2132" dT="2025-03-11T10:10:52.28" personId="{98986A2A-739A-4851-A979-4B0D560C46CD}" id="{321751A5-BEB8-4C66-839C-0437FA2F6EC2}">
    <text xml:space="preserve">6 camas, alquiler 1.450€ + Servicio de Limpieza 302,50€ =TOTAL 1.752,50€. Fianza 950€
</text>
  </threadedComment>
  <threadedComment ref="F2133" dT="2025-02-13T10:05:11.33" personId="{17D30B62-2123-41F1-B603-E5411FDFA3E0}" id="{1347AD27-1D6C-40EC-8946-CB257A24892A}">
    <text>Habitacion doble para trabajadores cant 1 Costo 60€/noche
Habitacion triple para trabajadores cant 3 Costo 75€/noche cada una
(camas separadas)</text>
  </threadedComment>
  <threadedComment ref="F2134" dT="2025-03-11T10:10:52.28" personId="{98986A2A-739A-4851-A979-4B0D560C46CD}" id="{605FBB63-DB19-4A9E-A635-656581C771B5}">
    <text xml:space="preserve">6 camas, alquiler 1.450€ + Servicio de Limpieza 302,50€ =TOTAL 1.752,50€. Fianza 950€
</text>
  </threadedComment>
  <threadedComment ref="F2135" dT="2025-02-13T10:05:11.33" personId="{17D30B62-2123-41F1-B603-E5411FDFA3E0}" id="{D9F79545-F3AE-4CDB-B211-3F1F2228263C}">
    <text>Habitacion doble para trabajadores cant 1 Costo 60€/noche
Habitacion triple para trabajadores cant 3 Costo 75€/noche cada una
(camas separadas)</text>
  </threadedComment>
  <threadedComment ref="F2136" dT="2025-03-11T10:10:52.28" personId="{98986A2A-739A-4851-A979-4B0D560C46CD}" id="{F11B7D1E-BAA1-4DA9-A01D-81269D1B2FC7}">
    <text xml:space="preserve">6 camas, alquiler 1.450€ + Servicio de Limpieza 302,50€ =TOTAL 1.752,50€. Fianza 950€
</text>
  </threadedComment>
  <threadedComment ref="F2137" dT="2025-02-13T10:05:11.33" personId="{17D30B62-2123-41F1-B603-E5411FDFA3E0}" id="{DC46FC13-2176-4B20-92EE-1B489F71CF1D}">
    <text>Habitacion doble para trabajadores cant 1 Costo 60€/noche
Habitacion triple para trabajadores cant 3 Costo 75€/noche cada una
(camas separadas)</text>
  </threadedComment>
  <threadedComment ref="F2138" dT="2025-02-13T10:05:11.33" personId="{17D30B62-2123-41F1-B603-E5411FDFA3E0}" id="{17F16C86-D4F1-4D08-8C77-A8277EC01F67}">
    <text>Habitacion doble para trabajadores cant 1 Costo 60€/noche
Habitacion triple para trabajadores cant 3 Costo 75€/noche cada una
(camas separadas)</text>
  </threadedComment>
  <threadedComment ref="F2139" dT="2025-03-11T10:10:52.28" personId="{98986A2A-739A-4851-A979-4B0D560C46CD}" id="{5319F430-1ACE-45A1-9045-FD8544256C9F}">
    <text xml:space="preserve">6 camas, alquiler 1.450€ + Servicio de Limpieza 302,50€ =TOTAL 1.752,50€. Fianza 950€
</text>
  </threadedComment>
  <threadedComment ref="F2140" dT="2025-03-11T10:10:52.28" personId="{98986A2A-739A-4851-A979-4B0D560C46CD}" id="{C189B74F-F7BA-4FF2-B159-5567113C26AD}">
    <text xml:space="preserve">6 camas, alquiler 1.450€ + Servicio de Limpieza 302,50€ =TOTAL 1.752,50€. Fianza 950€
</text>
  </threadedComment>
  <threadedComment ref="F2141" dT="2025-03-10T16:43:11.01" personId="{17D30B62-2123-41F1-B603-E5411FDFA3E0}" id="{4A987758-7788-40EF-B679-645987A8E2F2}">
    <text>3 habitaciones,apto para 4 personas, 1300 alquiler+50 Limpieza</text>
  </threadedComment>
  <threadedComment ref="F2142" dT="2025-03-10T16:43:11.01" personId="{17D30B62-2123-41F1-B603-E5411FDFA3E0}" id="{86AEF386-01F9-4048-857B-8F492FBD7ADC}">
    <text>3 habitaciones,apto para 4 personas, 1300 alquiler+50 Limpieza</text>
  </threadedComment>
  <threadedComment ref="F2143" dT="2025-02-13T10:05:11.33" personId="{17D30B62-2123-41F1-B603-E5411FDFA3E0}" id="{B9CD90E8-7544-435A-86CA-66A7D5BDC71F}">
    <text>Habitacion doble para trabajadores cant 1 Costo 60€/noche
Habitacion triple para trabajadores cant 3 Costo 75€/noche cada una
(camas separadas)</text>
  </threadedComment>
  <threadedComment ref="F2144" dT="2024-07-19T10:10:03.54" personId="{98986A2A-739A-4851-A979-4B0D560C46CD}" id="{210D2D4C-FE5D-4289-86A9-D3E46AEADB62}">
    <text>Renta vivienda  1.050€ + Servicio de limpieza 302,50€ TOTAL 1.302,50€. 04 habitaciones</text>
  </threadedComment>
  <threadedComment ref="F2146" dT="2024-07-19T10:10:03.54" personId="{98986A2A-739A-4851-A979-4B0D560C46CD}" id="{F4777D80-11B4-49DB-8348-04F6D1F03A0D}">
    <text>Renta vivienda  1.050€ + Servicio de limpieza 302,50€ TOTAL 1.302,50€. 04 habitaciones</text>
  </threadedComment>
  <threadedComment ref="F2147" dT="2025-02-13T10:05:11.33" personId="{17D30B62-2123-41F1-B603-E5411FDFA3E0}" id="{BE27A595-BD50-438F-852C-DC6114E4AB4E}">
    <text>Habitacion doble para trabajadores cant 1 Costo 60€/noche
Habitacion triple para trabajadores cant 3 Costo 75€/noche cada una
(camas separadas)</text>
  </threadedComment>
  <threadedComment ref="F2148" dT="2025-02-13T10:05:11.33" personId="{17D30B62-2123-41F1-B603-E5411FDFA3E0}" id="{E853A0C2-06FE-4141-9840-59798AAE9DB4}">
    <text>Habitacion doble para trabajadores cant 1 Costo 60€/noche
Habitacion triple para trabajadores cant 3 Costo 75€/noche cada una
(camas separadas)</text>
  </threadedComment>
  <threadedComment ref="F2149" dT="2024-07-19T10:10:03.54" personId="{98986A2A-739A-4851-A979-4B0D560C46CD}" id="{E40A82C0-6540-4F73-B885-ADDE086CC9C1}">
    <text>Renta vivienda  1.050€ + Servicio de limpieza 302,50€ TOTAL 1.302,50€. 04 habitaciones</text>
  </threadedComment>
  <threadedComment ref="F2150" dT="2024-07-19T10:10:03.54" personId="{98986A2A-739A-4851-A979-4B0D560C46CD}" id="{A5388FDA-4B8D-4730-8138-2AC07FC19EDD}">
    <text>Renta vivienda  1.050€ + Servicio de limpieza 302,50€ TOTAL 1.302,50€. 04 habitaciones</text>
  </threadedComment>
  <threadedComment ref="F2151" dT="2024-07-19T10:10:03.54" personId="{98986A2A-739A-4851-A979-4B0D560C46CD}" id="{16CF1250-8C51-48F4-842D-7DCC370B5524}">
    <text>Renta vivienda  1.050€ + Servicio de limpieza 302,50€ TOTAL 1.302,50€. 04 habitaciones</text>
  </threadedComment>
  <threadedComment ref="F2152" dT="2025-02-13T10:05:11.33" personId="{17D30B62-2123-41F1-B603-E5411FDFA3E0}" id="{7BF94D5B-982E-4233-8720-22D2CD22556D}">
    <text>Habitacion doble para trabajadores cant 1 Costo 60€/noche
Habitacion triple para trabajadores cant 3 Costo 75€/noche cada una
(camas separadas)</text>
  </threadedComment>
  <threadedComment ref="F2153" dT="2024-07-19T10:10:03.54" personId="{98986A2A-739A-4851-A979-4B0D560C46CD}" id="{A2FEA436-2F93-4B81-B833-F3498774DDED}">
    <text>Renta vivienda  1.050€ + Servicio de limpieza 302,50€ TOTAL 1.302,50€. 04 habitaciones</text>
  </threadedComment>
  <threadedComment ref="F2154" dT="2025-02-13T10:05:11.33" personId="{17D30B62-2123-41F1-B603-E5411FDFA3E0}" id="{A6E222AD-A751-4C63-BEBC-74309FC9CD43}">
    <text>3 CAMAS</text>
  </threadedComment>
  <threadedComment ref="F2155" dT="2025-02-13T10:05:11.33" personId="{17D30B62-2123-41F1-B603-E5411FDFA3E0}" id="{889F5D1F-917E-4FE6-B996-AB0C44DBD075}">
    <text>3 CAMAS</text>
  </threadedComment>
  <threadedComment ref="F2156" dT="2025-02-13T10:05:11.33" personId="{17D30B62-2123-41F1-B603-E5411FDFA3E0}" id="{1AB8E151-9BF6-4988-969E-3BF4C1BB43DF}">
    <text>3 CAMAS</text>
  </threadedComment>
  <threadedComment ref="F2157" dT="2025-02-13T10:05:11.33" personId="{17D30B62-2123-41F1-B603-E5411FDFA3E0}" id="{A9F2DE0C-5F4A-4729-B803-9D570CFCB69F}">
    <text>Habitacion doble para trabajadores cant 1 Costo 60€/noche
Habitacion triple para trabajadores cant 3 Costo 75€/noche cada una
(camas separadas)</text>
  </threadedComment>
  <threadedComment ref="F2158" dT="2025-02-13T10:05:11.33" personId="{17D30B62-2123-41F1-B603-E5411FDFA3E0}" id="{EEE0772D-CBFA-4226-8DBF-23EC6E1D2923}">
    <text>Habitacion doble para trabajadores cant 1 Costo 60€/noche
Habitacion triple para trabajadores cant 3 Costo 75€/noche cada una
(camas separadas)</text>
  </threadedComment>
  <threadedComment ref="F2159" dT="2025-02-13T10:05:11.33" personId="{17D30B62-2123-41F1-B603-E5411FDFA3E0}" id="{9B74BEB8-F201-4844-AFB4-58D71722B340}">
    <text>Habitacion doble para trabajadores cant 1 Costo 60€/noche
Habitacion triple para trabajadores cant 3 Costo 75€/noche cada una
(camas separadas)</text>
  </threadedComment>
  <threadedComment ref="F2160" dT="2025-02-13T10:05:11.33" personId="{17D30B62-2123-41F1-B603-E5411FDFA3E0}" id="{2F34EF88-3448-417E-81B9-72BE5D114D3D}">
    <text>Habitacion doble para trabajadores cant 1 Costo 60€/noche
Habitacion triple para trabajadores cant 3 Costo 75€/noche cada una
(camas separadas)</text>
  </threadedComment>
  <threadedComment ref="F2161" dT="2025-02-13T10:05:11.33" personId="{17D30B62-2123-41F1-B603-E5411FDFA3E0}" id="{DF10A3B7-8543-4A4C-8BE5-34FEA717E67C}">
    <text>Alquiler 903.20€ 4 camas</text>
  </threadedComment>
  <threadedComment ref="F2162" dT="2024-11-05T09:17:59.63" personId="{17D30B62-2123-41F1-B603-E5411FDFA3E0}" id="{92129F7D-C0E9-4531-A0B5-B523116A9107}">
    <text>Alquiler 1400  Fianza 2800 Camas 6</text>
  </threadedComment>
  <threadedComment ref="F2162" dT="2024-12-30T10:06:22.23" personId="{98986A2A-739A-4851-A979-4B0D560C46CD}" id="{EB6541E6-2E22-46CF-B444-9EDB195DDA42}" parentId="{92129F7D-C0E9-4531-A0B5-B523116A9107}">
    <text>+01 cama Kotrik llevada 28/12</text>
  </threadedComment>
  <threadedComment ref="F2163" dT="2025-02-13T10:05:11.33" personId="{17D30B62-2123-41F1-B603-E5411FDFA3E0}" id="{B188BB15-D3DC-4319-84AE-45496519128B}">
    <text>Alquiler 903.20€ 4 camas</text>
  </threadedComment>
  <threadedComment ref="F2164" dT="2025-02-13T10:05:11.33" personId="{17D30B62-2123-41F1-B603-E5411FDFA3E0}" id="{0D9DDE1D-A7E6-4A38-80CF-ED8D5D40685E}">
    <text>4 CAMAS</text>
  </threadedComment>
  <threadedComment ref="F2165" dT="2025-02-13T10:05:11.33" personId="{17D30B62-2123-41F1-B603-E5411FDFA3E0}" id="{79CF0AAE-EFDF-4E6E-8BA3-0FEA14FF3C51}">
    <text>Habitacion doble para trabajadores cant 1 Costo 60€/noche
Habitacion triple para trabajadores cant 3 Costo 75€/noche cada una
(camas separadas)</text>
  </threadedComment>
  <threadedComment ref="F2166" dT="2025-02-13T10:05:11.33" personId="{17D30B62-2123-41F1-B603-E5411FDFA3E0}" id="{6F316C35-7ADD-42CF-BBFE-3E881DA61E76}">
    <text>01 apartamento para 3 personas y 03 apartamentos para 2 personas</text>
  </threadedComment>
  <threadedComment ref="F2167" dT="2025-02-13T10:05:11.33" personId="{17D30B62-2123-41F1-B603-E5411FDFA3E0}" id="{77587A8E-A347-489C-B532-1F6489D564F8}">
    <text>Habitacion doble para trabajadores cant 1 Costo 60€/noche
Habitacion triple para trabajadores cant 3 Costo 75€/noche cada una
(camas separadas)</text>
  </threadedComment>
  <threadedComment ref="F2168" dT="2025-02-13T10:05:11.33" personId="{17D30B62-2123-41F1-B603-E5411FDFA3E0}" id="{8EA2D645-E4D9-4D91-8550-382995E5723B}">
    <text>Habitacion doble para trabajadores cant 1 Costo 60€/noche
Habitacion triple para trabajadores cant 3 Costo 75€/noche cada una
(camas separadas)</text>
  </threadedComment>
  <threadedComment ref="F2170" dT="2025-02-13T10:05:11.33" personId="{17D30B62-2123-41F1-B603-E5411FDFA3E0}" id="{E515ECF5-C7AA-47AF-A120-A9D78CE76584}">
    <text>Habitacion doble para trabajadores cant 1 Costo 60€/noche
Habitacion triple para trabajadores cant 3 Costo 75€/noche cada una
(camas separadas)</text>
  </threadedComment>
  <threadedComment ref="F2171" dT="2025-02-13T10:05:11.33" personId="{17D30B62-2123-41F1-B603-E5411FDFA3E0}" id="{3E9879B9-D44A-4F7E-A4B4-A381109370F7}">
    <text>Habitacion doble para trabajadores cant 1 Costo 60€/noche
Habitacion triple para trabajadores cant 3 Costo 75€/noche cada una
(camas separadas)</text>
  </threadedComment>
  <threadedComment ref="F2173" dT="2025-03-21T15:44:19.97" personId="{17D30B62-2123-41F1-B603-E5411FDFA3E0}" id="{84566AF3-BE75-443E-B238-62677C4B74E3}">
    <text>Fianza 2.400€, Alquiler 1.200€, 6 Camas.</text>
  </threadedComment>
  <threadedComment ref="F2174" dT="2025-03-03T15:49:22.14" personId="{98986A2A-739A-4851-A979-4B0D560C46CD}" id="{60505E95-5F97-4573-97FB-D0BDC39C9A9C}">
    <text>03 camas, 550€ alquiler, 550€ fianza</text>
  </threadedComment>
  <threadedComment ref="F2175" dT="2025-02-13T10:05:11.33" personId="{17D30B62-2123-41F1-B603-E5411FDFA3E0}" id="{9267A58A-B7F7-4B9F-9DB6-DFC32DA4359C}">
    <text>Habitacion doble para trabajadores cant 1 Costo 60€/noche
Habitacion triple para trabajadores cant 3 Costo 75€/noche cada una
(camas separadas)</text>
  </threadedComment>
  <threadedComment ref="F2176" dT="2025-02-10T07:12:32.59" personId="{17D30B62-2123-41F1-B603-E5411FDFA3E0}" id="{FF3B064B-E5BA-4E4E-BB80-202926D87D81}">
    <text xml:space="preserve">1.500€ renta mes,1.200€ Fianza, 3 Habitacines con 4 camas </text>
  </threadedComment>
  <threadedComment ref="F2178" dT="2025-02-13T10:05:11.33" personId="{17D30B62-2123-41F1-B603-E5411FDFA3E0}" id="{25E5D916-68B1-44E7-943B-52BDCB13FC14}">
    <text>Habitacion doble para trabajadores cant 1 Costo 60€/noche
Habitacion triple para trabajadores cant 3 Costo 75€/noche cada una
(camas separadas)</text>
  </threadedComment>
  <threadedComment ref="F2179" dT="2025-04-30T11:00:49.95" personId="{17D30B62-2123-41F1-B603-E5411FDFA3E0}" id="{8D1380A8-E8FC-4C26-AF08-76F748A476A8}">
    <text xml:space="preserve">Alquiler 850€ Fianza 850€ 7 camas </text>
  </threadedComment>
  <threadedComment ref="F2180" dT="2025-02-13T10:05:11.33" personId="{17D30B62-2123-41F1-B603-E5411FDFA3E0}" id="{7A8C4646-1EFE-4077-8B63-36327E292A80}">
    <text>Habitacion doble para trabajadores cant 1 Costo 60€/noche
Habitacion triple para trabajadores cant 3 Costo 75€/noche cada una
(camas separadas)</text>
  </threadedComment>
  <threadedComment ref="F2181" dT="2025-09-17T07:54:06.16" personId="{17D30B62-2123-41F1-B603-E5411FDFA3E0}" id="{F0037078-B4DD-46B0-8977-3E796BD20F53}">
    <text>4 camas</text>
  </threadedComment>
  <threadedComment ref="F2182" dT="2025-02-13T10:05:11.33" personId="{17D30B62-2123-41F1-B603-E5411FDFA3E0}" id="{57006A81-469B-4F0F-81BF-C2B0DF8D3680}">
    <text>Habitacion doble para trabajadores cant 1 Costo 60€/noche
Habitacion triple para trabajadores cant 3 Costo 75€/noche cada una
(camas separadas)</text>
  </threadedComment>
  <threadedComment ref="F2183" dT="2025-02-13T10:05:11.33" personId="{17D30B62-2123-41F1-B603-E5411FDFA3E0}" id="{F5795818-7A2A-45A0-83AC-D2209312AB6C}">
    <text>Habitacion doble para trabajadores cant 1 Costo 60€/noche
Habitacion triple para trabajadores cant 3 Costo 75€/noche cada una
(camas separadas)</text>
  </threadedComment>
  <threadedComment ref="F2184" dT="2025-12-22T15:03:27.69" personId="{4D8483EF-5A39-4E7B-A473-929EF5A077E1}" id="{16464B3F-1F1A-4A39-9848-5E1CB657F379}">
    <text>4 camas</text>
  </threadedComment>
  <threadedComment ref="F2185" dT="2026-03-20T10:36:22.90" personId="{4D8483EF-5A39-4E7B-A473-929EF5A077E1}" id="{410B65C0-9CE2-4B5C-BC16-060ECB908D85}">
    <text>Casa de 3 dormitorios
Dormitorio 1-2 camas individuales
Dormitorio 2-2 camas individuales
Dormitorio 3-2 sofás cama
Sala de estar 1 sofá cama</text>
    <extLst>
      <x:ext xmlns:xltc2="http://schemas.microsoft.com/office/spreadsheetml/2020/threadedcomments2" uri="{F7C98A9C-CBB3-438F-8F68-D28B6AF4A901}">
        <xltc2:checksum>2822991603</xltc2:checksum>
        <xltc2:hyperlink startIndex="0" length="21" url="https://www.booking.com/hotel/es/casa-familiar-el-gran-alacant.es.html?label=es-es-booking-desktop-onknyt5TBrS8m9RnGd*6fgS652829001115%3Apl%3Ata%3Ap1%3Ap2%3Aac%3Aap%3Aneg%3Afi%3Atikwd-65526620%3Alp9199239%3Ali%3Adec%3Adm&amp;sid=94a6c958ba7d8898ee65ce2dd0ef8aaa&amp;aid=2311236#RD1470279201"/>
      </x:ext>
    </extLst>
  </threadedComment>
  <threadedComment ref="F2186" dT="2025-10-02T10:09:40.57" personId="{17D30B62-2123-41F1-B603-E5411FDFA3E0}" id="{CE48A41C-038A-4D52-A597-A16CD01EC4EE}">
    <text>Alojamiento entero · 4 camas · 4 viajeros</text>
  </threadedComment>
  <threadedComment ref="F2188" dT="2024-12-02T09:17:44.96" personId="{98986A2A-739A-4851-A979-4B0D560C46CD}" id="{229D3DFA-1116-4D98-9DA4-6061D8BC8D93}">
    <text>08 CAMAS, 2500€ alquiler, 2500€ fianza</text>
  </threadedComment>
  <threadedComment ref="F2189" dT="2025-02-13T10:05:11.33" personId="{17D30B62-2123-41F1-B603-E5411FDFA3E0}" id="{6B783625-6B11-44FE-B001-8D22BB4EC848}">
    <text>Habitacion doble para trabajadores cant 1 Costo 60€/noche
Habitacion triple para trabajadores cant 3 Costo 75€/noche cada una
(camas separadas)</text>
  </threadedComment>
  <threadedComment ref="F2191" dT="2025-02-13T10:05:11.33" personId="{17D30B62-2123-41F1-B603-E5411FDFA3E0}" id="{CAB7CC19-1B46-4555-AD4E-90B5E6E836F3}">
    <text>Habitacion doble para trabajadores cant 1 Costo 60€/noche
Habitacion triple para trabajadores cant 3 Costo 75€/noche cada una
(camas separadas)</text>
  </threadedComment>
  <threadedComment ref="F2192" dT="2025-02-13T10:05:11.33" personId="{17D30B62-2123-41F1-B603-E5411FDFA3E0}" id="{542DB335-9013-449E-95C6-D91C0250FC9A}">
    <text>Habitacion doble para trabajadores cant 1 Costo 60€/noche
Habitacion triple para trabajadores cant 3 Costo 75€/noche cada una
(camas separadas)</text>
  </threadedComment>
  <threadedComment ref="F2193" dT="2025-04-15T08:06:57.05" personId="{17D30B62-2123-41F1-B603-E5411FDFA3E0}" id="{E741C822-8CFB-4170-A9FA-7BBB7C46658F}">
    <text xml:space="preserve">1 Habitación </text>
  </threadedComment>
  <threadedComment ref="F2194" dT="2025-02-13T10:05:11.33" personId="{17D30B62-2123-41F1-B603-E5411FDFA3E0}" id="{228B2325-51F2-4992-8FF1-85DA55D39ABA}">
    <text>Habitacion doble para trabajadores cant 1 Costo 60€/noche
Habitacion triple para trabajadores cant 3 Costo 75€/noche cada una
(camas separadas)</text>
  </threadedComment>
  <threadedComment ref="F2195" dT="2025-02-13T10:05:11.33" personId="{17D30B62-2123-41F1-B603-E5411FDFA3E0}" id="{D722D606-6239-4383-AA5D-65D093F6BF6D}">
    <text>Habitacion doble para trabajadores cant 1 Costo 60€/noche
Habitacion triple para trabajadores cant 3 Costo 75€/noche cada una
(camas separadas)</text>
  </threadedComment>
  <threadedComment ref="F2196" dT="2025-02-13T10:05:11.33" personId="{17D30B62-2123-41F1-B603-E5411FDFA3E0}" id="{E452B997-C369-4484-905E-6F102F137190}">
    <text>Habitacion doble para trabajadores cant 1 Costo 60€/noche
Habitacion triple para trabajadores cant 3 Costo 75€/noche cada una
(camas separadas)</text>
  </threadedComment>
  <threadedComment ref="F2199" dT="2025-02-13T10:05:11.33" personId="{17D30B62-2123-41F1-B603-E5411FDFA3E0}" id="{941771CA-D0B4-4745-956E-6C1AEE07FC70}">
    <text>Habitacion doble para trabajadores cant 1 Costo 60€/noche
Habitacion triple para trabajadores cant 3 Costo 75€/noche cada una
(camas separadas)</text>
  </threadedComment>
  <threadedComment ref="F2200" dT="2025-02-13T10:05:11.33" personId="{17D30B62-2123-41F1-B603-E5411FDFA3E0}" id="{AD76E855-5695-4663-834F-498B7EBF9546}">
    <text>Habitacion doble para trabajadores cant 1 Costo 60€/noche
Habitacion triple para trabajadores cant 3 Costo 75€/noche cada una
(camas separadas)</text>
  </threadedComment>
  <threadedComment ref="F2201" dT="2025-02-13T10:05:11.33" personId="{17D30B62-2123-41F1-B603-E5411FDFA3E0}" id="{416469CF-7102-4CD2-8606-CA35AE864DBE}">
    <text>Habitacion doble para trabajadores cant 1 Costo 60€/noche
Habitacion triple para trabajadores cant 3 Costo 75€/noche cada una
(camas separadas)</text>
  </threadedComment>
  <threadedComment ref="F2203" dT="2025-02-13T10:05:11.33" personId="{17D30B62-2123-41F1-B603-E5411FDFA3E0}" id="{431AA456-9971-43D6-9B86-4B95BFA95178}">
    <text>Habitacion doble para trabajadores cant 1 Costo 60€/noche
Habitacion triple para trabajadores cant 3 Costo 75€/noche cada una
(camas separadas)</text>
  </threadedComment>
  <threadedComment ref="F2204" dT="2025-02-13T10:05:11.33" personId="{17D30B62-2123-41F1-B603-E5411FDFA3E0}" id="{E39F179D-6B72-49B2-9087-15FCFAAD1035}">
    <text>Habitacion doble para trabajadores cant 1 Costo 60€/noche
Habitacion triple para trabajadores cant 3 Costo 75€/noche cada una
(camas separadas)</text>
  </threadedComment>
  <threadedComment ref="F2205" dT="2025-02-13T10:05:11.33" personId="{17D30B62-2123-41F1-B603-E5411FDFA3E0}" id="{E0C472D7-D85F-458C-91AA-818A8976762F}">
    <text>Habitacion doble para trabajadores cant 1 Costo 60€/noche
Habitacion triple para trabajadores cant 3 Costo 75€/noche cada una
(camas separadas)</text>
  </threadedComment>
  <threadedComment ref="F2206" dT="2025-02-13T10:05:11.33" personId="{17D30B62-2123-41F1-B603-E5411FDFA3E0}" id="{E3DCC9EF-999C-444B-BC67-6FC946E3C557}">
    <text>Habitacion doble para trabajadores cant 1 Costo 60€/noche
Habitacion triple para trabajadores cant 3 Costo 75€/noche cada una
(camas separadas)</text>
  </threadedComment>
  <threadedComment ref="F2207" dT="2025-02-13T10:05:11.33" personId="{17D30B62-2123-41F1-B603-E5411FDFA3E0}" id="{69E4FB2C-E50C-4BF5-8B91-E8EE1F1C98BB}">
    <text>Habitacion doble para trabajadores cant 1 Costo 60€/noche
Habitacion triple para trabajadores cant 3 Costo 75€/noche cada una
(camas separadas)</text>
  </threadedComment>
  <threadedComment ref="F2208" dT="2025-02-13T10:05:11.33" personId="{17D30B62-2123-41F1-B603-E5411FDFA3E0}" id="{5997C73D-46BA-4376-857F-02C456C4E1FC}">
    <text>Habitacion doble para trabajadores cant 1 Costo 60€/noche
Habitacion triple para trabajadores cant 3 Costo 75€/noche cada una
(camas separadas)</text>
  </threadedComment>
  <threadedComment ref="W2208" dT="2024-12-12T12:55:38.37" personId="{98986A2A-739A-4851-A979-4B0D560C46CD}" id="{555F826A-AFE9-4D68-883F-6AF052CF69EC}">
    <text>ESTA FIANZA PASA A CRISTIAN PEDIDO 509</text>
  </threadedComment>
  <threadedComment ref="F2209" dT="2025-03-14T08:13:00.80" personId="{98986A2A-739A-4851-A979-4B0D560C46CD}" id="{B7DDBC42-C430-48DF-B2FF-396C279D7528}">
    <text>04 camas, 500€ alquiler, 500€ fianza</text>
  </threadedComment>
  <threadedComment ref="F2210" dT="2025-02-13T10:05:11.33" personId="{17D30B62-2123-41F1-B603-E5411FDFA3E0}" id="{3A6A647A-972E-43E7-A17E-A24FFE5B25FA}">
    <text>Habitacion doble para trabajadores cant 1 Costo 60€/noche
Habitacion triple para trabajadores cant 3 Costo 75€/noche cada una
(camas separadas)</text>
  </threadedComment>
  <threadedComment ref="F2211" dT="2025-02-13T10:05:11.33" personId="{17D30B62-2123-41F1-B603-E5411FDFA3E0}" id="{68E1966D-0AAD-4A3E-BB10-9C7EBC459677}">
    <text>Alquiler 1000€ Fianza 1000€ 4 camas</text>
  </threadedComment>
  <threadedComment ref="F2212" dT="2025-02-13T10:05:11.33" personId="{17D30B62-2123-41F1-B603-E5411FDFA3E0}" id="{EECAEE15-EFE0-4DF7-BC66-123E527AE9F3}">
    <text>Habitacion doble para trabajadores cant 1 Costo 60€/noche
Habitacion triple para trabajadores cant 3 Costo 75€/noche cada una
(camas separadas)</text>
  </threadedComment>
  <threadedComment ref="F2214" dT="2025-02-13T10:05:11.33" personId="{17D30B62-2123-41F1-B603-E5411FDFA3E0}" id="{161C8A28-FB00-4B26-883F-D6B0A3C56818}">
    <text>Habitacion doble para trabajadores cant 1 Costo 60€/noche
Habitacion triple para trabajadores cant 3 Costo 75€/noche cada una
(camas separadas)</text>
  </threadedComment>
  <threadedComment ref="F2215" dT="2025-03-03T11:25:05.42" personId="{98986A2A-739A-4851-A979-4B0D560C46CD}" id="{7A06506B-8D8A-4A81-8816-75D9D6E02C91}">
    <text>1200€ ALQUILER, 300€ FIANZA, 04 CAMAS</text>
  </threadedComment>
  <threadedComment ref="F2217" dT="2024-05-17T06:49:04.22" personId="{98986A2A-739A-4851-A979-4B0D560C46CD}" id="{0D242457-7F70-4561-A691-666E472D6A5F}">
    <text>Renta 560+30(servicios)
Fianza 1120
Habitaciones 5</text>
  </threadedComment>
  <threadedComment ref="F2218" dT="2025-02-13T10:05:11.33" personId="{17D30B62-2123-41F1-B603-E5411FDFA3E0}" id="{F33707E7-111C-4C45-9F47-BF0FEAF0533F}">
    <text>Habitacion doble para trabajadores cant 1 Costo 60€/noche
Habitacion triple para trabajadores cant 3 Costo 75€/noche cada una
(camas separadas)</text>
  </threadedComment>
  <threadedComment ref="F2219" dT="2025-02-13T10:05:11.33" personId="{17D30B62-2123-41F1-B603-E5411FDFA3E0}" id="{0FF9F707-2BFC-4395-9902-720E27A1333F}">
    <text>Habitacion doble para trabajadores cant 1 Costo 60€/noche
Habitacion triple para trabajadores cant 3 Costo 75€/noche cada una
(camas separadas)</text>
  </threadedComment>
  <threadedComment ref="F2220" dT="2024-06-25T09:14:46.90" personId="{98986A2A-739A-4851-A979-4B0D560C46CD}" id="{2CE526ED-5259-4374-A79A-529194A2DB46}">
    <text>Fianza 1000, alquiler 1250, 05 camas. Nuevo Contrato Febrero 2025</text>
  </threadedComment>
  <threadedComment ref="F2221" dT="2025-04-04T11:03:00.40" personId="{98986A2A-739A-4851-A979-4B0D560C46CD}" id="{EAEE38AB-39C1-48A1-8256-21333DA99FBE}">
    <text>600€ alquiler, 600€ fianza, 05 camas</text>
  </threadedComment>
  <threadedComment ref="F2222" dT="2025-04-04T11:03:00.40" personId="{98986A2A-739A-4851-A979-4B0D560C46CD}" id="{9FFD4223-1FB0-40CB-971F-8D287BB3BD39}">
    <text>600€ alquiler, 600€ fianza, 05 camas</text>
  </threadedComment>
  <threadedComment ref="F2223" dT="2024-08-19T11:49:32.68" personId="{98986A2A-739A-4851-A979-4B0D560C46CD}" id="{6F1DDA76-D501-44BD-BFE8-A4085CFF361E}">
    <text>3 habitaciones, 04 CAMAS, 1100€ ALQUILER,</text>
  </threadedComment>
  <threadedComment ref="F2224" dT="2025-02-13T10:05:11.33" personId="{17D30B62-2123-41F1-B603-E5411FDFA3E0}" id="{6DE02D0D-89D3-4B47-9834-13D4252D0E7F}">
    <text>Habitacion doble para trabajadores cant 1 Costo 60€/noche
Habitacion triple para trabajadores cant 3 Costo 75€/noche cada una
(camas separadas)</text>
  </threadedComment>
  <threadedComment ref="F2225" dT="2025-02-13T10:05:11.33" personId="{17D30B62-2123-41F1-B603-E5411FDFA3E0}" id="{187205F2-49B8-4D7F-B454-B6857011FFB7}">
    <text>Habitacion doble para trabajadores cant 1 Costo 60€/noche
Habitacion triple para trabajadores cant 3 Costo 75€/noche cada una
(camas separadas)</text>
  </threadedComment>
  <threadedComment ref="F2226" dT="2025-02-13T10:05:11.33" personId="{17D30B62-2123-41F1-B603-E5411FDFA3E0}" id="{6F6344B4-C6BC-45DD-AD65-1E40A4BB09EE}">
    <text>Habitacion doble para trabajadores cant 1 Costo 60€/noche
Habitacion triple para trabajadores cant 3 Costo 75€/noche cada una
(camas separadas)</text>
  </threadedComment>
  <threadedComment ref="F2227" dT="2024-06-25T09:14:46.90" personId="{98986A2A-739A-4851-A979-4B0D560C46CD}" id="{7C5191B3-0A15-4F0F-A3E0-E1485657B3C6}">
    <text>Fianza 1000, alquiler 1250, 05 camas. Nuevo Contrato Febrero 2025</text>
  </threadedComment>
  <threadedComment ref="F2228" dT="2024-05-17T06:49:04.22" personId="{98986A2A-739A-4851-A979-4B0D560C46CD}" id="{CBF7C822-4FC4-498D-9280-51770837FDBB}">
    <text>Renta 560+30(servicios)
Fianza 1120
Habitaciones 5</text>
  </threadedComment>
  <threadedComment ref="F2229" dT="2025-02-13T10:05:11.33" personId="{17D30B62-2123-41F1-B603-E5411FDFA3E0}" id="{0B779F55-B03C-4EF7-92DF-8C7B4B4E0BB5}">
    <text>Habitacion doble para trabajadores cant 1 Costo 60€/noche
Habitacion triple para trabajadores cant 3 Costo 75€/noche cada una
(camas separadas)</text>
  </threadedComment>
  <threadedComment ref="F2230" dT="2025-02-13T10:05:11.33" personId="{17D30B62-2123-41F1-B603-E5411FDFA3E0}" id="{A1F0F24B-6FC3-41B4-93F3-EA0668CC12B7}">
    <text>Habitacion doble para trabajadores cant 1 Costo 60€/noche
Habitacion triple para trabajadores cant 3 Costo 75€/noche cada una
(camas separadas)</text>
  </threadedComment>
  <threadedComment ref="F2231" dT="2025-02-13T10:05:11.33" personId="{17D30B62-2123-41F1-B603-E5411FDFA3E0}" id="{98876C22-CFEB-42DF-AB8A-A8465E93AF87}">
    <text>Habitacion doble para trabajadores cant 1 Costo 60€/noche
Habitacion triple para trabajadores cant 3 Costo 75€/noche cada una
(camas separadas)</text>
  </threadedComment>
  <threadedComment ref="F2232" dT="2024-05-17T06:49:04.22" personId="{98986A2A-739A-4851-A979-4B0D560C46CD}" id="{C724FDDE-9805-4D66-A976-AC3CC43DF9D4}">
    <text>Renta 560+30(servicios)
Fianza 1120
Habitaciones 5</text>
  </threadedComment>
  <threadedComment ref="F2233" dT="2025-02-13T10:05:11.33" personId="{17D30B62-2123-41F1-B603-E5411FDFA3E0}" id="{E9E25485-0458-427E-8688-8D81CC15B5F7}">
    <text>Habitacion doble para trabajadores cant 1 Costo 60€/noche
Habitacion triple para trabajadores cant 3 Costo 75€/noche cada una
(camas separadas)</text>
  </threadedComment>
  <threadedComment ref="F2234" dT="2025-04-04T11:03:00.40" personId="{98986A2A-739A-4851-A979-4B0D560C46CD}" id="{BE272833-445F-4ABA-96AB-37316FB57B61}">
    <text>600€ alquiler, 600€ fianza, 05 camas</text>
  </threadedComment>
  <threadedComment ref="F2235" dT="2024-06-25T09:14:46.90" personId="{98986A2A-739A-4851-A979-4B0D560C46CD}" id="{63C89257-0599-4D28-B29C-F7393A326105}">
    <text>Fianza 1000, alquiler 1250, 05 camas. Nuevo Contrato Febrero 2025</text>
  </threadedComment>
  <threadedComment ref="F2236" dT="2024-06-25T09:14:46.90" personId="{98986A2A-739A-4851-A979-4B0D560C46CD}" id="{F8E2D3CF-2C16-4161-B27B-B2F5D11E75E6}">
    <text>Fianza 1000, alquiler 1250, 05 camas. Nuevo Contrato Febrero 2025</text>
  </threadedComment>
  <threadedComment ref="F2237" dT="2025-02-13T10:05:11.33" personId="{17D30B62-2123-41F1-B603-E5411FDFA3E0}" id="{0DB4D1AA-17CA-4FFB-A033-6265A6B317B6}">
    <text>Habitacion doble para trabajadores cant 1 Costo 60€/noche
Habitacion triple para trabajadores cant 3 Costo 75€/noche cada una
(camas separadas)</text>
  </threadedComment>
  <threadedComment ref="F2238" dT="2025-02-13T10:05:11.33" personId="{17D30B62-2123-41F1-B603-E5411FDFA3E0}" id="{A8CDC210-D949-4257-8C53-375D55F93788}">
    <text>Habitacion doble para trabajadores cant 1 Costo 60€/noche
Habitacion triple para trabajadores cant 3 Costo 75€/noche cada una
(camas separadas)</text>
  </threadedComment>
  <threadedComment ref="F2239" dT="2025-02-13T10:05:11.33" personId="{17D30B62-2123-41F1-B603-E5411FDFA3E0}" id="{7E249BDE-94C6-4AA2-A4CC-CBAA84FC8C24}">
    <text>Habitacion doble para trabajadores cant 1 Costo 60€/noche
Habitacion triple para trabajadores cant 3 Costo 75€/noche cada una
(camas separadas)</text>
  </threadedComment>
  <threadedComment ref="F2240" dT="2025-02-13T10:05:11.33" personId="{17D30B62-2123-41F1-B603-E5411FDFA3E0}" id="{B54F1AE4-8E6A-4EBF-AB21-4149A6FC865B}">
    <text>Habitacion doble para trabajadores cant 1 Costo 60€/noche
Habitacion triple para trabajadores cant 3 Costo 75€/noche cada una
(camas separadas)</text>
  </threadedComment>
  <threadedComment ref="W2240" dT="2024-05-22T13:25:40.26" personId="{98986A2A-739A-4851-A979-4B0D560C46CD}" id="{C1F12C6F-0A86-4009-B47D-63D88834A01D}">
    <text>Fianza devuelta 22/05 enviada a Thalía para confirmar</text>
  </threadedComment>
  <threadedComment ref="W2240" dT="2024-05-22T13:26:10.68" personId="{98986A2A-739A-4851-A979-4B0D560C46CD}" id="{D5771DEE-2D63-479E-849C-8CB0897546C3}" parentId="{C1F12C6F-0A86-4009-B47D-63D88834A01D}">
    <text>800 €</text>
  </threadedComment>
  <threadedComment ref="F2241" dT="2024-08-19T11:49:32.68" personId="{98986A2A-739A-4851-A979-4B0D560C46CD}" id="{F6394A5B-AC90-4F74-BCF6-C301D0AB273C}">
    <text>3 habitaciones, 04 CAMAS, 1100€ ALQUILER,</text>
  </threadedComment>
  <threadedComment ref="F2242" dT="2026-04-23T07:35:10.11" personId="{4D8483EF-5A39-4E7B-A473-929EF5A077E1}" id="{04B98907-8E13-41B7-9658-745520CA459B}">
    <text>1 Habitación 2 Camas Nº1</text>
  </threadedComment>
  <threadedComment ref="F2243" dT="2024-08-19T11:49:32.68" personId="{98986A2A-739A-4851-A979-4B0D560C46CD}" id="{A4889048-85AC-4A7A-9B79-1A62E79256B2}">
    <text>3 habitaciones, 04 CAMAS, 1100€ ALQUILER,</text>
  </threadedComment>
  <threadedComment ref="F2244" dT="2024-08-19T11:49:32.68" personId="{98986A2A-739A-4851-A979-4B0D560C46CD}" id="{E423C56C-A81E-4CA3-B47A-A58076849374}">
    <text>3 habitaciones, 04 CAMAS, 1100€ ALQUILER,</text>
  </threadedComment>
  <threadedComment ref="F2245" dT="2025-02-13T10:05:11.33" personId="{17D30B62-2123-41F1-B603-E5411FDFA3E0}" id="{6E761BC9-5710-4129-994A-92BBC13911D4}">
    <text>Habitacion doble para trabajadores cant 1 Costo 60€/noche
Habitacion triple para trabajadores cant 3 Costo 75€/noche cada una
(camas separadas)</text>
  </threadedComment>
  <threadedComment ref="F2246" dT="2025-02-13T10:05:11.33" personId="{17D30B62-2123-41F1-B603-E5411FDFA3E0}" id="{66DA6B16-0035-4B8D-83ED-A00AF9AFDD44}">
    <text>Habitacion doble para trabajadores cant 1 Costo 60€/noche
Habitacion triple para trabajadores cant 3 Costo 75€/noche cada una
(camas separadas)</text>
  </threadedComment>
  <threadedComment ref="F2247" dT="2024-06-25T09:14:46.90" personId="{98986A2A-739A-4851-A979-4B0D560C46CD}" id="{62B01716-7FA9-41EB-8DF3-AF98BDBEEB51}">
    <text>Fianza 1000, alquiler 1250, 05 camas. Nuevo Contrato Febrero 2025</text>
  </threadedComment>
  <threadedComment ref="F2248" dT="2025-02-13T10:05:11.33" personId="{17D30B62-2123-41F1-B603-E5411FDFA3E0}" id="{2E7B530D-D490-426A-9CC0-D14743B8937F}">
    <text>Habitacion doble para trabajadores cant 1 Costo 60€/noche
Habitacion triple para trabajadores cant 3 Costo 75€/noche cada una
(camas separadas)</text>
  </threadedComment>
  <threadedComment ref="F2249" dT="2025-02-13T10:05:11.33" personId="{17D30B62-2123-41F1-B603-E5411FDFA3E0}" id="{22723084-2A1D-4B30-BEDF-4E4DA5E43CDE}">
    <text>Habitacion doble para trabajadores cant 1 Costo 60€/noche
Habitacion triple para trabajadores cant 3 Costo 75€/noche cada una
(camas separadas)</text>
  </threadedComment>
  <threadedComment ref="F2250" dT="2025-02-13T10:05:11.33" personId="{17D30B62-2123-41F1-B603-E5411FDFA3E0}" id="{AAB03809-B4C5-4A8B-9C19-C30EB01478CC}">
    <text>Habitacion doble para trabajadores cant 1 Costo 60€/noche
Habitacion triple para trabajadores cant 3 Costo 75€/noche cada una
(camas separadas)</text>
  </threadedComment>
  <threadedComment ref="F2251" dT="2025-02-13T10:05:11.33" personId="{17D30B62-2123-41F1-B603-E5411FDFA3E0}" id="{DC189287-1617-42B5-8D42-6BD88E973828}">
    <text>Habitacion doble para trabajadores cant 1 Costo 60€/noche
Habitacion triple para trabajadores cant 3 Costo 75€/noche cada una
(camas separadas)</text>
  </threadedComment>
  <threadedComment ref="F2254" dT="2025-02-13T10:05:11.33" personId="{17D30B62-2123-41F1-B603-E5411FDFA3E0}" id="{57414CD8-3E35-4FF1-9B4E-46FCBF5F30C9}">
    <text>Habitacion doble para trabajadores cant 1 Costo 60€/noche
Habitacion triple para trabajadores cant 3 Costo 75€/noche cada una
(camas separadas)</text>
  </threadedComment>
  <threadedComment ref="F2255" dT="2025-02-13T10:05:11.33" personId="{17D30B62-2123-41F1-B603-E5411FDFA3E0}" id="{CEEB494D-4F38-4CE5-ABEC-67159B15933C}">
    <text>Habitacion doble para trabajadores cant 1 Costo 60€/noche
Habitacion triple para trabajadores cant 3 Costo 75€/noche cada una
(camas separadas)</text>
  </threadedComment>
  <threadedComment ref="F2256" dT="2026-04-24T14:08:31.91" personId="{4D8483EF-5A39-4E7B-A473-929EF5A077E1}" id="{D505183C-54CD-41EF-A9FE-880CC4B31F18}">
    <text>Alojamiento entero · 4 camas · 4 viajeros </text>
  </threadedComment>
  <threadedComment ref="F2257" dT="2025-02-13T10:05:11.33" personId="{17D30B62-2123-41F1-B603-E5411FDFA3E0}" id="{4CBCFBDB-C713-4D16-880D-E93C0DDE3606}">
    <text>Habitacion doble para trabajadores cant 1 Costo 60€/noche
Habitacion triple para trabajadores cant 3 Costo 75€/noche cada una
(camas separadas)</text>
  </threadedComment>
  <threadedComment ref="F2258" dT="2026-05-20T08:56:43.03" personId="{4D8483EF-5A39-4E7B-A473-929EF5A077E1}" id="{2468BAC4-F26A-466E-B904-795A07A26F5D}">
    <text>(para 4 personas)</text>
  </threadedComment>
  <threadedComment ref="F2259" dT="2025-02-13T10:05:11.33" personId="{17D30B62-2123-41F1-B603-E5411FDFA3E0}" id="{0AA8B842-3FC9-45F8-A2D6-02B39E652F0D}">
    <text>Habitacion doble para trabajadores cant 1 Costo 60€/noche
Habitacion triple para trabajadores cant 3 Costo 75€/noche cada una
(camas separadas)</text>
  </threadedComment>
  <threadedComment ref="F2260" dT="2026-07-23T06:30:58.09" personId="{4D8483EF-5A39-4E7B-A473-929EF5A077E1}" id="{7510E215-B4E5-4E21-A2A5-32707472413F}">
    <text xml:space="preserve">Alquiler 1500, 3 camas </text>
  </threadedComment>
  <threadedComment ref="F2260" dT="2026-08-24T09:16:29.24" personId="{E3C446A3-37B8-466B-82DA-8F7BAC7681F7}" id="{FBDA7D7F-3F48-4AC7-B831-48104A4D2102}" parentId="{7510E215-B4E5-4E21-A2A5-32707472413F}">
    <text xml:space="preserve">01 habitación con 2 dos camas
01 cama en la sala
01 terraza </text>
  </threadedComment>
  <threadedComment ref="F2261" dT="2025-02-13T10:05:11.33" personId="{17D30B62-2123-41F1-B603-E5411FDFA3E0}" id="{00D39532-75EB-4115-8E6F-4F1D4A516461}">
    <text>Habitacion doble para trabajadores cant 1 Costo 60€/noche
Habitacion triple para trabajadores cant 3 Costo 75€/noche cada una
(camas separadas)</text>
  </threadedComment>
  <threadedComment ref="F2262" dT="2025-03-13T10:07:36.64" personId="{98986A2A-739A-4851-A979-4B0D560C46CD}" id="{BF711707-B70A-4EE6-8425-392FE6C9D26D}">
    <text>04 camas, 2000€ alquiler, sin fianza</text>
  </threadedComment>
  <threadedComment ref="V2262" dT="2025-03-17T09:26:14.56" personId="{98986A2A-739A-4851-A979-4B0D560C46CD}" id="{2093BBC3-8810-45F1-A8B2-FDB64EE6BA21}">
    <text>Deben pasar a temporal y volver el 21/04</text>
  </threadedComment>
  <threadedComment ref="F2263" dT="2025-03-13T10:07:36.64" personId="{98986A2A-739A-4851-A979-4B0D560C46CD}" id="{C65803E6-F800-4FDD-9AA1-FBA82E311774}">
    <text>04 camas, 2000€ alquiler, sin fianza</text>
  </threadedComment>
  <threadedComment ref="V2263" dT="2025-03-17T09:26:14.56" personId="{98986A2A-739A-4851-A979-4B0D560C46CD}" id="{1C9966FD-E98C-4C98-A31F-35E8BFFC7E58}">
    <text>Deben pasar a temporal y volver el 21/04</text>
  </threadedComment>
  <threadedComment ref="F2264" dT="2025-02-13T10:05:11.33" personId="{17D30B62-2123-41F1-B603-E5411FDFA3E0}" id="{2D562556-2EA1-476C-AB8D-EB3BD15D427A}">
    <text>Habitacion doble para trabajadores cant 1 Costo 60€/noche
Habitacion triple para trabajadores cant 3 Costo 75€/noche cada una
(camas separadas)</text>
  </threadedComment>
  <threadedComment ref="F2265" dT="2025-02-13T10:05:11.33" personId="{17D30B62-2123-41F1-B603-E5411FDFA3E0}" id="{B24F08C5-0973-4D22-B449-56C0CA353857}">
    <text>Habitacion doble para trabajadores cant 1 Costo 60€/noche
Habitacion triple para trabajadores cant 3 Costo 75€/noche cada una
(camas separadas)</text>
  </threadedComment>
  <threadedComment ref="F2266" dT="2025-02-26T13:10:02.89" personId="{17D30B62-2123-41F1-B603-E5411FDFA3E0}" id="{93958B6D-D17A-4BE8-9EB1-E1C3FEEBC1BC}">
    <text>4 Habitaciones 370/cu</text>
  </threadedComment>
  <threadedComment ref="W2266" dT="2024-08-26T10:55:27.48" personId="{98986A2A-739A-4851-A979-4B0D560C46CD}" id="{79933BD7-6DBD-41F5-B873-051538004088}">
    <text>La fianzas d Rodrigo pasa a Diego</text>
  </threadedComment>
  <threadedComment ref="W2266" dT="2024-11-18T10:15:18.28" personId="{98986A2A-739A-4851-A979-4B0D560C46CD}" id="{2BD6A3DA-3C1B-4A3A-8859-ADFB000D95E9}" parentId="{79933BD7-6DBD-41F5-B873-051538004088}">
    <text>Esta fianza pasa a Luis Alberto Zuñiga pedido 436</text>
  </threadedComment>
  <threadedComment ref="F2267" dT="2025-02-13T10:05:11.33" personId="{17D30B62-2123-41F1-B603-E5411FDFA3E0}" id="{2BA8BD99-6BB4-43FC-AB2D-75A4E57B95C4}">
    <text>Habitacion doble para trabajadores cant 1 Costo 60€/noche
Habitacion triple para trabajadores cant 3 Costo 75€/noche cada una
(camas separadas)</text>
  </threadedComment>
  <threadedComment ref="F2268" dT="2025-02-13T10:05:11.33" personId="{17D30B62-2123-41F1-B603-E5411FDFA3E0}" id="{CA787D32-EB50-4863-B928-B942E97D7FFD}">
    <text>Habitacion doble para trabajadores cant 1 Costo 60€/noche
Habitacion triple para trabajadores cant 3 Costo 75€/noche cada una
(camas separadas)</text>
  </threadedComment>
  <threadedComment ref="F2269" dT="2025-02-13T10:05:11.33" personId="{17D30B62-2123-41F1-B603-E5411FDFA3E0}" id="{1B646DED-F5E3-4353-8B94-31B3872DCE9B}">
    <text>Habitacion doble para trabajadores cant 1 Costo 60€/noche
Habitacion triple para trabajadores cant 3 Costo 75€/noche cada una
(camas separadas)</text>
  </threadedComment>
  <threadedComment ref="F2270" dT="2025-02-13T10:05:11.33" personId="{17D30B62-2123-41F1-B603-E5411FDFA3E0}" id="{CAEFCEA1-3EB7-4735-9DA9-9049DA5E90AB}">
    <text>Habitacion doble para trabajadores cant 1 Costo 60€/noche
Habitacion triple para trabajadores cant 3 Costo 75€/noche cada una
(camas separadas)</text>
  </threadedComment>
  <threadedComment ref="F2272" dT="2024-06-25T09:14:46.90" personId="{98986A2A-739A-4851-A979-4B0D560C46CD}" id="{5E021349-7FD5-420B-91A9-F19FC6173439}">
    <text>Fianza 1000, alquiler 1250, 05 camas. Nuevo Contrato Febrero 2025</text>
  </threadedComment>
  <threadedComment ref="F2273" dT="2025-02-13T10:05:11.33" personId="{17D30B62-2123-41F1-B603-E5411FDFA3E0}" id="{C72122EE-90C1-4634-AA09-8EE15A68F3B8}">
    <text>Habitacion doble para trabajadores cant 1 Costo 60€/noche
Habitacion triple para trabajadores cant 3 Costo 75€/noche cada una
(camas separadas)</text>
  </threadedComment>
  <threadedComment ref="F2274" dT="2024-06-25T09:14:46.90" personId="{98986A2A-739A-4851-A979-4B0D560C46CD}" id="{3F263281-E5A3-4B55-838C-CDB7CAAFDC1D}">
    <text>Fianza 1000, alquiler 1250, 05 camas. Nuevo Contrato Febrero 2025</text>
  </threadedComment>
  <threadedComment ref="F2275" dT="2025-02-13T10:05:11.33" personId="{17D30B62-2123-41F1-B603-E5411FDFA3E0}" id="{E15BE97D-995C-4BB7-9CD2-7A5798981396}">
    <text>Habitacion doble para trabajadores cant 1 Costo 60€/noche
Habitacion triple para trabajadores cant 3 Costo 75€/noche cada una
(camas separadas)</text>
  </threadedComment>
  <threadedComment ref="F2276" dT="2025-02-13T10:05:11.33" personId="{17D30B62-2123-41F1-B603-E5411FDFA3E0}" id="{7A37A0DA-6121-475A-AED7-3C2983823FBB}">
    <text>Habitacion doble para trabajadores cant 1 Costo 60€/noche
Habitacion triple para trabajadores cant 3 Costo 75€/noche cada una
(camas separadas)</text>
  </threadedComment>
  <threadedComment ref="F2277" dT="2025-02-13T10:05:11.33" personId="{17D30B62-2123-41F1-B603-E5411FDFA3E0}" id="{B7FFF255-A47B-4E43-8F8A-B7AE00977DF5}">
    <text>Habitacion doble para trabajadores cant 1 Costo 60€/noche
Habitacion triple para trabajadores cant 3 Costo 75€/noche cada una
(camas separadas)</text>
  </threadedComment>
  <threadedComment ref="F2278" dT="2025-02-13T10:05:11.33" personId="{17D30B62-2123-41F1-B603-E5411FDFA3E0}" id="{763C23AE-D84A-4845-94E6-899F489A296B}">
    <text>Habitacion doble para trabajadores cant 1 Costo 60€/noche
Habitacion triple para trabajadores cant 3 Costo 75€/noche cada una
(camas separadas)</text>
  </threadedComment>
  <threadedComment ref="F2279" dT="2025-02-13T10:05:11.33" personId="{17D30B62-2123-41F1-B603-E5411FDFA3E0}" id="{AC20ABB4-7272-44D5-9CDC-B549DAD3ECBA}">
    <text>01 apartamento para 3 personas y 03 apartamentos para 2 personas</text>
  </threadedComment>
  <threadedComment ref="F2280" dT="2025-02-13T10:05:11.33" personId="{17D30B62-2123-41F1-B603-E5411FDFA3E0}" id="{387DB0AA-8C85-4FBA-A7D3-B3DE1296CAA0}">
    <text>Habitacion doble para trabajadores cant 1 Costo 60€/noche
Habitacion triple para trabajadores cant 3 Costo 75€/noche cada una
(camas separadas)</text>
  </threadedComment>
  <threadedComment ref="F2281" dT="2025-02-13T10:05:11.33" personId="{17D30B62-2123-41F1-B603-E5411FDFA3E0}" id="{FDF3ED2D-3CDC-4041-8D7F-C33A76BB9E53}">
    <text>Habitacion doble para trabajadores cant 1 Costo 60€/noche
Habitacion triple para trabajadores cant 3 Costo 75€/noche cada una
(camas separadas)</text>
  </threadedComment>
  <threadedComment ref="F2282" dT="2025-02-13T10:05:11.33" personId="{17D30B62-2123-41F1-B603-E5411FDFA3E0}" id="{6E5288EC-096A-4F7F-8C66-64C9899498AA}">
    <text>Habitacion doble para trabajadores cant 1 Costo 60€/noche
Habitacion triple para trabajadores cant 3 Costo 75€/noche cada una
(camas separadas)</text>
  </threadedComment>
  <threadedComment ref="F2283" dT="2024-06-25T09:14:46.90" personId="{98986A2A-739A-4851-A979-4B0D560C46CD}" id="{BB54CE82-44CA-4777-8B8F-C7B528101521}">
    <text>Fianza 1000, alquiler 1250, 05 camas. Nuevo Contrato Febrero 2025</text>
  </threadedComment>
  <threadedComment ref="F2284" dT="2025-02-13T10:05:11.33" personId="{17D30B62-2123-41F1-B603-E5411FDFA3E0}" id="{4B0DE6A6-8994-4C26-B2FF-872FF7689335}">
    <text>Habitacion doble para trabajadores cant 1 Costo 60€/noche
Habitacion triple para trabajadores cant 3 Costo 75€/noche cada una
(camas separadas)</text>
  </threadedComment>
  <threadedComment ref="F2285" dT="2024-06-25T09:14:46.90" personId="{98986A2A-739A-4851-A979-4B0D560C46CD}" id="{7E08816A-1BBC-4C47-B28E-337B6AD540CE}">
    <text>Fianza 1000, alquiler 1250, 05 camas. Nuevo Contrato Febrero 2025</text>
  </threadedComment>
  <threadedComment ref="F2286" dT="2025-02-13T10:05:11.33" personId="{17D30B62-2123-41F1-B603-E5411FDFA3E0}" id="{FCB1867F-88BB-4ED4-B967-22F1E802BA4D}">
    <text>Habitacion doble para trabajadores cant 1 Costo 60€/noche
Habitacion triple para trabajadores cant 3 Costo 75€/noche cada una
(camas separadas)</text>
  </threadedComment>
  <threadedComment ref="F2287" dT="2025-02-13T10:05:11.33" personId="{17D30B62-2123-41F1-B603-E5411FDFA3E0}" id="{59E7EA66-09A9-47A2-AD9C-9CD4CDA11A2F}">
    <text>Habitacion doble para trabajadores cant 1 Costo 60€/noche
Habitacion triple para trabajadores cant 3 Costo 75€/noche cada una
(camas separadas)</text>
  </threadedComment>
  <threadedComment ref="F2288" dT="2025-02-13T10:05:11.33" personId="{17D30B62-2123-41F1-B603-E5411FDFA3E0}" id="{25658296-4A22-43CE-A4A7-1FF3C0ED10FE}">
    <text>Habitacion doble para trabajadores cant 1 Costo 60€/noche
Habitacion triple para trabajadores cant 3 Costo 75€/noche cada una
(camas separadas)</text>
  </threadedComment>
  <threadedComment ref="F2289" dT="2025-02-13T10:05:11.33" personId="{17D30B62-2123-41F1-B603-E5411FDFA3E0}" id="{BA2E2306-A5C5-4647-9124-B9161D912294}">
    <text>Habitacion doble para trabajadores cant 1 Costo 60€/noche
Habitacion triple para trabajadores cant 3 Costo 75€/noche cada una
(camas separadas)</text>
  </threadedComment>
  <threadedComment ref="F2290" dT="2025-02-13T10:05:11.33" personId="{17D30B62-2123-41F1-B603-E5411FDFA3E0}" id="{9165F5E7-1E45-4614-A0A1-4B9C1270255D}">
    <text>Habitacion doble para trabajadores cant 1 Costo 60€/noche
Habitacion triple para trabajadores cant 3 Costo 75€/noche cada una
(camas separadas)</text>
  </threadedComment>
  <threadedComment ref="F2291" dT="2025-02-13T10:05:11.33" personId="{17D30B62-2123-41F1-B603-E5411FDFA3E0}" id="{933443DA-DE01-4725-B44D-6AD93344738E}">
    <text>Habitacion doble para trabajadores cant 1 Costo 60€/noche
Habitacion triple para trabajadores cant 3 Costo 75€/noche cada una
(camas separadas)</text>
  </threadedComment>
  <threadedComment ref="F2292" dT="2025-02-13T10:05:11.33" personId="{17D30B62-2123-41F1-B603-E5411FDFA3E0}" id="{2BD94E2F-1531-42DD-882A-037E35EFDF36}">
    <text>Habitacion doble para trabajadores cant 1 Costo 60€/noche
Habitacion triple para trabajadores cant 3 Costo 75€/noche cada una
(camas separadas)</text>
  </threadedComment>
  <threadedComment ref="F2293" dT="2025-05-20T10:52:45.06" personId="{17D30B62-2123-41F1-B603-E5411FDFA3E0}" id="{11F786F4-A72B-4549-9BDA-58CEC8E06B4F}">
    <text>7 Habitaciones Dobles</text>
  </threadedComment>
  <threadedComment ref="F2294" dT="2025-02-13T10:05:11.33" personId="{17D30B62-2123-41F1-B603-E5411FDFA3E0}" id="{D16B6647-80DC-4B12-89DC-ACB32D6C29D5}">
    <text>Habitacion doble para trabajadores cant 1 Costo 60€/noche
Habitacion triple para trabajadores cant 3 Costo 75€/noche cada una
(camas separadas)</text>
  </threadedComment>
  <threadedComment ref="F2295" dT="2025-02-13T10:05:11.33" personId="{17D30B62-2123-41F1-B603-E5411FDFA3E0}" id="{2C4FC35A-6BD0-4C14-83D7-83EBABBDAD6A}">
    <text>Habitacion doble para trabajadores cant 1 Costo 60€/noche
Habitacion triple para trabajadores cant 3 Costo 75€/noche cada una
(camas separadas)</text>
  </threadedComment>
  <threadedComment ref="F2296" dT="2025-02-13T10:05:11.33" personId="{17D30B62-2123-41F1-B603-E5411FDFA3E0}" id="{4094A6D8-8EB3-4660-A5BF-9ACF33F51E02}">
    <text>Habitacion doble para trabajadores cant 1 Costo 60€/noche
Habitacion triple para trabajadores cant 3 Costo 75€/noche cada una
(camas separadas)</text>
  </threadedComment>
  <threadedComment ref="F2297" dT="2025-02-13T10:05:11.33" personId="{17D30B62-2123-41F1-B603-E5411FDFA3E0}" id="{5D7406E2-287E-45D8-9AAB-B9BF14E45BBE}">
    <text>01 apartamento para 3 personas y 03 apartamentos para 2 personas</text>
  </threadedComment>
  <threadedComment ref="F2298" dT="2025-02-13T10:05:11.33" personId="{17D30B62-2123-41F1-B603-E5411FDFA3E0}" id="{132FE666-8F34-47D7-92EA-81D60D055CAB}">
    <text>Habitacion doble para trabajadores cant 1 Costo 60€/noche
Habitacion triple para trabajadores cant 3 Costo 75€/noche cada una
(camas separadas)</text>
  </threadedComment>
  <threadedComment ref="F2299" dT="2025-04-30T11:00:49.95" personId="{17D30B62-2123-41F1-B603-E5411FDFA3E0}" id="{EEC831FD-6748-46EA-8477-96E43EB7DA32}">
    <text xml:space="preserve">Alquiler 850€ Fianza 850€ 7 camas </text>
  </threadedComment>
  <threadedComment ref="F2301" dT="2025-03-17T16:31:33.41" personId="{98986A2A-739A-4851-A979-4B0D560C46CD}" id="{BE35CA68-987E-4F72-A0ED-3B983AE40A0F}">
    <text>05 CAMAS, 2200€ ALQUILER, N/A APLICA</text>
  </threadedComment>
  <threadedComment ref="F2302" dT="2025-02-13T10:05:11.33" personId="{17D30B62-2123-41F1-B603-E5411FDFA3E0}" id="{8FD6454D-6A1A-46EB-8FCE-205A5F517635}">
    <text>Habitacion doble para trabajadores cant 1 Costo 60€/noche
Habitacion triple para trabajadores cant 3 Costo 75€/noche cada una
(camas separadas)</text>
  </threadedComment>
  <threadedComment ref="F2304" dT="2025-02-13T10:05:11.33" personId="{17D30B62-2123-41F1-B603-E5411FDFA3E0}" id="{DFEB0038-7F4D-49E3-9C8C-B61DD5C6B2EB}">
    <text>Habitacion doble para trabajadores cant 1 Costo 60€/noche
Habitacion triple para trabajadores cant 3 Costo 75€/noche cada una
(camas separadas)</text>
  </threadedComment>
  <threadedComment ref="F2305" dT="2025-02-13T10:05:11.33" personId="{17D30B62-2123-41F1-B603-E5411FDFA3E0}" id="{08BBDFE9-576C-408D-8925-4B1B1412ACA1}">
    <text>Habitacion doble para trabajadores cant 1 Costo 60€/noche
Habitacion triple para trabajadores cant 3 Costo 75€/noche cada una
(camas separadas)</text>
  </threadedComment>
  <threadedComment ref="F2306" dT="2025-02-13T10:05:11.33" personId="{17D30B62-2123-41F1-B603-E5411FDFA3E0}" id="{B16EDC1F-8710-42C4-AE9A-700EABFFF012}">
    <text>Habitacion doble para trabajadores cant 1 Costo 60€/noche
Habitacion triple para trabajadores cant 3 Costo 75€/noche cada una
(camas separadas)</text>
  </threadedComment>
  <threadedComment ref="F2307" dT="2025-03-07T13:18:36.65" personId="{98986A2A-739A-4851-A979-4B0D560C46CD}" id="{B5352CF7-FBEF-44AB-8546-6CCE8BDF2DF8}">
    <text>04 camas, 550€ alquiler, 550€ fianza</text>
  </threadedComment>
  <threadedComment ref="F2308" dT="2024-06-25T09:14:46.90" personId="{98986A2A-739A-4851-A979-4B0D560C46CD}" id="{377E8AB6-5107-4D81-A063-2A47102CFCEC}">
    <text>Fianza 1000, alquiler 1250, 05 camas. Nuevo Contrato Febrero 2025</text>
  </threadedComment>
  <threadedComment ref="F2310" dT="2025-05-20T10:52:45.06" personId="{17D30B62-2123-41F1-B603-E5411FDFA3E0}" id="{F29A3ED5-021D-42A1-96BA-422C4F36816E}">
    <text>7 Habitaciones Dobles</text>
  </threadedComment>
  <threadedComment ref="F2311" dT="2025-02-13T10:05:11.33" personId="{17D30B62-2123-41F1-B603-E5411FDFA3E0}" id="{20D22262-7666-48BC-AF05-8D40A159C308}">
    <text>Habitacion doble para trabajadores cant 1 Costo 60€/noche
Habitacion triple para trabajadores cant 3 Costo 75€/noche cada una
(camas separadas)</text>
  </threadedComment>
  <threadedComment ref="F2312" dT="2025-02-13T10:05:11.33" personId="{17D30B62-2123-41F1-B603-E5411FDFA3E0}" id="{DF28CD1C-FFED-4CA3-8B24-161BA888B86E}">
    <text>Habitacion doble para trabajadores cant 1 Costo 60€/noche
Habitacion triple para trabajadores cant 3 Costo 75€/noche cada una
(camas separadas)</text>
  </threadedComment>
  <threadedComment ref="F2314" dT="2025-03-03T15:39:24.40" personId="{98986A2A-739A-4851-A979-4B0D560C46CD}" id="{DA87B226-D51D-4BE0-922F-363610E93335}">
    <text>1200€ alquiler, 05 camas, 1200€ fianza</text>
  </threadedComment>
  <threadedComment ref="F2315" dT="2025-02-13T10:05:11.33" personId="{17D30B62-2123-41F1-B603-E5411FDFA3E0}" id="{04D820A2-8E49-4482-8BC6-A582513BD7BC}">
    <text>Habitacion doble para trabajadores cant 1 Costo 60€/noche
Habitacion triple para trabajadores cant 3 Costo 75€/noche cada una
(camas separadas)</text>
  </threadedComment>
  <threadedComment ref="F2316" dT="2025-02-13T10:05:11.33" personId="{17D30B62-2123-41F1-B603-E5411FDFA3E0}" id="{DE7C1C1B-D073-44E9-82CF-C983173A43F4}">
    <text>Habitacion doble para trabajadores cant 1 Costo 60€/noche
Habitacion triple para trabajadores cant 3 Costo 75€/noche cada una
(camas separadas)</text>
  </threadedComment>
  <threadedComment ref="F2318" dT="2025-02-13T10:05:11.33" personId="{17D30B62-2123-41F1-B603-E5411FDFA3E0}" id="{F5BD6FD6-529F-4256-995A-D8ECEA66F4C6}">
    <text>Habitacion doble para trabajadores cant 1 Costo 60€/noche
Habitacion triple para trabajadores cant 3 Costo 75€/noche cada una
(camas separadas)</text>
  </threadedComment>
  <threadedComment ref="F2319" dT="2025-02-13T10:05:11.33" personId="{17D30B62-2123-41F1-B603-E5411FDFA3E0}" id="{22CAD64E-0EA8-4DE1-BD4B-FEC3FBF75831}">
    <text>Habitacion doble para trabajadores cant 1 Costo 60€/noche
Habitacion triple para trabajadores cant 3 Costo 75€/noche cada una
(camas separadas)</text>
  </threadedComment>
  <threadedComment ref="F2320" dT="2025-02-13T10:05:11.33" personId="{17D30B62-2123-41F1-B603-E5411FDFA3E0}" id="{3D54AA07-FB5E-4C17-9C75-F62F781D1642}">
    <text>Habitacion doble para trabajadores cant 1 Costo 60€/noche
Habitacion triple para trabajadores cant 3 Costo 75€/noche cada una
(camas separadas)</text>
  </threadedComment>
  <threadedComment ref="F2321" dT="2025-02-13T10:05:11.33" personId="{17D30B62-2123-41F1-B603-E5411FDFA3E0}" id="{6E08BF71-FC9E-4B8D-94E5-EBA44B6D6848}">
    <text>Habitacion doble para trabajadores cant 1 Costo 60€/noche
Habitacion triple para trabajadores cant 3 Costo 75€/noche cada una
(camas separadas)</text>
  </threadedComment>
  <threadedComment ref="F2322" dT="2025-02-13T10:05:11.33" personId="{17D30B62-2123-41F1-B603-E5411FDFA3E0}" id="{70F6BBE7-7E26-486F-B305-9272351626A9}">
    <text>Habitacion doble para trabajadores cant 1 Costo 60€/noche
Habitacion triple para trabajadores cant 3 Costo 75€/noche cada una
(camas separadas)</text>
  </threadedComment>
  <threadedComment ref="F2323" dT="2025-10-02T11:37:02.21" personId="{17D30B62-2123-41F1-B603-E5411FDFA3E0}" id="{A055033C-36B7-410E-A048-925E58C668AF}">
    <text> Alquiler 400€ Fianza 400€</text>
  </threadedComment>
  <threadedComment ref="F2324" dT="2025-02-13T10:05:11.33" personId="{17D30B62-2123-41F1-B603-E5411FDFA3E0}" id="{A3183741-96B1-402E-9A07-528C0694E639}">
    <text>01 apartamento para 3 personas y 03 apartamentos para 2 personas</text>
  </threadedComment>
  <threadedComment ref="F2325" dT="2025-02-13T10:05:11.33" personId="{17D30B62-2123-41F1-B603-E5411FDFA3E0}" id="{BC2854A4-C49B-4364-A9F4-10C5BADDCE8C}">
    <text>Habitacion doble para trabajadores cant 1 Costo 60€/noche
Habitacion triple para trabajadores cant 3 Costo 75€/noche cada una
(camas separadas)</text>
  </threadedComment>
  <threadedComment ref="F2326" dT="2025-02-13T10:05:11.33" personId="{17D30B62-2123-41F1-B603-E5411FDFA3E0}" id="{96F9F356-29B7-4C64-AF98-B583960F0F0A}">
    <text>Habitacion doble para trabajadores cant 1 Costo 60€/noche
Habitacion triple para trabajadores cant 3 Costo 75€/noche cada una
(camas separadas)</text>
  </threadedComment>
  <threadedComment ref="F2327" dT="2025-02-13T10:05:11.33" personId="{17D30B62-2123-41F1-B603-E5411FDFA3E0}" id="{19FE3094-0CFE-4F46-AA7C-F4E15C4A9822}">
    <text>Habitacion doble para trabajadores cant 1 Costo 60€/noche
Habitacion triple para trabajadores cant 3 Costo 75€/noche cada una
(camas separadas)</text>
  </threadedComment>
  <threadedComment ref="W2327" dT="2024-11-18T16:06:46.82" personId="{17D30B62-2123-41F1-B603-E5411FDFA3E0}" id="{EA16C7FD-6F49-4130-AB91-9C6CE695ECA9}">
    <text>fianza de 200 de Alirio</text>
  </threadedComment>
  <threadedComment ref="F2328" dT="2025-02-13T10:05:11.33" personId="{17D30B62-2123-41F1-B603-E5411FDFA3E0}" id="{4D88D0E1-6B82-4E7F-B606-FB4B57E8207B}">
    <text>Habitacion doble para trabajadores cant 1 Costo 60€/noche
Habitacion triple para trabajadores cant 3 Costo 75€/noche cada una
(camas separadas)</text>
  </threadedComment>
  <threadedComment ref="F2329" dT="2025-02-13T10:05:11.33" personId="{17D30B62-2123-41F1-B603-E5411FDFA3E0}" id="{246DF8D3-B4CD-4D45-95CC-9B88C3695D88}">
    <text>Habitacion doble para trabajadores cant 1 Costo 60€/noche
Habitacion triple para trabajadores cant 3 Costo 75€/noche cada una
(camas separadas)</text>
  </threadedComment>
  <threadedComment ref="F2330" dT="2025-02-13T10:05:11.33" personId="{17D30B62-2123-41F1-B603-E5411FDFA3E0}" id="{21CDA2F6-98DB-40AA-A1C1-D921664D7D8B}">
    <text>Habitacion doble para trabajadores cant 1 Costo 60€/noche
Habitacion triple para trabajadores cant 3 Costo 75€/noche cada una
(camas separadas)</text>
  </threadedComment>
  <threadedComment ref="F2331" dT="2025-02-13T10:05:11.33" personId="{17D30B62-2123-41F1-B603-E5411FDFA3E0}" id="{F380D842-B39F-47A9-96C2-5173F4760E89}">
    <text>Habitacion doble para trabajadores cant 1 Costo 60€/noche
Habitacion triple para trabajadores cant 3 Costo 75€/noche cada una
(camas separadas)</text>
  </threadedComment>
  <threadedComment ref="F2332" dT="2025-02-13T10:05:11.33" personId="{17D30B62-2123-41F1-B603-E5411FDFA3E0}" id="{447DE43B-39E7-44F6-BA84-79D6C32CF33D}">
    <text>Habitacion doble para trabajadores cant 1 Costo 60€/noche
Habitacion triple para trabajadores cant 3 Costo 75€/noche cada una
(camas separadas)</text>
  </threadedComment>
  <threadedComment ref="F2333" dT="2025-02-13T10:05:11.33" personId="{17D30B62-2123-41F1-B603-E5411FDFA3E0}" id="{B6080D09-C65D-4002-99AA-6FA7C14395D8}">
    <text>Habitacion doble para trabajadores cant 1 Costo 60€/noche
Habitacion triple para trabajadores cant 3 Costo 75€/noche cada una
(camas separadas)</text>
  </threadedComment>
  <threadedComment ref="F2334" dT="2025-02-13T10:05:11.33" personId="{17D30B62-2123-41F1-B603-E5411FDFA3E0}" id="{6B0DB5F6-E390-44F3-BF98-1B8CAE01ADD1}">
    <text>Habitacion doble para trabajadores cant 1 Costo 60€/noche
Habitacion triple para trabajadores cant 3 Costo 75€/noche cada una
(camas separadas)</text>
  </threadedComment>
  <threadedComment ref="F2335" dT="2025-02-13T10:05:11.33" personId="{17D30B62-2123-41F1-B603-E5411FDFA3E0}" id="{E50B94E0-B76E-4082-8320-46580F1E67D8}">
    <text>Habitacion doble para trabajadores cant 1 Costo 60€/noche
Habitacion triple para trabajadores cant 3 Costo 75€/noche cada una
(camas separadas)</text>
  </threadedComment>
  <threadedComment ref="F2336" dT="2025-02-13T10:05:11.33" personId="{17D30B62-2123-41F1-B603-E5411FDFA3E0}" id="{294D4058-0086-471A-B322-12CEE4D763F2}">
    <text>Habitacion doble para trabajadores cant 1 Costo 60€/noche
Habitacion triple para trabajadores cant 3 Costo 75€/noche cada una
(camas separadas)</text>
  </threadedComment>
  <threadedComment ref="F2337" dT="2025-02-25T08:59:29.51" personId="{98986A2A-739A-4851-A979-4B0D560C46CD}" id="{F8B1ED81-07FE-4EE6-A473-73A79F1519D6}">
    <text>04 camas, 550€ alquiler, 550€ fianza</text>
  </threadedComment>
  <threadedComment ref="F2340" dT="2025-02-13T10:05:11.33" personId="{17D30B62-2123-41F1-B603-E5411FDFA3E0}" id="{5C8EE077-E68F-4269-BAEA-E0EA2B2ADA48}">
    <text>Habitacion doble para trabajadores cant 1 Costo 60€/noche
Habitacion triple para trabajadores cant 3 Costo 75€/noche cada una
(camas separadas)</text>
  </threadedComment>
  <threadedComment ref="F2341" dT="2025-02-13T10:05:11.33" personId="{17D30B62-2123-41F1-B603-E5411FDFA3E0}" id="{7AEB5E99-E767-46C2-8FD0-F157F302E76C}">
    <text>Habitacion doble para trabajadores cant 1 Costo 60€/noche
Habitacion triple para trabajadores cant 3 Costo 75€/noche cada una
(camas separadas)</text>
  </threadedComment>
  <threadedComment ref="F2342" dT="2025-02-13T10:05:11.33" personId="{17D30B62-2123-41F1-B603-E5411FDFA3E0}" id="{3A713161-BD03-44C0-A037-5B32461701E6}">
    <text>Habitacion doble para trabajadores cant 1 Costo 60€/noche
Habitacion triple para trabajadores cant 3 Costo 75€/noche cada una
(camas separadas)</text>
  </threadedComment>
  <threadedComment ref="F2343" dT="2025-02-13T10:05:11.33" personId="{17D30B62-2123-41F1-B603-E5411FDFA3E0}" id="{7D069F75-0F0C-409E-9327-455AE0098106}">
    <text>Habitacion doble para trabajadores cant 1 Costo 60€/noche
Habitacion triple para trabajadores cant 3 Costo 75€/noche cada una
(camas separadas)</text>
  </threadedComment>
  <threadedComment ref="F2344" dT="2025-02-13T10:05:11.33" personId="{17D30B62-2123-41F1-B603-E5411FDFA3E0}" id="{49EF7C84-72A2-4279-A996-D1DD8D5DF2BD}">
    <text>Habitacion doble para trabajadores cant 1 Costo 60€/noche
Habitacion triple para trabajadores cant 3 Costo 75€/noche cada una
(camas separadas)</text>
  </threadedComment>
  <threadedComment ref="F2345" dT="2025-02-25T07:41:27.36" personId="{98986A2A-739A-4851-A979-4B0D560C46CD}" id="{6FB74FB9-24B4-45DC-98C9-74F44F83C4F2}">
    <text>Alquiler 2300 Camas 5</text>
  </threadedComment>
  <threadedComment ref="F2346" dT="2025-02-13T10:05:11.33" personId="{17D30B62-2123-41F1-B603-E5411FDFA3E0}" id="{81AFA60F-AA52-4633-8891-8AC9A38C0031}">
    <text>Habitacion doble para trabajadores cant 1 Costo 60€/noche
Habitacion triple para trabajadores cant 3 Costo 75€/noche cada una
(camas separadas)</text>
  </threadedComment>
  <threadedComment ref="F2347" dT="2025-02-25T07:41:27.36" personId="{98986A2A-739A-4851-A979-4B0D560C46CD}" id="{4C53B3AF-E677-434E-B18A-8174F75FE1D8}">
    <text>Alquiler 2300 Camas 5</text>
  </threadedComment>
  <threadedComment ref="F2348" dT="2025-02-24T07:37:31.16" personId="{17D30B62-2123-41F1-B603-E5411FDFA3E0}" id="{6E549CB3-444C-41D3-8B01-89E8272FEA4D}">
    <text>Alquiler 1400 3 Habitaciones 5 camas</text>
  </threadedComment>
  <threadedComment ref="F2349" dT="2025-02-13T10:05:11.33" personId="{17D30B62-2123-41F1-B603-E5411FDFA3E0}" id="{AF5B96D6-24B8-4E5D-B115-4F22E58BAC38}">
    <text>Habitacion doble para trabajadores cant 1 Costo 60€/noche
Habitacion triple para trabajadores cant 3 Costo 75€/noche cada una
(camas separadas)</text>
  </threadedComment>
  <threadedComment ref="F2350" dT="2025-02-13T10:05:11.33" personId="{17D30B62-2123-41F1-B603-E5411FDFA3E0}" id="{5C01C513-71DF-4170-87FE-1D24C6813C0E}">
    <text>Habitacion doble para trabajadores cant 1 Costo 60€/noche
Habitacion triple para trabajadores cant 3 Costo 75€/noche cada una
(camas separadas)</text>
  </threadedComment>
  <threadedComment ref="F2351" dT="2025-02-13T10:05:11.33" personId="{17D30B62-2123-41F1-B603-E5411FDFA3E0}" id="{20668BB8-D9A1-432A-852F-E4B7672CAEF0}">
    <text>Habitacion doble para trabajadores cant 1 Costo 60€/noche
Habitacion triple para trabajadores cant 3 Costo 75€/noche cada una
(camas separadas)</text>
  </threadedComment>
  <threadedComment ref="F2352" dT="2025-02-13T10:05:11.33" personId="{17D30B62-2123-41F1-B603-E5411FDFA3E0}" id="{6E887578-42CF-4A76-AA44-585338C918D9}">
    <text>Habitacion doble para trabajadores cant 1 Costo 60€/noche
Habitacion triple para trabajadores cant 3 Costo 75€/noche cada una
(camas separadas)</text>
  </threadedComment>
  <threadedComment ref="F2353" dT="2025-02-13T10:05:11.33" personId="{17D30B62-2123-41F1-B603-E5411FDFA3E0}" id="{C4B8D68D-AC52-44EE-89F1-DEAA3BC9B5A9}">
    <text>Habitacion doble para trabajadores cant 1 Costo 60€/noche
Habitacion triple para trabajadores cant 3 Costo 75€/noche cada una
(camas separadas)</text>
  </threadedComment>
  <threadedComment ref="F2354" dT="2025-02-13T10:05:11.33" personId="{17D30B62-2123-41F1-B603-E5411FDFA3E0}" id="{55EEB4F0-9451-4F1B-8724-49B7F262B7F1}">
    <text>Habitacion doble para trabajadores cant 1 Costo 60€/noche
Habitacion triple para trabajadores cant 3 Costo 75€/noche cada una
(camas separadas)</text>
  </threadedComment>
  <threadedComment ref="F2355" dT="2025-02-13T10:05:11.33" personId="{17D30B62-2123-41F1-B603-E5411FDFA3E0}" id="{F30B4646-DF4F-4AF2-B413-00A4F662590B}">
    <text>Habitacion doble para trabajadores cant 1 Costo 60€/noche
Habitacion triple para trabajadores cant 3 Costo 75€/noche cada una
(camas separadas)</text>
  </threadedComment>
  <threadedComment ref="F2356" dT="2025-02-13T10:05:11.33" personId="{17D30B62-2123-41F1-B603-E5411FDFA3E0}" id="{1EBBADE5-B665-43A7-89FB-E2B2003E0FAE}">
    <text>Habitacion doble para trabajadores cant 1 Costo 60€/noche
Habitacion triple para trabajadores cant 3 Costo 75€/noche cada una
(camas separadas)</text>
  </threadedComment>
  <threadedComment ref="F2357" dT="2025-02-13T10:05:11.33" personId="{17D30B62-2123-41F1-B603-E5411FDFA3E0}" id="{B9B8546C-7B76-43CE-920C-09FB160CEB6C}">
    <text>Habitacion doble para trabajadores cant 1 Costo 60€/noche
Habitacion triple para trabajadores cant 3 Costo 75€/noche cada una
(camas separadas)</text>
  </threadedComment>
  <threadedComment ref="F2358" dT="2025-02-25T07:41:27.36" personId="{98986A2A-739A-4851-A979-4B0D560C46CD}" id="{3A8B3B1A-887B-421D-8CEB-441D4F0B74A8}">
    <text>Alquiler 2300 Camas 5</text>
  </threadedComment>
  <threadedComment ref="F2359" dT="2025-02-25T07:41:27.36" personId="{98986A2A-739A-4851-A979-4B0D560C46CD}" id="{C6C25D43-8227-461B-86D1-4D0DC1CF08C0}">
    <text>Alquiler 2300 Camas 5</text>
  </threadedComment>
  <threadedComment ref="F2360" dT="2025-02-25T07:41:27.36" personId="{98986A2A-739A-4851-A979-4B0D560C46CD}" id="{54CBBC76-A995-413C-A001-8095538A239F}">
    <text>Alquiler 2300 Camas 5</text>
  </threadedComment>
  <threadedComment ref="F2361" dT="2025-02-26T13:10:02.89" personId="{17D30B62-2123-41F1-B603-E5411FDFA3E0}" id="{BD76A0CF-4A53-4E31-B7BE-D151598BE40D}">
    <text>4 Habitaciones 370/cu</text>
  </threadedComment>
  <threadedComment ref="F2362" dT="2025-02-26T13:10:02.89" personId="{17D30B62-2123-41F1-B603-E5411FDFA3E0}" id="{7B668C2D-D815-4E2C-B5AE-0629B8BB0531}">
    <text>4 Habitaciones 370/cu</text>
  </threadedComment>
  <threadedComment ref="F2363" dT="2025-02-25T07:41:27.36" personId="{98986A2A-739A-4851-A979-4B0D560C46CD}" id="{17D6D688-D73F-4293-88AD-825B0235DD5B}">
    <text>Alquiler 2300 Camas 5</text>
  </threadedComment>
  <threadedComment ref="F2364" dT="2025-02-26T13:10:02.89" personId="{17D30B62-2123-41F1-B603-E5411FDFA3E0}" id="{2205D7CC-C084-403D-985A-F5EEBF2651C4}">
    <text>4 Habitaciones 370/cu</text>
  </threadedComment>
  <threadedComment ref="F2365" dT="2025-02-26T13:10:02.89" personId="{17D30B62-2123-41F1-B603-E5411FDFA3E0}" id="{D047F8EC-C1DF-4C49-9EDA-05B2E741FB2F}">
    <text>4 Habitaciones 370/cu</text>
  </threadedComment>
  <threadedComment ref="F2366" dT="2025-02-13T10:05:11.33" personId="{17D30B62-2123-41F1-B603-E5411FDFA3E0}" id="{5481DD85-13E0-47BB-9DD3-AFFEF645749F}">
    <text>Habitacion doble para trabajadores cant 1 Costo 60€/noche
Habitacion triple para trabajadores cant 3 Costo 75€/noche cada una
(camas separadas)</text>
  </threadedComment>
  <threadedComment ref="F2367" dT="2025-02-13T10:05:11.33" personId="{17D30B62-2123-41F1-B603-E5411FDFA3E0}" id="{A43F806E-7D74-4979-A0F8-63F1470C13AA}">
    <text>Habitacion doble para trabajadores cant 1 Costo 60€/noche
Habitacion triple para trabajadores cant 3 Costo 75€/noche cada una
(camas separadas)</text>
  </threadedComment>
  <threadedComment ref="F2368" dT="2025-02-13T10:05:11.33" personId="{17D30B62-2123-41F1-B603-E5411FDFA3E0}" id="{8C99AA6A-CBF1-4EB0-B1DF-6B19576CB854}">
    <text>Habitacion doble para trabajadores cant 1 Costo 60€/noche
Habitacion triple para trabajadores cant 3 Costo 75€/noche cada una
(camas separadas)</text>
  </threadedComment>
  <threadedComment ref="F2369" dT="2025-02-13T10:05:11.33" personId="{17D30B62-2123-41F1-B603-E5411FDFA3E0}" id="{CBA123EE-3696-42BC-AF01-43EDA8B80C97}">
    <text>Habitacion doble para trabajadores cant 1 Costo 60€/noche
Habitacion triple para trabajadores cant 3 Costo 75€/noche cada una
(camas separadas)</text>
  </threadedComment>
  <threadedComment ref="F2370" dT="2025-10-02T11:37:02.21" personId="{17D30B62-2123-41F1-B603-E5411FDFA3E0}" id="{55E8B5DA-D1A4-449E-90D9-3B75D03B688D}">
    <text> Alquiler 400€ Fianza 400€</text>
  </threadedComment>
  <threadedComment ref="F2371" dT="2025-02-13T10:05:11.33" personId="{17D30B62-2123-41F1-B603-E5411FDFA3E0}" id="{A29F5ED5-0DCB-4EC0-8EFA-0E46CEDC1E02}">
    <text>Habitacion doble para trabajadores cant 1 Costo 60€/noche
Habitacion triple para trabajadores cant 3 Costo 75€/noche cada una
(camas separadas)</text>
  </threadedComment>
  <threadedComment ref="F2372" dT="2025-02-13T10:05:11.33" personId="{17D30B62-2123-41F1-B603-E5411FDFA3E0}" id="{D012F213-1658-4150-9CAD-DE9C9A841DE2}">
    <text>Habitacion doble para trabajadores cant 1 Costo 60€/noche
Habitacion triple para trabajadores cant 3 Costo 75€/noche cada una
(camas separadas)</text>
  </threadedComment>
  <threadedComment ref="F2373" dT="2025-02-25T07:33:03.78" personId="{98986A2A-739A-4851-A979-4B0D560C46CD}" id="{261402FD-9594-49AE-BA66-EA6F1C416FBF}">
    <text>04 camas, alquiler 1500 €, fianza 150€</text>
  </threadedComment>
  <threadedComment ref="F2374" dT="2025-02-13T10:05:11.33" personId="{17D30B62-2123-41F1-B603-E5411FDFA3E0}" id="{FFAA1210-97B3-4D13-BF81-1D38A9C3073D}">
    <text>Habitacion doble para trabajadores cant 1 Costo 60€/noche
Habitacion triple para trabajadores cant 3 Costo 75€/noche cada una
(camas separadas)</text>
  </threadedComment>
  <threadedComment ref="F2375" dT="2025-02-25T07:33:03.78" personId="{98986A2A-739A-4851-A979-4B0D560C46CD}" id="{FB845D28-EFF7-45DC-ABDC-F71A67EE344D}">
    <text>04 camas, alquiler 1500 €, fianza 150€</text>
  </threadedComment>
  <threadedComment ref="F2376" dT="2025-02-25T07:33:03.78" personId="{98986A2A-739A-4851-A979-4B0D560C46CD}" id="{433A922A-7664-480B-8FDE-322ACEB0D76A}">
    <text>04 camas, alquiler 1500 €, fianza 150€</text>
  </threadedComment>
  <threadedComment ref="F2377" dT="2025-02-28T10:17:33.48" personId="{17D30B62-2123-41F1-B603-E5411FDFA3E0}" id="{6B31CA17-3FC2-4E4D-9D2B-4608DC1BDF5C}">
    <text>1 Habitacion Alquiler 450 fianza 150</text>
  </threadedComment>
  <threadedComment ref="F2378" dT="2026-07-06T06:15:12.46" personId="{4D8483EF-5A39-4E7B-A473-929EF5A077E1}" id="{E51F1358-F37C-4327-89F1-32D8D930CFCF}">
    <text xml:space="preserve">1 Habitación. </text>
  </threadedComment>
  <threadedComment ref="F2383" dT="2024-11-05T09:17:59.63" personId="{17D30B62-2123-41F1-B603-E5411FDFA3E0}" id="{0D65C2D5-6589-4C17-9F63-684AED771864}">
    <text>Alquiler 1400  Fianza 2800 Camas 6</text>
  </threadedComment>
  <threadedComment ref="F2383" dT="2024-12-30T10:06:22.23" personId="{98986A2A-739A-4851-A979-4B0D560C46CD}" id="{C2201098-55CF-40AE-AAF5-28F935E919D1}" parentId="{0D65C2D5-6589-4C17-9F63-684AED771864}">
    <text>+01 cama Kotrik llevada 28/12</text>
  </threadedComment>
  <threadedComment ref="F2384" dT="2024-12-02T09:17:44.96" personId="{98986A2A-739A-4851-A979-4B0D560C46CD}" id="{E0A3AC4B-D395-431B-A165-B712214172D7}">
    <text>08 CAMAS</text>
  </threadedComment>
  <threadedComment ref="F2385" dT="2025-02-13T10:05:11.33" personId="{17D30B62-2123-41F1-B603-E5411FDFA3E0}" id="{5D2F9E16-C5CD-47E9-AA22-64517E821AC9}">
    <text>Habitacion doble para trabajadores cant 1 Costo 60€/noche
Habitacion triple para trabajadores cant 3 Costo 75€/noche cada una
(camas separadas)</text>
  </threadedComment>
  <threadedComment ref="F2386" dT="2024-12-02T09:17:44.96" personId="{98986A2A-739A-4851-A979-4B0D560C46CD}" id="{693BC26D-A48E-4B84-B1F0-BE6BA69D1701}">
    <text>08 CAMAS</text>
  </threadedComment>
  <threadedComment ref="F2387" dT="2024-12-02T09:17:44.96" personId="{98986A2A-739A-4851-A979-4B0D560C46CD}" id="{DAC7E129-539F-4612-AF9A-A2D8E51EA457}">
    <text>08 CAMAS</text>
  </threadedComment>
  <threadedComment ref="F2388" dT="2025-02-13T10:05:11.33" personId="{17D30B62-2123-41F1-B603-E5411FDFA3E0}" id="{5C033EE9-55F2-477E-8501-4C3C9DEAFE05}">
    <text>Habitacion doble para trabajadores cant 1 Costo 60€/noche
Habitacion triple para trabajadores cant 3 Costo 75€/noche cada una
(camas separadas)</text>
  </threadedComment>
  <threadedComment ref="F2389" dT="2024-12-02T09:17:44.96" personId="{98986A2A-739A-4851-A979-4B0D560C46CD}" id="{DBD758CC-EC4A-41C5-ACB6-127CF36BEDAB}">
    <text>08 CAMAS</text>
  </threadedComment>
  <threadedComment ref="F2390" dT="2024-12-02T09:17:44.96" personId="{98986A2A-739A-4851-A979-4B0D560C46CD}" id="{0A6A6754-8134-4384-AC2A-D3A4A5816697}">
    <text>08 CAMAS</text>
  </threadedComment>
  <threadedComment ref="F2391" dT="2025-02-13T10:05:11.33" personId="{17D30B62-2123-41F1-B603-E5411FDFA3E0}" id="{78DDCEDF-99C2-427B-9C75-C83BD3DA4C07}">
    <text>Habitacion doble para trabajadores cant 1 Costo 60€/noche
Habitacion triple para trabajadores cant 3 Costo 75€/noche cada una
(camas separadas)</text>
  </threadedComment>
  <threadedComment ref="F2392" dT="2025-02-13T10:05:11.33" personId="{17D30B62-2123-41F1-B603-E5411FDFA3E0}" id="{1285D21E-5EA1-4DE9-AB1D-0171FE9210AC}">
    <text>Habitacion doble para trabajadores cant 1 Costo 60€/noche
Habitacion triple para trabajadores cant 3 Costo 75€/noche cada una
(camas separadas)</text>
  </threadedComment>
  <threadedComment ref="F2393" dT="2025-05-20T10:52:45.06" personId="{17D30B62-2123-41F1-B603-E5411FDFA3E0}" id="{ECE18B1B-F78F-402B-A6F1-0E731F20DCF2}">
    <text>7 Habitaciones Dobles</text>
  </threadedComment>
  <threadedComment ref="F2395" dT="2025-05-20T10:52:45.06" personId="{17D30B62-2123-41F1-B603-E5411FDFA3E0}" id="{83FBB019-9783-467F-A0A9-FF62C175E57C}">
    <text>7 Habitaciones Dobles</text>
  </threadedComment>
  <threadedComment ref="F2396" dT="2025-02-13T10:05:11.33" personId="{17D30B62-2123-41F1-B603-E5411FDFA3E0}" id="{EF8BAABC-3240-4208-AD4C-F9D1F7C95A4B}">
    <text>Habitacion doble para trabajadores cant 1 Costo 60€/noche
Habitacion triple para trabajadores cant 3 Costo 75€/noche cada una
(camas separadas)</text>
  </threadedComment>
  <threadedComment ref="F2397" dT="2025-02-13T10:05:11.33" personId="{17D30B62-2123-41F1-B603-E5411FDFA3E0}" id="{2C10CC82-0FF7-4431-9EB8-2ED64E8551E5}">
    <text xml:space="preserve">695€Alquiler
695€ Fianza
4 camas </text>
  </threadedComment>
  <threadedComment ref="F2398" dT="2025-02-13T10:05:11.33" personId="{17D30B62-2123-41F1-B603-E5411FDFA3E0}" id="{CCDF0946-2E54-4A55-8199-FA7020FD4F3C}">
    <text xml:space="preserve">695€Alquiler
695€ Fianza
4 camas </text>
  </threadedComment>
  <threadedComment ref="F2399" dT="2025-02-13T10:05:11.33" personId="{17D30B62-2123-41F1-B603-E5411FDFA3E0}" id="{DF1845FE-66D1-4C09-ADB3-45EA532A13A8}">
    <text xml:space="preserve">695€Alquiler
695€ Fianza
4 camas </text>
  </threadedComment>
  <threadedComment ref="F2400" dT="2025-02-13T10:05:11.33" personId="{17D30B62-2123-41F1-B603-E5411FDFA3E0}" id="{4AF588FD-0D81-4B8D-AEF7-FC1010115DF1}">
    <text>Habitacion doble para trabajadores cant 1 Costo 60€/noche
Habitacion triple para trabajadores cant 3 Costo 75€/noche cada una
(camas separadas)</text>
  </threadedComment>
  <threadedComment ref="F2401" dT="2025-02-13T10:05:11.33" personId="{17D30B62-2123-41F1-B603-E5411FDFA3E0}" id="{A5185E6C-D709-4D55-87F5-40FF5B6FEC57}">
    <text>Habitacion doble para trabajadores cant 1 Costo 60€/noche
Habitacion triple para trabajadores cant 3 Costo 75€/noche cada una
(camas separadas)</text>
  </threadedComment>
  <threadedComment ref="F2402" dT="2025-02-13T10:05:11.33" personId="{17D30B62-2123-41F1-B603-E5411FDFA3E0}" id="{B187DF59-2CF5-4195-8202-D0D2388C8A10}">
    <text>Habitacion doble para trabajadores cant 1 Costo 60€/noche
Habitacion triple para trabajadores cant 3 Costo 75€/noche cada una
(camas separadas)</text>
  </threadedComment>
  <threadedComment ref="F2403" dT="2025-02-13T10:05:11.33" personId="{17D30B62-2123-41F1-B603-E5411FDFA3E0}" id="{43F537CB-087E-46E8-8B6D-B971567A8B31}">
    <text>Habitacion doble para trabajadores cant 1 Costo 60€/noche
Habitacion triple para trabajadores cant 3 Costo 75€/noche cada una
(camas separadas)</text>
  </threadedComment>
  <threadedComment ref="F2404" dT="2025-02-25T12:24:49.79" personId="{98986A2A-739A-4851-A979-4B0D560C46CD}" id="{42275A8E-66C8-4D38-B350-C43DC13552D8}">
    <text>04 camas, 1500€ alquiler, 1500€ fianza</text>
  </threadedComment>
  <threadedComment ref="F2405" dT="2025-02-13T10:05:11.33" personId="{17D30B62-2123-41F1-B603-E5411FDFA3E0}" id="{F6820FAF-3FE9-4C55-BADA-152ED38F5750}">
    <text>Habitacion doble para trabajadores cant 1 Costo 60€/noche
Habitacion triple para trabajadores cant 3 Costo 75€/noche cada una
(camas separadas)</text>
  </threadedComment>
  <threadedComment ref="F2406" dT="2024-11-25T17:21:01.51" personId="{98986A2A-739A-4851-A979-4B0D560C46CD}" id="{7F150BEA-3B87-4419-92F1-4DAA54B1726E}">
    <text xml:space="preserve">Alquiler 650 Fianza 650 camas 4 ( 2 camas dobles propietaria y 2 kotrik) 
</text>
  </threadedComment>
  <threadedComment ref="F2407" dT="2025-02-13T10:05:11.33" personId="{17D30B62-2123-41F1-B603-E5411FDFA3E0}" id="{D5B01AD7-0755-4458-B436-51C0AB446BD7}">
    <text>Habitacion doble para trabajadores cant 1 Costo 60€/noche
Habitacion triple para trabajadores cant 3 Costo 75€/noche cada una
(camas separadas)</text>
  </threadedComment>
  <threadedComment ref="F2408" dT="2025-02-13T10:05:11.33" personId="{17D30B62-2123-41F1-B603-E5411FDFA3E0}" id="{6B7B68E7-DBF3-41B6-A93E-1B64A2EDDE1D}">
    <text>Habitacion doble para trabajadores cant 1 Costo 60€/noche
Habitacion triple para trabajadores cant 3 Costo 75€/noche cada una
(camas separadas)</text>
  </threadedComment>
  <threadedComment ref="F2409" dT="2025-02-13T10:05:11.33" personId="{17D30B62-2123-41F1-B603-E5411FDFA3E0}" id="{685124BA-D22C-4029-9D84-2BE3BC781674}">
    <text>Habitacion doble para trabajadores cant 1 Costo 60€/noche
Habitacion triple para trabajadores cant 3 Costo 75€/noche cada una
(camas separadas)</text>
  </threadedComment>
  <threadedComment ref="F2410" dT="2025-02-13T10:05:11.33" personId="{17D30B62-2123-41F1-B603-E5411FDFA3E0}" id="{4B48CF1E-7F1C-4893-927B-B7AD83428416}">
    <text>Habitacion doble para trabajadores cant 1 Costo 60€/noche
Habitacion triple para trabajadores cant 3 Costo 75€/noche cada una
(camas separadas)</text>
  </threadedComment>
  <threadedComment ref="F2411" dT="2025-02-13T10:05:11.33" personId="{17D30B62-2123-41F1-B603-E5411FDFA3E0}" id="{4AE38F95-AC06-4704-B2EC-B6027A00A715}">
    <text>Habitacion doble para trabajadores cant 1 Costo 60€/noche
Habitacion triple para trabajadores cant 3 Costo 75€/noche cada una
(camas separadas)</text>
  </threadedComment>
  <threadedComment ref="F2412" dT="2025-02-13T10:05:11.33" personId="{17D30B62-2123-41F1-B603-E5411FDFA3E0}" id="{BCABF072-1716-409D-A5F7-AB0AFB48858A}">
    <text>Habitacion doble para trabajadores cant 1 Costo 60€/noche
Habitacion triple para trabajadores cant 3 Costo 75€/noche cada una
(camas separadas)</text>
  </threadedComment>
  <threadedComment ref="F2413" dT="2025-02-13T10:05:11.33" personId="{17D30B62-2123-41F1-B603-E5411FDFA3E0}" id="{BB2BA1C1-143E-4C08-BF28-7003F7A0A666}">
    <text>Habitacion doble para trabajadores cant 1 Costo 60€/noche
Habitacion triple para trabajadores cant 3 Costo 75€/noche cada una
(camas separadas)</text>
  </threadedComment>
  <threadedComment ref="F2414" dT="2025-02-13T10:05:11.33" personId="{17D30B62-2123-41F1-B603-E5411FDFA3E0}" id="{1D2E15EF-2E4F-470E-9AB0-084C198AB3F7}">
    <text>Habitacion doble para trabajadores cant 1 Costo 60€/noche
Habitacion triple para trabajadores cant 3 Costo 75€/noche cada una
(camas separadas)</text>
  </threadedComment>
  <threadedComment ref="F2415" dT="2025-02-13T10:05:11.33" personId="{17D30B62-2123-41F1-B603-E5411FDFA3E0}" id="{D6AE9EE4-B718-467C-9C5F-51745FE10B65}">
    <text>Alquiler 903.20€ 4 camas</text>
  </threadedComment>
  <threadedComment ref="F2417" dT="2025-02-13T10:05:11.33" personId="{17D30B62-2123-41F1-B603-E5411FDFA3E0}" id="{621B67B7-E1C3-42C3-B606-1BEF109ADD2B}">
    <text>Habitacion doble para trabajadores cant 1 Costo 60€/noche
Habitacion triple para trabajadores cant 3 Costo 75€/noche cada una
(camas separadas)</text>
  </threadedComment>
  <threadedComment ref="F2418" dT="2025-02-13T10:05:11.33" personId="{17D30B62-2123-41F1-B603-E5411FDFA3E0}" id="{6F9A1424-8DF6-42BD-8EE6-094BBCC88669}">
    <text>Habitacion doble para trabajadores cant 1 Costo 60€/noche
Habitacion triple para trabajadores cant 3 Costo 75€/noche cada una
(camas separadas)</text>
  </threadedComment>
  <threadedComment ref="F2419" dT="2025-02-13T10:05:11.33" personId="{17D30B62-2123-41F1-B603-E5411FDFA3E0}" id="{B9562922-6F57-40C3-9946-2772C2907AE0}">
    <text>Habitacion doble para trabajadores cant 1 Costo 60€/noche
Habitacion triple para trabajadores cant 3 Costo 75€/noche cada una
(camas separadas)</text>
  </threadedComment>
  <threadedComment ref="F2420" dT="2025-02-13T10:05:11.33" personId="{17D30B62-2123-41F1-B603-E5411FDFA3E0}" id="{DA8FC120-A24C-4D98-8E03-BA48341E22A6}">
    <text>Habitacion doble para trabajadores cant 1 Costo 60€/noche
Habitacion triple para trabajadores cant 3 Costo 75€/noche cada una
(camas separadas)</text>
  </threadedComment>
  <threadedComment ref="F2421" dT="2025-02-13T10:05:11.33" personId="{17D30B62-2123-41F1-B603-E5411FDFA3E0}" id="{71CB1C5E-C6A5-4501-B330-8EE0971194BD}">
    <text>Habitacion doble para trabajadores cant 1 Costo 60€/noche
Habitacion triple para trabajadores cant 3 Costo 75€/noche cada una
(camas separadas)</text>
  </threadedComment>
  <threadedComment ref="F2422" dT="2025-02-13T10:05:11.33" personId="{17D30B62-2123-41F1-B603-E5411FDFA3E0}" id="{24EBA6A0-72BC-4645-82DF-039947BF07BB}">
    <text>Alquiler 903.20€ 4 camas</text>
  </threadedComment>
  <threadedComment ref="F2423" dT="2025-02-13T10:05:11.33" personId="{17D30B62-2123-41F1-B603-E5411FDFA3E0}" id="{35E0B631-08A3-41B7-8E14-2659B7CFEC38}">
    <text>Alquiler 903.20€ 4 camas</text>
  </threadedComment>
  <threadedComment ref="F2424" dT="2025-02-25T12:24:49.79" personId="{98986A2A-739A-4851-A979-4B0D560C46CD}" id="{B8318727-B83D-428D-AD52-7736C2BA7A3E}">
    <text>04 camas, 1500€ alquiler, 1500€ fianza</text>
  </threadedComment>
  <threadedComment ref="F2425" dT="2025-02-13T10:05:11.33" personId="{17D30B62-2123-41F1-B603-E5411FDFA3E0}" id="{23617D4D-DD85-4C3B-9691-066691A92E73}">
    <text>Habitacion doble para trabajadores cant 1 Costo 60€/noche
Habitacion triple para trabajadores cant 3 Costo 75€/noche cada una
(camas separadas)</text>
  </threadedComment>
  <threadedComment ref="F2426" dT="2025-02-13T10:05:11.33" personId="{17D30B62-2123-41F1-B603-E5411FDFA3E0}" id="{E3808B97-F6B0-4093-BB21-DF0C8FF9CC71}">
    <text>Alquiler 903.20€ 4 camas</text>
  </threadedComment>
  <threadedComment ref="F2427" dT="2025-02-13T10:05:11.33" personId="{17D30B62-2123-41F1-B603-E5411FDFA3E0}" id="{9E39C598-3EC7-4823-941E-639CDDB67925}">
    <text>Habitacion doble para trabajadores cant 1 Costo 60€/noche
Habitacion triple para trabajadores cant 3 Costo 75€/noche cada una
(camas separadas)</text>
  </threadedComment>
  <threadedComment ref="F2428" dT="2025-02-13T10:05:11.33" personId="{17D30B62-2123-41F1-B603-E5411FDFA3E0}" id="{7CE3B7F5-3543-4433-AEA4-2F5819CD1BE9}">
    <text>Habitacion doble para trabajadores cant 1 Costo 60€/noche
Habitacion triple para trabajadores cant 3 Costo 75€/noche cada una
(camas separadas)</text>
  </threadedComment>
  <threadedComment ref="F2429" dT="2025-03-20T12:19:13.98" personId="{98986A2A-739A-4851-A979-4B0D560C46CD}" id="{C4455906-3665-4950-A2F3-CA075DFC354D}">
    <text>08 camas</text>
  </threadedComment>
  <threadedComment ref="F2430" dT="2025-02-13T10:05:11.33" personId="{17D30B62-2123-41F1-B603-E5411FDFA3E0}" id="{07FD733B-69C3-4FB0-B0F8-12B435EEDB72}">
    <text>Habitacion doble para trabajadores cant 1 Costo 60€/noche
Habitacion triple para trabajadores cant 3 Costo 75€/noche cada una
(camas separadas)</text>
  </threadedComment>
  <threadedComment ref="F2431" dT="2025-02-13T10:05:11.33" personId="{17D30B62-2123-41F1-B603-E5411FDFA3E0}" id="{70E488A4-6841-4156-99DE-D70069886C37}">
    <text>Habitacion doble para trabajadores cant 1 Costo 60€/noche
Habitacion triple para trabajadores cant 3 Costo 75€/noche cada una
(camas separadas)</text>
  </threadedComment>
  <threadedComment ref="F2432" dT="2025-02-13T10:05:11.33" personId="{17D30B62-2123-41F1-B603-E5411FDFA3E0}" id="{FAA6FE7E-7D9A-41DF-9DB4-551D251D3F59}">
    <text>Habitacion doble para trabajadores cant 1 Costo 60€/noche
Habitacion triple para trabajadores cant 3 Costo 75€/noche cada una
(camas separadas)</text>
  </threadedComment>
  <threadedComment ref="F2433" dT="2025-02-13T10:05:11.33" personId="{17D30B62-2123-41F1-B603-E5411FDFA3E0}" id="{07B6BC9C-F4E5-4F56-BFB7-0130E017D1E1}">
    <text>Habitacion doble para trabajadores cant 1 Costo 60€/noche
Habitacion triple para trabajadores cant 3 Costo 75€/noche cada una
(camas separadas)</text>
  </threadedComment>
  <threadedComment ref="F2434" dT="2025-03-20T12:19:13.98" personId="{98986A2A-739A-4851-A979-4B0D560C46CD}" id="{CFA29449-E5D4-4A5E-922A-3A34BCDCF9D0}">
    <text>08 camas</text>
  </threadedComment>
  <threadedComment ref="F2435" dT="2025-03-13T14:46:07.24" personId="{98986A2A-739A-4851-A979-4B0D560C46CD}" id="{B45C6B1C-D211-4EC8-94C6-3C51970911B9}">
    <text>04 camas</text>
  </threadedComment>
  <threadedComment ref="F2437" dT="2025-02-13T10:05:11.33" personId="{17D30B62-2123-41F1-B603-E5411FDFA3E0}" id="{D19FE4C4-65C0-42D3-808B-BCE555299534}">
    <text>Habitacion doble para trabajadores cant 1 Costo 60€/noche
Habitacion triple para trabajadores cant 3 Costo 75€/noche cada una
(camas separadas)</text>
  </threadedComment>
  <threadedComment ref="F2439" dT="2025-02-13T10:05:11.33" personId="{17D30B62-2123-41F1-B603-E5411FDFA3E0}" id="{2A5AF6CD-EB78-4AD2-9738-170156A626F5}">
    <text>Alquiler 903.20€ 4 camas</text>
  </threadedComment>
  <threadedComment ref="F2440" dT="2025-02-13T10:05:11.33" personId="{17D30B62-2123-41F1-B603-E5411FDFA3E0}" id="{3BB829CE-4B43-44E9-B619-C03DC196B728}">
    <text>Habitacion doble para trabajadores cant 1 Costo 60€/noche
Habitacion triple para trabajadores cant 3 Costo 75€/noche cada una
(camas separadas)</text>
  </threadedComment>
  <threadedComment ref="F2441" dT="2025-02-13T10:05:11.33" personId="{17D30B62-2123-41F1-B603-E5411FDFA3E0}" id="{A8E7EB17-2F2B-4A73-A39C-C70414F438C2}">
    <text>Habitacion doble para trabajadores cant 1 Costo 60€/noche
Habitacion triple para trabajadores cant 3 Costo 75€/noche cada una
(camas separadas)</text>
  </threadedComment>
  <threadedComment ref="F2442" dT="2025-02-13T10:05:11.33" personId="{17D30B62-2123-41F1-B603-E5411FDFA3E0}" id="{C8180BD5-3F06-4BC7-890E-E85074144303}">
    <text>Habitacion doble para trabajadores cant 1 Costo 60€/noche
Habitacion triple para trabajadores cant 3 Costo 75€/noche cada una
(camas separadas)</text>
  </threadedComment>
  <threadedComment ref="F2443" dT="2025-02-13T10:05:11.33" personId="{17D30B62-2123-41F1-B603-E5411FDFA3E0}" id="{7EEE4374-1EFF-49E0-9444-CF172E391A12}">
    <text>Habitacion doble para trabajadores cant 1 Costo 60€/noche
Habitacion triple para trabajadores cant 3 Costo 75€/noche cada una
(camas separadas)</text>
  </threadedComment>
  <threadedComment ref="F2444" dT="2025-02-13T10:05:11.33" personId="{17D30B62-2123-41F1-B603-E5411FDFA3E0}" id="{615C9AF3-BFE6-413B-8433-F9E9DD9E4405}">
    <text>Alquiler 903.20€ 4 camas</text>
  </threadedComment>
  <threadedComment ref="F2445" dT="2025-02-13T10:05:11.33" personId="{17D30B62-2123-41F1-B603-E5411FDFA3E0}" id="{5CBB0BE1-8051-4E99-83F9-EFC45127531B}">
    <text>Habitacion doble para trabajadores cant 1 Costo 60€/noche
Habitacion triple para trabajadores cant 3 Costo 75€/noche cada una
(camas separadas)</text>
  </threadedComment>
  <threadedComment ref="F2446" dT="2025-02-13T10:05:11.33" personId="{17D30B62-2123-41F1-B603-E5411FDFA3E0}" id="{A0C61DAA-C777-487D-A6CB-8B1665AF16BA}">
    <text>Habitacion doble para trabajadores cant 1 Costo 60€/noche
Habitacion triple para trabajadores cant 3 Costo 75€/noche cada una
(camas separadas)</text>
  </threadedComment>
  <threadedComment ref="F2447" dT="2025-02-13T10:05:11.33" personId="{17D30B62-2123-41F1-B603-E5411FDFA3E0}" id="{8430AD09-02D1-4888-B126-73992F6A4F9B}">
    <text>Alquiler 903.20€ 4 camas</text>
  </threadedComment>
  <threadedComment ref="F2448" dT="2025-02-13T10:05:11.33" personId="{17D30B62-2123-41F1-B603-E5411FDFA3E0}" id="{E07C35D1-668B-414F-98AE-04C50C15AD26}">
    <text>Alquiler 903.20€ 4 camas</text>
  </threadedComment>
  <threadedComment ref="F2449" dT="2025-02-13T10:05:11.33" personId="{17D30B62-2123-41F1-B603-E5411FDFA3E0}" id="{CBCC1736-EEFE-45D0-87B9-FD5FF63B77E5}">
    <text>Alquiler 903.20€ 4 camas</text>
  </threadedComment>
  <threadedComment ref="F2450" dT="2025-02-13T10:05:11.33" personId="{17D30B62-2123-41F1-B603-E5411FDFA3E0}" id="{7B6D67DA-8EA6-4C15-9841-16355F76C353}">
    <text>Habitacion doble para trabajadores cant 1 Costo 60€/noche
Habitacion triple para trabajadores cant 3 Costo 75€/noche cada una
(camas separadas)</text>
  </threadedComment>
  <threadedComment ref="F2451" dT="2025-02-13T10:05:11.33" personId="{17D30B62-2123-41F1-B603-E5411FDFA3E0}" id="{E7373AF4-CE06-4EA5-A874-AFEDCBBD701C}">
    <text>Habitacion doble para trabajadores cant 1 Costo 60€/noche
Habitacion triple para trabajadores cant 3 Costo 75€/noche cada una
(camas separadas)</text>
  </threadedComment>
  <threadedComment ref="F2452" dT="2025-02-13T10:05:11.33" personId="{17D30B62-2123-41F1-B603-E5411FDFA3E0}" id="{C37A1781-8C43-486F-9335-A81FCDC501F1}">
    <text>Habitacion doble para trabajadores cant 1 Costo 60€/noche
Habitacion triple para trabajadores cant 3 Costo 75€/noche cada una
(camas separadas)</text>
  </threadedComment>
  <threadedComment ref="F2454" dT="2025-02-13T10:05:11.33" personId="{17D30B62-2123-41F1-B603-E5411FDFA3E0}" id="{AEE7547A-FFC5-4552-968B-5FEBB201079A}">
    <text>Habitacion doble para trabajadores cant 1 Costo 60€/noche
Habitacion triple para trabajadores cant 3 Costo 75€/noche cada una
(camas separadas)</text>
  </threadedComment>
  <threadedComment ref="F2455" dT="2025-02-13T10:05:11.33" personId="{17D30B62-2123-41F1-B603-E5411FDFA3E0}" id="{47434A8D-CF82-4D6F-8462-48EEFF9B580A}">
    <text>Habitacion doble para trabajadores cant 1 Costo 60€/noche
Habitacion triple para trabajadores cant 3 Costo 75€/noche cada una
(camas separadas)</text>
  </threadedComment>
  <threadedComment ref="F2456" dT="2025-02-13T10:05:11.33" personId="{17D30B62-2123-41F1-B603-E5411FDFA3E0}" id="{6FBC54D4-4070-4307-88DD-C4493957160E}">
    <text>Habitacion doble para trabajadores cant 1 Costo 60€/noche
Habitacion triple para trabajadores cant 3 Costo 75€/noche cada una
(camas separadas)</text>
  </threadedComment>
  <threadedComment ref="F2457" dT="2025-02-13T10:05:11.33" personId="{17D30B62-2123-41F1-B603-E5411FDFA3E0}" id="{78E38A57-6FF5-4031-A80F-969202E039D5}">
    <text>Habitacion doble para trabajadores cant 1 Costo 60€/noche
Habitacion triple para trabajadores cant 3 Costo 75€/noche cada una
(camas separadas)</text>
  </threadedComment>
  <threadedComment ref="F2458" dT="2025-02-14T12:21:40.61" personId="{17D30B62-2123-41F1-B603-E5411FDFA3E0}" id="{728794E5-E11A-449D-B2A8-8D9A04822F10}">
    <text xml:space="preserve">Alquiler 1536.26€ 2 Habitaciones 4 Camas </text>
  </threadedComment>
  <threadedComment ref="F2459" dT="2025-02-13T10:05:11.33" personId="{17D30B62-2123-41F1-B603-E5411FDFA3E0}" id="{50C16B4A-8AAC-4888-9C76-6E9C4DDFA87E}">
    <text>Habitacion doble para trabajadores cant 1 Costo 60€/noche
Habitacion triple para trabajadores cant 3 Costo 75€/noche cada una
(camas separadas)</text>
  </threadedComment>
  <threadedComment ref="W2459" dT="2024-07-25T06:33:29.73" personId="{98986A2A-739A-4851-A979-4B0D560C46CD}" id="{E956E7D1-9AD6-43DB-B2E0-746CA92E7FA7}">
    <text>Fianza usada en el pedido de Ferreras</text>
  </threadedComment>
  <threadedComment ref="F2460" dT="2025-02-13T10:05:11.33" personId="{17D30B62-2123-41F1-B603-E5411FDFA3E0}" id="{A520EF5C-F766-4AB8-8AB6-C97B7F1D2FCB}">
    <text>Habitacion doble para trabajadores cant 1 Costo 60€/noche
Habitacion triple para trabajadores cant 3 Costo 75€/noche cada una
(camas separadas)</text>
  </threadedComment>
  <threadedComment ref="F2461" dT="2025-02-13T10:05:11.33" personId="{17D30B62-2123-41F1-B603-E5411FDFA3E0}" id="{A52821E1-AB85-43B0-8AD7-315F115822D7}">
    <text>Habitacion doble para trabajadores cant 1 Costo 60€/noche
Habitacion triple para trabajadores cant 3 Costo 75€/noche cada una
(camas separadas)</text>
  </threadedComment>
  <threadedComment ref="F2462" dT="2025-02-13T10:05:11.33" personId="{17D30B62-2123-41F1-B603-E5411FDFA3E0}" id="{3A6E3916-AAD6-4FF3-A593-018E9D2C673A}">
    <text>Habitacion doble para trabajadores cant 1 Costo 60€/noche
Habitacion triple para trabajadores cant 3 Costo 75€/noche cada una
(camas separadas)</text>
  </threadedComment>
  <threadedComment ref="F2463" dT="2025-02-13T10:05:11.33" personId="{17D30B62-2123-41F1-B603-E5411FDFA3E0}" id="{8954F162-4145-4C7C-A8A9-63AF82912AAA}">
    <text>Habitacion doble para trabajadores cant 1 Costo 60€/noche
Habitacion triple para trabajadores cant 3 Costo 75€/noche cada una
(camas separadas)</text>
  </threadedComment>
  <threadedComment ref="F2464" dT="2025-02-13T10:05:11.33" personId="{17D30B62-2123-41F1-B603-E5411FDFA3E0}" id="{2D03C6AC-1A29-4DDF-B971-D0292C0F0A65}">
    <text>Habitacion doble para trabajadores cant 1 Costo 60€/noche
Habitacion triple para trabajadores cant 3 Costo 75€/noche cada una
(camas separadas)</text>
  </threadedComment>
  <threadedComment ref="F2465" dT="2025-02-13T10:05:11.33" personId="{17D30B62-2123-41F1-B603-E5411FDFA3E0}" id="{49EA8AAC-8327-4304-95B2-5EDE757868B0}">
    <text>Habitacion doble para trabajadores cant 1 Costo 60€/noche
Habitacion triple para trabajadores cant 3 Costo 75€/noche cada una
(camas separadas)</text>
  </threadedComment>
  <threadedComment ref="F2466" dT="2025-02-13T10:05:11.33" personId="{17D30B62-2123-41F1-B603-E5411FDFA3E0}" id="{7CEA4FFE-EB03-44FC-856B-6D5663670853}">
    <text>Habitacion doble para trabajadores cant 1 Costo 60€/noche
Habitacion triple para trabajadores cant 3 Costo 75€/noche cada una
(camas separadas)</text>
  </threadedComment>
  <threadedComment ref="F2467" dT="2025-07-09T14:24:23.31" personId="{98986A2A-739A-4851-A979-4B0D560C46CD}" id="{D130A9D9-616F-4686-B002-DAEE0A434C86}">
    <text>10 CAMAS</text>
  </threadedComment>
  <threadedComment ref="F2468" dT="2025-02-13T10:05:11.33" personId="{17D30B62-2123-41F1-B603-E5411FDFA3E0}" id="{A87AB57D-6ADC-4729-B2EA-8E4717F6FDBE}">
    <text>01 apartamento para 3 personas y 03 apartamentos para 2 personas</text>
  </threadedComment>
  <threadedComment ref="F2469" dT="2025-02-13T10:05:11.33" personId="{17D30B62-2123-41F1-B603-E5411FDFA3E0}" id="{E009BB59-C42E-4BDB-8689-80E12D868A0D}">
    <text>Habitacion doble para trabajadores cant 1 Costo 60€/noche
Habitacion triple para trabajadores cant 3 Costo 75€/noche cada una
(camas separadas)</text>
  </threadedComment>
  <threadedComment ref="F2470" dT="2025-02-13T10:05:11.33" personId="{17D30B62-2123-41F1-B603-E5411FDFA3E0}" id="{3BE5BF52-416A-469C-99AD-449A0B1BC22A}">
    <text>Habitacion doble para trabajadores cant 1 Costo 60€/noche
Habitacion triple para trabajadores cant 3 Costo 75€/noche cada una
(camas separadas)</text>
  </threadedComment>
  <threadedComment ref="F2471" dT="2025-02-13T10:05:11.33" personId="{17D30B62-2123-41F1-B603-E5411FDFA3E0}" id="{7596A425-DA28-45AB-860B-CFDD78EA935D}">
    <text>Habitacion doble para trabajadores cant 1 Costo 60€/noche
Habitacion triple para trabajadores cant 3 Costo 75€/noche cada una
(camas separadas)</text>
  </threadedComment>
  <threadedComment ref="F2473" dT="2025-02-13T10:05:11.33" personId="{17D30B62-2123-41F1-B603-E5411FDFA3E0}" id="{046A5014-23A3-4847-85E2-FEA4313B0BDB}">
    <text>Habitacion doble para trabajadores cant 1 Costo 60€/noche
Habitacion triple para trabajadores cant 3 Costo 75€/noche cada una
(camas separadas)</text>
  </threadedComment>
  <threadedComment ref="F2474" dT="2025-02-13T10:05:11.33" personId="{17D30B62-2123-41F1-B603-E5411FDFA3E0}" id="{AEF79EFE-6AB8-4F24-A9C3-2F93107DFECE}">
    <text>Habitacion doble para trabajadores cant 1 Costo 60€/noche
Habitacion triple para trabajadores cant 3 Costo 75€/noche cada una
(camas separadas)</text>
  </threadedComment>
  <threadedComment ref="F2475" dT="2025-02-13T10:05:11.33" personId="{17D30B62-2123-41F1-B603-E5411FDFA3E0}" id="{C25CFE4F-FC2B-4A29-87CD-56FB52D69026}">
    <text>01 apartamento para 3 personas y 03 apartamentos para 2 personas</text>
  </threadedComment>
  <threadedComment ref="F2476" dT="2025-02-14T12:21:40.61" personId="{17D30B62-2123-41F1-B603-E5411FDFA3E0}" id="{C875B442-E7C9-4509-97BE-0DF656378A4A}">
    <text xml:space="preserve">Alquiler 1536.26€ 2 Habitaciones 4 Camas </text>
  </threadedComment>
  <threadedComment ref="F2477" dT="2024-07-16T10:19:46.27" personId="{98986A2A-739A-4851-A979-4B0D560C46CD}" id="{52AFD5D3-44F9-4D7E-9244-069C6AB08880}">
    <text>900 alquiler, 1800 fianza, 3 habitaciones</text>
  </threadedComment>
  <threadedComment ref="F2478" dT="2025-02-13T10:05:11.33" personId="{17D30B62-2123-41F1-B603-E5411FDFA3E0}" id="{94F2C0E3-B878-439D-A972-AF153EC479D6}">
    <text>Habitacion doble para trabajadores cant 1 Costo 60€/noche
Habitacion triple para trabajadores cant 3 Costo 75€/noche cada una
(camas separadas)</text>
  </threadedComment>
  <threadedComment ref="F2479" dT="2025-04-10T11:04:52.94" personId="{17D30B62-2123-41F1-B603-E5411FDFA3E0}" id="{1E8FAE20-A7E3-4BB3-89D1-0E9F5DF377BD}">
    <text>3 Habitaciones, Capacidad para 4 trabajadores, Alquiler 600€, Fianza 600€</text>
  </threadedComment>
  <threadedComment ref="F2481" dT="2025-02-13T10:05:11.33" personId="{17D30B62-2123-41F1-B603-E5411FDFA3E0}" id="{682030DC-F801-41B3-B696-C61BC457F28F}">
    <text>Habitacion doble para trabajadores cant 1 Costo 60€/noche
Habitacion triple para trabajadores cant 3 Costo 75€/noche cada una
(camas separadas)</text>
  </threadedComment>
  <threadedComment ref="F2483" dT="2025-03-21T15:44:19.97" personId="{17D30B62-2123-41F1-B603-E5411FDFA3E0}" id="{756CC3DD-037D-488D-AF38-4B2E9C7B1B21}">
    <text>Fianza 2.400€, Alquiler 1.200€, 6 Camas.</text>
  </threadedComment>
  <threadedComment ref="F2484" dT="2025-02-14T12:21:40.61" personId="{17D30B62-2123-41F1-B603-E5411FDFA3E0}" id="{0E37781D-D23C-43E1-A5F6-B12A7B2844A6}">
    <text xml:space="preserve">Alquiler 1536.26€ 2 Habitaciones 4 Camas </text>
  </threadedComment>
  <threadedComment ref="F2485" dT="2025-03-11T10:10:52.28" personId="{98986A2A-739A-4851-A979-4B0D560C46CD}" id="{FD676ECC-A98C-4193-BE3A-9C4B57004BD7}">
    <text xml:space="preserve">6 camas, alquiler 1.450€ + Servicio de Limpieza 302,50€ =TOTAL 1.752,50€. Fianza 950€
</text>
  </threadedComment>
  <threadedComment ref="F2486" dT="2025-02-13T10:05:11.33" personId="{17D30B62-2123-41F1-B603-E5411FDFA3E0}" id="{2CEF69D3-783B-4284-917B-6F5282C47513}">
    <text>Habitacion doble para trabajadores cant 1 Costo 60€/noche
Habitacion triple para trabajadores cant 3 Costo 75€/noche cada una
(camas separadas)</text>
  </threadedComment>
  <threadedComment ref="F2487" dT="2025-02-13T10:05:11.33" personId="{17D30B62-2123-41F1-B603-E5411FDFA3E0}" id="{9B62A764-6345-4960-A7BD-14CB4F29C095}">
    <text>Habitacion doble para trabajadores cant 1 Costo 60€/noche
Habitacion triple para trabajadores cant 3 Costo 75€/noche cada una
(camas separadas)</text>
  </threadedComment>
  <threadedComment ref="F2489" dT="2025-03-27T16:16:05.36" personId="{17D30B62-2123-41F1-B603-E5411FDFA3E0}" id="{CF6EB31B-7314-4CA9-B988-B1328FC5114B}">
    <text>5 CAMAS</text>
  </threadedComment>
  <threadedComment ref="F2497" dT="2025-02-13T10:05:11.33" personId="{17D30B62-2123-41F1-B603-E5411FDFA3E0}" id="{0D203E9C-85BD-4DEB-B12E-2C3661131FD0}">
    <text>Habitacion doble para trabajadores cant 1 Costo 60€/noche
Habitacion triple para trabajadores cant 3 Costo 75€/noche cada una
(camas separadas)</text>
  </threadedComment>
  <threadedComment ref="F2499" dT="2025-02-13T10:05:11.33" personId="{17D30B62-2123-41F1-B603-E5411FDFA3E0}" id="{931B6EF3-00C6-43A5-A942-E2964CEF89C1}">
    <text>Habitacion doble para trabajadores cant 1 Costo 60€/noche
Habitacion triple para trabajadores cant 3 Costo 75€/noche cada una
(camas separadas)</text>
  </threadedComment>
  <threadedComment ref="F2501" dT="2024-08-06T14:12:58.54" personId="{8BEA8CB1-BB33-44FC-A791-4439DE945680}" id="{86B09624-780C-47EE-8305-C17A93158025}">
    <text>Alquiler 1700, fianza 1700 6 CAMAS</text>
  </threadedComment>
  <threadedComment ref="F2501" dT="2025-01-16T18:23:38.41" personId="{98986A2A-739A-4851-A979-4B0D560C46CD}" id="{B10FBF84-2E17-4889-838E-402F6FA71B1F}" parentId="{86B09624-780C-47EE-8305-C17A93158025}">
    <text>5 habitaciones</text>
  </threadedComment>
  <threadedComment ref="F2502" dT="2024-08-12T06:19:55.68" personId="{8BEA8CB1-BB33-44FC-A791-4439DE945680}" id="{EB2E0CC3-9D10-4390-A272-324B7344D35E}">
    <text>ALQUILER  1500    FIANZA     3000   CAMAS 9</text>
  </threadedComment>
  <threadedComment ref="F2502" dT="2024-12-02T12:38:12.96" personId="{98986A2A-739A-4851-A979-4B0D560C46CD}" id="{0279C23D-6D59-4DE9-8F35-7096CD2EFE77}" parentId="{EB2E0CC3-9D10-4390-A272-324B7344D35E}">
    <text>11 camas, 09 acomodadas, 02 pendientes por acomodar</text>
  </threadedComment>
  <threadedComment ref="F2503" dT="2025-02-24T10:19:28.57" personId="{98986A2A-739A-4851-A979-4B0D560C46CD}" id="{F0E66064-510C-4C24-A711-2A00CB36B994}">
    <text>06 camas</text>
  </threadedComment>
  <threadedComment ref="F2506" dT="2024-08-12T06:19:55.68" personId="{8BEA8CB1-BB33-44FC-A791-4439DE945680}" id="{D70F79A3-110D-47FC-A87D-81F6D5BF16A9}">
    <text>ALQUILER  1500    FIANZA     3000   CAMAS 9</text>
  </threadedComment>
  <threadedComment ref="F2506" dT="2024-12-02T12:38:12.96" personId="{98986A2A-739A-4851-A979-4B0D560C46CD}" id="{138596CE-0262-4DDC-97F7-29351025F3DB}" parentId="{D70F79A3-110D-47FC-A87D-81F6D5BF16A9}">
    <text>11 camas, 09 acomodadas, 02 pendientes por acomodar</text>
  </threadedComment>
  <threadedComment ref="F2507" dT="2025-02-13T10:05:11.33" personId="{17D30B62-2123-41F1-B603-E5411FDFA3E0}" id="{603C6260-4B4B-47A2-844D-27B7FC9A9D6A}">
    <text>Habitacion doble para trabajadores cant 1 Costo 60€/noche
Habitacion triple para trabajadores cant 3 Costo 75€/noche cada una
(camas separadas)</text>
  </threadedComment>
  <threadedComment ref="F2508" dT="2025-02-13T10:05:11.33" personId="{17D30B62-2123-41F1-B603-E5411FDFA3E0}" id="{684120C7-59E7-4384-9899-570BD32E9FEE}">
    <text>Habitacion doble para trabajadores cant 1 Costo 60€/noche
Habitacion triple para trabajadores cant 3 Costo 75€/noche cada una
(camas separadas)</text>
  </threadedComment>
  <threadedComment ref="F2509" dT="2025-02-13T10:05:11.33" personId="{17D30B62-2123-41F1-B603-E5411FDFA3E0}" id="{CBD0224E-5A7C-4294-96D5-0B2AE34618D4}">
    <text>Habitacion doble para trabajadores cant 1 Costo 60€/noche
Habitacion triple para trabajadores cant 3 Costo 75€/noche cada una
(camas separadas)</text>
  </threadedComment>
  <threadedComment ref="F2510" dT="2025-02-13T10:05:11.33" personId="{17D30B62-2123-41F1-B603-E5411FDFA3E0}" id="{8F67624B-DB04-4F9C-A0D0-6AE46C40E3FD}">
    <text>Habitacion doble para trabajadores cant 1 Costo 60€/noche
Habitacion triple para trabajadores cant 3 Costo 75€/noche cada una
(camas separadas)</text>
  </threadedComment>
  <threadedComment ref="F2524" dT="2025-05-30T07:48:56.40" personId="{17D30B62-2123-41F1-B603-E5411FDFA3E0}" id="{D33B4A80-6161-400C-801C-BD6EB00100D8}">
    <text>Alojamiento para 3 personas 65€ la noche</text>
  </threadedComment>
  <threadedComment ref="F2525" dT="2025-05-30T07:48:56.40" personId="{17D30B62-2123-41F1-B603-E5411FDFA3E0}" id="{46140F05-2FD6-4CE7-AE0D-2B9774DBCDD8}">
    <text>Alojamiento para 3 personas 65€ la noche</text>
  </threadedComment>
  <threadedComment ref="F2526" dT="2025-05-30T07:48:56.40" personId="{17D30B62-2123-41F1-B603-E5411FDFA3E0}" id="{642685A5-4C40-4A9D-AED1-BECBA32A62A3}">
    <text>Alojamiento para 3 personas 65€ la noche</text>
  </threadedComment>
  <threadedComment ref="F2532" dT="2025-02-10T17:07:43.06" personId="{17D30B62-2123-41F1-B603-E5411FDFA3E0}" id="{45332408-AD93-4E4A-906E-7CF65E579165}">
    <text>350€ por cada habitacion
350€ fianza</text>
  </threadedComment>
  <threadedComment ref="F2532" dT="2025-02-12T10:28:53.03" personId="{98986A2A-739A-4851-A979-4B0D560C46CD}" id="{78864DFD-00B2-4CF3-9E27-5C4C672D76C2}" parentId="{45332408-AD93-4E4A-906E-7CF65E579165}">
    <text>04 habitaciones x 350 cu. Fianza 350 c/h Total 1400</text>
  </threadedComment>
  <threadedComment ref="F2532" dT="2025-02-12T10:41:29.61" personId="{98986A2A-739A-4851-A979-4B0D560C46CD}" id="{05CB2E9B-14B9-4813-8D44-F1093B28E04E}" parentId="{45332408-AD93-4E4A-906E-7CF65E579165}">
    <text>Se adicionan 03 habitaciones 10/02 x 350 € c/u. Fianza 350€ c/u. Total 1050€fianza</text>
  </threadedComment>
  <threadedComment ref="F2532" dT="2025-05-22T09:11:24.36" personId="{17D30B62-2123-41F1-B603-E5411FDFA3E0}" id="{082929EC-8A93-4F95-A09A-4DAB70DDCA24}" parentId="{45332408-AD93-4E4A-906E-7CF65E579165}">
    <text>Se adicionan 2 Habitaciones el día 23/05 por valor de  350€ C/U + 350€ fianzas C/U. Total 700€ fianza.</text>
  </threadedComment>
  <threadedComment ref="F2533" dT="2025-02-13T10:05:11.33" personId="{17D30B62-2123-41F1-B603-E5411FDFA3E0}" id="{47F80F70-DD98-4350-AB9D-CCCF7956A12B}">
    <text>Habitacion doble para trabajadores cant 1 Costo 60€/noche
Habitacion triple para trabajadores cant 3 Costo 75€/noche cada una
(camas separadas)</text>
  </threadedComment>
  <threadedComment ref="F2534" dT="2025-02-13T10:05:11.33" personId="{17D30B62-2123-41F1-B603-E5411FDFA3E0}" id="{43594B00-EF84-42CA-94BA-9EFC06D5D82D}">
    <text>Habitacion doble para trabajadores cant 1 Costo 60€/noche
Habitacion triple para trabajadores cant 3 Costo 75€/noche cada una
(camas separadas)</text>
  </threadedComment>
  <threadedComment ref="F2535" dT="2025-02-13T10:05:11.33" personId="{17D30B62-2123-41F1-B603-E5411FDFA3E0}" id="{904EA384-0B8C-4FDA-8E37-9779ED05CE32}">
    <text>Habitacion doble para trabajadores cant 1 Costo 60€/noche
Habitacion triple para trabajadores cant 3 Costo 75€/noche cada una
(camas separadas)</text>
  </threadedComment>
  <threadedComment ref="F2536" dT="2025-02-13T10:05:11.33" personId="{17D30B62-2123-41F1-B603-E5411FDFA3E0}" id="{82D9034B-40C1-40A8-8BD8-7D341239A882}">
    <text>Alquiler 1000€ Fianza 1000€ 4 camas</text>
  </threadedComment>
  <threadedComment ref="F2537" dT="2025-02-13T10:05:11.33" personId="{17D30B62-2123-41F1-B603-E5411FDFA3E0}" id="{82523D33-1507-40F0-9D6A-E8FF10D53EE2}">
    <text>3 CAMAS Alquiler 900€ Fianza 900€</text>
  </threadedComment>
  <threadedComment ref="F2538" dT="2025-02-13T10:05:11.33" personId="{17D30B62-2123-41F1-B603-E5411FDFA3E0}" id="{F18B1625-07F4-40EF-AA0A-567D01D9ED7E}">
    <text>Habitacion doble para trabajadores cant 1 Costo 60€/noche
Habitacion triple para trabajadores cant 3 Costo 75€/noche cada una
(camas separadas)</text>
  </threadedComment>
  <threadedComment ref="F2539" dT="2025-02-13T10:05:11.33" personId="{17D30B62-2123-41F1-B603-E5411FDFA3E0}" id="{94772DE9-7C4B-4922-813A-CD3EFDFC4037}">
    <text>Habitacion doble para trabajadores cant 1 Costo 60€/noche
Habitacion triple para trabajadores cant 3 Costo 75€/noche cada una
(camas separadas)</text>
  </threadedComment>
  <threadedComment ref="F2540" dT="2025-02-13T10:05:11.33" personId="{17D30B62-2123-41F1-B603-E5411FDFA3E0}" id="{746C58CD-9309-41ED-944F-608290CD8438}">
    <text>Habitacion doble para trabajadores cant 1 Costo 60€/noche
Habitacion triple para trabajadores cant 3 Costo 75€/noche cada una
(camas separadas)</text>
  </threadedComment>
  <threadedComment ref="F2545" dT="2025-05-07T15:20:49.27" personId="{17D30B62-2123-41F1-B603-E5411FDFA3E0}" id="{BDA0AB13-99BF-476C-B974-714AF1876901}">
    <text>Alojamiento para 7 personas 3.990€</text>
  </threadedComment>
  <threadedComment ref="F2546" dT="2025-03-13T10:07:36.64" personId="{98986A2A-739A-4851-A979-4B0D560C46CD}" id="{0B6CA1A8-E2DB-443F-9032-C4862AAC781B}">
    <text>04 camas, 2000€ alquiler, sin fianza</text>
  </threadedComment>
  <threadedComment ref="F2550" dT="2025-05-20T10:52:45.06" personId="{17D30B62-2123-41F1-B603-E5411FDFA3E0}" id="{05FB54DE-2FCD-4A61-A3DD-823270FC8155}">
    <text>7 Habitaciones Dobles</text>
  </threadedComment>
  <threadedComment ref="F2551" dT="2024-08-06T14:12:58.54" personId="{8BEA8CB1-BB33-44FC-A791-4439DE945680}" id="{D73C9005-7A70-4D26-A1D7-CC142254C9F7}">
    <text>Alquiler 1700, fianza 1700 6 CAMAS</text>
  </threadedComment>
  <threadedComment ref="F2551" dT="2025-01-16T18:23:38.41" personId="{98986A2A-739A-4851-A979-4B0D560C46CD}" id="{B033267D-17C1-4096-92F9-84948D75A57A}" parentId="{D73C9005-7A70-4D26-A1D7-CC142254C9F7}">
    <text>5 habitaciones</text>
  </threadedComment>
  <threadedComment ref="F2552" dT="2025-02-26T14:56:43.99" personId="{17D30B62-2123-41F1-B603-E5411FDFA3E0}" id="{E19BEF28-A4BA-418D-996C-7CF09172F2F5}">
    <text>Alojamiento para 9 personas.
 3 apartamentos triples (101-102-121)</text>
  </threadedComment>
  <threadedComment ref="F2553" dT="2025-02-26T14:56:43.99" personId="{17D30B62-2123-41F1-B603-E5411FDFA3E0}" id="{455E907E-899B-48ED-8F26-08EAA6A8501D}">
    <text>Alojamiento para 9 personas.
 3 apartamentos triples (101-102-121)</text>
  </threadedComment>
  <threadedComment ref="F2554" dT="2025-02-13T10:05:11.33" personId="{17D30B62-2123-41F1-B603-E5411FDFA3E0}" id="{BAB2BD51-0E3B-4105-9DE9-94CFE3461E7E}">
    <text>Habitacion doble para trabajadores cant 1 Costo 60€/noche
Habitacion triple para trabajadores cant 3 Costo 75€/noche cada una
(camas separadas)</text>
  </threadedComment>
  <threadedComment ref="F2555" dT="2025-02-14T12:21:40.61" personId="{17D30B62-2123-41F1-B603-E5411FDFA3E0}" id="{9CCD8762-7CF9-4C06-9AD4-289D8C6681B0}">
    <text xml:space="preserve">Alquiler 1536.26€ 2 Habitaciones 4 Camas </text>
  </threadedComment>
  <threadedComment ref="F2559" dT="2024-06-25T09:14:46.90" personId="{98986A2A-739A-4851-A979-4B0D560C46CD}" id="{518A286D-7AE8-4D46-BFBF-1161589CD3BC}">
    <text>Fianza 1000, alquiler 1250, 05 camas. Nuevo Contrato Febrero 2025</text>
  </threadedComment>
  <threadedComment ref="F2560" dT="2024-06-25T09:14:46.90" personId="{98986A2A-739A-4851-A979-4B0D560C46CD}" id="{C1EFEC94-CEB7-475C-8147-32648CE0ECF3}">
    <text>Fianza 1000, alquiler 1250, 05 camas. Nuevo Contrato Febrero 2025</text>
  </threadedComment>
  <threadedComment ref="F2561" dT="2025-03-03T08:16:57.36" personId="{17D30B62-2123-41F1-B603-E5411FDFA3E0}" id="{7C2A2A25-DC5C-4D39-A0E4-0CF7A24F5D78}">
    <text>2 Camas Alquiler 1300</text>
  </threadedComment>
  <threadedComment ref="F2562" dT="2025-04-07T06:50:18.61" personId="{98986A2A-739A-4851-A979-4B0D560C46CD}" id="{931E79F3-7045-471C-A5E0-FDFC08445D9F}">
    <text>05 CAMAS</text>
  </threadedComment>
  <threadedComment ref="F2563" dT="2025-02-13T10:05:11.33" personId="{17D30B62-2123-41F1-B603-E5411FDFA3E0}" id="{FF480BCD-3866-484C-AFB2-E7DE01EEA851}">
    <text>Habitacion doble para trabajadores cant 1 Costo 60€/noche
Habitacion triple para trabajadores cant 3 Costo 75€/noche cada una
(camas separadas)</text>
  </threadedComment>
  <threadedComment ref="F2564" dT="2025-03-03T18:16:08.96" personId="{98986A2A-739A-4851-A979-4B0D560C46CD}" id="{AED67A53-7FDC-4138-95B0-0E025921C7FC}">
    <text>03 camas, 1500€ alquiler, 600€ fianza</text>
  </threadedComment>
  <threadedComment ref="F2565" dT="2025-02-26T14:56:43.99" personId="{17D30B62-2123-41F1-B603-E5411FDFA3E0}" id="{4D1C3758-F3FE-4495-85AA-69208EF39C46}">
    <text>Alojamiento para 9 personas.
 3 apartamentos triples (101-102-121)</text>
  </threadedComment>
  <threadedComment ref="F2566" dT="2025-02-26T14:56:43.99" personId="{17D30B62-2123-41F1-B603-E5411FDFA3E0}" id="{3D2023AB-ED14-49EB-B7B0-C58696630EFC}">
    <text>Alojamiento para 9 personas.
 3 apartamentos triples (101-102-121)</text>
  </threadedComment>
  <threadedComment ref="F2567" dT="2025-02-26T14:56:43.99" personId="{17D30B62-2123-41F1-B603-E5411FDFA3E0}" id="{80EA5A92-8BD2-46EF-A129-852534741C6D}">
    <text>Alojamiento para 9 personas.
 3 apartamentos triples (101-102-121)</text>
  </threadedComment>
  <threadedComment ref="F2572" dT="2025-02-26T14:56:43.99" personId="{17D30B62-2123-41F1-B603-E5411FDFA3E0}" id="{FF40CC60-7CA4-44DF-A7D0-F49A3CB66AB0}">
    <text>Alojamiento para 9 personas.
 3 apartamentos triples (101-102-121)</text>
  </threadedComment>
  <threadedComment ref="F2573" dT="2025-02-26T14:56:43.99" personId="{17D30B62-2123-41F1-B603-E5411FDFA3E0}" id="{3FA163AF-FD66-4D8F-8CFD-243E5E1A6B9B}">
    <text>Alojamiento para 9 personas.
 3 apartamentos triples (101-102-121)</text>
  </threadedComment>
  <threadedComment ref="F2574" dT="2025-02-26T14:56:43.99" personId="{17D30B62-2123-41F1-B603-E5411FDFA3E0}" id="{2D42933A-6B3F-44F5-ADCB-29A1125E3B7B}">
    <text>Alojamiento para 9 personas.
 3 apartamentos triples (101-102-121)</text>
  </threadedComment>
  <threadedComment ref="F2576" dT="2025-05-22T15:16:33.52" personId="{17D30B62-2123-41F1-B603-E5411FDFA3E0}" id="{EE3EDA8E-163E-4887-86A4-7A41A8750B94}">
    <text>Alojamiento para 6 personas, 2 apartamentos triples (301-302)</text>
  </threadedComment>
  <threadedComment ref="F2577" dT="2025-02-26T14:56:43.99" personId="{17D30B62-2123-41F1-B603-E5411FDFA3E0}" id="{9B9A62DC-1643-4C72-89F8-0E63E6566647}">
    <text>Alojamiento para 9 personas.
 3 apartamentos triples (101-102-121)</text>
  </threadedComment>
  <threadedComment ref="F2578" dT="2025-05-22T15:16:33.52" personId="{17D30B62-2123-41F1-B603-E5411FDFA3E0}" id="{5490D24C-0EF8-43A6-A0C4-39296FA1B47E}">
    <text>Alojamiento para 6 personas, 2 apartamentos triples (301-302)</text>
  </threadedComment>
  <threadedComment ref="F2579" dT="2025-05-22T15:16:33.52" personId="{17D30B62-2123-41F1-B603-E5411FDFA3E0}" id="{F698D51C-97AC-415E-A7D8-1E585FE235EC}">
    <text>Alojamiento para 6 personas, 2 apartamentos triples (301-302)</text>
  </threadedComment>
  <threadedComment ref="F2580" dT="2025-05-22T15:16:33.52" personId="{17D30B62-2123-41F1-B603-E5411FDFA3E0}" id="{121CACF3-4D37-4B3C-967B-84B2E6702996}">
    <text>Alojamiento para 6 personas, 2 apartamentos triples (301-302)</text>
  </threadedComment>
  <threadedComment ref="F2582" dT="2025-05-22T15:16:33.52" personId="{17D30B62-2123-41F1-B603-E5411FDFA3E0}" id="{B4F4A972-67A8-4139-B34C-D0ED201231DD}">
    <text>Alojamiento para 6 personas, 2 apartamentos triples (301-302)</text>
  </threadedComment>
  <threadedComment ref="F2583" dT="2025-05-20T10:52:45.06" personId="{17D30B62-2123-41F1-B603-E5411FDFA3E0}" id="{56258962-BBDA-4AE2-AB8E-1EAEA4BE1B79}">
    <text>7 Habitaciones Dobles</text>
  </threadedComment>
  <threadedComment ref="F2584" dT="2025-05-20T10:52:45.06" personId="{17D30B62-2123-41F1-B603-E5411FDFA3E0}" id="{84B55FDE-26A8-4CBD-83BB-0BB99FF0A302}">
    <text>7 Habitaciones Dobles</text>
  </threadedComment>
  <threadedComment ref="F2585" dT="2025-05-07T15:20:49.27" personId="{17D30B62-2123-41F1-B603-E5411FDFA3E0}" id="{F20F98A0-870B-452F-A1DE-FFD16CE93963}">
    <text>Alojamiento para 7 personas 3.990€</text>
  </threadedComment>
  <threadedComment ref="F2586" dT="2025-04-07T06:50:18.61" personId="{98986A2A-739A-4851-A979-4B0D560C46CD}" id="{04F220B4-53CB-4ED0-B4D4-B377BA3F2E75}">
    <text>05 CAMAS</text>
  </threadedComment>
  <threadedComment ref="F2587" dT="2025-02-13T10:05:11.33" personId="{17D30B62-2123-41F1-B603-E5411FDFA3E0}" id="{A429786D-5E78-478E-8471-44E6AE441770}">
    <text>1650€/Alquiler
1650€/Fianza
5 camas</text>
  </threadedComment>
  <threadedComment ref="F2588" dT="2025-04-11T14:39:30.36" personId="{17D30B62-2123-41F1-B603-E5411FDFA3E0}" id="{71BA4977-CEFF-44CC-8427-E99381C59F07}">
    <text>( 03- Habitación - 430€ Mensual - Fecha de pago 01/05)</text>
  </threadedComment>
  <threadedComment ref="F2589" dT="2025-04-11T14:39:25.60" personId="{17D30B62-2123-41F1-B603-E5411FDFA3E0}" id="{0BC2FA7C-B3DE-443C-AB1E-D08D25183777}">
    <text>( 03- Habitación - 430€ Mensual - Fecha de pago 01/05)</text>
  </threadedComment>
  <threadedComment ref="F2590" dT="2025-04-11T14:39:21.90" personId="{17D30B62-2123-41F1-B603-E5411FDFA3E0}" id="{E855A4E9-D736-473A-B7CA-D885969274AB}">
    <text>( 03- Habitación - 430€ Mensual - Fecha de pago 01/05)</text>
  </threadedComment>
  <threadedComment ref="F2591" dT="2025-02-13T10:05:11.33" personId="{17D30B62-2123-41F1-B603-E5411FDFA3E0}" id="{C9456D3C-A870-4159-8941-EEE44AD5982B}">
    <text>3 CAMAS</text>
  </threadedComment>
  <threadedComment ref="F2594" dT="2025-02-13T10:05:11.33" personId="{17D30B62-2123-41F1-B603-E5411FDFA3E0}" id="{148A4A3A-30B0-4947-940A-6855E79E7451}">
    <text>1650€/Alquiler
1650€/Fianza
5 camas</text>
  </threadedComment>
  <threadedComment ref="F2595" dT="2025-05-20T10:52:45.06" personId="{17D30B62-2123-41F1-B603-E5411FDFA3E0}" id="{4E27D2E0-3A22-46AC-8631-0FFB48BF9556}">
    <text>7 Habitaciones Dobles</text>
  </threadedComment>
  <threadedComment ref="F2596" dT="2024-06-05T10:13:18.67" personId="{98986A2A-739A-4851-A979-4B0D560C46CD}" id="{1C4F1E61-6F84-40F0-8448-4952AE343B96}">
    <text xml:space="preserve">4 habitaciones, 2000€ ALQUILER
</text>
  </threadedComment>
  <threadedComment ref="F2597" dT="2024-06-05T10:13:18.67" personId="{98986A2A-739A-4851-A979-4B0D560C46CD}" id="{8AEE860D-1183-4889-B05B-DEAAA8C1CFD7}">
    <text xml:space="preserve">4 habitaciones, 2000€ ALQUILER
</text>
  </threadedComment>
  <threadedComment ref="F2598" dT="2025-03-04T08:46:27.80" personId="{98986A2A-739A-4851-A979-4B0D560C46CD}" id="{AD00DEBF-D57B-430B-8487-FA151EF7C50A}">
    <text>01 cama, sin fianza, transferencia al trabajador</text>
  </threadedComment>
  <threadedComment ref="F2599" dT="2025-02-13T10:05:11.33" personId="{17D30B62-2123-41F1-B603-E5411FDFA3E0}" id="{46C753EC-04FA-4B85-9C8E-434E4F856DE2}">
    <text>Habitacion doble para trabajadores cant 1 Costo 60€/noche
Habitacion triple para trabajadores cant 3 Costo 75€/noche cada una
(camas separadas)</text>
  </threadedComment>
  <threadedComment ref="F2602" dT="2025-04-29T17:02:27.40" personId="{17D30B62-2123-41F1-B603-E5411FDFA3E0}" id="{8C3DE8F3-05AB-4168-BEC8-C19E342AF02C}">
    <text xml:space="preserve">Alquiler 1.800€ Fianza 500€ -4 Camas </text>
  </threadedComment>
  <threadedComment ref="F2603" dT="2025-05-20T10:52:45.06" personId="{17D30B62-2123-41F1-B603-E5411FDFA3E0}" id="{87EB1F5C-5574-4D40-9FA2-75E7967C8ED0}">
    <text>7 Habitaciones Dobles</text>
  </threadedComment>
  <threadedComment ref="F2604" dT="2025-03-13T10:07:36.64" personId="{98986A2A-739A-4851-A979-4B0D560C46CD}" id="{4E1813E6-6A5B-4BCC-871A-86117E47E514}">
    <text>04 camas, 2000€ alquiler, sin fianza</text>
  </threadedComment>
  <threadedComment ref="F2605" dT="2025-03-13T10:07:36.64" personId="{98986A2A-739A-4851-A979-4B0D560C46CD}" id="{E3834761-5A8D-437C-8F9F-557289AC9A38}">
    <text>04 camas, 2000€ alquiler, sin fianza</text>
  </threadedComment>
  <threadedComment ref="F2606" dT="2025-03-13T10:07:36.64" personId="{98986A2A-739A-4851-A979-4B0D560C46CD}" id="{A00F0435-3424-4EEF-8AF5-8AC0D9C82AE2}">
    <text>04 camas, 2000€ alquiler, sin fianza</text>
  </threadedComment>
  <threadedComment ref="F2607" dT="2025-02-13T10:05:11.33" personId="{17D30B62-2123-41F1-B603-E5411FDFA3E0}" id="{5088D5DC-48BC-4805-89F8-8F36E3312A16}">
    <text>Habitacion doble para trabajadores cant 1 Costo 60€/noche
Habitacion triple para trabajadores cant 3 Costo 75€/noche cada una
(camas separadas)</text>
  </threadedComment>
  <threadedComment ref="F2608" dT="2025-02-13T10:05:11.33" personId="{17D30B62-2123-41F1-B603-E5411FDFA3E0}" id="{D66F31F2-E5D7-4FDA-B023-7AD5B1E00380}">
    <text>Habitacion doble para trabajadores cant 1 Costo 60€/noche
Habitacion triple para trabajadores cant 3 Costo 75€/noche cada una
(camas separadas)</text>
  </threadedComment>
  <threadedComment ref="F2609" dT="2025-04-07T06:50:18.61" personId="{98986A2A-739A-4851-A979-4B0D560C46CD}" id="{4B3F078B-949D-4EA3-8F11-70D118DC21FD}">
    <text>05 CAMAS</text>
  </threadedComment>
  <threadedComment ref="F2612" dT="2025-04-22T08:19:19.16" personId="{17D30B62-2123-41F1-B603-E5411FDFA3E0}" id="{4A65DE68-11B0-46B5-96B3-6835F4F8C2D2}">
    <text>2 habitaciones</text>
  </threadedComment>
  <threadedComment ref="F2613" dT="2025-05-13T09:04:33.79" personId="{17D30B62-2123-41F1-B603-E5411FDFA3E0}" id="{5AE8A0CB-85A7-4B7F-B91C-CB6DC6C7A9D6}">
    <text>600€ cada habitación
300€ fianza cada habitación</text>
  </threadedComment>
  <threadedComment ref="F2614" dT="2025-05-13T09:04:33.79" personId="{17D30B62-2123-41F1-B603-E5411FDFA3E0}" id="{67ECF2B7-B52A-4E13-AD4A-9EEFAA3A8AE8}">
    <text>600€ cada habitación
300€ fianza cada habitación</text>
  </threadedComment>
  <threadedComment ref="F2615" dT="2025-07-29T11:19:33.87" personId="{17D30B62-2123-41F1-B603-E5411FDFA3E0}" id="{9B4EEE7E-F191-41E4-A683-CCAE6E744C39}">
    <text>habitación Triple camas separadas</text>
  </threadedComment>
  <threadedComment ref="F2616" dT="2025-04-23T10:52:46.24" personId="{17D30B62-2123-41F1-B603-E5411FDFA3E0}" id="{37E3F296-1DC3-493C-AF3D-FA6194173E32}">
    <text>380€ Alquiler + 50€ suministros</text>
  </threadedComment>
  <threadedComment ref="F2621" dT="2024-10-28T11:44:32.75" personId="{17D30B62-2123-41F1-B603-E5411FDFA3E0}" id="{54253667-8AC5-465F-93ED-21CC264ABE23}">
    <text>Alquiler 2870 Fianza 2870 camas 8</text>
  </threadedComment>
  <threadedComment ref="F2622" dT="2024-10-28T11:44:32.75" personId="{17D30B62-2123-41F1-B603-E5411FDFA3E0}" id="{A1803526-F184-4B90-954F-4D67914CA345}">
    <text>Alquiler 2870 Fianza 2870 camas 8</text>
  </threadedComment>
  <threadedComment ref="F2623" dT="2024-10-28T11:44:32.75" personId="{17D30B62-2123-41F1-B603-E5411FDFA3E0}" id="{867E6CFE-0A8C-4976-9859-1055F7D4CA38}">
    <text>Alquiler 2870 Fianza 2870 camas 8</text>
  </threadedComment>
  <threadedComment ref="F2624" dT="2024-10-28T11:44:32.75" personId="{17D30B62-2123-41F1-B603-E5411FDFA3E0}" id="{7BE96521-3916-4F71-9B6C-1DE4EECB101B}">
    <text>Alquiler 2870 Fianza 2870 camas 8</text>
  </threadedComment>
  <threadedComment ref="F2625" dT="2024-10-28T11:44:32.75" personId="{17D30B62-2123-41F1-B603-E5411FDFA3E0}" id="{41C0F061-B4AE-4CC0-845D-586F5147C71E}">
    <text>Alquiler 2870 Fianza 2870 camas 8</text>
  </threadedComment>
  <threadedComment ref="F2626" dT="2024-10-28T11:44:32.75" personId="{17D30B62-2123-41F1-B603-E5411FDFA3E0}" id="{863452E6-0092-4163-91E2-C5D3E4A4C67B}">
    <text>Alquiler 2870 Fianza 2870 camas 8</text>
  </threadedComment>
  <threadedComment ref="F2627" dT="2024-10-28T11:44:32.75" personId="{17D30B62-2123-41F1-B603-E5411FDFA3E0}" id="{D6E1E7C0-C9A0-4504-BFC0-584880C2BC18}">
    <text>Alquiler 2870 Fianza 2870 camas 8</text>
  </threadedComment>
  <threadedComment ref="F2628" dT="2025-01-03T11:18:45.85" personId="{98986A2A-739A-4851-A979-4B0D560C46CD}" id="{EF4D63AB-CED2-48A6-ABE9-485E8AFB35A3}">
    <text>10 camas renta 3300€, fianza 1700€</text>
  </threadedComment>
  <threadedComment ref="F2629" dT="2025-01-03T11:18:45.85" personId="{98986A2A-739A-4851-A979-4B0D560C46CD}" id="{0F3E5C9E-3EB1-4E68-9889-C0BA34B1B24B}">
    <text>10 camas renta 3300€, fianza 1700€</text>
  </threadedComment>
  <threadedComment ref="F2630" dT="2025-01-03T11:18:45.85" personId="{98986A2A-739A-4851-A979-4B0D560C46CD}" id="{D0CF3238-DE9A-431A-B095-C22A81572ACE}">
    <text>10 camas renta 3300€, fianza 1700€</text>
  </threadedComment>
  <threadedComment ref="F2631" dT="2025-01-03T11:18:45.85" personId="{98986A2A-739A-4851-A979-4B0D560C46CD}" id="{9152F5DE-0821-450F-A640-62FDBD15B6C9}">
    <text>10 camas renta 3300€, fianza 1700€</text>
  </threadedComment>
  <threadedComment ref="F2632" dT="2025-01-03T11:18:45.85" personId="{98986A2A-739A-4851-A979-4B0D560C46CD}" id="{56875918-882C-4BAD-B96B-E65A0D272714}">
    <text>10 camas renta 3300€, fianza 1700€</text>
  </threadedComment>
  <threadedComment ref="F2633" dT="2025-01-03T11:18:45.85" personId="{98986A2A-739A-4851-A979-4B0D560C46CD}" id="{E606BF67-12A9-45A7-9C41-89C06E9529B1}">
    <text>10 camas renta 3300€, fianza 1700€</text>
  </threadedComment>
  <threadedComment ref="F2634" dT="2025-01-03T11:18:45.85" personId="{98986A2A-739A-4851-A979-4B0D560C46CD}" id="{C9AA584F-0E0F-41B7-A1EC-7F31DBCADF5A}">
    <text>10 camas renta 3300€, fianza 1700€</text>
  </threadedComment>
  <threadedComment ref="F2635" dT="2025-01-03T11:18:45.85" personId="{98986A2A-739A-4851-A979-4B0D560C46CD}" id="{EF4B8D4E-6243-4CEC-9149-BE0EF6A61A3A}">
    <text>10 camas renta 3300€, fianza 1700€</text>
  </threadedComment>
  <threadedComment ref="F2636" dT="2025-01-03T11:18:45.85" personId="{98986A2A-739A-4851-A979-4B0D560C46CD}" id="{A22B8345-974A-4FC7-BA7E-FB23F8C1B715}">
    <text>10 camas renta 3300€, fianza 1700€</text>
  </threadedComment>
  <threadedComment ref="F2637" dT="2025-01-03T11:18:45.85" personId="{98986A2A-739A-4851-A979-4B0D560C46CD}" id="{EFD82216-37FB-4FD1-9880-4A8F942380DC}">
    <text>10 camas renta 3300€, fianza 1700€</text>
  </threadedComment>
  <threadedComment ref="F2643" dT="2025-03-21T15:44:19.97" personId="{17D30B62-2123-41F1-B603-E5411FDFA3E0}" id="{D903FF15-9F33-42CC-865F-1B75985E66BB}">
    <text>Fianza 2.400€, Alquiler 1.200€, 6 Camas.</text>
  </threadedComment>
  <threadedComment ref="F2644" dT="2024-07-19T10:10:03.54" personId="{98986A2A-739A-4851-A979-4B0D560C46CD}" id="{053D3CAB-E358-4012-BE37-E34475DDE81A}">
    <text>Renta vivienda  1.050€ + Servicio de limpieza 302,50€ TOTAL 1.302,50€. 04 habitaciones</text>
  </threadedComment>
  <threadedComment ref="F2646" dT="2025-02-13T10:05:11.33" personId="{17D30B62-2123-41F1-B603-E5411FDFA3E0}" id="{646BAC81-1755-418B-9B09-2CFDAC24E12F}">
    <text>Habitacion doble para trabajadores cant 1 Costo 60€/noche
Habitacion triple para trabajadores cant 3 Costo 75€/noche cada una
(camas separadas)</text>
  </threadedComment>
  <threadedComment ref="F2647" dT="2025-02-13T10:05:11.33" personId="{17D30B62-2123-41F1-B603-E5411FDFA3E0}" id="{932EA5D5-A813-4601-8368-C48AA198430F}">
    <text>Habitacion doble para trabajadores cant 1 Costo 60€/noche
Habitacion triple para trabajadores cant 3 Costo 75€/noche cada una
(camas separadas)</text>
  </threadedComment>
  <threadedComment ref="F2648" dT="2025-02-13T10:05:11.33" personId="{17D30B62-2123-41F1-B603-E5411FDFA3E0}" id="{A1045487-7C69-444A-A7E4-CE985A406F98}">
    <text>1.500€ Alquiler 1.500€ Fianza 4 CAMAS</text>
  </threadedComment>
  <threadedComment ref="F2649" dT="2025-02-13T10:05:11.33" personId="{17D30B62-2123-41F1-B603-E5411FDFA3E0}" id="{6B4C8598-97DF-4888-B430-3C33FAB4C640}">
    <text>Habitacion doble para trabajadores cant 1 Costo 60€/noche
Habitacion triple para trabajadores cant 3 Costo 75€/noche cada una
(camas separadas)</text>
  </threadedComment>
  <threadedComment ref="F2650" dT="2025-02-13T10:05:11.33" personId="{17D30B62-2123-41F1-B603-E5411FDFA3E0}" id="{96B153E4-52EC-4776-AC40-2CC8A2AF081B}">
    <text>1.500€ Alquiler 1.500€ Fianza 4 Camas</text>
  </threadedComment>
  <threadedComment ref="F2651" dT="2025-02-13T10:05:11.33" personId="{17D30B62-2123-41F1-B603-E5411FDFA3E0}" id="{C9DA9CAD-F3C0-468C-B139-4AC9B6465558}">
    <text>1.500€ Alquiler 1.500€ Fianza 4 CAMAS</text>
  </threadedComment>
  <threadedComment ref="F2652" dT="2025-02-13T10:05:11.33" personId="{17D30B62-2123-41F1-B603-E5411FDFA3E0}" id="{03A7AD9F-BCE7-4C95-B111-5EA296175980}">
    <text>1.500€ Alquiler 1.500€ Fianza 4 Camas</text>
  </threadedComment>
  <threadedComment ref="F2653" dT="2025-02-13T10:05:11.33" personId="{17D30B62-2123-41F1-B603-E5411FDFA3E0}" id="{EAE1F463-2F4E-4A46-9313-938BC6742ADF}">
    <text>1.500€ Alquiler 1.500€ Fianza 4 CAMAS</text>
  </threadedComment>
  <threadedComment ref="F2654" dT="2025-02-13T10:05:11.33" personId="{17D30B62-2123-41F1-B603-E5411FDFA3E0}" id="{D246B2F7-C190-4CBA-BFD7-0BF590DB7499}">
    <text>1.500€ Alquiler 1.500€ Fianza 4 Camas</text>
  </threadedComment>
  <threadedComment ref="F2655" dT="2025-02-13T10:05:11.33" personId="{17D30B62-2123-41F1-B603-E5411FDFA3E0}" id="{06C9E1AB-15AA-41D3-9687-6664CA787711}">
    <text>1.500€ Alquiler 1.500€ Fianza 4 Camas</text>
  </threadedComment>
  <threadedComment ref="F2656" dT="2025-02-25T17:38:25.86" personId="{98986A2A-739A-4851-A979-4B0D560C46CD}" id="{B5F314B0-307A-4DF4-ADCD-52BD5E295CC5}">
    <text xml:space="preserve">Alquiler 1600 Fianza 1600 camas 5
</text>
  </threadedComment>
  <threadedComment ref="F2658" dT="2025-02-13T10:05:11.33" personId="{17D30B62-2123-41F1-B603-E5411FDFA3E0}" id="{466F0367-7865-401E-A7AF-816BD2083793}">
    <text>Habitacion doble para trabajadores cant 1 Costo 60€/noche
Habitacion triple para trabajadores cant 3 Costo 75€/noche cada una
(camas separadas)</text>
  </threadedComment>
  <threadedComment ref="F2659" dT="2025-02-13T10:05:11.33" personId="{17D30B62-2123-41F1-B603-E5411FDFA3E0}" id="{3893B38C-3062-4884-8F50-FB564DA3AF05}">
    <text>Habitacion doble para trabajadores cant 1 Costo 60€/noche
Habitacion triple para trabajadores cant 3 Costo 75€/noche cada una
(camas separadas)</text>
  </threadedComment>
  <threadedComment ref="F2660" dT="2025-05-20T10:52:45.06" personId="{17D30B62-2123-41F1-B603-E5411FDFA3E0}" id="{B06A3694-4063-4313-B8FA-8FDC412369C1}">
    <text>7 Habitaciones Dobles</text>
  </threadedComment>
  <threadedComment ref="F2664" dT="2025-02-13T10:05:11.33" personId="{17D30B62-2123-41F1-B603-E5411FDFA3E0}" id="{3B042C07-B03A-4F9B-A46E-94B2BB74F727}">
    <text>Habitacion doble para trabajadores cant 1 Costo 60€/noche
Habitacion triple para trabajadores cant 3 Costo 75€/noche cada una
(camas separadas)</text>
  </threadedComment>
  <threadedComment ref="F2667" dT="2025-02-13T10:05:11.33" personId="{17D30B62-2123-41F1-B603-E5411FDFA3E0}" id="{AC93A16E-961D-4B25-9081-BC2E4E2577D1}">
    <text>Habitacion doble para trabajadores cant 1 Costo 60€/noche
Habitacion triple para trabajadores cant 3 Costo 75€/noche cada una
(camas separadas)</text>
  </threadedComment>
  <threadedComment ref="F2670" dT="2025-02-13T10:05:11.33" personId="{17D30B62-2123-41F1-B603-E5411FDFA3E0}" id="{5FF6AFBE-1A4B-495B-9FED-9FB874A38919}">
    <text>Habitacion doble para trabajadores cant 1 Costo 60€/noche
Habitacion triple para trabajadores cant 3 Costo 75€/noche cada una
(camas separadas)</text>
  </threadedComment>
  <threadedComment ref="F2680" dT="2025-02-14T12:21:40.61" personId="{17D30B62-2123-41F1-B603-E5411FDFA3E0}" id="{D87518C3-C1AA-4CFE-B861-D464743DD029}">
    <text xml:space="preserve">Alquiler 1536.26€ 2 Habitaciones 4 Camas </text>
  </threadedComment>
  <threadedComment ref="F2682" dT="2024-11-07T17:15:37.18" personId="{98986A2A-739A-4851-A979-4B0D560C46CD}" id="{7543A920-3D41-4926-A0B6-A49BF038F01E}">
    <text>04 camas 1500€, fianza 1000€</text>
  </threadedComment>
  <threadedComment ref="F2683" dT="2025-07-03T14:34:58.13" personId="{98986A2A-739A-4851-A979-4B0D560C46CD}" id="{8546B1C9-471F-40F5-96DB-7FC0B476CA46}">
    <text>850€ alquiler, 850€ fianza, 03 camas</text>
  </threadedComment>
  <threadedComment ref="F2708" dT="2025-02-10T07:12:32.59" personId="{17D30B62-2123-41F1-B603-E5411FDFA3E0}" id="{B4EEDF5A-FDCE-4501-91D8-3302ABA4AD15}">
    <text xml:space="preserve">1.500€ renta mes,1.200€ Fianza, 3 Habitacines con 4 camas </text>
  </threadedComment>
  <threadedComment ref="F2710" dT="2025-03-03T08:44:38.47" personId="{98986A2A-739A-4851-A979-4B0D560C46CD}" id="{443CA99B-041D-47DE-819A-4F9425C3F22C}">
    <text>03 habitaciones.04 camas 600 la mensualidad. 1200 fianza.
01 Cama de Kotrik</text>
  </threadedComment>
  <threadedComment ref="F2711" dT="2025-03-11T10:08:17.58" personId="{98986A2A-739A-4851-A979-4B0D560C46CD}" id="{3710B3D9-814D-42C2-B7C6-7BE8D47F0898}">
    <text>06 camas, Renta vivienda 1.380€+ Servicio limpieza 302,50€ =TOTAL 1.682,50€. Fianza 950€ fianza</text>
  </threadedComment>
  <threadedComment ref="F2712" dT="2025-03-11T10:08:17.58" personId="{98986A2A-739A-4851-A979-4B0D560C46CD}" id="{294B8D8D-DA4E-44F7-A5DA-4A01FF42154E}">
    <text>06 camas, Renta vivienda 1.380€+ Servicio limpieza 302,50€ =TOTAL 1.682,50€. Fianza 950€ fianza</text>
  </threadedComment>
  <threadedComment ref="F2713" dT="2025-07-04T06:57:05.82" personId="{98986A2A-739A-4851-A979-4B0D560C46CD}" id="{317CC584-FE22-4246-BB11-9ABCED689E76}">
    <text>05 CAMAS</text>
  </threadedComment>
  <threadedComment ref="V2713" dT="2025-07-04T06:59:55.30" personId="{98986A2A-739A-4851-A979-4B0D560C46CD}" id="{15BF9573-A74A-4484-8513-2555CF52E1DA}">
    <text>VUELVEN AL ALOJAMIENTO DE NADJA 2020/08</text>
  </threadedComment>
  <threadedComment ref="F2718" dT="2025-05-07T15:20:49.27" personId="{17D30B62-2123-41F1-B603-E5411FDFA3E0}" id="{422352EE-57E4-4F54-9C14-10B6E454277B}">
    <text>Alojamiento para 7 personas 3.990€</text>
  </threadedComment>
  <threadedComment ref="F2719" dT="2025-05-07T15:20:49.27" personId="{17D30B62-2123-41F1-B603-E5411FDFA3E0}" id="{5355ED96-E002-40F2-9151-C726F935455D}">
    <text>Alojamiento para 7 personas 3.990€</text>
  </threadedComment>
  <threadedComment ref="F2720" dT="2025-05-07T15:20:49.27" personId="{17D30B62-2123-41F1-B603-E5411FDFA3E0}" id="{D7E93AC0-2E89-41E4-9B2F-D5D1E53BB985}">
    <text>Alojamiento para 7 personas 3.990€</text>
  </threadedComment>
  <threadedComment ref="F2721" dT="2025-05-07T15:20:49.27" personId="{17D30B62-2123-41F1-B603-E5411FDFA3E0}" id="{E1DA70E6-A3C2-445B-991C-94B1E4FD644F}">
    <text>Alojamiento para 7 personas 3.990€</text>
  </threadedComment>
  <threadedComment ref="F2722" dT="2025-02-13T10:05:11.33" personId="{17D30B62-2123-41F1-B603-E5411FDFA3E0}" id="{472E2D68-50D7-4258-887C-E7E983368135}">
    <text>Habitacion doble para trabajadores cant 1 Costo 60€/noche
Habitacion triple para trabajadores cant 3 Costo 75€/noche cada una
(camas separadas)</text>
  </threadedComment>
  <threadedComment ref="F2723" dT="2025-07-21T11:37:12.50" personId="{98986A2A-739A-4851-A979-4B0D560C46CD}" id="{DFAF5692-8E7B-449E-B8CD-67630FE86319}">
    <text>2400€ alquiler, 2400€ fianza, 05 camas</text>
  </threadedComment>
  <threadedComment ref="F2728" dT="2025-09-17T07:54:06.16" personId="{17D30B62-2123-41F1-B603-E5411FDFA3E0}" id="{BCDD841B-CE23-4C68-A99F-23C5BDF5F294}">
    <text>4 camas</text>
  </threadedComment>
  <threadedComment ref="F2729" dT="2025-12-22T15:03:27.69" personId="{4D8483EF-5A39-4E7B-A473-929EF5A077E1}" id="{7CE74F9C-CFA4-46F5-9C28-8C4D258C913E}">
    <text>4 camas</text>
  </threadedComment>
  <threadedComment ref="F2730" dT="2026-03-20T10:36:22.90" personId="{4D8483EF-5A39-4E7B-A473-929EF5A077E1}" id="{81AF24E7-6C5F-4F21-ABD6-33D67911D4EE}">
    <text>Casa de 3 dormitorios
Dormitorio 1-2 camas individuales
Dormitorio 2-2 camas individuales
Dormitorio 3-2 sofás cama
Sala de estar 1 sofá cama</text>
    <extLst>
      <x:ext xmlns:xltc2="http://schemas.microsoft.com/office/spreadsheetml/2020/threadedcomments2" uri="{F7C98A9C-CBB3-438F-8F68-D28B6AF4A901}">
        <xltc2:checksum>2822991603</xltc2:checksum>
        <xltc2:hyperlink startIndex="0" length="21" url="https://www.booking.com/hotel/es/casa-familiar-el-gran-alacant.es.html?label=es-es-booking-desktop-onknyt5TBrS8m9RnGd*6fgS652829001115%3Apl%3Ata%3Ap1%3Ap2%3Aac%3Aap%3Aneg%3Afi%3Atikwd-65526620%3Alp9199239%3Ali%3Adec%3Adm&amp;sid=94a6c958ba7d8898ee65ce2dd0ef8aaa&amp;aid=2311236#RD1470279201"/>
      </x:ext>
    </extLst>
  </threadedComment>
  <threadedComment ref="F2731" dT="2025-02-26T13:10:02.89" personId="{17D30B62-2123-41F1-B603-E5411FDFA3E0}" id="{460D1A26-CCEE-4BF0-9A8A-09A27562DB2B}">
    <text>4 Habitaciones 370/cu</text>
  </threadedComment>
  <threadedComment ref="F2732" dT="2025-02-26T13:10:02.89" personId="{17D30B62-2123-41F1-B603-E5411FDFA3E0}" id="{938011A5-E2A9-407D-B02F-0CEEE403FCD1}">
    <text>4 Habitaciones 370/cu</text>
  </threadedComment>
  <threadedComment ref="F2733" dT="2025-10-02T10:09:40.57" personId="{17D30B62-2123-41F1-B603-E5411FDFA3E0}" id="{F3411CDF-2715-495A-AC22-3DF1A528EB10}">
    <text>Alojamiento entero · 4 camas · 4 viajeros</text>
  </threadedComment>
  <threadedComment ref="F2735" dT="2025-02-25T17:38:25.86" personId="{98986A2A-739A-4851-A979-4B0D560C46CD}" id="{741BBE40-EBE0-4819-BB24-83BC4059EC45}">
    <text xml:space="preserve">Alquiler 1600 Fianza 1600 camas 5
</text>
  </threadedComment>
  <threadedComment ref="F2742" dT="2025-03-24T10:15:02.97" personId="{17D30B62-2123-41F1-B603-E5411FDFA3E0}" id="{85644C1A-758F-4ACC-9AEA-24AC3F2B1DC3}">
    <text>400€ Por persona alquiler mes, Fianza 500€, 5 Camas.</text>
  </threadedComment>
  <threadedComment ref="F2743" dT="2025-02-13T10:05:11.33" personId="{17D30B62-2123-41F1-B603-E5411FDFA3E0}" id="{D2D4A9BF-563D-459C-8458-AAAD03EADDD1}">
    <text>Habitacion doble para trabajadores cant 1 Costo 60€/noche
Habitacion triple para trabajadores cant 3 Costo 75€/noche cada una
(camas separadas)</text>
  </threadedComment>
  <threadedComment ref="F2745" dT="2026-04-24T14:08:31.91" personId="{4D8483EF-5A39-4E7B-A473-929EF5A077E1}" id="{3287D8C9-7F14-4A11-A3E1-A3B69CA28954}">
    <text>Alojamiento entero · 4 camas · 4 viajeros </text>
  </threadedComment>
  <threadedComment ref="F2746" dT="2025-05-07T16:05:06.87" personId="{17D30B62-2123-41F1-B603-E5411FDFA3E0}" id="{A8FD9E24-8739-4257-84C5-376F32B527B7}">
    <text>Alojamiento para 6 Personas 3.750€</text>
  </threadedComment>
  <threadedComment ref="F2747" dT="2025-05-07T16:05:06.87" personId="{17D30B62-2123-41F1-B603-E5411FDFA3E0}" id="{4382530F-FE72-4BEA-92E5-59E22E083424}">
    <text>Alojamiento para 6 Personas 3.750€</text>
  </threadedComment>
  <threadedComment ref="F2748" dT="2025-05-07T16:05:06.87" personId="{17D30B62-2123-41F1-B603-E5411FDFA3E0}" id="{8EEE411B-0F8E-472C-9D4A-CFD3AA753A13}">
    <text>Alojamiento para 6 Personas 3.750€</text>
  </threadedComment>
  <threadedComment ref="F2749" dT="2025-07-11T08:50:42.66" personId="{98986A2A-739A-4851-A979-4B0D560C46CD}" id="{880A2DE3-1CB2-484F-A8A0-2737787DA961}">
    <text>04 camas, 1460€ alquiler, 1400€ fianza</text>
  </threadedComment>
  <threadedComment ref="F2750" dT="2025-07-11T08:50:42.66" personId="{98986A2A-739A-4851-A979-4B0D560C46CD}" id="{E241BB5A-8F0E-4335-960D-FFAA7392E476}">
    <text>04 camas, 1460€ alquiler, 1400€ fianza</text>
  </threadedComment>
  <threadedComment ref="F2751" dT="2025-02-13T10:05:11.33" personId="{17D30B62-2123-41F1-B603-E5411FDFA3E0}" id="{3CB85716-9CEE-44E2-8194-2FDBC6236422}">
    <text>Habitacion doble para trabajadores cant 1 Costo 60€/noche
Habitacion triple para trabajadores cant 3 Costo 75€/noche cada una
(camas separadas)</text>
  </threadedComment>
  <threadedComment ref="F2752" dT="2025-02-26T14:29:45.42" personId="{17D30B62-2123-41F1-B603-E5411FDFA3E0}" id="{EC1D6C01-4164-4AAB-8FDC-3D1EF38D7FDB}">
    <text>9 Camas, Alquiler 2300€, Fianza 700€</text>
  </threadedComment>
  <threadedComment ref="F2752" dT="2026-01-21T15:11:00.84" personId="{4D8483EF-5A39-4E7B-A473-929EF5A077E1}" id="{0F2EDBDF-7446-4BE9-825A-17791DDE06B5}" parentId="{EC1D6C01-4164-4AAB-8FDC-3D1EF38D7FDB}">
    <text xml:space="preserve">Descuento a 2000€ </text>
  </threadedComment>
  <threadedComment ref="F2759" dT="2025-03-21T07:56:23.33" personId="{98986A2A-739A-4851-A979-4B0D560C46CD}" id="{205F88E9-604A-49D0-B687-15523CC63248}">
    <text>05 camas</text>
  </threadedComment>
  <threadedComment ref="F2760" dT="2025-03-21T07:56:23.33" personId="{98986A2A-739A-4851-A979-4B0D560C46CD}" id="{C75C2AEF-5293-40AA-BDA1-DDD2034AC139}">
    <text>05 camas</text>
  </threadedComment>
  <threadedComment ref="F2761" dT="2025-03-21T07:56:23.33" personId="{98986A2A-739A-4851-A979-4B0D560C46CD}" id="{6D409C58-4DC9-4627-BB03-022DD3138644}">
    <text>05 camas</text>
  </threadedComment>
  <threadedComment ref="F2762" dT="2025-02-13T10:05:11.33" personId="{17D30B62-2123-41F1-B603-E5411FDFA3E0}" id="{A3CBB155-EDA6-44F9-9FC9-35F9EB8C904F}">
    <text>Habitacion doble para trabajadores cant 1 Costo 60€/noche
Habitacion triple para trabajadores cant 3 Costo 75€/noche cada una
(camas separadas)</text>
  </threadedComment>
  <threadedComment ref="F2763" dT="2025-02-13T10:05:11.33" personId="{17D30B62-2123-41F1-B603-E5411FDFA3E0}" id="{94B6079C-DFA5-4509-A10D-1B7B637E3BE5}">
    <text>Habitacion doble para trabajadores cant 1 Costo 60€/noche
Habitacion triple para trabajadores cant 3 Costo 75€/noche cada una
(camas separadas)</text>
  </threadedComment>
  <threadedComment ref="F2764" dT="2025-02-13T10:05:11.33" personId="{17D30B62-2123-41F1-B603-E5411FDFA3E0}" id="{CA924A15-0F80-4D39-99DB-366BA48879EA}">
    <text>Habitacion doble para trabajadores cant 1 Costo 60€/noche
Habitacion triple para trabajadores cant 3 Costo 75€/noche cada una
(camas separadas)</text>
  </threadedComment>
  <threadedComment ref="F2765" dT="2025-02-13T10:05:11.33" personId="{17D30B62-2123-41F1-B603-E5411FDFA3E0}" id="{F9C19A35-17AF-41BD-A503-724CBC0CAB25}">
    <text>4 Habitaciones 5 camas 1 sofá</text>
  </threadedComment>
  <threadedComment ref="F2765" dT="2025-11-07T07:08:43.68" personId="{98986A2A-739A-4851-A979-4B0D560C46CD}" id="{BB9475C5-7192-4FD1-9D9B-FA0D8A61981F}" parentId="{F9C19A35-17AF-41BD-A503-724CBC0CAB25}">
    <text>875,50 alquiler</text>
  </threadedComment>
  <threadedComment ref="F2765" dT="2026-08-19T09:16:29.54" personId="{E3C446A3-37B8-466B-82DA-8F7BAC7681F7}" id="{EA2D3516-EEB2-4584-8F10-03B248CC6D2D}" parentId="{F9C19A35-17AF-41BD-A503-724CBC0CAB25}">
    <text>FIANZA 1700€</text>
  </threadedComment>
  <threadedComment ref="F2766" dT="2025-02-13T10:05:11.33" personId="{17D30B62-2123-41F1-B603-E5411FDFA3E0}" id="{9D3C71F7-8FFC-4AEC-80E1-428465C7C87C}">
    <text>Habitacion doble para trabajadores cant 1 Costo 60€/noche
Habitacion triple para trabajadores cant 3 Costo 75€/noche cada una
(camas separadas)</text>
  </threadedComment>
  <threadedComment ref="F2767" dT="2025-02-13T10:05:11.33" personId="{17D30B62-2123-41F1-B603-E5411FDFA3E0}" id="{131CC299-19AA-4E1C-9620-54C3CC5DAB8F}">
    <text>Habitacion doble para trabajadores cant 1 Costo 60€/noche
Habitacion triple para trabajadores cant 3 Costo 75€/noche cada una
(camas separadas)</text>
  </threadedComment>
  <threadedComment ref="F2768" dT="2025-02-28T16:33:14.39" personId="{17D30B62-2123-41F1-B603-E5411FDFA3E0}" id="{609B4009-6BDC-4E8F-A253-D8371A3C0F61}">
    <text xml:space="preserve">Alquiler 1200 Fianza 1200 5 camas </text>
  </threadedComment>
  <threadedComment ref="F2771" dT="2025-07-04T08:18:39.26" personId="{98986A2A-739A-4851-A979-4B0D560C46CD}" id="{39C02177-93B8-4477-BE67-3AD57999D348}">
    <text xml:space="preserve">1200€ ALQUILER, 1200€ FIANZA, 05 CAMAS </text>
  </threadedComment>
  <threadedComment ref="F2773" dT="2024-12-02T09:17:44.96" personId="{98986A2A-739A-4851-A979-4B0D560C46CD}" id="{E010EAB9-5F66-4D5E-8D04-FBF181AD7D90}">
    <text>08 CAMAS, 2500€ alquiler, 2500€ fianza</text>
  </threadedComment>
  <threadedComment ref="F2775" dT="2026-07-03T08:31:04.30" personId="{98986A2A-739A-4851-A979-4B0D560C46CD}" id="{7747633C-0C70-49D4-AC01-0C2DD38107E4}">
    <text>2000 alquiler, 2000 fianza del piso (Carrer del Monestir de Poblet, 42, 1, Campanar, 46015 València), 04 camas</text>
  </threadedComment>
  <threadedComment ref="F2777" dT="2025-02-13T10:05:11.33" personId="{17D30B62-2123-41F1-B603-E5411FDFA3E0}" id="{2FC0DC7F-D0ED-4038-B0B4-AE0C94A3F101}">
    <text>Habitacion doble para trabajadores cant 1 Costo 60€/noche
Habitacion triple para trabajadores cant 3 Costo 75€/noche cada una
(camas separadas)</text>
  </threadedComment>
  <threadedComment ref="F2779" dT="2025-02-13T10:05:11.33" personId="{17D30B62-2123-41F1-B603-E5411FDFA3E0}" id="{457AF185-6D69-40C4-AE41-24213C80FC32}">
    <text>Habitacion doble para trabajadores cant 1 Costo 60€/noche
Habitacion triple para trabajadores cant 3 Costo 75€/noche cada una
(camas separadas)</text>
  </threadedComment>
  <threadedComment ref="F2780" dT="2025-06-25T14:37:51.43" personId="{98986A2A-739A-4851-A979-4B0D560C46CD}" id="{3E2FE9F0-0C12-4BE0-B073-E4587DF1B978}">
    <text xml:space="preserve">03 camas + 01 sofa cama. Alquiler 600€. Fianza 600€
</text>
  </threadedComment>
  <threadedComment ref="F2781" dT="2025-06-25T14:37:51.43" personId="{98986A2A-739A-4851-A979-4B0D560C46CD}" id="{D98B8C8D-40EA-47A3-A1DE-61E6CA271880}">
    <text xml:space="preserve">03 camas + 01 sofa cama. Alquiler 600€. Fianza 600€
</text>
  </threadedComment>
  <threadedComment ref="F2782" dT="2025-06-30T11:38:12.54" personId="{98986A2A-739A-4851-A979-4B0D560C46CD}" id="{0FEAAA42-2E24-4DEC-81FA-0073AE8477EA}">
    <text>Alquiler 700€, 02 camas, sin fianza</text>
  </threadedComment>
  <threadedComment ref="F2783" dT="2025-06-30T11:38:12.54" personId="{98986A2A-739A-4851-A979-4B0D560C46CD}" id="{258D2516-5E7F-4886-B582-9A7948450FD7}">
    <text>Alquiler 700€, 02 camas, sin fianza</text>
  </threadedComment>
  <threadedComment ref="F2784" dT="2025-02-10T17:07:43.06" personId="{17D30B62-2123-41F1-B603-E5411FDFA3E0}" id="{6A6D5C6D-456C-4722-B7B5-66A6BE1894C9}">
    <text>350€ por cada habitacion
350€ fianza</text>
  </threadedComment>
  <threadedComment ref="F2784" dT="2025-02-12T10:28:53.03" personId="{98986A2A-739A-4851-A979-4B0D560C46CD}" id="{21641ADC-76DE-4887-BDDD-FF61CDC9F524}" parentId="{6A6D5C6D-456C-4722-B7B5-66A6BE1894C9}">
    <text>04 habitaciones x 350 cu. Fianza 350 c/h Total 1400</text>
  </threadedComment>
  <threadedComment ref="F2784" dT="2025-02-12T10:41:29.61" personId="{98986A2A-739A-4851-A979-4B0D560C46CD}" id="{C59D120B-2460-4BFB-A647-36E9112D024C}" parentId="{6A6D5C6D-456C-4722-B7B5-66A6BE1894C9}">
    <text>Se adicionan 03 habitaciones 10/02 x 350 € c/u. Fianza 350€ c/u. Total 1050€fianza</text>
  </threadedComment>
  <threadedComment ref="F2785" dT="2026-05-20T08:56:43.03" personId="{4D8483EF-5A39-4E7B-A473-929EF5A077E1}" id="{E959FF42-443C-4A1E-A4D4-AC373FCEBAD6}">
    <text>(para 4 personas)</text>
  </threadedComment>
  <threadedComment ref="F2786" dT="2024-08-06T14:12:58.54" personId="{8BEA8CB1-BB33-44FC-A791-4439DE945680}" id="{20CADCE5-6196-4EE3-A0FC-7076B37200D1}">
    <text>Alquiler 1700, fianza 1700 6 CAMAS</text>
  </threadedComment>
  <threadedComment ref="F2786" dT="2025-01-16T18:23:38.41" personId="{98986A2A-739A-4851-A979-4B0D560C46CD}" id="{7D036674-1865-4A65-88DB-A114217BAD66}" parentId="{20CADCE5-6196-4EE3-A0FC-7076B37200D1}">
    <text>5 habitaciones</text>
  </threadedComment>
  <threadedComment ref="F2787" dT="2025-03-19T10:41:19.83" personId="{98986A2A-739A-4851-A979-4B0D560C46CD}" id="{8AB6158D-6CAF-4B5E-B46B-A945768B90D2}">
    <text>04 camas, 650€ alquiler</text>
  </threadedComment>
  <threadedComment ref="F2791" dT="2025-05-20T10:52:45.06" personId="{17D30B62-2123-41F1-B603-E5411FDFA3E0}" id="{9610ABBB-4191-400D-962E-FEFE8A68BACC}">
    <text>7 Habitaciones Dobles</text>
  </threadedComment>
  <threadedComment ref="F2792" dT="2025-05-20T10:52:45.06" personId="{17D30B62-2123-41F1-B603-E5411FDFA3E0}" id="{420B58F4-EB6C-46CA-9313-B339832F360D}">
    <text>7 Habitaciones Dobles</text>
  </threadedComment>
  <threadedComment ref="F2793" dT="2025-06-04T08:22:31.19" personId="{17D30B62-2123-41F1-B603-E5411FDFA3E0}" id="{7C353C79-B725-413C-8A39-C702071E8B58}">
    <text>2 Habitaciones Dobles</text>
  </threadedComment>
  <threadedComment ref="F2794" dT="2025-06-04T08:22:31.19" personId="{17D30B62-2123-41F1-B603-E5411FDFA3E0}" id="{9CF9BA46-B705-4EB0-A088-56F4B8BA2C8F}">
    <text>2 Habitaciones Dobles</text>
  </threadedComment>
  <threadedComment ref="F2795" dT="2025-06-04T08:22:31.19" personId="{17D30B62-2123-41F1-B603-E5411FDFA3E0}" id="{A764C11E-5A7A-47E7-84E6-08C79A84CF4C}">
    <text>2 Habitaciones Dobles</text>
  </threadedComment>
  <threadedComment ref="F2796" dT="2025-06-04T08:22:31.19" personId="{17D30B62-2123-41F1-B603-E5411FDFA3E0}" id="{06E90986-1C4E-4B7F-BD08-23527C338B6E}">
    <text>2 Habitaciones Dobles</text>
  </threadedComment>
  <threadedComment ref="F2800" dT="2025-07-17T10:32:37.00" personId="{98986A2A-739A-4851-A979-4B0D560C46CD}" id="{53A4E360-42D5-47A8-8C49-229BC0B27816}">
    <text>Alquiler 1500€+fianza 400€+limpieza 100€</text>
  </threadedComment>
  <threadedComment ref="F2801" dT="2025-07-17T10:32:37.00" personId="{98986A2A-739A-4851-A979-4B0D560C46CD}" id="{45B03AC3-4520-4C16-AA66-33C3C5F355D0}">
    <text>Alquiler 1500€+fianza 400€+limpieza 100€</text>
  </threadedComment>
  <threadedComment ref="F2802" dT="2025-07-17T10:32:37.00" personId="{98986A2A-739A-4851-A979-4B0D560C46CD}" id="{3B11651D-E8DF-47A6-82DD-7BDB6540FB2E}">
    <text>Alquiler 1500€+fianza 400€+limpieza 100€</text>
  </threadedComment>
  <threadedComment ref="F2803" dT="2025-07-24T07:39:46.03" personId="{98986A2A-739A-4851-A979-4B0D560C46CD}" id="{A7905C27-3813-4556-BEC1-C6326CFC0BD4}">
    <text>1800€ alquiler, 400€ fianza, 100€ limpieza, 04 camas</text>
  </threadedComment>
  <threadedComment ref="F2804" dT="2025-07-24T07:39:46.03" personId="{98986A2A-739A-4851-A979-4B0D560C46CD}" id="{C5C91E3C-3709-4F0D-9FD0-5606F383ADBD}">
    <text>1800€ alquiler, 400€ fianza, 100€ limpieza, 04 camas</text>
  </threadedComment>
  <threadedComment ref="F2805" dT="2025-07-24T07:39:46.03" personId="{98986A2A-739A-4851-A979-4B0D560C46CD}" id="{239445DE-3AE2-4209-8036-B85502A09E30}">
    <text>1800€ alquiler, 400€ fianza, 100€ limpieza, 04 camas</text>
  </threadedComment>
  <threadedComment ref="F2806" dT="2025-07-24T07:39:46.03" personId="{98986A2A-739A-4851-A979-4B0D560C46CD}" id="{5AC736A0-D56D-47E3-B959-05E2425BD2A0}">
    <text>1800€ alquiler, 400€ fianza, 100€ limpieza, 04 camas</text>
  </threadedComment>
  <threadedComment ref="F2809" dT="2025-02-26T12:24:18.65" personId="{98986A2A-739A-4851-A979-4B0D560C46CD}" id="{16F7C748-D9E7-434D-9415-D264D7F30F96}">
    <text xml:space="preserve">Alquiler 1150 , Fianza 2200  Camas 4
</text>
  </threadedComment>
  <threadedComment ref="F2813" dT="2025-05-07T16:05:06.87" personId="{17D30B62-2123-41F1-B603-E5411FDFA3E0}" id="{4933AB99-A2FE-4284-A503-35D1E0BA9C4D}">
    <text>Alojamiento para 6 Personas 3.750€</text>
  </threadedComment>
  <threadedComment ref="F2816" dT="2025-03-28T10:34:30.44" personId="{17D30B62-2123-41F1-B603-E5411FDFA3E0}" id="{861D648B-F216-47CF-8836-33B6DC314D15}">
    <text>Habitación 400 € Mes con servicios incluidos</text>
  </threadedComment>
  <threadedComment ref="F2817" dT="2026-07-23T06:30:58.09" personId="{4D8483EF-5A39-4E7B-A473-929EF5A077E1}" id="{F011DAA4-74C3-469A-82CF-963F7FD3990F}">
    <text xml:space="preserve">Alquiler 1500, 3 camas </text>
  </threadedComment>
  <threadedComment ref="F2817" dT="2026-08-24T09:16:29.24" personId="{E3C446A3-37B8-466B-82DA-8F7BAC7681F7}" id="{DA78BF4C-BCF7-478F-9EC9-1D1900B638C0}" parentId="{F011DAA4-74C3-469A-82CF-963F7FD3990F}">
    <text xml:space="preserve">01 habitación con 2 dos camas
01 cama en la sala
01 terraza </text>
  </threadedComment>
  <threadedComment ref="F2820" dT="2025-05-07T16:05:06.87" personId="{17D30B62-2123-41F1-B603-E5411FDFA3E0}" id="{04A56BC5-9AB3-4EC8-AD69-30569B5ACCE3}">
    <text>Alojamiento para 6 Personas 3.750€</text>
  </threadedComment>
  <threadedComment ref="F2821" dT="2025-05-07T16:05:06.87" personId="{17D30B62-2123-41F1-B603-E5411FDFA3E0}" id="{D96A9382-ED49-42DA-9AA2-D8D3265E4904}">
    <text>Alojamiento para 6 Personas 3.750€</text>
  </threadedComment>
  <threadedComment ref="F2822" dT="2025-07-03T15:20:44.71" personId="{98986A2A-739A-4851-A979-4B0D560C46CD}" id="{2615437B-1CA0-48C5-BB6B-E90449698B1A}">
    <text>04 CAMAS</text>
  </threadedComment>
  <threadedComment ref="F2823" dT="2025-07-03T15:20:44.71" personId="{98986A2A-739A-4851-A979-4B0D560C46CD}" id="{33574BFF-AC4A-465E-8611-1546F145C4FA}">
    <text>04 CAMAS</text>
  </threadedComment>
  <threadedComment ref="F2824" dT="2025-07-03T15:20:44.71" personId="{98986A2A-739A-4851-A979-4B0D560C46CD}" id="{948DC993-64B9-4C44-A58D-02E939BEB367}">
    <text>04 CAMAS</text>
  </threadedComment>
  <threadedComment ref="F2825" dT="2025-07-03T15:20:44.71" personId="{98986A2A-739A-4851-A979-4B0D560C46CD}" id="{686D43EC-7146-4119-B95D-7FFE3E445FB1}">
    <text>04 CAMAS</text>
  </threadedComment>
  <threadedComment ref="F2826" dT="2026-07-23T06:30:58.09" personId="{4D8483EF-5A39-4E7B-A473-929EF5A077E1}" id="{E0675D5D-DE4B-42F1-ADA2-278DF1511ECB}">
    <text xml:space="preserve">Alquiler 1500, 3 camas </text>
  </threadedComment>
  <threadedComment ref="F2826" dT="2026-08-24T09:16:29.24" personId="{E3C446A3-37B8-466B-82DA-8F7BAC7681F7}" id="{4BFA0584-ED88-462E-B35F-CDBBCF56A3AF}" parentId="{E0675D5D-DE4B-42F1-ADA2-278DF1511ECB}">
    <text xml:space="preserve">01 habitación con 2 dos camas
01 cama en la sala
01 terraza </text>
  </threadedComment>
  <threadedComment ref="F2827" dT="2025-03-03T08:16:57.36" personId="{17D30B62-2123-41F1-B603-E5411FDFA3E0}" id="{5EC495C7-589A-4AA8-A502-00D3F05A0BE2}">
    <text>2 Camas Alquiler 1300</text>
  </threadedComment>
  <threadedComment ref="F2830" dT="2025-08-21T06:57:34.18" personId="{17D30B62-2123-41F1-B603-E5411FDFA3E0}" id="{D6C59B17-DDAE-42EE-90A2-8EB57CFC0370}">
    <text>4 camas, Alquiler 800€</text>
  </threadedComment>
  <threadedComment ref="F2836" dT="2025-02-10T17:07:43.06" personId="{17D30B62-2123-41F1-B603-E5411FDFA3E0}" id="{7EA1C98D-0D20-434E-B535-447B9D80CBAA}">
    <text>350€ por cada habitacion
350€ fianza</text>
  </threadedComment>
  <threadedComment ref="F2836" dT="2025-02-12T10:28:53.03" personId="{98986A2A-739A-4851-A979-4B0D560C46CD}" id="{00C4EE77-A8A2-4AF8-AE28-13C55512DC1D}" parentId="{7EA1C98D-0D20-434E-B535-447B9D80CBAA}">
    <text>04 habitaciones x 350 cu. Fianza 350 c/h Total 1400</text>
  </threadedComment>
  <threadedComment ref="F2836" dT="2025-02-12T10:41:29.61" personId="{98986A2A-739A-4851-A979-4B0D560C46CD}" id="{815CC892-43F2-48F5-AF32-B442E378B650}" parentId="{7EA1C98D-0D20-434E-B535-447B9D80CBAA}">
    <text>Se adicionan 03 habitaciones 10/02 x 350 € c/u. Fianza 350€ c/u. Total 1050€fianza</text>
  </threadedComment>
  <threadedComment ref="F2836" dT="2025-05-22T09:11:24.36" personId="{17D30B62-2123-41F1-B603-E5411FDFA3E0}" id="{0DAD4C91-85CB-4E0C-9190-D4D94440C99B}" parentId="{7EA1C98D-0D20-434E-B535-447B9D80CBAA}">
    <text>Se adicionan 2 Habitaciones el día 23/05 por valor de  350€ C/U + 350€ fianzas C/U. Total 700€ fianza.</text>
  </threadedComment>
  <threadedComment ref="F2837" dT="2025-02-13T10:05:11.33" personId="{17D30B62-2123-41F1-B603-E5411FDFA3E0}" id="{5A467F46-2CCA-43E4-970E-3634B6EFBBE2}">
    <text>Alquiler 1000€ Fianza 1000€ 4 camas</text>
  </threadedComment>
  <threadedComment ref="F2838" dT="2025-02-13T10:05:11.33" personId="{17D30B62-2123-41F1-B603-E5411FDFA3E0}" id="{D8A7BC53-37F0-4F9B-89FF-0F18A8546EF4}">
    <text>Alquiler 1000€ Fianza 1000€ 4 camas</text>
  </threadedComment>
  <threadedComment ref="F2840" dT="2025-02-13T10:05:11.33" personId="{17D30B62-2123-41F1-B603-E5411FDFA3E0}" id="{3B558F00-76E4-45B6-83FD-96AF7CFB10FA}">
    <text>1650€/Alquiler
1650€/Fianza
5 camas</text>
  </threadedComment>
  <threadedComment ref="F2841" dT="2025-02-13T10:05:11.33" personId="{17D30B62-2123-41F1-B603-E5411FDFA3E0}" id="{960DD529-A319-4F20-9ABB-E542970C03C2}">
    <text>1650€/Alquiler
1650€/Fianza
5 camas</text>
  </threadedComment>
  <threadedComment ref="F2842" dT="2025-02-13T10:05:11.33" personId="{17D30B62-2123-41F1-B603-E5411FDFA3E0}" id="{D3B328BF-AB61-4DF0-B480-A8CF50ECE304}">
    <text>4 Habitaciones 5 camas 1 sofá</text>
  </threadedComment>
  <threadedComment ref="F2842" dT="2025-11-07T07:08:43.68" personId="{98986A2A-739A-4851-A979-4B0D560C46CD}" id="{E4642603-9B86-4609-ABB8-9FDF3EB20BB2}" parentId="{D3B328BF-AB61-4DF0-B480-A8CF50ECE304}">
    <text>875,50 alquiler</text>
  </threadedComment>
  <threadedComment ref="F2842" dT="2026-08-19T09:16:29.54" personId="{E3C446A3-37B8-466B-82DA-8F7BAC7681F7}" id="{68874644-6569-4B7A-B1E2-87B34235A90A}" parentId="{D3B328BF-AB61-4DF0-B480-A8CF50ECE304}">
    <text>FIANZA 1700€</text>
  </threadedComment>
  <threadedComment ref="F2843" dT="2025-05-21T14:08:11.69" personId="{17D30B62-2123-41F1-B603-E5411FDFA3E0}" id="{7F2D3845-ED27-4C91-BA75-98D9CB27BB83}">
    <text>Habitación  1- 360€ alquiler + 55€ suministros (235€ parte proporcional mayo)
             500€ fianza</text>
  </threadedComment>
  <threadedComment ref="F2844" dT="2025-03-03T18:16:08.96" personId="{98986A2A-739A-4851-A979-4B0D560C46CD}" id="{9BE05512-C719-4F56-BBA2-8E5606BEADC0}">
    <text>03 camas, 1500€ alquiler, 600€ fianza</text>
  </threadedComment>
  <threadedComment ref="F2845" dT="2025-02-13T10:05:11.33" personId="{17D30B62-2123-41F1-B603-E5411FDFA3E0}" id="{F16AE2A5-AFB6-47AB-B3F5-84E469A365F8}">
    <text>Habitacion doble para trabajadores cant 1 Costo 60€/noche
Habitacion triple para trabajadores cant 3 Costo 75€/noche cada una
(camas separadas)</text>
  </threadedComment>
  <threadedComment ref="F2846" dT="2025-06-04T08:22:31.19" personId="{17D30B62-2123-41F1-B603-E5411FDFA3E0}" id="{AB0028CA-1815-4534-BA6F-DF8A3A97FD3E}">
    <text>2 Habitaciones Dobles</text>
  </threadedComment>
  <threadedComment ref="F2848" dT="2025-02-13T10:05:11.33" personId="{17D30B62-2123-41F1-B603-E5411FDFA3E0}" id="{04B95037-BB3A-4DD8-8256-9D08E8578EFA}">
    <text xml:space="preserve">Alquiler 1300, Fianza 1300, 3 camas </text>
  </threadedComment>
  <threadedComment ref="F2848" dT="2026-08-24T09:27:41.06" personId="{E3C446A3-37B8-466B-82DA-8F7BAC7681F7}" id="{7AF40786-217B-4483-9840-DFE007112DB3}" parentId="{04B95037-BB3A-4DD8-8256-9D08E8578EFA}">
    <text>01 habitación individual
01 habitación 02 camas
01 cama en la sala (cajón)</text>
  </threadedComment>
  <threadedComment ref="F2849" dT="2025-02-25T17:38:25.86" personId="{98986A2A-739A-4851-A979-4B0D560C46CD}" id="{0F610A30-0E41-4668-AFBE-7720DAFF7275}">
    <text xml:space="preserve">Alquiler 1600 Fianza 1600 camas 5
</text>
  </threadedComment>
  <threadedComment ref="F2867" dT="2024-12-07T09:48:49.17" personId="{98986A2A-739A-4851-A979-4B0D560C46CD}" id="{6E2DE739-1A8A-4794-A670-6EA0D2628F55}">
    <text>ALQUILER 580, FIANZA 580, 4 CAMAS. Contrato pago hasta Febrero</text>
  </threadedComment>
  <threadedComment ref="F2868" dT="2025-02-13T10:05:11.33" personId="{17D30B62-2123-41F1-B603-E5411FDFA3E0}" id="{D78FAB0B-CB16-4D08-A1F4-FD5FFA78954C}">
    <text>1650€/Alquiler
1650€/Fianza
5 camas</text>
  </threadedComment>
  <threadedComment ref="F2869" dT="2025-02-13T10:05:11.33" personId="{17D30B62-2123-41F1-B603-E5411FDFA3E0}" id="{19C6AC16-484A-42FA-B20E-A9E5239EB6F7}">
    <text>Habitacion doble para trabajadores cant 1 Costo 60€/noche
Habitacion triple para trabajadores cant 3 Costo 75€/noche cada una
(camas separadas)</text>
  </threadedComment>
  <threadedComment ref="F2875" dT="2025-02-28T16:33:14.39" personId="{17D30B62-2123-41F1-B603-E5411FDFA3E0}" id="{896D578D-79AD-4824-B003-6EEBBDCABA3F}">
    <text xml:space="preserve">Alquiler 1200 Fianza 1200 5 camas </text>
  </threadedComment>
  <threadedComment ref="F2876" dT="2025-03-17T16:31:33.41" personId="{98986A2A-739A-4851-A979-4B0D560C46CD}" id="{92114F88-9285-4CF4-A13D-41FDEC635D9F}">
    <text>05 CAMAS, 2200€ ALQUILER, N/A APLICA</text>
  </threadedComment>
  <threadedComment ref="F2888" dT="2025-10-30T14:37:57.92" personId="{4D8483EF-5A39-4E7B-A473-929EF5A077E1}" id="{ECAE9F78-5CE9-4582-8714-6D62699D2808}">
    <text>3 Camas Alquiler 1500€ Fianza 1500€</text>
  </threadedComment>
  <threadedComment ref="F2888" dT="2026-08-24T09:02:55.66" personId="{E3C446A3-37B8-466B-82DA-8F7BAC7681F7}" id="{0FB348D2-F4E8-4E11-8CFB-0121E528455E}" parentId="{ECAE9F78-5CE9-4582-8714-6D62699D2808}">
    <text>01 habitación con 2 camas
01 cama en la sala
01 terraza</text>
  </threadedComment>
  <threadedComment ref="F2889" dT="2025-02-26T14:56:43.99" personId="{17D30B62-2123-41F1-B603-E5411FDFA3E0}" id="{1D82E2AB-2AF6-4370-9AE7-5488E681B680}">
    <text>Alojamiento para 9 personas.
 3 apartamentos triples (101-102-121)</text>
  </threadedComment>
  <threadedComment ref="F2889" dT="2025-10-14T10:02:06.67" personId="{4D8483EF-5A39-4E7B-A473-929EF5A077E1}" id="{6B730EFA-B6C0-4786-AEC6-1B95E00447AD}" parentId="{1D82E2AB-2AF6-4370-9AE7-5488E681B680}">
    <text xml:space="preserve">Alojamiento para 6 personas.
 2 apartamentos triples </text>
  </threadedComment>
  <threadedComment ref="F2896" dT="2025-02-25T14:27:09.00" personId="{98986A2A-739A-4851-A979-4B0D560C46CD}" id="{987E8A30-783F-499B-8E61-F151EABBE109}">
    <text>03 CAMAS, 1450€ ALQUILER, 600€ FIANZA. SE PAGO MARZO</text>
  </threadedComment>
  <threadedComment ref="F2897" dT="2024-06-05T10:13:18.67" personId="{98986A2A-739A-4851-A979-4B0D560C46CD}" id="{A636EDFA-B1C4-4833-8260-2FC8E06F5920}">
    <text xml:space="preserve">4 habitaciones, 2000€ ALQUILER
</text>
  </threadedComment>
  <threadedComment ref="F2898" dT="2025-03-21T07:56:23.33" personId="{98986A2A-739A-4851-A979-4B0D560C46CD}" id="{0424AAAF-E880-41B5-BD71-071CAFA62D17}">
    <text>05 camas</text>
  </threadedComment>
  <threadedComment ref="F2899" dT="2025-03-21T07:56:23.33" personId="{98986A2A-739A-4851-A979-4B0D560C46CD}" id="{621BF81A-F461-4F28-8E04-DA3A692878EF}">
    <text>05 camas</text>
  </threadedComment>
  <threadedComment ref="F2900" dT="2024-07-08T10:22:06.21" personId="{98986A2A-739A-4851-A979-4B0D560C46CD}" id="{CC74E1C4-3D27-4A8A-900D-962EAF874615}">
    <text>1650 FIANZA, 1200 ALQUILER,4 habitaciones</text>
  </threadedComment>
  <threadedComment ref="F2901" dT="2024-07-08T10:22:06.21" personId="{98986A2A-739A-4851-A979-4B0D560C46CD}" id="{3FB2BB9B-27E5-4EE2-8034-23A8631D730F}">
    <text>1650 FIANZA, 1200 ALQUILER,4 habitaciones</text>
  </threadedComment>
  <threadedComment ref="F2910" dT="2025-02-13T10:05:11.33" personId="{17D30B62-2123-41F1-B603-E5411FDFA3E0}" id="{7669439E-10AA-401E-A7DB-524B370E1C45}">
    <text>Habitacion doble para trabajadores cant 1 Costo 60€/noche
Habitacion triple para trabajadores cant 3 Costo 75€/noche cada una
(camas separadas)</text>
  </threadedComment>
  <threadedComment ref="F2912" dT="2025-05-20T10:52:45.06" personId="{17D30B62-2123-41F1-B603-E5411FDFA3E0}" id="{0EA6BDB2-5720-4335-99D8-044474D95CF6}">
    <text>4 Habitaciones Dobles</text>
  </threadedComment>
  <threadedComment ref="F2913" dT="2025-05-20T10:52:45.06" personId="{17D30B62-2123-41F1-B603-E5411FDFA3E0}" id="{CA10A2CC-F981-490D-B0B4-65A934EEF9CD}">
    <text>4 Habitaciones Dobles</text>
  </threadedComment>
  <threadedComment ref="F2914" dT="2025-05-20T10:52:45.06" personId="{17D30B62-2123-41F1-B603-E5411FDFA3E0}" id="{A1984988-95EE-4118-ACBC-5980F5562E5F}">
    <text>4 Habitaciones Dobles</text>
  </threadedComment>
  <threadedComment ref="F2922" dT="2025-07-02T13:20:25.40" personId="{98986A2A-739A-4851-A979-4B0D560C46CD}" id="{362C20A7-90B4-4BB0-A9F9-1DB6141830D1}">
    <text>ALQUILER 1400€, FIANZA 1400€ , 06 CAMAS</text>
  </threadedComment>
  <threadedComment ref="F2929" dT="2025-02-13T10:05:11.33" personId="{17D30B62-2123-41F1-B603-E5411FDFA3E0}" id="{2EFF9D21-0F68-40CB-9562-73E5C99A3566}">
    <text>Habitacion doble para trabajadores cant 1 Costo 60€/noche
Habitacion triple para trabajadores cant 3 Costo 75€/noche cada una
(camas separadas)</text>
  </threadedComment>
  <threadedComment ref="F2930" dT="2025-02-13T10:05:11.33" personId="{17D30B62-2123-41F1-B603-E5411FDFA3E0}" id="{595458F1-D20F-4520-8F48-EDE0FD0166CE}">
    <text>Habitacion doble para trabajadores cant 1 Costo 60€/noche
Habitacion triple para trabajadores cant 3 Costo 75€/noche cada una
(camas separadas)</text>
  </threadedComment>
  <threadedComment ref="F2933" dT="2025-07-03T17:00:32.63" personId="{98986A2A-739A-4851-A979-4B0D560C46CD}" id="{BB14C389-23D8-4A0A-86CE-78C88F5527C7}">
    <text xml:space="preserve">1400€ ALQUILER, 5 CAMAS
</text>
  </threadedComment>
  <threadedComment ref="F2934" dT="2025-02-24T10:19:28.57" personId="{98986A2A-739A-4851-A979-4B0D560C46CD}" id="{E9F8B5D1-8A9C-4785-AA7A-962EBA26591D}">
    <text>06 camas</text>
  </threadedComment>
  <threadedComment ref="F2935" dT="2025-02-24T10:19:28.57" personId="{98986A2A-739A-4851-A979-4B0D560C46CD}" id="{5CB27764-97E9-492E-AE28-0FAE25F40941}">
    <text>06 camas</text>
  </threadedComment>
  <threadedComment ref="F2936" dT="2025-05-20T10:52:45.06" personId="{17D30B62-2123-41F1-B603-E5411FDFA3E0}" id="{2F0FC940-297B-4525-8DB5-A840D4C35C98}">
    <text>4 Habitaciones Dobles</text>
  </threadedComment>
  <threadedComment ref="F2937" dT="2025-03-11T10:10:52.28" personId="{98986A2A-739A-4851-A979-4B0D560C46CD}" id="{ED71820C-CA45-4F67-94D7-C585F7D00A21}">
    <text xml:space="preserve">6 camas, alquiler 1.450€ + Servicio de Limpieza 302,50€ =TOTAL 1.752,50€. Fianza 950€
</text>
  </threadedComment>
  <threadedComment ref="F2938" dT="2025-02-13T10:05:11.33" personId="{17D30B62-2123-41F1-B603-E5411FDFA3E0}" id="{536E75DE-BB77-49B4-B35B-3D5E8633F401}">
    <text>Habitacion doble para trabajadores cant 1 Costo 60€/noche
Habitacion triple para trabajadores cant 3 Costo 75€/noche cada una
(camas separadas)</text>
  </threadedComment>
  <threadedComment ref="F2939" dT="2025-02-13T10:05:11.33" personId="{17D30B62-2123-41F1-B603-E5411FDFA3E0}" id="{D12B8A3A-3CA9-4ED1-9FFF-297D03E49CAD}">
    <text xml:space="preserve">695€Alquiler
695€ Fianza
4 camas </text>
  </threadedComment>
  <threadedComment ref="F2945" dT="2025-02-13T10:05:11.33" personId="{17D30B62-2123-41F1-B603-E5411FDFA3E0}" id="{EE2629D4-5963-4B0C-89ED-3F59F844E5E1}">
    <text>Habitacion doble para trabajadores cant 1 Costo 60€/noche
Habitacion triple para trabajadores cant 3 Costo 75€/noche cada una
(camas separadas)</text>
  </threadedComment>
  <threadedComment ref="F2946" dT="2025-02-13T10:05:11.33" personId="{17D30B62-2123-41F1-B603-E5411FDFA3E0}" id="{0E9F85D9-5BDC-41AC-985B-94494DED14F6}">
    <text>Habitacion doble para trabajadores cant 1 Costo 60€/noche
Habitacion triple para trabajadores cant 3 Costo 75€/noche cada una
(camas separadas)</text>
  </threadedComment>
  <threadedComment ref="F2947" dT="2025-07-03T17:00:32.63" personId="{98986A2A-739A-4851-A979-4B0D560C46CD}" id="{E874C7C2-99FF-43D8-BEE6-FBCD8F6CFD2D}">
    <text xml:space="preserve">1400€ ALQUILER, 5 CAMAS
</text>
  </threadedComment>
  <threadedComment ref="F2948" dT="2025-02-24T10:19:28.57" personId="{98986A2A-739A-4851-A979-4B0D560C46CD}" id="{9F13A78A-2420-4EE2-84B4-67E3DAE4C109}">
    <text>06 camas</text>
  </threadedComment>
  <threadedComment ref="F2950" dT="2025-02-25T08:59:29.51" personId="{98986A2A-739A-4851-A979-4B0D560C46CD}" id="{F928BF28-4ABC-4F43-9560-5494BA94E0E8}">
    <text>04 camas, 550€ alquiler, 550€ fianza</text>
  </threadedComment>
  <threadedComment ref="F2951" dT="2025-02-25T08:59:29.51" personId="{98986A2A-739A-4851-A979-4B0D560C46CD}" id="{19C7FD53-15BE-4E36-9F0E-36D395C9D55D}">
    <text>04 camas, 550€ alquiler, 550€ fianza</text>
  </threadedComment>
  <threadedComment ref="F2952" dT="2025-02-25T08:59:29.51" personId="{98986A2A-739A-4851-A979-4B0D560C46CD}" id="{1952299A-2AD6-46BA-9734-FF7D2EC082DA}">
    <text>04 camas, 550€ alquiler, 550€ fianza</text>
  </threadedComment>
  <threadedComment ref="F2958" dT="2025-03-10T14:58:16.62" personId="{17D30B62-2123-41F1-B603-E5411FDFA3E0}" id="{1B9F3649-A18B-4DE9-8D14-1BC9DFA93641}">
    <text>4 Camas  Alquiler 680 fianza1.360</text>
  </threadedComment>
  <threadedComment ref="F2959" dT="2025-03-10T14:58:16.62" personId="{17D30B62-2123-41F1-B603-E5411FDFA3E0}" id="{1BAF5650-91C6-4C9F-A0C8-631450BB5547}">
    <text>4 Camas  Alquiler 680 fianza1.360</text>
  </threadedComment>
  <threadedComment ref="F2960" dT="2024-06-25T09:14:46.90" personId="{98986A2A-739A-4851-A979-4B0D560C46CD}" id="{D9E765B2-9151-48D1-B1A5-2B07D78FE681}">
    <text>Fianza 1000, alquiler 1250, 05 camas. Nuevo Contrato Febrero 2025</text>
  </threadedComment>
  <threadedComment ref="F2961" dT="2024-06-25T09:14:46.90" personId="{98986A2A-739A-4851-A979-4B0D560C46CD}" id="{1B911595-6688-4548-9AB5-DE3139F56848}">
    <text>Fianza 1000, alquiler 1250, 05 camas. Nuevo Contrato Febrero 2025</text>
  </threadedComment>
  <threadedComment ref="F2962" dT="2024-06-25T09:14:46.90" personId="{98986A2A-739A-4851-A979-4B0D560C46CD}" id="{8ED27AAD-A3C5-45B1-BE60-DFD4FBFDEE8D}">
    <text>Fianza 1000, alquiler 1250, 05 camas. Nuevo Contrato Febrero 2025</text>
  </threadedComment>
  <threadedComment ref="F2963" dT="2024-06-25T09:14:46.90" personId="{98986A2A-739A-4851-A979-4B0D560C46CD}" id="{E8250900-9BD1-444A-9DB8-473E7806103D}">
    <text>Fianza 1000, alquiler 1250, 05 camas. Nuevo Contrato Febrero 2025</text>
  </threadedComment>
  <threadedComment ref="F2964" dT="2024-06-25T09:14:46.90" personId="{98986A2A-739A-4851-A979-4B0D560C46CD}" id="{FD0BD98E-6066-4E31-9D9C-7A52C8C25462}">
    <text>Fianza 1000, alquiler 1250, 05 camas. Nuevo Contrato Febrero 2025</text>
  </threadedComment>
  <threadedComment ref="F2966" dT="2025-02-26T14:29:45.42" personId="{17D30B62-2123-41F1-B603-E5411FDFA3E0}" id="{C36EAF0C-7A35-4C77-BA6D-424F955F28CD}">
    <text>9 Camas, Alquiler 2300€, Fianza 700€</text>
  </threadedComment>
  <threadedComment ref="F2966" dT="2026-01-21T15:11:00.84" personId="{4D8483EF-5A39-4E7B-A473-929EF5A077E1}" id="{D8252858-494C-4484-A3D2-7411C062D817}" parentId="{C36EAF0C-7A35-4C77-BA6D-424F955F28CD}">
    <text xml:space="preserve">Descuento a 2000€ </text>
  </threadedComment>
  <threadedComment ref="F2971" dT="2025-07-03T17:00:32.63" personId="{98986A2A-739A-4851-A979-4B0D560C46CD}" id="{AD115D50-8248-4909-809C-1683D991A668}">
    <text xml:space="preserve">1400€ ALQUILER, 5 CAMAS
</text>
  </threadedComment>
  <threadedComment ref="F2973" dT="2025-05-21T11:38:21.41" personId="{17D30B62-2123-41F1-B603-E5411FDFA3E0}" id="{29AFEDF2-7793-43FC-A507-59830E75DD63}">
    <text xml:space="preserve">3 Habitaciones  5 Camas Alquiler 1.100€ + limpieza 100€ </text>
  </threadedComment>
  <threadedComment ref="F2974" dT="2025-05-21T11:38:21.41" personId="{17D30B62-2123-41F1-B603-E5411FDFA3E0}" id="{C7D8C960-0492-4A58-9284-136E196BF8A8}">
    <text xml:space="preserve">3 Habitaciones  5 Camas Alquiler 1.100€ + limpieza 100€ </text>
  </threadedComment>
  <threadedComment ref="F2975" dT="2025-05-21T11:38:21.41" personId="{17D30B62-2123-41F1-B603-E5411FDFA3E0}" id="{B29A54B8-A462-474D-8D56-E40E25D7180C}">
    <text xml:space="preserve">3 Habitaciones  5 Camas Alquiler 1.100€ + limpieza 100€ </text>
  </threadedComment>
  <threadedComment ref="F2976" dT="2025-05-21T11:38:21.41" personId="{17D30B62-2123-41F1-B603-E5411FDFA3E0}" id="{16AE4510-DE6A-412A-89D7-2F7B85C905CE}">
    <text xml:space="preserve">3 Habitaciones  5 Camas Alquiler 1.100€ + limpieza 100€ </text>
  </threadedComment>
  <threadedComment ref="F2977" dT="2025-05-21T11:38:21.41" personId="{17D30B62-2123-41F1-B603-E5411FDFA3E0}" id="{FDE6287D-4D52-42B1-80BB-D92290B7790A}">
    <text xml:space="preserve">3 Habitaciones  5 Camas Alquiler 1.100€ + limpieza 100€ </text>
  </threadedComment>
  <threadedComment ref="F2980" dT="2025-02-13T10:05:11.33" personId="{17D30B62-2123-41F1-B603-E5411FDFA3E0}" id="{0822C4F1-6611-40F0-9DEC-7721FB2CCA64}">
    <text>2 Habitaciones de 350€ y                   1 Habitación de 375€</text>
  </threadedComment>
  <threadedComment ref="F2982" dT="2025-02-10T17:07:43.06" personId="{17D30B62-2123-41F1-B603-E5411FDFA3E0}" id="{4F11D80E-6B97-4C74-9D4A-FC444E13AF77}">
    <text>350€ por cada habitacion
350€ fianza</text>
  </threadedComment>
  <threadedComment ref="F2982" dT="2025-02-12T10:28:53.03" personId="{98986A2A-739A-4851-A979-4B0D560C46CD}" id="{ED994478-53BD-4E73-A75C-0F4FC66E16F3}" parentId="{4F11D80E-6B97-4C74-9D4A-FC444E13AF77}">
    <text>04 habitaciones x 350 cu. Fianza 350 c/h Total 1400</text>
  </threadedComment>
  <threadedComment ref="F2982" dT="2025-02-12T10:41:29.61" personId="{98986A2A-739A-4851-A979-4B0D560C46CD}" id="{24123DF9-BB97-465D-BB1E-93F30B00E070}" parentId="{4F11D80E-6B97-4C74-9D4A-FC444E13AF77}">
    <text>Se adicionan 03 habitaciones 10/02 x 350 € c/u. Fianza 350€ c/u. Total 1050€fianza</text>
  </threadedComment>
  <threadedComment ref="F2983" dT="2025-03-10T14:58:16.62" personId="{17D30B62-2123-41F1-B603-E5411FDFA3E0}" id="{BF8147F4-8EC2-4BC5-9E46-31889505C8DB}">
    <text>4 Camas  Alquiler 635 fianza1.270</text>
  </threadedComment>
  <threadedComment ref="F2984" dT="2025-02-25T08:01:07.95" personId="{98986A2A-739A-4851-A979-4B0D560C46CD}" id="{43B1CEF7-673F-4A54-8318-ED5845EA086F}">
    <text>03 camas, 1300€ alquiler, 200€ fianza</text>
  </threadedComment>
  <threadedComment ref="F2985" dT="2025-03-10T14:58:16.62" personId="{17D30B62-2123-41F1-B603-E5411FDFA3E0}" id="{06474BC7-A665-40E9-97BC-9D2651C118F0}">
    <text>4 Camas  Alquiler 635 fianza1.270</text>
  </threadedComment>
  <threadedComment ref="F2986" dT="2025-03-10T14:58:16.62" personId="{17D30B62-2123-41F1-B603-E5411FDFA3E0}" id="{C34854FC-2B38-414E-A9FF-93F39AD121DF}">
    <text>4 Camas  Alquiler 635 fianza1.270</text>
  </threadedComment>
  <threadedComment ref="F2987" dT="2025-07-02T13:20:25.40" personId="{98986A2A-739A-4851-A979-4B0D560C46CD}" id="{F619EEF3-329D-45AB-870F-8FE199C5E147}">
    <text>ALQUILER 1400€, FIANZA 1400€ , 06 CAMAS</text>
  </threadedComment>
  <threadedComment ref="F2988" dT="2025-07-02T13:20:25.40" personId="{98986A2A-739A-4851-A979-4B0D560C46CD}" id="{DC361676-C221-4596-A012-E1D61ADD7B2D}">
    <text>ALQUILER 1400€, FIANZA 1400€ , 06 CAMAS</text>
  </threadedComment>
  <threadedComment ref="F2989" dT="2025-03-03T08:17:57.83" personId="{98986A2A-739A-4851-A979-4B0D560C46CD}" id="{CA0DC513-8609-48CB-AED7-B7EAA2F5D8FF}">
    <text xml:space="preserve">340€ ALQULER + 55€ SUMINISTROS =395€ TOTAL. 500 FIANZA
</text>
  </threadedComment>
  <threadedComment ref="F2990" dT="2025-03-03T08:16:57.36" personId="{17D30B62-2123-41F1-B603-E5411FDFA3E0}" id="{292F3CC5-FDDD-44E9-B962-72207A38172C}">
    <text>2 Camas Alquiler 1300</text>
  </threadedComment>
  <threadedComment ref="F2992" dT="2024-08-27T13:30:26.82" personId="{8BEA8CB1-BB33-44FC-A791-4439DE945680}" id="{BB95BA19-79CD-4FFF-9EB2-AA3FF132D0A3}">
    <text>ALQUILER 1000 FIANZA 300 CAMAS 3</text>
  </threadedComment>
  <threadedComment ref="F2992" dT="2025-02-03T16:51:01.90" personId="{98986A2A-739A-4851-A979-4B0D560C46CD}" id="{F06FD858-DECD-4697-8E21-442B2329123B}" parentId="{BB95BA19-79CD-4FFF-9EB2-AA3FF132D0A3}">
    <text>Alquiler 1200€, fianza 300€, 04 camas</text>
  </threadedComment>
  <threadedComment ref="F2993" dT="2024-08-27T13:30:26.82" personId="{8BEA8CB1-BB33-44FC-A791-4439DE945680}" id="{5CBC1DFF-3CE5-4E14-A34B-355A3D74029B}">
    <text>ALQUILER 1000 FIANZA 300 CAMAS 3</text>
  </threadedComment>
  <threadedComment ref="F2993" dT="2025-02-03T16:51:01.90" personId="{98986A2A-739A-4851-A979-4B0D560C46CD}" id="{572E1D00-FDE8-4FBC-ADF2-1CFA19B11BA0}" parentId="{5CBC1DFF-3CE5-4E14-A34B-355A3D74029B}">
    <text>Alquiler 1200€, fianza 300€, 04 camas</text>
  </threadedComment>
  <threadedComment ref="F2994" dT="2025-05-08T08:33:13.71" personId="{17D30B62-2123-41F1-B603-E5411FDFA3E0}" id="{5C24C4EA-DF8E-45B8-B8A5-8B140059CF71}">
    <text>Fianza     550€  ,Alquiler 550€   </text>
  </threadedComment>
  <threadedComment ref="F2995" dT="2024-11-05T09:17:59.63" personId="{17D30B62-2123-41F1-B603-E5411FDFA3E0}" id="{CB29E387-5837-4683-98C6-6CF96F2BA574}">
    <text>Alquiler 1400  Fianza 2800 Camas 6</text>
  </threadedComment>
  <threadedComment ref="F2995" dT="2024-12-30T10:06:22.23" personId="{98986A2A-739A-4851-A979-4B0D560C46CD}" id="{27B44151-5EF0-4F59-8390-E2202B2211CD}" parentId="{CB29E387-5837-4683-98C6-6CF96F2BA574}">
    <text>+01 cama Kotrik llevada 28/12</text>
  </threadedComment>
  <threadedComment ref="F2996" dT="2024-11-05T09:17:59.63" personId="{17D30B62-2123-41F1-B603-E5411FDFA3E0}" id="{0BA38D9C-0C16-4266-8484-AB94D73D5E6C}">
    <text>Alquiler 1400  Fianza 2800 Camas 6</text>
  </threadedComment>
  <threadedComment ref="F2996" dT="2024-12-30T10:06:22.23" personId="{98986A2A-739A-4851-A979-4B0D560C46CD}" id="{6417C419-CF27-4835-A178-814100BF234E}" parentId="{0BA38D9C-0C16-4266-8484-AB94D73D5E6C}">
    <text>+01 cama Kotrik llevada 28/12</text>
  </threadedComment>
  <threadedComment ref="F2999" dT="2024-08-27T13:30:26.82" personId="{8BEA8CB1-BB33-44FC-A791-4439DE945680}" id="{E8642BDC-BD0F-473A-BE6D-D82A95E48598}">
    <text>ALQUILER 1000 FIANZA 300 CAMAS 3</text>
  </threadedComment>
  <threadedComment ref="F2999" dT="2025-02-03T16:51:01.90" personId="{98986A2A-739A-4851-A979-4B0D560C46CD}" id="{07A54928-E705-49C2-A564-3F9F6F1039A0}" parentId="{E8642BDC-BD0F-473A-BE6D-D82A95E48598}">
    <text>Alquiler 1200€, fianza 300€, 04 camas</text>
  </threadedComment>
  <threadedComment ref="F3000" dT="2024-08-27T13:30:26.82" personId="{8BEA8CB1-BB33-44FC-A791-4439DE945680}" id="{B5DA7392-ACD4-4E93-804C-A36A058A0D1F}">
    <text>ALQUILER 1000 FIANZA 300 CAMAS 3</text>
  </threadedComment>
  <threadedComment ref="F3000" dT="2025-02-03T16:51:01.90" personId="{98986A2A-739A-4851-A979-4B0D560C46CD}" id="{B320EC30-B615-4605-B665-D5561EC08A98}" parentId="{B5DA7392-ACD4-4E93-804C-A36A058A0D1F}">
    <text>Alquiler 1200€, fianza 300€, 04 camas</text>
  </threadedComment>
  <threadedComment ref="F3001" dT="2025-03-24T10:15:02.97" personId="{17D30B62-2123-41F1-B603-E5411FDFA3E0}" id="{3D5CC75F-0046-408A-B6C8-38111BAB9836}">
    <text>400€ Por persona alquiler mes, Fianza 500€, 5 Camas.</text>
  </threadedComment>
  <threadedComment ref="F3002" dT="2025-05-20T10:52:45.06" personId="{17D30B62-2123-41F1-B603-E5411FDFA3E0}" id="{E7366E81-49AC-49D0-9C17-A46F15D3F86E}">
    <text>4 Habitaciones Dobles</text>
  </threadedComment>
  <threadedComment ref="F3003" dT="2025-03-24T10:15:02.97" personId="{17D30B62-2123-41F1-B603-E5411FDFA3E0}" id="{299EDD2E-944E-4192-A51E-C348B337E0E9}">
    <text>400€ Por persona alquiler mes, Fianza 500€, 5 Camas.</text>
  </threadedComment>
  <threadedComment ref="F3004" dT="2025-05-20T10:52:45.06" personId="{17D30B62-2123-41F1-B603-E5411FDFA3E0}" id="{31CA74C1-33BA-4898-8B39-4BF848991857}">
    <text>4 Habitaciones Dobles</text>
  </threadedComment>
  <threadedComment ref="F3005" dT="2025-04-29T17:02:27.40" personId="{17D30B62-2123-41F1-B603-E5411FDFA3E0}" id="{1DCA0481-CED4-4C23-AB66-E773FD2D8515}">
    <text xml:space="preserve">Alquiler 1.800€ Fianza 500€ -4 Camas </text>
  </threadedComment>
  <threadedComment ref="F3006" dT="2025-08-21T06:57:34.18" personId="{17D30B62-2123-41F1-B603-E5411FDFA3E0}" id="{78DA4A05-AB3B-4A0D-A223-7F7CD304A454}">
    <text>4 camas, Alquiler 800€</text>
  </threadedComment>
  <threadedComment ref="F3010" dT="2025-08-21T06:57:34.18" personId="{17D30B62-2123-41F1-B603-E5411FDFA3E0}" id="{CE9A2332-96B2-4ECB-A7CA-0155653B5005}">
    <text>4 camas, Alquiler 800€</text>
  </threadedComment>
  <threadedComment ref="F3014" dT="2025-04-29T17:02:27.40" personId="{17D30B62-2123-41F1-B603-E5411FDFA3E0}" id="{AFEECD59-9129-4D3C-B082-26AEAB206E7C}">
    <text xml:space="preserve">Alquiler 1.800€ Fianza 500€ -4 Camas </text>
  </threadedComment>
  <threadedComment ref="F3017" dT="2025-03-17T16:31:33.41" personId="{98986A2A-739A-4851-A979-4B0D560C46CD}" id="{89082619-B363-4B53-A4B6-B8C42C9DA3C4}">
    <text>05 CAMAS, 2200€ ALQUILER, N/A APLICA</text>
  </threadedComment>
  <threadedComment ref="F3018" dT="2025-03-17T16:31:33.41" personId="{98986A2A-739A-4851-A979-4B0D560C46CD}" id="{A7EA5386-409A-4728-BB8D-E618010EE29F}">
    <text>05 CAMAS, 2200€ ALQUILER, N/A APLICA</text>
  </threadedComment>
  <threadedComment ref="F3019" dT="2025-04-10T11:09:42.69" personId="{17D30B62-2123-41F1-B603-E5411FDFA3E0}" id="{177BF0A8-980E-4484-9DA7-5F44A4B5D5D5}">
    <text>4 Habitaciones con Capacidad para 5 trabajadores, Alquiler 900€, Fianza 900€</text>
  </threadedComment>
  <threadedComment ref="F3020" dT="2025-04-10T11:09:42.69" personId="{17D30B62-2123-41F1-B603-E5411FDFA3E0}" id="{32F64603-0756-4A86-9AF0-309EA293B0ED}">
    <text>4 Habitaciones con Capacidad para 5 trabajadores, Alquiler 900€, Fianza 900€</text>
  </threadedComment>
  <threadedComment ref="F3021" dT="2025-04-10T11:09:42.69" personId="{17D30B62-2123-41F1-B603-E5411FDFA3E0}" id="{3AEFF68C-B265-4017-A0E5-55AA17B8C59D}">
    <text>4 Habitaciones con Capacidad para 5 trabajadores, Alquiler 900€, Fianza 900€</text>
  </threadedComment>
  <threadedComment ref="F3022" dT="2025-04-10T11:09:42.69" personId="{17D30B62-2123-41F1-B603-E5411FDFA3E0}" id="{857C8E70-88EC-4DA3-ADB3-6C51608AF6B5}">
    <text>4 Habitaciones con Capacidad para 5 trabajadores, Alquiler 900€, Fianza 900€</text>
  </threadedComment>
  <threadedComment ref="F3026" dT="2025-07-03T16:29:03.25" personId="{98986A2A-739A-4851-A979-4B0D560C46CD}" id="{2A851922-B3A3-49A7-8906-B662897D0B00}">
    <text>04 CAMAS</text>
  </threadedComment>
  <threadedComment ref="F3027" dT="2025-07-03T16:29:03.25" personId="{98986A2A-739A-4851-A979-4B0D560C46CD}" id="{EB554097-8D26-4540-85E1-A0C838EA2479}">
    <text>04 CAMAS</text>
  </threadedComment>
  <threadedComment ref="F3028" dT="2025-07-03T16:29:03.25" personId="{98986A2A-739A-4851-A979-4B0D560C46CD}" id="{5B3AF700-35ED-4AF9-A611-9E1614BE10EA}">
    <text>04 CAMAS</text>
  </threadedComment>
  <threadedComment ref="F3029" dT="2025-07-03T16:29:03.25" personId="{98986A2A-739A-4851-A979-4B0D560C46CD}" id="{463577E1-3EBF-45C6-A588-1B0632B942CA}">
    <text>04 CAMAS</text>
  </threadedComment>
  <threadedComment ref="F3031" dT="2025-07-29T10:29:37.51" personId="{17D30B62-2123-41F1-B603-E5411FDFA3E0}" id="{0A72F956-F63D-4F9F-A3E6-2448A657E332}">
    <text>1 apartamento (para 2 personas)</text>
  </threadedComment>
  <threadedComment ref="F3032" dT="2025-07-29T10:29:40.92" personId="{17D30B62-2123-41F1-B603-E5411FDFA3E0}" id="{D6F1FD8A-62E6-4F0D-9043-F36845721B3C}">
    <text>1 apartamento (para 2 personas)</text>
  </threadedComment>
  <threadedComment ref="F3033" dT="2025-05-20T10:52:45.06" personId="{17D30B62-2123-41F1-B603-E5411FDFA3E0}" id="{FCF36572-2B05-4863-9636-A0B7A9EA75AC}">
    <text>4 Habitaciones Dobles</text>
  </threadedComment>
  <threadedComment ref="F3035" dT="2025-06-12T09:31:52.00" personId="{98986A2A-739A-4851-A979-4B0D560C46CD}" id="{641BFAD5-F6BE-4D01-9CCF-35796A811B69}">
    <text>Capacidad 06 camas- 1980€</text>
  </threadedComment>
  <threadedComment ref="F3036" dT="2024-08-12T06:19:55.68" personId="{8BEA8CB1-BB33-44FC-A791-4439DE945680}" id="{DA78E5F4-5303-49C0-AC13-549BCFAD83A5}">
    <text>ALQUILER  1500    FIANZA     3000   CAMAS 9</text>
  </threadedComment>
  <threadedComment ref="F3036" dT="2024-12-02T12:38:12.96" personId="{98986A2A-739A-4851-A979-4B0D560C46CD}" id="{D1A2028B-4CA9-4777-910F-B5CFD8D3CB63}" parentId="{DA78E5F4-5303-49C0-AC13-549BCFAD83A5}">
    <text>11 camas, 09 acomodadas, 02 pendientes por acomodar</text>
  </threadedComment>
  <threadedComment ref="F3036" dT="2025-12-04T11:05:40.71" personId="{4D8483EF-5A39-4E7B-A473-929EF5A077E1}" id="{D8521E0C-CB57-421B-8A4A-59C66BA357E6}" parentId="{DA78E5F4-5303-49C0-AC13-549BCFAD83A5}">
    <text xml:space="preserve">ALQUILER  1500€ + I.V.A. 21% =315€  TOTAL A PAGAR: 1,815€  FIANZA     3000€   </text>
  </threadedComment>
  <threadedComment ref="F3038" dT="2025-07-18T07:48:38.51" personId="{98986A2A-739A-4851-A979-4B0D560C46CD}" id="{2F0DFA03-47E7-4D7C-8640-7F2DF9C97FB2}">
    <text>04 CAMAS, ALQUILER 955€</text>
  </threadedComment>
  <threadedComment ref="F3039" dT="2025-02-13T10:05:11.33" personId="{17D30B62-2123-41F1-B603-E5411FDFA3E0}" id="{2B01FE5B-087E-4D4D-A588-C6F90CB4B14D}">
    <text>4 Habitaciones 5 camas 1 sofá</text>
  </threadedComment>
  <threadedComment ref="F3039" dT="2025-11-07T07:08:43.68" personId="{98986A2A-739A-4851-A979-4B0D560C46CD}" id="{9CAFA8FC-D014-499C-8E5E-219CF7601257}" parentId="{2B01FE5B-087E-4D4D-A588-C6F90CB4B14D}">
    <text>875,50 alquiler</text>
  </threadedComment>
  <threadedComment ref="F3039" dT="2026-08-19T09:16:29.54" personId="{E3C446A3-37B8-466B-82DA-8F7BAC7681F7}" id="{743989AD-983C-4D4F-9679-0FCBDD51270C}" parentId="{2B01FE5B-087E-4D4D-A588-C6F90CB4B14D}">
    <text>FIANZA 1700€</text>
  </threadedComment>
  <threadedComment ref="F3040" dT="2025-02-24T07:37:31.16" personId="{17D30B62-2123-41F1-B603-E5411FDFA3E0}" id="{0E0DAD47-39E2-43D0-B1B5-0D0121B7D673}">
    <text>Alquiler 1400 3 Habitaciones 5 camas</text>
  </threadedComment>
  <threadedComment ref="F3041" dT="2025-02-24T07:37:31.16" personId="{17D30B62-2123-41F1-B603-E5411FDFA3E0}" id="{996326AD-4EF5-405F-BECD-96C7E500C145}">
    <text>Alquiler 1400 3 Habitaciones 5 camas</text>
  </threadedComment>
  <threadedComment ref="F3042" dT="2025-02-24T07:37:31.16" personId="{17D30B62-2123-41F1-B603-E5411FDFA3E0}" id="{04EB0B1B-BCE5-4EFB-8304-3CFF4120E592}">
    <text>Alquiler 1400 3 Habitaciones 5 camas</text>
  </threadedComment>
  <threadedComment ref="F3043" dT="2025-02-24T07:37:31.16" personId="{17D30B62-2123-41F1-B603-E5411FDFA3E0}" id="{B7B0A851-166F-43F9-B0DC-EB6FA1858C45}">
    <text>Alquiler 1400 3 Habitaciones 5 camas</text>
  </threadedComment>
  <threadedComment ref="F3051" dT="2025-02-13T10:05:11.33" personId="{17D30B62-2123-41F1-B603-E5411FDFA3E0}" id="{AC0CE087-C849-4FB2-BBB5-A70327617944}">
    <text>Habitacion doble para trabajadores cant 1 Costo 60€/noche
Habitacion triple para trabajadores cant 3 Costo 75€/noche cada una
(camas separadas)</text>
  </threadedComment>
  <threadedComment ref="F3052" dT="2025-02-13T10:05:11.33" personId="{17D30B62-2123-41F1-B603-E5411FDFA3E0}" id="{8FBD7AC1-331C-47D9-ADC7-FA7691F7F2D1}">
    <text>Habitacion doble para trabajadores cant 1 Costo 60€/noche
Habitacion triple para trabajadores cant 3 Costo 75€/noche cada una
(camas separadas)</text>
  </threadedComment>
  <threadedComment ref="F3055" dT="2025-07-29T07:30:41.31" personId="{17D30B62-2123-41F1-B603-E5411FDFA3E0}" id="{0B4726B0-1E23-454C-946A-A363DE00D912}">
    <text>1 habitación</text>
  </threadedComment>
  <threadedComment ref="F3056" dT="2024-12-07T09:48:49.17" personId="{98986A2A-739A-4851-A979-4B0D560C46CD}" id="{8158D4FB-F625-481C-9280-B1DDDAB10497}">
    <text>ALQUILER 580, FIANZA 580, 4 CAMAS. Contrato pago hasta Febrero</text>
  </threadedComment>
  <threadedComment ref="F3062" dT="2025-08-14T08:55:55.58" personId="{17D30B62-2123-41F1-B603-E5411FDFA3E0}" id="{E5C71874-5A48-46BD-B812-50A126C28352}">
    <text>4 Camas, Alquiler 750€ Fianza 750€</text>
  </threadedComment>
  <threadedComment ref="F3063" dT="2025-08-14T08:55:55.58" personId="{17D30B62-2123-41F1-B603-E5411FDFA3E0}" id="{33E66B6E-0FD6-4254-8858-1301E6AE98AB}">
    <text>4 Camas, Alquiler 750€ Fianza 750€</text>
  </threadedComment>
  <threadedComment ref="F3064" dT="2025-08-14T08:55:55.58" personId="{17D30B62-2123-41F1-B603-E5411FDFA3E0}" id="{81ADD382-C018-4432-B383-93383D38C68C}">
    <text>4 Camas, Alquiler 750€ Fianza 750€</text>
  </threadedComment>
  <threadedComment ref="F3065" dT="2025-08-14T08:55:55.58" personId="{17D30B62-2123-41F1-B603-E5411FDFA3E0}" id="{4E9713A0-8498-48FD-B98F-DDD49BBDB501}">
    <text>4 Camas, Alquiler 750€ Fianza 750€</text>
  </threadedComment>
  <threadedComment ref="F3066" dT="2025-03-24T10:15:02.97" personId="{17D30B62-2123-41F1-B603-E5411FDFA3E0}" id="{C8741010-5B9A-4FBB-8972-F93261A8F266}">
    <text>400€ Por persona alquiler mes, Fianza 500€, 5 Camas.</text>
  </threadedComment>
  <threadedComment ref="F3070" dT="2025-07-04T06:57:05.82" personId="{98986A2A-739A-4851-A979-4B0D560C46CD}" id="{2BBADF0A-1367-4029-907E-0F2C1A862C3E}">
    <text>05 CAMAS</text>
  </threadedComment>
  <threadedComment ref="V3070" dT="2025-07-04T06:59:55.30" personId="{98986A2A-739A-4851-A979-4B0D560C46CD}" id="{B5168642-7295-4DD9-88B5-9D72921EBCC9}">
    <text>VUELVEN AL ALOJAMIENTO DE NADJA 2020/08</text>
  </threadedComment>
  <threadedComment ref="F3072" dT="2025-07-29T07:36:39.55" personId="{17D30B62-2123-41F1-B603-E5411FDFA3E0}" id="{F6C3C609-75EF-43D8-9C0F-23CB38A94032}">
    <text>Habitación privada · 1 cama · 1 huésped</text>
  </threadedComment>
  <threadedComment ref="F3073" dT="2025-03-18T09:49:27.52" personId="{98986A2A-739A-4851-A979-4B0D560C46CD}" id="{4D2F8AB4-319A-4477-8E76-35AB59C0A28D}">
    <text>04 camas, 400€ alquiler, 400€ fianza</text>
  </threadedComment>
  <threadedComment ref="F3074" dT="2025-02-10T17:07:43.06" personId="{17D30B62-2123-41F1-B603-E5411FDFA3E0}" id="{EB1B8398-9A0A-4943-8CA5-F07D3393AB1C}">
    <text>350€ por cada habitacion
350€ fianza</text>
  </threadedComment>
  <threadedComment ref="F3074" dT="2025-02-12T10:28:53.03" personId="{98986A2A-739A-4851-A979-4B0D560C46CD}" id="{052261F2-24B9-48E6-A468-7CCE5C5E79FD}" parentId="{EB1B8398-9A0A-4943-8CA5-F07D3393AB1C}">
    <text>04 habitaciones x 350 cu. Fianza 350 c/h Total 1400</text>
  </threadedComment>
  <threadedComment ref="F3074" dT="2025-02-12T10:41:29.61" personId="{98986A2A-739A-4851-A979-4B0D560C46CD}" id="{D8DCEDDB-63AA-4255-9133-5668926D3D26}" parentId="{EB1B8398-9A0A-4943-8CA5-F07D3393AB1C}">
    <text>Se adicionan 03 habitaciones 10/02 x 350 € c/u. Fianza 350€ c/u. Total 1050€fianza</text>
  </threadedComment>
  <threadedComment ref="F3074" dT="2025-05-22T09:11:24.36" personId="{17D30B62-2123-41F1-B603-E5411FDFA3E0}" id="{277ED355-B346-430C-A3BA-B679F49F1929}" parentId="{EB1B8398-9A0A-4943-8CA5-F07D3393AB1C}">
    <text>Se adicionan 2 Habitaciones el día 23/05 por valor de  350€ C/U + 350€ fianzas C/U. Total 700€ fianza.</text>
  </threadedComment>
  <threadedComment ref="F3075" dT="2025-02-25T17:38:25.86" personId="{98986A2A-739A-4851-A979-4B0D560C46CD}" id="{D2DF3B3E-CCF3-4C8D-8EB2-C7D071FDDDF8}">
    <text xml:space="preserve">Alquiler 1600 Fianza 1600 camas 5
</text>
  </threadedComment>
  <threadedComment ref="F3076" dT="2025-02-24T10:19:28.57" personId="{98986A2A-739A-4851-A979-4B0D560C46CD}" id="{7E029A31-40AF-40B9-8F1D-05FB29BFECB6}">
    <text>06 camas</text>
  </threadedComment>
  <threadedComment ref="F3076" dT="2025-08-05T11:29:05.15" personId="{17D30B62-2123-41F1-B603-E5411FDFA3E0}" id="{3592147E-1C7A-4F4C-8044-45D910121256}" parentId="{7E029A31-40AF-40B9-8F1D-05FB29BFECB6}">
    <text>+1 Cama</text>
  </threadedComment>
  <threadedComment ref="F3077" dT="2025-06-12T09:31:52.00" personId="{98986A2A-739A-4851-A979-4B0D560C46CD}" id="{FD48149F-017D-49B4-B1FC-29599FD66CC3}">
    <text>Capacidad 06 camas- 1980€</text>
  </threadedComment>
  <threadedComment ref="F3078" dT="2025-03-11T10:10:52.28" personId="{98986A2A-739A-4851-A979-4B0D560C46CD}" id="{E5DC46AC-8134-4909-A462-698088CC011F}">
    <text xml:space="preserve">6 camas, alquiler 1.450€ + Servicio de Limpieza 302,50€ =TOTAL 1.752,50€. Fianza 950€
</text>
  </threadedComment>
  <threadedComment ref="F3079" dT="2025-03-11T10:08:17.58" personId="{98986A2A-739A-4851-A979-4B0D560C46CD}" id="{6793F90C-22F8-4FDA-8FF4-00B8F4C99408}">
    <text>06 camas, Renta vivienda 1.380€+ Servicio limpieza 302,50€ =TOTAL 1.682,50€. Fianza 950€ fianza</text>
  </threadedComment>
  <threadedComment ref="F3080" dT="2025-06-12T09:31:52.00" personId="{98986A2A-739A-4851-A979-4B0D560C46CD}" id="{746C678A-7163-4215-B066-EDA34E3A44EE}">
    <text>Capacidad 06 camas- 1980€</text>
  </threadedComment>
  <threadedComment ref="F3086" dT="2025-02-13T10:05:11.33" personId="{17D30B62-2123-41F1-B603-E5411FDFA3E0}" id="{3F0FE560-F993-4D5C-9141-07FBB10E74E7}">
    <text>Alquiler 1000€ Fianza 1000€ 4 camas</text>
  </threadedComment>
  <threadedComment ref="F3087" dT="2025-02-10T17:07:43.06" personId="{17D30B62-2123-41F1-B603-E5411FDFA3E0}" id="{A1CC7404-D225-4372-B0BC-CE6980303C82}">
    <text>350€ por cada habitacion
350€ fianza</text>
  </threadedComment>
  <threadedComment ref="F3087" dT="2025-02-12T10:28:53.03" personId="{98986A2A-739A-4851-A979-4B0D560C46CD}" id="{3CD433E3-A904-4C57-9336-4CE503009611}" parentId="{A1CC7404-D225-4372-B0BC-CE6980303C82}">
    <text>04 habitaciones x 350 cu. Fianza 350 c/h Total 1400</text>
  </threadedComment>
  <threadedComment ref="F3087" dT="2025-02-12T10:41:29.61" personId="{98986A2A-739A-4851-A979-4B0D560C46CD}" id="{B7DEEADC-4026-4901-BE61-8D97887FA5DF}" parentId="{A1CC7404-D225-4372-B0BC-CE6980303C82}">
    <text>Se adicionan 03 habitaciones 10/02 x 350 € c/u. Fianza 350€ c/u. Total 1050€fianza</text>
  </threadedComment>
  <threadedComment ref="F3087" dT="2025-05-22T09:11:24.36" personId="{17D30B62-2123-41F1-B603-E5411FDFA3E0}" id="{D07AC639-3FBC-457E-B9D9-DF3A555E4C83}" parentId="{A1CC7404-D225-4372-B0BC-CE6980303C82}">
    <text>Se adicionan 2 Habitaciones el día 23/05 por valor de  350€ C/U + 350€ fianzas C/U. Total 700€ fianza.</text>
  </threadedComment>
  <threadedComment ref="F3088" dT="2025-06-12T09:31:52.00" personId="{98986A2A-739A-4851-A979-4B0D560C46CD}" id="{536A9B31-0A9B-4D77-A38B-6567E33A034A}">
    <text>Capacidad 06 camas- 1980€</text>
  </threadedComment>
  <threadedComment ref="F3089" dT="2025-03-04T17:12:38.85" personId="{98986A2A-739A-4851-A979-4B0D560C46CD}" id="{F5D86780-D307-4393-9FA8-BF29A3B1FE42}">
    <text>09 camas, 2100€ fianza, 2100€ alquiler +50€ luz =2150€</text>
  </threadedComment>
  <threadedComment ref="F3090" dT="2025-03-11T10:10:52.28" personId="{98986A2A-739A-4851-A979-4B0D560C46CD}" id="{08B4EBF3-5E95-41BE-A50C-A01722D43361}">
    <text xml:space="preserve">6 camas, alquiler 1.450€ + Servicio de Limpieza 302,50€ =TOTAL 1.752,50€. Fianza 950€
</text>
  </threadedComment>
  <threadedComment ref="F3091" dT="2025-03-11T10:16:04.90" personId="{98986A2A-739A-4851-A979-4B0D560C46CD}" id="{9ABD3EAE-A184-411A-AF26-3A4E067170EA}">
    <text xml:space="preserve">6 camas 
Renta vivienda 1.250€+ Servicio de Limpieza 363€ =TOTAL 1.613€, fianza 
</text>
  </threadedComment>
  <threadedComment ref="F3092" dT="2025-03-04T17:12:38.85" personId="{98986A2A-739A-4851-A979-4B0D560C46CD}" id="{23CC948C-4A3A-4D2D-BD64-9D77AAB74046}">
    <text>09 camas, 2100€ fianza, 2100€ alquiler +50€ luz =2150€</text>
  </threadedComment>
  <threadedComment ref="F3095" dT="2025-04-15T07:59:35.98" personId="{17D30B62-2123-41F1-B603-E5411FDFA3E0}" id="{DAE14D08-7695-4F0F-8E0C-70013F4FCAD4}">
    <text>Alquiler 300€, suministros 50€</text>
  </threadedComment>
  <threadedComment ref="F3096" dT="2025-02-13T10:05:11.33" personId="{17D30B62-2123-41F1-B603-E5411FDFA3E0}" id="{5B09E469-973C-4AB7-A9CE-DD799C69CDF9}">
    <text>Habitacion doble para trabajadores cant 1 Costo 60€/noche
Habitacion triple para trabajadores cant 3 Costo 75€/noche cada una
(camas separadas)</text>
  </threadedComment>
  <threadedComment ref="F3097" dT="2025-07-09T14:24:23.31" personId="{98986A2A-739A-4851-A979-4B0D560C46CD}" id="{3CC1E136-26E4-4548-8CF6-1ECB6232C1DB}">
    <text>10 CAMAS</text>
  </threadedComment>
  <threadedComment ref="F3098" dT="2025-03-04T17:12:38.85" personId="{98986A2A-739A-4851-A979-4B0D560C46CD}" id="{A767EFDB-B37C-4730-98F4-B20E1083E90A}">
    <text>09 camas, 2100€ fianza, 2100€ alquiler +50€ luz =2150€</text>
  </threadedComment>
  <threadedComment ref="F3102" dT="2025-02-26T14:29:45.42" personId="{17D30B62-2123-41F1-B603-E5411FDFA3E0}" id="{52367791-5699-4F05-AD96-5EE3DE5F9A64}">
    <text>9 Camas, Alquiler 2300€, Fianza 700€</text>
  </threadedComment>
  <threadedComment ref="F3102" dT="2026-01-21T15:11:00.84" personId="{4D8483EF-5A39-4E7B-A473-929EF5A077E1}" id="{DF88E917-76F1-4908-802A-252D866C56E5}" parentId="{52367791-5699-4F05-AD96-5EE3DE5F9A64}">
    <text xml:space="preserve">Descuento a 2000€ </text>
  </threadedComment>
  <threadedComment ref="F3105" dT="2025-02-25T14:27:09.00" personId="{98986A2A-739A-4851-A979-4B0D560C46CD}" id="{941F2F20-B359-4F88-BF55-4229976E4B72}">
    <text>03 CAMAS, 1450€ ALQUILER, 600€ FIANZA. SE PAGO MARZO</text>
  </threadedComment>
  <threadedComment ref="F3106" dT="2024-08-12T06:19:55.68" personId="{8BEA8CB1-BB33-44FC-A791-4439DE945680}" id="{C5DD0392-DC36-4F5D-A77E-2FA0273CBD6B}">
    <text>ALQUILER  1500    FIANZA     3000   CAMAS 9</text>
  </threadedComment>
  <threadedComment ref="F3106" dT="2024-12-02T12:38:12.96" personId="{98986A2A-739A-4851-A979-4B0D560C46CD}" id="{BE655FA4-436E-4536-A5DE-C92D91DB6011}" parentId="{C5DD0392-DC36-4F5D-A77E-2FA0273CBD6B}">
    <text>11 camas, 09 acomodadas, 02 pendientes por acomodar</text>
  </threadedComment>
  <threadedComment ref="F3106" dT="2025-12-04T11:05:40.71" personId="{4D8483EF-5A39-4E7B-A473-929EF5A077E1}" id="{FAF17157-9D7D-410C-AAE0-3E7F2EA11BDF}" parentId="{C5DD0392-DC36-4F5D-A77E-2FA0273CBD6B}">
    <text xml:space="preserve">ALQUILER  1500€ + I.V.A. 21% =315€  TOTAL A PAGAR: 1,815€  FIANZA     3000€   </text>
  </threadedComment>
  <threadedComment ref="F3109" dT="2025-07-29T08:44:06.44" personId="{17D30B62-2123-41F1-B603-E5411FDFA3E0}" id="{6FC2F55B-E1F6-4863-B563-C70A39FAD165}">
    <text>Habitación privada · 1 cama · 1 huésped</text>
  </threadedComment>
  <threadedComment ref="F3111" dT="2025-07-29T11:19:33.87" personId="{17D30B62-2123-41F1-B603-E5411FDFA3E0}" id="{330AF555-C126-45FD-8C9D-FB49C803B1F5}">
    <text>habitación Triple camas separadas</text>
  </threadedComment>
  <threadedComment ref="F3112" dT="2025-07-29T11:19:33.87" personId="{17D30B62-2123-41F1-B603-E5411FDFA3E0}" id="{1F5630A5-63D2-4432-927A-F2EE5D7E83A6}">
    <text>habitación Triple camas separadas</text>
  </threadedComment>
  <threadedComment ref="F3117" dT="2025-07-02T14:02:37.98" personId="{98986A2A-739A-4851-A979-4B0D560C46CD}" id="{3AE1478C-3191-4BE2-A14B-7AEA43C3D02F}">
    <text>1000€ ALQUILER, 1000€ FIANZA, 06 CAMAS</text>
  </threadedComment>
  <threadedComment ref="F3118" dT="2025-07-02T14:02:37.98" personId="{98986A2A-739A-4851-A979-4B0D560C46CD}" id="{E774ED23-1481-45A4-AA16-CE8862D67BAE}">
    <text>1000€ ALQUILER, 1000€ FIANZA, 06 CAMAS</text>
  </threadedComment>
  <threadedComment ref="F3119" dT="2025-07-02T14:02:37.98" personId="{98986A2A-739A-4851-A979-4B0D560C46CD}" id="{BFBB6C8C-C91A-4585-A575-3E06D4572BB9}">
    <text>1000€ ALQUILER, 1000€ FIANZA, 06 CAMAS</text>
  </threadedComment>
  <threadedComment ref="F3120" dT="2025-07-02T14:02:37.98" personId="{98986A2A-739A-4851-A979-4B0D560C46CD}" id="{5E6B3241-C791-43A2-BBA8-B7144D1BFA60}">
    <text>1000€ ALQUILER, 1000€ FIANZA, 06 CAMAS</text>
  </threadedComment>
  <threadedComment ref="F3121" dT="2025-07-02T14:02:37.98" personId="{98986A2A-739A-4851-A979-4B0D560C46CD}" id="{769FFCE6-C3D0-4865-99EE-3297DB40AE32}">
    <text>1000€ ALQUILER, 1000€ FIANZA, 06 CAMAS</text>
  </threadedComment>
  <threadedComment ref="F3122" dT="2025-07-02T14:02:37.98" personId="{98986A2A-739A-4851-A979-4B0D560C46CD}" id="{0FFA3F8A-5CB5-4934-BCDC-73C041BFC41B}">
    <text>1000€ ALQUILER, 1000€ FIANZA, 06 CAMAS</text>
  </threadedComment>
  <threadedComment ref="F3134" dT="2025-02-26T14:29:45.42" personId="{17D30B62-2123-41F1-B603-E5411FDFA3E0}" id="{AB7468E0-5BA1-4F20-91D3-1DFF6E435099}">
    <text>9 Camas, Alquiler 2300€, Fianza 700€</text>
  </threadedComment>
  <threadedComment ref="F3134" dT="2026-01-21T15:11:00.84" personId="{4D8483EF-5A39-4E7B-A473-929EF5A077E1}" id="{B6B4E38A-C8B5-4482-8D65-933536EFDE66}" parentId="{AB7468E0-5BA1-4F20-91D3-1DFF6E435099}">
    <text xml:space="preserve">Descuento a 2000€ </text>
  </threadedComment>
  <threadedComment ref="F3135" dT="2025-02-26T14:29:45.42" personId="{17D30B62-2123-41F1-B603-E5411FDFA3E0}" id="{F204826D-8182-497E-B8B0-4511D2191387}">
    <text>9 Camas, Alquiler 2300€, Fianza 700€</text>
  </threadedComment>
  <threadedComment ref="F3135" dT="2026-01-21T15:11:00.84" personId="{4D8483EF-5A39-4E7B-A473-929EF5A077E1}" id="{ADBA7418-A23A-4C3A-9937-8EBB6E29AD47}" parentId="{F204826D-8182-497E-B8B0-4511D2191387}">
    <text xml:space="preserve">Descuento a 2000€ </text>
  </threadedComment>
  <threadedComment ref="F3136" dT="2025-02-26T14:29:45.42" personId="{17D30B62-2123-41F1-B603-E5411FDFA3E0}" id="{1F0B6F2D-49AA-43A9-BF98-E8CC1CB5395D}">
    <text>9 Camas, Alquiler 2300€, Fianza 700€</text>
  </threadedComment>
  <threadedComment ref="F3136" dT="2026-01-21T15:11:00.84" personId="{4D8483EF-5A39-4E7B-A473-929EF5A077E1}" id="{0C8DD4CF-CB96-4EB3-BEE9-B00A79C7CB48}" parentId="{1F0B6F2D-49AA-43A9-BF98-E8CC1CB5395D}">
    <text xml:space="preserve">Descuento a 2000€ </text>
  </threadedComment>
  <threadedComment ref="F3147" dT="2025-02-13T10:05:11.33" personId="{17D30B62-2123-41F1-B603-E5411FDFA3E0}" id="{330C0663-68AD-49B7-ABF6-27CF9F6784C1}">
    <text>Habitacion doble para trabajadores cant 1 Costo 60€/noche
Habitacion triple para trabajadores cant 3 Costo 75€/noche cada una
(camas separadas)</text>
  </threadedComment>
  <threadedComment ref="F3148" dT="2025-02-13T10:05:11.33" personId="{17D30B62-2123-41F1-B603-E5411FDFA3E0}" id="{405FB5B9-0FF3-4052-A9FF-4897D9E80377}">
    <text>Habitacion doble para trabajadores cant 1 Costo 60€/noche
Habitacion triple para trabajadores cant 3 Costo 75€/noche cada una
(camas separadas)</text>
  </threadedComment>
  <threadedComment ref="F3149" dT="2025-02-13T10:05:11.33" personId="{17D30B62-2123-41F1-B603-E5411FDFA3E0}" id="{1EC99EA9-5209-4ACD-8C1A-64C6835DEFD9}">
    <text>Habitacion doble para trabajadores cant 1 Costo 60€/noche
Habitacion triple para trabajadores cant 3 Costo 75€/noche cada una
(camas separadas)</text>
  </threadedComment>
  <threadedComment ref="F3150" dT="2025-03-27T16:16:05.36" personId="{17D30B62-2123-41F1-B603-E5411FDFA3E0}" id="{D54D64AF-76B8-47FE-B45C-890263746C86}">
    <text>5 CAMAS</text>
  </threadedComment>
  <threadedComment ref="F3152" dT="2024-06-05T10:13:18.67" personId="{98986A2A-739A-4851-A979-4B0D560C46CD}" id="{3BF68714-E1BE-46A5-97CF-6F7B8AAE5B4D}">
    <text xml:space="preserve">4 habitaciones, 2000€ ALQUILER
</text>
  </threadedComment>
  <threadedComment ref="F3153" dT="2025-11-10T10:56:00.16" personId="{4D8483EF-5A39-4E7B-A473-929EF5A077E1}" id="{1274F073-92E7-4291-8270-C246C2D502DA}">
    <text>(para 3 personas)</text>
  </threadedComment>
  <threadedComment ref="F3154" dT="2025-02-13T10:05:11.33" personId="{17D30B62-2123-41F1-B603-E5411FDFA3E0}" id="{91BB2D13-B776-44BC-A9B7-1B75C1959C6C}">
    <text>4 Habitaciones 5 camas 1 sofá</text>
  </threadedComment>
  <threadedComment ref="F3154" dT="2025-11-07T07:08:43.68" personId="{98986A2A-739A-4851-A979-4B0D560C46CD}" id="{866C0079-8D87-4659-A294-82C70EAFEFE1}" parentId="{91BB2D13-B776-44BC-A9B7-1B75C1959C6C}">
    <text>875,50 alquiler</text>
  </threadedComment>
  <threadedComment ref="F3154" dT="2026-08-19T09:16:29.54" personId="{E3C446A3-37B8-466B-82DA-8F7BAC7681F7}" id="{21B26328-FD05-48DD-A7E4-5DA1BD1E04D3}" parentId="{91BB2D13-B776-44BC-A9B7-1B75C1959C6C}">
    <text>FIANZA 1700€</text>
  </threadedComment>
  <threadedComment ref="F3155" dT="2025-03-03T18:16:08.96" personId="{98986A2A-739A-4851-A979-4B0D560C46CD}" id="{CDD48107-DE3B-4061-8863-64264500CD07}">
    <text>03 camas, 1500€ alquiler, 600€ fianza</text>
  </threadedComment>
  <threadedComment ref="F3162" dT="2025-07-09T14:24:23.31" personId="{98986A2A-739A-4851-A979-4B0D560C46CD}" id="{9E87FE1D-500E-4D9A-B184-29641126764D}">
    <text>10 CAMAS</text>
  </threadedComment>
  <threadedComment ref="F3163" dT="2025-06-12T08:25:55.51" personId="{98986A2A-739A-4851-A979-4B0D560C46CD}" id="{88E8D1BC-BB88-4415-89C1-2A65C2218014}">
    <text>03 camas, 1050€ alquiler+150€suministros.
2100€ fianza</text>
  </threadedComment>
  <threadedComment ref="F3164" dT="2025-02-13T10:05:11.33" personId="{17D30B62-2123-41F1-B603-E5411FDFA3E0}" id="{4D54166A-2B36-4365-AEDB-D0E83F7E54FD}">
    <text>Habitacion doble para trabajadores cant 1 Costo 60€/noche
Habitacion triple para trabajadores cant 3 Costo 75€/noche cada una
(camas separadas)</text>
  </threadedComment>
  <threadedComment ref="F3167" dT="2025-07-17T12:40:48.64" personId="{98986A2A-739A-4851-A979-4B0D560C46CD}" id="{1EA133A0-1269-446B-92CC-C1E619400306}">
    <text>05 camas, fianza 100€</text>
  </threadedComment>
  <threadedComment ref="F3168" dT="2025-07-17T12:40:48.64" personId="{98986A2A-739A-4851-A979-4B0D560C46CD}" id="{63169611-ACE5-471A-A85C-17DC9CA1D544}">
    <text>05 camas, fianza 100€</text>
  </threadedComment>
  <threadedComment ref="F3169" dT="2025-07-17T12:40:48.64" personId="{98986A2A-739A-4851-A979-4B0D560C46CD}" id="{761BA719-E99A-496C-ADEB-BAC898A1DD7F}">
    <text>05 camas, fianza 100€</text>
  </threadedComment>
  <threadedComment ref="F3170" dT="2025-07-17T12:40:48.64" personId="{98986A2A-739A-4851-A979-4B0D560C46CD}" id="{93FF0930-C8CE-4095-AFD4-2EA6345DDE7D}">
    <text>05 camas, fianza 100€</text>
  </threadedComment>
  <threadedComment ref="F3174" dT="2025-06-12T08:25:55.51" personId="{98986A2A-739A-4851-A979-4B0D560C46CD}" id="{A567B307-59A0-4C1C-902A-912A29E1F016}">
    <text>03 camas, 1050€ alquiler+150€suministros.
2100€ fianza</text>
  </threadedComment>
  <threadedComment ref="F3175" dT="2025-06-12T08:25:55.51" personId="{98986A2A-739A-4851-A979-4B0D560C46CD}" id="{1219E53B-8CAC-4011-8662-3C72E06805C8}">
    <text>03 camas, 1050€ alquiler+150€suministros.
2100€ fianza</text>
  </threadedComment>
  <threadedComment ref="F3180" dT="2025-07-02T13:45:45.26" personId="{98986A2A-739A-4851-A979-4B0D560C46CD}" id="{3064F75A-6B4C-46A6-8915-17416AB0FACE}">
    <text>03 camas, 750€ alquiler, 750€ fianza</text>
  </threadedComment>
  <threadedComment ref="F3181" dT="2025-07-09T14:24:23.31" personId="{98986A2A-739A-4851-A979-4B0D560C46CD}" id="{8910BF2E-67DA-49BE-85D5-8B533ABE90A7}">
    <text>10 CAMAS</text>
  </threadedComment>
  <threadedComment ref="F3185" dT="2025-02-26T14:56:43.99" personId="{17D30B62-2123-41F1-B603-E5411FDFA3E0}" id="{5AD4BBB6-4ED8-415C-B63B-088CF293CDDB}">
    <text>Alojamiento para 11 personas.</text>
  </threadedComment>
  <threadedComment ref="F3187" dT="2025-03-04T08:46:27.80" personId="{98986A2A-739A-4851-A979-4B0D560C46CD}" id="{DDD353AF-FC2D-433B-9A23-776299D28981}">
    <text>01 cama, sin fianza, transferencia al trabajador</text>
  </threadedComment>
  <threadedComment ref="F3199" dT="2024-08-08T15:05:50.75" personId="{8BEA8CB1-BB33-44FC-A791-4439DE945680}" id="{603BB9D3-15B3-48B7-9C18-1C7537B544EE}">
    <text>Alquiler 1380 Fianza 2760 Camas 5</text>
  </threadedComment>
  <threadedComment ref="F3200" dT="2025-06-12T08:53:55.86" personId="{98986A2A-739A-4851-A979-4B0D560C46CD}" id="{78D0194A-2539-44E7-9B0D-6B30FB90CFBA}">
    <text>1200€ alquiler + 200€suministros+ 2400€ fianza. 04 camas</text>
  </threadedComment>
  <threadedComment ref="F3201" dT="2025-06-12T08:53:55.86" personId="{98986A2A-739A-4851-A979-4B0D560C46CD}" id="{DBAB89B7-1C1C-4DB5-B33D-564D3D959BDA}">
    <text>1200€ alquiler + 200€suministros+ 2400€ fianza. 04 camas</text>
  </threadedComment>
  <threadedComment ref="F3202" dT="2025-03-03T18:16:08.96" personId="{98986A2A-739A-4851-A979-4B0D560C46CD}" id="{33340280-2C4C-44E3-894F-AE8DD3BFE516}">
    <text>03 camas, 1500€ alquiler, 600€ fianza</text>
  </threadedComment>
  <threadedComment ref="F3203" dT="2025-06-12T08:53:55.86" personId="{98986A2A-739A-4851-A979-4B0D560C46CD}" id="{3F03F01B-29AF-4AEB-9269-F79428AD5DF8}">
    <text>1200€ alquiler + 200€suministros+ 2400€ fianza. 04 camas</text>
  </threadedComment>
  <threadedComment ref="F3204" dT="2025-06-12T08:53:55.86" personId="{98986A2A-739A-4851-A979-4B0D560C46CD}" id="{9D9ACAFC-25F5-4128-84DF-10125D46119C}">
    <text>1200€ alquiler + 200€suministros+ 2400€ fianza. 04 camas</text>
  </threadedComment>
  <threadedComment ref="F3205" dT="2025-03-04T17:12:38.85" personId="{98986A2A-739A-4851-A979-4B0D560C46CD}" id="{4DEEA09C-A251-41CB-B5B8-072F594499B2}">
    <text>09 camas, 2100€ fianza, 2100€ alquiler +50€ luz =2150€</text>
  </threadedComment>
  <threadedComment ref="F3206" dT="2025-06-13T10:42:52.46" personId="{98986A2A-739A-4851-A979-4B0D560C46CD}" id="{3FC47DFD-750B-4D60-9E81-1E55FE781B58}">
    <text>06 CAMAS, 1200€ ALQUILER+200€FIANZA= 1400€, 990 FIANZA</text>
  </threadedComment>
  <threadedComment ref="F3207" dT="2025-06-13T10:42:52.46" personId="{98986A2A-739A-4851-A979-4B0D560C46CD}" id="{6B6707F0-72FC-4CBE-A2E0-AF292925E924}">
    <text>06 CAMAS, 1200€ ALQUILER+200€FIANZA= 1400€, 990 FIANZA</text>
  </threadedComment>
  <threadedComment ref="F3210" dT="2025-03-04T17:12:38.85" personId="{98986A2A-739A-4851-A979-4B0D560C46CD}" id="{FA2E57AD-A1F4-41C3-9DA8-3AC2ECBE719A}">
    <text>09 camas, 2100€ fianza, 2100€ alquiler +50€ luz =2150€</text>
  </threadedComment>
  <threadedComment ref="F3211" dT="2025-03-04T17:12:38.85" personId="{98986A2A-739A-4851-A979-4B0D560C46CD}" id="{2202554E-B33C-4C3E-B5B5-5D65F3C2D2B8}">
    <text>09 camas, 2100€ fianza, 2100€ alquiler +50€ luz =2150€</text>
  </threadedComment>
  <threadedComment ref="F3212" dT="2025-02-24T10:19:28.57" personId="{98986A2A-739A-4851-A979-4B0D560C46CD}" id="{D97D5DEE-FA8D-42DC-8C27-BE945A791840}">
    <text>06 camas</text>
  </threadedComment>
  <threadedComment ref="F3212" dT="2025-08-05T11:29:05.15" personId="{17D30B62-2123-41F1-B603-E5411FDFA3E0}" id="{1492F9FD-82AE-476D-A9AC-DE95D85AAAE8}" parentId="{D97D5DEE-FA8D-42DC-8C27-BE945A791840}">
    <text>+1 Cama</text>
  </threadedComment>
  <threadedComment ref="F3213" dT="2025-04-29T17:02:27.40" personId="{17D30B62-2123-41F1-B603-E5411FDFA3E0}" id="{BD9EF908-A1AE-4613-B59C-FD33C278F266}">
    <text xml:space="preserve">Alquiler 1.800€ Fianza 500€ -4 Camas </text>
  </threadedComment>
  <threadedComment ref="F3224" dT="2025-03-27T16:16:05.36" personId="{17D30B62-2123-41F1-B603-E5411FDFA3E0}" id="{306482F5-F8D3-438D-B300-523418C8A36F}">
    <text>5 CAMAS</text>
  </threadedComment>
  <threadedComment ref="F3229" dT="2025-03-27T16:16:05.36" personId="{17D30B62-2123-41F1-B603-E5411FDFA3E0}" id="{E538093D-510C-4DC6-B9C4-53FAAAB626AE}">
    <text>5 CAMAS</text>
  </threadedComment>
  <threadedComment ref="F3237" dT="2025-02-13T10:05:11.33" personId="{17D30B62-2123-41F1-B603-E5411FDFA3E0}" id="{A96E9ADC-4CD9-4403-937B-E075448C47EA}">
    <text xml:space="preserve">Alquiler 1300, Fianza 1300, 3 camas </text>
  </threadedComment>
  <threadedComment ref="F3241" dT="2025-02-24T10:19:28.57" personId="{98986A2A-739A-4851-A979-4B0D560C46CD}" id="{B637C8F2-A45A-4096-B48E-DFD6442779F9}">
    <text>06 camas</text>
  </threadedComment>
  <threadedComment ref="F3241" dT="2025-08-05T11:29:05.15" personId="{17D30B62-2123-41F1-B603-E5411FDFA3E0}" id="{DF657023-5F06-4C65-933A-983C1BD8B93A}" parentId="{B637C8F2-A45A-4096-B48E-DFD6442779F9}">
    <text>+1 Cama</text>
  </threadedComment>
  <threadedComment ref="F3242" dT="2025-02-24T10:19:28.57" personId="{98986A2A-739A-4851-A979-4B0D560C46CD}" id="{0E4BE236-D976-4694-B189-BF97C59E4E5A}">
    <text>06 camas</text>
  </threadedComment>
  <threadedComment ref="F3242" dT="2025-08-05T11:29:05.15" personId="{17D30B62-2123-41F1-B603-E5411FDFA3E0}" id="{90721EAE-C20E-4D74-8FA4-D6C3B8590B46}" parentId="{0E4BE236-D976-4694-B189-BF97C59E4E5A}">
    <text>+1 Cama</text>
  </threadedComment>
  <threadedComment ref="F3248" dT="2025-04-07T06:50:18.61" personId="{98986A2A-739A-4851-A979-4B0D560C46CD}" id="{26921666-49C8-4BE4-990A-8B99F9ED7B3A}">
    <text>05 CAMAS</text>
  </threadedComment>
  <threadedComment ref="F3249" dT="2025-04-07T06:50:18.61" personId="{98986A2A-739A-4851-A979-4B0D560C46CD}" id="{8A7C1183-4596-4B56-A8C8-AEB04C9B085A}">
    <text>05 CAMAS</text>
  </threadedComment>
  <threadedComment ref="F3253" dT="2025-08-18T06:39:38.20" personId="{17D30B62-2123-41F1-B603-E5411FDFA3E0}" id="{B40296F4-43B2-4D18-A2EA-DDB9D0C57A31}">
    <text>4 Camas, 800€ FIANZA
800€ ALQUILER</text>
  </threadedComment>
  <threadedComment ref="F3256" dT="2024-08-12T06:19:55.68" personId="{8BEA8CB1-BB33-44FC-A791-4439DE945680}" id="{AF8866BE-2DF9-4CAA-9735-58AFD1403D78}">
    <text>ALQUILER  1500    FIANZA     3000   CAMAS 9</text>
  </threadedComment>
  <threadedComment ref="F3256" dT="2024-12-02T12:38:12.96" personId="{98986A2A-739A-4851-A979-4B0D560C46CD}" id="{60C32AC3-9365-4011-9A89-72554ED74E5A}" parentId="{AF8866BE-2DF9-4CAA-9735-58AFD1403D78}">
    <text>11 camas, 09 acomodadas, 02 pendientes por acomodar</text>
  </threadedComment>
  <threadedComment ref="F3257" dT="2025-06-25T15:20:38.46" personId="{98986A2A-739A-4851-A979-4B0D560C46CD}" id="{94B0ACDC-7AB0-4B9F-8723-673B21725C38}">
    <text>1300€ ALQUILER- 1300€FIANZA-04 CAMAS</text>
  </threadedComment>
  <threadedComment ref="F3258" dT="2025-03-11T10:08:17.58" personId="{98986A2A-739A-4851-A979-4B0D560C46CD}" id="{605A869B-EE1F-457D-AFE9-62F5D265EFE4}">
    <text>06 camas, Renta vivienda 1.380€+ Servicio limpieza 302,50€ =TOTAL 1.682,50€. Fianza 950€ fianza</text>
  </threadedComment>
  <threadedComment ref="F3259" dT="2025-03-11T10:10:52.28" personId="{98986A2A-739A-4851-A979-4B0D560C46CD}" id="{79C452EB-92E7-4A87-8441-7A3062108A53}">
    <text xml:space="preserve">6 camas, alquiler 1.450€ + Servicio de Limpieza 302,50€ =TOTAL 1.752,50€. Fianza 950€
</text>
  </threadedComment>
  <threadedComment ref="F3260" dT="2025-04-22T08:19:15.22" personId="{17D30B62-2123-41F1-B603-E5411FDFA3E0}" id="{E4E038BB-31D6-4A2F-AAC1-5DABA4BD5D91}">
    <text>2 habitaciones</text>
  </threadedComment>
  <threadedComment ref="F3261" dT="2025-04-22T08:19:15.22" personId="{17D30B62-2123-41F1-B603-E5411FDFA3E0}" id="{4D072CC9-8F62-4640-918D-5221B24CDDA6}">
    <text>2 habitaciones</text>
  </threadedComment>
  <threadedComment ref="F3262" dT="2025-08-04T07:35:46.20" personId="{17D30B62-2123-41F1-B603-E5411FDFA3E0}" id="{7E4DEE03-068D-4240-AC4A-F9680335C016}">
    <text xml:space="preserve">4 Habitaciones, 8 camas, Alquiler 1500€/mes 
Fianza 1000€ </text>
  </threadedComment>
  <threadedComment ref="F3263" dT="2025-08-04T07:35:46.20" personId="{17D30B62-2123-41F1-B603-E5411FDFA3E0}" id="{2F7EFF8B-7A47-4A17-A35E-3527628804FB}">
    <text xml:space="preserve">4 Habitaciones, 8 camas, Alquiler 1500€/mes 
Fianza 1000€ </text>
  </threadedComment>
  <threadedComment ref="F3264" dT="2025-08-04T07:35:46.20" personId="{17D30B62-2123-41F1-B603-E5411FDFA3E0}" id="{FD9C941E-C1F4-4AC5-881A-CFBEF9992A41}">
    <text xml:space="preserve">4 Habitaciones, 8 camas, Alquiler 1500€/mes 
Fianza 1000€ </text>
  </threadedComment>
  <threadedComment ref="F3265" dT="2025-08-04T07:35:46.20" personId="{17D30B62-2123-41F1-B603-E5411FDFA3E0}" id="{B64BBC42-3CE4-4E4E-BE04-8509342CB2BF}">
    <text xml:space="preserve">4 Habitaciones, 8 camas, Alquiler 1500€/mes 
Fianza 1000€ </text>
  </threadedComment>
  <threadedComment ref="F3266" dT="2025-08-04T07:35:46.20" personId="{17D30B62-2123-41F1-B603-E5411FDFA3E0}" id="{99D3E448-4FA5-4E99-A60A-C12EBCBD92F9}">
    <text xml:space="preserve">4 Habitaciones, 8 camas, Alquiler 1500€/mes 
Fianza 1000€ </text>
  </threadedComment>
  <threadedComment ref="F3267" dT="2025-08-04T07:35:46.20" personId="{17D30B62-2123-41F1-B603-E5411FDFA3E0}" id="{629BB58E-E516-4885-B6AD-19680B9D6A32}">
    <text xml:space="preserve">4 Habitaciones, 8 camas, Alquiler 1500€/mes 
Fianza 1000€ </text>
  </threadedComment>
  <threadedComment ref="F3268" dT="2025-08-04T07:35:46.20" personId="{17D30B62-2123-41F1-B603-E5411FDFA3E0}" id="{5F79F586-FA87-48E2-9F26-ACE7CC92A5FE}">
    <text xml:space="preserve">4 Habitaciones, 8 camas, Alquiler 1500€/mes 
Fianza 1000€ </text>
  </threadedComment>
  <threadedComment ref="F3269" dT="2025-08-04T07:35:46.20" personId="{17D30B62-2123-41F1-B603-E5411FDFA3E0}" id="{2E9FE2F7-7915-474E-893A-3A4799BC799C}">
    <text xml:space="preserve">4 Habitaciones, 8 camas, Alquiler 1500€/mes 
Fianza 1000€ </text>
  </threadedComment>
  <threadedComment ref="F3270" dT="2024-08-12T06:19:55.68" personId="{8BEA8CB1-BB33-44FC-A791-4439DE945680}" id="{F8F16B23-C23F-4109-8B67-364074B0BFAB}">
    <text>ALQUILER  1500    FIANZA     3000   CAMAS 9</text>
  </threadedComment>
  <threadedComment ref="F3270" dT="2024-12-02T12:38:12.96" personId="{98986A2A-739A-4851-A979-4B0D560C46CD}" id="{B721F7B7-29B7-4BE5-A3A3-A6B8AA248A8C}" parentId="{F8F16B23-C23F-4109-8B67-364074B0BFAB}">
    <text>11 camas, 09 acomodadas, 02 pendientes por acomodar</text>
  </threadedComment>
  <threadedComment ref="F3271" dT="2025-08-14T09:11:19.75" personId="{17D30B62-2123-41F1-B603-E5411FDFA3E0}" id="{92597938-2E3F-4082-BED0-CCC48D6F936F}">
    <text xml:space="preserve">5 Camas, Alquiler 550€ Fianza 550€ </text>
  </threadedComment>
  <threadedComment ref="F3281" dT="2025-07-25T07:05:25.24" personId="{17D30B62-2123-41F1-B603-E5411FDFA3E0}" id="{45FA3F03-F739-4FE4-A3D6-51FFD246571D}">
    <text>Capacidad para 6 personas</text>
  </threadedComment>
  <threadedComment ref="F3282" dT="2025-07-25T07:05:25.24" personId="{17D30B62-2123-41F1-B603-E5411FDFA3E0}" id="{13EDD2E2-731E-4CF1-91BA-682FE6C26EC2}">
    <text>Capacidad para 6 personas</text>
  </threadedComment>
  <threadedComment ref="F3283" dT="2025-07-25T07:05:25.24" personId="{17D30B62-2123-41F1-B603-E5411FDFA3E0}" id="{4F0FA8BA-5CE7-49FE-B497-0927465929F7}">
    <text>Capacidad para 6 personas</text>
  </threadedComment>
  <threadedComment ref="F3284" dT="2025-07-25T07:05:25.24" personId="{17D30B62-2123-41F1-B603-E5411FDFA3E0}" id="{4A45A2AC-F426-4975-9486-69ED8A9F81CD}">
    <text>Capacidad para 6 personas</text>
  </threadedComment>
  <threadedComment ref="F3293" dT="2025-03-03T16:55:33.48" personId="{17D30B62-2123-41F1-B603-E5411FDFA3E0}" id="{17CAE662-E3EF-4664-BBC4-DFA9C6CE84EF}">
    <text>4 camas 700 alquiler</text>
  </threadedComment>
  <threadedComment ref="F3294" dT="2025-03-18T09:49:27.52" personId="{98986A2A-739A-4851-A979-4B0D560C46CD}" id="{BAC27246-4571-44F8-976C-5B8F9802DB10}">
    <text>04 camas, 400€ alquiler, 400€ fianza</text>
  </threadedComment>
  <threadedComment ref="F3297" dT="2025-03-03T08:16:57.36" personId="{17D30B62-2123-41F1-B603-E5411FDFA3E0}" id="{3879B45C-DFD6-4A0A-BEE1-82A95594D88F}">
    <text>2 Camas Alquiler 1300</text>
  </threadedComment>
  <threadedComment ref="F3303" dT="2025-02-13T10:05:11.33" personId="{17D30B62-2123-41F1-B603-E5411FDFA3E0}" id="{A2BBCA38-C39F-4291-877D-955CA699E5E8}">
    <text>Habitacion doble para trabajadores cant 1 Costo 60€/noche
Habitacion triple para trabajadores cant 3 Costo 75€/noche cada una
(camas separadas)</text>
  </threadedComment>
  <threadedComment ref="F3304" dT="2025-08-20T08:12:11.94" personId="{17D30B62-2123-41F1-B603-E5411FDFA3E0}" id="{2E119FAB-6B74-4162-B450-AE0A83EB7AAA}">
    <text>5 Camas</text>
  </threadedComment>
  <threadedComment ref="F3313" dT="2024-08-06T14:12:58.54" personId="{8BEA8CB1-BB33-44FC-A791-4439DE945680}" id="{8F98E019-EE9F-4915-B219-D466324D6643}">
    <text>Alquiler 1700, fianza 1700 6 CAMAS</text>
  </threadedComment>
  <threadedComment ref="F3313" dT="2025-01-16T18:23:38.41" personId="{98986A2A-739A-4851-A979-4B0D560C46CD}" id="{7E151941-8E1C-419D-B291-D3B7ED74A458}" parentId="{8F98E019-EE9F-4915-B219-D466324D6643}">
    <text>5 habitaciones</text>
  </threadedComment>
  <threadedComment ref="F3315" dT="2025-07-03T17:00:32.63" personId="{98986A2A-739A-4851-A979-4B0D560C46CD}" id="{A61631BC-2E4F-494C-87B6-6ED50159DABB}">
    <text xml:space="preserve">1400€ ALQUILER, 5 CAMAS
</text>
  </threadedComment>
  <threadedComment ref="F3316" dT="2025-07-03T17:00:32.63" personId="{98986A2A-739A-4851-A979-4B0D560C46CD}" id="{B69759B8-20CC-4D55-8B1C-F16E189CA3E2}">
    <text xml:space="preserve">1400€ ALQUILER, 5 CAMAS
</text>
  </threadedComment>
  <threadedComment ref="F3317" dT="2025-07-03T17:00:32.63" personId="{98986A2A-739A-4851-A979-4B0D560C46CD}" id="{07C1715B-B16A-4C6F-8F8E-19A8F1C36056}">
    <text xml:space="preserve">1400€ ALQUILER, 5 CAMAS
</text>
  </threadedComment>
  <threadedComment ref="F3318" dT="2025-07-03T17:00:32.63" personId="{98986A2A-739A-4851-A979-4B0D560C46CD}" id="{0DF72082-81C9-42E0-8B11-9AAC4823C4EE}">
    <text xml:space="preserve">1400€ ALQUILER, 5 CAMAS
</text>
  </threadedComment>
  <threadedComment ref="F3320" dT="2025-07-03T17:00:32.63" personId="{98986A2A-739A-4851-A979-4B0D560C46CD}" id="{498802E6-1A9C-4526-AC40-2E5DB2F7DF7A}">
    <text xml:space="preserve">1400€ ALQUILER, 5 CAMAS
</text>
  </threadedComment>
  <threadedComment ref="F3325" dT="2025-02-13T10:05:11.33" personId="{17D30B62-2123-41F1-B603-E5411FDFA3E0}" id="{BFD0A3FA-7D87-40C1-91F4-D34622B57FAF}">
    <text>4 Habitaciones 5 camas 1 sofá</text>
  </threadedComment>
  <threadedComment ref="F3325" dT="2025-11-07T07:08:43.68" personId="{98986A2A-739A-4851-A979-4B0D560C46CD}" id="{26641DCD-F10D-4DB9-9FD6-B2DCF141E27D}" parentId="{BFD0A3FA-7D87-40C1-91F4-D34622B57FAF}">
    <text>875,50 alquiler</text>
  </threadedComment>
  <threadedComment ref="F3325" dT="2026-08-19T09:16:29.54" personId="{E3C446A3-37B8-466B-82DA-8F7BAC7681F7}" id="{258F0242-A912-4E3D-A227-3004F6F7DE89}" parentId="{BFD0A3FA-7D87-40C1-91F4-D34622B57FAF}">
    <text>FIANZA 1700€</text>
  </threadedComment>
  <threadedComment ref="F3326" dT="2025-07-28T09:21:27.82" personId="{17D30B62-2123-41F1-B603-E5411FDFA3E0}" id="{024073FA-E089-4797-8493-493879F7A594}">
    <text>6 Camas 2.400€ Alquiler.</text>
  </threadedComment>
  <threadedComment ref="F3327" dT="2025-07-28T09:21:27.82" personId="{17D30B62-2123-41F1-B603-E5411FDFA3E0}" id="{6A22BF19-35A2-4DA9-96CB-A3D877F43976}">
    <text>6 Camas 2.400€ Alquiler.</text>
  </threadedComment>
  <threadedComment ref="F3329" dT="2025-07-03T17:00:32.63" personId="{98986A2A-739A-4851-A979-4B0D560C46CD}" id="{A54418D2-4F10-404D-AF52-C7AB640D214D}">
    <text xml:space="preserve">1400€ ALQUILER, 5 CAMAS
</text>
  </threadedComment>
  <threadedComment ref="F3330" dT="2025-07-28T09:21:27.82" personId="{17D30B62-2123-41F1-B603-E5411FDFA3E0}" id="{2E057CCF-D83F-424A-8CDB-10467D75670C}">
    <text>6 Camas 2.400€ Alquiler.</text>
  </threadedComment>
  <threadedComment ref="F3331" dT="2025-07-28T09:21:27.82" personId="{17D30B62-2123-41F1-B603-E5411FDFA3E0}" id="{4D48CE08-484F-413C-AE3C-9529198880AF}">
    <text>6 Camas 2.400€ Alquiler.</text>
  </threadedComment>
  <threadedComment ref="F3332" dT="2025-07-28T09:21:27.82" personId="{17D30B62-2123-41F1-B603-E5411FDFA3E0}" id="{D85DD310-F26D-4390-B4A5-02D33F526277}">
    <text>6 Camas 2.400€ Alquiler.</text>
  </threadedComment>
  <threadedComment ref="F3333" dT="2025-07-28T09:21:27.82" personId="{17D30B62-2123-41F1-B603-E5411FDFA3E0}" id="{910E30CA-3C7A-493B-8DC0-990316633816}">
    <text>6 Camas 2.400€ Alquiler.</text>
  </threadedComment>
  <threadedComment ref="F3334" dT="2025-07-28T09:21:27.82" personId="{17D30B62-2123-41F1-B603-E5411FDFA3E0}" id="{CDC6AE33-D082-44A8-A0FD-7C5484A9AD93}">
    <text>6 Camas 2.400€ Alquiler.</text>
  </threadedComment>
  <threadedComment ref="F3335" dT="2025-07-28T09:21:27.82" personId="{17D30B62-2123-41F1-B603-E5411FDFA3E0}" id="{19E2CF98-9822-49FC-BCC9-D727876E7C38}">
    <text>6 Camas 2.400€ Alquiler.</text>
  </threadedComment>
  <threadedComment ref="F3336" dT="2025-02-13T10:05:11.33" personId="{17D30B62-2123-41F1-B603-E5411FDFA3E0}" id="{1B59E44C-FAAE-49AF-9596-E053EE3EB1AA}">
    <text xml:space="preserve">Alquiler 1300, Fianza 1300, 3 camas </text>
  </threadedComment>
  <threadedComment ref="F3337" dT="2025-02-13T10:05:11.33" personId="{17D30B62-2123-41F1-B603-E5411FDFA3E0}" id="{C1B8BD61-A615-4749-970B-AB2B66930ADE}">
    <text>Alquiler 903.20€ 4 camas</text>
  </threadedComment>
  <threadedComment ref="F3338" dT="2025-03-10T14:58:16.62" personId="{17D30B62-2123-41F1-B603-E5411FDFA3E0}" id="{51B86A22-EE38-4559-BB7F-437BA140CF1B}">
    <text>4 Camas  Alquiler 680 fianza1.360</text>
  </threadedComment>
  <threadedComment ref="F3339" dT="2024-12-02T09:17:44.96" personId="{98986A2A-739A-4851-A979-4B0D560C46CD}" id="{9090ABD9-CAC6-48F7-8E1F-83C34D11BDBB}">
    <text>08 CAMAS, 2500€ alquiler, 2500€ fianza</text>
  </threadedComment>
  <threadedComment ref="F3340" dT="2025-02-13T10:05:11.33" personId="{17D30B62-2123-41F1-B603-E5411FDFA3E0}" id="{83ED5102-C4AF-4CCB-B047-519EB8BBB503}">
    <text>Habitacion doble para trabajadores cant 1 Costo 60€/noche
Habitacion triple para trabajadores cant 3 Costo 75€/noche cada una
(camas separadas)</text>
  </threadedComment>
  <threadedComment ref="F3341" dT="2025-03-27T16:16:05.36" personId="{17D30B62-2123-41F1-B603-E5411FDFA3E0}" id="{B04D74F7-C7C2-4E7D-9FD7-210B0144AD6F}">
    <text>5 CAMAS</text>
  </threadedComment>
  <threadedComment ref="F3342" dT="2025-02-13T10:05:11.33" personId="{17D30B62-2123-41F1-B603-E5411FDFA3E0}" id="{B898F1C0-5D14-4E4C-8962-C6FD8DBCC51A}">
    <text>1 Habitacion</text>
  </threadedComment>
  <threadedComment ref="F3347" dT="2025-08-13T10:30:38.76" personId="{17D30B62-2123-41F1-B603-E5411FDFA3E0}" id="{F0F4B3AC-34D0-46EE-9848-7BCA99E91084}">
    <text>4 Camas</text>
  </threadedComment>
  <threadedComment ref="F3348" dT="2025-02-25T12:24:49.79" personId="{98986A2A-739A-4851-A979-4B0D560C46CD}" id="{B3E6C547-3176-4C1E-A224-6B1AA7A3F915}">
    <text>04 camas, 1500€ alquiler, 1500€ fianza</text>
  </threadedComment>
  <threadedComment ref="F3350" dT="2025-02-13T10:05:11.33" personId="{17D30B62-2123-41F1-B603-E5411FDFA3E0}" id="{4D18895A-9E25-45CF-B92D-CC6685713CB9}">
    <text>Habitacion doble para trabajadores cant 1 Costo 60€/noche
Habitacion triple para trabajadores cant 3 Costo 75€/noche cada una
(camas separadas)</text>
  </threadedComment>
  <threadedComment ref="F3351" dT="2025-02-13T10:05:11.33" personId="{17D30B62-2123-41F1-B603-E5411FDFA3E0}" id="{8EAEC8DF-6DEE-4411-965E-CD2A8D81C1E7}">
    <text>Habitacion doble para trabajadores cant 1 Costo 60€/noche
Habitacion triple para trabajadores cant 3 Costo 75€/noche cada una
(camas separadas)</text>
  </threadedComment>
  <threadedComment ref="F3352" dT="2025-03-24T10:15:02.97" personId="{17D30B62-2123-41F1-B603-E5411FDFA3E0}" id="{35AD16B7-0B96-452E-99EC-056C34DCDB61}">
    <text>400€ Por persona alquiler mes, Fianza 500€, 5 Camas.</text>
  </threadedComment>
  <threadedComment ref="F3353" dT="2025-06-13T10:42:52.46" personId="{98986A2A-739A-4851-A979-4B0D560C46CD}" id="{172FCF0E-11CD-4266-9920-46313B48BFFF}">
    <text>06 CAMAS, 1200€ ALQUILER+200€FIANZA= 1400€, 990 FIANZA</text>
  </threadedComment>
  <threadedComment ref="F3361" dT="2025-03-10T14:58:16.62" personId="{17D30B62-2123-41F1-B603-E5411FDFA3E0}" id="{BC792874-A7E9-4484-B2B0-8D003350B07F}">
    <text>4 Camas  Alquiler 635 fianza1.270</text>
  </threadedComment>
  <threadedComment ref="F3362" dT="2025-07-04T08:18:39.26" personId="{98986A2A-739A-4851-A979-4B0D560C46CD}" id="{22FE0545-B132-465F-B72B-F86FE21AA644}">
    <text xml:space="preserve">1200€ ALQUILER, 1200€ FIANZA, 05 CAMAS </text>
  </threadedComment>
  <threadedComment ref="F3363" dT="2025-07-04T08:18:39.26" personId="{98986A2A-739A-4851-A979-4B0D560C46CD}" id="{003F00A7-22AB-43E2-A3EF-D2AF22171928}">
    <text xml:space="preserve">1200€ ALQUILER, 1200€ FIANZA, 05 CAMAS </text>
  </threadedComment>
  <threadedComment ref="F3364" dT="2025-07-04T08:18:39.26" personId="{98986A2A-739A-4851-A979-4B0D560C46CD}" id="{98A680C0-FFF0-4CF3-8B59-2C8BA18D7E43}">
    <text xml:space="preserve">1200€ ALQUILER, 1200€ FIANZA, 05 CAMAS </text>
  </threadedComment>
  <threadedComment ref="F3366" dT="2025-07-04T08:18:39.26" personId="{98986A2A-739A-4851-A979-4B0D560C46CD}" id="{A53FF653-E9C9-41B7-AD61-3D54ED2C997C}">
    <text xml:space="preserve">1200€ ALQUILER, 1200€ FIANZA, 05 CAMAS </text>
  </threadedComment>
  <threadedComment ref="Y3373" dT="2025-08-21T09:54:23.42" personId="{17D30B62-2123-41F1-B603-E5411FDFA3E0}" id="{C369737E-F30A-4D88-9096-594B17DD31D0}">
    <text>Ocupación 5 adultos precio noche 75€/noche total de la reserva 1350€.</text>
  </threadedComment>
  <threadedComment ref="F3378" dT="2025-02-13T10:05:11.33" personId="{17D30B62-2123-41F1-B603-E5411FDFA3E0}" id="{47051E25-6C40-4EA6-9C41-CC3234016A14}">
    <text>Habitacion doble para trabajadores cant 1 Costo 60€/noche
Habitacion triple para trabajadores cant 3 Costo 75€/noche cada una
(camas separadas)</text>
  </threadedComment>
  <threadedComment ref="F3379" dT="2025-07-02T13:20:25.40" personId="{98986A2A-739A-4851-A979-4B0D560C46CD}" id="{87E69C1F-6154-4447-B65F-29201FFEC000}">
    <text>ALQUILER 1400€, FIANZA 1400€ , 06 CAMAS</text>
  </threadedComment>
  <threadedComment ref="F3380" dT="2025-07-02T13:20:25.40" personId="{98986A2A-739A-4851-A979-4B0D560C46CD}" id="{34CBFF7F-2375-4D82-8F87-69C08E21F8BC}">
    <text>ALQUILER 1400€, FIANZA 1400€ , 06 CAMAS</text>
  </threadedComment>
  <threadedComment ref="F3381" dT="2025-07-02T13:20:25.40" personId="{98986A2A-739A-4851-A979-4B0D560C46CD}" id="{E2D54788-89E3-409D-B81A-9EBD486FC8A4}">
    <text>ALQUILER 1400€, FIANZA 1400€ , 06 CAMAS</text>
  </threadedComment>
  <threadedComment ref="F3383" dT="2025-07-02T13:20:25.40" personId="{98986A2A-739A-4851-A979-4B0D560C46CD}" id="{AA538E75-B4C7-45D5-A7E9-6307F052F778}">
    <text>ALQUILER 1400€, FIANZA 1400€ , 06 CAMAS</text>
  </threadedComment>
  <threadedComment ref="F3384" dT="2025-07-02T13:20:25.40" personId="{98986A2A-739A-4851-A979-4B0D560C46CD}" id="{0D82E1AC-9412-42DF-BB73-962CA8A10AC9}">
    <text>ALQUILER 1400€, FIANZA 1400€ , 06 CAMAS</text>
  </threadedComment>
  <threadedComment ref="F3385" dT="2025-02-24T10:19:28.57" personId="{98986A2A-739A-4851-A979-4B0D560C46CD}" id="{6F076383-2B72-4863-B893-5382AEB82999}">
    <text>06 camas</text>
  </threadedComment>
  <threadedComment ref="F3385" dT="2025-08-05T11:29:05.15" personId="{17D30B62-2123-41F1-B603-E5411FDFA3E0}" id="{18EDEB16-77DF-40A5-B1FE-6ADC1CC16924}" parentId="{6F076383-2B72-4863-B893-5382AEB82999}">
    <text>+1 Cama</text>
  </threadedComment>
  <threadedComment ref="F3386" dT="2025-02-24T10:19:28.57" personId="{98986A2A-739A-4851-A979-4B0D560C46CD}" id="{48399676-4B4F-46A4-9E4E-A79D0C56B278}">
    <text>06 camas</text>
  </threadedComment>
  <threadedComment ref="F3386" dT="2025-08-05T11:29:05.15" personId="{17D30B62-2123-41F1-B603-E5411FDFA3E0}" id="{3D472F18-CF4B-46AB-B3CC-338DEFD88B31}" parentId="{48399676-4B4F-46A4-9E4E-A79D0C56B278}">
    <text>+1 Cama</text>
  </threadedComment>
  <threadedComment ref="F3389" dT="2025-08-14T09:11:19.75" personId="{17D30B62-2123-41F1-B603-E5411FDFA3E0}" id="{49244CD8-B86D-4297-ACA0-F30AB1BE493E}">
    <text xml:space="preserve">5 Camas, Alquiler 550€ Fianza 550€ </text>
  </threadedComment>
  <threadedComment ref="F3390" dT="2025-08-14T09:11:19.75" personId="{17D30B62-2123-41F1-B603-E5411FDFA3E0}" id="{649CA31E-206B-4E6D-8F87-5527960E897C}">
    <text xml:space="preserve">5 Camas, Alquiler 550€ Fianza 550€ </text>
  </threadedComment>
  <threadedComment ref="F3391" dT="2025-08-14T09:11:19.75" personId="{17D30B62-2123-41F1-B603-E5411FDFA3E0}" id="{90D114B9-B7F7-4F46-8421-188959E2320B}">
    <text xml:space="preserve">5 Camas, Alquiler 550€ Fianza 550€ </text>
  </threadedComment>
  <threadedComment ref="F3392" dT="2025-08-14T09:11:19.75" personId="{17D30B62-2123-41F1-B603-E5411FDFA3E0}" id="{85663759-0A3F-4D17-BA6D-67AF80D47A82}">
    <text xml:space="preserve">5 Camas, Alquiler 550€ Fianza 550€ </text>
  </threadedComment>
  <threadedComment ref="F3393" dT="2025-07-02T13:45:45.26" personId="{98986A2A-739A-4851-A979-4B0D560C46CD}" id="{8FE14285-D702-4450-AC55-D25803C7B4B1}">
    <text>03 camas, 750€ alquiler, 750€ fianza</text>
  </threadedComment>
  <threadedComment ref="F3398" dT="2025-02-26T14:29:45.42" personId="{17D30B62-2123-41F1-B603-E5411FDFA3E0}" id="{D45CED43-08D9-489F-99D7-4D84A274C136}">
    <text>9 Camas, Alquiler 2300€, Fianza 700€</text>
  </threadedComment>
  <threadedComment ref="F3398" dT="2026-01-21T15:11:00.84" personId="{4D8483EF-5A39-4E7B-A473-929EF5A077E1}" id="{7B8AF62E-ED7B-453E-827F-44F4D0F67A81}" parentId="{D45CED43-08D9-489F-99D7-4D84A274C136}">
    <text xml:space="preserve">Descuento a 2000€ </text>
  </threadedComment>
  <threadedComment ref="F3399" dT="2025-07-09T14:24:23.31" personId="{98986A2A-739A-4851-A979-4B0D560C46CD}" id="{082DCBA2-3949-44B4-A316-FAA2D9CC569F}">
    <text>10 CAMAS</text>
  </threadedComment>
  <threadedComment ref="F3400" dT="2025-02-25T17:38:25.86" personId="{98986A2A-739A-4851-A979-4B0D560C46CD}" id="{4DA18FE1-B288-4417-AF68-AB2CD88A67DF}">
    <text xml:space="preserve">Alquiler 1600 Fianza 1600 camas 5
</text>
  </threadedComment>
  <threadedComment ref="F3401" dT="2025-02-25T17:38:25.86" personId="{98986A2A-739A-4851-A979-4B0D560C46CD}" id="{BD0C0E22-697D-45E0-BF93-3D81A4BD7E47}">
    <text xml:space="preserve">Alquiler 1600 Fianza 1600 camas 5
</text>
  </threadedComment>
  <threadedComment ref="F3402" dT="2025-03-03T08:16:57.36" personId="{17D30B62-2123-41F1-B603-E5411FDFA3E0}" id="{5D4CEF90-7D51-47DE-B2C8-395625E27A85}">
    <text>2 Camas Alquiler 1300</text>
  </threadedComment>
  <threadedComment ref="F3403" dT="2025-08-13T10:30:38.76" personId="{17D30B62-2123-41F1-B603-E5411FDFA3E0}" id="{EF9B2435-EB39-405F-9543-3BE9FA794076}">
    <text>4 Camas</text>
  </threadedComment>
  <threadedComment ref="F3404" dT="2025-08-13T10:30:38.76" personId="{17D30B62-2123-41F1-B603-E5411FDFA3E0}" id="{0BC45148-C115-4ADA-BFCB-999382946AF0}">
    <text>4 Camas</text>
  </threadedComment>
  <threadedComment ref="F3406" dT="2025-03-11T10:16:04.90" personId="{98986A2A-739A-4851-A979-4B0D560C46CD}" id="{DE7F7FB0-E704-4941-A002-12A0B234D131}">
    <text xml:space="preserve">6 camas 
Renta vivienda 1.250€+ Servicio de Limpieza 363€ =TOTAL 1.613€, fianza 
</text>
  </threadedComment>
  <threadedComment ref="F3410" dT="2026-06-03T07:33:58.52" personId="{4D8483EF-5A39-4E7B-A473-929EF5A077E1}" id="{BF00BF45-A59A-4C08-8DC4-C1A4083D661F}">
    <text>Tipo de cama: 4 camas individuales (90-130 cm de ancho), 1 cama doble (131-150 cm de ancho), 1 sofá cama (Tamaño variable).</text>
  </threadedComment>
  <threadedComment ref="F3420" dT="2025-08-20T08:12:11.94" personId="{17D30B62-2123-41F1-B603-E5411FDFA3E0}" id="{F9D1D3A8-9F25-4416-817A-18C9C967C427}">
    <text>5 Camas</text>
  </threadedComment>
  <threadedComment ref="F3422" dT="2025-08-20T08:12:11.94" personId="{17D30B62-2123-41F1-B603-E5411FDFA3E0}" id="{93C8DD70-346E-467E-A0F9-72FF1F57CE69}">
    <text>5 Camas</text>
  </threadedComment>
  <threadedComment ref="F3423" dT="2025-08-20T08:12:11.94" personId="{17D30B62-2123-41F1-B603-E5411FDFA3E0}" id="{33BA4182-0EC1-4F99-A4B7-FFE651F5A195}">
    <text>5 Camas</text>
  </threadedComment>
  <threadedComment ref="F3425" dT="2025-06-13T10:42:52.46" personId="{98986A2A-739A-4851-A979-4B0D560C46CD}" id="{A3C3D329-B94B-4234-822E-9026E522D0C8}">
    <text>06 CAMAS, 1200€ ALQUILER+200€FIANZA= 1400€, 990 FIANZA</text>
  </threadedComment>
  <threadedComment ref="F3426" dT="2025-08-20T08:12:11.94" personId="{17D30B62-2123-41F1-B603-E5411FDFA3E0}" id="{DD426C12-8D6C-4BF7-BC00-2173DE28E133}">
    <text>5 Camas</text>
  </threadedComment>
  <threadedComment ref="F3428" dT="2025-03-11T10:16:04.90" personId="{98986A2A-739A-4851-A979-4B0D560C46CD}" id="{3321A15A-0646-41D9-8B28-BC4E1CA2E6A8}">
    <text xml:space="preserve">6 camas 
Renta vivienda 1.250€+ Servicio de Limpieza 363€ =TOTAL 1.613€, fianza 
</text>
  </threadedComment>
  <threadedComment ref="F3429" dT="2025-08-20T08:12:11.94" personId="{17D30B62-2123-41F1-B603-E5411FDFA3E0}" id="{3398AB10-DFA1-4CF6-8F44-1B8B592D1F4B}">
    <text>5 Camas</text>
  </threadedComment>
  <threadedComment ref="F3430" dT="2025-10-03T08:13:02.25" personId="{17D30B62-2123-41F1-B603-E5411FDFA3E0}" id="{23917369-7D95-4F75-AFD0-E946E7B87219}">
    <text>Alojamiento para 4 personas</text>
  </threadedComment>
  <threadedComment ref="F3433" dT="2026-01-09T11:19:11.16" personId="{4D8483EF-5A39-4E7B-A473-929EF5A077E1}" id="{350E9918-D7DE-43A1-B68C-3CB2D37E8655}">
    <text>lojamiento entero · 4 camas · 4 viajeros </text>
  </threadedComment>
  <threadedComment ref="F3434" dT="2026-01-09T11:19:11.16" personId="{4D8483EF-5A39-4E7B-A473-929EF5A077E1}" id="{9F54791E-CB63-4A35-8FFB-F14A8AEBB899}">
    <text>lojamiento entero · 4 camas · 4 viajeros </text>
  </threadedComment>
  <threadedComment ref="F3437" dT="2025-08-19T13:30:20.82" personId="{17D30B62-2123-41F1-B603-E5411FDFA3E0}" id="{2E5AB5B4-CDE5-40AB-BAA2-9D414B751AB8}">
    <text xml:space="preserve">6 Camas Alquiler 2.500€ </text>
  </threadedComment>
  <threadedComment ref="F3438" dT="2025-08-19T13:30:20.82" personId="{17D30B62-2123-41F1-B603-E5411FDFA3E0}" id="{4C69A0E1-3DF0-409C-A67E-18B88579FBF2}">
    <text xml:space="preserve">6 Camas Alquiler 2.500€ </text>
  </threadedComment>
  <threadedComment ref="F3439" dT="2025-08-19T13:30:20.82" personId="{17D30B62-2123-41F1-B603-E5411FDFA3E0}" id="{BB9109C3-F3BD-4F67-8E09-8E1B26F4E7F2}">
    <text xml:space="preserve">6 Camas Alquiler 2.500€ </text>
  </threadedComment>
  <threadedComment ref="F3442" dT="2026-01-09T11:19:11.16" personId="{4D8483EF-5A39-4E7B-A473-929EF5A077E1}" id="{3E3412BB-4B7B-4A51-A879-01DD936FD170}">
    <text>lojamiento entero · 4 camas · 4 viajeros </text>
  </threadedComment>
  <threadedComment ref="F3443" dT="2025-02-13T10:05:11.33" personId="{17D30B62-2123-41F1-B603-E5411FDFA3E0}" id="{B32641ED-C7B6-426C-81CB-CCE0422B2769}">
    <text>Habitacion doble para trabajadores cant 1 Costo 60€/noche
Habitacion triple para trabajadores cant 3 Costo 75€/noche cada una
(camas separadas)</text>
  </threadedComment>
  <threadedComment ref="F3446" dT="2025-06-30T11:38:12.54" personId="{98986A2A-739A-4851-A979-4B0D560C46CD}" id="{C1617EDF-5094-4ED7-827C-4B44378024D6}">
    <text>Alquiler 700€, 02 camas, sin fianza</text>
  </threadedComment>
  <threadedComment ref="F3447" dT="2025-03-03T15:49:22.14" personId="{98986A2A-739A-4851-A979-4B0D560C46CD}" id="{D0EAF4FF-3220-42D7-A227-305ACC360FCC}">
    <text>03 camas, 550€ alquiler, 550€ fianza</text>
  </threadedComment>
  <threadedComment ref="F3448" dT="2026-01-19T07:31:36.18" personId="{4D8483EF-5A39-4E7B-A473-929EF5A077E1}" id="{2A18E5A0-BB05-4FE6-BF4A-48232278DF83}">
    <text>Alojamiento para 4 personas, Valor 1.200€</text>
  </threadedComment>
  <threadedComment ref="F3448" dT="2026-05-14T09:39:39.60" personId="{4D8483EF-5A39-4E7B-A473-929EF5A077E1}" id="{E407C9C5-B180-4C3B-988C-9983A2C78ACD}" parentId="{2A18E5A0-BB05-4FE6-BF4A-48232278DF83}">
    <text>1.000€ para 3 personas</text>
  </threadedComment>
  <threadedComment ref="F3448" dT="2026-07-13T09:38:08.42" personId="{4D8483EF-5A39-4E7B-A473-929EF5A077E1}" id="{740F3203-4A22-421E-B50F-25FDE385ED01}" parentId="{2A18E5A0-BB05-4FE6-BF4A-48232278DF83}">
    <text>Alojamiento para 4 personas, Valor 1.300€</text>
  </threadedComment>
  <threadedComment ref="F3448" dT="2026-07-28T09:30:17.18" personId="{4D8483EF-5A39-4E7B-A473-929EF5A077E1}" id="{AC0EFF85-76A7-4F2D-BC4E-799151BC98C9}" parentId="{2A18E5A0-BB05-4FE6-BF4A-48232278DF83}">
    <text>Alojamiento para 4 personas, Valor 900€</text>
  </threadedComment>
  <threadedComment ref="F3449" dT="2025-03-03T08:16:57.36" personId="{17D30B62-2123-41F1-B603-E5411FDFA3E0}" id="{89530158-DD9D-43C1-95CF-2D805DA22DC7}">
    <text>1 Camas Alquiler 650</text>
  </threadedComment>
  <threadedComment ref="F3450" dT="2025-02-26T14:29:45.42" personId="{17D30B62-2123-41F1-B603-E5411FDFA3E0}" id="{96F9D4AC-C242-46F0-9B05-A74C81DDF879}">
    <text>9 Camas, Alquiler 2300€, Fianza 700€</text>
  </threadedComment>
  <threadedComment ref="F3450" dT="2026-01-21T15:11:00.84" personId="{4D8483EF-5A39-4E7B-A473-929EF5A077E1}" id="{D8B4FDD4-C02A-4AA4-9D53-0EFB6405A06B}" parentId="{96F9D4AC-C242-46F0-9B05-A74C81DDF879}">
    <text xml:space="preserve">Descuento a 2000€ </text>
  </threadedComment>
  <threadedComment ref="F3452" dT="2024-08-06T14:12:58.54" personId="{8BEA8CB1-BB33-44FC-A791-4439DE945680}" id="{61ED0CAE-3D58-4767-9855-2526AE93CFCC}">
    <text>Alquiler 1700, fianza 1700 6 CAMAS</text>
  </threadedComment>
  <threadedComment ref="F3452" dT="2025-01-16T18:23:38.41" personId="{98986A2A-739A-4851-A979-4B0D560C46CD}" id="{E3C3565D-0237-4931-9F88-00FBA1D13135}" parentId="{61ED0CAE-3D58-4767-9855-2526AE93CFCC}">
    <text>5 habitaciones</text>
  </threadedComment>
  <threadedComment ref="F3455" dT="2025-08-21T09:54:23.42" personId="{17D30B62-2123-41F1-B603-E5411FDFA3E0}" id="{29B68F25-5BE8-4748-AB30-D1EC1C76C03D}">
    <text>Ocupación 5 adultos precio noche 75€/noche total de la reserva 1350€.</text>
  </threadedComment>
  <threadedComment ref="F3456" dT="2025-08-21T09:54:23.42" personId="{17D30B62-2123-41F1-B603-E5411FDFA3E0}" id="{3A453C17-3064-43F6-9095-E700116030B3}">
    <text>Ocupación 5 adultos precio noche 75€/noche total de la reserva 1350€.</text>
  </threadedComment>
  <threadedComment ref="F3457" dT="2025-08-21T09:54:23.42" personId="{17D30B62-2123-41F1-B603-E5411FDFA3E0}" id="{DE3141B1-8EA6-4F82-BCB4-BCF900D94B57}">
    <text>Ocupación 5 adultos precio noche 75€/noche total de la reserva 1350€.</text>
  </threadedComment>
  <threadedComment ref="F3458" dT="2025-08-21T09:54:23.42" personId="{17D30B62-2123-41F1-B603-E5411FDFA3E0}" id="{73DB17F2-B3BD-4652-A78F-1F734A295383}">
    <text>Ocupación 5 adultos precio noche 75€/noche total de la reserva 1350€.</text>
  </threadedComment>
  <threadedComment ref="F3459" dT="2025-02-13T10:05:11.33" personId="{17D30B62-2123-41F1-B603-E5411FDFA3E0}" id="{3CDDC04E-F48F-40CC-B2B5-DAC1ED155ADF}">
    <text xml:space="preserve">Alquiler 1300, Fianza 1300, 3 camas </text>
  </threadedComment>
  <threadedComment ref="F3460" dT="2025-03-27T16:16:05.36" personId="{17D30B62-2123-41F1-B603-E5411FDFA3E0}" id="{A6E876D5-608B-42E3-9C88-A2CD7F361816}">
    <text>5 CAMAS</text>
  </threadedComment>
  <threadedComment ref="F3465" dT="2025-02-13T10:05:11.33" personId="{17D30B62-2123-41F1-B603-E5411FDFA3E0}" id="{01598AFF-AAEE-4B78-AC95-C47B1DA03DB0}">
    <text>Habitacion doble para trabajadores cant 1 Costo 60€/noche
Habitacion triple para trabajadores cant 3 Costo 75€/noche cada una
(camas separadas)</text>
  </threadedComment>
  <threadedComment ref="F3466" dT="2025-09-09T14:10:43.36" personId="{17D30B62-2123-41F1-B603-E5411FDFA3E0}" id="{1ECB7218-9914-4D32-BD8F-81B2818335E3}">
    <text>02 Habitaciones 
Hab 01 - 325€ Alquiler Mensual
Hab 02 - 325€ Alquiler Mensual</text>
  </threadedComment>
  <threadedComment ref="F3468" dT="2025-03-04T17:12:38.85" personId="{98986A2A-739A-4851-A979-4B0D560C46CD}" id="{415622D6-0172-4383-AF4D-B8637288F98D}">
    <text>09 camas, 2100€ fianza, 2100€ alquiler +50€ luz =2150€</text>
  </threadedComment>
  <threadedComment ref="F3469" dT="2025-06-13T11:20:48.41" personId="{98986A2A-739A-4851-A979-4B0D560C46CD}" id="{37A92C3D-4F87-443A-885E-16DDE9285DE6}">
    <text>05 camas, 1200€ alquiler,+ 250€ SUMINISTROS+ 1200€ fianza</text>
  </threadedComment>
  <threadedComment ref="F3470" dT="2025-02-25T12:24:49.79" personId="{98986A2A-739A-4851-A979-4B0D560C46CD}" id="{F9382AC6-8EC4-454D-BC50-6A95A6BDC6CB}">
    <text>04 camas, 1500€ alquiler, 1500€ fianza</text>
  </threadedComment>
  <threadedComment ref="F3471" dT="2026-01-29T14:32:41.57" personId="{4D8483EF-5A39-4E7B-A473-929EF5A077E1}" id="{7084F3E6-B327-4834-9873-E8053F1B52C6}">
    <text>Alojamiento para 6 personas</text>
  </threadedComment>
  <threadedComment ref="F3477" dT="2025-02-13T10:05:11.33" personId="{17D30B62-2123-41F1-B603-E5411FDFA3E0}" id="{7B6F84C4-6588-4CBD-9872-9D493D6C4B6C}">
    <text>Habitacion doble para trabajadores cant 1 Costo 60€/noche
Habitacion triple para trabajadores cant 3 Costo 75€/noche cada una
(camas separadas)</text>
  </threadedComment>
  <threadedComment ref="F3478" dT="2025-02-13T10:05:11.33" personId="{17D30B62-2123-41F1-B603-E5411FDFA3E0}" id="{FDE8D6E4-17DD-434C-BF78-B6ED6E53BC8F}">
    <text>Habitacion doble para trabajadores cant 1 Costo 60€/noche
Habitacion triple para trabajadores cant 3 Costo 75€/noche cada una
(camas separadas)</text>
  </threadedComment>
  <threadedComment ref="F3481" dT="2025-02-24T10:19:28.57" personId="{98986A2A-739A-4851-A979-4B0D560C46CD}" id="{B2557E5F-F7ED-4F97-816B-DD95AF93602E}">
    <text>06 camas</text>
  </threadedComment>
  <threadedComment ref="F3481" dT="2025-08-05T11:29:05.15" personId="{17D30B62-2123-41F1-B603-E5411FDFA3E0}" id="{4C3E95B8-0A96-4067-8808-52699496D7EB}" parentId="{B2557E5F-F7ED-4F97-816B-DD95AF93602E}">
    <text>+1 Cama</text>
  </threadedComment>
  <threadedComment ref="F3482" dT="2025-02-13T10:05:11.33" personId="{17D30B62-2123-41F1-B603-E5411FDFA3E0}" id="{D604602C-D1A9-411A-996A-EA5524536177}">
    <text>4 Habitaciones 5 camas 1 sofá</text>
  </threadedComment>
  <threadedComment ref="F3482" dT="2025-11-07T07:08:43.68" personId="{98986A2A-739A-4851-A979-4B0D560C46CD}" id="{FE1E95F4-A6A6-4ECC-96E0-6FDC70F1538F}" parentId="{D604602C-D1A9-411A-996A-EA5524536177}">
    <text>875,50 alquiler</text>
  </threadedComment>
  <threadedComment ref="F3482" dT="2026-08-19T09:16:29.54" personId="{E3C446A3-37B8-466B-82DA-8F7BAC7681F7}" id="{BD96076D-9296-43EF-8C47-5322B192C132}" parentId="{D604602C-D1A9-411A-996A-EA5524536177}">
    <text>FIANZA 1700€</text>
  </threadedComment>
  <threadedComment ref="F3483" dT="2025-02-13T10:05:11.33" personId="{17D30B62-2123-41F1-B603-E5411FDFA3E0}" id="{6688FB90-246B-456B-BF34-1D42487B3DF2}">
    <text>4 Habitaciones 5 camas 1 sofá</text>
  </threadedComment>
  <threadedComment ref="F3483" dT="2025-11-07T07:08:43.68" personId="{98986A2A-739A-4851-A979-4B0D560C46CD}" id="{6BE405AF-F459-4A85-8006-2E86E9FCED44}" parentId="{6688FB90-246B-456B-BF34-1D42487B3DF2}">
    <text>875,50 alquiler</text>
  </threadedComment>
  <threadedComment ref="F3483" dT="2026-08-19T09:16:29.54" personId="{E3C446A3-37B8-466B-82DA-8F7BAC7681F7}" id="{8D69424A-535D-4FD7-945F-5B3F4DC45F05}" parentId="{6688FB90-246B-456B-BF34-1D42487B3DF2}">
    <text>FIANZA 1700€</text>
  </threadedComment>
  <threadedComment ref="F3484" dT="2025-07-09T14:24:23.31" personId="{98986A2A-739A-4851-A979-4B0D560C46CD}" id="{74CA2C2B-A9A8-48A7-9381-B318C61B3F9A}">
    <text>10 CAMAS</text>
  </threadedComment>
  <threadedComment ref="F3487" dT="2025-08-19T13:30:20.82" personId="{17D30B62-2123-41F1-B603-E5411FDFA3E0}" id="{EAB080D3-7028-4678-A77B-B06590B49268}">
    <text xml:space="preserve">6 Camas Alquiler 2.500€ </text>
  </threadedComment>
  <threadedComment ref="F3488" dT="2025-08-19T13:30:20.82" personId="{17D30B62-2123-41F1-B603-E5411FDFA3E0}" id="{71BA20D5-CCE0-400E-B983-DECA4D8F9F5D}">
    <text xml:space="preserve">6 Camas Alquiler 2.500€ </text>
  </threadedComment>
  <threadedComment ref="F3489" dT="2025-07-03T17:00:32.63" personId="{98986A2A-739A-4851-A979-4B0D560C46CD}" id="{06C79EAA-A93D-4F09-80BB-8D00836D0314}">
    <text xml:space="preserve">1400€ ALQUILER, 5 CAMAS
</text>
  </threadedComment>
  <threadedComment ref="F3491" dT="2025-02-13T10:05:11.33" personId="{17D30B62-2123-41F1-B603-E5411FDFA3E0}" id="{E63008A0-E356-4A08-8EDB-63BD3D6EA24C}">
    <text>Habitacion doble para trabajadores cant 1 Costo 60€/noche
Habitacion triple para trabajadores cant 3 Costo 75€/noche cada una
(camas separadas)</text>
  </threadedComment>
  <threadedComment ref="F3496" dT="2025-08-29T07:41:23.95" personId="{17D30B62-2123-41F1-B603-E5411FDFA3E0}" id="{D4B1ACA8-F3CA-4DB3-837E-53745BD8F746}">
    <text>3 CAMAS</text>
  </threadedComment>
  <threadedComment ref="F3497" dT="2025-02-13T10:05:11.33" personId="{17D30B62-2123-41F1-B603-E5411FDFA3E0}" id="{D775778B-0264-4454-A06C-0E0988872E56}">
    <text>Habitacion doble para trabajadores cant 1 Costo 60€/noche
Habitacion triple para trabajadores cant 3 Costo 75€/noche cada una
(camas separadas)</text>
  </threadedComment>
  <threadedComment ref="F3499" dT="2025-02-13T10:05:11.33" personId="{17D30B62-2123-41F1-B603-E5411FDFA3E0}" id="{C0137ED6-90BC-4E12-B5F6-C783DA7B383B}">
    <text>Habitacion doble para trabajadores cant 1 Costo 60€/noche
Habitacion triple para trabajadores cant 3 Costo 75€/noche cada una
(camas separadas)</text>
  </threadedComment>
  <threadedComment ref="F3501" dT="2025-03-03T15:39:24.40" personId="{98986A2A-739A-4851-A979-4B0D560C46CD}" id="{ADB912BD-FE17-4A6C-B626-220BECDC318A}">
    <text>1200€ alquiler, 05 camas, 1200€ fianza</text>
  </threadedComment>
  <threadedComment ref="F3508" dT="2025-08-28T15:36:45.36" personId="{17D30B62-2123-41F1-B603-E5411FDFA3E0}" id="{ED8F7453-AA0D-4E3F-BF15-E8AFF502808A}">
    <text xml:space="preserve">5 camas </text>
  </threadedComment>
  <threadedComment ref="F3509" dT="2025-08-28T15:36:45.36" personId="{17D30B62-2123-41F1-B603-E5411FDFA3E0}" id="{AEF63FBE-B511-4F89-9315-EA1AC7DC733E}">
    <text xml:space="preserve">5 camas </text>
  </threadedComment>
  <threadedComment ref="F3510" dT="2025-08-28T15:36:45.36" personId="{17D30B62-2123-41F1-B603-E5411FDFA3E0}" id="{ADD663BB-71BC-4763-AC52-2E5771D191ED}">
    <text xml:space="preserve">5 camas </text>
  </threadedComment>
  <threadedComment ref="F3511" dT="2025-08-28T15:36:45.36" personId="{17D30B62-2123-41F1-B603-E5411FDFA3E0}" id="{FD391530-8417-464A-B8D7-858B4D0D1FF8}">
    <text xml:space="preserve">5 camas </text>
  </threadedComment>
  <threadedComment ref="F3514" dT="2025-09-16T06:47:06.43" personId="{17D30B62-2123-41F1-B603-E5411FDFA3E0}" id="{B4E00271-55C2-4B57-B7B8-E507199C8E09}">
    <text>habitación Doble.</text>
  </threadedComment>
  <threadedComment ref="F3515" dT="2025-06-25T14:37:51.43" personId="{98986A2A-739A-4851-A979-4B0D560C46CD}" id="{E012D76E-9BD2-4ABA-BE0F-9F1CDD3EF95B}">
    <text xml:space="preserve">03 camas + 01 sofa cama. Alquiler 600€. Fianza 600€
</text>
  </threadedComment>
  <threadedComment ref="F3516" dT="2025-02-13T10:05:11.33" personId="{17D30B62-2123-41F1-B603-E5411FDFA3E0}" id="{C0C5F6E5-6716-4D96-A7E0-874822B20FE3}">
    <text>Habitacion doble para trabajadores cant 1 Costo 60€/noche
Habitacion triple para trabajadores cant 3 Costo 75€/noche cada una
(camas separadas)</text>
  </threadedComment>
  <threadedComment ref="F3517" dT="2025-02-13T10:05:11.33" personId="{17D30B62-2123-41F1-B603-E5411FDFA3E0}" id="{72F51FBF-8801-4040-8D14-AE7A83FCD614}">
    <text>4 Habitaciones 5 camas 1 sofá</text>
  </threadedComment>
  <threadedComment ref="F3517" dT="2025-11-07T07:08:43.68" personId="{98986A2A-739A-4851-A979-4B0D560C46CD}" id="{A7A25E7B-1AFC-478B-B7CF-CF7BAF162DEE}" parentId="{72F51FBF-8801-4040-8D14-AE7A83FCD614}">
    <text>875,50 alquiler</text>
  </threadedComment>
  <threadedComment ref="F3517" dT="2026-08-19T09:16:29.54" personId="{E3C446A3-37B8-466B-82DA-8F7BAC7681F7}" id="{C92579CF-D6C8-4466-9AFB-6AAD5FCC0654}" parentId="{72F51FBF-8801-4040-8D14-AE7A83FCD614}">
    <text>FIANZA 1700€</text>
  </threadedComment>
  <threadedComment ref="F3518" dT="2025-02-26T14:29:45.42" personId="{17D30B62-2123-41F1-B603-E5411FDFA3E0}" id="{36A25A4A-EF0A-402C-BA58-3B106C625413}">
    <text>9 Camas, Alquiler 2300€, Fianza 700€</text>
  </threadedComment>
  <threadedComment ref="F3518" dT="2026-01-21T15:11:00.84" personId="{4D8483EF-5A39-4E7B-A473-929EF5A077E1}" id="{4058AD0D-C575-4FBE-BAF9-DB5D5F319C40}" parentId="{36A25A4A-EF0A-402C-BA58-3B106C625413}">
    <text xml:space="preserve">Descuento a 2000€ </text>
  </threadedComment>
  <threadedComment ref="F3520" dT="2025-08-29T07:41:23.95" personId="{17D30B62-2123-41F1-B603-E5411FDFA3E0}" id="{060FBFE7-BAA3-4D18-9407-51F8B1DC9A27}">
    <text>3 CAMAS</text>
  </threadedComment>
  <threadedComment ref="F3521" dT="2025-08-29T07:41:23.95" personId="{17D30B62-2123-41F1-B603-E5411FDFA3E0}" id="{3C5A0556-95F3-4C72-B15B-5F581BEC841B}">
    <text>3 CAMAS</text>
  </threadedComment>
  <threadedComment ref="F3522" dT="2025-08-29T07:41:23.95" personId="{17D30B62-2123-41F1-B603-E5411FDFA3E0}" id="{1C392AAD-AB2B-4DF6-A862-1960C5843715}">
    <text>3 CAMAS</text>
  </threadedComment>
  <threadedComment ref="F3523" dT="2025-02-13T10:05:11.33" personId="{17D30B62-2123-41F1-B603-E5411FDFA3E0}" id="{D363CACA-1857-4B06-9CFB-64EA0497A5E2}">
    <text>Habitacion doble para trabajadores cant 1 Costo 60€/noche
Habitacion triple para trabajadores cant 3 Costo 75€/noche cada una
(camas separadas)</text>
  </threadedComment>
  <threadedComment ref="F3524" dT="2025-03-03T15:49:22.14" personId="{98986A2A-739A-4851-A979-4B0D560C46CD}" id="{025A69C9-BC2F-4B9A-B69F-E2D53B31E6D8}">
    <text>03 camas, 550€ alquiler, 550€ fianza</text>
  </threadedComment>
  <threadedComment ref="F3532" dT="2025-08-14T08:55:55.58" personId="{17D30B62-2123-41F1-B603-E5411FDFA3E0}" id="{072523C6-2E54-4808-84E6-FCCBFF570C49}">
    <text>4 Camas, Alquiler 750€ Fianza 750€</text>
  </threadedComment>
  <threadedComment ref="F3536" dT="2025-03-03T08:44:38.47" personId="{98986A2A-739A-4851-A979-4B0D560C46CD}" id="{3FD99B5A-AC80-4945-A69E-0A3593EF8E01}">
    <text>03 habitaciones.04 camas 600 la mensualidad. 1200 fianza.
01 Cama de Kotrik</text>
  </threadedComment>
  <threadedComment ref="F3538" dT="2025-02-13T10:05:11.33" personId="{17D30B62-2123-41F1-B603-E5411FDFA3E0}" id="{20E648FF-754E-4F42-B320-BA68A2BC79EB}">
    <text>4 Habitaciones 5 camas 1 sofá</text>
  </threadedComment>
  <threadedComment ref="F3538" dT="2025-11-07T07:08:43.68" personId="{98986A2A-739A-4851-A979-4B0D560C46CD}" id="{65098E26-1496-47FC-8030-8C27864A314D}" parentId="{20E648FF-754E-4F42-B320-BA68A2BC79EB}">
    <text>875,50 alquiler</text>
  </threadedComment>
  <threadedComment ref="F3538" dT="2026-08-19T09:16:29.54" personId="{E3C446A3-37B8-466B-82DA-8F7BAC7681F7}" id="{2B808ADD-ADFA-4596-9347-78EFE4BD0634}" parentId="{20E648FF-754E-4F42-B320-BA68A2BC79EB}">
    <text>FIANZA 1700€</text>
  </threadedComment>
  <threadedComment ref="F3539" dT="2024-11-07T17:15:37.18" personId="{98986A2A-739A-4851-A979-4B0D560C46CD}" id="{25317CA1-E6D1-4952-B153-10F3D2D9BDB4}">
    <text>04 camas 1500€, fianza 1000€</text>
  </threadedComment>
  <threadedComment ref="F3540" dT="2025-03-27T16:16:05.36" personId="{17D30B62-2123-41F1-B603-E5411FDFA3E0}" id="{DCB58205-858B-47B9-8A8A-69F8464D77C8}">
    <text>5 CAMAS</text>
  </threadedComment>
  <threadedComment ref="F3541" dT="2024-06-25T09:14:46.90" personId="{98986A2A-739A-4851-A979-4B0D560C46CD}" id="{23FCB753-544E-43DA-A046-97628393183B}">
    <text>Fianza 1000, alquiler 1250, 05 camas. Nuevo Contrato Febrero 2025</text>
  </threadedComment>
  <threadedComment ref="F3542" dT="2024-06-25T09:14:46.90" personId="{98986A2A-739A-4851-A979-4B0D560C46CD}" id="{21B32967-3937-4263-924E-6F215D5B761F}">
    <text>Fianza 1000, alquiler 1250, 05 camas. Nuevo Contrato Febrero 2025</text>
  </threadedComment>
  <threadedComment ref="F3544" dT="2024-08-08T15:05:50.75" personId="{8BEA8CB1-BB33-44FC-A791-4439DE945680}" id="{9F6B1829-32F7-451D-91AC-76379C216303}">
    <text>Alquiler 1380 Fianza 2760 Camas 5</text>
  </threadedComment>
  <threadedComment ref="F3545" dT="2025-02-26T14:56:43.99" personId="{17D30B62-2123-41F1-B603-E5411FDFA3E0}" id="{05D300E9-CFFB-42E0-A504-1AA584370AB9}">
    <text>Alojamiento para 9 personas.
 3 apartamentos triples (101-102-121)</text>
  </threadedComment>
  <threadedComment ref="F3545" dT="2025-10-14T10:02:06.67" personId="{4D8483EF-5A39-4E7B-A473-929EF5A077E1}" id="{E2E71818-1DBE-41BC-AFAD-EAA71CB64B5F}" parentId="{05D300E9-CFFB-42E0-A504-1AA584370AB9}">
    <text xml:space="preserve">Alojamiento para 6 personas.
 2 apartamentos triples </text>
  </threadedComment>
  <threadedComment ref="F3546" dT="2025-02-26T14:56:43.99" personId="{17D30B62-2123-41F1-B603-E5411FDFA3E0}" id="{57A002EF-4B58-45FB-AAF0-AB78943E8B55}">
    <text>Alojamiento para 9 personas.
 3 apartamentos triples (101-102-121)</text>
  </threadedComment>
  <threadedComment ref="F3546" dT="2025-10-14T10:02:06.67" personId="{4D8483EF-5A39-4E7B-A473-929EF5A077E1}" id="{6C4B2689-E797-4ADE-8F60-9BDA780AFEA8}" parentId="{57A002EF-4B58-45FB-AAF0-AB78943E8B55}">
    <text xml:space="preserve">Alojamiento para 6 personas.
 2 apartamentos triples </text>
  </threadedComment>
  <threadedComment ref="F3547" dT="2025-08-19T13:30:20.82" personId="{17D30B62-2123-41F1-B603-E5411FDFA3E0}" id="{176CEB83-9AFF-4BD2-B90A-420B79CFE578}">
    <text xml:space="preserve">6 Camas Alquiler 2.500€ </text>
  </threadedComment>
  <threadedComment ref="F3548" dT="2025-08-29T06:05:00.53" personId="{17D30B62-2123-41F1-B603-E5411FDFA3E0}" id="{ED0A7776-B3DB-4DE7-9A54-F8BF0D0617E0}">
    <text xml:space="preserve">Alquiler 2.800€ Fianza 500€ 6 camas </text>
  </threadedComment>
  <threadedComment ref="F3549" dT="2025-02-26T14:56:43.99" personId="{17D30B62-2123-41F1-B603-E5411FDFA3E0}" id="{99C4E7A5-987D-47D8-BCBE-717FA44B30B4}">
    <text>Alojamiento para 11 personas.</text>
  </threadedComment>
  <threadedComment ref="F3550" dT="2025-10-23T15:01:45.85" personId="{4D8483EF-5A39-4E7B-A473-929EF5A077E1}" id="{B7465C36-0B9F-4EB7-A125-13CBB3742982}">
    <text>7 Camas</text>
  </threadedComment>
  <threadedComment ref="F3569" dT="2025-09-23T14:26:28.36" personId="{17D30B62-2123-41F1-B603-E5411FDFA3E0}" id="{DBAC4A76-691D-4642-A1EE-29A034E88DB6}">
    <text>1 Habitación 2 camas.</text>
  </threadedComment>
  <threadedComment ref="F3571" dT="2025-09-22T06:31:07.01" personId="{17D30B62-2123-41F1-B603-E5411FDFA3E0}" id="{2A275099-36CD-4521-9F60-9599277C1E22}">
    <text>1 Habitación, 28€/ Noche un mes entrando el 20/09</text>
  </threadedComment>
  <threadedComment ref="F3572" dT="2025-07-03T17:00:32.63" personId="{98986A2A-739A-4851-A979-4B0D560C46CD}" id="{E54CF192-58DD-4DB0-B428-DD7B973F4B7D}">
    <text xml:space="preserve">1400€ ALQUILER, 5 CAMAS
</text>
  </threadedComment>
  <threadedComment ref="F3575" dT="2025-02-13T10:05:11.33" personId="{17D30B62-2123-41F1-B603-E5411FDFA3E0}" id="{96883EE8-3173-4EBC-B12B-D0E0A2E1FD91}">
    <text>Habitacion doble para trabajadores cant 1 Costo 60€/noche
Habitacion triple para trabajadores cant 3 Costo 75€/noche cada una
(camas separadas)</text>
  </threadedComment>
  <threadedComment ref="F3576" dT="2025-07-29T15:09:59.67" personId="{17D30B62-2123-41F1-B603-E5411FDFA3E0}" id="{27671C0E-BE45-443B-888B-699E9057E61E}">
    <text>1 Habitación 300€ ALQUILER
300€ FIANZA</text>
  </threadedComment>
  <threadedComment ref="F3581" dT="2025-06-13T11:20:48.41" personId="{98986A2A-739A-4851-A979-4B0D560C46CD}" id="{60669196-5C27-4792-9FB8-45512752C833}">
    <text>05 camas, 1200€ alquiler,+ 250€ SUMINISTROS+ 1200€ fianza</text>
  </threadedComment>
  <threadedComment ref="F3584" dT="2025-06-13T11:20:48.41" personId="{98986A2A-739A-4851-A979-4B0D560C46CD}" id="{5D7BC9A1-6BBD-4BC1-A211-1DF1F0A24C02}">
    <text>05 camas, 1200€ alquiler,+ 250€ SUMINISTROS+ 1200€ fianza</text>
  </threadedComment>
  <threadedComment ref="F3585" dT="2025-10-23T15:01:45.85" personId="{4D8483EF-5A39-4E7B-A473-929EF5A077E1}" id="{933DA8A8-4601-4A3D-B871-41A6DA058553}">
    <text>7 Camas</text>
  </threadedComment>
  <threadedComment ref="F3585" dT="2025-11-13T08:10:52.60" personId="{98986A2A-739A-4851-A979-4B0D560C46CD}" id="{DCA508BB-A380-4C6B-AC68-BFE6E54F4B62}" parentId="{933DA8A8-4601-4A3D-B871-41A6DA058553}">
    <text>FIANZA 1900€, ALQUILER 1900€</text>
  </threadedComment>
  <threadedComment ref="F3585" dT="2026-07-31T09:07:19.23" personId="{4D8483EF-5A39-4E7B-A473-929EF5A077E1}" id="{58070C61-9111-4C38-8022-CD8D6022D3CC}" parentId="{933DA8A8-4601-4A3D-B871-41A6DA058553}">
    <text xml:space="preserve"> ALQUILER 1500€</text>
  </threadedComment>
  <threadedComment ref="F3586" dT="2025-03-04T17:12:38.85" personId="{98986A2A-739A-4851-A979-4B0D560C46CD}" id="{0AC0B287-452D-4D7D-8F06-5690C0A66120}">
    <text xml:space="preserve">09 camas, 2100€ fianza, 2100€ alquiler =2100€.
A partir de Marzo 2026 se adicionan 200€ anticipo de suministros </text>
  </threadedComment>
  <threadedComment ref="F3587" dT="2025-06-13T11:20:48.41" personId="{98986A2A-739A-4851-A979-4B0D560C46CD}" id="{BB42F8E7-17A6-4EDC-ACED-75DD797803A3}">
    <text>05 camas, 1200€ alquiler,+ 250€ SUMINISTROS+ 1200€ fianza</text>
  </threadedComment>
  <threadedComment ref="F3590" dT="2025-06-25T14:37:51.43" personId="{98986A2A-739A-4851-A979-4B0D560C46CD}" id="{F3A1E825-3F78-4EC4-AC74-E269EE204A5E}">
    <text xml:space="preserve">03 camas + 01 sofa cama. Alquiler 600€. Fianza 600€
</text>
  </threadedComment>
  <threadedComment ref="F3592" dT="2024-08-06T14:12:58.54" personId="{8BEA8CB1-BB33-44FC-A791-4439DE945680}" id="{D4DA41A0-9756-46A1-A8EE-99AF4A4C4107}">
    <text>Alquiler 1700, fianza 1700 6 CAMAS</text>
  </threadedComment>
  <threadedComment ref="F3592" dT="2025-01-16T18:23:38.41" personId="{98986A2A-739A-4851-A979-4B0D560C46CD}" id="{8DF77513-0393-4128-A3B9-F6531EAB0825}" parentId="{D4DA41A0-9756-46A1-A8EE-99AF4A4C4107}">
    <text>5 habitaciones</text>
  </threadedComment>
  <threadedComment ref="F3597" dT="2025-10-23T15:01:45.85" personId="{4D8483EF-5A39-4E7B-A473-929EF5A077E1}" id="{902EA8F1-20F5-49A1-A9C5-B2ED1820DE64}">
    <text>7 Camas</text>
  </threadedComment>
  <threadedComment ref="F3597" dT="2025-11-13T08:10:52.60" personId="{98986A2A-739A-4851-A979-4B0D560C46CD}" id="{53358B6C-528A-4EBD-8419-C0360CD99143}" parentId="{902EA8F1-20F5-49A1-A9C5-B2ED1820DE64}">
    <text>FIANZA 1900€, ALQUILER 1900€</text>
  </threadedComment>
  <threadedComment ref="F3597" dT="2026-07-31T09:07:19.23" personId="{4D8483EF-5A39-4E7B-A473-929EF5A077E1}" id="{D4573E01-B631-4CAE-9580-0BEAAE85DB52}" parentId="{902EA8F1-20F5-49A1-A9C5-B2ED1820DE64}">
    <text xml:space="preserve"> ALQUILER 1500€</text>
  </threadedComment>
  <threadedComment ref="F3598" dT="2025-09-15T08:08:21.02" personId="{17D30B62-2123-41F1-B603-E5411FDFA3E0}" id="{99C46D2E-CEED-471C-B274-A35463A81ED6}">
    <text>3 Camas</text>
  </threadedComment>
  <threadedComment ref="F3599" dT="2025-08-14T08:55:55.58" personId="{17D30B62-2123-41F1-B603-E5411FDFA3E0}" id="{27DF2588-58EE-491B-9D90-CA1ED38C1AC3}">
    <text>4 Camas, Alquiler 750€ Fianza 750€</text>
  </threadedComment>
  <threadedComment ref="F3600" dT="2025-02-13T10:05:11.33" personId="{17D30B62-2123-41F1-B603-E5411FDFA3E0}" id="{6693E675-E2CB-4805-853D-A5DF302879B1}">
    <text>4 Habitaciones 5 camas 1 sofá</text>
  </threadedComment>
  <threadedComment ref="F3600" dT="2025-11-07T07:08:43.68" personId="{98986A2A-739A-4851-A979-4B0D560C46CD}" id="{752D10C8-B147-490A-AFAA-B891348D87E1}" parentId="{6693E675-E2CB-4805-853D-A5DF302879B1}">
    <text>875,50 alquiler</text>
  </threadedComment>
  <threadedComment ref="F3600" dT="2026-08-19T09:16:29.54" personId="{E3C446A3-37B8-466B-82DA-8F7BAC7681F7}" id="{F59FF1A6-3B67-4B4E-BAAD-CE0F5ACBAAFC}" parentId="{6693E675-E2CB-4805-853D-A5DF302879B1}">
    <text>FIANZA 1700€</text>
  </threadedComment>
  <threadedComment ref="F3601" dT="2025-02-13T10:05:11.33" personId="{17D30B62-2123-41F1-B603-E5411FDFA3E0}" id="{041FAB15-44E4-4E89-9BB8-F1C78F212156}">
    <text>4 Habitaciones 5 camas 1 sofá</text>
  </threadedComment>
  <threadedComment ref="F3601" dT="2025-11-07T07:08:43.68" personId="{98986A2A-739A-4851-A979-4B0D560C46CD}" id="{1B75FEF0-62E2-454E-B88B-822BCE67EE54}" parentId="{041FAB15-44E4-4E89-9BB8-F1C78F212156}">
    <text>875,50 alquiler</text>
  </threadedComment>
  <threadedComment ref="F3601" dT="2026-08-19T09:16:29.54" personId="{E3C446A3-37B8-466B-82DA-8F7BAC7681F7}" id="{F1917C94-D0D5-4510-ADA9-EA23005D0E19}" parentId="{041FAB15-44E4-4E89-9BB8-F1C78F212156}">
    <text>FIANZA 1700€</text>
  </threadedComment>
  <threadedComment ref="F3603" dT="2025-02-13T10:05:11.33" personId="{17D30B62-2123-41F1-B603-E5411FDFA3E0}" id="{6F90B259-5330-492B-9C0E-B57BE473C4DD}">
    <text>4 Habitaciones 5 camas 1 sofá</text>
  </threadedComment>
  <threadedComment ref="F3603" dT="2025-11-07T07:08:43.68" personId="{98986A2A-739A-4851-A979-4B0D560C46CD}" id="{B42CEAEB-46CD-41B5-8560-16A042D01B64}" parentId="{6F90B259-5330-492B-9C0E-B57BE473C4DD}">
    <text>875,50 alquiler</text>
  </threadedComment>
  <threadedComment ref="F3603" dT="2026-08-19T09:16:29.54" personId="{E3C446A3-37B8-466B-82DA-8F7BAC7681F7}" id="{E14346E7-EE8E-4040-9A95-2C98944D413D}" parentId="{6F90B259-5330-492B-9C0E-B57BE473C4DD}">
    <text>FIANZA 1700€</text>
  </threadedComment>
  <threadedComment ref="F3605" dT="2025-06-30T11:38:12.54" personId="{98986A2A-739A-4851-A979-4B0D560C46CD}" id="{6F367FC7-A694-48A8-9E15-EF3692C19009}">
    <text>Alquiler 700€, 02 camas, sin fianza</text>
  </threadedComment>
  <threadedComment ref="F3605" dT="2025-09-24T10:21:53.03" personId="{17D30B62-2123-41F1-B603-E5411FDFA3E0}" id="{EF429441-F120-4C65-B769-F0BA34BE4C06}" parentId="{6F367FC7-A694-48A8-9E15-EF3692C19009}">
    <text>100€ 1 Cama adicional</text>
  </threadedComment>
  <threadedComment ref="F3620" dT="2025-07-29T09:19:19.90" personId="{17D30B62-2123-41F1-B603-E5411FDFA3E0}" id="{D8992398-294B-4C35-B33C-151F429C212B}">
    <text>4 apartamentos (para 8 personas) </text>
  </threadedComment>
  <threadedComment ref="F3621" dT="2025-09-22T06:45:35.89" personId="{17D30B62-2123-41F1-B603-E5411FDFA3E0}" id="{F60810FC-1E6B-448F-91F5-2A93EED25014}">
    <text>1 HABITACIÓN DOBLE DE BAÑO COMPARTIDO (2 CAMAS)</text>
  </threadedComment>
  <threadedComment ref="F3622" dT="2025-06-25T14:37:51.43" personId="{98986A2A-739A-4851-A979-4B0D560C46CD}" id="{EC7D4640-E903-4E51-9DC7-FAC1429F2988}">
    <text xml:space="preserve">03 camas + 01 sofa cama. Alquiler 600€. Fianza 600€
</text>
  </threadedComment>
  <threadedComment ref="F3626" dT="2025-03-03T08:44:38.47" personId="{98986A2A-739A-4851-A979-4B0D560C46CD}" id="{E1E4F2AC-A7B1-4856-ADA7-7196B736F89C}">
    <text>03 habitaciones.04 camas 600 la mensualidad. 1200 fianza.
01 Cama de Kotrik</text>
  </threadedComment>
  <threadedComment ref="F3627" dT="2025-02-13T10:05:11.33" personId="{17D30B62-2123-41F1-B603-E5411FDFA3E0}" id="{4A873D36-38F7-4096-ADCA-6956D3625D4B}">
    <text>Habitacion doble para trabajadores cant 1 Costo 60€/noche
Habitacion triple para trabajadores cant 3 Costo 75€/noche cada una
(camas separadas)</text>
  </threadedComment>
  <threadedComment ref="F3628" dT="2025-06-30T11:38:12.54" personId="{98986A2A-739A-4851-A979-4B0D560C46CD}" id="{23D75984-8A3C-4EA3-AD72-EE5D9E49A39B}">
    <text>Alquiler 700€, 02 camas, sin fianza</text>
  </threadedComment>
  <threadedComment ref="F3628" dT="2025-09-24T10:21:53.03" personId="{17D30B62-2123-41F1-B603-E5411FDFA3E0}" id="{87E6290B-BBBE-4AB1-BF02-5D915C60D505}" parentId="{23D75984-8A3C-4EA3-AD72-EE5D9E49A39B}">
    <text>100€ 1 Cama adicional</text>
  </threadedComment>
  <threadedComment ref="F3629" dT="2025-06-13T11:20:48.41" personId="{98986A2A-739A-4851-A979-4B0D560C46CD}" id="{89BAC427-3019-4DA6-B582-50A67327CA8C}">
    <text>05 camas, 1200€ alquiler,+ 250€ SUMINISTROS+ 1200€ fianza</text>
  </threadedComment>
  <threadedComment ref="F3631" dT="2025-08-18T06:39:38.20" personId="{17D30B62-2123-41F1-B603-E5411FDFA3E0}" id="{743C87CE-BB50-4F29-B87D-89055BAF3BAC}">
    <text>4 Camas, 800€ FIANZA
800€ ALQUILER</text>
  </threadedComment>
  <threadedComment ref="F3632" dT="2025-08-18T06:39:38.20" personId="{17D30B62-2123-41F1-B603-E5411FDFA3E0}" id="{7EEB8DE2-F9A4-45E4-B551-30A1012CAA69}">
    <text>4 Camas, 800€ FIANZA
800€ ALQUILER</text>
  </threadedComment>
  <threadedComment ref="F3633" dT="2025-08-18T06:39:38.20" personId="{17D30B62-2123-41F1-B603-E5411FDFA3E0}" id="{3B59CE7E-E3EF-42AB-9DBE-C94C45B8F28B}">
    <text>4 Camas, 800€ FIANZA
800€ ALQUILER</text>
  </threadedComment>
  <threadedComment ref="F3634" dT="2024-12-02T09:17:44.96" personId="{98986A2A-739A-4851-A979-4B0D560C46CD}" id="{2210D30B-3279-4163-A020-BCC141D08C40}">
    <text>08 CAMAS, 2500€ alquiler, 2500€ fianza</text>
  </threadedComment>
  <threadedComment ref="F3635" dT="2025-08-29T06:05:00.53" personId="{17D30B62-2123-41F1-B603-E5411FDFA3E0}" id="{CA1C5FBD-CCDB-4AE8-8CB8-8DC96C9E7049}">
    <text xml:space="preserve">Alquiler 2.800€ Fianza 500€ 6 camas </text>
  </threadedComment>
  <threadedComment ref="F3647" dT="2025-02-26T14:56:43.99" personId="{17D30B62-2123-41F1-B603-E5411FDFA3E0}" id="{7596A6C7-8F0E-4B01-AB77-D3956254FCE3}">
    <text>Alojamiento para 9 personas.
 3 apartamentos triples (101-102-121)</text>
  </threadedComment>
  <threadedComment ref="F3649" dT="2025-02-13T10:05:11.33" personId="{17D30B62-2123-41F1-B603-E5411FDFA3E0}" id="{6313BB56-3BA6-42CE-929D-2ACA3666B00A}">
    <text>Habitacion doble para trabajadores cant 1 Costo 60€/noche
Habitacion triple para trabajadores cant 3 Costo 75€/noche cada una
(camas separadas)</text>
  </threadedComment>
  <threadedComment ref="F3650" dT="2025-02-13T10:05:11.33" personId="{17D30B62-2123-41F1-B603-E5411FDFA3E0}" id="{3903E6BC-13E2-4EBF-B19D-8C04BD3F2B1F}">
    <text>Habitacion doble para trabajadores cant 1 Costo 60€/noche
Habitacion triple para trabajadores cant 3 Costo 75€/noche cada una
(camas separadas)</text>
  </threadedComment>
  <threadedComment ref="F3651" dT="2025-09-15T06:51:15.08" personId="{17D30B62-2123-41F1-B603-E5411FDFA3E0}" id="{A3B165A7-7FC8-4C69-9726-2D8AC7A727F3}">
    <text>Alojamiento para 2 PERSONAS</text>
  </threadedComment>
  <threadedComment ref="F3653" dT="2025-07-09T14:24:23.31" personId="{98986A2A-739A-4851-A979-4B0D560C46CD}" id="{6F12D15F-3360-4F28-9967-582C43FBA1AF}">
    <text>10 CAMAS</text>
  </threadedComment>
  <threadedComment ref="F3654" dT="2024-08-06T14:12:58.54" personId="{8BEA8CB1-BB33-44FC-A791-4439DE945680}" id="{8D3DED8D-A219-4903-823B-C360D0F646BB}">
    <text>Alquiler 1700, fianza 1700 6 CAMAS</text>
  </threadedComment>
  <threadedComment ref="F3654" dT="2025-01-16T18:23:38.41" personId="{98986A2A-739A-4851-A979-4B0D560C46CD}" id="{61E86B04-8F30-4EA5-8434-67150A3BA84D}" parentId="{8D3DED8D-A219-4903-823B-C360D0F646BB}">
    <text>5 habitaciones</text>
  </threadedComment>
  <threadedComment ref="F3655" dT="2025-09-22T06:45:40.55" personId="{17D30B62-2123-41F1-B603-E5411FDFA3E0}" id="{60085503-953D-46C7-AB5E-E5216D6BC028}">
    <text>1 HABITACIÓN DOBLE DE BAÑO COMPARTIDO (2 CAMAS)</text>
  </threadedComment>
  <threadedComment ref="F3662" dT="2025-09-16T09:21:51.89" personId="{17D30B62-2123-41F1-B603-E5411FDFA3E0}" id="{0551D8B0-1C2F-447F-BA61-A54EF900DAAB}">
    <text>1 Habitación.</text>
  </threadedComment>
  <threadedComment ref="F3664" dT="2025-02-26T12:24:18.65" personId="{98986A2A-739A-4851-A979-4B0D560C46CD}" id="{D6C294DB-9B31-4EF7-A05A-D3BBE83C59F0}">
    <text xml:space="preserve">Alquiler 1100 , Fianza 2200  Camas 4
</text>
  </threadedComment>
  <threadedComment ref="F3665" dT="2025-02-26T12:24:18.65" personId="{98986A2A-739A-4851-A979-4B0D560C46CD}" id="{6DFED20F-3C0E-44BB-AD1F-92DE35400E17}">
    <text xml:space="preserve">Alquiler 1100 , Fianza 2200  Camas 4
</text>
  </threadedComment>
  <threadedComment ref="F3666" dT="2025-06-09T14:18:50.75" personId="{98986A2A-739A-4851-A979-4B0D560C46CD}" id="{A2AE359F-A06E-49E6-9B86-2943EC8193C8}">
    <text>04 CAMAS (01 KOTRIK) ALQUILER 1300€-FIANZA 1300€</text>
  </threadedComment>
  <threadedComment ref="F3667" dT="2025-02-26T12:24:18.65" personId="{98986A2A-739A-4851-A979-4B0D560C46CD}" id="{6CEF72C9-EA5C-4846-BF8D-073C4444673A}">
    <text xml:space="preserve">Alquiler 1100 , Fianza 2200  Camas 4
</text>
  </threadedComment>
  <threadedComment ref="F3668" dT="2025-06-13T10:42:52.46" personId="{98986A2A-739A-4851-A979-4B0D560C46CD}" id="{B6B925A9-3A12-4F82-9007-4D971458265B}">
    <text>06 CAMAS, 1320€ ALQUILER, 990 FIANZA</text>
  </threadedComment>
  <threadedComment ref="F3669" dT="2025-06-25T15:20:38.46" personId="{98986A2A-739A-4851-A979-4B0D560C46CD}" id="{91CDA9E5-29D7-4A02-ADAA-B18A49A2715C}">
    <text>1300€ ALQUILER- 1300€FIANZA-04 CAMAS</text>
  </threadedComment>
  <threadedComment ref="F3670" dT="2025-06-25T15:20:38.46" personId="{98986A2A-739A-4851-A979-4B0D560C46CD}" id="{9DCC1BDB-43E7-4586-805C-DBC29F1E8449}">
    <text>1300€ ALQUILER- 1300€FIANZA-04 CAMAS</text>
  </threadedComment>
  <threadedComment ref="F3671" dT="2025-06-13T10:42:52.46" personId="{98986A2A-739A-4851-A979-4B0D560C46CD}" id="{55169048-F96B-4D47-8474-09C0C905D558}">
    <text>06 CAMAS, 1320€ ALQUILER, 990 FIANZA</text>
  </threadedComment>
  <threadedComment ref="F3681" dT="2025-02-13T10:05:11.33" personId="{17D30B62-2123-41F1-B603-E5411FDFA3E0}" id="{962B8A22-6748-453F-A4E7-5D14BDF8A685}">
    <text>4 Habitaciones 5 camas 1 sofá</text>
  </threadedComment>
  <threadedComment ref="F3681" dT="2025-11-07T07:08:43.68" personId="{98986A2A-739A-4851-A979-4B0D560C46CD}" id="{D06E7290-454C-4CF0-9136-54CECADFC262}" parentId="{962B8A22-6748-453F-A4E7-5D14BDF8A685}">
    <text>875,50 alquiler</text>
  </threadedComment>
  <threadedComment ref="F3681" dT="2026-08-19T09:16:29.54" personId="{E3C446A3-37B8-466B-82DA-8F7BAC7681F7}" id="{215B3FEC-1FEB-467D-8DCB-56F94F3853FB}" parentId="{962B8A22-6748-453F-A4E7-5D14BDF8A685}">
    <text>FIANZA 1700€</text>
  </threadedComment>
  <threadedComment ref="F3691" dT="2025-07-29T09:19:19.90" personId="{17D30B62-2123-41F1-B603-E5411FDFA3E0}" id="{A4BA6A22-B35F-4A78-9F5C-283EF8CFF563}">
    <text>4 apartamentos (para 8 personas) </text>
  </threadedComment>
  <threadedComment ref="F3697" dT="2025-02-13T10:05:11.33" personId="{17D30B62-2123-41F1-B603-E5411FDFA3E0}" id="{29BAC3A0-BB6E-493F-BE46-E1B7CD7F7158}">
    <text>Habitacion doble para trabajadores cant 1 Costo 60€/noche
Habitacion triple para trabajadores cant 3 Costo 75€/noche cada una
(camas separadas)</text>
  </threadedComment>
  <threadedComment ref="F3704" dT="2025-02-10T07:12:32.59" personId="{17D30B62-2123-41F1-B603-E5411FDFA3E0}" id="{A893CB3B-5D71-4735-A548-351F4C6E34F2}">
    <text xml:space="preserve">1.500€ renta mes,1.200€ Fianza, 3 Habitacines con 4 camas </text>
  </threadedComment>
  <threadedComment ref="F3705" dT="2025-10-01T14:05:37.07" personId="{17D30B62-2123-41F1-B603-E5411FDFA3E0}" id="{C94776B6-2157-48F0-9123-58273EA0004B}">
    <text>Habitación triple(para 3 personas)</text>
  </threadedComment>
  <threadedComment ref="F3706" dT="2025-10-01T14:05:37.07" personId="{17D30B62-2123-41F1-B603-E5411FDFA3E0}" id="{AA9C2400-44FB-4ED9-8D99-EC92CD49290F}">
    <text>Habitación triple(para 3 personas)</text>
  </threadedComment>
  <threadedComment ref="F3707" dT="2025-10-01T14:05:37.07" personId="{17D30B62-2123-41F1-B603-E5411FDFA3E0}" id="{82B1CFD5-A8F3-4158-BC5E-BA5635079421}">
    <text>Habitación triple(para 3 personas)</text>
  </threadedComment>
  <threadedComment ref="F3710" dT="2024-12-02T09:17:44.96" personId="{98986A2A-739A-4851-A979-4B0D560C46CD}" id="{9100802B-9665-4B09-87BC-C1DA6531E150}">
    <text>08 CAMAS, 2500€ alquiler, 2500€ fianza</text>
  </threadedComment>
  <threadedComment ref="F3711" dT="2025-08-29T06:05:00.53" personId="{17D30B62-2123-41F1-B603-E5411FDFA3E0}" id="{44961C2E-3D83-4CDE-8548-5BE1C74315C6}">
    <text xml:space="preserve">Alquiler 2.800€ Fianza 500€ 6 camas </text>
  </threadedComment>
  <threadedComment ref="F3712" dT="2025-08-29T06:05:00.53" personId="{17D30B62-2123-41F1-B603-E5411FDFA3E0}" id="{B23F7DD1-AFB3-47A7-A3C5-9F3526C56130}">
    <text xml:space="preserve">Alquiler 2.800€ Fianza 500€ 6 camas </text>
  </threadedComment>
  <threadedComment ref="F3714" dT="2025-02-25T08:01:07.95" personId="{98986A2A-739A-4851-A979-4B0D560C46CD}" id="{3F2B2DFC-1D87-4A5C-BE23-0FF06C3DDC76}">
    <text>03 camas, 1100€ alquiler, 200€ fianza</text>
  </threadedComment>
  <threadedComment ref="F3715" dT="2025-09-09T13:35:56.17" personId="{17D30B62-2123-41F1-B603-E5411FDFA3E0}" id="{556A6E27-8EF6-4496-8EF8-B136E18D9295}">
    <text>2 camas</text>
  </threadedComment>
  <threadedComment ref="F3716" dT="2025-09-09T13:35:56.17" personId="{17D30B62-2123-41F1-B603-E5411FDFA3E0}" id="{4618C570-7FE5-4ABF-B593-2D86C5DDB80A}">
    <text>2 camas</text>
  </threadedComment>
  <threadedComment ref="F3722" dT="2024-08-12T06:19:55.68" personId="{8BEA8CB1-BB33-44FC-A791-4439DE945680}" id="{A8CD1CA5-BBEE-4542-B942-D28B039C2AD5}">
    <text>ALQUILER  1500    FIANZA     3000   CAMAS 9</text>
  </threadedComment>
  <threadedComment ref="F3722" dT="2024-12-02T12:38:12.96" personId="{98986A2A-739A-4851-A979-4B0D560C46CD}" id="{774D8C79-CD6A-4B7D-AD9C-F242AB1EA597}" parentId="{A8CD1CA5-BBEE-4542-B942-D28B039C2AD5}">
    <text>11 camas, 09 acomodadas, 02 pendientes por acomodar</text>
  </threadedComment>
  <threadedComment ref="F3723" dT="2025-07-09T14:24:23.31" personId="{98986A2A-739A-4851-A979-4B0D560C46CD}" id="{E88B63DE-EBB8-4FED-84D3-43FED283461A}">
    <text>10 CAMAS</text>
  </threadedComment>
  <threadedComment ref="F3724" dT="2025-07-09T14:24:23.31" personId="{98986A2A-739A-4851-A979-4B0D560C46CD}" id="{ABC1646E-3F07-4A44-9705-C66626003A9F}">
    <text>10 CAMAS</text>
  </threadedComment>
  <threadedComment ref="F3725" dT="2025-03-03T18:16:08.96" personId="{98986A2A-739A-4851-A979-4B0D560C46CD}" id="{1849024A-59E2-47EC-A934-6BCBD224848D}">
    <text>03 camas, 1500€ alquiler, 600€ fianza</text>
  </threadedComment>
  <threadedComment ref="F3726" dT="2025-03-03T18:16:08.96" personId="{98986A2A-739A-4851-A979-4B0D560C46CD}" id="{0D5EA32B-F2FE-4461-AEF9-C3034FA58EAA}">
    <text>03 camas, 1500€ alquiler, 600€ fianza</text>
  </threadedComment>
  <threadedComment ref="F3728" dT="2025-07-03T14:34:58.13" personId="{98986A2A-739A-4851-A979-4B0D560C46CD}" id="{92076DCA-8C19-494E-B268-480C2E119BF1}">
    <text>850€ alquiler, 850€ fianza, 03 camas</text>
  </threadedComment>
  <threadedComment ref="F3731" dT="2025-02-26T14:29:45.42" personId="{17D30B62-2123-41F1-B603-E5411FDFA3E0}" id="{64F68569-A6FA-4DE8-A752-CAD86FD8A644}">
    <text>9 Camas, Alquiler 2300€, Fianza 700€</text>
  </threadedComment>
  <threadedComment ref="F3731" dT="2026-01-21T15:11:00.84" personId="{4D8483EF-5A39-4E7B-A473-929EF5A077E1}" id="{A34CF32C-935E-4A35-BF75-B563F5639D73}" parentId="{64F68569-A6FA-4DE8-A752-CAD86FD8A644}">
    <text xml:space="preserve">Descuento a 2000€ </text>
  </threadedComment>
  <threadedComment ref="F3732" dT="2025-06-25T14:37:51.43" personId="{98986A2A-739A-4851-A979-4B0D560C46CD}" id="{A7A2C59A-9064-47D3-BDE0-76943F7A4763}">
    <text xml:space="preserve">03 camas + 01 sofa cama. Alquiler 600€. Fianza 600€
</text>
  </threadedComment>
  <threadedComment ref="F3735" dT="2025-08-29T06:05:00.53" personId="{17D30B62-2123-41F1-B603-E5411FDFA3E0}" id="{41E41A38-2044-4396-9E7E-8205ADDC0BEF}">
    <text xml:space="preserve">Alquiler 2.800€ Fianza 500€ 6 camas </text>
  </threadedComment>
  <threadedComment ref="F3738" dT="2025-03-27T16:16:05.36" personId="{17D30B62-2123-41F1-B603-E5411FDFA3E0}" id="{3C4ED14B-34B6-4BDD-A9A9-34F83CDDA888}">
    <text>5 CAMAS</text>
  </threadedComment>
  <threadedComment ref="F3739" dT="2025-08-14T08:55:55.58" personId="{17D30B62-2123-41F1-B603-E5411FDFA3E0}" id="{6CB2815E-D138-46F2-9346-B41EFA00DBEB}">
    <text>4 Camas, Alquiler 750€ Fianza 750€</text>
  </threadedComment>
  <threadedComment ref="F3742" dT="2025-06-30T11:38:12.54" personId="{98986A2A-739A-4851-A979-4B0D560C46CD}" id="{E091D5FD-5859-45E9-BF8E-FC89871D9E16}">
    <text>Alquiler 700€, 02 camas, sin fianza</text>
  </threadedComment>
  <threadedComment ref="F3742" dT="2025-09-24T10:21:53.03" personId="{17D30B62-2123-41F1-B603-E5411FDFA3E0}" id="{D27E455E-84D2-4548-B441-0CDEE37838B8}" parentId="{E091D5FD-5859-45E9-BF8E-FC89871D9E16}">
    <text>100€ 1 Cama adicional</text>
  </threadedComment>
  <threadedComment ref="F3746" dT="2025-10-09T08:59:50.07" personId="{4D8483EF-5A39-4E7B-A473-929EF5A077E1}" id="{E749C406-94C8-4A49-8A20-4A0417E2162F}">
    <text>Habitación privada · 1 cama · 1 huésped</text>
  </threadedComment>
  <threadedComment ref="F3747" dT="2026-01-29T14:32:41.57" personId="{4D8483EF-5A39-4E7B-A473-929EF5A077E1}" id="{EFE0A5BF-F469-40D2-8717-11B0E03CDE77}">
    <text>Alojamiento para 6 personas</text>
  </threadedComment>
  <threadedComment ref="F3748" dT="2026-01-29T14:32:41.57" personId="{4D8483EF-5A39-4E7B-A473-929EF5A077E1}" id="{8F079594-CC5A-4906-8ABC-94EB8F5A2B60}">
    <text>Alojamiento para 6 personas</text>
  </threadedComment>
  <threadedComment ref="F3750" dT="2025-04-07T06:50:18.61" personId="{98986A2A-739A-4851-A979-4B0D560C46CD}" id="{596BE934-396B-4619-864A-8FE7F730B0F0}">
    <text>05 CAMAS</text>
  </threadedComment>
  <threadedComment ref="F3752" dT="2025-02-26T14:29:45.42" personId="{17D30B62-2123-41F1-B603-E5411FDFA3E0}" id="{95096654-B988-443B-9CE6-FFB50945650E}">
    <text>9 Camas, Alquiler 2300€, Fianza 700€</text>
  </threadedComment>
  <threadedComment ref="F3752" dT="2026-01-21T15:11:00.84" personId="{4D8483EF-5A39-4E7B-A473-929EF5A077E1}" id="{0FEAF943-7F41-410E-AA54-6C6FEC25718A}" parentId="{95096654-B988-443B-9CE6-FFB50945650E}">
    <text xml:space="preserve">Descuento a 2000€ </text>
  </threadedComment>
  <threadedComment ref="F3753" dT="2025-02-26T14:29:45.42" personId="{17D30B62-2123-41F1-B603-E5411FDFA3E0}" id="{2B4FF363-474E-4CB5-ABA0-86609EDB9E29}">
    <text>9 Camas, Alquiler 2300€, Fianza 700€</text>
  </threadedComment>
  <threadedComment ref="F3753" dT="2026-01-21T15:11:00.84" personId="{4D8483EF-5A39-4E7B-A473-929EF5A077E1}" id="{7078AD86-9C01-470E-B662-9F27A9EF8120}" parentId="{2B4FF363-474E-4CB5-ABA0-86609EDB9E29}">
    <text xml:space="preserve">Descuento a 2000€ </text>
  </threadedComment>
  <threadedComment ref="F3754" dT="2025-02-26T14:29:45.42" personId="{17D30B62-2123-41F1-B603-E5411FDFA3E0}" id="{CAA6FB88-F79B-4CBC-92D5-AA1E09DC6EF1}">
    <text>9 Camas, Alquiler 2300€, Fianza 700€</text>
  </threadedComment>
  <threadedComment ref="F3754" dT="2026-01-21T15:11:00.84" personId="{4D8483EF-5A39-4E7B-A473-929EF5A077E1}" id="{D17108E7-3E93-4676-B308-F395D7A5AB29}" parentId="{CAA6FB88-F79B-4CBC-92D5-AA1E09DC6EF1}">
    <text xml:space="preserve">Descuento a 2000€ </text>
  </threadedComment>
  <threadedComment ref="F3755" dT="2025-05-05T11:29:54.02" personId="{98986A2A-739A-4851-A979-4B0D560C46CD}" id="{11B4D533-4B03-46A9-9D99-D57DFA921C87}">
    <text>Alquiler 1300€, 05 habitaciones, 400€fianza</text>
  </threadedComment>
  <threadedComment ref="F3755" dT="2025-09-24T10:00:00.90" personId="{E3C446A3-37B8-466B-82DA-8F7BAC7681F7}" id="{6F16C056-05AF-4E20-B278-A2EEAC09906D}" parentId="{11B4D533-4B03-46A9-9D99-D57DFA921C87}">
    <text xml:space="preserve">+2 HABITACIONES (29-09-25) Total piso 1800€ </text>
  </threadedComment>
  <threadedComment ref="F3762" dT="2025-02-13T10:05:11.33" personId="{17D30B62-2123-41F1-B603-E5411FDFA3E0}" id="{D91053CF-603A-475F-94EA-00A7B1C325B4}">
    <text>Habitacion doble para trabajadores cant 1 Costo 60€/noche
Habitacion triple para trabajadores cant 3 Costo 75€/noche cada una
(camas separadas)</text>
  </threadedComment>
  <threadedComment ref="F3772" dT="2025-10-13T06:28:43.39" personId="{4D8483EF-5A39-4E7B-A473-929EF5A077E1}" id="{3A952557-4EDD-4089-B1BC-CE39D1CC77BF}">
    <text>Asignación de piso para 6 trabajadores en Huelva.</text>
  </threadedComment>
  <threadedComment ref="F3773" dT="2025-05-09T14:42:41.46" personId="{17D30B62-2123-41F1-B603-E5411FDFA3E0}" id="{2D8EE770-EE5A-4FF5-B5C8-16B402A0B02B}">
    <text>4 CAMAS 2.600€ Alquiler</text>
  </threadedComment>
  <threadedComment ref="F3777" dT="2025-06-12T08:25:55.51" personId="{98986A2A-739A-4851-A979-4B0D560C46CD}" id="{3CA48A1F-7B92-458E-B8D1-803928B242D8}">
    <text>03 camas, 1050€ alquiler+150€suministros.
2100€ fianza</text>
  </threadedComment>
  <threadedComment ref="F3778" dT="2025-03-04T17:12:38.85" personId="{98986A2A-739A-4851-A979-4B0D560C46CD}" id="{E5C4491B-2342-4D77-8589-E75CB64BF544}">
    <text>09 camas, 2100€ fianza, 2100€ alquiler +50€ luz =2150€</text>
  </threadedComment>
  <threadedComment ref="F3779" dT="2025-03-04T17:12:38.85" personId="{98986A2A-739A-4851-A979-4B0D560C46CD}" id="{34BBE77E-33AF-4C46-9AB5-7E3F5ABB9FF5}">
    <text>09 camas, 2100€ fianza, 2100€ alquiler +50€ luz =2150€</text>
  </threadedComment>
  <threadedComment ref="F3780" dT="2025-02-26T12:24:18.65" personId="{98986A2A-739A-4851-A979-4B0D560C46CD}" id="{7A01C0B2-F52E-4DFE-9E6A-E5CB57E1ECD5}">
    <text xml:space="preserve">Alquiler 1100 , Fianza 2200  Camas 4
</text>
  </threadedComment>
  <threadedComment ref="F3781" dT="2025-02-25T08:01:07.95" personId="{98986A2A-739A-4851-A979-4B0D560C46CD}" id="{52B7CA2F-188D-4807-A0A7-96B8E9A2E613}">
    <text>03 camas, 1100€ alquiler, 200€ fianza</text>
  </threadedComment>
  <threadedComment ref="F3788" dT="2025-08-29T06:05:00.53" personId="{17D30B62-2123-41F1-B603-E5411FDFA3E0}" id="{7983D4D8-9957-4D8E-A7EF-E43BEB3B3E55}">
    <text xml:space="preserve">Alquiler 2.800€ Fianza 500€ 6 camas </text>
  </threadedComment>
  <threadedComment ref="F3789" dT="2025-02-13T10:05:11.33" personId="{17D30B62-2123-41F1-B603-E5411FDFA3E0}" id="{9C4CD642-A4C6-4168-99EF-D137A7505087}">
    <text>Habitacion doble para trabajadores cant 1 Costo 60€/noche
Habitacion triple para trabajadores cant 3 Costo 75€/noche cada una
(camas separadas)</text>
  </threadedComment>
  <threadedComment ref="F3790" dT="2025-02-13T10:05:11.33" personId="{17D30B62-2123-41F1-B603-E5411FDFA3E0}" id="{ED1EF2E0-A974-415E-865F-093E59758A4D}">
    <text>Alquiler 1000€ Fianza 1000€ 4 camas</text>
  </threadedComment>
  <threadedComment ref="F3792" dT="2025-10-01T14:10:24.74" personId="{17D30B62-2123-41F1-B603-E5411FDFA3E0}" id="{D9F43E6D-ABC5-4FC6-999F-9626F954AAA5}">
    <text>Habitación privada · 1 cama · 1 huésped</text>
  </threadedComment>
  <threadedComment ref="F3795" dT="2025-10-14T09:05:13.23" personId="{4D8483EF-5A39-4E7B-A473-929EF5A077E1}" id="{73698E4D-3631-4F0A-9D57-B08C6F4A7B67}">
    <text>Alojamiento entero · 5 camas · 5 viajeros</text>
  </threadedComment>
  <threadedComment ref="F3797" dT="2025-02-13T10:05:11.33" personId="{17D30B62-2123-41F1-B603-E5411FDFA3E0}" id="{4E37636F-34F0-4B67-ABA2-E5A535DB4401}">
    <text>Habitacion doble para trabajadores cant 1 Costo 60€/noche
Habitacion triple para trabajadores cant 3 Costo 75€/noche cada una
(camas separadas)</text>
  </threadedComment>
  <threadedComment ref="F3798" dT="2025-07-21T11:37:12.50" personId="{98986A2A-739A-4851-A979-4B0D560C46CD}" id="{285E3AEE-96DD-4158-8F62-72B1857A6D55}">
    <text>2400€ alquiler, 2400€ fianza, 05 camas</text>
  </threadedComment>
  <threadedComment ref="F3799" dT="2025-05-05T11:29:54.02" personId="{98986A2A-739A-4851-A979-4B0D560C46CD}" id="{A1BF0094-5F6E-4610-BCEF-E30E6030497F}">
    <text>Alquiler 1300€, 05 habitaciones, 400€fianza</text>
  </threadedComment>
  <threadedComment ref="F3799" dT="2025-09-24T10:00:00.90" personId="{E3C446A3-37B8-466B-82DA-8F7BAC7681F7}" id="{A46BF704-A099-40FD-8CDD-FC00391814E8}" parentId="{A1BF0094-5F6E-4610-BCEF-E30E6030497F}">
    <text xml:space="preserve">+2 HABITACIONES (29-09-25) Total piso 1800€ </text>
  </threadedComment>
  <threadedComment ref="F3800" dT="2025-05-05T11:29:54.02" personId="{98986A2A-739A-4851-A979-4B0D560C46CD}" id="{BA92EC98-5165-44AB-AE43-9357423A2323}">
    <text>Alquiler 1300€, 05 habitaciones, 400€fianza</text>
  </threadedComment>
  <threadedComment ref="F3800" dT="2025-09-24T10:00:00.90" personId="{E3C446A3-37B8-466B-82DA-8F7BAC7681F7}" id="{7947506D-94B0-43A4-82CB-EB0E62944C12}" parentId="{BA92EC98-5165-44AB-AE43-9357423A2323}">
    <text xml:space="preserve">+2 HABITACIONES (29-09-25) Total piso 1800€ </text>
  </threadedComment>
  <threadedComment ref="F3801" dT="2025-05-05T11:29:54.02" personId="{98986A2A-739A-4851-A979-4B0D560C46CD}" id="{B17D2292-E284-4A78-B596-2B67F8BB9810}">
    <text>Alquiler 1300€, 05 habitaciones, 400€fianza</text>
  </threadedComment>
  <threadedComment ref="F3801" dT="2025-09-24T10:00:00.90" personId="{E3C446A3-37B8-466B-82DA-8F7BAC7681F7}" id="{ED10A4E0-AF30-45EC-A3D1-5512D869AF8E}" parentId="{B17D2292-E284-4A78-B596-2B67F8BB9810}">
    <text xml:space="preserve">+2 HABITACIONES (29-09-25) Total piso 1800€ </text>
  </threadedComment>
  <threadedComment ref="F3802" dT="2025-10-06T11:09:21.88" personId="{E3C446A3-37B8-466B-82DA-8F7BAC7681F7}" id="{50B7CA02-E491-4BED-BCA1-671A49F264C3}">
    <text xml:space="preserve">07 CAMAS, ALQUILER 2117,50€,  FIANZA1750€ </text>
  </threadedComment>
  <threadedComment ref="F3803" dT="2025-02-13T10:05:11.33" personId="{17D30B62-2123-41F1-B603-E5411FDFA3E0}" id="{C2B480BD-6034-49DB-9186-585EE7514A98}">
    <text>Habitacion doble para trabajadores cant 1 Costo 60€/noche
Habitacion triple para trabajadores cant 3 Costo 75€/noche cada una
(camas separadas)</text>
  </threadedComment>
  <threadedComment ref="F3806" dT="2025-07-21T11:37:12.50" personId="{98986A2A-739A-4851-A979-4B0D560C46CD}" id="{1DAD0B23-FCD1-406C-AEF7-254F40C20B05}">
    <text>2400€ alquiler, 2400€ fianza, 05 camas</text>
  </threadedComment>
  <threadedComment ref="F3807" dT="2025-02-24T10:19:28.57" personId="{98986A2A-739A-4851-A979-4B0D560C46CD}" id="{335DFF45-F61D-4892-A746-98BCCB2BEBB6}">
    <text>06 camas</text>
  </threadedComment>
  <threadedComment ref="F3807" dT="2025-08-05T11:29:05.15" personId="{17D30B62-2123-41F1-B603-E5411FDFA3E0}" id="{7F53F80A-366E-4496-9A4C-A39C31210043}" parentId="{335DFF45-F61D-4892-A746-98BCCB2BEBB6}">
    <text>+1 Cama</text>
  </threadedComment>
  <threadedComment ref="F3808" dT="2024-08-06T14:12:58.54" personId="{8BEA8CB1-BB33-44FC-A791-4439DE945680}" id="{CC83C4DC-C906-4371-BEB2-44387688AC6F}">
    <text>Alquiler 1700, fianza 1700 6 CAMAS</text>
  </threadedComment>
  <threadedComment ref="F3808" dT="2025-01-16T18:23:38.41" personId="{98986A2A-739A-4851-A979-4B0D560C46CD}" id="{8CAF8181-4A79-423A-971D-61405F8F859C}" parentId="{CC83C4DC-C906-4371-BEB2-44387688AC6F}">
    <text>5 habitaciones</text>
  </threadedComment>
  <threadedComment ref="F3809" dT="2025-02-26T12:24:18.65" personId="{98986A2A-739A-4851-A979-4B0D560C46CD}" id="{A1E91C76-7AAC-411A-9BD4-A84EB37EF544}">
    <text xml:space="preserve">Alquiler 1100 , Fianza 2200  Camas 4
</text>
  </threadedComment>
  <threadedComment ref="F3815" dT="2025-07-29T10:24:34.62" personId="{17D30B62-2123-41F1-B603-E5411FDFA3E0}" id="{B6EDE74C-2DBA-45C0-B1FF-FA301B591BA7}">
    <text>450€ ALQUILER
450€ FIANZA</text>
  </threadedComment>
  <threadedComment ref="F3817" dT="2025-10-14T06:14:49.10" personId="{4D8483EF-5A39-4E7B-A473-929EF5A077E1}" id="{E6C1A454-CCE5-442C-AA90-C1288B48552B}">
    <text>3 Camas----&gt;Estancia 1 mes Habitación doble Alquiler 500€+ fianza: 500€
Estancia 1 mes Habitación individual Alquiler 365€ + fianza: 365€</text>
  </threadedComment>
  <threadedComment ref="F3818" dT="2025-08-28T13:36:19.14" personId="{17D30B62-2123-41F1-B603-E5411FDFA3E0}" id="{B000C5E3-942F-4D75-BA16-534E334F52B3}">
    <text>(Piso con 4 Camas)
Alquiler 1400 
Fianza 1400€</text>
  </threadedComment>
  <threadedComment ref="F3821" dT="2025-07-04T11:05:16.59" personId="{98986A2A-739A-4851-A979-4B0D560C46CD}" id="{786C815D-5D2C-435F-B0B0-05E5BC18E90B}">
    <text>04 camas, 1200€ alquiler, 1200€ fianza</text>
  </threadedComment>
  <threadedComment ref="F3823" dT="2025-02-26T14:56:43.99" personId="{17D30B62-2123-41F1-B603-E5411FDFA3E0}" id="{4147A98F-BB87-43F3-B40D-90D6A8CF0A06}">
    <text>Alojamiento para 9 personas.
 3 apartamentos triples (101-102-121)</text>
  </threadedComment>
  <threadedComment ref="F3823" dT="2025-10-14T10:02:06.67" personId="{4D8483EF-5A39-4E7B-A473-929EF5A077E1}" id="{E4417CCF-1DA2-4B6D-B0BA-E4CE7D7FA7D9}" parentId="{4147A98F-BB87-43F3-B40D-90D6A8CF0A06}">
    <text xml:space="preserve">Alojamiento para 6 personas.
 2 apartamentos triples </text>
  </threadedComment>
  <threadedComment ref="F3824" dT="2025-02-26T14:56:43.99" personId="{17D30B62-2123-41F1-B603-E5411FDFA3E0}" id="{F93DD627-432A-43B5-8A0D-1CEB65230132}">
    <text>Alojamiento para 9 personas.
 3 apartamentos triples (101-102-121)</text>
  </threadedComment>
  <threadedComment ref="F3824" dT="2025-10-14T10:02:06.67" personId="{4D8483EF-5A39-4E7B-A473-929EF5A077E1}" id="{621B4656-2B7D-4B3E-A0A2-49EB2D177B98}" parentId="{F93DD627-432A-43B5-8A0D-1CEB65230132}">
    <text xml:space="preserve">Alojamiento para 6 personas.
 2 apartamentos triples </text>
  </threadedComment>
  <threadedComment ref="F3825" dT="2025-02-26T14:56:43.99" personId="{17D30B62-2123-41F1-B603-E5411FDFA3E0}" id="{A78D2C33-E5D4-4CE2-A8BA-F921B9459CA1}">
    <text>Alojamiento para 9 personas.
 3 apartamentos triples (101-102-121)</text>
  </threadedComment>
  <threadedComment ref="F3825" dT="2025-10-14T10:02:06.67" personId="{4D8483EF-5A39-4E7B-A473-929EF5A077E1}" id="{0046B039-607B-4AE5-A6FD-889E8B0937B2}" parentId="{A78D2C33-E5D4-4CE2-A8BA-F921B9459CA1}">
    <text xml:space="preserve">Alojamiento para 6 personas.
 2 apartamentos triples </text>
  </threadedComment>
  <threadedComment ref="F3826" dT="2025-02-26T14:56:43.99" personId="{17D30B62-2123-41F1-B603-E5411FDFA3E0}" id="{9FB1B0D9-56A3-417C-B131-450F9D81FF44}">
    <text>Alojamiento para 9 personas.
 3 apartamentos triples (101-102-121)</text>
  </threadedComment>
  <threadedComment ref="F3826" dT="2025-10-14T10:02:06.67" personId="{4D8483EF-5A39-4E7B-A473-929EF5A077E1}" id="{44CE37E9-0145-4A29-92F3-B3C022B5A22C}" parentId="{9FB1B0D9-56A3-417C-B131-450F9D81FF44}">
    <text xml:space="preserve">Alojamiento para 6 personas.
 2 apartamentos triples </text>
  </threadedComment>
  <threadedComment ref="F3827" dT="2025-10-13T06:28:43.39" personId="{4D8483EF-5A39-4E7B-A473-929EF5A077E1}" id="{F66C45A8-B31B-4699-AFA5-9B22171A4EBC}">
    <text>Asignación de piso para 6 trabajadores en Huelva.</text>
  </threadedComment>
  <threadedComment ref="F3828" dT="2025-06-13T11:20:48.41" personId="{98986A2A-739A-4851-A979-4B0D560C46CD}" id="{68C6A49C-ED06-4C71-9DED-21678BA6DEFD}">
    <text>05 camas, 1200€ alquiler,+ 250€ SUMINISTROS+ 1200€ fianza</text>
  </threadedComment>
  <threadedComment ref="F3831" dT="2024-08-06T14:12:58.54" personId="{8BEA8CB1-BB33-44FC-A791-4439DE945680}" id="{4B096392-0F37-4C0C-9BC4-186114405685}">
    <text>Alquiler 1700, fianza 1700 6 CAMAS</text>
  </threadedComment>
  <threadedComment ref="F3831" dT="2025-01-16T18:23:38.41" personId="{98986A2A-739A-4851-A979-4B0D560C46CD}" id="{0EC2CA44-371A-432C-8531-F441CE9A372A}" parentId="{4B096392-0F37-4C0C-9BC4-186114405685}">
    <text>5 habitaciones</text>
  </threadedComment>
  <threadedComment ref="F3833" dT="2025-06-13T11:20:48.41" personId="{98986A2A-739A-4851-A979-4B0D560C46CD}" id="{056F332A-16CD-4A7D-B6BD-20B004FB2431}">
    <text>05 camas, 1200€ alquiler,+ 250€ SUMINISTROS+ 1200€ fianza</text>
  </threadedComment>
  <threadedComment ref="F3840" dT="2025-08-29T06:05:00.53" personId="{17D30B62-2123-41F1-B603-E5411FDFA3E0}" id="{A7403897-3C3E-4154-AD44-7AE08F75DEA4}">
    <text xml:space="preserve">Alquiler 2.800€ Fianza 500€ 6 camas </text>
  </threadedComment>
  <threadedComment ref="F3840" dT="2025-09-25T06:48:51.87" personId="{17D30B62-2123-41F1-B603-E5411FDFA3E0}" id="{134A341D-F925-447E-ADDA-F53A8476962F}" parentId="{A7403897-3C3E-4154-AD44-7AE08F75DEA4}">
    <text>Alquiler mes de octubre= 2.500€</text>
  </threadedComment>
  <threadedComment ref="F3844" dT="2025-07-29T09:19:19.90" personId="{17D30B62-2123-41F1-B603-E5411FDFA3E0}" id="{430AF534-9F63-4AD2-BB89-DD9CD195AA4E}">
    <text>4 apartamentos (para 8 personas) </text>
  </threadedComment>
  <threadedComment ref="F3849" dT="2025-09-30T10:07:21.39" personId="{17D30B62-2123-41F1-B603-E5411FDFA3E0}" id="{AB6455C4-17FA-49F2-A8F5-F68BA0728F4B}">
    <text>Alojamiento entero · 5 camas · 4 viajeros</text>
  </threadedComment>
  <threadedComment ref="F3850" dT="2025-09-30T10:07:21.39" personId="{17D30B62-2123-41F1-B603-E5411FDFA3E0}" id="{EAC9CAC8-DB63-4A6B-935B-633F4963455F}">
    <text>Alojamiento entero · 5 camas · 4 viajeros</text>
  </threadedComment>
  <threadedComment ref="F3851" dT="2025-09-30T10:07:21.39" personId="{17D30B62-2123-41F1-B603-E5411FDFA3E0}" id="{2A781D0F-1545-4E8F-B05A-F704FBE70AF4}">
    <text>Alojamiento entero · 5 camas · 4 viajeros</text>
  </threadedComment>
  <threadedComment ref="F3852" dT="2025-09-30T10:07:21.39" personId="{17D30B62-2123-41F1-B603-E5411FDFA3E0}" id="{A41B5AA5-969D-40D0-877B-AADA6FD4ECFA}">
    <text>Alojamiento entero · 5 camas · 4 viajeros</text>
  </threadedComment>
  <threadedComment ref="F3853" dT="2026-08-21T12:35:40.50" personId="{E3C446A3-37B8-466B-82DA-8F7BAC7681F7}" id="{B6BB02CE-0321-4F6C-928D-4AD787682AD6}">
    <text>06 camas, 500€ fianza</text>
  </threadedComment>
  <threadedComment ref="F3854" dT="2025-02-13T10:05:11.33" personId="{17D30B62-2123-41F1-B603-E5411FDFA3E0}" id="{135C2474-C58C-4156-AB90-1207B102D00D}">
    <text>Habitacion doble para trabajadores cant 1 Costo 60€/noche
Habitacion triple para trabajadores cant 3 Costo 75€/noche cada una
(camas separadas)</text>
  </threadedComment>
  <threadedComment ref="F3855" dT="2025-02-13T10:05:11.33" personId="{17D30B62-2123-41F1-B603-E5411FDFA3E0}" id="{39496E85-4E0C-491B-ABCF-4BC99F432115}">
    <text>Habitacion doble para trabajadores cant 1 Costo 60€/noche
Habitacion triple para trabajadores cant 3 Costo 75€/noche cada una
(camas separadas)</text>
  </threadedComment>
  <threadedComment ref="F3857" dT="2025-10-14T09:05:13.23" personId="{4D8483EF-5A39-4E7B-A473-929EF5A077E1}" id="{A44A9A6E-8157-4B94-A53F-F729EE17ABAE}">
    <text>Alojamiento entero · 5 camas · 5 viajeros</text>
  </threadedComment>
  <threadedComment ref="F3858" dT="2025-10-13T06:42:56.55" personId="{4D8483EF-5A39-4E7B-A473-929EF5A077E1}" id="{DDBAD852-7CB8-426A-B458-A17CDCCFB0BD}">
    <text>Alquiler vivienda para 2 personas</text>
  </threadedComment>
  <threadedComment ref="F3859" dT="2025-10-13T06:42:56.55" personId="{4D8483EF-5A39-4E7B-A473-929EF5A077E1}" id="{A8CFAF6D-1243-43F5-8401-067591F79A11}">
    <text>Alquiler vivienda para 2 personas</text>
  </threadedComment>
  <threadedComment ref="F3860" dT="2025-02-13T10:05:11.33" personId="{17D30B62-2123-41F1-B603-E5411FDFA3E0}" id="{E5289EF9-2536-44F6-8491-B9F7787CB464}">
    <text>Habitacion doble para trabajadores cant 1 Costo 60€/noche
Habitacion triple para trabajadores cant 3 Costo 75€/noche cada una
(camas separadas)</text>
  </threadedComment>
  <threadedComment ref="F3861" dT="2024-12-07T09:48:49.17" personId="{98986A2A-739A-4851-A979-4B0D560C46CD}" id="{E41DD1A4-C3AC-4E64-8581-CDE5B97E4ED6}">
    <text>ALQUILER 580, FIANZA 580, 4 CAMAS. Contrato pago hasta Febrero</text>
  </threadedComment>
  <threadedComment ref="F3862" dT="2025-07-09T14:24:23.31" personId="{98986A2A-739A-4851-A979-4B0D560C46CD}" id="{5AE3595C-298B-450D-AF3F-F75D3A48E3ED}">
    <text>10 CAMAS</text>
  </threadedComment>
  <threadedComment ref="F3863" dT="2025-07-09T14:24:23.31" personId="{98986A2A-739A-4851-A979-4B0D560C46CD}" id="{27FA4AE2-C4A4-47A0-AE84-4EE71F19E855}">
    <text>10 CAMAS</text>
  </threadedComment>
  <threadedComment ref="F3865" dT="2025-10-14T06:42:26.91" personId="{4D8483EF-5A39-4E7B-A473-929EF5A077E1}" id="{9B22F1AC-6935-471D-BC95-6DB52A4EE1CA}">
    <text xml:space="preserve">alojamiento para 4 personas con camas individuales.
2 Habitaciones camas individuales
</text>
  </threadedComment>
  <threadedComment ref="F3869" dT="2025-06-25T14:37:51.43" personId="{98986A2A-739A-4851-A979-4B0D560C46CD}" id="{A6AA03A8-90C8-4348-8891-52D3E3CDE580}">
    <text xml:space="preserve">03 camas + 01 sofa cama. Alquiler 600€. Fianza 600€
</text>
  </threadedComment>
  <threadedComment ref="F3870" dT="2025-10-13T06:35:51.29" personId="{4D8483EF-5A39-4E7B-A473-929EF5A077E1}" id="{35D48414-CACD-41E3-81D6-082EE4EC847A}">
    <text>Alojamiento (para 3 personas)</text>
  </threadedComment>
  <threadedComment ref="F3871" dT="2025-10-13T06:35:51.29" personId="{4D8483EF-5A39-4E7B-A473-929EF5A077E1}" id="{910C0763-2AA8-4E8A-BF52-7962150C5CC3}">
    <text>Alojamiento (para 3 personas)</text>
  </threadedComment>
  <threadedComment ref="F3872" dT="2025-10-13T06:35:51.29" personId="{4D8483EF-5A39-4E7B-A473-929EF5A077E1}" id="{7FD9F992-904B-44E6-BB53-0E4BE0A29876}">
    <text>Alojamiento (para 3 personas)</text>
  </threadedComment>
  <threadedComment ref="F3873" dT="2025-10-14T07:00:25.14" personId="{4D8483EF-5A39-4E7B-A473-929EF5A077E1}" id="{ABE6F771-1542-4210-97AA-240AF83824EC}">
    <text>Alojamiento para 4 personas</text>
  </threadedComment>
  <threadedComment ref="F3874" dT="2025-10-14T07:00:25.14" personId="{4D8483EF-5A39-4E7B-A473-929EF5A077E1}" id="{12C7FEF4-B1E3-4F88-AB50-5BDE5CA25B35}">
    <text>Alojamiento para 4 personas</text>
  </threadedComment>
  <threadedComment ref="F3875" dT="2025-10-14T07:00:25.14" personId="{4D8483EF-5A39-4E7B-A473-929EF5A077E1}" id="{F213B1EF-C2D2-4F54-93E1-48406B54DAD0}">
    <text>Alojamiento para 4 personas</text>
  </threadedComment>
  <threadedComment ref="F3876" dT="2025-10-14T07:00:25.14" personId="{4D8483EF-5A39-4E7B-A473-929EF5A077E1}" id="{FE77DAAB-0357-4D81-94C0-4CCB96089273}">
    <text>Alojamiento para 4 personas</text>
  </threadedComment>
  <threadedComment ref="F3878" dT="2025-07-18T07:48:38.51" personId="{98986A2A-739A-4851-A979-4B0D560C46CD}" id="{BD6AC9AC-FBB1-4682-97AB-4C87A2532B41}">
    <text>04 CAMAS, ALQUILER 955€</text>
  </threadedComment>
  <threadedComment ref="F3879" dT="2025-02-13T10:05:11.33" personId="{17D30B62-2123-41F1-B603-E5411FDFA3E0}" id="{36248885-9A3A-4B7B-976E-CF7C60FDD387}">
    <text xml:space="preserve">Alquiler 1300, Fianza 1300, 3 camas </text>
  </threadedComment>
  <threadedComment ref="F3880" dT="2025-07-18T07:48:38.51" personId="{98986A2A-739A-4851-A979-4B0D560C46CD}" id="{0B1955D2-584E-42AF-9873-85B3B6D11815}">
    <text>04 CAMAS, ALQUILER 955€</text>
  </threadedComment>
  <threadedComment ref="F3881" dT="2025-03-18T09:49:27.52" personId="{98986A2A-739A-4851-A979-4B0D560C46CD}" id="{94F054FD-ABD6-4A12-9865-4AFACD08885B}">
    <text>04 camas, 400€ alquiler, 400€ fianza</text>
  </threadedComment>
  <threadedComment ref="F3882" dT="2025-07-29T09:19:19.90" personId="{17D30B62-2123-41F1-B603-E5411FDFA3E0}" id="{49A523EB-64DD-470F-82CD-B82162935772}">
    <text>4 apartamentos (para 8 personas) </text>
  </threadedComment>
  <threadedComment ref="F3883" dT="2025-02-25T17:38:25.86" personId="{98986A2A-739A-4851-A979-4B0D560C46CD}" id="{22C827D0-8129-4696-9CC1-AAD26CC574E5}">
    <text xml:space="preserve">Alquiler 1600 Fianza 1600 camas 5
</text>
  </threadedComment>
  <threadedComment ref="F3886" dT="2026-05-15T14:22:00.00" personId="{4D8483EF-5A39-4E7B-A473-929EF5A077E1}" id="{6DB76A80-7643-43A0-8A1E-9BA0B4352E7D}">
    <text xml:space="preserve">Alojamiento para 4 personas.
 2 apartamento DOBLES </text>
  </threadedComment>
  <threadedComment ref="F3887" dT="2025-03-03T08:17:57.83" personId="{98986A2A-739A-4851-A979-4B0D560C46CD}" id="{4A4DDB47-A989-443A-B0DF-27FF618087FF}">
    <text xml:space="preserve">340€ ALQULER + 55€ SUMINISTROS =395€ TOTAL. 500 FIANZA
</text>
  </threadedComment>
  <threadedComment ref="F3889" dT="2025-03-03T08:17:57.83" personId="{98986A2A-739A-4851-A979-4B0D560C46CD}" id="{E1F71160-FE33-4600-90C2-43448DA94774}">
    <text xml:space="preserve">355€ ALQULER + 55€ SUMINISTROS =410€ TOTAL. 500 FIANZA
</text>
  </threadedComment>
  <threadedComment ref="F3890" dT="2025-09-10T12:08:18.96" personId="{17D30B62-2123-41F1-B603-E5411FDFA3E0}" id="{6EB51223-09B7-4726-9195-B8698E7D2A7C}">
    <text>Habitación Doble 2 Camas, Alquiler 620€ + 110€ suministros, Fianza 600€</text>
  </threadedComment>
  <threadedComment ref="F3891" dT="2025-09-10T12:08:26.72" personId="{17D30B62-2123-41F1-B603-E5411FDFA3E0}" id="{190F54D3-154D-4865-9F6B-86A0F347E102}">
    <text>Habitación Doble 2 Camas, Alquiler 620€ + 110€ suministros, Fianza 600€</text>
  </threadedComment>
  <threadedComment ref="F3892" dT="2025-06-13T11:20:48.41" personId="{98986A2A-739A-4851-A979-4B0D560C46CD}" id="{DC21B7CB-BB74-47CA-B57C-335DB3863C59}">
    <text>05 camas, 1200€ alquiler,+ 250€ SUMINISTROS+ 1200€ fianza</text>
  </threadedComment>
  <threadedComment ref="F3893" dT="2024-12-07T09:48:49.17" personId="{98986A2A-739A-4851-A979-4B0D560C46CD}" id="{6031CFD4-A3B2-45D2-B2DC-C23F719D5753}">
    <text>ALQUILER 580, FIANZA 580, 4 CAMAS. Contrato pago hasta Febrero</text>
  </threadedComment>
  <threadedComment ref="F3898" dT="2026-01-29T14:37:35.05" personId="{4D8483EF-5A39-4E7B-A473-929EF5A077E1}" id="{DE3F4BE7-FA14-430C-B935-B66E4DBCD5DE}">
    <text>Alojamiento para 3 personas</text>
  </threadedComment>
  <threadedComment ref="F3900" dT="2025-10-20T06:13:48.73" personId="{4D8483EF-5A39-4E7B-A473-929EF5A077E1}" id="{44622A25-972D-4EDD-80A5-3C7203A97046}">
    <text>Alojamiento entero · 5 camas · 5 viajeros</text>
  </threadedComment>
  <threadedComment ref="F3901" dT="2025-10-27T08:20:25.63" personId="{4D8483EF-5A39-4E7B-A473-929EF5A077E1}" id="{67F28724-FFEA-4F4A-83E1-EAE6CCFAEA89}">
    <text>Alojamiento entero · 5 camas · 5 viajeros</text>
  </threadedComment>
  <threadedComment ref="F3902" dT="2025-10-14T06:42:26.91" personId="{4D8483EF-5A39-4E7B-A473-929EF5A077E1}" id="{2B97B696-3D37-4B90-A193-96E9FC42845C}">
    <text xml:space="preserve">alojamiento para 4 personas con camas individuales.
2 Habitaciones camas individuales
</text>
  </threadedComment>
  <threadedComment ref="F3903" dT="2025-03-27T16:16:05.36" personId="{17D30B62-2123-41F1-B603-E5411FDFA3E0}" id="{4CA4072E-BB58-409B-BDA9-8B9FD41F5320}">
    <text>5 CAMAS</text>
  </threadedComment>
  <threadedComment ref="F3904" dT="2025-03-03T08:17:57.83" personId="{98986A2A-739A-4851-A979-4B0D560C46CD}" id="{7F8E20A3-149E-4896-9E5F-EAC2074F0FBA}">
    <text xml:space="preserve">355€ ALQULER + 55€ SUMINISTROS =410€ TOTAL. 500 FIANZA
</text>
  </threadedComment>
  <threadedComment ref="F3905" dT="2025-07-04T11:05:16.59" personId="{98986A2A-739A-4851-A979-4B0D560C46CD}" id="{010BAD96-6B9F-4876-8043-840E95DF814B}">
    <text>04 camas, 1200€ alquiler, 1200€ fianza</text>
  </threadedComment>
  <threadedComment ref="F3906" dT="2025-07-04T11:05:16.59" personId="{98986A2A-739A-4851-A979-4B0D560C46CD}" id="{CC54B2F6-A7B1-4DDC-A494-7120D630773A}">
    <text>04 camas, 1200€ alquiler, 1200€ fianza</text>
  </threadedComment>
  <threadedComment ref="F3907" dT="2025-08-29T06:05:00.53" personId="{17D30B62-2123-41F1-B603-E5411FDFA3E0}" id="{55F7AE48-AAA9-4C58-8B46-211844D0A2A1}">
    <text xml:space="preserve">Alquiler 2.800€ Fianza 500€ 6 camas </text>
  </threadedComment>
  <threadedComment ref="F3907" dT="2025-09-25T06:48:51.87" personId="{17D30B62-2123-41F1-B603-E5411FDFA3E0}" id="{50148B7C-8361-482D-9CD0-F1C0E7E7580B}" parentId="{55F7AE48-AAA9-4C58-8B46-211844D0A2A1}">
    <text>Alquiler mes de octubre= 2.500€</text>
  </threadedComment>
  <threadedComment ref="F3908" dT="2025-10-13T06:42:56.55" personId="{4D8483EF-5A39-4E7B-A473-929EF5A077E1}" id="{F7A458D9-6BCE-46E9-BA98-EB2C50A603AD}">
    <text>Alquiler vivienda para 2 personas</text>
  </threadedComment>
  <threadedComment ref="F3909" dT="2025-10-13T06:42:56.55" personId="{4D8483EF-5A39-4E7B-A473-929EF5A077E1}" id="{EA0F1A22-4EAC-4FC8-AB41-C3EB87CBFBAD}">
    <text>Alquiler vivienda para 2 personas</text>
  </threadedComment>
  <threadedComment ref="F3910" dT="2025-08-29T06:05:00.53" personId="{17D30B62-2123-41F1-B603-E5411FDFA3E0}" id="{567867A3-F88F-45D2-8F26-6DB8DF706778}">
    <text xml:space="preserve">Alquiler 2.800€ Fianza 500€ 6 camas </text>
  </threadedComment>
  <threadedComment ref="F3910" dT="2025-09-25T06:48:51.87" personId="{17D30B62-2123-41F1-B603-E5411FDFA3E0}" id="{CFAB8862-2428-4A27-9D26-12EC2C85E741}" parentId="{567867A3-F88F-45D2-8F26-6DB8DF706778}">
    <text>Alquiler mes de octubre= 2.500€</text>
  </threadedComment>
  <threadedComment ref="F3911" dT="2025-08-29T06:05:00.53" personId="{17D30B62-2123-41F1-B603-E5411FDFA3E0}" id="{9B944A17-D379-49D5-A3AD-52C36CD3D92A}">
    <text xml:space="preserve">Alquiler 2.800€ Fianza 500€ 6 camas </text>
  </threadedComment>
  <threadedComment ref="F3911" dT="2025-09-25T06:48:51.87" personId="{17D30B62-2123-41F1-B603-E5411FDFA3E0}" id="{1F937747-7110-4CE8-9BDA-464A6E90CC10}" parentId="{9B944A17-D379-49D5-A3AD-52C36CD3D92A}">
    <text>Alquiler mes de octubre= 2.500€</text>
  </threadedComment>
  <threadedComment ref="F3912" dT="2025-08-19T13:30:20.82" personId="{17D30B62-2123-41F1-B603-E5411FDFA3E0}" id="{2894F2D0-7EF5-48FA-90E6-5627E3C2ED43}">
    <text xml:space="preserve">6 Camas Alquiler 2.500€ </text>
  </threadedComment>
  <threadedComment ref="F3913" dT="2025-10-23T13:49:13.58" personId="{4D8483EF-5A39-4E7B-A473-929EF5A077E1}" id="{10E9F77F-CCDE-4EBD-94B7-B7E756F91480}">
    <text>1 Habitación Doble, camas individuales.</text>
  </threadedComment>
  <threadedComment ref="F3916" dT="2025-07-03T14:34:58.13" personId="{98986A2A-739A-4851-A979-4B0D560C46CD}" id="{9D40B6D9-D59C-4918-A5B6-8A5A2B3D7D7F}">
    <text>850€ alquiler, 850€ fianza, 03 camas</text>
  </threadedComment>
  <threadedComment ref="F3922" dT="2025-10-09T09:46:16.20" personId="{4D8483EF-5A39-4E7B-A473-929EF5A077E1}" id="{FA5D0AEF-F0E0-4319-BD68-111AF05F19E2}">
    <text>Alojamiento para 3 Personas, 40€ por noche</text>
  </threadedComment>
  <threadedComment ref="F3926" dT="2025-10-09T09:33:31.28" personId="{4D8483EF-5A39-4E7B-A473-929EF5A077E1}" id="{7B994293-2E65-4A17-8E88-903DF9C43760}">
    <text>4 Camas, Alquiler 1.800€</text>
  </threadedComment>
  <threadedComment ref="F3928" dT="2025-02-13T10:05:11.33" personId="{17D30B62-2123-41F1-B603-E5411FDFA3E0}" id="{E7BC8CE5-EAC6-4A3A-90A0-9774853171C1}">
    <text>Habitacion doble para trabajadores cant 1 Costo 60€/noche
Habitacion triple para trabajadores cant 3 Costo 75€/noche cada una
(camas separadas)</text>
  </threadedComment>
  <threadedComment ref="F3930" dT="2025-02-13T10:05:11.33" personId="{17D30B62-2123-41F1-B603-E5411FDFA3E0}" id="{7F90B996-C320-43A5-8A7F-E543CF352950}">
    <text>3 CAMAS Alquiler 900€ Fianza 900€</text>
  </threadedComment>
  <threadedComment ref="F3931" dT="2025-02-13T10:05:11.33" personId="{17D30B62-2123-41F1-B603-E5411FDFA3E0}" id="{42CC47EC-550F-4446-9734-FF885F975A1F}">
    <text>Habitacion doble para trabajadores cant 1 Costo 60€/noche
Habitacion triple para trabajadores cant 3 Costo 75€/noche cada una
(camas separadas)</text>
  </threadedComment>
  <threadedComment ref="F3932" dT="2025-02-13T10:05:11.33" personId="{17D30B62-2123-41F1-B603-E5411FDFA3E0}" id="{E7349FB4-C15D-4857-9E94-013B918A2605}">
    <text>Habitacion doble para trabajadores cant 1 Costo 60€/noche
Habitacion triple para trabajadores cant 3 Costo 75€/noche cada una
(camas separadas)</text>
  </threadedComment>
  <threadedComment ref="F3933" dT="2025-02-13T10:05:11.33" personId="{17D30B62-2123-41F1-B603-E5411FDFA3E0}" id="{711BC88B-9E76-4D39-B691-EAAB238946DC}">
    <text>Habitacion doble para trabajadores cant 1 Costo 60€/noche
Habitacion triple para trabajadores cant 3 Costo 75€/noche cada una
(camas separadas)</text>
  </threadedComment>
  <threadedComment ref="F3940" dT="2025-10-20T06:13:48.73" personId="{4D8483EF-5A39-4E7B-A473-929EF5A077E1}" id="{C3807482-304D-48A1-B8F1-46C82DEBC303}">
    <text>Alojamiento entero · 5 camas · 5 viajeros</text>
  </threadedComment>
  <threadedComment ref="F3941" dT="2025-10-20T06:13:48.73" personId="{4D8483EF-5A39-4E7B-A473-929EF5A077E1}" id="{18EB2D62-D22E-4D43-937E-EF33E0DA920E}">
    <text>Alojamiento entero · 5 camas · 5 viajeros</text>
  </threadedComment>
  <threadedComment ref="F3942" dT="2025-10-20T06:13:48.73" personId="{4D8483EF-5A39-4E7B-A473-929EF5A077E1}" id="{C0B4650D-CE23-40DD-A4AD-FA458D582E68}">
    <text>Alojamiento entero · 5 camas · 5 viajeros</text>
  </threadedComment>
  <threadedComment ref="F3943" dT="2025-10-20T06:13:48.73" personId="{4D8483EF-5A39-4E7B-A473-929EF5A077E1}" id="{6C9B537D-D654-4ACB-9BCC-6CFF54A87FD3}">
    <text>Alojamiento entero · 5 camas · 5 viajeros</text>
  </threadedComment>
  <threadedComment ref="F3944" dT="2025-10-14T08:51:43.60" personId="{4D8483EF-5A39-4E7B-A473-929EF5A077E1}" id="{DFDFC593-4770-4FD8-A3C9-CD6062E76F8D}">
    <text>Alojamiento entero · 5 camas · 5 viajeros</text>
  </threadedComment>
  <threadedComment ref="F3945" dT="2025-10-14T08:51:43.60" personId="{4D8483EF-5A39-4E7B-A473-929EF5A077E1}" id="{42A92063-6607-4484-A9F6-BF8AE513A817}">
    <text>Alojamiento entero · 5 camas · 5 viajeros</text>
  </threadedComment>
  <threadedComment ref="F3946" dT="2025-10-14T08:51:43.60" personId="{4D8483EF-5A39-4E7B-A473-929EF5A077E1}" id="{E471EEF9-F729-4625-AAEE-04E60EE2F8C5}">
    <text>Alojamiento entero · 5 camas · 5 viajeros</text>
  </threadedComment>
  <threadedComment ref="F3947" dT="2025-10-14T08:51:43.60" personId="{4D8483EF-5A39-4E7B-A473-929EF5A077E1}" id="{989FE166-F0CB-423B-BF08-8BFC8BBE7678}">
    <text>Alojamiento entero · 5 camas · 5 viajeros</text>
  </threadedComment>
  <threadedComment ref="F3949" dT="2025-10-14T08:51:43.60" personId="{4D8483EF-5A39-4E7B-A473-929EF5A077E1}" id="{4F5F9436-753A-44C4-A337-8F965B3D5732}">
    <text>Alojamiento entero · 5 camas · 5 viajeros</text>
  </threadedComment>
  <threadedComment ref="F3950" dT="2025-10-14T09:03:51.59" personId="{4D8483EF-5A39-4E7B-A473-929EF5A077E1}" id="{0636CDB5-F62A-49EC-B890-029EB4CFEAA4}">
    <text>Alojamiento entero · 4 camas · 4 viajeros</text>
  </threadedComment>
  <threadedComment ref="F3951" dT="2025-10-14T09:03:51.59" personId="{4D8483EF-5A39-4E7B-A473-929EF5A077E1}" id="{8555CEFE-985B-44B5-B602-850E529AF759}">
    <text>Alojamiento entero · 4 camas · 4 viajeros</text>
  </threadedComment>
  <threadedComment ref="F3952" dT="2025-10-14T09:03:51.59" personId="{4D8483EF-5A39-4E7B-A473-929EF5A077E1}" id="{505F59F7-7BF4-4781-923E-9C70FB8E5A74}">
    <text>Alojamiento entero · 4 camas · 4 viajeros</text>
  </threadedComment>
  <threadedComment ref="F3953" dT="2025-10-14T09:03:51.59" personId="{4D8483EF-5A39-4E7B-A473-929EF5A077E1}" id="{FBB9F597-61EC-4F4A-8A52-0E355CD8978C}">
    <text>Alojamiento entero · 4 camas · 4 viajeros</text>
  </threadedComment>
  <threadedComment ref="F3954" dT="2025-10-20T06:13:48.73" personId="{4D8483EF-5A39-4E7B-A473-929EF5A077E1}" id="{DFB33D53-3180-4E51-9775-9C98840262A9}">
    <text>Alojamiento entero · 5 camas · 5 viajeros</text>
  </threadedComment>
  <threadedComment ref="F3955" dT="2026-08-21T12:35:40.50" personId="{E3C446A3-37B8-466B-82DA-8F7BAC7681F7}" id="{C35B22E5-5D61-487A-BCBB-CAF6045BA0EB}">
    <text>06 camas, 500€ fianza</text>
  </threadedComment>
  <threadedComment ref="F3956" dT="2025-02-13T10:05:11.33" personId="{17D30B62-2123-41F1-B603-E5411FDFA3E0}" id="{A0345D4E-926A-498B-B611-DDB3F8F7F419}">
    <text xml:space="preserve">Alquiler 1300, Fianza 1300, 3 camas </text>
  </threadedComment>
  <threadedComment ref="F3957" dT="2026-08-21T12:35:40.50" personId="{E3C446A3-37B8-466B-82DA-8F7BAC7681F7}" id="{AA761B4C-FE86-4B26-B55D-F529F76BCE39}">
    <text>06 camas, 500€ fianza</text>
  </threadedComment>
  <threadedComment ref="F3958" dT="2026-08-21T12:35:40.50" personId="{E3C446A3-37B8-466B-82DA-8F7BAC7681F7}" id="{868FB969-E31D-43EB-AE88-737F59DB4743}">
    <text>06 camas, 500€ fianza</text>
  </threadedComment>
  <threadedComment ref="F3960" dT="2025-10-30T12:37:41.81" personId="{4D8483EF-5A39-4E7B-A473-929EF5A077E1}" id="{22A62B61-E651-4DB4-8C9E-7BA69D98B51C}">
    <text>Alojamiento entero · 4 camas · 4 viajeros</text>
  </threadedComment>
  <threadedComment ref="F3961" dT="2025-10-30T12:37:41.81" personId="{4D8483EF-5A39-4E7B-A473-929EF5A077E1}" id="{B7C110C3-9F4E-4AA5-BB33-91B1B5952EED}">
    <text>Alojamiento entero · 4 camas · 4 viajeros</text>
  </threadedComment>
  <threadedComment ref="F3962" dT="2025-10-30T12:37:41.81" personId="{4D8483EF-5A39-4E7B-A473-929EF5A077E1}" id="{2CEE2724-87F9-4150-A886-8057AFA12BA8}">
    <text>Alojamiento entero · 4 camas · 4 viajeros</text>
  </threadedComment>
  <threadedComment ref="F3963" dT="2025-10-27T08:20:25.63" personId="{4D8483EF-5A39-4E7B-A473-929EF5A077E1}" id="{0F0018E8-A865-4C7A-90FF-FC2D02BAD342}">
    <text>Alojamiento entero · 5 camas · 5 viajeros</text>
  </threadedComment>
  <threadedComment ref="F3964" dT="2025-10-30T12:43:21.75" personId="{4D8483EF-5A39-4E7B-A473-929EF5A077E1}" id="{4A585AA7-A5BC-4B7F-BCD4-F37DA5290A49}">
    <text xml:space="preserve">5 adultos - 3 semanas, 1 apartamento
</text>
  </threadedComment>
  <threadedComment ref="F3965" dT="2025-09-26T11:01:56.52" personId="{E3C446A3-37B8-466B-82DA-8F7BAC7681F7}" id="{65CEB44A-0715-4E36-9D11-8C8F1BA3E4E7}">
    <text>978.63€ PISO 04 HABITACIONES</text>
  </threadedComment>
  <threadedComment ref="F3966" dT="2025-06-30T11:38:12.54" personId="{98986A2A-739A-4851-A979-4B0D560C46CD}" id="{7CAD85BC-83B2-498F-B239-CF21A6A39EAE}">
    <text>Alquiler 700€, 02 camas, sin fianza</text>
  </threadedComment>
  <threadedComment ref="F3966" dT="2025-09-24T10:21:53.03" personId="{17D30B62-2123-41F1-B603-E5411FDFA3E0}" id="{7ECAC3FF-E7BC-4F1B-8B51-4E0C7539060B}" parentId="{7CAD85BC-83B2-498F-B239-CF21A6A39EAE}">
    <text>100€ 1 Cama adicional</text>
  </threadedComment>
  <threadedComment ref="F3967" dT="2025-07-29T09:19:19.90" personId="{17D30B62-2123-41F1-B603-E5411FDFA3E0}" id="{A59BD844-E3DE-4C7F-B335-48F487CBD7BA}">
    <text>4 apartamentos (para 8 personas) </text>
  </threadedComment>
  <threadedComment ref="F3970" dT="2025-03-03T08:16:57.36" personId="{17D30B62-2123-41F1-B603-E5411FDFA3E0}" id="{5133082F-F16B-490B-BCF3-495FA57FDDD8}">
    <text>2 Camas Alquiler 1300</text>
  </threadedComment>
  <threadedComment ref="F3970" dT="2025-10-09T08:43:44.93" personId="{4D8483EF-5A39-4E7B-A473-929EF5A077E1}" id="{1325F3B1-98ED-4C40-B326-0B5659AAFE21}" parentId="{5133082F-F16B-490B-BCF3-495FA57FDDD8}">
    <text>3 Camas Alquiler 1950€</text>
  </threadedComment>
  <threadedComment ref="F3971" dT="2025-03-03T08:16:57.36" personId="{17D30B62-2123-41F1-B603-E5411FDFA3E0}" id="{F218E3FB-6138-4BC7-AFBE-E640BDB829B5}">
    <text>2 Camas Alquiler 1300</text>
  </threadedComment>
  <threadedComment ref="F3971" dT="2025-10-09T08:43:44.93" personId="{4D8483EF-5A39-4E7B-A473-929EF5A077E1}" id="{99DE5AC4-02DC-48A1-BDB2-4917EE2A8308}" parentId="{F218E3FB-6138-4BC7-AFBE-E640BDB829B5}">
    <text>3 Camas Alquiler 1950€</text>
  </threadedComment>
  <threadedComment ref="F3972" dT="2025-03-03T08:16:57.36" personId="{17D30B62-2123-41F1-B603-E5411FDFA3E0}" id="{71FA86C8-0C25-4591-961A-819B3DCF0F0E}">
    <text>2 Camas Alquiler 1300</text>
  </threadedComment>
  <threadedComment ref="F3972" dT="2025-10-09T08:43:44.93" personId="{4D8483EF-5A39-4E7B-A473-929EF5A077E1}" id="{9BDE61BF-B643-4EE0-BF9E-F5DBAEA83FBA}" parentId="{71FA86C8-0C25-4591-961A-819B3DCF0F0E}">
    <text>3 Camas Alquiler 1950€</text>
  </threadedComment>
  <threadedComment ref="F3975" dT="2025-10-02T11:39:45.71" personId="{17D30B62-2123-41F1-B603-E5411FDFA3E0}" id="{C9B7B64A-CFB6-40AD-A0DD-0445DBDEBAAE}">
    <text>Alquiler Habitación - Septiembre-Octubre 310€
Fianza - 310€</text>
  </threadedComment>
  <threadedComment ref="F3976" dT="2025-02-25T17:38:25.86" personId="{98986A2A-739A-4851-A979-4B0D560C46CD}" id="{17A8D90E-7D2C-4181-A69C-357A207515F2}">
    <text xml:space="preserve">Alquiler 1600 Fianza 1600 camas 5
</text>
  </threadedComment>
  <threadedComment ref="F3977" dT="2025-07-29T09:19:19.90" personId="{17D30B62-2123-41F1-B603-E5411FDFA3E0}" id="{CBE40A64-61B3-43AA-96B7-356A1378CF12}">
    <text>4 apartamentos (para 8 personas) </text>
  </threadedComment>
  <threadedComment ref="F3978" dT="2026-01-29T14:37:35.05" personId="{4D8483EF-5A39-4E7B-A473-929EF5A077E1}" id="{E3B4EFBC-39DA-4B9C-A2EE-BCC2F9DB85CF}">
    <text>Alojamiento para 3 personas</text>
  </threadedComment>
  <threadedComment ref="F3980" dT="2026-08-21T12:35:40.50" personId="{E3C446A3-37B8-466B-82DA-8F7BAC7681F7}" id="{D6F4D2EB-B6ED-4D17-A6E0-98AFBC8ED589}">
    <text>06 camas, 500€ fianza</text>
  </threadedComment>
  <threadedComment ref="F3984" dT="2025-10-21T07:56:55.08" personId="{4D8483EF-5A39-4E7B-A473-929EF5A077E1}" id="{F3A70356-79B6-42FA-BCFD-45197A7528D8}">
    <text>5 CAMAS</text>
  </threadedComment>
  <threadedComment ref="F3989" dT="2025-03-19T10:41:19.83" personId="{98986A2A-739A-4851-A979-4B0D560C46CD}" id="{BB29BEF1-31AB-4ECC-BC6F-CD249A794FB0}">
    <text>04 camas, 650€ alquiler</text>
  </threadedComment>
  <threadedComment ref="F3990" dT="2025-02-24T10:19:28.57" personId="{98986A2A-739A-4851-A979-4B0D560C46CD}" id="{3C9BDDB6-3B65-429A-8EC4-AA411D240F61}">
    <text>06 camas</text>
  </threadedComment>
  <threadedComment ref="F3990" dT="2025-08-05T11:29:05.15" personId="{17D30B62-2123-41F1-B603-E5411FDFA3E0}" id="{265CB6D1-FDC3-427F-89D1-2E837A0D6F49}" parentId="{3C9BDDB6-3B65-429A-8EC4-AA411D240F61}">
    <text>+1 Cama</text>
  </threadedComment>
  <threadedComment ref="F3991" dT="2025-02-13T10:05:11.33" personId="{17D30B62-2123-41F1-B603-E5411FDFA3E0}" id="{61DBCD86-641D-4E44-80C3-9928F29EE0D1}">
    <text>Habitacion doble para trabajadores cant 1 Costo 60€/noche
Habitacion triple para trabajadores cant 3 Costo 75€/noche cada una
(camas separadas)</text>
  </threadedComment>
  <threadedComment ref="F3993" dT="2025-06-13T11:20:48.41" personId="{98986A2A-739A-4851-A979-4B0D560C46CD}" id="{1F6D7A4B-E473-4FC7-B926-8CD7CD16B896}">
    <text>05 camas, 1200€ alquiler,+ 250€ SUMINISTROS+ 1200€ fianza</text>
  </threadedComment>
  <threadedComment ref="F3994" dT="2025-09-15T14:14:32.09" personId="{17D30B62-2123-41F1-B603-E5411FDFA3E0}" id="{C5C97FBE-925E-4077-A460-1D7EA49C6AE6}">
    <text>Alquiler 500€ Fianza 300€</text>
  </threadedComment>
  <threadedComment ref="F3995" dT="2025-10-23T13:48:47.78" personId="{4D8483EF-5A39-4E7B-A473-929EF5A077E1}" id="{3368C7CB-9A2A-4438-9DEC-D65DFEC072C6}">
    <text>1 Habitación triple, camas individuales</text>
  </threadedComment>
  <threadedComment ref="F3996" dT="2025-10-23T13:48:47.78" personId="{4D8483EF-5A39-4E7B-A473-929EF5A077E1}" id="{58702381-B691-4867-9A35-D7578844A620}">
    <text>1 Habitación triple, camas individuales</text>
  </threadedComment>
  <threadedComment ref="F3997" dT="2025-10-23T13:48:47.78" personId="{4D8483EF-5A39-4E7B-A473-929EF5A077E1}" id="{F6079674-9364-411D-BFE7-B6E3B9866255}">
    <text>1 Habitación triple, camas individuales</text>
  </threadedComment>
  <threadedComment ref="F3998" dT="2025-10-23T13:49:13.58" personId="{4D8483EF-5A39-4E7B-A473-929EF5A077E1}" id="{CE8FD150-074E-4BF1-9E88-9C5A5EEE6107}">
    <text>1 Habitación Doble, camas individuales.</text>
  </threadedComment>
  <threadedComment ref="F3999" dT="2025-10-23T13:49:13.58" personId="{4D8483EF-5A39-4E7B-A473-929EF5A077E1}" id="{DF5A4B61-C963-43DD-AD65-3321A580C633}">
    <text>1 Habitación Doble, camas individuales.</text>
  </threadedComment>
  <threadedComment ref="F4000" dT="2025-10-23T13:49:13.58" personId="{4D8483EF-5A39-4E7B-A473-929EF5A077E1}" id="{3CD27F6E-1A94-4C3D-B0AE-05E19ED5E623}">
    <text>1 Habitación Doble, camas individuales.</text>
  </threadedComment>
  <threadedComment ref="F4001" dT="2025-10-29T11:54:27.92" personId="{4D8483EF-5A39-4E7B-A473-929EF5A077E1}" id="{923F3E8C-F202-4AF1-A140-9B2E295DCBA2}">
    <text>4 CAMAS</text>
  </threadedComment>
  <threadedComment ref="F4003" dT="2025-10-15T13:37:15.33" personId="{4D8483EF-5A39-4E7B-A473-929EF5A077E1}" id="{B9E3A56C-C9C6-4DA7-B39F-F7A36CE43C74}">
    <text>Alojamiento entero · 2 camas · 1 huésped</text>
  </threadedComment>
  <threadedComment ref="F4004" dT="2025-07-11T08:50:42.66" personId="{98986A2A-739A-4851-A979-4B0D560C46CD}" id="{C86A710F-EC06-4CE8-92BE-EED516F9A02F}">
    <text>04 camas, 1460€ alquiler, 1400€ fianza</text>
  </threadedComment>
  <threadedComment ref="F4005" dT="2025-03-04T08:46:27.80" personId="{98986A2A-739A-4851-A979-4B0D560C46CD}" id="{0257A37C-A916-49F8-9983-936641E23C12}">
    <text>01 cama, sin fianza, transferencia al trabajador</text>
  </threadedComment>
  <threadedComment ref="F4006" dT="2025-03-04T08:46:27.80" personId="{98986A2A-739A-4851-A979-4B0D560C46CD}" id="{11C9539A-4C1A-413A-9876-80B199DE8331}">
    <text>01 cama, sin fianza, transferencia al trabajador</text>
  </threadedComment>
  <threadedComment ref="F4010" dT="2025-10-13T06:28:43.39" personId="{4D8483EF-5A39-4E7B-A473-929EF5A077E1}" id="{9E986D02-9D6B-4B50-A9AE-F72ECB36B91A}">
    <text>Asignación de piso para 6 trabajadores en Huelva.</text>
  </threadedComment>
  <threadedComment ref="F4012" dT="2025-03-11T10:16:04.90" personId="{98986A2A-739A-4851-A979-4B0D560C46CD}" id="{11909258-04C5-4513-B5BD-3D47E57F3871}">
    <text xml:space="preserve">6 camas 
Renta vivienda 1.250€+ Servicio de Limpieza 363€ =TOTAL 1.613€, fianza 
</text>
  </threadedComment>
  <threadedComment ref="F4013" dT="2025-03-11T10:16:04.90" personId="{98986A2A-739A-4851-A979-4B0D560C46CD}" id="{D1DFED61-0C49-4E1D-A142-A103DAC2F804}">
    <text xml:space="preserve">6 camas 
Renta vivienda 1.250€+ Servicio de Limpieza 363€ =TOTAL 1.613€, fianza 
</text>
  </threadedComment>
  <threadedComment ref="F4014" dT="2025-03-11T10:16:04.90" personId="{98986A2A-739A-4851-A979-4B0D560C46CD}" id="{4F822932-B095-4F4F-A73C-F6F6F77CA6AB}">
    <text xml:space="preserve">6 camas 
Renta vivienda 1.250€+ Servicio de Limpieza 363€ =TOTAL 1.613€, fianza 
</text>
  </threadedComment>
  <threadedComment ref="F4015" dT="2025-02-13T10:05:11.33" personId="{17D30B62-2123-41F1-B603-E5411FDFA3E0}" id="{691FD3E5-FE45-41D3-BD77-9DF043CEF49C}">
    <text>Habitacion doble para trabajadores cant 1 Costo 60€/noche
Habitacion triple para trabajadores cant 3 Costo 75€/noche cada una
(camas separadas)</text>
  </threadedComment>
  <threadedComment ref="F4016" dT="2025-10-13T06:28:43.39" personId="{4D8483EF-5A39-4E7B-A473-929EF5A077E1}" id="{234E1A91-A7CF-4D7C-BA17-C8D8BF83FA7A}">
    <text>Asignación de piso para 6 trabajadores en Huelva.</text>
  </threadedComment>
  <threadedComment ref="F4017" dT="2025-02-26T14:56:43.99" personId="{17D30B62-2123-41F1-B603-E5411FDFA3E0}" id="{54E79E39-41D5-4788-8A8A-976C5CB840B3}">
    <text>Alojamiento para 9 personas.
 3 apartamentos triples (101-102-121)</text>
  </threadedComment>
  <threadedComment ref="F4017" dT="2025-10-14T10:02:06.67" personId="{4D8483EF-5A39-4E7B-A473-929EF5A077E1}" id="{7A51D081-8146-472E-9248-6CDA94CDC355}" parentId="{54E79E39-41D5-4788-8A8A-976C5CB840B3}">
    <text xml:space="preserve">Alojamiento para 6 personas.
 2 apartamentos triples </text>
  </threadedComment>
  <threadedComment ref="F4018" dT="2025-02-26T14:56:43.99" personId="{17D30B62-2123-41F1-B603-E5411FDFA3E0}" id="{129EF0D8-26B0-4AEA-ACCD-A269F482353F}">
    <text>Alojamiento para 9 personas.
 3 apartamentos triples (101-102-121)</text>
  </threadedComment>
  <threadedComment ref="F4018" dT="2025-10-14T10:02:06.67" personId="{4D8483EF-5A39-4E7B-A473-929EF5A077E1}" id="{6F797823-D7E9-4A4F-AC50-0AC15E6C1BF1}" parentId="{129EF0D8-26B0-4AEA-ACCD-A269F482353F}">
    <text xml:space="preserve">Alojamiento para 6 personas.
 2 apartamentos triples </text>
  </threadedComment>
  <threadedComment ref="F4019" dT="2025-03-18T09:49:27.52" personId="{98986A2A-739A-4851-A979-4B0D560C46CD}" id="{057B7BE8-9F77-4507-A965-6935071E5315}">
    <text>04 camas, 400€ alquiler, 400€ fianza</text>
  </threadedComment>
  <threadedComment ref="F4024" dT="2025-08-14T09:11:19.75" personId="{17D30B62-2123-41F1-B603-E5411FDFA3E0}" id="{42AA905B-309B-4707-82AD-FBB75A05E7CE}">
    <text xml:space="preserve">5 Camas, Alquiler 550€ Fianza 550€ </text>
  </threadedComment>
  <threadedComment ref="F4025" dT="2025-07-29T09:19:19.90" personId="{17D30B62-2123-41F1-B603-E5411FDFA3E0}" id="{65EC3D51-2F39-4479-8DC5-3E30F0120AF2}">
    <text>4 apartamentos (para 8 personas) </text>
  </threadedComment>
  <threadedComment ref="F4028" dT="2026-08-21T12:35:40.50" personId="{E3C446A3-37B8-466B-82DA-8F7BAC7681F7}" id="{BB473BCA-A3E4-43D5-A821-5A47ACBE1CEE}">
    <text>06 camas, 500€ fianza</text>
  </threadedComment>
  <threadedComment ref="F4029" dT="2025-02-13T10:05:11.33" personId="{17D30B62-2123-41F1-B603-E5411FDFA3E0}" id="{1770E2A7-B5AA-41E6-AD08-502A3ACB62BD}">
    <text>Habitacion doble para trabajadores cant 1 Costo 60€/noche
Habitacion triple para trabajadores cant 3 Costo 75€/noche cada una
(camas separadas)</text>
  </threadedComment>
  <threadedComment ref="F4030" dT="2025-02-13T10:05:11.33" personId="{17D30B62-2123-41F1-B603-E5411FDFA3E0}" id="{027311DB-73C8-45D5-92C4-8FB19E48A0AC}">
    <text>Habitacion doble para trabajadores cant 1 Costo 60€/noche
Habitacion triple para trabajadores cant 3 Costo 75€/noche cada una
(camas separadas)</text>
  </threadedComment>
  <threadedComment ref="F4032" dT="2025-05-21T14:08:11.69" personId="{17D30B62-2123-41F1-B603-E5411FDFA3E0}" id="{AED0448C-BF9B-43D7-BC24-C2C5E4E77734}">
    <text>Habitación  1- 360€ alquiler + 55€ suministros (235€ parte proporcional mayo)
             500€ fianza</text>
  </threadedComment>
  <threadedComment ref="F4033" dT="2025-10-30T13:21:20.21" personId="{4D8483EF-5A39-4E7B-A473-929EF5A077E1}" id="{6A37A654-8C12-439E-92EC-86F5F66BA89E}">
    <text>Alojamiento entero · 4 camas · 4 viajeros</text>
  </threadedComment>
  <threadedComment ref="F4034" dT="2025-10-23T15:01:45.85" personId="{4D8483EF-5A39-4E7B-A473-929EF5A077E1}" id="{0C51C226-9EDA-4588-9C85-0C670784B7D9}">
    <text>7 Camas</text>
  </threadedComment>
  <threadedComment ref="F4034" dT="2025-11-13T08:10:52.60" personId="{98986A2A-739A-4851-A979-4B0D560C46CD}" id="{E6F0E56E-52D4-4BB5-971F-DF7A97E90D15}" parentId="{0C51C226-9EDA-4588-9C85-0C670784B7D9}">
    <text>FIANZA 1900€, ALQUILER 1900€</text>
  </threadedComment>
  <threadedComment ref="F4035" dT="2025-08-14T08:55:55.58" personId="{17D30B62-2123-41F1-B603-E5411FDFA3E0}" id="{29A5D592-6F09-445A-B87D-8D607516732D}">
    <text>4 Camas, Alquiler 750€ Fianza 750€</text>
  </threadedComment>
  <threadedComment ref="F4036" dT="2025-02-13T10:05:11.33" personId="{17D30B62-2123-41F1-B603-E5411FDFA3E0}" id="{A8B31F09-0593-493D-B164-63BA7FCA334A}">
    <text>Habitacion doble para trabajadores cant 1 Costo 60€/noche
Habitacion triple para trabajadores cant 3 Costo 75€/noche cada una
(camas separadas)</text>
  </threadedComment>
  <threadedComment ref="F4037" dT="2025-08-28T13:36:19.14" personId="{17D30B62-2123-41F1-B603-E5411FDFA3E0}" id="{C5CCDE92-E7B4-4305-8168-5EC1392159E2}">
    <text>(Piso con 4 Camas)
Alquiler 1400 
Fianza 1400€</text>
  </threadedComment>
  <threadedComment ref="F4038" dT="2025-10-30T13:21:20.21" personId="{4D8483EF-5A39-4E7B-A473-929EF5A077E1}" id="{9F45CF2A-8246-41BF-B50F-E095E19DE79B}">
    <text>Alojamiento entero · 4 camas · 4 viajeros</text>
  </threadedComment>
  <threadedComment ref="F4039" dT="2025-10-30T13:21:20.21" personId="{4D8483EF-5A39-4E7B-A473-929EF5A077E1}" id="{B0BD99ED-A3C6-4087-9E0D-2F02B7B93593}">
    <text>Alojamiento entero · 4 camas · 4 viajeros</text>
  </threadedComment>
  <threadedComment ref="F4040" dT="2025-05-05T11:29:54.02" personId="{98986A2A-739A-4851-A979-4B0D560C46CD}" id="{68393B3A-A6F5-4FC7-B71D-230119FA784C}">
    <text>Alquiler 1300€, 05 habitaciones, 400€fianza</text>
  </threadedComment>
  <threadedComment ref="F4040" dT="2025-09-24T10:00:00.90" personId="{E3C446A3-37B8-466B-82DA-8F7BAC7681F7}" id="{73193AD9-5236-4689-BB1C-897EE4A0C47C}" parentId="{68393B3A-A6F5-4FC7-B71D-230119FA784C}">
    <text xml:space="preserve">+2 HABITACIONES (29-09-25) Total piso 1800€ </text>
  </threadedComment>
  <threadedComment ref="F4041" dT="2025-05-05T11:29:54.02" personId="{98986A2A-739A-4851-A979-4B0D560C46CD}" id="{D6722568-BB79-4DFB-8022-161D9D69B5E0}">
    <text>Alquiler 1300€, 05 habitaciones, 400€fianza</text>
  </threadedComment>
  <threadedComment ref="F4041" dT="2025-09-24T10:00:00.90" personId="{E3C446A3-37B8-466B-82DA-8F7BAC7681F7}" id="{272773DB-1EE8-4277-A79A-68E3C4031F73}" parentId="{D6722568-BB79-4DFB-8022-161D9D69B5E0}">
    <text xml:space="preserve">+2 HABITACIONES (29-09-25) Total piso 1800€ </text>
  </threadedComment>
  <threadedComment ref="F4042" dT="2025-07-03T14:34:58.13" personId="{98986A2A-739A-4851-A979-4B0D560C46CD}" id="{BD95149F-1F53-4CA7-8E37-D973F6B5F236}">
    <text>850€ alquiler, 850€ fianza, 03 camas</text>
  </threadedComment>
  <threadedComment ref="F4043" dT="2025-07-03T14:34:58.13" personId="{98986A2A-739A-4851-A979-4B0D560C46CD}" id="{BE29CB1B-4416-46C0-AAC3-11B57EEDBE36}">
    <text>850€ alquiler, 850€ fianza, 03 camas</text>
  </threadedComment>
  <threadedComment ref="F4044" dT="2025-06-25T15:20:38.46" personId="{98986A2A-739A-4851-A979-4B0D560C46CD}" id="{A1D1D80C-7608-40D5-A42C-F597465B1656}">
    <text>1300€ ALQUILER- 1300€FIANZA-04 CAMAS</text>
  </threadedComment>
  <threadedComment ref="F4045" dT="2025-10-30T13:21:20.21" personId="{4D8483EF-5A39-4E7B-A473-929EF5A077E1}" id="{87DEF89A-4E79-4254-9C08-5F32F45F78D5}">
    <text>Alojamiento entero · 4 camas · 4 viajeros</text>
  </threadedComment>
  <threadedComment ref="F4046" dT="2025-10-14T09:05:13.23" personId="{4D8483EF-5A39-4E7B-A473-929EF5A077E1}" id="{E926FC4E-B6C2-4F34-A9BE-1E8C2C7DF369}">
    <text>Alojamiento entero · 5 camas · 5 viajeros</text>
  </threadedComment>
  <threadedComment ref="F4047" dT="2025-10-14T09:05:13.23" personId="{4D8483EF-5A39-4E7B-A473-929EF5A077E1}" id="{BB066540-E72E-4CAB-B222-5672FC7A6D3F}">
    <text>Alojamiento entero · 5 camas · 5 viajeros</text>
  </threadedComment>
  <threadedComment ref="F4048" dT="2025-10-14T09:05:13.23" personId="{4D8483EF-5A39-4E7B-A473-929EF5A077E1}" id="{42823856-5FF8-4C94-A889-E1BFCC9CBD02}">
    <text>Alojamiento entero · 5 camas · 5 viajeros</text>
  </threadedComment>
  <threadedComment ref="F4049" dT="2025-10-27T08:44:08.95" personId="{4D8483EF-5A39-4E7B-A473-929EF5A077E1}" id="{AAEF8A8E-8C67-4E7D-A195-C8AEB95943F2}">
    <text>Alojamiento entero · 6 camas · 5 viajeros</text>
  </threadedComment>
  <threadedComment ref="F4050" dT="2025-10-27T08:20:25.63" personId="{4D8483EF-5A39-4E7B-A473-929EF5A077E1}" id="{7F3AAC35-561D-4F83-926E-A9259584B370}">
    <text>Alojamiento entero · 5 camas · 5 viajeros</text>
  </threadedComment>
  <threadedComment ref="F4051" dT="2025-10-27T08:20:25.63" personId="{4D8483EF-5A39-4E7B-A473-929EF5A077E1}" id="{B99B68E1-F6B8-40E0-A14B-69EC41277167}">
    <text>Alojamiento entero · 5 camas · 5 viajeros</text>
  </threadedComment>
  <threadedComment ref="F4054" dT="2025-10-27T08:44:08.95" personId="{4D8483EF-5A39-4E7B-A473-929EF5A077E1}" id="{7EED2392-EAF6-4CDF-B48A-888CFFB56A1B}">
    <text>Alojamiento entero · 6 camas · 5 viajeros</text>
  </threadedComment>
  <threadedComment ref="F4055" dT="2025-10-27T09:04:06.60" personId="{4D8483EF-5A39-4E7B-A473-929EF5A077E1}" id="{1EA47DF3-9430-465D-901C-679744F1559A}">
    <text>Alojamiento entero · 5 camas · 4 viajeros</text>
  </threadedComment>
  <threadedComment ref="F4056" dT="2025-10-27T08:44:08.95" personId="{4D8483EF-5A39-4E7B-A473-929EF5A077E1}" id="{0739E75B-C051-45C3-8DE6-CCAC97A54192}">
    <text>Alojamiento entero · 6 camas · 5 viajeros</text>
  </threadedComment>
  <threadedComment ref="F4057" dT="2025-10-27T08:44:08.95" personId="{4D8483EF-5A39-4E7B-A473-929EF5A077E1}" id="{8B86A5FC-1DDA-4129-B364-A961B214C539}">
    <text>Alojamiento entero · 6 camas · 5 viajeros</text>
  </threadedComment>
  <threadedComment ref="F4058" dT="2025-10-27T08:44:08.95" personId="{4D8483EF-5A39-4E7B-A473-929EF5A077E1}" id="{715C28C7-2018-4AB3-B506-2BD5815140BE}">
    <text>Alojamiento entero · 6 camas · 5 viajeros</text>
  </threadedComment>
  <threadedComment ref="F4059" dT="2025-10-27T09:04:06.60" personId="{4D8483EF-5A39-4E7B-A473-929EF5A077E1}" id="{3B653C2D-F328-4DDA-BD92-581D047FE852}">
    <text>Alojamiento entero · 5 camas · 4 viajeros</text>
  </threadedComment>
  <threadedComment ref="F4060" dT="2025-10-27T08:44:08.95" personId="{4D8483EF-5A39-4E7B-A473-929EF5A077E1}" id="{AF8E74F6-73DB-4C96-8F97-0EA309D6B161}">
    <text>Alojamiento entero · 6 camas · 5 viajeros</text>
  </threadedComment>
  <threadedComment ref="F4061" dT="2025-10-27T08:20:25.63" personId="{4D8483EF-5A39-4E7B-A473-929EF5A077E1}" id="{30F170A7-8096-401A-8131-F91C6E660925}">
    <text>Alojamiento entero · 5 camas · 5 viajeros</text>
  </threadedComment>
  <threadedComment ref="F4062" dT="2025-10-27T09:04:06.60" personId="{4D8483EF-5A39-4E7B-A473-929EF5A077E1}" id="{567F6199-23F4-48C5-BE9C-C45358CD8C8C}">
    <text>Alojamiento entero · 5 camas · 4 viajeros</text>
  </threadedComment>
  <threadedComment ref="F4065" dT="2025-02-10T07:12:32.59" personId="{17D30B62-2123-41F1-B603-E5411FDFA3E0}" id="{6FC7AA39-DB88-4992-8610-D5BB45A59595}">
    <text xml:space="preserve">1.500€ renta mes,1.200€ Fianza, 3 Habitacines con 4 camas </text>
  </threadedComment>
  <threadedComment ref="F4066" dT="2025-05-09T14:42:45.96" personId="{17D30B62-2123-41F1-B603-E5411FDFA3E0}" id="{5FA2191F-BF3A-4376-96E1-2995058E5016}">
    <text>4 CAMAS 2.600€ Alquiler</text>
  </threadedComment>
  <threadedComment ref="F4068" dT="2025-10-30T12:39:12.66" personId="{4D8483EF-5A39-4E7B-A473-929EF5A077E1}" id="{9F8F2F32-E0CF-4AFF-9711-4DFD2C2B6A50}">
    <text>(para 5 personas)</text>
  </threadedComment>
  <threadedComment ref="F4069" dT="2025-10-30T12:39:12.66" personId="{4D8483EF-5A39-4E7B-A473-929EF5A077E1}" id="{942F5EC9-77BC-48C1-8387-0619A47FAB42}">
    <text>(para 5 personas)</text>
  </threadedComment>
  <threadedComment ref="F4070" dT="2025-10-30T12:39:12.66" personId="{4D8483EF-5A39-4E7B-A473-929EF5A077E1}" id="{35871FFA-AF21-407D-AAA5-AF524949E3D9}">
    <text>(para 5 personas)</text>
  </threadedComment>
  <threadedComment ref="F4071" dT="2025-10-14T08:49:06.52" personId="{4D8483EF-5A39-4E7B-A473-929EF5A077E1}" id="{CC606D08-9161-43FF-9A27-0602AA9218A3}">
    <text>Alojamiento entero · 4 camas · 4 viajeros</text>
  </threadedComment>
  <threadedComment ref="F4072" dT="2025-10-30T12:43:21.75" personId="{4D8483EF-5A39-4E7B-A473-929EF5A077E1}" id="{C1B18ADE-BC3D-44BD-B72D-88C9B5C1DE8B}">
    <text xml:space="preserve">5 adultos - 3 semanas, 1 apartamento
</text>
  </threadedComment>
  <threadedComment ref="F4073" dT="2025-10-30T12:43:21.75" personId="{4D8483EF-5A39-4E7B-A473-929EF5A077E1}" id="{564BB934-4EC8-474E-83B7-D6AA5A09C89A}">
    <text xml:space="preserve">5 adultos - 3 semanas, 1 apartamento
</text>
  </threadedComment>
  <threadedComment ref="F4074" dT="2025-10-30T12:43:21.75" personId="{4D8483EF-5A39-4E7B-A473-929EF5A077E1}" id="{ABB8EC05-EDB5-40EB-85DE-B20385616F3F}">
    <text xml:space="preserve">5 adultos - 3 semanas, 1 apartamento
</text>
  </threadedComment>
  <threadedComment ref="F4075" dT="2025-10-14T08:49:06.52" personId="{4D8483EF-5A39-4E7B-A473-929EF5A077E1}" id="{88BC1C20-BEB7-4699-8B50-22A6FBB32E50}">
    <text>Alojamiento entero · 4 camas · 4 viajeros</text>
  </threadedComment>
  <threadedComment ref="F4076" dT="2025-11-04T07:35:57.99" personId="{4D8483EF-5A39-4E7B-A473-929EF5A077E1}" id="{ABCDC761-8F0F-478B-BD59-8DD21E7A31E3}">
    <text>Alojamiento entero · 4 camas · 4 viajeros</text>
  </threadedComment>
  <threadedComment ref="F4077" dT="2025-10-14T09:01:44.03" personId="{4D8483EF-5A39-4E7B-A473-929EF5A077E1}" id="{5857BD4F-E68C-4EAA-8D44-1966D5D53FBC}">
    <text>Alojamiento entero · 4 camas · 4 viajeros</text>
  </threadedComment>
  <threadedComment ref="F4078" dT="2025-10-14T08:58:25.78" personId="{4D8483EF-5A39-4E7B-A473-929EF5A077E1}" id="{7B3D6223-C3D9-48B8-80B4-F246BBA032AB}">
    <text>Alojamiento entero · 5 camas · 5 viajeros</text>
  </threadedComment>
  <threadedComment ref="F4079" dT="2025-10-14T08:49:06.52" personId="{4D8483EF-5A39-4E7B-A473-929EF5A077E1}" id="{3BCEB0FB-4B98-49AA-B7FE-93E52CB4399E}">
    <text>Alojamiento entero · 4 camas · 4 viajeros</text>
  </threadedComment>
  <threadedComment ref="F4080" dT="2025-10-14T08:58:25.78" personId="{4D8483EF-5A39-4E7B-A473-929EF5A077E1}" id="{0BFE771F-8696-4F5D-BDDC-CB898B8E1F0F}">
    <text>Alojamiento entero · 5 camas · 5 viajeros</text>
  </threadedComment>
  <threadedComment ref="F4081" dT="2025-10-14T09:01:44.03" personId="{4D8483EF-5A39-4E7B-A473-929EF5A077E1}" id="{5F9A5089-A995-4DC2-BC55-5F39BC78F2E6}">
    <text>Alojamiento entero · 4 camas · 4 viajeros</text>
  </threadedComment>
  <threadedComment ref="F4082" dT="2025-10-14T08:58:25.78" personId="{4D8483EF-5A39-4E7B-A473-929EF5A077E1}" id="{A7FBC83E-061E-4773-B555-31C3BB3F9BCC}">
    <text>Alojamiento entero · 5 camas · 5 viajeros</text>
  </threadedComment>
  <threadedComment ref="F4083" dT="2025-10-14T09:01:44.03" personId="{4D8483EF-5A39-4E7B-A473-929EF5A077E1}" id="{59CC910E-2B12-4E5F-80A6-00869F132241}">
    <text>Alojamiento entero · 4 camas · 4 viajeros</text>
  </threadedComment>
  <threadedComment ref="F4084" dT="2025-10-14T08:58:25.78" personId="{4D8483EF-5A39-4E7B-A473-929EF5A077E1}" id="{EEB8122A-829B-4455-B057-B3C79E683038}">
    <text>Alojamiento entero · 5 camas · 5 viajeros</text>
  </threadedComment>
  <threadedComment ref="F4085" dT="2025-10-14T08:49:06.52" personId="{4D8483EF-5A39-4E7B-A473-929EF5A077E1}" id="{45564437-3EEA-4431-8FC3-884BF3A75C56}">
    <text>Alojamiento entero · 4 camas · 4 viajeros</text>
  </threadedComment>
  <threadedComment ref="F4086" dT="2025-10-14T09:01:44.03" personId="{4D8483EF-5A39-4E7B-A473-929EF5A077E1}" id="{DD1082A8-38C9-4E51-8D9A-5C3DD360CD7B}">
    <text>Alojamiento entero · 4 camas · 4 viajeros</text>
  </threadedComment>
  <threadedComment ref="F4087" dT="2025-07-29T09:19:19.90" personId="{17D30B62-2123-41F1-B603-E5411FDFA3E0}" id="{5B2089A7-853C-4829-8B78-E364134F740D}">
    <text>4 apartamentos (para 8 personas) </text>
  </threadedComment>
  <threadedComment ref="F4088" dT="2025-10-10T10:47:43.38" personId="{4D8483EF-5A39-4E7B-A473-929EF5A077E1}" id="{533F90A3-3504-47B8-8F67-37311FE1AE78}">
    <text>Alojamiento entero · 4 camas </text>
  </threadedComment>
  <threadedComment ref="F4089" dT="2025-10-10T10:47:43.38" personId="{4D8483EF-5A39-4E7B-A473-929EF5A077E1}" id="{F65DB190-CE53-4A91-8DE4-DAA4D6A387A8}">
    <text>Alojamiento entero · 4 camas </text>
  </threadedComment>
  <threadedComment ref="F4090" dT="2025-10-10T10:47:43.38" personId="{4D8483EF-5A39-4E7B-A473-929EF5A077E1}" id="{90319CC2-F890-4D43-904C-42990CDE3CC5}">
    <text>Alojamiento entero · 4 camas </text>
  </threadedComment>
  <threadedComment ref="F4091" dT="2025-10-10T10:47:43.38" personId="{4D8483EF-5A39-4E7B-A473-929EF5A077E1}" id="{892E5C96-572E-4968-85B3-BF0DB1F4D0A3}">
    <text>Alojamiento entero · 4 camas </text>
  </threadedComment>
  <threadedComment ref="F4094" dT="2025-02-13T10:05:11.33" personId="{17D30B62-2123-41F1-B603-E5411FDFA3E0}" id="{3C2EC5EA-7575-49DD-82CF-C825AC87B318}">
    <text>Habitacion doble para trabajadores cant 1 Costo 60€/noche
Habitacion triple para trabajadores cant 3 Costo 75€/noche cada una
(camas separadas)</text>
  </threadedComment>
  <threadedComment ref="F4096" dT="2025-06-25T14:37:51.43" personId="{98986A2A-739A-4851-A979-4B0D560C46CD}" id="{D0F63F20-01A3-4983-A501-0246999E1F5C}">
    <text xml:space="preserve">03 camas + 01 sofa cama. Alquiler 600€. Fianza 600€
</text>
  </threadedComment>
  <threadedComment ref="F4097" dT="2025-02-13T10:05:11.33" personId="{17D30B62-2123-41F1-B603-E5411FDFA3E0}" id="{A8F749E1-0D30-4B07-9B40-0C2EAFA97C83}">
    <text>Habitacion doble para trabajadores cant 1 Costo 60€/noche
Habitacion triple para trabajadores cant 3 Costo 75€/noche cada una
(camas separadas)</text>
  </threadedComment>
  <threadedComment ref="F4098" dT="2025-08-29T06:05:00.53" personId="{17D30B62-2123-41F1-B603-E5411FDFA3E0}" id="{EA104E78-6CD8-4FB0-81F7-F363247E7780}">
    <text xml:space="preserve">Alquiler 2.800€ Fianza 500€ 6 camas </text>
  </threadedComment>
  <threadedComment ref="F4098" dT="2025-09-25T06:48:51.87" personId="{17D30B62-2123-41F1-B603-E5411FDFA3E0}" id="{4BA2E38C-BFC8-437F-A196-AB9D12447671}" parentId="{EA104E78-6CD8-4FB0-81F7-F363247E7780}">
    <text>Alquiler mes de octubre= 2.500€</text>
  </threadedComment>
  <threadedComment ref="F4099" dT="2025-07-09T14:24:23.31" personId="{98986A2A-739A-4851-A979-4B0D560C46CD}" id="{534F553A-0843-4215-88EF-D51878EE9ADB}">
    <text>10 CAMAS</text>
  </threadedComment>
  <threadedComment ref="F4100" dT="2025-02-24T10:19:28.57" personId="{98986A2A-739A-4851-A979-4B0D560C46CD}" id="{068AAB0F-AD27-4612-BA16-9DC501837E1A}">
    <text>06 camas</text>
  </threadedComment>
  <threadedComment ref="F4100" dT="2025-08-05T11:29:05.15" personId="{17D30B62-2123-41F1-B603-E5411FDFA3E0}" id="{EF50CF26-549A-4386-986D-1B3C0C884CC8}" parentId="{068AAB0F-AD27-4612-BA16-9DC501837E1A}">
    <text>+1 Cama</text>
  </threadedComment>
  <threadedComment ref="F4101" dT="2025-03-11T10:16:04.90" personId="{98986A2A-739A-4851-A979-4B0D560C46CD}" id="{FEC333F4-A32A-4D4A-ACE8-5807CE2C316D}">
    <text xml:space="preserve">6 camas 
Renta vivienda 1.250€+ Servicio de Limpieza 363€ =TOTAL 1.613€, fianza 
</text>
  </threadedComment>
  <threadedComment ref="F4102" dT="2025-03-11T10:16:04.90" personId="{98986A2A-739A-4851-A979-4B0D560C46CD}" id="{5038BDBC-1293-4EB6-BD6D-B16D32CA926A}">
    <text xml:space="preserve">6 camas 
Renta vivienda 1.250€+ Servicio de Limpieza 363€ =TOTAL 1.613€, fianza 
</text>
  </threadedComment>
  <threadedComment ref="F4103" dT="2025-03-11T10:16:04.90" personId="{98986A2A-739A-4851-A979-4B0D560C46CD}" id="{AFE291C1-9929-4F6E-B1F5-BF8E251E5F4D}">
    <text xml:space="preserve">6 camas 
Renta vivienda 1.250€+ Servicio de Limpieza 363€ =TOTAL 1.613€, fianza 
</text>
  </threadedComment>
  <threadedComment ref="F4104" dT="2025-07-03T14:34:58.13" personId="{98986A2A-739A-4851-A979-4B0D560C46CD}" id="{32144F92-7CA3-4E3E-88F2-9963B0030009}">
    <text>850€ alquiler, 850€ fianza, 03 camas</text>
  </threadedComment>
  <threadedComment ref="F4105" dT="2025-07-04T11:05:16.59" personId="{98986A2A-739A-4851-A979-4B0D560C46CD}" id="{07460396-4682-4AD1-8941-C094940A1281}">
    <text>04 camas, 1200€ alquiler, 1200€ fianza</text>
  </threadedComment>
  <threadedComment ref="F4107" dT="2025-10-03T08:13:02.25" personId="{17D30B62-2123-41F1-B603-E5411FDFA3E0}" id="{5A2BB269-71B8-4D1A-81C2-218667578A54}">
    <text>Alojamiento para 4 personas</text>
  </threadedComment>
  <threadedComment ref="F4108" dT="2025-10-03T08:13:02.25" personId="{17D30B62-2123-41F1-B603-E5411FDFA3E0}" id="{1CC5F067-664A-4756-B362-0B72098C4EAF}">
    <text>Alojamiento para 4 personas</text>
  </threadedComment>
  <threadedComment ref="F4109" dT="2025-10-03T08:13:02.25" personId="{17D30B62-2123-41F1-B603-E5411FDFA3E0}" id="{D3519F78-785C-4CBF-A28A-DB357FA576D2}">
    <text>Alojamiento para 4 personas</text>
  </threadedComment>
  <threadedComment ref="F4110" dT="2025-10-09T09:46:16.20" personId="{4D8483EF-5A39-4E7B-A473-929EF5A077E1}" id="{E0545591-AC64-4A86-9E80-98DF5B63B4A6}">
    <text>Alojamiento para 3 Personas, 40€ por noche</text>
  </threadedComment>
  <threadedComment ref="F4111" dT="2025-10-27T11:42:12.25" personId="{4D8483EF-5A39-4E7B-A473-929EF5A077E1}" id="{F868EE03-3860-4C89-80CF-D65F66B4D843}">
    <text>1Doble - 1 o 2 camas. Baño 
privado 
1-Doble - 1 o 2 camas. Baño 
privado</text>
  </threadedComment>
  <threadedComment ref="F4112" dT="2025-10-27T11:42:12.25" personId="{4D8483EF-5A39-4E7B-A473-929EF5A077E1}" id="{FA6CCD81-E6A5-417D-94E9-17F9DFBF83F6}">
    <text>1Doble - 1 o 2 camas. Baño 
privado 
1-Doble - 1 o 2 camas. Baño 
privado</text>
  </threadedComment>
  <threadedComment ref="F4116" dT="2025-10-09T09:33:31.28" personId="{4D8483EF-5A39-4E7B-A473-929EF5A077E1}" id="{A9124E1B-925B-4158-9776-B246899927E0}">
    <text>4 Camas, Alquiler 1.800€</text>
  </threadedComment>
  <threadedComment ref="F4118" dT="2025-10-14T09:05:13.23" personId="{4D8483EF-5A39-4E7B-A473-929EF5A077E1}" id="{ECFB08A5-60BC-42A3-A807-E99EF1738739}">
    <text>Alojamiento entero · 5 camas · 5 viajeros</text>
  </threadedComment>
  <threadedComment ref="F4119" dT="2025-10-27T11:42:12.25" personId="{4D8483EF-5A39-4E7B-A473-929EF5A077E1}" id="{2723C3FA-0D2D-4F50-8D2A-437A497D7EB7}">
    <text>1Doble - 1 o 2 camas. Baño 
privado 
1-Doble - 1 o 2 camas. Baño 
privado</text>
  </threadedComment>
  <threadedComment ref="F4121" dT="2025-08-29T06:05:00.53" personId="{17D30B62-2123-41F1-B603-E5411FDFA3E0}" id="{6935ACDC-0C21-426A-8DBA-9FFF66173420}">
    <text xml:space="preserve">Alquiler 2.800€ Fianza 500€ 6 camas </text>
  </threadedComment>
  <threadedComment ref="F4121" dT="2025-09-25T06:48:51.87" personId="{17D30B62-2123-41F1-B603-E5411FDFA3E0}" id="{3DEE05AB-916C-4630-8652-8C985E269503}" parentId="{6935ACDC-0C21-426A-8DBA-9FFF66173420}">
    <text>Alquiler mes de octubre= 2.500€</text>
  </threadedComment>
  <threadedComment ref="F4122" dT="2025-11-10T11:04:38.74" personId="{4D8483EF-5A39-4E7B-A473-929EF5A077E1}" id="{23A7212A-EDF3-491C-A243-70252EBEF567}">
    <text>Alojamiento para 4 personas, camas individuales</text>
  </threadedComment>
  <threadedComment ref="F4123" dT="2025-11-10T11:04:38.74" personId="{4D8483EF-5A39-4E7B-A473-929EF5A077E1}" id="{9D5CBC30-2957-4678-91C2-4DE9861B19C5}">
    <text>Alojamiento para 4 personas, camas individuales</text>
  </threadedComment>
  <threadedComment ref="F4124" dT="2025-11-10T11:04:38.74" personId="{4D8483EF-5A39-4E7B-A473-929EF5A077E1}" id="{83E649B2-C81D-4B93-88C4-ECA8147AAE6A}">
    <text>Alojamiento para 4 personas, camas individuales</text>
  </threadedComment>
  <threadedComment ref="F4125" dT="2025-11-10T11:04:38.74" personId="{4D8483EF-5A39-4E7B-A473-929EF5A077E1}" id="{20F4B43E-D351-4DE0-91A7-40D63F250BF6}">
    <text>Alojamiento para 4 personas, camas individuales</text>
  </threadedComment>
  <threadedComment ref="F4126" dT="2025-11-10T11:02:26.06" personId="{4D8483EF-5A39-4E7B-A473-929EF5A077E1}" id="{B8675434-5B63-4F61-9FCD-209D741BC3E6}">
    <text>(para 4 personas) </text>
  </threadedComment>
  <threadedComment ref="F4127" dT="2025-11-10T11:02:26.06" personId="{4D8483EF-5A39-4E7B-A473-929EF5A077E1}" id="{85363CCC-1AF0-45CB-B965-798D385A0CF0}">
    <text>(para 4 personas) </text>
  </threadedComment>
  <threadedComment ref="F4128" dT="2025-11-10T11:02:26.06" personId="{4D8483EF-5A39-4E7B-A473-929EF5A077E1}" id="{7FD0AE40-0633-435F-932B-0B9C15A0C260}">
    <text>(para 4 personas) </text>
  </threadedComment>
  <threadedComment ref="F4129" dT="2025-11-10T11:02:26.06" personId="{4D8483EF-5A39-4E7B-A473-929EF5A077E1}" id="{C022ED0C-0266-4DF6-A6C3-88000D4126B6}">
    <text>(para 4 personas) </text>
  </threadedComment>
  <threadedComment ref="F4130" dT="2025-09-29T06:11:41.47" personId="{17D30B62-2123-41F1-B603-E5411FDFA3E0}" id="{E75B4531-6C35-42FF-8602-CF0E6F3EA862}">
    <text>6 Camas Alquiler 2.700€  Fianza 500€</text>
  </threadedComment>
  <threadedComment ref="F4131" dT="2025-10-09T09:33:31.28" personId="{4D8483EF-5A39-4E7B-A473-929EF5A077E1}" id="{43375050-0906-4F6B-9660-61971B5D2B9F}">
    <text>4 Camas, Alquiler 1.800€</text>
  </threadedComment>
  <threadedComment ref="F4132" dT="2025-10-09T09:33:31.28" personId="{4D8483EF-5A39-4E7B-A473-929EF5A077E1}" id="{174FD9AA-3DA6-4E0A-A9A2-26835C87595E}">
    <text>4 Camas, Alquiler 1.800€</text>
  </threadedComment>
  <threadedComment ref="F4133" dT="2025-03-24T10:15:02.97" personId="{17D30B62-2123-41F1-B603-E5411FDFA3E0}" id="{9A8E29D8-59DF-41FE-8E46-D0856523DF67}">
    <text>400€ Por persona alquiler mes, Fianza 500€, 5 Camas.</text>
  </threadedComment>
  <threadedComment ref="F4134" dT="2025-07-17T15:35:06.73" personId="{98986A2A-739A-4851-A979-4B0D560C46CD}" id="{73AE3BF7-B4A6-4FF8-87AB-AC000B7D47D8}">
    <text>05 camas, 1600€ alquiler, 1200€ fianza</text>
  </threadedComment>
  <threadedComment ref="F4134" dT="2025-07-29T15:27:52.03" personId="{17D30B62-2123-41F1-B603-E5411FDFA3E0}" id="{70E77D15-DF1B-4EF5-9007-BE017F836F9E}" parentId="{73AE3BF7-B4A6-4FF8-87AB-AC000B7D47D8}">
    <text>1 cama supletoria 200€</text>
  </threadedComment>
  <threadedComment ref="F4135" dT="2024-11-05T09:17:59.63" personId="{17D30B62-2123-41F1-B603-E5411FDFA3E0}" id="{66522F8F-48FE-4316-AFD5-DB6597DD6C02}">
    <text>Alquiler 1400  Fianza 2800 Camas 6</text>
  </threadedComment>
  <threadedComment ref="F4135" dT="2024-12-30T10:06:22.23" personId="{98986A2A-739A-4851-A979-4B0D560C46CD}" id="{15FC2179-B7C3-4DF1-9468-EB6B9F693FA1}" parentId="{66522F8F-48FE-4316-AFD5-DB6597DD6C02}">
    <text>+01 cama Kotrik llevada 28/12</text>
  </threadedComment>
  <threadedComment ref="F4138" dT="2025-10-23T15:01:45.85" personId="{4D8483EF-5A39-4E7B-A473-929EF5A077E1}" id="{CA87E1F5-738A-4A34-BE2E-5755291C59C1}">
    <text>7 Camas</text>
  </threadedComment>
  <threadedComment ref="F4138" dT="2025-11-13T08:10:52.60" personId="{98986A2A-739A-4851-A979-4B0D560C46CD}" id="{1923613B-BB95-4D2B-BE6C-9767D40003F9}" parentId="{CA87E1F5-738A-4A34-BE2E-5755291C59C1}">
    <text>FIANZA 1900€, ALQUILER 1900€</text>
  </threadedComment>
  <threadedComment ref="F4140" dT="2025-08-28T14:19:51.19" personId="{17D30B62-2123-41F1-B603-E5411FDFA3E0}" id="{3D85DD4D-14C1-4AB4-A7BD-756FF6C8CC64}">
    <text>4 camas</text>
  </threadedComment>
  <threadedComment ref="F4140" dT="2025-09-29T08:12:02.30" personId="{E3C446A3-37B8-466B-82DA-8F7BAC7681F7}" id="{E7BDB23A-13E1-4525-86AA-859978EB2F7A}" parentId="{3D85DD4D-14C1-4AB4-A7BD-756FF6C8CC64}">
    <text>2000 alquiler- 2000 fianza</text>
  </threadedComment>
  <threadedComment ref="F4143" dT="2025-11-21T07:18:45.15" personId="{4D8483EF-5A39-4E7B-A473-929EF5A077E1}" id="{DFA2C535-4119-4D84-8935-C27E2697A115}">
    <text>Alojamiento entero · 4 camas · 4 viajeros </text>
  </threadedComment>
  <threadedComment ref="F4144" dT="2025-10-27T09:04:06.60" personId="{4D8483EF-5A39-4E7B-A473-929EF5A077E1}" id="{1A0795BC-A081-48FB-A213-74AF107E6BB1}">
    <text>Alojamiento entero · 5 camas · 4 viajeros</text>
  </threadedComment>
  <threadedComment ref="F4145" dT="2025-10-14T06:42:26.91" personId="{4D8483EF-5A39-4E7B-A473-929EF5A077E1}" id="{EC2F284F-8B73-4EC7-8203-807854C30305}">
    <text xml:space="preserve">alojamiento para 4 personas con camas individuales.
2 Habitaciones camas individuales
</text>
  </threadedComment>
  <threadedComment ref="F4146" dT="2025-10-14T06:42:26.91" personId="{4D8483EF-5A39-4E7B-A473-929EF5A077E1}" id="{F53EB438-311F-40F6-83C4-4678E437A4BE}">
    <text xml:space="preserve">alojamiento para 4 personas con camas individuales.
2 Habitaciones camas individuales
</text>
  </threadedComment>
  <threadedComment ref="F4147" dT="2025-10-30T12:43:21.75" personId="{4D8483EF-5A39-4E7B-A473-929EF5A077E1}" id="{F3154989-A3CB-46ED-83F7-47813EBE8E93}">
    <text xml:space="preserve">5 adultos - 3 semanas, 1 apartamento
</text>
  </threadedComment>
  <threadedComment ref="F4148" dT="2025-10-30T12:37:41.81" personId="{4D8483EF-5A39-4E7B-A473-929EF5A077E1}" id="{8558FC23-6721-4D2C-8CA3-37C1ABE20FCB}">
    <text>Alojamiento entero · 4 camas · 4 viajeros</text>
  </threadedComment>
  <threadedComment ref="F4149" dT="2025-10-30T12:39:12.66" personId="{4D8483EF-5A39-4E7B-A473-929EF5A077E1}" id="{646E461B-6666-464B-9958-DBC394F33B93}">
    <text>(para 5 personas)</text>
  </threadedComment>
  <threadedComment ref="F4150" dT="2025-10-30T12:39:12.66" personId="{4D8483EF-5A39-4E7B-A473-929EF5A077E1}" id="{9ABBF391-0FD3-432A-A66D-3AD30310469B}">
    <text>(para 5 personas)</text>
  </threadedComment>
  <threadedComment ref="F4151" dT="2025-10-30T12:43:21.75" personId="{4D8483EF-5A39-4E7B-A473-929EF5A077E1}" id="{B993039C-A312-456D-94FF-FB6202FD1F10}">
    <text xml:space="preserve">5 adultos - 3 semanas, 1 apartamento
</text>
  </threadedComment>
  <threadedComment ref="F4152" dT="2025-06-09T14:18:50.75" personId="{98986A2A-739A-4851-A979-4B0D560C46CD}" id="{C2AC839F-9470-4AE3-81F5-E2237681D4F4}">
    <text>04 CAMAS (01 KOTRIK) ALQUILER 1300€-FIANZA 1300€</text>
  </threadedComment>
  <threadedComment ref="F4153" dT="2025-10-23T15:01:45.85" personId="{4D8483EF-5A39-4E7B-A473-929EF5A077E1}" id="{5EABFC21-ECF3-4B33-93B3-D30561FD1360}">
    <text>7 Camas</text>
  </threadedComment>
  <threadedComment ref="F4153" dT="2025-11-13T08:10:52.60" personId="{98986A2A-739A-4851-A979-4B0D560C46CD}" id="{B64B0A96-08D8-4BED-AA6C-81F0AC04A35F}" parentId="{5EABFC21-ECF3-4B33-93B3-D30561FD1360}">
    <text>FIANZA 1900€, ALQUILER 1900€</text>
  </threadedComment>
  <threadedComment ref="F4154" dT="2025-10-23T15:01:45.85" personId="{4D8483EF-5A39-4E7B-A473-929EF5A077E1}" id="{2A89633B-ACB0-428D-8EC7-4E8CFB7B3FFD}">
    <text>7 Camas</text>
  </threadedComment>
  <threadedComment ref="F4154" dT="2025-11-13T08:10:52.60" personId="{98986A2A-739A-4851-A979-4B0D560C46CD}" id="{28AA196A-E3B6-449A-91C4-74CD3A398050}" parentId="{2A89633B-ACB0-428D-8EC7-4E8CFB7B3FFD}">
    <text>FIANZA 1900€, ALQUILER 1900€</text>
  </threadedComment>
  <threadedComment ref="F4155" dT="2025-09-23T14:26:28.36" personId="{17D30B62-2123-41F1-B603-E5411FDFA3E0}" id="{DE7C3A5A-BBFC-43E9-88CD-CB4174E1177E}">
    <text>1 Habitación 2 camas.</text>
  </threadedComment>
  <threadedComment ref="F4156" dT="2025-07-11T08:50:42.66" personId="{98986A2A-739A-4851-A979-4B0D560C46CD}" id="{7C452EB9-48FC-4101-BDAB-27AC6029544D}">
    <text>04 camas, 1460€ alquiler, 1400€ fianza</text>
  </threadedComment>
  <threadedComment ref="F4157" dT="2025-07-11T08:50:42.66" personId="{98986A2A-739A-4851-A979-4B0D560C46CD}" id="{C8DDFD1D-5CB3-4B2B-91A3-4A3113B53BE4}">
    <text>04 camas, 1460€ alquiler, 1400€ fianza</text>
  </threadedComment>
  <threadedComment ref="F4158" dT="2025-07-11T08:50:42.66" personId="{98986A2A-739A-4851-A979-4B0D560C46CD}" id="{DB4619D2-0154-439F-93CC-31EDFAD42274}">
    <text>04 camas, 1460€ alquiler, 1400€ fianza</text>
  </threadedComment>
  <threadedComment ref="F4159" dT="2024-08-19T11:49:32.68" personId="{98986A2A-739A-4851-A979-4B0D560C46CD}" id="{9AB0638E-F6F4-43F8-9EC2-D29899EB1205}">
    <text>3 habitaciones, 4 camas</text>
  </threadedComment>
  <threadedComment ref="F4160" dT="2024-08-19T11:49:32.68" personId="{98986A2A-739A-4851-A979-4B0D560C46CD}" id="{EBCBAEA3-3534-4F5E-9D05-C96100666D1E}">
    <text>3 habitaciones, 4 camas</text>
  </threadedComment>
  <threadedComment ref="F4161" dT="2024-08-19T11:49:32.68" personId="{98986A2A-739A-4851-A979-4B0D560C46CD}" id="{1EC3AB5D-C207-440E-8207-C456DED80FF7}">
    <text>3 habitaciones, 4 camas</text>
  </threadedComment>
  <threadedComment ref="F4162" dT="2024-08-19T11:49:32.68" personId="{98986A2A-739A-4851-A979-4B0D560C46CD}" id="{7AC702D5-405F-4C4A-99E4-EC3338BA5839}">
    <text>3 habitaciones, 4 camas</text>
  </threadedComment>
  <threadedComment ref="F4163" dT="2025-11-26T08:39:57.00" personId="{4D8483EF-5A39-4E7B-A473-929EF5A077E1}" id="{CC411A9E-F04A-46FD-8EEC-1EEA9A2B2B59}">
    <text>500,00€ ( Alquiler/Mensual)
225€ (50% Fianza)
Total 725,00€</text>
  </threadedComment>
  <threadedComment ref="F4164" dT="2025-03-24T08:09:44.43" personId="{98986A2A-739A-4851-A979-4B0D560C46CD}" id="{5ACAEF9A-FFCF-4D81-B039-DA49B671CBBF}">
    <text>350€ALQUILER, 350€FIANZA, SE PAGO ABRIL</text>
  </threadedComment>
  <threadedComment ref="F4165" dT="2024-11-07T17:15:37.18" personId="{98986A2A-739A-4851-A979-4B0D560C46CD}" id="{F857EA0B-2B40-4252-AC03-1077CBC8A525}">
    <text>04 camas 1500€, fianza 1000€</text>
  </threadedComment>
  <threadedComment ref="F4166" dT="2024-11-07T17:15:37.18" personId="{98986A2A-739A-4851-A979-4B0D560C46CD}" id="{9F73AF35-C47E-42A1-934C-F0EC46C1AA68}">
    <text>04 camas 1500€, fianza 1000€</text>
  </threadedComment>
  <threadedComment ref="F4167" dT="2024-11-07T17:15:37.18" personId="{98986A2A-739A-4851-A979-4B0D560C46CD}" id="{8C5E079F-5EDD-4793-A4C2-E0FC0E14A503}">
    <text>04 camas 1500€, fianza 1000€</text>
  </threadedComment>
  <threadedComment ref="F4168" dT="2024-11-07T17:15:37.18" personId="{98986A2A-739A-4851-A979-4B0D560C46CD}" id="{FD514486-DD8A-4661-94BF-5F04ED4505EB}">
    <text>04 camas 1500€, fianza 1000€</text>
  </threadedComment>
  <threadedComment ref="F4169" dT="2025-02-28T10:17:33.48" personId="{17D30B62-2123-41F1-B603-E5411FDFA3E0}" id="{F72EC20A-2D83-4E2E-B075-C69719E93481}">
    <text>1 Habitacion Alquiler 450</text>
  </threadedComment>
  <threadedComment ref="F4170" dT="2025-08-21T09:54:23.42" personId="{17D30B62-2123-41F1-B603-E5411FDFA3E0}" id="{8B6F36B8-7FC8-4F75-8C5D-B3C011AAF2B7}">
    <text>Ocupación 5 adultos precio noche 75€/noche, Total alquiler 2250€.</text>
  </threadedComment>
  <threadedComment ref="F4171" dT="2025-08-21T09:54:23.42" personId="{17D30B62-2123-41F1-B603-E5411FDFA3E0}" id="{8FDA4706-A78D-4ECF-A414-703D17AB5E69}">
    <text>Ocupación 5 adultos precio noche 75€/noche, Total alquiler 2250€.</text>
  </threadedComment>
  <threadedComment ref="F4172" dT="2025-09-29T06:11:41.47" personId="{17D30B62-2123-41F1-B603-E5411FDFA3E0}" id="{D4AB0BBD-D526-4635-BD68-42BC44D79525}">
    <text>6 Camas Alquiler 2.700€  Fianza 500€</text>
  </threadedComment>
  <threadedComment ref="F4173" dT="2025-09-29T06:11:41.47" personId="{17D30B62-2123-41F1-B603-E5411FDFA3E0}" id="{88D40EB0-5C65-4360-8C2E-163AE1E28947}">
    <text>6 Camas Alquiler 2.700€  Fianza 500€</text>
  </threadedComment>
  <threadedComment ref="F4174" dT="2025-09-29T06:11:41.47" personId="{17D30B62-2123-41F1-B603-E5411FDFA3E0}" id="{49D550A4-9CF1-438C-98C9-3F4D9563AA0C}">
    <text>6 Camas Alquiler 2.700€  Fianza 500€</text>
  </threadedComment>
  <threadedComment ref="F4175" dT="2025-08-29T06:05:00.53" personId="{17D30B62-2123-41F1-B603-E5411FDFA3E0}" id="{5991FEA8-70A8-4BB6-AFBD-BAC1549B6C61}">
    <text xml:space="preserve">Alquiler 2.800€ Fianza 500€ 6 camas </text>
  </threadedComment>
  <threadedComment ref="F4175" dT="2025-09-25T06:48:51.87" personId="{17D30B62-2123-41F1-B603-E5411FDFA3E0}" id="{29ED8D63-2EAF-4F8B-8216-EEEC70D08799}" parentId="{5991FEA8-70A8-4BB6-AFBD-BAC1549B6C61}">
    <text>Alquiler mes de octubre= 2.500€</text>
  </threadedComment>
  <threadedComment ref="F4176" dT="2024-12-07T09:48:49.17" personId="{98986A2A-739A-4851-A979-4B0D560C46CD}" id="{34C4FBA9-0926-4DD9-BBA4-6DED8A7EE12C}">
    <text>ALQUILER 580, FIANZA 580, 4 CAMAS. Contrato pago hasta Febrero</text>
  </threadedComment>
  <threadedComment ref="F4177" dT="2024-12-07T09:48:49.17" personId="{98986A2A-739A-4851-A979-4B0D560C46CD}" id="{EED968C3-8C28-4A0A-959B-AF9260CF2F1A}">
    <text>ALQUILER 580, FIANZA 580, 4 CAMAS. Contrato pago hasta Febrero</text>
  </threadedComment>
  <threadedComment ref="F4178" dT="2025-09-29T06:11:41.47" personId="{17D30B62-2123-41F1-B603-E5411FDFA3E0}" id="{720E8BF8-5C2C-411C-B3AD-64193631BD01}">
    <text>6 Camas Alquiler 2.700€  Fianza 500€</text>
  </threadedComment>
  <threadedComment ref="F4179" dT="2025-09-23T14:26:28.36" personId="{17D30B62-2123-41F1-B603-E5411FDFA3E0}" id="{C8CF4D1C-F720-4F28-B851-3D2056CA7A84}">
    <text>1 Habitación 2 camas.</text>
  </threadedComment>
  <threadedComment ref="F4181" dT="2025-10-21T07:56:55.08" personId="{4D8483EF-5A39-4E7B-A473-929EF5A077E1}" id="{3510F1E4-0434-4B33-9A95-BB5128CE7B32}">
    <text>5 CAMAS</text>
  </threadedComment>
  <threadedComment ref="F4182" dT="2025-05-21T14:08:11.69" personId="{17D30B62-2123-41F1-B603-E5411FDFA3E0}" id="{0D9077D0-0ABC-4D17-A1A9-0E6AFDDCD3ED}">
    <text>Habitación  1- 360€ alquiler + 55€ suministros (235€ parte proporcional mayo)
             500€ fianza</text>
  </threadedComment>
  <threadedComment ref="F4183" dT="2025-03-03T08:17:57.83" personId="{98986A2A-739A-4851-A979-4B0D560C46CD}" id="{95F32181-4CF7-407C-ACDB-2B7958F0C01B}">
    <text xml:space="preserve">355€ ALQULER + 55€ SUMINISTROS =410€ TOTAL. 500 FIANZA
</text>
  </threadedComment>
  <threadedComment ref="F4184" dT="2025-10-23T15:01:45.85" personId="{4D8483EF-5A39-4E7B-A473-929EF5A077E1}" id="{2D2D64F6-C21A-4AC2-AF8A-77D628FB58F3}">
    <text>7 Camas</text>
  </threadedComment>
  <threadedComment ref="F4184" dT="2025-11-13T08:10:52.60" personId="{98986A2A-739A-4851-A979-4B0D560C46CD}" id="{9F97184E-4492-46D3-B687-33169E67754F}" parentId="{2D2D64F6-C21A-4AC2-AF8A-77D628FB58F3}">
    <text>FIANZA 1900€, ALQUILER 1900€</text>
  </threadedComment>
  <threadedComment ref="F4185" dT="2024-11-05T09:17:59.63" personId="{17D30B62-2123-41F1-B603-E5411FDFA3E0}" id="{8D5EAF15-B610-4925-AFC6-C1F3EFE41612}">
    <text>Alquiler 1400  Fianza 2800 Camas 6</text>
  </threadedComment>
  <threadedComment ref="F4185" dT="2024-12-30T10:06:22.23" personId="{98986A2A-739A-4851-A979-4B0D560C46CD}" id="{2BE099EC-3D80-4ADA-947A-B8057CAB69A8}" parentId="{8D5EAF15-B610-4925-AFC6-C1F3EFE41612}">
    <text>+01 cama Kotrik llevada 28/12</text>
  </threadedComment>
  <threadedComment ref="F4186" dT="2025-09-23T14:26:28.36" personId="{17D30B62-2123-41F1-B603-E5411FDFA3E0}" id="{9F9B541D-F1AE-4D6E-8669-5F81F112F865}">
    <text>1 Habitación 2 camas.</text>
  </threadedComment>
  <threadedComment ref="F4187" dT="2025-11-11T07:20:00.84" personId="{4D8483EF-5A39-4E7B-A473-929EF5A077E1}" id="{B128BA48-3BB1-4038-A9CC-CC8B26CD6A1F}">
    <text>Alojamiento entero · 9 camas · 5 viajeros</text>
  </threadedComment>
  <threadedComment ref="F4188" dT="2025-11-11T07:20:00.84" personId="{4D8483EF-5A39-4E7B-A473-929EF5A077E1}" id="{FCD8AC17-F42B-49EB-9683-C86803314B91}">
    <text>Alojamiento entero · 9 camas · 5 viajeros</text>
  </threadedComment>
  <threadedComment ref="F4189" dT="2025-11-11T07:20:00.84" personId="{4D8483EF-5A39-4E7B-A473-929EF5A077E1}" id="{2CCFD572-CB38-4144-B58C-6A16510BF0BC}">
    <text>Alojamiento entero · 9 camas · 5 viajeros</text>
  </threadedComment>
  <threadedComment ref="F4190" dT="2025-11-11T07:20:00.84" personId="{4D8483EF-5A39-4E7B-A473-929EF5A077E1}" id="{B5DE34D1-B3FD-4213-9BD5-1EE764CF0322}">
    <text>Alojamiento entero · 9 camas · 5 viajeros</text>
  </threadedComment>
  <threadedComment ref="F4191" dT="2025-11-11T07:20:00.84" personId="{4D8483EF-5A39-4E7B-A473-929EF5A077E1}" id="{E7A0A277-9C22-4D97-8A45-A00E85B7D962}">
    <text>Alojamiento entero · 9 camas · 5 viajeros</text>
  </threadedComment>
  <threadedComment ref="F4195" dT="2025-05-05T11:29:54.02" personId="{98986A2A-739A-4851-A979-4B0D560C46CD}" id="{05F0483A-4F9E-44E3-863B-F349560DDE50}">
    <text>Alquiler 1300€, 05 habitaciones, 400€fianza</text>
  </threadedComment>
  <threadedComment ref="F4195" dT="2025-09-24T10:00:00.90" personId="{E3C446A3-37B8-466B-82DA-8F7BAC7681F7}" id="{32742235-D1D7-4666-8346-2AC19CE0A6C4}" parentId="{05F0483A-4F9E-44E3-863B-F349560DDE50}">
    <text xml:space="preserve">+2 HABITACIONES (29-09-25) Total piso 1800€ </text>
  </threadedComment>
  <threadedComment ref="F4196" dT="2025-05-05T11:29:54.02" personId="{98986A2A-739A-4851-A979-4B0D560C46CD}" id="{6E3332E1-A2B2-4727-914F-D6FEB88A65B8}">
    <text>Alquiler 1300€, 05 habitaciones, 400€fianza</text>
  </threadedComment>
  <threadedComment ref="F4196" dT="2025-09-24T10:00:00.90" personId="{E3C446A3-37B8-466B-82DA-8F7BAC7681F7}" id="{588138C8-653F-4838-A513-68C6B472A563}" parentId="{6E3332E1-A2B2-4727-914F-D6FEB88A65B8}">
    <text xml:space="preserve">+2 HABITACIONES (29-09-25) Total piso 1800€ </text>
  </threadedComment>
  <threadedComment ref="F4197" dT="2024-08-06T14:12:58.54" personId="{8BEA8CB1-BB33-44FC-A791-4439DE945680}" id="{35CCFE31-6237-4A05-9ADD-D174C91F54A3}">
    <text>Alquiler 1700, fianza 1700 6 CAMAS</text>
  </threadedComment>
  <threadedComment ref="F4197" dT="2025-01-16T18:23:38.41" personId="{98986A2A-739A-4851-A979-4B0D560C46CD}" id="{8591B6CD-2713-4BE5-AC91-8830DB87462D}" parentId="{35CCFE31-6237-4A05-9ADD-D174C91F54A3}">
    <text>5 habitaciones</text>
  </threadedComment>
  <threadedComment ref="F4198" dT="2024-08-06T14:12:58.54" personId="{8BEA8CB1-BB33-44FC-A791-4439DE945680}" id="{52A64052-B31A-4FA6-B0B6-6A008D3D8136}">
    <text>Alquiler 1700, fianza 1700 6 CAMAS</text>
  </threadedComment>
  <threadedComment ref="F4198" dT="2025-01-16T18:23:38.41" personId="{98986A2A-739A-4851-A979-4B0D560C46CD}" id="{3667FF99-99F1-49A7-8EF9-F22583763DEB}" parentId="{52A64052-B31A-4FA6-B0B6-6A008D3D8136}">
    <text>5 habitaciones</text>
  </threadedComment>
  <threadedComment ref="F4202" dT="2025-09-24T07:11:36.57" personId="{17D30B62-2123-41F1-B603-E5411FDFA3E0}" id="{E0DE6C5C-D48C-435F-91DC-5B25C4E1BE79}">
    <text>Alojamiento para 5 personas. Alquiler mes 1.600€ todos los gastos incluidos y sin fianza</text>
  </threadedComment>
  <threadedComment ref="F4203" dT="2025-09-24T07:11:36.57" personId="{17D30B62-2123-41F1-B603-E5411FDFA3E0}" id="{B9544222-EA3A-45C9-ADD0-B46099F904CA}">
    <text>Alojamiento para 5 personas. Alquiler mes 1.600€ todos los gastos incluidos y sin fianza</text>
  </threadedComment>
  <threadedComment ref="F4204" dT="2025-09-24T07:11:36.57" personId="{17D30B62-2123-41F1-B603-E5411FDFA3E0}" id="{F218A17E-230F-4B5F-8C6B-36CBD7D0BBD0}">
    <text>Alojamiento para 5 personas. Alquiler mes 1.600€ todos los gastos incluidos y sin fianza</text>
  </threadedComment>
  <threadedComment ref="F4205" dT="2025-09-24T07:11:36.57" personId="{17D30B62-2123-41F1-B603-E5411FDFA3E0}" id="{661FCB8A-657B-4B2F-B248-1FE942595CDA}">
    <text>Alojamiento para 5 personas. Alquiler mes 1.600€ todos los gastos incluidos y sin fianza</text>
  </threadedComment>
  <threadedComment ref="F4206" dT="2025-09-24T07:11:36.57" personId="{17D30B62-2123-41F1-B603-E5411FDFA3E0}" id="{6E8DE7D7-0556-4E57-9E33-58375B8CE12C}">
    <text>Alojamiento para 5 personas. Alquiler mes 1.600€ todos los gastos incluidos y sin fianza</text>
  </threadedComment>
  <threadedComment ref="F4207" dT="2025-09-24T07:11:36.57" personId="{17D30B62-2123-41F1-B603-E5411FDFA3E0}" id="{AE0D57F3-ADF4-4614-81BF-D485CB9FC310}">
    <text>Alojamiento para 5 personas. Alquiler mes 1.600€ todos los gastos incluidos y sin fianza</text>
  </threadedComment>
  <threadedComment ref="F4208" dT="2025-10-22T10:03:11.73" personId="{4D8483EF-5A39-4E7B-A473-929EF5A077E1}" id="{B00BAB9A-42BE-4A8C-B37F-5581A14B04D7}">
    <text>Alojamiento entero · 3 camas · 3 viajeros</text>
  </threadedComment>
  <threadedComment ref="F4209" dT="2025-10-22T10:03:11.73" personId="{4D8483EF-5A39-4E7B-A473-929EF5A077E1}" id="{4B8F25D3-3D41-448A-83B6-6FCBB18D9A03}">
    <text>Alojamiento entero · 3 camas · 3 viajeros</text>
  </threadedComment>
  <threadedComment ref="F4210" dT="2025-10-22T10:03:11.73" personId="{4D8483EF-5A39-4E7B-A473-929EF5A077E1}" id="{3790896D-88A7-42BA-B52B-0810E964468F}">
    <text>Alojamiento entero · 3 camas · 3 viajeros</text>
  </threadedComment>
  <threadedComment ref="F4211" dT="2025-10-22T10:10:17.62" personId="{4D8483EF-5A39-4E7B-A473-929EF5A077E1}" id="{F294D568-E07D-4173-9B9A-0832D23B0FB7}">
    <text>Habitación privada · 3 camas · 3 viajeros</text>
  </threadedComment>
  <threadedComment ref="F4212" dT="2025-10-22T10:10:17.62" personId="{4D8483EF-5A39-4E7B-A473-929EF5A077E1}" id="{AE4E72DD-7059-4A00-B69C-B67ACA31985A}">
    <text>Habitación privada · 3 camas · 3 viajeros</text>
  </threadedComment>
  <threadedComment ref="F4213" dT="2025-10-22T10:10:17.62" personId="{4D8483EF-5A39-4E7B-A473-929EF5A077E1}" id="{A6829656-34EA-4E68-9174-14076412FEFF}">
    <text>Habitación privada · 3 camas · 3 viajeros</text>
  </threadedComment>
  <threadedComment ref="F4214" dT="2025-10-21T07:56:55.08" personId="{4D8483EF-5A39-4E7B-A473-929EF5A077E1}" id="{80E3546E-DAF5-4418-91F5-5B2FF1B45509}">
    <text>5 CAMAS</text>
  </threadedComment>
  <threadedComment ref="F4215" dT="2025-11-19T07:29:49.91" personId="{4D8483EF-5A39-4E7B-A473-929EF5A077E1}" id="{69688362-1C88-4C72-BCC3-AA80BDE07430}">
    <text>(para 3 personas)</text>
  </threadedComment>
  <threadedComment ref="F4216" dT="2025-11-19T07:29:49.91" personId="{4D8483EF-5A39-4E7B-A473-929EF5A077E1}" id="{4D02456A-4632-4169-92B4-A6F7E8FDE4FD}">
    <text>(para 3 personas)</text>
  </threadedComment>
  <threadedComment ref="F4217" dT="2025-11-19T07:29:49.91" personId="{4D8483EF-5A39-4E7B-A473-929EF5A077E1}" id="{778501FA-58CB-4063-9719-643F4E85B21A}">
    <text>(para 3 personas)</text>
  </threadedComment>
  <threadedComment ref="F4218" dT="2025-09-29T06:11:41.47" personId="{17D30B62-2123-41F1-B603-E5411FDFA3E0}" id="{1851C9A4-D626-4CDB-8214-2BEB153469B0}">
    <text>6 Camas Alquiler 2.700€  Fianza 500€</text>
  </threadedComment>
  <threadedComment ref="F4219" dT="2025-09-29T06:11:41.47" personId="{17D30B62-2123-41F1-B603-E5411FDFA3E0}" id="{09557747-7DE3-40B1-B2E0-C3CF4FDD271E}">
    <text>6 Camas Alquiler 2.700€  Fianza 500€</text>
  </threadedComment>
  <threadedComment ref="F4220" dT="2025-03-03T08:44:38.47" personId="{98986A2A-739A-4851-A979-4B0D560C46CD}" id="{E8FA13DE-8634-4140-B37D-BDEB07DF70B2}">
    <text>03 habitaciones.04 camas 600 la mensualidad. 1200 fianza.
01 Cama de Kotrik</text>
  </threadedComment>
  <threadedComment ref="F4221" dT="2025-02-13T10:05:11.33" personId="{17D30B62-2123-41F1-B603-E5411FDFA3E0}" id="{61AFD450-8E01-4C22-80A5-97D68E0403AE}">
    <text>4 Habitaciones 5 camas 1 sofá</text>
  </threadedComment>
  <threadedComment ref="F4221" dT="2025-11-07T07:08:43.68" personId="{98986A2A-739A-4851-A979-4B0D560C46CD}" id="{556A0056-908E-45EC-8F3B-23776A15B90F}" parentId="{61AFD450-8E01-4C22-80A5-97D68E0403AE}">
    <text>875,50 alquiler</text>
  </threadedComment>
  <threadedComment ref="F4221" dT="2026-08-19T09:16:29.54" personId="{E3C446A3-37B8-466B-82DA-8F7BAC7681F7}" id="{37378861-C4CD-4356-9EA8-B3D07A7A163E}" parentId="{61AFD450-8E01-4C22-80A5-97D68E0403AE}">
    <text>FIANZA 1700€</text>
  </threadedComment>
  <threadedComment ref="F4223" dT="2025-09-29T06:11:41.47" personId="{17D30B62-2123-41F1-B603-E5411FDFA3E0}" id="{DA68B5AA-A40F-4A6D-B23C-910DB2C8CB4D}">
    <text>6 Camas Alquiler 2.700€  Fianza 500€</text>
  </threadedComment>
  <threadedComment ref="F4225" dT="2025-02-19T11:22:42.18" personId="{17D30B62-2123-41F1-B603-E5411FDFA3E0}" id="{8C7684DD-0E0E-4DD9-978F-93239E0CA073}">
    <text>1 habitacion con 2 camas dobles</text>
  </threadedComment>
  <threadedComment ref="F4227" dT="2025-04-30T11:00:49.95" personId="{17D30B62-2123-41F1-B603-E5411FDFA3E0}" id="{2697ADF7-521D-40E4-A117-ADA2940897D3}">
    <text xml:space="preserve">Alquiler 850€ Fianza 850€ 7 camas </text>
  </threadedComment>
  <threadedComment ref="F4230" dT="2025-10-14T08:58:25.78" personId="{4D8483EF-5A39-4E7B-A473-929EF5A077E1}" id="{EAE56747-38ED-478E-BC62-DFAE940ACE9A}">
    <text>Alojamiento entero · 5 camas · 5 viajeros</text>
  </threadedComment>
  <threadedComment ref="F4231" dT="2025-10-14T09:01:44.03" personId="{4D8483EF-5A39-4E7B-A473-929EF5A077E1}" id="{4CA85A92-5E79-4CEA-ABE1-DB583D88AF13}">
    <text>Alojamiento entero · 4 camas · 4 viajeros</text>
  </threadedComment>
  <threadedComment ref="F4232" dT="2025-10-14T09:01:44.03" personId="{4D8483EF-5A39-4E7B-A473-929EF5A077E1}" id="{99E8C042-71B2-455F-B522-3D042FD38A70}">
    <text>Alojamiento entero · 4 camas · 4 viajeros</text>
  </threadedComment>
  <threadedComment ref="F4233" dT="2025-10-14T08:58:25.78" personId="{4D8483EF-5A39-4E7B-A473-929EF5A077E1}" id="{D77DF53A-568C-4A90-B27C-22650AB24A46}">
    <text>Alojamiento entero · 5 camas · 5 viajeros</text>
  </threadedComment>
  <threadedComment ref="F4234" dT="2025-10-14T08:58:25.78" personId="{4D8483EF-5A39-4E7B-A473-929EF5A077E1}" id="{AA36E9BA-D457-4B4E-BE6E-98178DEDE14F}">
    <text>Alojamiento entero · 5 camas · 5 viajeros</text>
  </threadedComment>
  <threadedComment ref="F4235" dT="2025-10-14T08:58:25.78" personId="{4D8483EF-5A39-4E7B-A473-929EF5A077E1}" id="{3E348A7E-ACEF-4A6D-8DE1-CAE4157A070B}">
    <text>Alojamiento entero · 5 camas · 5 viajeros</text>
  </threadedComment>
  <threadedComment ref="F4236" dT="2025-10-14T09:01:44.03" personId="{4D8483EF-5A39-4E7B-A473-929EF5A077E1}" id="{9D7694F8-3433-4374-954D-E946193A77B8}">
    <text>Alojamiento entero · 4 camas · 4 viajeros</text>
  </threadedComment>
  <threadedComment ref="F4237" dT="2025-11-04T07:35:57.99" personId="{4D8483EF-5A39-4E7B-A473-929EF5A077E1}" id="{27BBF888-0CBC-4FDF-9CF0-8366C6C0761D}">
    <text>Alojamiento entero · 4 camas · 4 viajeros</text>
  </threadedComment>
  <threadedComment ref="F4238" dT="2025-11-04T07:35:57.99" personId="{4D8483EF-5A39-4E7B-A473-929EF5A077E1}" id="{0727E67E-B519-4B99-89C9-BFFC6A479B6F}">
    <text>Alojamiento entero · 4 camas · 4 viajeros</text>
  </threadedComment>
  <threadedComment ref="F4239" dT="2025-11-04T07:35:57.99" personId="{4D8483EF-5A39-4E7B-A473-929EF5A077E1}" id="{296830CF-FC7C-4325-93C5-6E5B294852C2}">
    <text>Alojamiento entero · 4 camas · 4 viajeros</text>
  </threadedComment>
  <threadedComment ref="F4243" dT="2025-10-02T09:31:57.76" personId="{17D30B62-2123-41F1-B603-E5411FDFA3E0}" id="{171A70E3-C7D6-4973-AE1B-36CD9166BE8C}">
    <text>Alojamiento entero · 6 camas · 5 huésped</text>
  </threadedComment>
  <threadedComment ref="F4246" dT="2025-03-11T10:16:04.90" personId="{98986A2A-739A-4851-A979-4B0D560C46CD}" id="{655F46F7-7D11-4389-8DB7-539378BAB5FB}">
    <text xml:space="preserve">6 camas 
Renta vivienda 1.250€+ Servicio de Limpieza 363€ =TOTAL 1.613€, fianza 
</text>
  </threadedComment>
  <threadedComment ref="F4247" dT="2025-03-03T15:49:22.14" personId="{98986A2A-739A-4851-A979-4B0D560C46CD}" id="{E818DDAE-9469-4495-A2D4-C6EACB9A1522}">
    <text>03 camas, 550€ alquiler, 550€ fianza</text>
  </threadedComment>
  <threadedComment ref="F4254" dT="2025-08-14T07:51:52.37" personId="{17D30B62-2123-41F1-B603-E5411FDFA3E0}" id="{315B906F-7C8D-4DAB-B391-BE6332B122A7}">
    <text>Alquiler 2.180€, 5camas, Fianza 600€</text>
  </threadedComment>
  <threadedComment ref="F4255" dT="2025-11-12T11:14:13.25" personId="{4D8483EF-5A39-4E7B-A473-929EF5A077E1}" id="{FD2DFD61-C5D3-45B2-9860-464EE3D34411}">
    <text>1 Habitación Doble, Camas individuales</text>
  </threadedComment>
  <threadedComment ref="F4256" dT="2025-08-14T07:51:52.37" personId="{17D30B62-2123-41F1-B603-E5411FDFA3E0}" id="{71DB94E2-5B3B-4638-A5EC-98E28E9475FA}">
    <text>Alquiler 2.180€, 5camas, Fianza 600€</text>
  </threadedComment>
  <threadedComment ref="F4257" dT="2025-08-14T07:51:52.37" personId="{17D30B62-2123-41F1-B603-E5411FDFA3E0}" id="{392ECBF8-B87F-449D-96FC-5A1B82A59C6B}">
    <text>Alquiler 2.180€, 5camas, Fianza 600€</text>
  </threadedComment>
  <threadedComment ref="F4258" dT="2025-09-25T06:41:21.17" personId="{17D30B62-2123-41F1-B603-E5411FDFA3E0}" id="{F50FF12D-84C2-407F-9936-A7F3F348BB06}">
    <text>2 Camas, Alquiler 900€ Fianza 900€</text>
  </threadedComment>
  <threadedComment ref="F4259" dT="2025-09-25T06:41:21.17" personId="{17D30B62-2123-41F1-B603-E5411FDFA3E0}" id="{3774804C-A7FD-4E18-AB83-E048391F9DA7}">
    <text>2 Camas, Alquiler 900€ Fianza 900€</text>
  </threadedComment>
  <threadedComment ref="F4260" dT="2025-04-04T09:05:30.54" personId="{17D30B62-2123-41F1-B603-E5411FDFA3E0}" id="{43B077DD-94E0-475F-923F-E5BA6EC133F7}">
    <text>400€ cada habitación =800€.
400€ fianza</text>
  </threadedComment>
  <threadedComment ref="F4261" dT="2025-02-13T10:05:11.33" personId="{17D30B62-2123-41F1-B603-E5411FDFA3E0}" id="{C72678B7-A3E4-4FCB-92A0-278504B7DECE}">
    <text>Habitacion doble para trabajadores cant 1 Costo 60€/noche
Habitacion triple para trabajadores cant 3 Costo 75€/noche cada una
(camas separadas)</text>
  </threadedComment>
  <threadedComment ref="F4262" dT="2025-06-25T15:20:38.46" personId="{98986A2A-739A-4851-A979-4B0D560C46CD}" id="{D356C849-FD47-456F-B371-9303D23C3719}">
    <text>1300€ ALQUILER- 1300€FIANZA-04 CAMAS</text>
  </threadedComment>
  <threadedComment ref="F4263" dT="2025-03-03T18:16:08.96" personId="{98986A2A-739A-4851-A979-4B0D560C46CD}" id="{8594329A-CA42-4B96-8EF1-DD277217A667}">
    <text>03 camas, 1500€ alquiler, 600€ fianza</text>
  </threadedComment>
  <threadedComment ref="F4264" dT="2025-03-27T16:16:05.36" personId="{17D30B62-2123-41F1-B603-E5411FDFA3E0}" id="{16FA8E88-DF65-4024-A985-7BD74105160F}">
    <text>5 CAMAS</text>
  </threadedComment>
  <threadedComment ref="F4265" dT="2025-10-23T15:01:45.85" personId="{4D8483EF-5A39-4E7B-A473-929EF5A077E1}" id="{74492215-B33B-4399-8DC6-97A193B9DCA3}">
    <text>7 Camas</text>
  </threadedComment>
  <threadedComment ref="F4265" dT="2025-11-13T08:10:52.60" personId="{98986A2A-739A-4851-A979-4B0D560C46CD}" id="{689D1B7C-2797-421D-B200-0EB3C59F8C7F}" parentId="{74492215-B33B-4399-8DC6-97A193B9DCA3}">
    <text>FIANZA 1900€, ALQUILER 1900€</text>
  </threadedComment>
  <threadedComment ref="F4266" dT="2025-10-23T15:01:45.85" personId="{4D8483EF-5A39-4E7B-A473-929EF5A077E1}" id="{64E27B4A-741E-4FEF-A0EE-D89BA82B4BF4}">
    <text>7 Camas</text>
  </threadedComment>
  <threadedComment ref="F4266" dT="2025-11-13T08:10:52.60" personId="{98986A2A-739A-4851-A979-4B0D560C46CD}" id="{9967C02A-7184-4E0F-9454-006F3C34BDF5}" parentId="{64E27B4A-741E-4FEF-A0EE-D89BA82B4BF4}">
    <text>FIANZA 1900€, ALQUILER 1900€</text>
  </threadedComment>
  <threadedComment ref="F4267" dT="2025-10-23T15:01:45.85" personId="{4D8483EF-5A39-4E7B-A473-929EF5A077E1}" id="{EFA575E2-C43C-4B69-BFC2-AF5C2F6691CA}">
    <text>7 Camas</text>
  </threadedComment>
  <threadedComment ref="F4267" dT="2025-11-13T08:10:52.60" personId="{98986A2A-739A-4851-A979-4B0D560C46CD}" id="{E79502D6-96F1-45C0-B8B8-CE68E85186D4}" parentId="{EFA575E2-C43C-4B69-BFC2-AF5C2F6691CA}">
    <text>FIANZA 1900€, ALQUILER 1900€</text>
  </threadedComment>
  <threadedComment ref="F4268" dT="2025-10-23T15:01:45.85" personId="{4D8483EF-5A39-4E7B-A473-929EF5A077E1}" id="{F3FDAADD-77E5-4170-B06F-EBB6981F3B1D}">
    <text>7 Camas</text>
  </threadedComment>
  <threadedComment ref="F4268" dT="2025-11-13T08:10:52.60" personId="{98986A2A-739A-4851-A979-4B0D560C46CD}" id="{EDC2DE8E-8DE3-4D01-9594-69DB3BF5125E}" parentId="{F3FDAADD-77E5-4170-B06F-EBB6981F3B1D}">
    <text>FIANZA 1900€, ALQUILER 1900€</text>
  </threadedComment>
  <threadedComment ref="F4269" dT="2025-08-14T07:51:52.37" personId="{17D30B62-2123-41F1-B603-E5411FDFA3E0}" id="{AE963827-B0AA-4BC7-9550-110020FDBC76}">
    <text>Alquiler 2.180€, 5camas, Fianza 600€</text>
  </threadedComment>
  <threadedComment ref="F4273" dT="2025-06-13T11:20:48.41" personId="{98986A2A-739A-4851-A979-4B0D560C46CD}" id="{06DE87CF-9A40-4364-AAEC-88F58FD7689A}">
    <text>05 camas, 1200€ alquiler,+ 250€ SUMINISTROS+ 1200€ fianza</text>
  </threadedComment>
  <threadedComment ref="F4274" dT="2025-02-26T12:24:18.65" personId="{98986A2A-739A-4851-A979-4B0D560C46CD}" id="{490E1C55-8AEC-4496-B5CE-A13988CC3947}">
    <text xml:space="preserve">Alquiler 1150 , Fianza 2200  Camas 4
</text>
  </threadedComment>
  <threadedComment ref="F4275" dT="2025-06-12T08:25:55.51" personId="{98986A2A-739A-4851-A979-4B0D560C46CD}" id="{F86929AE-B6DB-4AF7-B206-14EC8E37ADCE}">
    <text>03 camas, 1050€ alquiler+150€suministros.
2100€ fianza</text>
  </threadedComment>
  <threadedComment ref="F4277" dT="2025-10-14T13:34:34.23" personId="{4D8483EF-5A39-4E7B-A473-929EF5A077E1}" id="{34ABB60F-62BF-4E37-A735-9E1ECD607DBE}">
    <text>6 Camas Alquiler 2.800€ + 500€ Fianza</text>
  </threadedComment>
  <threadedComment ref="F4279" dT="2025-09-09T14:10:43.36" personId="{17D30B62-2123-41F1-B603-E5411FDFA3E0}" id="{4221BF27-10A4-41F9-A167-68372A4521DF}">
    <text>02 Habitaciones 
Hab 01 - 325€ Alquiler Mensual
Hab 02 - 325€ Alquiler Mensual</text>
  </threadedComment>
  <threadedComment ref="F4282" dT="2025-10-23T15:01:45.85" personId="{4D8483EF-5A39-4E7B-A473-929EF5A077E1}" id="{3A5AAF2A-180E-496E-A4C0-893B106DB563}">
    <text>7 Camas</text>
  </threadedComment>
  <threadedComment ref="F4282" dT="2025-11-13T08:10:52.60" personId="{98986A2A-739A-4851-A979-4B0D560C46CD}" id="{E311F9EE-CB2F-41C8-83B4-17A74F06EA09}" parentId="{3A5AAF2A-180E-496E-A4C0-893B106DB563}">
    <text>FIANZA 1900€, ALQUILER 1900€</text>
  </threadedComment>
  <threadedComment ref="F4283" dT="2025-02-13T10:05:11.33" personId="{17D30B62-2123-41F1-B603-E5411FDFA3E0}" id="{B2E8397C-EDE1-4684-BC48-1DC70C64DE40}">
    <text>Habitacion doble para trabajadores cant 1 Costo 60€/noche
Habitacion triple para trabajadores cant 3 Costo 75€/noche cada una
(camas separadas)</text>
  </threadedComment>
  <threadedComment ref="F4286" dT="2025-03-11T10:16:04.90" personId="{98986A2A-739A-4851-A979-4B0D560C46CD}" id="{4A2D5D49-C97C-4B96-987A-15A0B750B318}">
    <text xml:space="preserve">6 camas 
Renta vivienda 1.250€+ Servicio de Limpieza 363€ =TOTAL 1.613€, fianza 
</text>
  </threadedComment>
  <threadedComment ref="F4287" dT="2025-03-11T10:16:04.90" personId="{98986A2A-739A-4851-A979-4B0D560C46CD}" id="{35851337-EAE2-430F-87A1-CA6C3E2F85E3}">
    <text xml:space="preserve">6 camas 
Renta vivienda 1.250€+ Servicio de Limpieza 363€ =TOTAL 1.613€, fianza 
</text>
  </threadedComment>
  <threadedComment ref="F4288" dT="2025-02-13T10:05:11.33" personId="{17D30B62-2123-41F1-B603-E5411FDFA3E0}" id="{542FD217-B259-4AF6-BD26-E2B84243EE92}">
    <text>3 CAMAS Alquiler 900€ Fianza 900€</text>
  </threadedComment>
  <threadedComment ref="F4289" dT="2025-10-30T11:42:55.96" personId="{4D8483EF-5A39-4E7B-A473-929EF5A077E1}" id="{5FF66D8F-B57A-47C1-8160-E6B258BD4C77}">
    <text>Habitación privada · 2 camas · 2 viajeros</text>
  </threadedComment>
  <threadedComment ref="F4290" dT="2024-08-19T11:47:23.13" personId="{98986A2A-739A-4851-A979-4B0D560C46CD}" id="{78F4D019-4692-4C06-82C1-ACCBFAE1025E}">
    <text>4 camas</text>
  </threadedComment>
  <threadedComment ref="F4292" dT="2025-04-30T11:00:49.95" personId="{17D30B62-2123-41F1-B603-E5411FDFA3E0}" id="{87943DE7-1230-437F-82EC-3FEFD106DDEB}">
    <text xml:space="preserve">Alquiler 850€ Fianza 850€ 7 camas </text>
  </threadedComment>
  <threadedComment ref="F4293" dT="2025-03-24T10:15:02.97" personId="{17D30B62-2123-41F1-B603-E5411FDFA3E0}" id="{4857FAA0-3327-4716-A080-5AC8480A798D}">
    <text>400€ Por persona alquiler mes, Fianza 500€, 5 Camas.</text>
  </threadedComment>
  <threadedComment ref="F4294" dT="2025-06-12T08:25:55.51" personId="{98986A2A-739A-4851-A979-4B0D560C46CD}" id="{CB858678-D053-4B09-B3E3-7997D58C30A1}">
    <text>03 camas, 1050€ alquiler+150€suministros.
2100€ fianza</text>
  </threadedComment>
  <threadedComment ref="F4299" dT="2025-02-13T10:05:11.33" personId="{17D30B62-2123-41F1-B603-E5411FDFA3E0}" id="{440E659E-E2C9-4601-9A89-B26DE205FFF2}">
    <text>Habitacion 480€</text>
  </threadedComment>
  <threadedComment ref="F4301" dT="2025-11-12T11:14:13.25" personId="{4D8483EF-5A39-4E7B-A473-929EF5A077E1}" id="{E7D4E69E-FD43-46BD-AFD2-F569421BC03A}">
    <text>1 Habitación Doble, Camas individuales</text>
  </threadedComment>
  <threadedComment ref="F4302" dT="2025-11-12T11:14:13.25" personId="{4D8483EF-5A39-4E7B-A473-929EF5A077E1}" id="{0DFC647E-6D22-4AEE-982A-C74D13974280}">
    <text>1 Habitación Doble, Camas individuales</text>
  </threadedComment>
  <threadedComment ref="F4303" dT="2025-03-19T10:41:19.83" personId="{98986A2A-739A-4851-A979-4B0D560C46CD}" id="{BC2567F3-C972-40A2-940F-1DC0DB3BDC2D}">
    <text>04 camas, 650€ alquiler</text>
  </threadedComment>
  <threadedComment ref="F4304" dT="2025-08-14T07:51:52.37" personId="{17D30B62-2123-41F1-B603-E5411FDFA3E0}" id="{094243BB-1681-43DB-81C1-4BB9137170A5}">
    <text>Alquiler 2.180€, 5camas, Fianza 600€</text>
  </threadedComment>
  <threadedComment ref="F4305" dT="2024-07-08T10:22:06.21" personId="{98986A2A-739A-4851-A979-4B0D560C46CD}" id="{B7B491AC-B495-44E1-893D-743FFC301E63}">
    <text>1650 FIANZA, 1200 ALQUILER,4 habitaciones</text>
  </threadedComment>
  <threadedComment ref="F4306" dT="2025-10-14T06:14:49.10" personId="{4D8483EF-5A39-4E7B-A473-929EF5A077E1}" id="{24710DE6-B89F-4639-A5D3-D3F176FB3366}">
    <text>3 Camas----&gt;Estancia 1 mes Habitación doble Alquiler 500€+ fianza: 500€
Estancia 1 mes Habitación individual Alquiler 365€ + fianza: 365€</text>
  </threadedComment>
  <threadedComment ref="F4307" dT="2025-03-19T10:41:19.83" personId="{98986A2A-739A-4851-A979-4B0D560C46CD}" id="{3C6014CE-CFA3-4FE2-A31D-C5F2921832AC}">
    <text>04 camas, 650€ alquiler</text>
  </threadedComment>
  <threadedComment ref="F4310" dT="2025-11-06T10:35:35.60" personId="{4D8483EF-5A39-4E7B-A473-929EF5A077E1}" id="{8725E037-36DC-40FF-AD4F-99D9CE8049E2}">
    <text>Habitaciones: para 5 personas.
Precio reserva: 1.500€
Fianza 150€
Total, pagado: 1.650€</text>
  </threadedComment>
  <threadedComment ref="F4311" dT="2025-11-06T10:35:35.60" personId="{4D8483EF-5A39-4E7B-A473-929EF5A077E1}" id="{4BF5618B-ABD9-4DDF-B30F-038A73B953DD}">
    <text>Habitaciones: para 5 personas.
Precio reserva: 1.500€
Fianza 150€
Total, pagado: 1.650€</text>
  </threadedComment>
  <threadedComment ref="F4312" dT="2025-11-06T10:35:35.60" personId="{4D8483EF-5A39-4E7B-A473-929EF5A077E1}" id="{0DAD1B9D-6401-465F-98DC-BC7822B80EED}">
    <text>Habitaciones: para 5 personas.
Precio reserva: 1.500€
Fianza 150€
Total, pagado: 1.650€</text>
  </threadedComment>
  <threadedComment ref="F4313" dT="2025-11-06T10:35:35.60" personId="{4D8483EF-5A39-4E7B-A473-929EF5A077E1}" id="{1CBBFE91-BE3F-44DE-8757-AA995252E940}">
    <text>Habitaciones: para 5 personas.
Precio reserva: 1.500€
Fianza 150€
Total, pagado: 1.650€</text>
  </threadedComment>
  <threadedComment ref="F4314" dT="2025-11-06T10:35:35.60" personId="{4D8483EF-5A39-4E7B-A473-929EF5A077E1}" id="{4145F1F6-789A-4829-9B26-2A8CE976DBFA}">
    <text>Habitaciones: para 5 personas.
Precio reserva: 1.500€
Fianza 150€
Total, pagado: 1.650€</text>
  </threadedComment>
  <threadedComment ref="F4315" dT="2025-10-03T05:51:38.82" personId="{17D30B62-2123-41F1-B603-E5411FDFA3E0}" id="{E4AE0704-7206-4A4B-94AA-1C72378966C1}">
    <text>200€ FIANZA
350€ alquiler octubre</text>
  </threadedComment>
  <threadedComment ref="F4316" dT="2025-10-21T11:27:17.94" personId="{4D8483EF-5A39-4E7B-A473-929EF5A077E1}" id="{6881FB55-30A6-4978-B50F-E903BEF7E713}">
    <text>(para 5 personas) </text>
  </threadedComment>
  <threadedComment ref="F4317" dT="2025-10-21T11:27:17.94" personId="{4D8483EF-5A39-4E7B-A473-929EF5A077E1}" id="{9BA7F632-14D5-4EA6-8DA6-5C4016459F53}">
    <text>(para 5 personas) </text>
  </threadedComment>
  <threadedComment ref="F4319" dT="2025-09-15T06:47:28.55" personId="{17D30B62-2123-41F1-B603-E5411FDFA3E0}" id="{C62951F9-73B0-4B7A-AF78-5E01B57F3735}">
    <text>12 Camas</text>
  </threadedComment>
  <threadedComment ref="F4320" dT="2025-10-21T11:27:17.94" personId="{4D8483EF-5A39-4E7B-A473-929EF5A077E1}" id="{E335EF78-0698-48D7-B2DD-E42C4ABC3F1A}">
    <text>(para 5 personas) </text>
  </threadedComment>
  <threadedComment ref="F4321" dT="2025-10-21T11:27:17.94" personId="{4D8483EF-5A39-4E7B-A473-929EF5A077E1}" id="{3B7A3C19-E334-4B4F-AA38-FBE7E1858D10}">
    <text>(para 5 personas) </text>
  </threadedComment>
  <threadedComment ref="F4322" dT="2025-10-21T07:47:37.08" personId="{4D8483EF-5A39-4E7B-A473-929EF5A077E1}" id="{2F49B2C8-FEE9-441E-B232-7315A1C3965A}">
    <text>3 CAMAS</text>
  </threadedComment>
  <threadedComment ref="F4323" dT="2025-10-21T07:47:37.08" personId="{4D8483EF-5A39-4E7B-A473-929EF5A077E1}" id="{CBE5E6FB-F13D-43DA-9A25-F90322A8A659}">
    <text>3 CAMAS</text>
  </threadedComment>
  <threadedComment ref="F4324" dT="2025-07-21T11:37:12.50" personId="{98986A2A-739A-4851-A979-4B0D560C46CD}" id="{F9F6CDF3-BCD1-4B45-88A1-B59276FCAE0F}">
    <text>2400€ alquiler, 2400€ fianza, 05 camas</text>
  </threadedComment>
  <threadedComment ref="F4325" dT="2025-07-21T11:37:12.50" personId="{98986A2A-739A-4851-A979-4B0D560C46CD}" id="{2C10E89A-BAEF-4F5F-AFF9-E8C2FCEA3A98}">
    <text>2400€ alquiler, 2400€ fianza, 05 camas</text>
  </threadedComment>
  <threadedComment ref="F4329" dT="2025-10-14T13:34:34.23" personId="{4D8483EF-5A39-4E7B-A473-929EF5A077E1}" id="{8AEC85B3-45BC-4337-95A2-EB65FDCFA378}">
    <text>6 Camas Alquiler 2.800€ + 500€ Fianza</text>
  </threadedComment>
  <threadedComment ref="F4330" dT="2025-09-15T06:47:28.55" personId="{17D30B62-2123-41F1-B603-E5411FDFA3E0}" id="{4A312563-9C90-46A4-AEA9-69C1C97A17E3}">
    <text>12 Camas</text>
  </threadedComment>
  <threadedComment ref="F4331" dT="2025-09-15T06:47:28.55" personId="{17D30B62-2123-41F1-B603-E5411FDFA3E0}" id="{C2FA71BD-AF7D-4C5A-A729-2464AF9ECE78}">
    <text>12 Camas</text>
  </threadedComment>
  <threadedComment ref="F4332" dT="2025-10-03T05:51:38.82" personId="{17D30B62-2123-41F1-B603-E5411FDFA3E0}" id="{FB532608-91F9-460D-A696-166108D2A466}">
    <text>200€ FIANZA
350€ alquiler octubre</text>
  </threadedComment>
  <threadedComment ref="F4336" dT="2025-09-22T11:14:16.55" personId="{17D30B62-2123-41F1-B603-E5411FDFA3E0}" id="{3CFCA9A0-89B1-40D8-80FA-C69437D72D34}">
    <text>Alquiler 1.900€ ,4 Camas.</text>
  </threadedComment>
  <threadedComment ref="F4337" dT="2025-09-22T11:14:16.55" personId="{17D30B62-2123-41F1-B603-E5411FDFA3E0}" id="{5F85B6EF-67D7-42CF-89AE-3DF64EB7C1A8}">
    <text>Alquiler 1.900€ ,4 Camas.</text>
  </threadedComment>
  <threadedComment ref="F4338" dT="2025-09-22T11:14:16.55" personId="{17D30B62-2123-41F1-B603-E5411FDFA3E0}" id="{7F317F48-FC7D-43BC-BCB8-A979941D9AA4}">
    <text>Alquiler 1.900€ ,4 Camas.</text>
  </threadedComment>
  <threadedComment ref="F4339" dT="2025-09-22T11:14:16.55" personId="{17D30B62-2123-41F1-B603-E5411FDFA3E0}" id="{D26B65C0-2AD9-4450-BC20-380153A6C08A}">
    <text>Alquiler 1.900€ ,4 Camas.</text>
  </threadedComment>
  <threadedComment ref="F4340" dT="2025-07-09T14:24:23.31" personId="{98986A2A-739A-4851-A979-4B0D560C46CD}" id="{0D942875-0A1F-433A-B205-C784A551C851}">
    <text>10 CAMAS</text>
  </threadedComment>
  <threadedComment ref="F4341" dT="2025-03-24T08:09:44.43" personId="{98986A2A-739A-4851-A979-4B0D560C46CD}" id="{A693AE60-6187-4C37-AF91-6A7594048FB5}">
    <text>350€ALQUILER, 350€FIANZA, SE PAGO ABRIL</text>
  </threadedComment>
  <threadedComment ref="F4342" dT="2024-12-02T09:17:44.96" personId="{98986A2A-739A-4851-A979-4B0D560C46CD}" id="{DE9FD754-E116-405F-B4B9-675865BEC201}">
    <text>08 CAMAS, 2500€ alquiler, 2500€ fianza</text>
  </threadedComment>
  <threadedComment ref="F4343" dT="2025-09-15T06:47:28.55" personId="{17D30B62-2123-41F1-B603-E5411FDFA3E0}" id="{A2FD90F4-F96F-4526-B106-6F64F22CB656}">
    <text>12 Camas</text>
  </threadedComment>
  <threadedComment ref="F4344" dT="2025-09-15T06:47:28.55" personId="{17D30B62-2123-41F1-B603-E5411FDFA3E0}" id="{B9ACB7D3-3A55-4304-859E-DE55881F0F32}">
    <text>12 Camas</text>
  </threadedComment>
  <threadedComment ref="F4345" dT="2025-11-21T07:18:45.15" personId="{4D8483EF-5A39-4E7B-A473-929EF5A077E1}" id="{50177E3B-5CAC-4FA1-AB75-069A9028325A}">
    <text>Alojamiento entero · 4 camas · 4 viajeros </text>
  </threadedComment>
  <threadedComment ref="F4346" dT="2025-11-21T07:18:45.15" personId="{4D8483EF-5A39-4E7B-A473-929EF5A077E1}" id="{535A3D92-18AC-4037-A11E-8E5DE1F67538}">
    <text>Alojamiento entero · 4 camas · 4 viajeros </text>
  </threadedComment>
  <threadedComment ref="F4347" dT="2025-11-21T07:18:45.15" personId="{4D8483EF-5A39-4E7B-A473-929EF5A077E1}" id="{FFF1F034-F688-4F5C-83B2-19B2A35A3331}">
    <text>Alojamiento entero · 4 camas · 4 viajeros </text>
  </threadedComment>
  <threadedComment ref="F4348" dT="2025-10-02T09:31:57.76" personId="{17D30B62-2123-41F1-B603-E5411FDFA3E0}" id="{27DEE315-0B00-4AF7-85C4-AE656D9EFE03}">
    <text>Alojamiento entero · 6 camas · 5 huésped</text>
  </threadedComment>
  <threadedComment ref="F4348" dT="2025-11-14T12:53:23.99" personId="{4D8483EF-5A39-4E7B-A473-929EF5A077E1}" id="{DA338B8F-1D63-4368-9124-91AD0EBBD978}" parentId="{27DEE315-0B00-4AF7-85C4-AE656D9EFE03}">
    <text>Alquiler 2000€</text>
  </threadedComment>
  <threadedComment ref="F4350" dT="2025-11-21T07:56:31.25" personId="{4D8483EF-5A39-4E7B-A473-929EF5A077E1}" id="{CBB9DB85-C484-487E-8D50-CA4731D4871F}">
    <text xml:space="preserve">450€ Alquiler </text>
  </threadedComment>
  <threadedComment ref="F4352" dT="2025-05-08T08:33:13.71" personId="{17D30B62-2123-41F1-B603-E5411FDFA3E0}" id="{2380B0D1-A2B7-44B1-A79F-FA72BD177CFF}">
    <text>Fianza     550€  ,Alquiler 550€   </text>
  </threadedComment>
  <threadedComment ref="F4352" dT="2025-09-15T11:03:34.57" personId="{98986A2A-739A-4851-A979-4B0D560C46CD}" id="{F6C1D333-C4E4-4899-8F6B-50915DEA6F3A}" parentId="{2380B0D1-A2B7-44B1-A79F-FA72BD177CFF}">
    <text>+200€ porque se adiciona una cama</text>
  </threadedComment>
  <threadedComment ref="F4352" dT="2025-12-17T11:04:45.19" personId="{4D8483EF-5A39-4E7B-A473-929EF5A077E1}" id="{4026853F-0956-4B6C-BB53-89A3AA20BFBE}" parentId="{2380B0D1-A2B7-44B1-A79F-FA72BD177CFF}">
    <text>3 CAMAS</text>
  </threadedComment>
  <threadedComment ref="F4353" dT="2025-02-13T10:05:11.33" personId="{17D30B62-2123-41F1-B603-E5411FDFA3E0}" id="{F0E998B1-FCD8-45E1-ADD5-12FEDDAE9791}">
    <text>Alquiler 1000€ Fianza 1000€ 4 camas</text>
  </threadedComment>
  <threadedComment ref="F4354" dT="2025-02-13T10:05:11.33" personId="{17D30B62-2123-41F1-B603-E5411FDFA3E0}" id="{BECFC749-0188-40C1-A89C-DE985012E1C1}">
    <text>Alquiler 1000€ Fianza 1000€ 4 camas</text>
  </threadedComment>
  <threadedComment ref="F4355" dT="2025-11-21T07:56:31.25" personId="{4D8483EF-5A39-4E7B-A473-929EF5A077E1}" id="{00AF5D83-E4A3-4942-B0D1-AA72A2E61C02}">
    <text xml:space="preserve">450€ Alquiler </text>
  </threadedComment>
  <threadedComment ref="F4357" dT="2025-09-17T07:54:06.16" personId="{17D30B62-2123-41F1-B603-E5411FDFA3E0}" id="{E1023A78-3ED4-41C0-B166-764FAB136616}">
    <text>4 camas</text>
  </threadedComment>
  <threadedComment ref="F4358" dT="2025-10-02T10:09:40.57" personId="{17D30B62-2123-41F1-B603-E5411FDFA3E0}" id="{2A837623-31A6-4BE5-B049-6B1E9D5017C8}">
    <text>Alojamiento entero · 4 camas · 4 viajeros</text>
  </threadedComment>
  <threadedComment ref="F4359" dT="2025-10-13T06:28:43.39" personId="{4D8483EF-5A39-4E7B-A473-929EF5A077E1}" id="{01087729-90B1-4FB0-A373-C55CFC9954D1}">
    <text>Asignación de piso para 3 trabajadores en Huelva.</text>
  </threadedComment>
  <threadedComment ref="F4362" dT="2024-06-25T09:14:46.90" personId="{98986A2A-739A-4851-A979-4B0D560C46CD}" id="{CA6EE77D-A187-482F-9400-8BC337ED6D5F}">
    <text>Fianza 1000, alquiler 1250, 05 camas. Nuevo Contrato Febrero 2025</text>
  </threadedComment>
  <threadedComment ref="F4363" dT="2025-11-12T11:14:13.25" personId="{4D8483EF-5A39-4E7B-A473-929EF5A077E1}" id="{56E74C0F-1232-4FCD-BC30-29AC927DE593}">
    <text>1 Habitación Doble, Camas individuales</text>
  </threadedComment>
  <threadedComment ref="F4368" dT="2025-11-24T08:09:28.77" personId="{4D8483EF-5A39-4E7B-A473-929EF5A077E1}" id="{90A79C4F-F0FF-4540-B0A4-BC4290B9E03A}">
    <text>Alojamiento entero · 3 camas · 3 viajeros</text>
  </threadedComment>
  <threadedComment ref="F4369" dT="2025-11-24T08:09:28.77" personId="{4D8483EF-5A39-4E7B-A473-929EF5A077E1}" id="{C475BC85-4165-4B11-AE6C-5FC69BDF4846}">
    <text>Alojamiento entero · 3 camas · 3 viajeros</text>
  </threadedComment>
  <threadedComment ref="F4370" dT="2025-11-24T08:09:28.77" personId="{4D8483EF-5A39-4E7B-A473-929EF5A077E1}" id="{BE109C29-5027-4017-829C-89412C130C3F}">
    <text>Alojamiento entero · 3 camas · 3 viajeros</text>
  </threadedComment>
  <threadedComment ref="F4376" dT="2025-08-21T09:54:23.42" personId="{17D30B62-2123-41F1-B603-E5411FDFA3E0}" id="{020D61DD-54C1-4ACB-83CE-280C314F5ECD}">
    <text>Ocupación 5 adultos precio noche 75€/noche, Total alquiler 2250€.</text>
  </threadedComment>
  <threadedComment ref="F4379" dT="2026-01-14T08:43:24.28" personId="{4D8483EF-5A39-4E7B-A473-929EF5A077E1}" id="{D4276691-BE92-4BBE-A40F-0EFE16C5D27A}">
    <text>Alojamiento para 3 Personas, 45€ por noche</text>
  </threadedComment>
  <threadedComment ref="F4380" dT="2025-10-14T06:14:49.10" personId="{4D8483EF-5A39-4E7B-A473-929EF5A077E1}" id="{5BD97F82-C408-4CDA-A2BD-D5C7C21E3E81}">
    <text>Estancia 1 mes Habitación individual Alquiler 365€ + fianza: 365€</text>
  </threadedComment>
  <threadedComment ref="F4381" dT="2025-02-13T10:05:11.33" personId="{17D30B62-2123-41F1-B603-E5411FDFA3E0}" id="{369A0C8B-2FB2-44AA-A353-0F6F5013C98F}">
    <text>Alquiler 1000€ Fianza 1000€ 4 camas</text>
  </threadedComment>
  <threadedComment ref="F4382" dT="2025-02-13T10:05:11.33" personId="{17D30B62-2123-41F1-B603-E5411FDFA3E0}" id="{0CD57B38-91AB-4C09-933F-5DCCE789368B}">
    <text>Alquiler 1000€ Fianza 1000€ 4 camas</text>
  </threadedComment>
  <threadedComment ref="F4383" dT="2025-10-21T07:56:55.08" personId="{4D8483EF-5A39-4E7B-A473-929EF5A077E1}" id="{AEEFD4F7-4514-4F08-989D-568FE2335F8F}">
    <text>5 CAMAS</text>
  </threadedComment>
  <threadedComment ref="F4384" dT="2025-10-21T07:56:55.08" personId="{4D8483EF-5A39-4E7B-A473-929EF5A077E1}" id="{E8B463C8-4C43-4B24-B515-2F8F3CC0F4EA}">
    <text>5 CAMAS</text>
  </threadedComment>
  <threadedComment ref="F4385" dT="2025-11-10T11:04:38.74" personId="{4D8483EF-5A39-4E7B-A473-929EF5A077E1}" id="{C9EFE55E-9807-4332-A274-800D6FC0A15B}">
    <text>Alojamiento para 4 personas, camas individuales</text>
  </threadedComment>
  <threadedComment ref="F4386" dT="2025-11-10T11:04:38.74" personId="{4D8483EF-5A39-4E7B-A473-929EF5A077E1}" id="{D444D3FB-59BC-4680-BBEC-5D3C7599C868}">
    <text>Alojamiento para 4 personas, camas individuales</text>
  </threadedComment>
  <threadedComment ref="F4387" dT="2025-11-10T11:04:38.74" personId="{4D8483EF-5A39-4E7B-A473-929EF5A077E1}" id="{7244A66D-5596-49E5-B467-06695359961A}">
    <text>Alojamiento para 4 personas, camas individuales</text>
  </threadedComment>
  <threadedComment ref="F4388" dT="2025-11-10T11:04:38.74" personId="{4D8483EF-5A39-4E7B-A473-929EF5A077E1}" id="{70FE9277-7938-4AB1-AB25-E30EE26ED61F}">
    <text>Alojamiento para 4 personas, camas individuales</text>
  </threadedComment>
  <threadedComment ref="F4389" dT="2025-06-09T14:18:50.75" personId="{98986A2A-739A-4851-A979-4B0D560C46CD}" id="{5C55EA5A-C78E-41E8-B65C-1491098E9086}">
    <text>04 CAMAS (01 KOTRIK) ALQUILER 1300€-FIANZA 1300€</text>
  </threadedComment>
  <threadedComment ref="F4394" dT="2024-06-05T10:13:18.67" personId="{98986A2A-739A-4851-A979-4B0D560C46CD}" id="{8F8E4E48-B658-44E5-A115-4BB9F152D7B8}">
    <text xml:space="preserve">4 habitaciones, 2000€ ALQUILER
</text>
  </threadedComment>
  <threadedComment ref="F4395" dT="2024-06-05T10:13:18.67" personId="{98986A2A-739A-4851-A979-4B0D560C46CD}" id="{FFB63BC7-0640-46D8-A867-A84A378225F8}">
    <text xml:space="preserve">4 habitaciones, 2000€ ALQUILER
</text>
  </threadedComment>
  <threadedComment ref="F4398" dT="2025-11-12T11:14:13.25" personId="{4D8483EF-5A39-4E7B-A473-929EF5A077E1}" id="{01B297EB-92BC-413E-AF1F-5B1B2BA71225}">
    <text>1 Habitación Doble, Camas individuales</text>
  </threadedComment>
  <threadedComment ref="F4403" dT="2025-06-13T11:20:48.41" personId="{98986A2A-739A-4851-A979-4B0D560C46CD}" id="{44590E03-05DC-4F65-9830-B2D9DB7E4038}">
    <text>05 camas, 1200€ alquiler,+ 250€ SUMINISTROS+ 1200€ fianza</text>
  </threadedComment>
  <threadedComment ref="F4406" dT="2025-03-03T15:39:24.40" personId="{98986A2A-739A-4851-A979-4B0D560C46CD}" id="{1CE4BEBA-D096-422B-BA47-0B973F0F21BB}">
    <text>1200€ alquiler, 05 camas, 1200€ fianza</text>
  </threadedComment>
  <threadedComment ref="F4409" dT="2025-08-28T14:19:51.19" personId="{17D30B62-2123-41F1-B603-E5411FDFA3E0}" id="{EEA02A4F-B580-4275-95B0-DDFDED32E5E7}">
    <text>4 camas</text>
  </threadedComment>
  <threadedComment ref="F4409" dT="2025-09-29T08:12:02.30" personId="{E3C446A3-37B8-466B-82DA-8F7BAC7681F7}" id="{F248108A-6852-45E6-9E53-D74793A2E7F6}" parentId="{EEA02A4F-B580-4275-95B0-DDFDED32E5E7}">
    <text>2000 alquiler- 2000 fianza</text>
  </threadedComment>
  <threadedComment ref="F4410" dT="2025-08-28T14:19:51.19" personId="{17D30B62-2123-41F1-B603-E5411FDFA3E0}" id="{9F2A55A8-2334-4207-9BEA-35173BB277DE}">
    <text>4 camas</text>
  </threadedComment>
  <threadedComment ref="F4410" dT="2025-09-29T08:12:02.30" personId="{E3C446A3-37B8-466B-82DA-8F7BAC7681F7}" id="{34F926D2-02AF-4FCF-A0F4-5A8547F3978B}" parentId="{9F2A55A8-2334-4207-9BEA-35173BB277DE}">
    <text>2000 alquiler- 2000 fianza</text>
  </threadedComment>
  <threadedComment ref="F4411" dT="2025-08-28T14:19:51.19" personId="{17D30B62-2123-41F1-B603-E5411FDFA3E0}" id="{280BFE0D-5F84-4DB6-A843-964629620B1D}">
    <text>4 camas</text>
  </threadedComment>
  <threadedComment ref="F4411" dT="2025-09-29T08:12:02.30" personId="{E3C446A3-37B8-466B-82DA-8F7BAC7681F7}" id="{71E25911-B057-4FB6-AF24-6D3138A6D6A4}" parentId="{280BFE0D-5F84-4DB6-A843-964629620B1D}">
    <text>2000 alquiler- 2000 fianza</text>
  </threadedComment>
  <threadedComment ref="F4412" dT="2025-08-28T14:19:51.19" personId="{17D30B62-2123-41F1-B603-E5411FDFA3E0}" id="{3D1DBC44-319B-4196-ACF9-6D132C444AD1}">
    <text>4 camas</text>
  </threadedComment>
  <threadedComment ref="F4412" dT="2025-09-29T08:12:02.30" personId="{E3C446A3-37B8-466B-82DA-8F7BAC7681F7}" id="{BB19FC9D-A776-4F4A-BEEE-2D3E78292F54}" parentId="{3D1DBC44-319B-4196-ACF9-6D132C444AD1}">
    <text>2000 alquiler- 2000 fianza</text>
  </threadedComment>
  <threadedComment ref="F4413" dT="2025-10-14T13:34:34.23" personId="{4D8483EF-5A39-4E7B-A473-929EF5A077E1}" id="{C2890A34-F158-4379-8584-3F77C7549907}">
    <text>6 Camas Alquiler 2.800€ + 500€ Fianza</text>
  </threadedComment>
  <threadedComment ref="F4414" dT="2025-10-14T13:34:34.23" personId="{4D8483EF-5A39-4E7B-A473-929EF5A077E1}" id="{7B0ACCC0-DFE1-435B-92F7-BA454B1E208B}">
    <text>6 Camas Alquiler 2.800€ + 500€ Fianza</text>
  </threadedComment>
  <threadedComment ref="F4416" dT="2025-02-26T14:29:45.42" personId="{17D30B62-2123-41F1-B603-E5411FDFA3E0}" id="{E4B2BE91-4892-4A89-BBC7-93C295C12B06}">
    <text>9 Camas, Alquiler 2300€, Fianza 700€</text>
  </threadedComment>
  <threadedComment ref="F4416" dT="2026-01-21T15:11:00.84" personId="{4D8483EF-5A39-4E7B-A473-929EF5A077E1}" id="{563AFD70-EE6B-425D-803B-AD3E09ADA018}" parentId="{E4B2BE91-4892-4A89-BBC7-93C295C12B06}">
    <text xml:space="preserve">Descuento a 2000€ </text>
  </threadedComment>
  <threadedComment ref="F4417" dT="2025-02-26T14:29:45.42" personId="{17D30B62-2123-41F1-B603-E5411FDFA3E0}" id="{0DA09000-F06E-4AD6-8733-AF0D9F5433EF}">
    <text>9 Camas, Alquiler 2300€, Fianza 700€</text>
  </threadedComment>
  <threadedComment ref="F4417" dT="2026-01-21T15:11:00.84" personId="{4D8483EF-5A39-4E7B-A473-929EF5A077E1}" id="{0FC6EDA3-C128-4E5C-82F1-3E97702A956A}" parentId="{0DA09000-F06E-4AD6-8733-AF0D9F5433EF}">
    <text xml:space="preserve">Descuento a 2000€ </text>
  </threadedComment>
  <threadedComment ref="F4418" dT="2025-08-28T14:19:51.19" personId="{17D30B62-2123-41F1-B603-E5411FDFA3E0}" id="{A6C61A1D-D756-4761-A317-DE3BB02EFD35}">
    <text>4 camas</text>
  </threadedComment>
  <threadedComment ref="F4418" dT="2025-09-29T08:12:02.30" personId="{E3C446A3-37B8-466B-82DA-8F7BAC7681F7}" id="{5EA026D8-79F0-448B-A3C1-E2D9744E5BD8}" parentId="{A6C61A1D-D756-4761-A317-DE3BB02EFD35}">
    <text>2000 alquiler- 2000 fianza</text>
  </threadedComment>
  <threadedComment ref="F4419" dT="2025-11-05T15:50:07.06" personId="{4D8483EF-5A39-4E7B-A473-929EF5A077E1}" id="{A28637C0-2B14-4D70-9031-D6192D677EE4}">
    <text xml:space="preserve">1 Habitación, Alquiler 450€ </text>
  </threadedComment>
  <threadedComment ref="F4420" dT="2025-02-26T14:29:45.42" personId="{17D30B62-2123-41F1-B603-E5411FDFA3E0}" id="{40D6BC37-98F7-4D9C-843C-B6C597206E95}">
    <text>9 Camas, Alquiler 2300€, Fianza 700€</text>
  </threadedComment>
  <threadedComment ref="F4420" dT="2026-01-21T15:11:00.84" personId="{4D8483EF-5A39-4E7B-A473-929EF5A077E1}" id="{D27062BD-0FCF-438A-B778-D12992CF30F6}" parentId="{40D6BC37-98F7-4D9C-843C-B6C597206E95}">
    <text xml:space="preserve">Descuento a 2000€ </text>
  </threadedComment>
  <threadedComment ref="F4421" dT="2025-10-14T13:34:34.23" personId="{4D8483EF-5A39-4E7B-A473-929EF5A077E1}" id="{39AADDD0-B446-476C-964E-8A2E2988EF43}">
    <text>6 Camas Alquiler 2.800€ + 500€ Fianza</text>
  </threadedComment>
  <threadedComment ref="F4422" dT="2025-10-14T13:34:34.23" personId="{4D8483EF-5A39-4E7B-A473-929EF5A077E1}" id="{6CC93C3F-768A-4D94-8678-FE8D3B250E53}">
    <text>6 Camas Alquiler 2.800€ + 500€ Fianza</text>
  </threadedComment>
  <threadedComment ref="F4423" dT="2025-08-29T06:05:00.53" personId="{17D30B62-2123-41F1-B603-E5411FDFA3E0}" id="{1DB998C6-9AA1-49C5-A73C-AC9727772911}">
    <text xml:space="preserve">Alquiler 2.800€ Fianza 500€ 6 camas </text>
  </threadedComment>
  <threadedComment ref="F4423" dT="2025-09-25T06:48:51.87" personId="{17D30B62-2123-41F1-B603-E5411FDFA3E0}" id="{06643B37-5672-4A31-BAA9-8F3201DE907A}" parentId="{1DB998C6-9AA1-49C5-A73C-AC9727772911}">
    <text>Alquiler mes de octubre= 2.500€</text>
  </threadedComment>
  <threadedComment ref="F4424" dT="2025-10-23T07:28:03.44" personId="{4D8483EF-5A39-4E7B-A473-929EF5A077E1}" id="{245B4AF1-BEA0-41F9-B3AD-2D0EA5A96C37}">
    <text>5 Camas Alquiler 2800€ Fianza 500€</text>
  </threadedComment>
  <threadedComment ref="F4425" dT="2025-10-23T07:28:03.44" personId="{4D8483EF-5A39-4E7B-A473-929EF5A077E1}" id="{D64E2ADC-05CC-49A1-A92C-087FF445DDD8}">
    <text>5 Camas Alquiler 2800€ Fianza 500€</text>
  </threadedComment>
  <threadedComment ref="F4426" dT="2025-10-13T06:28:43.39" personId="{4D8483EF-5A39-4E7B-A473-929EF5A077E1}" id="{D51D4040-02B6-4FC5-8FA9-20ADC8E88572}">
    <text>Asignación de piso para 6 trabajadores en Huelva.</text>
  </threadedComment>
  <threadedComment ref="F4427" dT="2025-06-25T15:20:38.46" personId="{98986A2A-739A-4851-A979-4B0D560C46CD}" id="{5B91335F-74BB-42B0-90CB-75629BFD528F}">
    <text>1300€ ALQUILER- 1300€FIANZA-04 CAMAS</text>
  </threadedComment>
  <threadedComment ref="F4428" dT="2025-06-25T15:20:38.46" personId="{98986A2A-739A-4851-A979-4B0D560C46CD}" id="{C52F0155-B6AF-4B72-B18B-1EDBD702360E}">
    <text>1300€ ALQUILER- 1300€FIANZA-04 CAMAS</text>
  </threadedComment>
  <threadedComment ref="F4429" dT="2025-06-25T15:20:38.46" personId="{98986A2A-739A-4851-A979-4B0D560C46CD}" id="{1A7EFE99-C7A5-4184-B3B5-7889B4A5FE4D}">
    <text>1300€ ALQUILER- 1300€FIANZA-04 CAMAS</text>
  </threadedComment>
  <threadedComment ref="F4430" dT="2025-09-26T11:01:56.52" personId="{E3C446A3-37B8-466B-82DA-8F7BAC7681F7}" id="{0BF422FA-591A-4F03-8661-F908B3796C6E}">
    <text>978.63€ PISO 04 HABITACIONES</text>
  </threadedComment>
  <threadedComment ref="F4430" dT="2025-11-07T07:07:12.51" personId="{98986A2A-739A-4851-A979-4B0D560C46CD}" id="{F8B61FB2-7B0B-4F6E-90C2-3AEC44575317}" parentId="{0BF422FA-591A-4F03-8661-F908B3796C6E}">
    <text>04 camas</text>
  </threadedComment>
  <threadedComment ref="F4431" dT="2025-11-05T11:01:17.24" personId="{4D8483EF-5A39-4E7B-A473-929EF5A077E1}" id="{F0867D88-E768-4683-8243-A856E5034C5A}">
    <text>Asignación de piso para 6 trabajadores en Huelva.</text>
  </threadedComment>
  <threadedComment ref="F4432" dT="2025-07-09T14:24:23.31" personId="{98986A2A-739A-4851-A979-4B0D560C46CD}" id="{1BDDC849-B1D3-4EE8-A4F6-3D1DF41F6E01}">
    <text>10 CAMAS</text>
  </threadedComment>
  <threadedComment ref="F4433" dT="2025-10-23T07:28:03.44" personId="{4D8483EF-5A39-4E7B-A473-929EF5A077E1}" id="{8DFFA13B-EA9E-4468-BDD5-CE692EA83C73}">
    <text>5 Camas Alquiler 2800€ Fianza 500€</text>
  </threadedComment>
  <threadedComment ref="F4434" dT="2025-10-23T07:28:03.44" personId="{4D8483EF-5A39-4E7B-A473-929EF5A077E1}" id="{E4D0C9C9-1D26-4548-BA26-AFCA910ED2D0}">
    <text>5 Camas Alquiler 2800€ Fianza 500€</text>
  </threadedComment>
  <threadedComment ref="F4435" dT="2025-10-23T07:28:03.44" personId="{4D8483EF-5A39-4E7B-A473-929EF5A077E1}" id="{B196B864-CA6C-4C49-B2B5-689967104C48}">
    <text>5 Camas Alquiler 2800€ Fianza 500€</text>
  </threadedComment>
  <threadedComment ref="F4436" dT="2026-01-09T09:10:53.71" personId="{4D8483EF-5A39-4E7B-A473-929EF5A077E1}" id="{9CA05BF2-B3DC-48D5-AF8F-525C3247DDEE}">
    <text>Alojamiento para 9
SIN FIANZA. El pago se realizará mediante transferencia. La mensualidad es: TRES MIL QUINIENTOS EUROS, (3.500€) Incluidos suministros.</text>
  </threadedComment>
  <threadedComment ref="F4437" dT="2025-09-29T06:11:41.47" personId="{17D30B62-2123-41F1-B603-E5411FDFA3E0}" id="{6899CDCA-20FC-49EF-AA1B-A113E6CE43E5}">
    <text>6 Camas Alquiler 2.700€  Fianza 500€</text>
  </threadedComment>
  <threadedComment ref="F4438" dT="2025-09-29T06:11:41.47" personId="{17D30B62-2123-41F1-B603-E5411FDFA3E0}" id="{BF3DB313-998E-4813-91F9-EC572E421273}">
    <text>6 Camas Alquiler 2.700€  Fianza 500€</text>
  </threadedComment>
  <threadedComment ref="F4439" dT="2025-08-29T06:05:00.53" personId="{17D30B62-2123-41F1-B603-E5411FDFA3E0}" id="{A6939960-38B7-4A67-9DBD-5412B23071E7}">
    <text xml:space="preserve">Alquiler 2.800€ Fianza 500€ 6 camas </text>
  </threadedComment>
  <threadedComment ref="F4439" dT="2025-09-25T06:48:51.87" personId="{17D30B62-2123-41F1-B603-E5411FDFA3E0}" id="{59CF9E79-EB98-46AF-9108-6F02203BAD94}" parentId="{A6939960-38B7-4A67-9DBD-5412B23071E7}">
    <text>Alquiler mes de octubre= 2.500€</text>
  </threadedComment>
  <threadedComment ref="F4440" dT="2025-08-19T13:30:20.82" personId="{17D30B62-2123-41F1-B603-E5411FDFA3E0}" id="{31C3AD6D-3458-4F0D-955A-09632566674F}">
    <text xml:space="preserve">6 Camas Alquiler 2.500€ </text>
  </threadedComment>
  <threadedComment ref="F4441" dT="2025-08-19T13:30:20.82" personId="{17D30B62-2123-41F1-B603-E5411FDFA3E0}" id="{52B08803-AD5F-46FE-8C71-19B5ECA15005}">
    <text xml:space="preserve">6 Camas Alquiler 2.500€ </text>
  </threadedComment>
  <threadedComment ref="F4442" dT="2025-10-14T13:34:34.23" personId="{4D8483EF-5A39-4E7B-A473-929EF5A077E1}" id="{2442A526-6B94-4754-B19E-5314E974F368}">
    <text>6 Camas Alquiler 2.800€ + 500€ Fianza</text>
  </threadedComment>
  <threadedComment ref="F4443" dT="2025-08-29T06:05:00.53" personId="{17D30B62-2123-41F1-B603-E5411FDFA3E0}" id="{4AC63452-B739-4E4B-9324-045DF15DFED0}">
    <text xml:space="preserve">Alquiler 2.800€ Fianza 500€ 6 camas </text>
  </threadedComment>
  <threadedComment ref="F4443" dT="2025-09-25T06:48:51.87" personId="{17D30B62-2123-41F1-B603-E5411FDFA3E0}" id="{53CC8074-CC84-4A1B-BC3A-2E5E16EAFA6A}" parentId="{4AC63452-B739-4E4B-9324-045DF15DFED0}">
    <text>Alquiler mes de octubre= 2.500€</text>
  </threadedComment>
  <threadedComment ref="F4444" dT="2025-09-29T06:11:41.47" personId="{17D30B62-2123-41F1-B603-E5411FDFA3E0}" id="{ABD406FA-67A0-44AF-8C31-80434592AE1A}">
    <text>6 Camas Alquiler 2.700€  Fianza 500€</text>
  </threadedComment>
  <threadedComment ref="F4445" dT="2026-01-08T12:52:03.86" personId="{4D8483EF-5A39-4E7B-A473-929EF5A077E1}" id="{CFF768F6-7B61-4413-9798-702C3BEE64A5}">
    <text>Alojamiento entero · 5 camas · 4 viajeros</text>
  </threadedComment>
  <threadedComment ref="F4446" dT="2026-01-08T12:52:03.86" personId="{4D8483EF-5A39-4E7B-A473-929EF5A077E1}" id="{F9985FBE-F823-4194-921F-0CAFACA34989}">
    <text>Alojamiento entero · 5 camas · 4 viajeros</text>
  </threadedComment>
  <threadedComment ref="F4447" dT="2026-01-08T12:52:03.86" personId="{4D8483EF-5A39-4E7B-A473-929EF5A077E1}" id="{D9CF5595-1CD4-46B2-BF2A-11CF464741BF}">
    <text>Alojamiento entero · 5 camas · 4 viajeros</text>
  </threadedComment>
  <threadedComment ref="F4448" dT="2026-01-08T12:52:03.86" personId="{4D8483EF-5A39-4E7B-A473-929EF5A077E1}" id="{43B7FAAF-4B55-46E7-8EC8-57CE0A8F65FC}">
    <text>Alojamiento entero · 5 camas · 4 viajeros</text>
  </threadedComment>
  <threadedComment ref="F4449" dT="2025-02-13T10:05:11.33" personId="{17D30B62-2123-41F1-B603-E5411FDFA3E0}" id="{2E8725AF-2FCF-4D9E-87B4-F55A43DCAEF0}">
    <text>4 Habitaciones 5 camas 1 sofá</text>
  </threadedComment>
  <threadedComment ref="F4449" dT="2025-11-07T07:08:43.68" personId="{98986A2A-739A-4851-A979-4B0D560C46CD}" id="{1A27125B-98CD-43F1-A3B9-A19A39FE8086}" parentId="{2E8725AF-2FCF-4D9E-87B4-F55A43DCAEF0}">
    <text>875,50 alquiler</text>
  </threadedComment>
  <threadedComment ref="F4449" dT="2026-08-19T09:16:29.54" personId="{E3C446A3-37B8-466B-82DA-8F7BAC7681F7}" id="{A3109DF8-0499-4447-A8C0-79E0CEB49049}" parentId="{2E8725AF-2FCF-4D9E-87B4-F55A43DCAEF0}">
    <text>FIANZA 1700€</text>
  </threadedComment>
  <threadedComment ref="F4450" dT="2025-09-15T06:47:28.55" personId="{17D30B62-2123-41F1-B603-E5411FDFA3E0}" id="{92E3D381-5E3F-4B58-8FE7-7E9D1194B178}">
    <text>12 Camas</text>
  </threadedComment>
  <threadedComment ref="H4451" dT="2026-01-12T08:38:33.46" personId="{4D8483EF-5A39-4E7B-A473-929EF5A077E1}" id="{35FF7DC4-20A4-48E3-93EF-DE04B5E3B30C}">
    <text>2026/678</text>
  </threadedComment>
  <threadedComment ref="F4452" dT="2025-02-13T10:05:11.33" personId="{17D30B62-2123-41F1-B603-E5411FDFA3E0}" id="{A0107420-A322-45A4-BE79-FA0C21468EF5}">
    <text>Habitacion doble para trabajadores cant 1 Costo 60€/noche
Habitacion triple para trabajadores cant 3 Costo 75€/noche cada una
(camas separadas)</text>
  </threadedComment>
  <threadedComment ref="H4452" dT="2026-01-12T08:38:37.92" personId="{4D8483EF-5A39-4E7B-A473-929EF5A077E1}" id="{A13A9361-9361-4C9F-A749-A7234ADE8F9F}">
    <text>2026/678</text>
  </threadedComment>
  <threadedComment ref="F4453" dT="2025-07-04T11:05:16.59" personId="{98986A2A-739A-4851-A979-4B0D560C46CD}" id="{7675930E-5F2A-40C6-91C3-171A1B23C671}">
    <text>04 camas, 1200€ alquiler, 1200€ fianza</text>
  </threadedComment>
  <threadedComment ref="F4454" dT="2025-02-13T10:05:11.33" personId="{17D30B62-2123-41F1-B603-E5411FDFA3E0}" id="{36B5E4B8-7FC5-40BB-8E35-4C7673059CE7}">
    <text>Habitacion doble para trabajadores cant 1 Costo 60€/noche
Habitacion triple para trabajadores cant 3 Costo 75€/noche cada una
(camas separadas)</text>
  </threadedComment>
  <threadedComment ref="H4454" dT="2026-01-12T08:38:43.70" personId="{4D8483EF-5A39-4E7B-A473-929EF5A077E1}" id="{49898B17-03EB-463D-83CD-E8D62788E0C3}">
    <text>2026/678</text>
  </threadedComment>
  <threadedComment ref="F4455" dT="2025-02-13T10:05:11.33" personId="{17D30B62-2123-41F1-B603-E5411FDFA3E0}" id="{4FFCAEA6-3739-404C-BD00-02212B9DBF78}">
    <text>Habitacion doble para trabajadores cant 1 Costo 60€/noche
Habitacion triple para trabajadores cant 3 Costo 75€/noche cada una
(camas separadas)</text>
  </threadedComment>
  <threadedComment ref="H4455" dT="2026-01-12T08:38:47.82" personId="{4D8483EF-5A39-4E7B-A473-929EF5A077E1}" id="{EEF9CCDA-4775-43C0-B654-828FCD6956E0}">
    <text>2026/678</text>
  </threadedComment>
  <threadedComment ref="F4456" dT="2025-09-15T06:47:28.55" personId="{17D30B62-2123-41F1-B603-E5411FDFA3E0}" id="{9CD4A01D-B58C-460D-A7BB-48DCE884C4FC}">
    <text>12 Camas</text>
  </threadedComment>
  <threadedComment ref="F4457" dT="2025-09-15T06:47:28.55" personId="{17D30B62-2123-41F1-B603-E5411FDFA3E0}" id="{DF74DFEE-3DF3-4924-864B-91CD715BF8A5}">
    <text>12 Camas</text>
  </threadedComment>
  <threadedComment ref="F4460" dT="2026-01-09T09:10:53.71" personId="{4D8483EF-5A39-4E7B-A473-929EF5A077E1}" id="{50BE2B37-36B6-4ADB-87D6-BCC034260971}">
    <text>Alojamiento para 9
SIN FIANZA. El pago se realizará mediante transferencia. La mensualidad es: TRES MIL QUINIENTOS EUROS, (3.500€) Incluidos suministros.</text>
  </threadedComment>
  <threadedComment ref="F4468" dT="2025-09-29T06:11:41.47" personId="{17D30B62-2123-41F1-B603-E5411FDFA3E0}" id="{E226C6F7-1B3A-461A-BF69-5E1390A37A92}">
    <text>6 Camas Alquiler 2.700€  Fianza 500€</text>
  </threadedComment>
  <threadedComment ref="F4469" dT="2025-10-30T11:42:55.96" personId="{4D8483EF-5A39-4E7B-A473-929EF5A077E1}" id="{F7F91DB9-23A9-43C9-8782-2030E7A554D5}">
    <text>Habitación privada · 2 camas · 2 viajeros</text>
  </threadedComment>
  <threadedComment ref="F4470" dT="2025-10-02T11:36:50.19" personId="{17D30B62-2123-41F1-B603-E5411FDFA3E0}" id="{C8593A41-BF4E-4CD0-86AE-EDF92B1465B9}">
    <text>Alquiler 350€ Fianza 350€ </text>
  </threadedComment>
  <threadedComment ref="F4471" dT="2025-10-02T11:36:50.19" personId="{17D30B62-2123-41F1-B603-E5411FDFA3E0}" id="{04537735-8C6B-4E76-968B-41C2BE14DE27}">
    <text>Alquiler 350€ Fianza 350€ </text>
  </threadedComment>
  <threadedComment ref="F4472" dT="2025-03-03T15:49:22.14" personId="{98986A2A-739A-4851-A979-4B0D560C46CD}" id="{D2CDB4AB-FAF0-41E0-B37E-5E207D5F9803}">
    <text>03 camas, 550€ alquiler, 550€ fianza</text>
  </threadedComment>
  <threadedComment ref="F4473" dT="2025-03-07T13:18:36.65" personId="{98986A2A-739A-4851-A979-4B0D560C46CD}" id="{151A9831-81A6-494D-B8A3-49BBDFE34EED}">
    <text>04 camas, 550€ alquiler, 550€ fianza</text>
  </threadedComment>
  <threadedComment ref="F4474" dT="2025-09-29T06:11:41.47" personId="{17D30B62-2123-41F1-B603-E5411FDFA3E0}" id="{9C536B79-917B-4764-8765-076789EA8328}">
    <text>6 Camas Alquiler 2.700€  Fianza 500€</text>
  </threadedComment>
  <threadedComment ref="F4475" dT="2026-01-29T14:37:35.05" personId="{4D8483EF-5A39-4E7B-A473-929EF5A077E1}" id="{8BF2B552-1FBF-4A2D-9A09-697BD45EE8C8}">
    <text>Alojamiento para 3 personas</text>
  </threadedComment>
  <threadedComment ref="F4476" dT="2025-12-03T08:28:18.05" personId="{4D8483EF-5A39-4E7B-A473-929EF5A077E1}" id="{ADA6E793-E778-42DA-97C0-2F3B9EE8B69F}">
    <text>Habitación Alquiler 350€ + Suministros</text>
  </threadedComment>
  <threadedComment ref="F4477" dT="2025-10-23T15:01:45.85" personId="{4D8483EF-5A39-4E7B-A473-929EF5A077E1}" id="{6044F9D6-4B7F-4A98-ACBF-36B2A3DBBB3E}">
    <text>7 Camas</text>
  </threadedComment>
  <threadedComment ref="F4477" dT="2025-11-13T08:10:52.60" personId="{98986A2A-739A-4851-A979-4B0D560C46CD}" id="{D5F35B5A-16AA-49BD-9902-96E12D53C6FE}" parentId="{6044F9D6-4B7F-4A98-ACBF-36B2A3DBBB3E}">
    <text>FIANZA 1900€, ALQUILER 1900€</text>
  </threadedComment>
  <threadedComment ref="F4478" dT="2025-02-24T10:19:28.57" personId="{98986A2A-739A-4851-A979-4B0D560C46CD}" id="{8D3C83F5-9CC9-46AC-A250-6BDB2AE70B7F}">
    <text>06 camas</text>
  </threadedComment>
  <threadedComment ref="F4478" dT="2025-08-05T11:29:05.15" personId="{17D30B62-2123-41F1-B603-E5411FDFA3E0}" id="{B8F7E391-6D4A-48C9-B177-6F3126C709A9}" parentId="{8D3C83F5-9CC9-46AC-A250-6BDB2AE70B7F}">
    <text>+1 Cama</text>
  </threadedComment>
  <threadedComment ref="F4479" dT="2025-10-27T11:57:19.08" personId="{4D8483EF-5A39-4E7B-A473-929EF5A077E1}" id="{33440A6A-D7FA-447F-8B90-D96FA23AB598}">
    <text>Alojamiento 4 Camas Alquiler 1.122€ Fianza 2.200€</text>
  </threadedComment>
  <threadedComment ref="F4483" dT="2025-02-24T10:19:28.57" personId="{98986A2A-739A-4851-A979-4B0D560C46CD}" id="{D778FE81-6BEC-49C1-BD0D-12289D0CB3F0}">
    <text>06 camas</text>
  </threadedComment>
  <threadedComment ref="F4483" dT="2025-08-05T11:29:05.15" personId="{17D30B62-2123-41F1-B603-E5411FDFA3E0}" id="{2588DADF-5A5A-43E2-8DF4-26CAF8696E9A}" parentId="{D778FE81-6BEC-49C1-BD0D-12289D0CB3F0}">
    <text>+1 Cama</text>
  </threadedComment>
  <threadedComment ref="F4485" dT="2025-03-27T16:16:05.36" personId="{17D30B62-2123-41F1-B603-E5411FDFA3E0}" id="{6F9B00FF-EA95-4B89-82C8-A8A4CF5D92A5}">
    <text>5 CAMAS</text>
  </threadedComment>
  <threadedComment ref="F4486" dT="2025-02-13T10:05:11.33" personId="{17D30B62-2123-41F1-B603-E5411FDFA3E0}" id="{C59989D9-2CDE-42DC-9AE6-AE651470568B}">
    <text>3 CAMAS Alquiler 900€ Fianza 900€</text>
  </threadedComment>
  <threadedComment ref="F4487" dT="2025-02-13T10:05:11.33" personId="{17D30B62-2123-41F1-B603-E5411FDFA3E0}" id="{F10BC7AA-7565-4D11-AADC-6B2261910908}">
    <text>Habitacion doble para trabajadores cant 1 Costo 60€/noche
Habitacion triple para trabajadores cant 3 Costo 75€/noche cada una
(camas separadas)</text>
  </threadedComment>
  <threadedComment ref="F4489" dT="2025-10-21T07:56:55.08" personId="{4D8483EF-5A39-4E7B-A473-929EF5A077E1}" id="{A63F44D8-2233-4A79-8ECB-803BBBC61672}">
    <text>5 CAMAS</text>
  </threadedComment>
  <threadedComment ref="F4494" dT="2025-09-09T14:10:43.36" personId="{17D30B62-2123-41F1-B603-E5411FDFA3E0}" id="{CCD88832-3BBD-4986-935C-3CFB0B493265}">
    <text>02 Habitaciones 
Hab 01 - 325€ Alquiler Mensual
Hab 02 - 325€ Alquiler Mensual</text>
  </threadedComment>
  <threadedComment ref="F4496" dT="2025-02-13T10:05:11.33" personId="{17D30B62-2123-41F1-B603-E5411FDFA3E0}" id="{1BCCD62B-D893-476A-B827-C307EFCE89B2}">
    <text>4 Habitaciones 5 camas 1 sofá</text>
  </threadedComment>
  <threadedComment ref="F4496" dT="2025-11-07T07:08:43.68" personId="{98986A2A-739A-4851-A979-4B0D560C46CD}" id="{44D2B00A-7C1F-4E42-9513-780BB40D36D2}" parentId="{1BCCD62B-D893-476A-B827-C307EFCE89B2}">
    <text>875,50 alquiler</text>
  </threadedComment>
  <threadedComment ref="F4496" dT="2026-08-19T09:16:29.54" personId="{E3C446A3-37B8-466B-82DA-8F7BAC7681F7}" id="{A2DE6F37-26A0-4251-97DD-D42053F64E76}" parentId="{1BCCD62B-D893-476A-B827-C307EFCE89B2}">
    <text>FIANZA 1700€</text>
  </threadedComment>
  <threadedComment ref="F4497" dT="2025-10-23T15:01:45.85" personId="{4D8483EF-5A39-4E7B-A473-929EF5A077E1}" id="{B09F1C3E-3FAA-410E-BC1B-F9A7B5435EF7}">
    <text>7 Camas</text>
  </threadedComment>
  <threadedComment ref="F4497" dT="2025-11-13T08:10:52.60" personId="{98986A2A-739A-4851-A979-4B0D560C46CD}" id="{1C98F5C4-278A-46D2-A37E-1973C18122A3}" parentId="{B09F1C3E-3FAA-410E-BC1B-F9A7B5435EF7}">
    <text>FIANZA 1900€, ALQUILER 1900€</text>
  </threadedComment>
  <threadedComment ref="F4506" dT="2025-10-13T06:28:43.39" personId="{4D8483EF-5A39-4E7B-A473-929EF5A077E1}" id="{C1DCB262-9F7D-43FF-9953-BE1A6E0CC684}">
    <text>Asignación de piso para 6 trabajadores en Huelva.</text>
  </threadedComment>
  <threadedComment ref="F4507" dT="2025-10-13T06:28:43.39" personId="{4D8483EF-5A39-4E7B-A473-929EF5A077E1}" id="{D51FA5C7-9BAF-43AC-9639-CA6AFC2CDA1F}">
    <text>Asignación de piso para 6 trabajadores en Huelva.</text>
  </threadedComment>
  <threadedComment ref="F4508" dT="2025-10-13T06:28:43.39" personId="{4D8483EF-5A39-4E7B-A473-929EF5A077E1}" id="{4FC8580A-4643-4010-88ED-89154A2C9C35}">
    <text>Asignación de piso para 6 trabajadores en Huelva.</text>
  </threadedComment>
  <threadedComment ref="F4509" dT="2025-10-13T06:28:43.39" personId="{4D8483EF-5A39-4E7B-A473-929EF5A077E1}" id="{A802BC48-0E85-4EB6-908E-090725E866B3}">
    <text>Asignación de piso para 6 trabajadores en Huelva.</text>
  </threadedComment>
  <threadedComment ref="F4515" dT="2025-10-02T09:31:57.76" personId="{17D30B62-2123-41F1-B603-E5411FDFA3E0}" id="{87124703-551A-4386-BD58-BCF39F82B5EA}">
    <text>Alojamiento entero · 6 camas · 5 huésped</text>
  </threadedComment>
  <threadedComment ref="F4515" dT="2025-11-14T12:53:23.99" personId="{4D8483EF-5A39-4E7B-A473-929EF5A077E1}" id="{26D3174A-269E-4D43-9D6F-32315CADFAB4}" parentId="{87124703-551A-4386-BD58-BCF39F82B5EA}">
    <text>Alquiler 2000€</text>
  </threadedComment>
  <threadedComment ref="F4517" dT="2025-02-25T12:24:49.79" personId="{98986A2A-739A-4851-A979-4B0D560C46CD}" id="{0CC2312F-E1A2-4D13-80C7-CB33FE77B299}">
    <text>04 camas, 1500€ alquiler, 1500€ fianza</text>
  </threadedComment>
  <threadedComment ref="F4519" dT="2025-10-02T09:31:57.76" personId="{17D30B62-2123-41F1-B603-E5411FDFA3E0}" id="{9C13E3F6-F3A7-4413-96E6-CC6D9C73C42D}">
    <text>Alojamiento entero · 6 camas · 5 huésped</text>
  </threadedComment>
  <threadedComment ref="F4519" dT="2025-11-14T12:53:23.99" personId="{4D8483EF-5A39-4E7B-A473-929EF5A077E1}" id="{470933A1-7A42-4F06-B5CC-686076173828}" parentId="{9C13E3F6-F3A7-4413-96E6-CC6D9C73C42D}">
    <text>Alquiler 2000€</text>
  </threadedComment>
  <threadedComment ref="F4520" dT="2026-01-05T10:25:45.92" personId="{4D8483EF-5A39-4E7B-A473-929EF5A077E1}" id="{F40C1175-8F2B-4618-AA49-13E3A06F0B26}">
    <text>3 Habitaciones triples camas separadas- 9 Camas</text>
  </threadedComment>
  <threadedComment ref="F4521" dT="2025-02-26T12:24:18.65" personId="{98986A2A-739A-4851-A979-4B0D560C46CD}" id="{D5224B75-1C18-4F45-9A7E-AC33B5B54F8C}">
    <text xml:space="preserve">Alquiler 1100 , Fianza 2200  Camas 4
</text>
  </threadedComment>
  <threadedComment ref="F4530" dT="2025-09-09T13:35:44.37" personId="{17D30B62-2123-41F1-B603-E5411FDFA3E0}" id="{971806EC-B451-4937-8521-8BD552E22DBF}">
    <text>4 camas</text>
  </threadedComment>
  <threadedComment ref="F4531" dT="2025-09-09T13:35:44.37" personId="{17D30B62-2123-41F1-B603-E5411FDFA3E0}" id="{52659580-04B4-433C-AECD-798D6D6AED7E}">
    <text>4 camas</text>
  </threadedComment>
  <threadedComment ref="F4532" dT="2026-01-05T10:25:45.92" personId="{4D8483EF-5A39-4E7B-A473-929EF5A077E1}" id="{CB923901-3A84-46BC-9E21-8DF43CE1F5DB}">
    <text>3 Habitaciones triples camas separadas- 9 Camas</text>
  </threadedComment>
  <threadedComment ref="F4534" dT="2024-08-06T14:12:58.54" personId="{8BEA8CB1-BB33-44FC-A791-4439DE945680}" id="{AE118684-CEDB-4422-A9CC-E5B14C3F6754}">
    <text>Alquiler 1700, fianza 1700 6 CAMAS</text>
  </threadedComment>
  <threadedComment ref="F4534" dT="2025-01-16T18:23:38.41" personId="{98986A2A-739A-4851-A979-4B0D560C46CD}" id="{101936B5-68B6-4277-A4E6-87D1104E9D02}" parentId="{AE118684-CEDB-4422-A9CC-E5B14C3F6754}">
    <text>5 habitaciones</text>
  </threadedComment>
  <threadedComment ref="F4535" dT="2025-03-03T08:17:57.83" personId="{98986A2A-739A-4851-A979-4B0D560C46CD}" id="{9E532F3B-3178-443E-BB86-30EF06B3BE22}">
    <text xml:space="preserve">340€ ALQULER + 55€ SUMINISTROS =395€ TOTAL. 500 FIANZA
</text>
  </threadedComment>
  <threadedComment ref="F4537" dT="2025-10-13T06:28:43.39" personId="{4D8483EF-5A39-4E7B-A473-929EF5A077E1}" id="{2F4CCDD8-FF38-4E17-8A0D-0EA97829AEF3}">
    <text>Asignación de piso para 3 trabajadores en Huelva.</text>
  </threadedComment>
  <threadedComment ref="F4538" dT="2025-10-13T06:28:43.39" personId="{4D8483EF-5A39-4E7B-A473-929EF5A077E1}" id="{A9EB0C81-B2EF-47A7-81B6-30D56D7ADA15}">
    <text>Asignación de piso para 3 trabajadores en Huelva.</text>
  </threadedComment>
  <threadedComment ref="F4539" dT="2025-10-21T07:47:37.08" personId="{4D8483EF-5A39-4E7B-A473-929EF5A077E1}" id="{1ED3C506-EAB8-47A9-96EB-2988B35B38FE}">
    <text>3 CAMAS</text>
  </threadedComment>
  <threadedComment ref="F4540" dT="2025-09-26T11:01:56.52" personId="{E3C446A3-37B8-466B-82DA-8F7BAC7681F7}" id="{CAF1AC30-20CB-45E0-8F1D-DBB4803149D2}">
    <text>978.63€ PISO 04 HABITACIONES</text>
  </threadedComment>
  <threadedComment ref="F4540" dT="2025-11-07T07:07:12.51" personId="{98986A2A-739A-4851-A979-4B0D560C46CD}" id="{31C21DC5-9AB0-480F-9891-D16B32024613}" parentId="{CAF1AC30-20CB-45E0-8F1D-DBB4803149D2}">
    <text>04 camas</text>
  </threadedComment>
  <threadedComment ref="H4540" dT="2026-01-12T08:38:06.99" personId="{4D8483EF-5A39-4E7B-A473-929EF5A077E1}" id="{BBC135EB-7D2A-4B7C-8820-2FFA9B7C4E14}">
    <text>2026/678</text>
  </threadedComment>
  <threadedComment ref="F4541" dT="2025-09-26T11:01:56.52" personId="{E3C446A3-37B8-466B-82DA-8F7BAC7681F7}" id="{E2FC2746-AAF5-4060-9F0E-A57B3F2C3C55}">
    <text>978.63€ PISO 04 HABITACIONES</text>
  </threadedComment>
  <threadedComment ref="F4541" dT="2025-11-07T07:07:12.51" personId="{98986A2A-739A-4851-A979-4B0D560C46CD}" id="{A0CA2055-03B7-41AE-BB0C-7D79BAB99F83}" parentId="{E2FC2746-AAF5-4060-9F0E-A57B3F2C3C55}">
    <text>04 camas</text>
  </threadedComment>
  <threadedComment ref="H4541" dT="2026-01-12T08:38:25.73" personId="{4D8483EF-5A39-4E7B-A473-929EF5A077E1}" id="{E4044AA6-F9AF-4DBA-A043-A40829BB04A8}">
    <text>2026/678</text>
  </threadedComment>
  <threadedComment ref="F4542" dT="2025-09-26T11:01:56.52" personId="{E3C446A3-37B8-466B-82DA-8F7BAC7681F7}" id="{F5FAF626-C0EE-46AF-8CDA-8CABB1C92BDC}">
    <text>978.63€ PISO 04 HABITACIONES</text>
  </threadedComment>
  <threadedComment ref="F4542" dT="2025-11-07T07:07:12.51" personId="{98986A2A-739A-4851-A979-4B0D560C46CD}" id="{94C9DA8C-AA1D-449D-A7EB-78223C4A076D}" parentId="{F5FAF626-C0EE-46AF-8CDA-8CABB1C92BDC}">
    <text>04 camas</text>
  </threadedComment>
  <threadedComment ref="H4542" dT="2026-01-12T08:38:29.57" personId="{4D8483EF-5A39-4E7B-A473-929EF5A077E1}" id="{C56BE479-50B1-4025-9939-A7D4C5B7F943}">
    <text>2026/678</text>
  </threadedComment>
  <threadedComment ref="F4543" dT="2025-02-26T14:29:45.42" personId="{17D30B62-2123-41F1-B603-E5411FDFA3E0}" id="{DF91549B-B8A3-4A7E-9396-6EA60D48BEE9}">
    <text>9 Camas, Alquiler 2300€, Fianza 700€</text>
  </threadedComment>
  <threadedComment ref="F4543" dT="2026-01-21T15:11:00.84" personId="{4D8483EF-5A39-4E7B-A473-929EF5A077E1}" id="{00BE73D9-BB76-4095-9D54-C95DEB61941E}" parentId="{DF91549B-B8A3-4A7E-9396-6EA60D48BEE9}">
    <text xml:space="preserve">Descuento a 2000€ </text>
  </threadedComment>
  <threadedComment ref="F4544" dT="2025-10-09T09:33:31.28" personId="{4D8483EF-5A39-4E7B-A473-929EF5A077E1}" id="{B8DB7A50-1D80-4549-BF56-CC301688C533}">
    <text>4 Camas, Alquiler 1.800€</text>
  </threadedComment>
  <threadedComment ref="F4545" dT="2025-02-26T14:29:45.42" personId="{17D30B62-2123-41F1-B603-E5411FDFA3E0}" id="{CAFAECFC-6A19-41FC-BB55-9817381D2BE6}">
    <text>9 Camas, Alquiler 2300€, Fianza 700€</text>
  </threadedComment>
  <threadedComment ref="F4545" dT="2026-01-21T15:11:00.84" personId="{4D8483EF-5A39-4E7B-A473-929EF5A077E1}" id="{DD63B8B2-AFB8-452A-836A-8FBB8C7668B4}" parentId="{CAFAECFC-6A19-41FC-BB55-9817381D2BE6}">
    <text xml:space="preserve">Descuento a 2000€ </text>
  </threadedComment>
  <threadedComment ref="F4546" dT="2025-02-26T14:29:45.42" personId="{17D30B62-2123-41F1-B603-E5411FDFA3E0}" id="{D07EC193-CA13-41E5-8B79-A0B2F9FF055E}">
    <text>9 Camas, Alquiler 2300€, Fianza 700€</text>
  </threadedComment>
  <threadedComment ref="F4546" dT="2026-01-21T15:11:00.84" personId="{4D8483EF-5A39-4E7B-A473-929EF5A077E1}" id="{3F140819-3730-428D-9EFB-0F1045E86CB5}" parentId="{D07EC193-CA13-41E5-8B79-A0B2F9FF055E}">
    <text xml:space="preserve">Descuento a 2000€ </text>
  </threadedComment>
  <threadedComment ref="F4547" dT="2025-02-26T14:29:45.42" personId="{17D30B62-2123-41F1-B603-E5411FDFA3E0}" id="{8CDE2949-13B3-4CED-85B5-7B24C22B5C2F}">
    <text>9 Camas, Alquiler 2300€, Fianza 700€</text>
  </threadedComment>
  <threadedComment ref="F4547" dT="2026-01-21T15:11:00.84" personId="{4D8483EF-5A39-4E7B-A473-929EF5A077E1}" id="{A2C54BDF-DF1E-49A1-AD26-7E477C267B83}" parentId="{8CDE2949-13B3-4CED-85B5-7B24C22B5C2F}">
    <text xml:space="preserve">Descuento a 2000€ </text>
  </threadedComment>
  <threadedComment ref="F4548" dT="2025-02-24T10:19:28.57" personId="{98986A2A-739A-4851-A979-4B0D560C46CD}" id="{36319378-409B-4FC1-9FB4-0438FAB1912C}">
    <text>06 camas</text>
  </threadedComment>
  <threadedComment ref="F4548" dT="2025-08-05T11:29:05.15" personId="{17D30B62-2123-41F1-B603-E5411FDFA3E0}" id="{62C20F51-6D79-4CF7-B1F4-10D47151D995}" parentId="{36319378-409B-4FC1-9FB4-0438FAB1912C}">
    <text>+1 Cama</text>
  </threadedComment>
  <threadedComment ref="F4549" dT="2025-02-25T08:01:07.95" personId="{98986A2A-739A-4851-A979-4B0D560C46CD}" id="{EB3550A1-CF45-4665-B24D-48344FB4662D}">
    <text>03 camas, 1100€ alquiler, 200€ fianza</text>
  </threadedComment>
  <threadedComment ref="F4551" dT="2025-03-27T16:16:05.36" personId="{17D30B62-2123-41F1-B603-E5411FDFA3E0}" id="{E82DE2E5-114E-4669-9042-1EA04F525696}">
    <text>5 CAMAS</text>
  </threadedComment>
  <threadedComment ref="H4551" dT="2026-01-12T08:38:51.24" personId="{4D8483EF-5A39-4E7B-A473-929EF5A077E1}" id="{416F7936-35C3-4E34-9864-EEDFF56A858A}">
    <text>2026/678</text>
  </threadedComment>
  <threadedComment ref="F4554" dT="2025-12-09T14:35:02.13" personId="{4D8483EF-5A39-4E7B-A473-929EF5A077E1}" id="{331F0B36-6083-4E77-8A10-4502069D04CF}">
    <text>3 Camas</text>
  </threadedComment>
  <threadedComment ref="F4555" dT="2025-03-11T10:16:04.90" personId="{98986A2A-739A-4851-A979-4B0D560C46CD}" id="{37287891-D74D-4A7E-8F77-8B93D6464F90}">
    <text xml:space="preserve">6 camas 
Renta vivienda 1.250€+ Servicio de Limpieza 363€ =TOTAL 1.613€, fianza 
</text>
  </threadedComment>
  <threadedComment ref="F4555" dT="2025-12-09T08:40:53.10" personId="{4D8483EF-5A39-4E7B-A473-929EF5A077E1}" id="{0FFB0422-16A8-4568-A808-22508DA923A1}" parentId="{37287891-D74D-4A7E-8F77-8B93D6464F90}">
    <text>Renovación contrato vivienda 1.050€+suministros 250€ + Servicio de Limpieza 363€ =TOTAL 1.663€, fianza 950€</text>
  </threadedComment>
  <threadedComment ref="F4556" dT="2025-03-11T10:16:04.90" personId="{98986A2A-739A-4851-A979-4B0D560C46CD}" id="{516AC51F-9079-45A1-86AB-5273F48987BE}">
    <text xml:space="preserve">6 camas 
Renta vivienda 1.250€+ Servicio de Limpieza 363€ =TOTAL 1.613€, fianza 
</text>
  </threadedComment>
  <threadedComment ref="F4556" dT="2025-12-09T08:40:53.10" personId="{4D8483EF-5A39-4E7B-A473-929EF5A077E1}" id="{68B2C622-2B9F-4911-BCAF-1A3C892EEB03}" parentId="{516AC51F-9079-45A1-86AB-5273F48987BE}">
    <text>Renovación contrato vivienda 1.050€+suministros 250€ + Servicio de Limpieza 363€ =TOTAL 1.663€, fianza 950€</text>
  </threadedComment>
  <threadedComment ref="F4557" dT="2025-10-06T11:09:21.88" personId="{E3C446A3-37B8-466B-82DA-8F7BAC7681F7}" id="{4B27A90D-88C7-4B6E-9959-E8239B7ADD11}">
    <text xml:space="preserve">07 CAMAS, ALQUILER 2117,50€,  FIANZA1750€ </text>
  </threadedComment>
  <threadedComment ref="F4558" dT="2025-12-22T14:52:56.44" personId="{4D8483EF-5A39-4E7B-A473-929EF5A077E1}" id="{B79B5008-32C9-4892-ADC3-EAD0E50D5F44}">
    <text>450€ Alquiler</text>
  </threadedComment>
  <threadedComment ref="F4559" dT="2025-12-22T14:53:00.14" personId="{4D8483EF-5A39-4E7B-A473-929EF5A077E1}" id="{E333F4CF-926A-4680-8EAE-8AEE40E63C73}">
    <text>450€ Alquiler</text>
  </threadedComment>
  <threadedComment ref="F4560" dT="2025-08-28T14:19:51.19" personId="{17D30B62-2123-41F1-B603-E5411FDFA3E0}" id="{F893FBA0-2FC1-44B4-87BD-559AA07228DA}">
    <text>4 camas</text>
  </threadedComment>
  <threadedComment ref="F4560" dT="2025-09-29T08:12:02.30" personId="{E3C446A3-37B8-466B-82DA-8F7BAC7681F7}" id="{27DB973D-3ABF-4135-AD7E-5596E01CCCC1}" parentId="{F893FBA0-2FC1-44B4-87BD-559AA07228DA}">
    <text>2000 alquiler- 2000 fianza</text>
  </threadedComment>
  <threadedComment ref="F4561" dT="2025-08-28T14:19:51.19" personId="{17D30B62-2123-41F1-B603-E5411FDFA3E0}" id="{C6FB0133-5423-4728-820F-AD0EC7E4BD0A}">
    <text>4 camas</text>
  </threadedComment>
  <threadedComment ref="F4561" dT="2025-09-29T08:12:02.30" personId="{E3C446A3-37B8-466B-82DA-8F7BAC7681F7}" id="{3378FF99-7CB0-4180-BF81-664CB107E8F3}" parentId="{C6FB0133-5423-4728-820F-AD0EC7E4BD0A}">
    <text>2000 alquiler- 2000 fianza</text>
  </threadedComment>
  <threadedComment ref="F4562" dT="2025-08-28T14:19:51.19" personId="{17D30B62-2123-41F1-B603-E5411FDFA3E0}" id="{29AF7592-AD49-4C04-9570-90F671CE4E4C}">
    <text>4 camas</text>
  </threadedComment>
  <threadedComment ref="F4562" dT="2025-09-29T08:12:02.30" personId="{E3C446A3-37B8-466B-82DA-8F7BAC7681F7}" id="{97AF4365-53EA-4D6D-98C2-666A70C3A8E0}" parentId="{29AF7592-AD49-4C04-9570-90F671CE4E4C}">
    <text>2000 alquiler- 2000 fianza</text>
  </threadedComment>
  <threadedComment ref="F4563" dT="2025-08-28T14:19:51.19" personId="{17D30B62-2123-41F1-B603-E5411FDFA3E0}" id="{33825878-D9E1-46B0-9A38-10ED49CD0DB6}">
    <text>4 camas</text>
  </threadedComment>
  <threadedComment ref="F4563" dT="2025-09-29T08:12:02.30" personId="{E3C446A3-37B8-466B-82DA-8F7BAC7681F7}" id="{220E999F-DEEE-47C0-B6FA-EA914A516AFC}" parentId="{33825878-D9E1-46B0-9A38-10ED49CD0DB6}">
    <text>2000 alquiler- 2000 fianza</text>
  </threadedComment>
  <threadedComment ref="F4564" dT="2024-08-06T14:12:58.54" personId="{8BEA8CB1-BB33-44FC-A791-4439DE945680}" id="{B363F983-EAD3-45CE-A657-3E5270B2000C}">
    <text>Alquiler 1700, fianza 1700 6 CAMAS</text>
  </threadedComment>
  <threadedComment ref="F4564" dT="2025-01-16T18:23:38.41" personId="{98986A2A-739A-4851-A979-4B0D560C46CD}" id="{CC9AFB52-099E-45AC-9207-FC9B5F521949}" parentId="{B363F983-EAD3-45CE-A657-3E5270B2000C}">
    <text>5 habitaciones</text>
  </threadedComment>
  <threadedComment ref="F4565" dT="2025-07-09T14:24:23.31" personId="{98986A2A-739A-4851-A979-4B0D560C46CD}" id="{F9E319EF-BD6E-4473-8C47-E1F6BF2C3343}">
    <text>10 CAMAS. ALQUILER 1643.20</text>
  </threadedComment>
  <threadedComment ref="F4566" dT="2025-10-27T11:57:19.08" personId="{4D8483EF-5A39-4E7B-A473-929EF5A077E1}" id="{00B34022-E015-406B-9609-CD312A06280C}">
    <text>Alojamiento 4 Camas Alquiler 1.122€ Fianza 2.200€</text>
  </threadedComment>
  <threadedComment ref="F4567" dT="2025-10-27T11:57:19.08" personId="{4D8483EF-5A39-4E7B-A473-929EF5A077E1}" id="{BA5FF295-FF7F-4445-9804-BACD4481494B}">
    <text>Alojamiento 4 Camas Alquiler 1.122€ Fianza 2.200€</text>
  </threadedComment>
  <threadedComment ref="F4568" dT="2025-10-27T11:57:19.08" personId="{4D8483EF-5A39-4E7B-A473-929EF5A077E1}" id="{8F68F7E7-8AE5-4E8D-8B8C-ADA415B7A910}">
    <text>Alojamiento 4 Camas Alquiler 1.122€ Fianza 2.200€</text>
  </threadedComment>
  <threadedComment ref="F4569" dT="2024-07-08T10:22:06.21" personId="{98986A2A-739A-4851-A979-4B0D560C46CD}" id="{C5EB1BCF-1E96-438A-B21A-DED75D380B90}">
    <text>1650 FIANZA, 1200 ALQUILER,4 habitaciones</text>
  </threadedComment>
  <threadedComment ref="F4572" dT="2025-02-13T10:05:11.33" personId="{17D30B62-2123-41F1-B603-E5411FDFA3E0}" id="{6813443B-CC63-4A0D-9EE5-2AC8A93A72AE}">
    <text>4 Habitaciones 5 camas 1 sofá</text>
  </threadedComment>
  <threadedComment ref="F4572" dT="2025-11-07T07:08:43.68" personId="{98986A2A-739A-4851-A979-4B0D560C46CD}" id="{6324CC2D-C739-475A-9254-5CC2368C5659}" parentId="{6813443B-CC63-4A0D-9EE5-2AC8A93A72AE}">
    <text>875,50 alquiler</text>
  </threadedComment>
  <threadedComment ref="F4572" dT="2026-08-19T09:16:29.54" personId="{E3C446A3-37B8-466B-82DA-8F7BAC7681F7}" id="{98E1DDF2-6C8A-420A-9DD4-785900828470}" parentId="{6813443B-CC63-4A0D-9EE5-2AC8A93A72AE}">
    <text>FIANZA 1700€</text>
  </threadedComment>
  <threadedComment ref="F4573" dT="2025-02-25T08:01:07.95" personId="{98986A2A-739A-4851-A979-4B0D560C46CD}" id="{3F36FA81-C666-4BAA-B07A-3AFB1F69FEDF}">
    <text>03 camas, 1100€ alquiler, 200€ fianza</text>
  </threadedComment>
  <threadedComment ref="F4576" dT="2026-01-09T09:10:53.71" personId="{4D8483EF-5A39-4E7B-A473-929EF5A077E1}" id="{3FAB38CD-2F61-4442-A7A8-7985D5024848}">
    <text>Alojamiento para 9
SIN FIANZA. El pago se realizará mediante transferencia. La mensualidad es: TRES MIL QUINIENTOS EUROS, (3.500€) Incluidos suministros.</text>
  </threadedComment>
  <threadedComment ref="F4578" dT="2026-01-09T11:11:47.31" personId="{4D8483EF-5A39-4E7B-A473-929EF5A077E1}" id="{A5CAC596-8E7B-4AD5-89E3-44C16B5742A2}">
    <text>Alojamiento entero · 4 camas · 3 viajeros </text>
  </threadedComment>
  <threadedComment ref="F4579" dT="2025-06-12T08:25:55.51" personId="{98986A2A-739A-4851-A979-4B0D560C46CD}" id="{B72AFF61-198E-466E-B813-EC6F579A9BDA}">
    <text>03 camas, 1050€ alquiler+150€suministros.
2100€ fianza</text>
  </threadedComment>
  <threadedComment ref="F4581" dT="2025-02-13T10:05:11.33" personId="{17D30B62-2123-41F1-B603-E5411FDFA3E0}" id="{8AB34F09-7D5A-49AB-BB4B-B40D2B1089EB}">
    <text>Habitacion doble para trabajadores cant 1 Costo 60€/noche
Habitacion triple para trabajadores cant 3 Costo 75€/noche cada una
(camas separadas)</text>
  </threadedComment>
  <threadedComment ref="F4582" dT="2024-12-02T09:17:44.96" personId="{98986A2A-739A-4851-A979-4B0D560C46CD}" id="{CD1A86F4-C18C-428B-81C5-007264557FC2}">
    <text>08 CAMAS, 2500€ alquiler, 2500€ fianza</text>
  </threadedComment>
  <threadedComment ref="F4583" dT="2026-01-09T09:10:53.71" personId="{4D8483EF-5A39-4E7B-A473-929EF5A077E1}" id="{63BFA9D8-E8D9-4F7D-86BC-C9B8866AB85B}">
    <text>Alojamiento para 9
SIN FIANZA. El pago se realizará mediante transferencia. La mensualidad es: TRES MIL QUINIENTOS EUROS, (3.500€) Incluidos suministros.</text>
  </threadedComment>
  <threadedComment ref="F4584" dT="2026-01-09T09:10:53.71" personId="{4D8483EF-5A39-4E7B-A473-929EF5A077E1}" id="{FC2B128E-8D1F-4589-9939-FCD6102FB476}">
    <text>Alojamiento para 9
SIN FIANZA. El pago se realizará mediante transferencia. La mensualidad es: TRES MIL QUINIENTOS EUROS, (3.500€) Incluidos suministros.</text>
  </threadedComment>
  <threadedComment ref="F4585" dT="2025-09-22T06:31:07.01" personId="{17D30B62-2123-41F1-B603-E5411FDFA3E0}" id="{C4E8EABE-5829-4311-8A38-23E66A30DC43}">
    <text>1 Habitación, 28€/ Noche un mes entrando el 20/09</text>
  </threadedComment>
  <threadedComment ref="F4587" dT="2025-02-13T10:05:11.33" personId="{17D30B62-2123-41F1-B603-E5411FDFA3E0}" id="{42E60862-8C3B-442A-B05C-C0BD41AACF1C}">
    <text>Alquiler 903.20€ 4 camas</text>
  </threadedComment>
  <threadedComment ref="F4588" dT="2025-02-13T10:05:11.33" personId="{17D30B62-2123-41F1-B603-E5411FDFA3E0}" id="{1BED6D68-D1C0-4894-B8AC-9C49D38E17E6}">
    <text>Alquiler 903.20€ 4 camas</text>
  </threadedComment>
  <threadedComment ref="F4593" dT="2025-07-04T11:05:16.59" personId="{98986A2A-739A-4851-A979-4B0D560C46CD}" id="{D25161FD-EC7F-47A3-B332-3B899BA2A9C6}">
    <text>04 camas, 1200€ alquiler, 1200€ fianza</text>
  </threadedComment>
  <threadedComment ref="F4594" dT="2025-12-22T14:53:00.14" personId="{4D8483EF-5A39-4E7B-A473-929EF5A077E1}" id="{A61F43AE-FA4D-4440-93B9-8D74BC49EB50}">
    <text>Habitación 450€ Alquiler</text>
  </threadedComment>
  <threadedComment ref="F4595" dT="2025-02-26T14:56:43.99" personId="{17D30B62-2123-41F1-B603-E5411FDFA3E0}" id="{D842E134-B5CA-44D7-8194-0DB5BB9CA8A4}">
    <text>Alojamiento para 9 personas.
 3 apartamentos triples (101-102-121)</text>
  </threadedComment>
  <threadedComment ref="F4595" dT="2025-10-14T10:02:06.67" personId="{4D8483EF-5A39-4E7B-A473-929EF5A077E1}" id="{FC449F8E-36E5-48EE-AB05-AE9B887F59DB}" parentId="{D842E134-B5CA-44D7-8194-0DB5BB9CA8A4}">
    <text xml:space="preserve">Alojamiento para 6 personas.
 2 apartamentos triples </text>
  </threadedComment>
  <threadedComment ref="F4599" dT="2025-11-05T11:01:24.95" personId="{4D8483EF-5A39-4E7B-A473-929EF5A077E1}" id="{913F2C53-8735-46FD-ACC7-DD50A11A267A}">
    <text>Asignación de piso para 6 trabajadores en Huelva.</text>
  </threadedComment>
  <threadedComment ref="F4600" dT="2025-10-02T09:31:57.76" personId="{17D30B62-2123-41F1-B603-E5411FDFA3E0}" id="{286B2734-5EC7-40CB-B0F7-8C8844B0BDFC}">
    <text>Alojamiento entero · 6 camas · 5 huésped</text>
  </threadedComment>
  <threadedComment ref="F4600" dT="2025-11-14T12:53:23.99" personId="{4D8483EF-5A39-4E7B-A473-929EF5A077E1}" id="{D4B517C8-70DC-448C-970D-9AE85670CE9F}" parentId="{286B2734-5EC7-40CB-B0F7-8C8844B0BDFC}">
    <text>Alquiler 2000€</text>
  </threadedComment>
  <threadedComment ref="F4601" dT="2024-07-08T10:22:06.21" personId="{98986A2A-739A-4851-A979-4B0D560C46CD}" id="{09706697-41EC-4A8B-BB99-5E888C4E696F}">
    <text>1650 FIANZA, 1200 ALQUILER,4 habitaciones</text>
  </threadedComment>
  <threadedComment ref="F4602" dT="2024-07-08T10:22:06.21" personId="{98986A2A-739A-4851-A979-4B0D560C46CD}" id="{AE7A7C0E-794E-44E4-905F-16A7FDA3ACD5}">
    <text>1650 FIANZA, 1236 ALQUILER,4 habitaciones</text>
  </threadedComment>
  <threadedComment ref="F4606" dT="2025-02-13T10:05:11.33" personId="{17D30B62-2123-41F1-B603-E5411FDFA3E0}" id="{3A93C990-46DF-4D17-94EA-BAA26FA17C99}">
    <text>Habitacion doble para trabajadores cant 1 Costo 60€/noche
Habitacion triple para trabajadores cant 3 Costo 75€/noche cada una
(camas separadas)</text>
  </threadedComment>
  <threadedComment ref="F4607" dT="2025-12-12T07:37:36.87" personId="{4D8483EF-5A39-4E7B-A473-929EF5A077E1}" id="{6F328AB2-3200-48B3-9F65-49785A6F63BB}">
    <text>1  habitación con todos los servicios incluidos es de 300€. fianza de 100€</text>
  </threadedComment>
  <threadedComment ref="F4609" dT="2026-01-09T11:11:47.31" personId="{4D8483EF-5A39-4E7B-A473-929EF5A077E1}" id="{D72C72B4-28AF-4B9D-A1FA-C6FFE60072E6}">
    <text>Alojamiento entero · 4 camas · 3 viajeros </text>
  </threadedComment>
  <threadedComment ref="F4610" dT="2026-01-05T10:25:45.92" personId="{4D8483EF-5A39-4E7B-A473-929EF5A077E1}" id="{5F7013EA-285D-4566-9850-53996E2735C4}">
    <text>3 Habitaciones triples camas separadas- 9 Camas</text>
  </threadedComment>
  <threadedComment ref="F4613" dT="2026-01-29T14:32:41.57" personId="{4D8483EF-5A39-4E7B-A473-929EF5A077E1}" id="{EB9BF370-7831-4846-BEAC-C10B1DEFA09D}">
    <text>Alojamiento para 6 personas</text>
  </threadedComment>
  <threadedComment ref="F4614" dT="2024-08-06T14:12:58.54" personId="{8BEA8CB1-BB33-44FC-A791-4439DE945680}" id="{C5D4D430-9637-4D12-A5B3-4E5E3C7F8F92}">
    <text>Alquiler 1700, fianza 1700 6 CAMAS</text>
  </threadedComment>
  <threadedComment ref="F4614" dT="2025-01-16T18:23:38.41" personId="{98986A2A-739A-4851-A979-4B0D560C46CD}" id="{C0167182-78F4-4E25-B814-35E6210B4075}" parentId="{C5D4D430-9637-4D12-A5B3-4E5E3C7F8F92}">
    <text>5 habitaciones</text>
  </threadedComment>
  <threadedComment ref="F4615" dT="2025-07-09T14:24:23.31" personId="{98986A2A-739A-4851-A979-4B0D560C46CD}" id="{7DD17E0D-B063-403F-AC26-FFBC0E121F5A}">
    <text>10 CAMAS</text>
  </threadedComment>
  <threadedComment ref="F4617" dT="2024-08-12T06:19:55.68" personId="{8BEA8CB1-BB33-44FC-A791-4439DE945680}" id="{DC255B41-3B0A-4EF5-9E4D-EA73BAA7CCB2}">
    <text>ALQUILER  1500    FIANZA     3000   CAMAS 9</text>
  </threadedComment>
  <threadedComment ref="F4617" dT="2024-12-02T12:38:12.96" personId="{98986A2A-739A-4851-A979-4B0D560C46CD}" id="{6349F534-3315-4646-A138-60354DA0D597}" parentId="{DC255B41-3B0A-4EF5-9E4D-EA73BAA7CCB2}">
    <text>11 camas, 09 acomodadas, 02 pendientes por acomodar</text>
  </threadedComment>
  <threadedComment ref="F4617" dT="2025-12-04T11:05:40.71" personId="{4D8483EF-5A39-4E7B-A473-929EF5A077E1}" id="{000AE11C-D69E-435E-8790-0BFC7F641C85}" parentId="{DC255B41-3B0A-4EF5-9E4D-EA73BAA7CCB2}">
    <text xml:space="preserve">ALQUILER  1500€ + I.V.A. 21% =315€  TOTAL A PAGAR: 1,815€  FIANZA     3000€   </text>
  </threadedComment>
  <threadedComment ref="F4618" dT="2025-05-21T14:08:11.69" personId="{17D30B62-2123-41F1-B603-E5411FDFA3E0}" id="{9C73E05C-F3BA-4863-8404-546734531FFF}">
    <text>Habitación 3  400€ alquiler + 55€ suministros (255€ parte proporcional mayo)
             500€ fianza</text>
  </threadedComment>
  <threadedComment ref="F4620" dT="2025-03-03T18:16:08.96" personId="{98986A2A-739A-4851-A979-4B0D560C46CD}" id="{C46E4A46-5E30-47C8-9037-FDED793CFACB}">
    <text>03 camas, 1500€ alquiler, 600€ fianza</text>
  </threadedComment>
  <threadedComment ref="F4621" dT="2025-06-09T14:18:50.75" personId="{98986A2A-739A-4851-A979-4B0D560C46CD}" id="{1CE1E6D0-9AAC-444F-9942-3969A927C252}">
    <text>04 CAMAS (01 KOTRIK) ALQUILER 1300€-FIANZA 1300€</text>
  </threadedComment>
  <threadedComment ref="F4622" dT="2025-03-24T10:15:02.97" personId="{17D30B62-2123-41F1-B603-E5411FDFA3E0}" id="{198088F6-D48B-45F2-9E4E-886D0C68F209}">
    <text>400€ Por persona alquiler mes, Fianza 500€, 5 Camas.</text>
  </threadedComment>
  <threadedComment ref="F4623" dT="2025-04-29T17:02:27.40" personId="{17D30B62-2123-41F1-B603-E5411FDFA3E0}" id="{1729E68E-F716-47A5-AC13-0459887992DF}">
    <text xml:space="preserve">Alquiler 1.800€ Fianza 500€ -4 Camas </text>
  </threadedComment>
  <threadedComment ref="F4624" dT="2025-04-29T17:02:27.40" personId="{17D30B62-2123-41F1-B603-E5411FDFA3E0}" id="{70D429EB-C018-4C08-99D8-68CD5FFDA9B8}">
    <text xml:space="preserve">Alquiler 1.800€ Fianza 500€ -4 Camas </text>
  </threadedComment>
  <threadedComment ref="F4625" dT="2025-04-29T17:02:27.40" personId="{17D30B62-2123-41F1-B603-E5411FDFA3E0}" id="{2768DB99-1E2D-424E-8421-EF23307D80E2}">
    <text xml:space="preserve">Alquiler 1.800€ Fianza 500€ -4 Camas </text>
  </threadedComment>
  <threadedComment ref="F4626" dT="2025-03-24T10:15:02.97" personId="{17D30B62-2123-41F1-B603-E5411FDFA3E0}" id="{DFE4CA40-9C5B-487F-80B8-30499CD6316F}">
    <text>400€ Por persona alquiler mes, Fianza 500€, 5 Camas.</text>
  </threadedComment>
  <threadedComment ref="F4627" dT="2025-03-24T10:15:02.97" personId="{17D30B62-2123-41F1-B603-E5411FDFA3E0}" id="{A44A6233-73C8-47A5-A3ED-730302A3801C}">
    <text>400€ Por persona alquiler mes, Fianza 500€, 5 Camas.</text>
  </threadedComment>
  <threadedComment ref="F4628" dT="2025-03-24T10:15:02.97" personId="{17D30B62-2123-41F1-B603-E5411FDFA3E0}" id="{3A31FA35-14CA-4642-90B6-E16E82B9569B}">
    <text>400€ Por persona alquiler mes, Fianza 500€, 5 Camas.</text>
  </threadedComment>
  <threadedComment ref="F4629" dT="2025-03-24T10:15:02.97" personId="{17D30B62-2123-41F1-B603-E5411FDFA3E0}" id="{15B6E5C7-6B33-44D8-B26E-2B04DC84310A}">
    <text>400€ Por persona alquiler mes, Fianza 500€, 5 Camas.</text>
  </threadedComment>
  <threadedComment ref="F4631" dT="2026-01-08T11:40:42.13" personId="{4D8483EF-5A39-4E7B-A473-929EF5A077E1}" id="{687E547E-6C43-45F2-9927-AD707721A037}">
    <text>La propietaria solicita los pagos efectuados entre el 01 y 02 días de cada mes ya que tiene compromisos urgentes que pagar. Alquiler 450€</text>
  </threadedComment>
  <threadedComment ref="F4636" dT="2025-07-03T17:00:32.63" personId="{98986A2A-739A-4851-A979-4B0D560C46CD}" id="{073A0D67-F1BC-47BD-AB06-D67D0E9109AF}">
    <text xml:space="preserve">1400€ ALQUILER, 5 CAMAS
</text>
  </threadedComment>
  <threadedComment ref="F4637" dT="2024-12-07T09:48:49.17" personId="{98986A2A-739A-4851-A979-4B0D560C46CD}" id="{5C2BEC5C-F038-4BFD-941A-8D95DD79202D}">
    <text>ALQUILER 580, FIANZA 580, 4 CAMAS. Contrato pago hasta Febrero</text>
  </threadedComment>
  <threadedComment ref="F4638" dT="2025-02-26T14:56:43.99" personId="{17D30B62-2123-41F1-B603-E5411FDFA3E0}" id="{73D06DA1-2296-4F90-AF63-FD08888BF7AB}">
    <text>Alojamiento para 11 personas.</text>
  </threadedComment>
  <threadedComment ref="F4639" dT="2025-08-28T13:36:19.14" personId="{17D30B62-2123-41F1-B603-E5411FDFA3E0}" id="{8B438E39-4831-452D-9ACE-C090EED46977}">
    <text>(Piso con 4 Camas)
Alquiler 1400 
Fianza 1400€</text>
  </threadedComment>
  <threadedComment ref="F4640" dT="2024-12-07T09:48:49.17" personId="{98986A2A-739A-4851-A979-4B0D560C46CD}" id="{BC301D3A-068A-439F-A80D-8915917A9CFD}">
    <text>ALQUILER 580, FIANZA 580, 4 CAMAS. Contrato pago hasta Febrero</text>
  </threadedComment>
  <threadedComment ref="F4641" dT="2025-04-29T17:02:27.40" personId="{17D30B62-2123-41F1-B603-E5411FDFA3E0}" id="{707EEAFD-3A20-4209-80DD-67B1007C1881}">
    <text xml:space="preserve">Alquiler 1.800€ Fianza 500€ -4 Camas </text>
  </threadedComment>
  <threadedComment ref="F4642" dT="2025-09-09T13:35:44.37" personId="{17D30B62-2123-41F1-B603-E5411FDFA3E0}" id="{0E522FAA-BDDC-4D9D-96FC-944CC68C9255}">
    <text>4 camas</text>
  </threadedComment>
  <threadedComment ref="F4643" dT="2025-09-09T13:35:44.37" personId="{17D30B62-2123-41F1-B603-E5411FDFA3E0}" id="{7D0AF5F8-2CD8-4E04-AC34-DDF1F475C160}">
    <text>4 camas</text>
  </threadedComment>
  <threadedComment ref="F4644" dT="2024-08-06T14:12:58.54" personId="{8BEA8CB1-BB33-44FC-A791-4439DE945680}" id="{E1DABC0E-C353-4CE3-85D5-22D517E58A0C}">
    <text>Alquiler 1700, fianza 1700 6 CAMAS</text>
  </threadedComment>
  <threadedComment ref="F4644" dT="2025-01-16T18:23:38.41" personId="{98986A2A-739A-4851-A979-4B0D560C46CD}" id="{EAD08576-3DBA-48FF-9DEA-072E6675E427}" parentId="{E1DABC0E-C353-4CE3-85D5-22D517E58A0C}">
    <text>5 habitaciones</text>
  </threadedComment>
  <threadedComment ref="F4645" dT="2026-01-09T09:09:53.11" personId="{4D8483EF-5A39-4E7B-A473-929EF5A077E1}" id="{1F3A452A-1E7F-4319-AB29-028CE399A88F}">
    <text>Alojamiento para 5
SIN FIANZA. El pago se realizará mediante transferencia. La mensualidad es: DOS MIL QUINIENTOS EUROS, (2.500€) Incluidos suministros.</text>
  </threadedComment>
  <threadedComment ref="F4646" dT="2025-02-13T10:05:11.33" personId="{17D30B62-2123-41F1-B603-E5411FDFA3E0}" id="{D5A6C402-B783-4864-B6C7-BDEE5268C8E3}">
    <text>Habitacion doble para trabajadores cant 1 Costo 60€/noche
Habitacion triple para trabajadores cant 3 Costo 75€/noche cada una
(camas separadas)</text>
  </threadedComment>
  <threadedComment ref="F4647" dT="2025-02-13T10:05:11.33" personId="{17D30B62-2123-41F1-B603-E5411FDFA3E0}" id="{76FF66B9-8D2D-4A10-ABF6-9882AE442EE8}">
    <text>Habitacion doble para trabajadores cant 1 Costo 60€/noche
Habitacion triple para trabajadores cant 3 Costo 75€/noche cada una
(camas separadas)</text>
  </threadedComment>
  <threadedComment ref="F4649" dT="2025-07-09T14:24:23.31" personId="{98986A2A-739A-4851-A979-4B0D560C46CD}" id="{AA673390-D6D4-4F94-9319-F64ABD9276C5}">
    <text>10 CAMAS. ALQUILER 1643.20</text>
  </threadedComment>
  <threadedComment ref="F4650" dT="2025-03-27T16:16:05.36" personId="{17D30B62-2123-41F1-B603-E5411FDFA3E0}" id="{E83C8E08-C529-44F3-9634-896E4E386D74}">
    <text>5 CAMAS</text>
  </threadedComment>
  <threadedComment ref="F4651" dT="2025-12-22T14:53:00.14" personId="{4D8483EF-5A39-4E7B-A473-929EF5A077E1}" id="{5623E3FB-A5CD-4DE6-BFDB-1FDD7D971755}">
    <text>450€ Alquiler</text>
  </threadedComment>
  <threadedComment ref="F4654" dT="2025-10-22T10:38:32.82" personId="{4D8483EF-5A39-4E7B-A473-929EF5A077E1}" id="{80615019-7E41-45FE-9AA6-89A8C41847D8}">
    <text>(para 4 personas)</text>
  </threadedComment>
  <threadedComment ref="F4655" dT="2025-03-24T08:09:44.43" personId="{98986A2A-739A-4851-A979-4B0D560C46CD}" id="{E9B96AB9-4764-437F-813D-423EB4F26F63}">
    <text>350€ALQUILER, 350€FIANZA, SE PAGO ABRIL</text>
  </threadedComment>
  <threadedComment ref="F4656" dT="2025-07-29T10:24:34.62" personId="{17D30B62-2123-41F1-B603-E5411FDFA3E0}" id="{D240C99F-DEEB-4B5F-8DB6-375CA2830CB2}">
    <text>450€ ALQUILER
450€ FIANZA</text>
  </threadedComment>
  <threadedComment ref="F4657" dT="2025-07-29T10:24:34.62" personId="{17D30B62-2123-41F1-B603-E5411FDFA3E0}" id="{F099ABA8-21C1-4818-BF6F-7784F8EE462B}">
    <text>450€ ALQUILER
450€ FIANZA</text>
  </threadedComment>
  <threadedComment ref="F4659" dT="2025-06-09T14:18:50.75" personId="{98986A2A-739A-4851-A979-4B0D560C46CD}" id="{417C5DB5-A3FA-4A3C-A5AC-42DCC73BA30F}">
    <text>04 CAMAS (01 KOTRIK) ALQUILER 1300€-FIANZA 1300€</text>
  </threadedComment>
  <threadedComment ref="F4660" dT="2024-08-06T14:12:58.54" personId="{8BEA8CB1-BB33-44FC-A791-4439DE945680}" id="{C86E70AE-C0D1-40FA-B846-99943313E723}">
    <text>Alquiler 1700, fianza 1700 6 CAMAS</text>
  </threadedComment>
  <threadedComment ref="F4660" dT="2025-01-16T18:23:38.41" personId="{98986A2A-739A-4851-A979-4B0D560C46CD}" id="{83AD6AEA-BF46-4525-8149-E9CA6A4CFD7B}" parentId="{C86E70AE-C0D1-40FA-B846-99943313E723}">
    <text>5 habitaciones</text>
  </threadedComment>
  <threadedComment ref="F4661" dT="2024-08-06T14:12:58.54" personId="{8BEA8CB1-BB33-44FC-A791-4439DE945680}" id="{BA910156-8451-44C7-945E-596DFAEDDE98}">
    <text>Alquiler 1700, fianza 1700 6 CAMAS</text>
  </threadedComment>
  <threadedComment ref="F4661" dT="2025-01-16T18:23:38.41" personId="{98986A2A-739A-4851-A979-4B0D560C46CD}" id="{B2CE73DC-6D9C-4955-9289-75EE7888C8AF}" parentId="{BA910156-8451-44C7-945E-596DFAEDDE98}">
    <text>5 habitaciones</text>
  </threadedComment>
  <threadedComment ref="F4662" dT="2026-01-23T09:32:47.67" personId="{4D8483EF-5A39-4E7B-A473-929EF5A077E1}" id="{787786FE-F3CB-474D-A93F-7B67754FCAEC}">
    <text>Alquiler Mensual 2.600€ - Fianza 500€ Total Alojamiento para 7 personas</text>
  </threadedComment>
  <threadedComment ref="F4663" dT="2026-01-23T09:32:47.67" personId="{4D8483EF-5A39-4E7B-A473-929EF5A077E1}" id="{A25C8810-28DF-4840-B75F-5E6BD4EC2CA7}">
    <text>Alquiler Mensual 2.600€ - Fianza 500€ Total Alojamiento para 7 personas</text>
  </threadedComment>
  <threadedComment ref="F4664" dT="2024-08-06T14:12:58.54" personId="{8BEA8CB1-BB33-44FC-A791-4439DE945680}" id="{8B339885-E030-4CD5-8C3E-76766D7E3198}">
    <text>Alquiler 1700, fianza 1700 6 CAMAS</text>
  </threadedComment>
  <threadedComment ref="F4664" dT="2025-01-16T18:23:38.41" personId="{98986A2A-739A-4851-A979-4B0D560C46CD}" id="{BDF810D3-1153-4936-B9F4-D6AD2D6BC370}" parentId="{8B339885-E030-4CD5-8C3E-76766D7E3198}">
    <text>5 habitaciones</text>
  </threadedComment>
  <threadedComment ref="F4665" dT="2026-01-23T09:33:14.98" personId="{4D8483EF-5A39-4E7B-A473-929EF5A077E1}" id="{4A54AE43-6DFE-43D8-B355-3A4916385ADF}">
    <text>Alquiler Mensual 750€ - Fianza 500€ Total Alojamiento para 3 personas</text>
  </threadedComment>
  <threadedComment ref="F4666" dT="2025-02-25T08:01:07.95" personId="{98986A2A-739A-4851-A979-4B0D560C46CD}" id="{7524F969-0213-4715-B628-4D37D11D8006}">
    <text>03 camas, 1100€ alquiler, 200€ fianza</text>
  </threadedComment>
  <threadedComment ref="F4667" dT="2026-01-09T09:09:53.11" personId="{4D8483EF-5A39-4E7B-A473-929EF5A077E1}" id="{CAD31AC6-C139-41F6-8217-DC6374E4ACFD}">
    <text>Alojamiento para 5
SIN FIANZA. El pago se realizará mediante transferencia. La mensualidad es: DOS MIL QUINIENTOS EUROS, (2.500€) Incluidos suministros.</text>
  </threadedComment>
  <threadedComment ref="F4668" dT="2025-07-04T11:05:16.59" personId="{98986A2A-739A-4851-A979-4B0D560C46CD}" id="{AFA761A6-B41D-47C9-99BC-A2D512B5824E}">
    <text>04 camas, 1200€ alquiler, 1200€ fianza</text>
  </threadedComment>
  <threadedComment ref="F4670" dT="2026-01-09T11:11:43.81" personId="{4D8483EF-5A39-4E7B-A473-929EF5A077E1}" id="{113F3235-2DCB-435A-8D6D-9795395220B4}">
    <text>Alojamiento entero · 4 camas · 3 viajeros </text>
  </threadedComment>
  <threadedComment ref="F4671" dT="2026-01-09T11:11:47.31" personId="{4D8483EF-5A39-4E7B-A473-929EF5A077E1}" id="{60D7069A-3D52-4D49-9C61-F36B982D8C2D}">
    <text>Alojamiento entero · 4 camas · 3 viajeros </text>
  </threadedComment>
  <threadedComment ref="F4672" dT="2026-01-09T11:11:47.31" personId="{4D8483EF-5A39-4E7B-A473-929EF5A077E1}" id="{425963E2-C942-4D14-963A-DF175B3B7AC1}">
    <text>Alojamiento entero · 4 camas · 3 viajeros </text>
  </threadedComment>
  <threadedComment ref="F4673" dT="2025-09-26T11:01:56.52" personId="{E3C446A3-37B8-466B-82DA-8F7BAC7681F7}" id="{1ED398AF-C6CA-4CC3-B76A-36F2CF7F9D46}">
    <text>978.63€ PISO 04 HABITACIONES</text>
  </threadedComment>
  <threadedComment ref="F4673" dT="2025-11-07T07:07:12.51" personId="{98986A2A-739A-4851-A979-4B0D560C46CD}" id="{F3F2FA50-0771-4FFB-9FDA-AB84242F8941}" parentId="{1ED398AF-C6CA-4CC3-B76A-36F2CF7F9D46}">
    <text>04 camas</text>
  </threadedComment>
  <threadedComment ref="F4674" dT="2025-07-03T17:00:32.63" personId="{98986A2A-739A-4851-A979-4B0D560C46CD}" id="{51D5E92E-E172-4607-B4EA-346B4720CF35}">
    <text xml:space="preserve">1400€ ALQUILER, 5 CAMAS
</text>
  </threadedComment>
  <threadedComment ref="F4675" dT="2025-07-03T17:00:32.63" personId="{98986A2A-739A-4851-A979-4B0D560C46CD}" id="{90684F83-0A63-4B45-8687-7FC8476822A9}">
    <text xml:space="preserve">1400€ ALQUILER, 5 CAMAS
</text>
  </threadedComment>
  <threadedComment ref="F4676" dT="2025-07-03T17:00:32.63" personId="{98986A2A-739A-4851-A979-4B0D560C46CD}" id="{A7E7361A-4E5F-4883-975B-219639FA37B7}">
    <text xml:space="preserve">1400€ ALQUILER, 5 CAMAS
</text>
  </threadedComment>
  <threadedComment ref="F4677" dT="2025-07-03T17:00:32.63" personId="{98986A2A-739A-4851-A979-4B0D560C46CD}" id="{148588D7-CCCC-4CF2-A2C4-990D48B26F36}">
    <text xml:space="preserve">1400€ ALQUILER, 5 CAMAS
</text>
  </threadedComment>
  <threadedComment ref="F4681" dT="2025-02-26T14:56:43.99" personId="{17D30B62-2123-41F1-B603-E5411FDFA3E0}" id="{FEA79671-26EC-4CBE-9CC0-A5D9E50A78FB}">
    <text>Alojamiento para 9 personas.
 3 apartamentos triples (101-102-121)</text>
  </threadedComment>
  <threadedComment ref="F4682" dT="2026-01-12T14:34:41.23" personId="{4D8483EF-5A39-4E7B-A473-929EF5A077E1}" id="{A12E4147-A2CB-4395-B2DD-D029D5987652}">
    <text>2 Camas</text>
  </threadedComment>
  <threadedComment ref="F4683" dT="2026-02-11T15:44:25.53" personId="{4D8483EF-5A39-4E7B-A473-929EF5A077E1}" id="{6D8731C1-4741-4DCE-A76C-9F88BEB19D09}">
    <text>4 camas</text>
  </threadedComment>
  <threadedComment ref="F4684" dT="2026-02-11T15:44:25.53" personId="{4D8483EF-5A39-4E7B-A473-929EF5A077E1}" id="{A72AD7BC-3351-4484-8D2B-0DF33596843C}">
    <text>4 camas</text>
  </threadedComment>
  <threadedComment ref="F4685" dT="2026-02-11T15:44:25.53" personId="{4D8483EF-5A39-4E7B-A473-929EF5A077E1}" id="{5DF7DF6E-213D-4CC9-8C7B-31DAD4D59CBC}">
    <text>4 camas</text>
  </threadedComment>
  <threadedComment ref="F4686" dT="2026-02-11T15:44:25.53" personId="{4D8483EF-5A39-4E7B-A473-929EF5A077E1}" id="{01D70855-7BBA-466C-8155-6A28C92E478A}">
    <text>4 camas</text>
  </threadedComment>
  <threadedComment ref="F4687" dT="2026-02-11T15:44:25.53" personId="{4D8483EF-5A39-4E7B-A473-929EF5A077E1}" id="{CFC99A82-5AEB-4DB3-A866-5486F5DC5B45}">
    <text>4 camas</text>
  </threadedComment>
  <threadedComment ref="F4688" dT="2026-02-03T10:12:19.77" personId="{4D8483EF-5A39-4E7B-A473-929EF5A077E1}" id="{A2C8A327-B869-47CD-911D-8A8D2C7A90A9}">
    <text>(para 4 personas)</text>
  </threadedComment>
  <threadedComment ref="F4690" dT="2025-06-09T14:18:50.75" personId="{98986A2A-739A-4851-A979-4B0D560C46CD}" id="{AA7C7621-4FF3-42FB-ABCC-846926226B05}">
    <text>04 CAMAS (01 KOTRIK) ALQUILER 1300€-FIANZA 1300€</text>
  </threadedComment>
  <threadedComment ref="F4691" dT="2025-06-09T14:18:50.75" personId="{98986A2A-739A-4851-A979-4B0D560C46CD}" id="{CA610EBC-D0F6-4054-8772-B81FAF4C3A3C}">
    <text>04 CAMAS (01 KOTRIK) ALQUILER 1300€-FIANZA 1300€</text>
  </threadedComment>
  <threadedComment ref="F4692" dT="2026-08-04T09:45:20.76" personId="{4D8483EF-5A39-4E7B-A473-929EF5A077E1}" id="{9E0884AA-C2D4-478C-BC4E-B6B5C11216EA}">
    <text>Habitación Nº5</text>
  </threadedComment>
  <threadedComment ref="F4693" dT="2025-09-24T06:40:59.84" personId="{17D30B62-2123-41F1-B603-E5411FDFA3E0}" id="{61E14AA3-D3C9-4A8C-A2BE-BA9B2A7B8EF6}">
    <text>1 Habitación Doble camas individuales, Alquiler 590€ Fianza 350€</text>
  </threadedComment>
  <threadedComment ref="F4694" dT="2025-10-22T10:38:32.82" personId="{4D8483EF-5A39-4E7B-A473-929EF5A077E1}" id="{EF02F0BB-2F41-4973-906E-3740DDBF645B}">
    <text>(para 4 personas)</text>
  </threadedComment>
  <threadedComment ref="F4696" dT="2026-02-11T15:44:25.53" personId="{4D8483EF-5A39-4E7B-A473-929EF5A077E1}" id="{62FE43A2-185C-4667-A360-9337EE4EA24F}">
    <text>4 camas</text>
  </threadedComment>
  <threadedComment ref="F4697" dT="2026-02-11T15:44:25.53" personId="{4D8483EF-5A39-4E7B-A473-929EF5A077E1}" id="{3EDEDBEE-DE03-428E-9993-8C64D635335C}">
    <text>4 camas</text>
  </threadedComment>
  <threadedComment ref="F4698" dT="2026-02-11T15:44:25.53" personId="{4D8483EF-5A39-4E7B-A473-929EF5A077E1}" id="{BDA519BC-E700-440C-9C35-F7C48CD514F1}">
    <text>4 camas</text>
  </threadedComment>
  <threadedComment ref="F4699" dT="2026-02-11T15:44:25.53" personId="{4D8483EF-5A39-4E7B-A473-929EF5A077E1}" id="{766EA35F-8FE5-4D5D-9B84-09F0A96475D7}">
    <text>4 camas</text>
  </threadedComment>
  <threadedComment ref="F4700" dT="2026-02-11T15:44:25.53" personId="{4D8483EF-5A39-4E7B-A473-929EF5A077E1}" id="{6D47EDB6-0B05-4B09-9A68-30F54EEC696A}">
    <text>4 camas</text>
  </threadedComment>
  <threadedComment ref="F4701" dT="2026-01-29T14:37:35.05" personId="{4D8483EF-5A39-4E7B-A473-929EF5A077E1}" id="{B7415924-5A97-4D1C-B631-1925D996F7D1}">
    <text>Alojamiento para 3 personas</text>
  </threadedComment>
  <threadedComment ref="F4702" dT="2025-03-03T15:39:24.40" personId="{98986A2A-739A-4851-A979-4B0D560C46CD}" id="{FAA18AB2-7248-43FA-9778-24FA8246ED6D}">
    <text>1200€ alquiler, 05 camas, 1200€ fianza</text>
  </threadedComment>
  <threadedComment ref="F4704" dT="2025-02-13T10:05:11.33" personId="{17D30B62-2123-41F1-B603-E5411FDFA3E0}" id="{6119CC51-A133-4A04-B026-7FDC22CFDB20}">
    <text>Habitacion doble para trabajadores cant 1 Costo 60€/noche
Habitacion triple para trabajadores cant 3 Costo 75€/noche cada una
(camas separadas)</text>
  </threadedComment>
  <threadedComment ref="F4705" dT="2024-08-06T14:12:58.54" personId="{8BEA8CB1-BB33-44FC-A791-4439DE945680}" id="{DA19864C-ADF0-4DE9-9108-1DACDF0255AA}">
    <text>Alquiler 1700, fianza 1700 6 CAMAS</text>
  </threadedComment>
  <threadedComment ref="F4705" dT="2025-01-16T18:23:38.41" personId="{98986A2A-739A-4851-A979-4B0D560C46CD}" id="{73D131E3-0423-4E2D-B4F1-0B2D00903798}" parentId="{DA19864C-ADF0-4DE9-9108-1DACDF0255AA}">
    <text>5 habitaciones</text>
  </threadedComment>
  <threadedComment ref="F4707" dT="2026-02-03T09:53:58.96" personId="{4D8483EF-5A39-4E7B-A473-929EF5A077E1}" id="{552F2753-B2A5-4F43-9BA6-517609AB0AC7}">
    <text>Alojamiento entero · 3 camas · 3 viajeros</text>
  </threadedComment>
  <threadedComment ref="F4709" dT="2025-03-03T08:16:22.89" personId="{98986A2A-739A-4851-A979-4B0D560C46CD}" id="{A695290A-9E15-4B5F-9070-DF45B864DD0C}">
    <text xml:space="preserve">340€ ALQULER + 50€ SUMINISTROS =390€ TOTAL. 500 FIANZA
</text>
  </threadedComment>
  <threadedComment ref="F4710" dT="2026-01-23T09:33:14.98" personId="{4D8483EF-5A39-4E7B-A473-929EF5A077E1}" id="{B807D914-8FD2-42A6-8C33-63434E8C92AC}">
    <text>Alquiler Mensual 750€ - Fianza 500€ Total Alojamiento para 3 personas</text>
  </threadedComment>
  <threadedComment ref="F4711" dT="2026-01-23T09:33:14.98" personId="{4D8483EF-5A39-4E7B-A473-929EF5A077E1}" id="{3AB4CDBD-91C1-4C59-8588-25FA0887742E}">
    <text>Alquiler Mensual 750€ - Fianza 500€ Total Alojamiento para 3 personas</text>
  </threadedComment>
  <threadedComment ref="F4712" dT="2025-02-13T10:05:11.33" personId="{17D30B62-2123-41F1-B603-E5411FDFA3E0}" id="{7B86A7A5-2A9D-495B-A0CE-25D47D9FB7D5}">
    <text>Habitacion doble para trabajadores cant 1 Costo 60€/noche
Habitacion triple para trabajadores cant 3 Costo 75€/noche cada una
(camas separadas)</text>
  </threadedComment>
  <threadedComment ref="F4716" dT="2025-12-09T10:05:56.70" personId="{4D8483EF-5A39-4E7B-A473-929EF5A077E1}" id="{8B37CB18-DC14-436D-A078-5F7BAB6A07CF}">
    <text>Alojamiento entero · 5 camas · 5 viajeros </text>
  </threadedComment>
  <threadedComment ref="F4717" dT="2026-02-03T10:01:54.67" personId="{4D8483EF-5A39-4E7B-A473-929EF5A077E1}" id="{B9D28521-D272-4BA6-A117-DD8901F3CD70}">
    <text>Alojamiento entero · 5 camas · 5 viajeros</text>
  </threadedComment>
  <threadedComment ref="F4718" dT="2026-02-03T10:02:00.42" personId="{4D8483EF-5A39-4E7B-A473-929EF5A077E1}" id="{D01BDFC2-BAE8-4D67-BB2B-075699A5106D}">
    <text>Alojamiento entero · 5 camas · 5 viajeros</text>
  </threadedComment>
  <threadedComment ref="F4719" dT="2026-02-03T10:02:08.64" personId="{4D8483EF-5A39-4E7B-A473-929EF5A077E1}" id="{F8E532EA-E53B-402D-9ED2-E4B0D4903688}">
    <text>Alojamiento entero · 5 camas · 5 viajeros</text>
  </threadedComment>
  <threadedComment ref="F4720" dT="2025-12-09T10:05:56.70" personId="{4D8483EF-5A39-4E7B-A473-929EF5A077E1}" id="{D08755F0-F236-4224-BC66-A48F44CFFA57}">
    <text>Alojamiento entero · 5 camas · 5 viajeros </text>
  </threadedComment>
  <threadedComment ref="F4721" dT="2025-12-09T10:05:56.70" personId="{4D8483EF-5A39-4E7B-A473-929EF5A077E1}" id="{BE14B3D9-5E3C-4019-83AE-34DFE8D1FB4F}">
    <text>Alojamiento entero · 5 camas · 5 viajeros </text>
  </threadedComment>
  <threadedComment ref="F4722" dT="2025-12-09T10:05:56.70" personId="{4D8483EF-5A39-4E7B-A473-929EF5A077E1}" id="{49685FE7-0548-42A9-9DB7-8EC7178650D2}">
    <text>Alojamiento entero · 5 camas · 5 viajeros </text>
  </threadedComment>
  <threadedComment ref="F4723" dT="2026-02-03T10:10:30.25" personId="{4D8483EF-5A39-4E7B-A473-929EF5A077E1}" id="{38BBCEA5-C41B-4902-BBDC-924FCC8A2620}">
    <text>(para 3 personas)</text>
  </threadedComment>
  <threadedComment ref="F4724" dT="2026-02-03T10:10:39.47" personId="{4D8483EF-5A39-4E7B-A473-929EF5A077E1}" id="{B6C74081-7C28-4E73-88AC-BE1E092ABB21}">
    <text>(para 3 personas)</text>
  </threadedComment>
  <threadedComment ref="F4725" dT="2026-02-03T10:10:43.35" personId="{4D8483EF-5A39-4E7B-A473-929EF5A077E1}" id="{522BFAB5-77BA-4A3D-845D-002031B44084}">
    <text>(para 3 personas)</text>
  </threadedComment>
  <threadedComment ref="F4726" dT="2025-12-09T10:05:56.70" personId="{4D8483EF-5A39-4E7B-A473-929EF5A077E1}" id="{102B9DA0-0173-41DD-840A-36D0F52BAB0F}">
    <text>Alojamiento entero · 5 camas · 5 viajeros </text>
  </threadedComment>
  <threadedComment ref="F4728" dT="2026-02-03T10:02:13.09" personId="{4D8483EF-5A39-4E7B-A473-929EF5A077E1}" id="{AAFC51DB-CD6C-43B8-97CD-82C68073375B}">
    <text>Alojamiento entero · 5 camas · 5 viajeros</text>
  </threadedComment>
  <threadedComment ref="F4729" dT="2025-02-13T10:05:11.33" personId="{17D30B62-2123-41F1-B603-E5411FDFA3E0}" id="{C9F1463C-5A3B-4B5B-B30F-65A2DC61DEE1}">
    <text>Habitacion doble para trabajadores cant 1 Costo 60€/noche
Habitacion triple para trabajadores cant 3 Costo 75€/noche cada una
(camas separadas)</text>
  </threadedComment>
  <threadedComment ref="F4730" dT="2026-02-11T15:44:25.53" personId="{4D8483EF-5A39-4E7B-A473-929EF5A077E1}" id="{31820610-B224-441B-B149-B25ABB93680D}">
    <text>5 camas</text>
  </threadedComment>
  <threadedComment ref="F4736" dT="2025-10-27T11:57:19.08" personId="{4D8483EF-5A39-4E7B-A473-929EF5A077E1}" id="{146FDCD2-AEF2-491E-82F1-807BE87BFCEA}">
    <text>Alojamiento 4 Camas Alquiler 1.122€ Fianza 2.200€</text>
  </threadedComment>
  <threadedComment ref="F4739" dT="2026-01-09T09:10:53.71" personId="{4D8483EF-5A39-4E7B-A473-929EF5A077E1}" id="{11300F6D-92EE-410C-883F-38E19924544A}">
    <text>Alojamiento para 9
SIN FIANZA. El pago se realizará mediante transferencia. La mensualidad es: TRES MIL QUINIENTOS EUROS, (3.500€) Incluidos suministros.</text>
  </threadedComment>
  <threadedComment ref="F4740" dT="2025-02-26T14:56:43.99" personId="{17D30B62-2123-41F1-B603-E5411FDFA3E0}" id="{AEF2BC99-594C-41E1-91D3-E8E7E13F5490}">
    <text>Alojamiento para 11 personas.</text>
  </threadedComment>
  <threadedComment ref="F4741" dT="2026-02-11T15:44:25.53" personId="{4D8483EF-5A39-4E7B-A473-929EF5A077E1}" id="{5A44440B-06CF-4223-A650-13B86055982C}">
    <text>4 camas</text>
  </threadedComment>
  <threadedComment ref="F4743" dT="2026-02-09T07:37:43.00" personId="{4D8483EF-5A39-4E7B-A473-929EF5A077E1}" id="{113C4AA6-FCC5-4449-8BA9-F24D52A4A239}">
    <text>Habitación doble con dos camas y con baño privado para 15 días continuados 500€. Si continúan para mes completo sería solo 200€ más.</text>
  </threadedComment>
  <threadedComment ref="F4744" dT="2026-02-12T15:44:20.51" personId="{4D8483EF-5A39-4E7B-A473-929EF5A077E1}" id="{90E7D87E-2AF2-41DA-BE1E-65C99D9B7D62}">
    <text>Alojamiento para 4 personas</text>
  </threadedComment>
  <threadedComment ref="F4745" dT="2026-02-11T15:44:02.98" personId="{4D8483EF-5A39-4E7B-A473-929EF5A077E1}" id="{BF0CAC23-D6DE-4349-9862-B44857F1D38B}">
    <text>Alojamiento para 4 personas</text>
  </threadedComment>
  <threadedComment ref="F4746" dT="2026-02-11T15:44:02.98" personId="{4D8483EF-5A39-4E7B-A473-929EF5A077E1}" id="{58B642E3-E2F7-4369-8BB8-7478920AB5D3}">
    <text>Alojamiento para 4 personas</text>
  </threadedComment>
  <threadedComment ref="F4747" dT="2026-02-11T15:44:02.98" personId="{4D8483EF-5A39-4E7B-A473-929EF5A077E1}" id="{5337B050-D94D-4104-8C37-94DE3C8B9349}">
    <text>Alojamiento para 4 personas</text>
  </threadedComment>
  <threadedComment ref="F4748" dT="2026-02-11T15:44:02.98" personId="{4D8483EF-5A39-4E7B-A473-929EF5A077E1}" id="{DDEE494B-316A-455E-A2FD-CFE40100CADB}">
    <text>Alojamiento para 4 personas</text>
  </threadedComment>
  <threadedComment ref="F4749" dT="2026-02-11T15:44:25.53" personId="{4D8483EF-5A39-4E7B-A473-929EF5A077E1}" id="{AA94C30D-B2B6-488D-A8C6-01C1A5674C25}">
    <text>4 camas</text>
  </threadedComment>
  <threadedComment ref="F4750" dT="2026-02-11T15:44:25.53" personId="{4D8483EF-5A39-4E7B-A473-929EF5A077E1}" id="{91FF3D09-310B-4B78-8C7B-BEF341B68CE5}">
    <text>4 camas</text>
  </threadedComment>
  <threadedComment ref="F4752" dT="2026-02-11T15:44:25.53" personId="{4D8483EF-5A39-4E7B-A473-929EF5A077E1}" id="{82F6962D-E982-4D55-912B-9CCF3417B18A}">
    <text>4 camas</text>
  </threadedComment>
  <threadedComment ref="F4754" dT="2025-03-03T18:16:08.96" personId="{98986A2A-739A-4851-A979-4B0D560C46CD}" id="{C5D60653-BFC9-4672-8D05-6DFC2DEEC1E2}">
    <text>03 camas, 1500€ alquiler, 600€ fianza</text>
  </threadedComment>
  <threadedComment ref="F4757" dT="2025-02-26T12:24:18.65" personId="{98986A2A-739A-4851-A979-4B0D560C46CD}" id="{14497984-F840-4378-BBE9-B8A69040FDF0}">
    <text xml:space="preserve">Alquiler 1150 , Fianza 2200  Camas 4
</text>
  </threadedComment>
  <threadedComment ref="F4758" dT="2024-08-06T14:12:58.54" personId="{8BEA8CB1-BB33-44FC-A791-4439DE945680}" id="{993A236B-06BE-431F-8271-064BB044446E}">
    <text>Alquiler 1700, fianza 1700 6 CAMAS</text>
  </threadedComment>
  <threadedComment ref="F4758" dT="2025-01-16T18:23:38.41" personId="{98986A2A-739A-4851-A979-4B0D560C46CD}" id="{B68DB620-4FE7-424F-AC61-684F4F1C365F}" parentId="{993A236B-06BE-431F-8271-064BB044446E}">
    <text>5 habitaciones</text>
  </threadedComment>
  <threadedComment ref="F4761" dT="2025-09-23T14:26:28.36" personId="{17D30B62-2123-41F1-B603-E5411FDFA3E0}" id="{1F3FECCE-D207-4604-91F5-5D34F8DDFA74}">
    <text>1 Habitación 2 camas.</text>
  </threadedComment>
  <threadedComment ref="F4761" dT="2026-01-22T09:20:02.44" personId="{4D8483EF-5A39-4E7B-A473-929EF5A077E1}" id="{4C6956BE-BB20-4B6B-8BE2-9E5AB85921A9}" parentId="{1F3FECCE-D207-4604-91F5-5D34F8DDFA74}">
    <text>840€ Alquiler Mensual</text>
  </threadedComment>
  <threadedComment ref="F4762" dT="2025-09-26T11:01:56.52" personId="{E3C446A3-37B8-466B-82DA-8F7BAC7681F7}" id="{AE4E37B6-BA8A-43EA-A7FE-744DD16078D7}">
    <text>978.63€ PISO 04 HABITACIONES</text>
  </threadedComment>
  <threadedComment ref="F4762" dT="2025-11-07T07:07:12.51" personId="{98986A2A-739A-4851-A979-4B0D560C46CD}" id="{B5C2E176-2EFC-4AEF-910A-95A523C4370E}" parentId="{AE4E37B6-BA8A-43EA-A7FE-744DD16078D7}">
    <text>04 camas</text>
  </threadedComment>
  <threadedComment ref="F4763" dT="2025-09-26T11:01:56.52" personId="{E3C446A3-37B8-466B-82DA-8F7BAC7681F7}" id="{A4455DF7-45D7-4CED-845E-8C50831A0B15}">
    <text>978.63€ PISO 04 HABITACIONES</text>
  </threadedComment>
  <threadedComment ref="F4763" dT="2025-11-07T07:07:12.51" personId="{98986A2A-739A-4851-A979-4B0D560C46CD}" id="{6CDB7345-1418-4086-B294-54B0C19D1115}" parentId="{A4455DF7-45D7-4CED-845E-8C50831A0B15}">
    <text>04 camas</text>
  </threadedComment>
  <threadedComment ref="F4764" dT="2025-02-13T10:05:11.33" personId="{17D30B62-2123-41F1-B603-E5411FDFA3E0}" id="{A20E7172-39D8-40E6-89A5-EBEF3C95CE99}">
    <text>4 Habitaciones 5 camas 1 sofá</text>
  </threadedComment>
  <threadedComment ref="F4764" dT="2025-11-07T07:08:43.68" personId="{98986A2A-739A-4851-A979-4B0D560C46CD}" id="{FE449CFD-92AF-461A-872D-9CBC38941C47}" parentId="{A20E7172-39D8-40E6-89A5-EBEF3C95CE99}">
    <text>875,50 alquiler</text>
  </threadedComment>
  <threadedComment ref="F4764" dT="2026-08-19T09:16:29.54" personId="{E3C446A3-37B8-466B-82DA-8F7BAC7681F7}" id="{C5D279B8-77F8-4E5E-AD4B-2A8A850D269A}" parentId="{A20E7172-39D8-40E6-89A5-EBEF3C95CE99}">
    <text>FIANZA 1700€</text>
  </threadedComment>
  <threadedComment ref="F4765" dT="2025-03-27T16:16:05.36" personId="{17D30B62-2123-41F1-B603-E5411FDFA3E0}" id="{C1244DD3-9485-4FC0-A595-DDD39DCCB44B}">
    <text>5 CAMAS</text>
  </threadedComment>
  <threadedComment ref="F4766" dT="2025-03-27T16:16:05.36" personId="{17D30B62-2123-41F1-B603-E5411FDFA3E0}" id="{A4F5031A-8A32-4C94-86D2-19EC3CC0474B}">
    <text>5 CAMAS</text>
  </threadedComment>
  <threadedComment ref="F4767" dT="2025-07-09T14:24:23.31" personId="{98986A2A-739A-4851-A979-4B0D560C46CD}" id="{850F1C5B-1D15-481E-9A34-ADD2BD69F6B9}">
    <text>10 CAMAS. ALQUILER 1643.20</text>
  </threadedComment>
  <threadedComment ref="F4768" dT="2026-02-19T07:50:49.62" personId="{4D8483EF-5A39-4E7B-A473-929EF5A077E1}" id="{6E030190-74EC-4E38-B95E-DCD049E51D56}">
    <text>Habitación privada · 1 cama · 1 viajero</text>
  </threadedComment>
  <threadedComment ref="F4769" dT="2025-02-07T09:48:48.33" personId="{98986A2A-739A-4851-A979-4B0D560C46CD}" id="{83362D3E-9FDC-4E5B-A553-5AF6CCF380E2}">
    <text>355€ ALQULER + 55€ SUMINISTROS =410€ TOTAL. 500 FIANZA</text>
  </threadedComment>
  <threadedComment ref="F4774" dT="2024-08-06T14:12:58.54" personId="{8BEA8CB1-BB33-44FC-A791-4439DE945680}" id="{9A978AA7-2CE4-4096-8461-358D29514F58}">
    <text>Alquiler 1700, fianza 1700 6 CAMAS</text>
  </threadedComment>
  <threadedComment ref="F4774" dT="2025-01-16T18:23:38.41" personId="{98986A2A-739A-4851-A979-4B0D560C46CD}" id="{7922C5E0-5A99-4670-8CD5-DE77C8C67DC2}" parentId="{9A978AA7-2CE4-4096-8461-358D29514F58}">
    <text>5 habitaciones</text>
  </threadedComment>
  <threadedComment ref="F4775" dT="2025-10-27T11:57:19.08" personId="{4D8483EF-5A39-4E7B-A473-929EF5A077E1}" id="{4B9A1187-6AED-4599-880E-E18DEC0B358A}">
    <text>Alojamiento 4 Camas Alquiler 1.122€ Fianza 2.200€</text>
  </threadedComment>
  <threadedComment ref="F4776" dT="2026-08-04T09:45:26.64" personId="{4D8483EF-5A39-4E7B-A473-929EF5A077E1}" id="{4A7FCE7E-D4AC-468B-BD9F-932A40A39740}">
    <text>Habitación Nº5</text>
  </threadedComment>
  <threadedComment ref="F4777" dT="2026-01-09T11:19:11.16" personId="{4D8483EF-5A39-4E7B-A473-929EF5A077E1}" id="{B2F8716D-CE1A-4F15-B0DE-FCB815F30E7E}">
    <text>lojamiento entero · 4 camas · 4 viajeros </text>
  </threadedComment>
  <threadedComment ref="F4780" dT="2025-03-04T17:12:38.85" personId="{98986A2A-739A-4851-A979-4B0D560C46CD}" id="{562576DB-8243-42DC-9FC7-0C47F83BA615}">
    <text>09 camas, 2100€ fianza, 2100€ alquiler +50€ luz =2150€</text>
  </threadedComment>
  <threadedComment ref="F4781" dT="2025-07-04T11:05:16.59" personId="{98986A2A-739A-4851-A979-4B0D560C46CD}" id="{2CBAC85C-FFC9-41E0-811B-5BF32CF58BC2}">
    <text>04 camas, 1200€ alquiler, 1200€ fianza</text>
  </threadedComment>
  <threadedComment ref="F4782" dT="2025-10-09T09:33:31.28" personId="{4D8483EF-5A39-4E7B-A473-929EF5A077E1}" id="{9FD5DA8E-EAC7-40A5-9690-54F16278DF90}">
    <text>4 Camas, Alquiler 1.800€</text>
  </threadedComment>
  <threadedComment ref="F4783" dT="2025-02-26T14:56:43.99" personId="{17D30B62-2123-41F1-B603-E5411FDFA3E0}" id="{4D85BEB7-83DE-48E0-8C1B-AB6E6EE3FD87}">
    <text>Alojamiento para 9 personas.
 3 apartamentos triples (101-102-121)</text>
  </threadedComment>
  <threadedComment ref="F4784" dT="2025-02-13T10:05:11.33" personId="{17D30B62-2123-41F1-B603-E5411FDFA3E0}" id="{525B13C8-BB9F-4A8F-A8CC-C440846AC510}">
    <text>Habitacion doble para trabajadores cant 1 Costo 60€/noche
Habitacion triple para trabajadores cant 3 Costo 75€/noche cada una
(camas separadas)</text>
  </threadedComment>
  <threadedComment ref="F4790" dT="2026-01-09T09:09:53.11" personId="{4D8483EF-5A39-4E7B-A473-929EF5A077E1}" id="{69238265-4A34-4AD9-B6C5-C3F3140D685D}">
    <text>Alojamiento para 5
SIN FIANZA. El pago se realizará mediante transferencia. La mensualidad es: DOS MIL QUINIENTOS EUROS, (2.500€) Incluidos suministros.</text>
  </threadedComment>
  <threadedComment ref="F4791" dT="2026-01-09T09:10:53.71" personId="{4D8483EF-5A39-4E7B-A473-929EF5A077E1}" id="{D65F165C-FB37-4BFF-80AB-D31EAEA30683}">
    <text>Alojamiento para 9
SIN FIANZA. El pago se realizará mediante transferencia. La mensualidad es: TRES MIL QUINIENTOS EUROS, (3.500€) Incluidos suministros.</text>
  </threadedComment>
  <threadedComment ref="F4793" dT="2025-03-07T13:18:36.65" personId="{98986A2A-739A-4851-A979-4B0D560C46CD}" id="{0C39E5EF-7BCD-4196-A754-54A65762A33C}">
    <text>04 camas, 550€ alquiler, 550€ fianza</text>
  </threadedComment>
  <threadedComment ref="F4795" dT="2025-07-09T14:24:23.31" personId="{98986A2A-739A-4851-A979-4B0D560C46CD}" id="{D829355D-3D61-4894-B65A-A56EC27191A9}">
    <text>10 CAMAS. ALQUILER 1643.20</text>
  </threadedComment>
  <threadedComment ref="F4796" dT="2025-07-09T14:24:23.31" personId="{98986A2A-739A-4851-A979-4B0D560C46CD}" id="{9623204F-6EFD-467E-A570-FEA163636161}">
    <text>10 CAMAS. ALQUILER 1643.20</text>
  </threadedComment>
  <threadedComment ref="F4797" dT="2026-01-29T15:31:28.33" personId="{4D8483EF-5A39-4E7B-A473-929EF5A077E1}" id="{3B45ED92-B8D2-4D6E-9528-7EADD9CD613B}">
    <text>(para 2 personas</text>
  </threadedComment>
  <threadedComment ref="F4798" dT="2026-01-29T15:31:31.91" personId="{4D8483EF-5A39-4E7B-A473-929EF5A077E1}" id="{2EC941D4-5393-4251-9499-D96D9054B344}">
    <text>(para 2 personas</text>
  </threadedComment>
  <threadedComment ref="F4802" dT="2026-06-05T10:41:32.34" personId="{4D8483EF-5A39-4E7B-A473-929EF5A077E1}" id="{5E7CA71F-F79E-45D4-8029-2AB9E2F0A093}">
    <text>Alojamiento entero · 5 camas · 4 viajeros</text>
  </threadedComment>
  <threadedComment ref="F4805" dT="2026-02-25T15:55:10.21" personId="{4D8483EF-5A39-4E7B-A473-929EF5A077E1}" id="{41D53E97-518A-4E33-BDE8-692F64D2D7DE}">
    <text>(para 4 personas)</text>
  </threadedComment>
  <threadedComment ref="F4806" dT="2026-02-25T15:55:10.21" personId="{4D8483EF-5A39-4E7B-A473-929EF5A077E1}" id="{8DDF821C-ECCF-440C-88A1-BAE12D557BAF}">
    <text>(para 4 personas)</text>
  </threadedComment>
  <threadedComment ref="F4807" dT="2026-01-05T10:25:45.92" personId="{4D8483EF-5A39-4E7B-A473-929EF5A077E1}" id="{A21291A5-2AAD-464C-B479-515ED4DE5ABD}">
    <text>3 Habitaciones triples camas separadas- 9 Camas</text>
  </threadedComment>
  <threadedComment ref="F4808" dT="2026-01-05T10:25:45.92" personId="{4D8483EF-5A39-4E7B-A473-929EF5A077E1}" id="{6065C33D-B7CD-4435-A7FF-B9D5A75B3A5B}">
    <text>3 Habitaciones triples camas separadas- 9 Camas</text>
  </threadedComment>
  <threadedComment ref="F4811" dT="2025-02-25T14:27:09.00" personId="{98986A2A-739A-4851-A979-4B0D560C46CD}" id="{4948A699-A30B-4479-B880-ADD8D1A67F17}">
    <text>03 CAMAS, 1450€ ALQUILER, 600€ FIANZA. SE PAGO MARZO</text>
  </threadedComment>
  <threadedComment ref="F4812" dT="2026-01-23T09:32:47.67" personId="{4D8483EF-5A39-4E7B-A473-929EF5A077E1}" id="{3826B722-4B70-44F9-B6F7-6B634817463D}">
    <text>Alquiler Mensual 2.600€ - Fianza 500€ Total Alojamiento para 7 personas</text>
  </threadedComment>
  <threadedComment ref="F4813" dT="2026-01-23T09:32:47.67" personId="{4D8483EF-5A39-4E7B-A473-929EF5A077E1}" id="{73EE01AC-6134-49DC-9ADB-08C98A63CA11}">
    <text>Alquiler Mensual 2.600€ - Fianza 500€ Total Alojamiento para 7 personas</text>
  </threadedComment>
  <threadedComment ref="F4818" dT="2026-02-03T10:12:06.07" personId="{4D8483EF-5A39-4E7B-A473-929EF5A077E1}" id="{7EFFDA82-9842-4BA6-8814-80237DB3AA86}">
    <text>(para 4 personas)</text>
  </threadedComment>
  <threadedComment ref="F4819" dT="2026-02-03T10:12:09.52" personId="{4D8483EF-5A39-4E7B-A473-929EF5A077E1}" id="{ABCAAFC8-4BD1-40EF-8773-3D32F2201FF5}">
    <text>(para 4 personas)</text>
  </threadedComment>
  <threadedComment ref="F4820" dT="2026-02-03T10:12:15.49" personId="{4D8483EF-5A39-4E7B-A473-929EF5A077E1}" id="{4CAD61BE-782E-4A69-93A2-90413464B576}">
    <text>(para 4 personas)</text>
  </threadedComment>
  <threadedComment ref="F4821" dT="2025-02-13T10:05:11.33" personId="{17D30B62-2123-41F1-B603-E5411FDFA3E0}" id="{18F01764-7D36-400F-9F9E-AA8BC1741E21}">
    <text>Alquiler 903.20€ 4 camas</text>
  </threadedComment>
  <threadedComment ref="F4822" dT="2026-02-03T10:13:30.14" personId="{4D8483EF-5A39-4E7B-A473-929EF5A077E1}" id="{483BB358-D9F3-4B73-8B15-A87A9A2A73EE}">
    <text>(para 4 personas)</text>
  </threadedComment>
  <threadedComment ref="F4823" dT="2026-02-03T10:13:33.77" personId="{4D8483EF-5A39-4E7B-A473-929EF5A077E1}" id="{D539277C-7427-48DE-B4A3-2DE9F2B39266}">
    <text>(para 4 personas)</text>
  </threadedComment>
  <threadedComment ref="F4824" dT="2026-02-03T10:11:22.93" personId="{4D8483EF-5A39-4E7B-A473-929EF5A077E1}" id="{660FD610-AEA1-4272-A72D-4857849F3C9D}">
    <text>(para 3 personas)</text>
  </threadedComment>
  <threadedComment ref="F4825" dT="2026-02-03T10:11:26.32" personId="{4D8483EF-5A39-4E7B-A473-929EF5A077E1}" id="{20536419-4A57-4EA1-9F8F-DAF0489BBA3B}">
    <text>(para 3 personas)</text>
  </threadedComment>
  <threadedComment ref="F4826" dT="2026-02-03T10:11:29.41" personId="{4D8483EF-5A39-4E7B-A473-929EF5A077E1}" id="{6DE675EF-8DA9-49FB-AE89-7A76CC663BA6}">
    <text>(para 3 personas)</text>
  </threadedComment>
  <threadedComment ref="F4827" dT="2026-02-03T09:53:55.30" personId="{4D8483EF-5A39-4E7B-A473-929EF5A077E1}" id="{38A78DD6-9A08-4E21-A666-A86D37820599}">
    <text>Alojamiento entero · 3 camas · 3 viajeros</text>
  </threadedComment>
  <threadedComment ref="F4828" dT="2026-02-03T09:54:02.76" personId="{4D8483EF-5A39-4E7B-A473-929EF5A077E1}" id="{1D572542-F2F4-4D0A-9832-E6A3839932D3}">
    <text>Alojamiento entero · 3 camas · 3 viajeros</text>
  </threadedComment>
  <threadedComment ref="F4829" dT="2026-02-03T10:03:14.48" personId="{4D8483EF-5A39-4E7B-A473-929EF5A077E1}" id="{F642D572-CE61-4A94-BB51-51681E093CBD}">
    <text>Alojamiento entero · 3 camas · 3 viajeros </text>
  </threadedComment>
  <threadedComment ref="F4830" dT="2026-02-03T10:03:19.78" personId="{4D8483EF-5A39-4E7B-A473-929EF5A077E1}" id="{8514E19C-2166-4975-B12F-0E27CF9883CB}">
    <text>Alojamiento entero · 3 camas · 3 viajeros </text>
  </threadedComment>
  <threadedComment ref="F4831" dT="2026-02-12T15:44:20.51" personId="{4D8483EF-5A39-4E7B-A473-929EF5A077E1}" id="{938567E8-B89E-49BA-80A4-BEA6480CAD60}">
    <text>Alojamiento para 4 personas</text>
  </threadedComment>
  <threadedComment ref="F4832" dT="2026-02-12T15:44:20.51" personId="{4D8483EF-5A39-4E7B-A473-929EF5A077E1}" id="{F43B51BC-EC90-4DFB-8D97-E98E3711011A}">
    <text>Alojamiento para 4 personas</text>
  </threadedComment>
  <threadedComment ref="F4833" dT="2026-02-12T15:44:20.51" personId="{4D8483EF-5A39-4E7B-A473-929EF5A077E1}" id="{CDE40DC4-2FE8-4E04-8DC8-ADA9DD70E44E}">
    <text>Alojamiento para 4 personas</text>
  </threadedComment>
  <threadedComment ref="F4834" dT="2026-02-03T10:13:33.77" personId="{4D8483EF-5A39-4E7B-A473-929EF5A077E1}" id="{6C9E8461-FF0B-4B2E-9D3A-C5D1C467BBF7}">
    <text>(para 4 personas)</text>
  </threadedComment>
  <threadedComment ref="F4835" dT="2026-02-03T09:54:02.76" personId="{4D8483EF-5A39-4E7B-A473-929EF5A077E1}" id="{F6A4D40F-529C-4A09-B92A-8BC1C0F999C5}">
    <text>Alojamiento entero · 3 camas · 3 viajeros</text>
  </threadedComment>
  <threadedComment ref="F4836" dT="2026-02-03T10:03:19.78" personId="{4D8483EF-5A39-4E7B-A473-929EF5A077E1}" id="{675D0ADE-5968-42F7-89E5-6872D1D9911F}">
    <text>Alojamiento entero · 3 camas · 3 viajeros </text>
  </threadedComment>
  <threadedComment ref="F4840" dT="2026-01-05T10:25:45.92" personId="{4D8483EF-5A39-4E7B-A473-929EF5A077E1}" id="{985507AF-5EBB-4FB7-B48A-867938EE507D}">
    <text>3 Habitaciones triples camas separadas- 9 Camas</text>
  </threadedComment>
  <threadedComment ref="F4841" dT="2026-02-09T07:22:55.03" personId="{4D8483EF-5A39-4E7B-A473-929EF5A077E1}" id="{B513D792-E786-4B69-870F-19100E7B881E}">
    <text>650 € ALQUILER FEBRERO
650 € FIANZA -5 CAMAS</text>
  </threadedComment>
  <threadedComment ref="F4842" dT="2025-02-13T10:05:11.33" personId="{17D30B62-2123-41F1-B603-E5411FDFA3E0}" id="{3DCDEEE4-EC5D-4F71-AD1E-E39F4A866A6E}">
    <text>Habitacion doble para trabajadores cant 1 Costo 60€/noche
Habitacion triple para trabajadores cant 3 Costo 75€/noche cada una
(camas separadas)</text>
  </threadedComment>
  <threadedComment ref="F4843" dT="2024-07-08T10:22:06.21" personId="{98986A2A-739A-4851-A979-4B0D560C46CD}" id="{35D8C8BE-1192-4B12-8347-7B5ED1A60505}">
    <text>1650 FIANZA, 1236 ALQUILER,4 habitaciones</text>
  </threadedComment>
  <threadedComment ref="F4846" dT="2025-06-13T11:20:48.41" personId="{98986A2A-739A-4851-A979-4B0D560C46CD}" id="{E613FD66-A715-4BAA-A3FF-4D9C2A5C01C3}">
    <text>05 camas, 1200€ alquiler,+ 250€ SUMINISTROS+ 1200€ fianza</text>
  </threadedComment>
  <threadedComment ref="F4847" dT="2025-06-13T11:20:48.41" personId="{98986A2A-739A-4851-A979-4B0D560C46CD}" id="{8AECD33C-905F-441F-ABB9-F4A5A564B6B4}">
    <text>05 camas, 1200€ alquiler,+ 250€ SUMINISTROS+ 1200€ fianza</text>
  </threadedComment>
  <threadedComment ref="F4848" dT="2025-03-03T15:39:24.40" personId="{98986A2A-739A-4851-A979-4B0D560C46CD}" id="{25B4600D-6497-4F69-BB3C-F328A0175991}">
    <text>1200€ alquiler, 05 camas, 1200€ fianza</text>
  </threadedComment>
  <threadedComment ref="F4849" dT="2025-08-28T14:19:51.19" personId="{17D30B62-2123-41F1-B603-E5411FDFA3E0}" id="{7E4FA9EB-F199-4A2F-B61F-5788B9194926}">
    <text>4 camas</text>
  </threadedComment>
  <threadedComment ref="F4849" dT="2025-09-29T08:12:02.30" personId="{E3C446A3-37B8-466B-82DA-8F7BAC7681F7}" id="{1B04AC58-606C-4B6D-9C70-6123FC20F8A0}" parentId="{7E4FA9EB-F199-4A2F-B61F-5788B9194926}">
    <text>2000 alquiler- 2000 fianza</text>
  </threadedComment>
  <threadedComment ref="F4850" dT="2024-08-06T14:12:58.54" personId="{8BEA8CB1-BB33-44FC-A791-4439DE945680}" id="{B9A2A7AA-29E4-47DF-B223-734F59FF0E38}">
    <text>Alquiler 1700, fianza 1700 6 CAMAS</text>
  </threadedComment>
  <threadedComment ref="F4850" dT="2025-01-16T18:23:38.41" personId="{98986A2A-739A-4851-A979-4B0D560C46CD}" id="{A6F00EF4-3946-4A63-A531-BFF6A8A79E72}" parentId="{B9A2A7AA-29E4-47DF-B223-734F59FF0E38}">
    <text>5 habitaciones</text>
  </threadedComment>
  <threadedComment ref="F4858" dT="2025-02-13T10:05:11.33" personId="{17D30B62-2123-41F1-B603-E5411FDFA3E0}" id="{6C0C3C8D-F427-41BE-8CD3-64F961E325BD}">
    <text>Habitacion doble para trabajadores cant 1 Costo 60€/noche
Habitacion triple para trabajadores cant 3 Costo 75€/noche cada una
(camas separadas)</text>
  </threadedComment>
  <threadedComment ref="F4859" dT="2026-01-23T09:32:47.67" personId="{4D8483EF-5A39-4E7B-A473-929EF5A077E1}" id="{4CB71DB4-0C09-4F05-BB57-0C0F67BFA0A4}">
    <text>Alquiler Mensual 2.600€ - Fianza 500€ Total Alojamiento para 7 personas</text>
  </threadedComment>
  <threadedComment ref="F4861" dT="2026-02-09T07:59:46.48" personId="{4D8483EF-5A39-4E7B-A473-929EF5A077E1}" id="{4F5C3A50-97CC-40EA-9608-DB94F2EDC425}">
    <text>(para 6 personas) </text>
  </threadedComment>
  <threadedComment ref="F4862" dT="2026-02-09T07:59:46.48" personId="{4D8483EF-5A39-4E7B-A473-929EF5A077E1}" id="{19DE84D3-41F6-4758-9907-125E5238897F}">
    <text>(para 6 personas) </text>
  </threadedComment>
  <threadedComment ref="F4863" dT="2026-02-09T07:59:46.48" personId="{4D8483EF-5A39-4E7B-A473-929EF5A077E1}" id="{E3141B84-6041-48B8-B52A-FA7383EF30BB}">
    <text>(para 6 personas) </text>
  </threadedComment>
  <threadedComment ref="F4864" dT="2026-02-09T07:59:46.48" personId="{4D8483EF-5A39-4E7B-A473-929EF5A077E1}" id="{7910CF30-3895-4A95-A40B-21FC7A3ED1E2}">
    <text>(para 6 personas) </text>
  </threadedComment>
  <threadedComment ref="F4865" dT="2026-02-09T07:59:46.48" personId="{4D8483EF-5A39-4E7B-A473-929EF5A077E1}" id="{6048AC7E-DCEF-4D95-B4D7-75DCE481AEC9}">
    <text>(para 6 personas) </text>
  </threadedComment>
  <threadedComment ref="F4866" dT="2026-02-09T07:59:46.48" personId="{4D8483EF-5A39-4E7B-A473-929EF5A077E1}" id="{15802CF2-0771-4385-939E-17BCCD73A37C}">
    <text>(para 6 personas) </text>
  </threadedComment>
  <threadedComment ref="F4867" dT="2026-01-14T08:43:24.28" personId="{4D8483EF-5A39-4E7B-A473-929EF5A077E1}" id="{B228D377-5634-4C9F-A8C4-EDA1DD93D80E}">
    <text>Alojamiento para 3 Personas, 45€ por noche</text>
  </threadedComment>
  <threadedComment ref="F4868" dT="2026-01-14T08:43:24.28" personId="{4D8483EF-5A39-4E7B-A473-929EF5A077E1}" id="{73243A2A-2C4A-45FB-935B-3147D1215AF9}">
    <text>Alojamiento para 3 Personas, 45€ por noche</text>
  </threadedComment>
  <threadedComment ref="F4869" dT="2025-02-24T10:19:28.57" personId="{98986A2A-739A-4851-A979-4B0D560C46CD}" id="{3EEB6C71-79B2-4320-A5A2-7C9E684BC1B2}">
    <text>06 camas</text>
  </threadedComment>
  <threadedComment ref="F4869" dT="2025-08-05T11:29:05.15" personId="{17D30B62-2123-41F1-B603-E5411FDFA3E0}" id="{AEC03D19-4FEE-478F-957B-53F8407238CB}" parentId="{3EEB6C71-79B2-4320-A5A2-7C9E684BC1B2}">
    <text>+1 Cama</text>
  </threadedComment>
  <threadedComment ref="F4870" dT="2026-03-11T08:06:00.17" personId="{4D8483EF-5A39-4E7B-A473-929EF5A077E1}" id="{2CE71BDD-889E-4572-B8C6-84E479333306}">
    <text>(para 2 personas)</text>
  </threadedComment>
  <threadedComment ref="F4871" dT="2026-03-11T08:06:05.84" personId="{4D8483EF-5A39-4E7B-A473-929EF5A077E1}" id="{7D9DC79F-7E47-4255-8A49-C3E4B53144A9}">
    <text>(para 2 personas)</text>
  </threadedComment>
  <threadedComment ref="F4878" dT="2026-01-09T09:10:53.71" personId="{4D8483EF-5A39-4E7B-A473-929EF5A077E1}" id="{A7D090EE-FC1E-4BFF-94BA-59ECB999BB5E}">
    <text>Alojamiento para 9
SIN FIANZA. El pago se realizará mediante transferencia. La mensualidad es: TRES MIL QUINIENTOS EUROS, (3.500€) Incluidos suministros.</text>
  </threadedComment>
  <threadedComment ref="F4879" dT="2026-01-09T09:10:53.71" personId="{4D8483EF-5A39-4E7B-A473-929EF5A077E1}" id="{23DDFB67-FCFC-42A0-88FA-7EED900DEFCF}">
    <text>Alojamiento para 9
SIN FIANZA. El pago se realizará mediante transferencia. La mensualidad es: TRES MIL QUINIENTOS EUROS, (3.500€) Incluidos suministros.</text>
  </threadedComment>
  <threadedComment ref="F4884" dT="2025-02-13T10:05:11.33" personId="{17D30B62-2123-41F1-B603-E5411FDFA3E0}" id="{AA857C6D-87F4-4EBA-8922-14956E9CB925}">
    <text>3 CAMAS Alquiler 900€ Fianza 900€</text>
  </threadedComment>
  <threadedComment ref="F4887" dT="2025-02-13T10:05:11.33" personId="{17D30B62-2123-41F1-B603-E5411FDFA3E0}" id="{95B19F00-55E9-4369-9A03-158B9F8AFF80}">
    <text>3 CAMAS Alquiler 900€ Fianza 900€</text>
  </threadedComment>
  <threadedComment ref="F4888" dT="2025-07-09T14:24:23.31" personId="{98986A2A-739A-4851-A979-4B0D560C46CD}" id="{892E4867-238E-4585-95C3-9C68C96C8F5D}">
    <text>10 CAMAS. ALQUILER 1643.20</text>
  </threadedComment>
  <threadedComment ref="F4890" dT="2026-01-23T09:32:47.67" personId="{4D8483EF-5A39-4E7B-A473-929EF5A077E1}" id="{6ED86042-CD41-4D8A-93B4-52C548C0EA57}">
    <text>Alquiler Mensual 2.600€ - Fianza 500€ Total Alojamiento para 7 personas</text>
  </threadedComment>
  <threadedComment ref="F4891" dT="2026-01-23T09:32:47.67" personId="{4D8483EF-5A39-4E7B-A473-929EF5A077E1}" id="{0C5169C9-DAC0-4F61-AF30-38100642822B}">
    <text>Alquiler Mensual 2.600€ - Fianza 500€ Total Alojamiento para 7 personas</text>
  </threadedComment>
  <threadedComment ref="F4892" dT="2026-01-23T09:32:47.67" personId="{4D8483EF-5A39-4E7B-A473-929EF5A077E1}" id="{DF012F57-A4BB-4737-B98D-DFDCC8A76CD0}">
    <text>Alquiler Mensual 2.600€ - Fianza 500€ Total Alojamiento para 7 personas</text>
  </threadedComment>
  <threadedComment ref="F4895" dT="2025-11-21T09:46:13.61" personId="{4D8483EF-5A39-4E7B-A473-929EF5A077E1}" id="{B376930B-59F4-4A19-BCDE-46E0E0B1C2C1}">
    <text>Habitación 500€ Alquiler, Fianza 300€</text>
  </threadedComment>
  <threadedComment ref="F4896" dT="2025-03-03T15:49:22.14" personId="{98986A2A-739A-4851-A979-4B0D560C46CD}" id="{9EF5B168-6B9B-466F-BB1D-7485714BE591}">
    <text>03 camas, 550€ alquiler, 550€ fianza</text>
  </threadedComment>
  <threadedComment ref="F4897" dT="2026-02-02T07:59:24.59" personId="{4D8483EF-5A39-4E7B-A473-929EF5A077E1}" id="{52C41C89-BCC8-48A7-A7DC-AB3D95C69C93}">
    <text>Alojamiento entero · 12 camas · 12 viajeros </text>
  </threadedComment>
  <threadedComment ref="F4898" dT="2026-02-02T07:59:24.59" personId="{4D8483EF-5A39-4E7B-A473-929EF5A077E1}" id="{1DDB0DDD-E6CB-4671-9266-B875B195CCC8}">
    <text>Alojamiento entero · 12 camas · 12 viajeros </text>
  </threadedComment>
  <threadedComment ref="F4899" dT="2026-02-02T07:59:24.59" personId="{4D8483EF-5A39-4E7B-A473-929EF5A077E1}" id="{52F140E8-2F15-4569-985E-3D30B49FEB5E}">
    <text>Alojamiento entero · 12 camas · 12 viajeros </text>
  </threadedComment>
  <threadedComment ref="F4900" dT="2026-02-02T07:59:24.59" personId="{4D8483EF-5A39-4E7B-A473-929EF5A077E1}" id="{F12E5633-5418-4627-9799-13D2FDC75724}">
    <text>Alojamiento entero · 12 camas · 12 viajeros </text>
  </threadedComment>
  <threadedComment ref="F4901" dT="2026-02-02T07:59:24.59" personId="{4D8483EF-5A39-4E7B-A473-929EF5A077E1}" id="{5956440B-71DC-43F1-81C0-AC705CC73630}">
    <text>Alojamiento entero · 12 camas · 12 viajeros </text>
  </threadedComment>
  <threadedComment ref="F4902" dT="2026-02-02T07:59:24.59" personId="{4D8483EF-5A39-4E7B-A473-929EF5A077E1}" id="{A8575C8C-C3C9-4B77-96E4-23477CD642D8}">
    <text>Alojamiento entero · 12 camas · 12 viajeros </text>
  </threadedComment>
  <threadedComment ref="F4903" dT="2026-02-02T07:59:24.59" personId="{4D8483EF-5A39-4E7B-A473-929EF5A077E1}" id="{72605202-941B-427B-B842-5B4683DB8F18}">
    <text>Alojamiento entero · 12 camas · 12 viajeros </text>
  </threadedComment>
  <threadedComment ref="F4904" dT="2026-02-02T07:59:24.59" personId="{4D8483EF-5A39-4E7B-A473-929EF5A077E1}" id="{EC4A258F-CBD6-465F-9E8A-1D6AEEBF46CB}">
    <text>Alojamiento entero · 12 camas · 12 viajeros </text>
  </threadedComment>
  <threadedComment ref="F4905" dT="2026-02-02T07:59:24.59" personId="{4D8483EF-5A39-4E7B-A473-929EF5A077E1}" id="{60DDE542-7FC4-49FC-9157-1E0EE51C5D90}">
    <text>Alojamiento entero · 12 camas · 12 viajeros </text>
  </threadedComment>
  <threadedComment ref="F4906" dT="2026-02-02T07:59:24.59" personId="{4D8483EF-5A39-4E7B-A473-929EF5A077E1}" id="{577FF748-896A-4CC8-8F76-B0AC4DF2538B}">
    <text>Alojamiento entero · 12 camas · 12 viajeros </text>
  </threadedComment>
  <threadedComment ref="F4907" dT="2026-02-02T07:59:24.59" personId="{4D8483EF-5A39-4E7B-A473-929EF5A077E1}" id="{A63B4078-9CF3-48F2-82E3-0A9C4ECCD4E2}">
    <text>Alojamiento entero · 12 camas · 12 viajeros </text>
  </threadedComment>
  <threadedComment ref="F4908" dT="2026-02-02T07:59:24.59" personId="{4D8483EF-5A39-4E7B-A473-929EF5A077E1}" id="{33748E50-98EE-4739-9FBC-75A7E077D832}">
    <text>Alojamiento entero · 12 camas · 12 viajeros </text>
  </threadedComment>
  <threadedComment ref="F4909" dT="2025-02-13T10:05:11.33" personId="{17D30B62-2123-41F1-B603-E5411FDFA3E0}" id="{0A0C0E4C-889E-4D0B-9767-E42EBD23904E}">
    <text>Habitacion doble para trabajadores cant 1 Costo 60€/noche
Habitacion triple para trabajadores cant 3 Costo 75€/noche cada una
(camas separadas)</text>
  </threadedComment>
  <threadedComment ref="F4910" dT="2025-08-14T08:55:55.58" personId="{17D30B62-2123-41F1-B603-E5411FDFA3E0}" id="{450BE0CF-EB9E-4951-B7B6-9645C0C18375}">
    <text>4 Camas, Alquiler 750€ Fianza 750€</text>
  </threadedComment>
  <threadedComment ref="F4911" dT="2025-08-14T08:55:55.58" personId="{17D30B62-2123-41F1-B603-E5411FDFA3E0}" id="{6096EC9B-EAE3-44F8-BFCD-A9098BB55B05}">
    <text>4 Camas, Alquiler 750€ Fianza 750€</text>
  </threadedComment>
  <threadedComment ref="F4912" dT="2025-08-14T08:55:55.58" personId="{17D30B62-2123-41F1-B603-E5411FDFA3E0}" id="{F9BA62B2-D0B0-4E8F-AD8A-87D1316A0EFF}">
    <text>4 Camas, Alquiler 750€ Fianza 750€</text>
  </threadedComment>
  <threadedComment ref="F4913" dT="2025-06-13T11:20:48.41" personId="{98986A2A-739A-4851-A979-4B0D560C46CD}" id="{B38EFDC7-AD5A-4114-A067-8562467BE584}">
    <text>05 camas, 1200€ alquiler,+ 250€ SUMINISTROS+ 1200€ fianza</text>
  </threadedComment>
  <threadedComment ref="F4914" dT="2025-06-13T11:20:48.41" personId="{98986A2A-739A-4851-A979-4B0D560C46CD}" id="{10883725-363E-46D8-914B-C90AB6DB4178}">
    <text>05 camas, 1200€ alquiler,+ 250€ SUMINISTROS+ 1200€ fianza</text>
  </threadedComment>
  <threadedComment ref="F4915" dT="2025-03-04T17:12:38.85" personId="{98986A2A-739A-4851-A979-4B0D560C46CD}" id="{913B14FD-0FEF-4684-BB15-5DEB6758010D}">
    <text>09 camas, 2100€ fianza, 2100€ alquiler +50€ luz =2150€</text>
  </threadedComment>
  <threadedComment ref="F4916" dT="2025-03-04T17:12:38.85" personId="{98986A2A-739A-4851-A979-4B0D560C46CD}" id="{723E4758-66B0-440E-B065-2E7D6D30B4B8}">
    <text>09 camas, 2100€ fianza, 2100€ alquiler +50€ luz =2150€</text>
  </threadedComment>
  <threadedComment ref="F4917" dT="2025-03-03T15:39:24.40" personId="{98986A2A-739A-4851-A979-4B0D560C46CD}" id="{7284F027-C276-44CF-AA70-CD532519536F}">
    <text>1200€ alquiler, 05 camas, 1200€ fianza</text>
  </threadedComment>
  <threadedComment ref="F4918" dT="2025-02-13T10:05:11.33" personId="{17D30B62-2123-41F1-B603-E5411FDFA3E0}" id="{FCE92750-6FD3-4CE2-9190-47FB85E20FEB}">
    <text>Habitacion doble para trabajadores cant 1 Costo 60€/noche
Habitacion triple para trabajadores cant 3 Costo 75€/noche cada una
(camas separadas)</text>
  </threadedComment>
  <threadedComment ref="F4919" dT="2026-01-05T10:25:45.92" personId="{4D8483EF-5A39-4E7B-A473-929EF5A077E1}" id="{6DF43633-1295-4D64-8B02-CF95BC45C0CA}">
    <text>3 Habitaciones triples camas separadas- 9 Camas</text>
  </threadedComment>
  <threadedComment ref="F4920" dT="2026-01-05T10:25:45.92" personId="{4D8483EF-5A39-4E7B-A473-929EF5A077E1}" id="{EFEBBAD4-83CA-44D3-A894-3A21AB3F2B00}">
    <text>3 Habitaciones triples camas separadas- 9 Camas</text>
  </threadedComment>
  <threadedComment ref="F4921" dT="2026-01-05T10:25:45.92" personId="{4D8483EF-5A39-4E7B-A473-929EF5A077E1}" id="{E1DDEBA9-AD67-404E-A505-422CA25C0D9A}">
    <text>3 Habitaciones triples camas separadas- 9 Camas</text>
  </threadedComment>
  <threadedComment ref="F4924" dT="2025-02-13T10:05:11.33" personId="{17D30B62-2123-41F1-B603-E5411FDFA3E0}" id="{37C1EDE7-0465-4535-AD01-DB6DD22A67D0}">
    <text>Habitacion doble para trabajadores cant 1 Costo 60€/noche
Habitacion triple para trabajadores cant 3 Costo 75€/noche cada una
(camas separadas)</text>
  </threadedComment>
  <threadedComment ref="F4927" dT="2025-06-12T08:25:55.51" personId="{98986A2A-739A-4851-A979-4B0D560C46CD}" id="{EB303109-C11E-407B-9A39-DE9CCF34A639}">
    <text>03 camas, 1050€ alquiler+150€suministros.
2100€ fianza</text>
  </threadedComment>
  <threadedComment ref="F4928" dT="2025-10-09T09:33:31.28" personId="{4D8483EF-5A39-4E7B-A473-929EF5A077E1}" id="{A8D9AF36-BFCD-4DDE-A83D-EDD2A734D5E1}">
    <text>4 Camas, Alquiler 1.800€</text>
  </threadedComment>
  <threadedComment ref="F4929" dT="2025-02-26T14:29:45.42" personId="{17D30B62-2123-41F1-B603-E5411FDFA3E0}" id="{AC1792E4-E180-49E8-8B89-200077F94A5F}">
    <text>9 Camas, Alquiler 2300€, Fianza 700€</text>
  </threadedComment>
  <threadedComment ref="F4929" dT="2026-01-21T15:11:00.84" personId="{4D8483EF-5A39-4E7B-A473-929EF5A077E1}" id="{4A13675F-BB12-4976-BCF1-3A6D4AF1ACBA}" parentId="{AC1792E4-E180-49E8-8B89-200077F94A5F}">
    <text xml:space="preserve">Descuento a 2000€ </text>
  </threadedComment>
  <threadedComment ref="F4930" dT="2026-01-05T10:25:45.92" personId="{4D8483EF-5A39-4E7B-A473-929EF5A077E1}" id="{D53C3318-5BF6-4E83-A8B1-775DDBC85C95}">
    <text>3 Habitaciones triples camas separadas- 9 Camas</text>
  </threadedComment>
  <threadedComment ref="F4931" dT="2025-05-08T08:33:13.71" personId="{17D30B62-2123-41F1-B603-E5411FDFA3E0}" id="{66DE91A5-7182-410C-BA60-ACE6245FBE04}">
    <text>Fianza     550€  ,Alquiler 550€   </text>
  </threadedComment>
  <threadedComment ref="F4931" dT="2025-09-15T11:03:34.57" personId="{98986A2A-739A-4851-A979-4B0D560C46CD}" id="{429C9232-1983-4C3F-9711-78135AFFC47A}" parentId="{66DE91A5-7182-410C-BA60-ACE6245FBE04}">
    <text>+200€ porque se adiciona una cama</text>
  </threadedComment>
  <threadedComment ref="F4932" dT="2026-02-18T08:38:11.35" personId="{4D8483EF-5A39-4E7B-A473-929EF5A077E1}" id="{3989063F-15B5-493B-B68A-E4389969D5D2}">
    <text>Alojamiento entero · 4 camas · 4 viajeros</text>
  </threadedComment>
  <threadedComment ref="F4933" dT="2026-02-18T08:38:11.35" personId="{4D8483EF-5A39-4E7B-A473-929EF5A077E1}" id="{921DEAFF-0BB3-4700-9097-9D421B4E89E6}">
    <text>Alojamiento entero · 4 camas · 4 viajeros</text>
  </threadedComment>
  <threadedComment ref="F4934" dT="2026-02-18T08:38:11.35" personId="{4D8483EF-5A39-4E7B-A473-929EF5A077E1}" id="{0ECA6AA8-B7A9-462C-924E-7E8A0838DA28}">
    <text>Alojamiento entero · 4 camas · 4 viajeros</text>
  </threadedComment>
  <threadedComment ref="F4935" dT="2026-02-18T08:38:11.35" personId="{4D8483EF-5A39-4E7B-A473-929EF5A077E1}" id="{FD8D5907-3E50-4254-8FCB-44C0B2AF0327}">
    <text>Alojamiento entero · 4 camas · 4 viajeros</text>
  </threadedComment>
  <threadedComment ref="F4936" dT="2025-05-08T08:33:13.71" personId="{17D30B62-2123-41F1-B603-E5411FDFA3E0}" id="{A6DAE12F-73AC-484E-9B58-E60334226AC5}">
    <text>Fianza     550€  ,Alquiler 550€   </text>
  </threadedComment>
  <threadedComment ref="F4936" dT="2025-09-15T11:03:34.57" personId="{98986A2A-739A-4851-A979-4B0D560C46CD}" id="{A137D1E3-BD09-48EE-9D05-C322003BFF75}" parentId="{A6DAE12F-73AC-484E-9B58-E60334226AC5}">
    <text>+200€ porque se adiciona una cama</text>
  </threadedComment>
  <threadedComment ref="F4936" dT="2025-12-17T11:04:52.61" personId="{4D8483EF-5A39-4E7B-A473-929EF5A077E1}" id="{823AB353-D6C1-4ACB-A49D-BC18C38ED34B}" parentId="{A6DAE12F-73AC-484E-9B58-E60334226AC5}">
    <text>3 CAMAS</text>
  </threadedComment>
  <threadedComment ref="F4939" dT="2025-02-13T10:05:11.33" personId="{17D30B62-2123-41F1-B603-E5411FDFA3E0}" id="{96DA95EA-F354-4C9B-8E5F-D60E0E6B5A38}">
    <text>Habitacion doble para trabajadores cant 1 Costo 60€/noche
Habitacion triple para trabajadores cant 3 Costo 75€/noche cada una
(camas separadas)</text>
  </threadedComment>
  <threadedComment ref="F4955" dT="2025-06-12T08:53:55.86" personId="{98986A2A-739A-4851-A979-4B0D560C46CD}" id="{59441955-A1F9-4976-A343-E112E90F952B}">
    <text>1200€ alquiler + 200€suministros+ 2400€ fianza. 04 camas</text>
  </threadedComment>
  <threadedComment ref="F4962" dT="2025-11-05T11:01:09.24" personId="{4D8483EF-5A39-4E7B-A473-929EF5A077E1}" id="{D028CA74-94F1-4FA4-8211-1CAD41EB4E22}">
    <text>Asignación de piso para 4 trabajadores en Huelva.</text>
  </threadedComment>
  <threadedComment ref="F4963" dT="2026-01-29T14:32:41.57" personId="{4D8483EF-5A39-4E7B-A473-929EF5A077E1}" id="{2E9BD458-CDF9-493C-A5D4-EFB7FF5B8B33}">
    <text>Alojamiento para 6 personas</text>
  </threadedComment>
  <threadedComment ref="F4964" dT="2025-10-02T11:37:02.21" personId="{17D30B62-2123-41F1-B603-E5411FDFA3E0}" id="{BF603E65-7CF4-4E60-A61F-37ADB4A61794}">
    <text> Alquiler 400€ Fianza 400€</text>
  </threadedComment>
  <threadedComment ref="F4965" dT="2025-10-02T11:36:50.19" personId="{17D30B62-2123-41F1-B603-E5411FDFA3E0}" id="{A02D27C1-2A44-4558-A832-825F72B27EE8}">
    <text>Alquiler 350€ Fianza 350€ </text>
  </threadedComment>
  <threadedComment ref="F4967" dT="2026-02-23T08:06:33.64" personId="{4D8483EF-5A39-4E7B-A473-929EF5A077E1}" id="{DDC1A9F5-2A6E-4D8F-84E2-68277D212F9C}">
    <text>(para 4 personas)</text>
  </threadedComment>
  <threadedComment ref="F4968" dT="2026-02-23T08:06:33.64" personId="{4D8483EF-5A39-4E7B-A473-929EF5A077E1}" id="{4774D231-31A4-4D51-8AC6-E7C751DB7C13}">
    <text>(para 4 personas)</text>
  </threadedComment>
  <threadedComment ref="F4969" dT="2026-02-23T08:06:33.64" personId="{4D8483EF-5A39-4E7B-A473-929EF5A077E1}" id="{F499617A-0E22-4E84-9731-9F6E9BCA37E1}">
    <text>(para 4 personas)</text>
  </threadedComment>
  <threadedComment ref="F4970" dT="2026-02-23T08:06:33.64" personId="{4D8483EF-5A39-4E7B-A473-929EF5A077E1}" id="{B56A41CA-BB03-4CB4-A3C5-908253E6BA44}">
    <text>(para 4 personas)</text>
  </threadedComment>
  <threadedComment ref="F4972" dT="2025-02-13T10:05:11.33" personId="{17D30B62-2123-41F1-B603-E5411FDFA3E0}" id="{4130A4A6-68DC-4408-B118-C0DE1A2B3472}">
    <text>Habitacion doble para trabajadores cant 1 Costo 60€/noche
Habitacion triple para trabajadores cant 3 Costo 75€/noche cada una
(camas separadas)</text>
  </threadedComment>
  <threadedComment ref="F4973" dT="2025-02-13T10:05:11.33" personId="{17D30B62-2123-41F1-B603-E5411FDFA3E0}" id="{F7FACFA8-30C9-4069-8D36-D4E79FAEE6FB}">
    <text>Habitacion doble para trabajadores cant 1 Costo 60€/noche
Habitacion triple para trabajadores cant 3 Costo 75€/noche cada una
(camas separadas)</text>
  </threadedComment>
  <threadedComment ref="F4974" dT="2025-02-13T10:05:11.33" personId="{17D30B62-2123-41F1-B603-E5411FDFA3E0}" id="{667DEDEC-F2D9-448A-AA14-0B93B3AB7FAE}">
    <text>4 Habitaciones 5 camas 1 sofá</text>
  </threadedComment>
  <threadedComment ref="F4974" dT="2025-11-07T07:08:43.68" personId="{98986A2A-739A-4851-A979-4B0D560C46CD}" id="{DD169EC3-EAB6-4A4C-9F31-B68CF595634F}" parentId="{667DEDEC-F2D9-448A-AA14-0B93B3AB7FAE}">
    <text>875,50 alquiler</text>
  </threadedComment>
  <threadedComment ref="F4974" dT="2026-08-19T09:16:29.54" personId="{E3C446A3-37B8-466B-82DA-8F7BAC7681F7}" id="{BDAC63DE-8614-49EA-BB8A-8CC0834BCD71}" parentId="{667DEDEC-F2D9-448A-AA14-0B93B3AB7FAE}">
    <text>FIANZA 1700€</text>
  </threadedComment>
  <threadedComment ref="F4975" dT="2025-02-13T10:05:11.33" personId="{17D30B62-2123-41F1-B603-E5411FDFA3E0}" id="{A63189D8-810D-4728-BB2A-33A53FFBED54}">
    <text>4 Habitaciones 5 camas 1 sofá</text>
  </threadedComment>
  <threadedComment ref="F4975" dT="2025-11-07T07:08:43.68" personId="{98986A2A-739A-4851-A979-4B0D560C46CD}" id="{D0B6F434-F9C7-4928-BF3E-D2D6155DEFDF}" parentId="{A63189D8-810D-4728-BB2A-33A53FFBED54}">
    <text>875,50 alquiler</text>
  </threadedComment>
  <threadedComment ref="F4975" dT="2026-08-19T09:16:29.54" personId="{E3C446A3-37B8-466B-82DA-8F7BAC7681F7}" id="{89BB47C3-3255-420F-8190-AC840554C3A3}" parentId="{A63189D8-810D-4728-BB2A-33A53FFBED54}">
    <text>FIANZA 1700€</text>
  </threadedComment>
  <threadedComment ref="F4976" dT="2025-02-13T10:05:11.33" personId="{17D30B62-2123-41F1-B603-E5411FDFA3E0}" id="{426B13CE-CA59-4F28-8E2B-8164D8D46609}">
    <text xml:space="preserve">Alquiler 1438,80€    3 camas </text>
  </threadedComment>
  <threadedComment ref="F4978" dT="2025-03-11T10:16:04.90" personId="{98986A2A-739A-4851-A979-4B0D560C46CD}" id="{AD61413F-7419-4240-B2B5-16DA14ED60C1}">
    <text xml:space="preserve">6 camas 
Renta vivienda 1.250€+ Servicio de Limpieza 363€ =TOTAL 1.613€, fianza 
</text>
  </threadedComment>
  <threadedComment ref="F4978" dT="2025-12-09T08:40:53.10" personId="{4D8483EF-5A39-4E7B-A473-929EF5A077E1}" id="{5494BD78-4718-4A79-8962-86A46FF04386}" parentId="{AD61413F-7419-4240-B2B5-16DA14ED60C1}">
    <text>Renovación contrato vivienda 1.050€+suministros 250€ + Servicio de Limpieza 363€ =TOTAL 1.663€, fianza 950€</text>
  </threadedComment>
  <threadedComment ref="F4979" dT="2026-02-16T08:56:30.42" personId="{4D8483EF-5A39-4E7B-A473-929EF5A077E1}" id="{6C81144E-FFAE-4515-A9B7-80C040B26187}">
    <text>2 Camas alquiler 900€</text>
  </threadedComment>
  <threadedComment ref="F4980" dT="2026-02-16T08:56:30.42" personId="{4D8483EF-5A39-4E7B-A473-929EF5A077E1}" id="{E17F2731-DD09-4273-85C5-3C9B24476C9D}">
    <text>2 Camas alquiler 900€</text>
  </threadedComment>
  <threadedComment ref="F4983" dT="2024-06-05T10:13:18.67" personId="{98986A2A-739A-4851-A979-4B0D560C46CD}" id="{5803924E-4805-4C73-BB72-198BFA312030}">
    <text xml:space="preserve">4 habitaciones, 2000€ ALQUILER
</text>
  </threadedComment>
  <threadedComment ref="F4983" dT="2026-01-16T09:39:32.84" personId="{4D8483EF-5A39-4E7B-A473-929EF5A077E1}" id="{D4A0912E-905E-47BF-B8DB-765B23D88A65}" parentId="{5803924E-4805-4C73-BB72-198BFA312030}">
    <text>Lo bajo a 1.500 € porque solo hay dos alojados; vuelve a 2.000 € cuando estén completos.</text>
  </threadedComment>
  <threadedComment ref="F4984" dT="2025-10-22T10:38:32.82" personId="{4D8483EF-5A39-4E7B-A473-929EF5A077E1}" id="{3B7CA6E2-8EB3-42BE-810C-72B827E6C0C9}">
    <text>(para 4 personas)</text>
  </threadedComment>
  <threadedComment ref="F4986" dT="2026-02-26T10:35:32.63" personId="{4D8483EF-5A39-4E7B-A473-929EF5A077E1}" id="{0588E133-AB58-4D71-9522-DE77A97407AD}">
    <text>3 Camas Alquiler 750€
Fianza 750€</text>
  </threadedComment>
  <threadedComment ref="F4987" dT="2026-02-26T10:35:39.35" personId="{4D8483EF-5A39-4E7B-A473-929EF5A077E1}" id="{3C0A2091-AE55-454A-A735-5B1D771313EE}">
    <text>3 Camas Alquiler 750€
Fianza 750€</text>
  </threadedComment>
  <threadedComment ref="F4988" dT="2025-03-03T18:16:08.96" personId="{98986A2A-739A-4851-A979-4B0D560C46CD}" id="{26536386-B83C-4176-B9B2-07B19337EBA4}">
    <text>03 camas, 1500€ alquiler, 600€ fianza</text>
  </threadedComment>
  <threadedComment ref="F4989" dT="2025-03-03T18:16:08.96" personId="{98986A2A-739A-4851-A979-4B0D560C46CD}" id="{63A1B868-8346-4D94-AAC9-6D0C9AB67707}">
    <text>03 camas, 1500€ alquiler, 600€ fianza</text>
  </threadedComment>
  <threadedComment ref="F4990" dT="2025-10-09T09:33:31.28" personId="{4D8483EF-5A39-4E7B-A473-929EF5A077E1}" id="{47303304-9107-42DC-A44A-5B960383CD33}">
    <text>4 Camas, Alquiler 1.800€</text>
  </threadedComment>
  <threadedComment ref="F4991" dT="2025-10-09T09:33:31.28" personId="{4D8483EF-5A39-4E7B-A473-929EF5A077E1}" id="{DDB752AE-D994-42EA-9D46-2E7BF03D068B}">
    <text>4 Camas, Alquiler 1.800€</text>
  </threadedComment>
  <threadedComment ref="F4992" dT="2024-06-05T10:13:18.67" personId="{98986A2A-739A-4851-A979-4B0D560C46CD}" id="{75C353FF-B84C-4893-95CA-60C73DDB6797}">
    <text xml:space="preserve">4 habitaciones, 2000€ ALQUILER
</text>
  </threadedComment>
  <threadedComment ref="F4992" dT="2026-01-16T09:39:32.84" personId="{4D8483EF-5A39-4E7B-A473-929EF5A077E1}" id="{B0CDC44E-CD8E-4E66-8FBF-E975CA3829C5}" parentId="{75C353FF-B84C-4893-95CA-60C73DDB6797}">
    <text>Lo bajo a 1.500 € porque solo hay dos alojados; vuelve a 2.000 € cuando estén completos.</text>
  </threadedComment>
  <threadedComment ref="F4996" dT="2024-06-05T10:13:18.67" personId="{98986A2A-739A-4851-A979-4B0D560C46CD}" id="{FF61A1EC-7DB8-4E90-8A58-87E2DE2C2F16}">
    <text xml:space="preserve">4 habitaciones, 2000€ ALQUILER
</text>
  </threadedComment>
  <threadedComment ref="F4996" dT="2026-01-16T09:39:32.84" personId="{4D8483EF-5A39-4E7B-A473-929EF5A077E1}" id="{1477A8B0-2B4D-4431-A561-8609A4739FB6}" parentId="{FF61A1EC-7DB8-4E90-8A58-87E2DE2C2F16}">
    <text>Lo bajo a 1.500 € porque solo hay dos alojados; vuelve a 2.000 € cuando estén completos.</text>
  </threadedComment>
  <threadedComment ref="F4997" dT="2025-02-25T14:27:09.00" personId="{98986A2A-739A-4851-A979-4B0D560C46CD}" id="{18A48394-53EE-4878-83CD-B40CF061755D}">
    <text>03 CAMAS, 1450€ ALQUILER, 600€ FIANZA. SE PAGO MARZO</text>
  </threadedComment>
  <threadedComment ref="F4998" dT="2025-09-02T10:43:23.63" personId="{17D30B62-2123-41F1-B603-E5411FDFA3E0}" id="{8C514729-E07C-436E-94B4-2726D7B3B3A0}">
    <text>1 Habitación, Alquiler 400€ Fianza 300€</text>
  </threadedComment>
  <threadedComment ref="F4999" dT="2025-07-09T14:24:23.31" personId="{98986A2A-739A-4851-A979-4B0D560C46CD}" id="{166A1565-C2A2-4EF3-8529-AC58A70CD43D}">
    <text>10 CAMAS. ALQUILER 1643.20</text>
  </threadedComment>
  <threadedComment ref="F5000" dT="2025-07-09T14:24:23.31" personId="{98986A2A-739A-4851-A979-4B0D560C46CD}" id="{351246C6-0316-4DEE-B16A-D091C49170C5}">
    <text>10 CAMAS. ALQUILER 1643.20</text>
  </threadedComment>
  <threadedComment ref="F5001" dT="2025-07-09T14:24:23.31" personId="{98986A2A-739A-4851-A979-4B0D560C46CD}" id="{D6FEADC2-23DD-4157-B3B7-868A4B16AC2F}">
    <text>10 CAMAS. ALQUILER 1643.20</text>
  </threadedComment>
  <threadedComment ref="F5002" dT="2025-07-09T14:24:23.31" personId="{98986A2A-739A-4851-A979-4B0D560C46CD}" id="{1DF30009-AA56-451B-AF0D-17573D355EEB}">
    <text>10 CAMAS. ALQUILER 1643.20</text>
  </threadedComment>
  <threadedComment ref="F5003" dT="2026-03-25T13:26:12.66" personId="{4D8483EF-5A39-4E7B-A473-929EF5A077E1}" id="{A171552C-43BA-4E89-A547-0AB438E6592C}">
    <text>Alquiler 250€ + gastos</text>
  </threadedComment>
  <threadedComment ref="F5004" dT="2025-02-25T14:27:09.00" personId="{98986A2A-739A-4851-A979-4B0D560C46CD}" id="{182DC743-11F1-413B-86CF-04B65F3E56CF}">
    <text>03 CAMAS, 1450€ ALQUILER, 600€ FIANZA. SE PAGO MARZO</text>
  </threadedComment>
  <threadedComment ref="F5005" dT="2026-01-09T09:09:53.11" personId="{4D8483EF-5A39-4E7B-A473-929EF5A077E1}" id="{BDAEA383-84D9-42F5-AAAA-42E6EE4F56E9}">
    <text>Alojamiento para 5
SIN FIANZA. El pago se realizará mediante transferencia. La mensualidad es: DOS MIL QUINIENTOS EUROS, (2.500€) Incluidos suministros.</text>
  </threadedComment>
  <threadedComment ref="F5006" dT="2026-01-09T09:09:53.11" personId="{4D8483EF-5A39-4E7B-A473-929EF5A077E1}" id="{E0E04B18-865C-44F8-92A5-3735861B1BC4}">
    <text>Alojamiento para 5
SIN FIANZA. El pago se realizará mediante transferencia. La mensualidad es: DOS MIL QUINIENTOS EUROS, (2.500€) Incluidos suministros.</text>
  </threadedComment>
  <threadedComment ref="F5007" dT="2026-01-09T09:10:53.71" personId="{4D8483EF-5A39-4E7B-A473-929EF5A077E1}" id="{EFA13EF6-AB21-4EB8-A39E-630A85E16EAF}">
    <text>Alojamiento para 9
SIN FIANZA. El pago se realizará mediante transferencia. La mensualidad es: TRES MIL QUINIENTOS EUROS, (3.500€) Incluidos suministros.</text>
  </threadedComment>
  <threadedComment ref="F5008" dT="2026-01-09T09:10:53.71" personId="{4D8483EF-5A39-4E7B-A473-929EF5A077E1}" id="{3582F773-4BAB-40A1-B5B4-C7787F9EFFBE}">
    <text>Alojamiento para 9
SIN FIANZA. El pago se realizará mediante transferencia. La mensualidad es: TRES MIL QUINIENTOS EUROS, (3.500€) Incluidos suministros.</text>
  </threadedComment>
  <threadedComment ref="F5009" dT="2026-01-09T09:10:53.71" personId="{4D8483EF-5A39-4E7B-A473-929EF5A077E1}" id="{682B38B9-D451-4E69-9F49-1EDFC3EC8954}">
    <text>Alojamiento para 9
SIN FIANZA. El pago se realizará mediante transferencia. La mensualidad es: TRES MIL QUINIENTOS EUROS, (3.500€) Incluidos suministros.</text>
  </threadedComment>
  <threadedComment ref="F5010" dT="2026-01-09T09:10:53.71" personId="{4D8483EF-5A39-4E7B-A473-929EF5A077E1}" id="{A8672FE7-032C-41E6-BEAA-79E0AC8998BB}">
    <text>Alojamiento para 9
SIN FIANZA. El pago se realizará mediante transferencia. La mensualidad es: TRES MIL QUINIENTOS EUROS, (3.500€) Incluidos suministros.</text>
  </threadedComment>
  <threadedComment ref="F5011" dT="2026-01-09T09:10:53.71" personId="{4D8483EF-5A39-4E7B-A473-929EF5A077E1}" id="{F9618C15-4126-422A-B049-5DE7D883793A}">
    <text>Alojamiento para 9
SIN FIANZA. El pago se realizará mediante transferencia. La mensualidad es: TRES MIL QUINIENTOS EUROS, (3.500€) Incluidos suministros.</text>
  </threadedComment>
  <threadedComment ref="F5012" dT="2026-01-09T09:10:53.71" personId="{4D8483EF-5A39-4E7B-A473-929EF5A077E1}" id="{25089353-0055-471B-99E4-7005C441683F}">
    <text>Alojamiento para 9
SIN FIANZA. El pago se realizará mediante transferencia. La mensualidad es: TRES MIL QUINIENTOS EUROS, (3.500€) Incluidos suministros.</text>
  </threadedComment>
  <threadedComment ref="F5013" dT="2026-01-09T09:09:53.11" personId="{4D8483EF-5A39-4E7B-A473-929EF5A077E1}" id="{9C60DD16-4C1E-4ACD-9C50-392DB2D0BA96}">
    <text>Alojamiento para 5
SIN FIANZA. El pago se realizará mediante transferencia. La mensualidad es: DOS MIL QUINIENTOS EUROS, (2.500€) Incluidos suministros.</text>
  </threadedComment>
  <threadedComment ref="F5014" dT="2026-01-09T09:09:53.11" personId="{4D8483EF-5A39-4E7B-A473-929EF5A077E1}" id="{A33C9BE8-1B2A-412F-8374-E09B489A3F14}">
    <text>Alojamiento para 5
SIN FIANZA. El pago se realizará mediante transferencia. La mensualidad es: DOS MIL QUINIENTOS EUROS, (2.500€) Incluidos suministros.</text>
  </threadedComment>
  <threadedComment ref="F5015" dT="2025-07-09T14:24:23.31" personId="{98986A2A-739A-4851-A979-4B0D560C46CD}" id="{69D55B37-4C32-4C06-A31C-24238999024D}">
    <text>10 CAMAS. ALQUILER 1643.20</text>
  </threadedComment>
  <threadedComment ref="F5016" dT="2025-09-22T06:31:07.01" personId="{17D30B62-2123-41F1-B603-E5411FDFA3E0}" id="{59BF362B-776B-45BC-8C5B-CDC864DE1999}">
    <text>1 Habitación, 28€/ Noche un mes entrando el 20/09</text>
  </threadedComment>
  <threadedComment ref="F5021" dT="2025-08-28T13:36:19.14" personId="{17D30B62-2123-41F1-B603-E5411FDFA3E0}" id="{9332081E-6DE5-48C6-B102-21CCA07F5E93}">
    <text>(Piso con 4 Camas)
Alquiler 1400 
Fianza 1400€</text>
  </threadedComment>
  <threadedComment ref="F5022" dT="2025-08-28T13:36:19.14" personId="{17D30B62-2123-41F1-B603-E5411FDFA3E0}" id="{703C359D-335E-4EB5-9861-D460D8EDA93E}">
    <text>(Piso con 4 Camas)
Alquiler 1400 
Fianza 1400€</text>
  </threadedComment>
  <threadedComment ref="F5023" dT="2025-08-28T13:36:19.14" personId="{17D30B62-2123-41F1-B603-E5411FDFA3E0}" id="{F277D741-1620-4421-8072-025FA21B1796}">
    <text>(Piso con 4 Camas)
Alquiler 1400 
Fianza 1400€</text>
  </threadedComment>
  <threadedComment ref="F5024" dT="2025-02-26T14:29:45.42" personId="{17D30B62-2123-41F1-B603-E5411FDFA3E0}" id="{A09BD215-6F91-4EC9-9711-5BCF3B953D81}">
    <text>9 Camas, Alquiler 2300€, Fianza 700€</text>
  </threadedComment>
  <threadedComment ref="F5024" dT="2026-01-21T15:11:00.84" personId="{4D8483EF-5A39-4E7B-A473-929EF5A077E1}" id="{08167A8A-6D59-4CBF-B692-274EF33AF104}" parentId="{A09BD215-6F91-4EC9-9711-5BCF3B953D81}">
    <text xml:space="preserve">Descuento a 2000€ </text>
  </threadedComment>
  <threadedComment ref="F5025" dT="2026-06-05T10:41:32.34" personId="{4D8483EF-5A39-4E7B-A473-929EF5A077E1}" id="{6A27B53F-CDFA-4286-AB18-8773D00428B0}">
    <text>Alojamiento entero · 5 camas · 4 viajeros</text>
  </threadedComment>
  <threadedComment ref="F5029" dT="2025-03-31T09:50:42.16" personId="{17D30B62-2123-41F1-B603-E5411FDFA3E0}" id="{8F5B950F-FD5E-43FF-AB3B-6694BEE862F8}">
    <text>Alojamiento entero · 4 camas · 4</text>
  </threadedComment>
  <threadedComment ref="F5031" dT="2026-01-26T09:23:06.60" personId="{4D8483EF-5A39-4E7B-A473-929EF5A077E1}" id="{A04C8C57-20C0-432F-B0B4-8C36713274D4}">
    <text>Alojamiento entero · 4 camas · 3 viajeros</text>
  </threadedComment>
  <threadedComment ref="F5032" dT="2026-01-26T09:23:06.60" personId="{4D8483EF-5A39-4E7B-A473-929EF5A077E1}" id="{9106E9A5-FE74-4818-86F8-8FC36310ADE9}">
    <text>Alojamiento entero · 4 camas · 3 viajeros</text>
  </threadedComment>
  <threadedComment ref="F5033" dT="2026-01-26T09:23:06.60" personId="{4D8483EF-5A39-4E7B-A473-929EF5A077E1}" id="{20124366-2F46-46A8-9B0A-77E3A3F41001}">
    <text>Alojamiento entero · 4 camas · 3 viajeros</text>
  </threadedComment>
  <threadedComment ref="F5035" dT="2024-06-05T10:13:18.67" personId="{98986A2A-739A-4851-A979-4B0D560C46CD}" id="{BF27C050-F618-489D-B30E-25F23477D995}">
    <text xml:space="preserve">4 habitaciones, 2000€ ALQUILER
</text>
  </threadedComment>
  <threadedComment ref="F5036" dT="2025-06-12T08:53:55.86" personId="{98986A2A-739A-4851-A979-4B0D560C46CD}" id="{D7EC811C-F5B3-4AE7-A7B6-EE6F6932D4CD}">
    <text>1200€ alquiler + 200€suministros+ 2400€ fianza. 04 camas</text>
  </threadedComment>
  <threadedComment ref="F5037" dT="2025-02-13T10:05:11.33" personId="{17D30B62-2123-41F1-B603-E5411FDFA3E0}" id="{114ED222-AFDE-46B5-9379-7C52287BC0B9}">
    <text>Habitacion doble para trabajadores cant 1 Costo 60€/noche
Habitacion triple para trabajadores cant 3 Costo 75€/noche cada una
(camas separadas)</text>
  </threadedComment>
  <threadedComment ref="F5038" dT="2025-02-13T10:05:11.33" personId="{17D30B62-2123-41F1-B603-E5411FDFA3E0}" id="{88C689AE-FA89-499D-8704-7AC9B02EF999}">
    <text>Habitacion doble para trabajadores cant 1 Costo 60€/noche
Habitacion triple para trabajadores cant 3 Costo 75€/noche cada una
(camas separadas)</text>
  </threadedComment>
  <threadedComment ref="F5039" dT="2025-02-10T17:07:43.06" personId="{17D30B62-2123-41F1-B603-E5411FDFA3E0}" id="{F5EAEEE3-B711-40A3-A324-9E01B7F53D53}">
    <text>350€ por cada habitacion
350€ fianza</text>
  </threadedComment>
  <threadedComment ref="F5039" dT="2025-02-12T10:28:53.03" personId="{98986A2A-739A-4851-A979-4B0D560C46CD}" id="{B33E8B36-5235-4D50-B737-B4E2314D8AD1}" parentId="{F5EAEEE3-B711-40A3-A324-9E01B7F53D53}">
    <text>04 habitaciones x 350 cu. Fianza 350 c/h Total 1400</text>
  </threadedComment>
  <threadedComment ref="F5039" dT="2025-02-12T10:41:29.61" personId="{98986A2A-739A-4851-A979-4B0D560C46CD}" id="{C14E1AC6-910D-4EFB-9F67-38C4C40CDE10}" parentId="{F5EAEEE3-B711-40A3-A324-9E01B7F53D53}">
    <text>Se adicionan 03 habitaciones 10/02 x 350 € c/u. Fianza 350€ c/u. Total 1050€fianza</text>
  </threadedComment>
  <threadedComment ref="F5040" dT="2025-02-13T10:05:11.33" personId="{17D30B62-2123-41F1-B603-E5411FDFA3E0}" id="{20B98CAF-69FC-409A-9D6B-018B981E9140}">
    <text>Habitacion doble para trabajadores cant 1 Costo 60€/noche
Habitacion triple para trabajadores cant 3 Costo 75€/noche cada una
(camas separadas)</text>
  </threadedComment>
  <threadedComment ref="F5041" dT="2025-02-13T10:05:11.33" personId="{17D30B62-2123-41F1-B603-E5411FDFA3E0}" id="{D3C86F93-1BBA-4B89-A314-BC915E697FAF}">
    <text>Habitacion doble para trabajadores cant 1 Costo 60€/noche
Habitacion triple para trabajadores cant 3 Costo 75€/noche cada una
(camas separadas)</text>
  </threadedComment>
  <threadedComment ref="F5042" dT="2025-02-13T10:05:11.33" personId="{17D30B62-2123-41F1-B603-E5411FDFA3E0}" id="{4EA1A1EF-CCF0-4740-AC96-474E359B276D}">
    <text>Habitacion doble para trabajadores cant 1 Costo 60€/noche
Habitacion triple para trabajadores cant 3 Costo 75€/noche cada una
(camas separadas)</text>
  </threadedComment>
  <threadedComment ref="F5043" dT="2025-02-13T10:05:11.33" personId="{17D30B62-2123-41F1-B603-E5411FDFA3E0}" id="{2FC577E5-ACCC-4C7B-BC45-8DF2FD6C99D6}">
    <text>Habitacion doble para trabajadores cant 1 Costo 60€/noche
Habitacion triple para trabajadores cant 3 Costo 75€/noche cada una
(camas separadas)</text>
  </threadedComment>
  <threadedComment ref="F5044" dT="2024-08-12T06:19:55.68" personId="{8BEA8CB1-BB33-44FC-A791-4439DE945680}" id="{3F6A99C0-F386-4943-A42F-82E20BB82FC5}">
    <text>ALQUILER  1500    FIANZA     3000   CAMAS 9</text>
  </threadedComment>
  <threadedComment ref="F5044" dT="2024-12-02T12:38:12.96" personId="{98986A2A-739A-4851-A979-4B0D560C46CD}" id="{69C53FA7-0B87-49D9-B981-FE3BC75D97A5}" parentId="{3F6A99C0-F386-4943-A42F-82E20BB82FC5}">
    <text>11 camas, 09 acomodadas, 02 pendientes por acomodar</text>
  </threadedComment>
  <threadedComment ref="F5044" dT="2025-12-04T11:05:40.71" personId="{4D8483EF-5A39-4E7B-A473-929EF5A077E1}" id="{F57BD32B-AE12-495B-92AD-321647903020}" parentId="{3F6A99C0-F386-4943-A42F-82E20BB82FC5}">
    <text xml:space="preserve">ALQUILER  1500€ + I.V.A. 21% =315€  TOTAL A PAGAR: 1,815€  FIANZA     3000€   </text>
  </threadedComment>
  <threadedComment ref="F5045" dT="2024-08-19T11:49:32.68" personId="{98986A2A-739A-4851-A979-4B0D560C46CD}" id="{E4174F4A-41F6-4083-9566-DA51DA08E08C}">
    <text>3 habitaciones, 4 camas</text>
  </threadedComment>
  <threadedComment ref="F5046" dT="2025-02-13T10:05:11.33" personId="{17D30B62-2123-41F1-B603-E5411FDFA3E0}" id="{B891D7D2-0025-4413-B24B-D00A29292460}">
    <text>Habitacion doble para trabajadores cant 1 Costo 60€/noche
Habitacion triple para trabajadores cant 3 Costo 75€/noche cada una
(camas separadas)</text>
  </threadedComment>
  <threadedComment ref="V5046" dT="2024-07-08T10:52:24.06" personId="{98986A2A-739A-4851-A979-4B0D560C46CD}" id="{C8E7BE5B-FB1B-46AF-90E5-F1D555ABBA1F}">
    <text xml:space="preserve">Buscar hotel desde 27/07 al 05/08. martes 06/08 vuelven a la casa hasta el 31/08
</text>
  </threadedComment>
  <threadedComment ref="F5047" dT="2025-02-13T10:05:11.33" personId="{17D30B62-2123-41F1-B603-E5411FDFA3E0}" id="{3EEFF511-F3CE-42CA-ACB3-EBBAB413E0A4}">
    <text>Habitacion doble para trabajadores cant 1 Costo 60€/noche
Habitacion triple para trabajadores cant 3 Costo 75€/noche cada una
(camas separadas)</text>
  </threadedComment>
  <threadedComment ref="V5047" dT="2024-07-08T10:52:24.06" personId="{98986A2A-739A-4851-A979-4B0D560C46CD}" id="{9031A28E-F273-4FA2-B69F-5073E97E84A3}">
    <text xml:space="preserve">Buscar hotel desde 27/07 al 05/08. martes 06/08 vuelven a la casa hasta el 31/08
</text>
  </threadedComment>
  <threadedComment ref="F5049" dT="2025-02-13T10:05:11.33" personId="{17D30B62-2123-41F1-B603-E5411FDFA3E0}" id="{E6A772BD-A116-4746-BC62-4A8672B4EA2D}">
    <text>Habitacion doble para trabajadores cant 1 Costo 60€/noche
Habitacion triple para trabajadores cant 3 Costo 75€/noche cada una
(camas separadas)</text>
  </threadedComment>
  <threadedComment ref="F5050" dT="2025-02-13T10:05:11.33" personId="{17D30B62-2123-41F1-B603-E5411FDFA3E0}" id="{6B4AA036-5507-45CE-A5FB-50D9010EB526}">
    <text>Habitacion doble para trabajadores cant 1 Costo 60€/noche
Habitacion triple para trabajadores cant 3 Costo 75€/noche cada una
(camas separadas)</text>
  </threadedComment>
  <threadedComment ref="F5051" dT="2025-02-13T10:05:11.33" personId="{17D30B62-2123-41F1-B603-E5411FDFA3E0}" id="{B637FA47-EAE0-44C0-AB89-51358E5CA7BB}">
    <text>Habitacion doble para trabajadores cant 1 Costo 60€/noche
Habitacion triple para trabajadores cant 3 Costo 75€/noche cada una
(camas separadas)</text>
  </threadedComment>
  <threadedComment ref="F5052" dT="2025-02-26T14:29:45.42" personId="{17D30B62-2123-41F1-B603-E5411FDFA3E0}" id="{8F15D538-0332-48FA-A4F5-9E43E2D34D17}">
    <text>9 Camas, Alquiler 2300€, Fianza 700€</text>
  </threadedComment>
  <threadedComment ref="F5052" dT="2026-01-21T15:11:00.84" personId="{4D8483EF-5A39-4E7B-A473-929EF5A077E1}" id="{511321F8-ED16-4F26-AA75-19869E83EAFF}" parentId="{8F15D538-0332-48FA-A4F5-9E43E2D34D17}">
    <text xml:space="preserve">Descuento a 2000€ </text>
  </threadedComment>
  <threadedComment ref="F5053" dT="2025-07-09T14:24:23.31" personId="{98986A2A-739A-4851-A979-4B0D560C46CD}" id="{6C065E43-603F-42FD-A656-CE0F0B0E50A2}">
    <text>10 CAMAS. ALQUILER 1643.20</text>
  </threadedComment>
  <threadedComment ref="F5054" dT="2025-02-13T10:05:11.33" personId="{17D30B62-2123-41F1-B603-E5411FDFA3E0}" id="{BBD9A737-8945-4F47-9393-B194FDCB2641}">
    <text>Habitacion doble para trabajadores cant 1 Costo 60€/noche
Habitacion triple para trabajadores cant 3 Costo 75€/noche cada una
(camas separadas)</text>
  </threadedComment>
  <threadedComment ref="F5055" dT="2025-02-13T10:05:11.33" personId="{17D30B62-2123-41F1-B603-E5411FDFA3E0}" id="{EB3523BB-5D33-44AF-A109-9618EC69BC04}">
    <text>Habitacion doble para trabajadores cant 1 Costo 60€/noche
Habitacion triple para trabajadores cant 3 Costo 75€/noche cada una
(camas separadas)</text>
  </threadedComment>
  <threadedComment ref="F5056" dT="2025-07-02T13:20:25.40" personId="{98986A2A-739A-4851-A979-4B0D560C46CD}" id="{94F83F66-58B3-4032-847E-F25B01517EAA}">
    <text>ALQUILER 1400€, FIANZA 1400€ , 06 CAMAS</text>
  </threadedComment>
  <threadedComment ref="F5057" dT="2024-08-19T11:49:32.68" personId="{98986A2A-739A-4851-A979-4B0D560C46CD}" id="{204655EA-C814-4821-A67B-9419891E745D}">
    <text>3 habitaciones</text>
  </threadedComment>
  <threadedComment ref="F5059" dT="2025-02-13T10:05:11.33" personId="{17D30B62-2123-41F1-B603-E5411FDFA3E0}" id="{DC4CA376-5113-4187-81AB-A87AC65BD025}">
    <text>Habitacion doble para trabajadores cant 1 Costo 60€/noche
Habitacion triple para trabajadores cant 3 Costo 75€/noche cada una
(camas separadas)</text>
  </threadedComment>
  <threadedComment ref="F5060" dT="2025-07-03T17:00:32.63" personId="{98986A2A-739A-4851-A979-4B0D560C46CD}" id="{E1FE530F-4492-4032-BA42-2E424FDE771D}">
    <text xml:space="preserve">1400€ ALQUILER, 5 CAMAS
</text>
  </threadedComment>
  <threadedComment ref="F5061" dT="2025-02-13T10:05:11.33" personId="{17D30B62-2123-41F1-B603-E5411FDFA3E0}" id="{70E689F8-C949-4B3E-AC7C-1ED7559C4DF8}">
    <text>2 Habitaciones de 350€ y                   1 Habitación de 375€</text>
  </threadedComment>
  <threadedComment ref="F5064" dT="2025-02-13T10:05:11.33" personId="{17D30B62-2123-41F1-B603-E5411FDFA3E0}" id="{3B89A3BE-3DC7-4FD8-845B-3BE24FC7E368}">
    <text>Habitacion doble para trabajadores cant 1 Costo 60€/noche
Habitacion triple para trabajadores cant 3 Costo 75€/noche cada una
(camas separadas)</text>
  </threadedComment>
  <threadedComment ref="F5067" dT="2024-08-12T06:19:55.68" personId="{8BEA8CB1-BB33-44FC-A791-4439DE945680}" id="{6F169C66-0CB1-458A-A609-BB3BEF28DED7}">
    <text>ALQUILER  1500    FIANZA     3000   CAMAS 9</text>
  </threadedComment>
  <threadedComment ref="F5067" dT="2024-12-02T12:38:12.96" personId="{98986A2A-739A-4851-A979-4B0D560C46CD}" id="{D436787D-5E42-4CD6-989D-0BC9FBF2E8E3}" parentId="{6F169C66-0CB1-458A-A609-BB3BEF28DED7}">
    <text>11 camas, 09 acomodadas, 02 pendientes por acomodar</text>
  </threadedComment>
  <threadedComment ref="F5068" dT="2025-02-13T10:05:11.33" personId="{17D30B62-2123-41F1-B603-E5411FDFA3E0}" id="{58A360D4-8348-47F6-B00B-B4D0C72708AA}">
    <text>Habitacion doble para trabajadores cant 1 Costo 60€/noche
Habitacion triple para trabajadores cant 3 Costo 75€/noche cada una
(camas separadas)</text>
  </threadedComment>
  <threadedComment ref="F5070" dT="2025-02-13T10:05:11.33" personId="{17D30B62-2123-41F1-B603-E5411FDFA3E0}" id="{1397FCB9-3622-4DE6-BFE5-80904C9E5C11}">
    <text>Habitacion doble para trabajadores cant 1 Costo 60€/noche
Habitacion triple para trabajadores cant 3 Costo 75€/noche cada una
(camas separadas)</text>
  </threadedComment>
  <threadedComment ref="F5071" dT="2025-02-13T10:05:11.33" personId="{17D30B62-2123-41F1-B603-E5411FDFA3E0}" id="{EF383B31-B0B0-4CE0-829B-19D4AEBE91EF}">
    <text>Habitacion doble para trabajadores cant 1 Costo 60€/noche
Habitacion triple para trabajadores cant 3 Costo 75€/noche cada una
(camas separadas)</text>
  </threadedComment>
  <threadedComment ref="F5072" dT="2025-02-13T10:05:11.33" personId="{17D30B62-2123-41F1-B603-E5411FDFA3E0}" id="{2AFA0EF5-C54E-4ED1-BD16-30D95A07593D}">
    <text>Habitacion doble para trabajadores cant 1 Costo 60€/noche
Habitacion triple para trabajadores cant 3 Costo 75€/noche cada una
(camas separadas)</text>
  </threadedComment>
  <threadedComment ref="F5073" dT="2025-02-24T11:23:00.51" personId="{17D30B62-2123-41F1-B603-E5411FDFA3E0}" id="{C184832C-43B0-451E-B52F-F4531E95BFE1}">
    <text>1 Habitaciòn</text>
  </threadedComment>
  <threadedComment ref="F5077" dT="2025-02-26T14:56:43.99" personId="{17D30B62-2123-41F1-B603-E5411FDFA3E0}" id="{EB926D99-3DB3-421D-BA66-3CB5A142952E}">
    <text>Alojamiento para 9 personas.
 3 apartamentos triples (101-102-121)</text>
  </threadedComment>
  <threadedComment ref="F5077" dT="2025-10-14T10:02:06.67" personId="{4D8483EF-5A39-4E7B-A473-929EF5A077E1}" id="{253A602C-4BB1-444E-AA46-166B9B2B35CA}" parentId="{EB926D99-3DB3-421D-BA66-3CB5A142952E}">
    <text xml:space="preserve">Alojamiento para 6 personas.
 2 apartamentos triples </text>
  </threadedComment>
  <threadedComment ref="F5078" dT="2025-02-13T10:05:11.33" personId="{17D30B62-2123-41F1-B603-E5411FDFA3E0}" id="{8B2AC819-3E4E-4EC1-87EA-3F71AAE4CB4C}">
    <text>Habitacion doble para trabajadores cant 1 Costo 60€/noche
Habitacion triple para trabajadores cant 3 Costo 75€/noche cada una
(camas separadas)</text>
  </threadedComment>
  <threadedComment ref="F5079" dT="2025-02-13T10:05:11.33" personId="{17D30B62-2123-41F1-B603-E5411FDFA3E0}" id="{67DAC9B6-4E4F-48A5-81B0-98A4ED51FAEA}">
    <text>Habitacion doble para trabajadores cant 1 Costo 60€/noche
Habitacion triple para trabajadores cant 3 Costo 75€/noche cada una
(camas separadas)</text>
  </threadedComment>
  <threadedComment ref="F5080" dT="2025-02-26T14:56:43.99" personId="{17D30B62-2123-41F1-B603-E5411FDFA3E0}" id="{2E46155A-4EDD-4431-A0B4-651B7ED80FEF}">
    <text>Alojamiento para 9 personas.
 3 apartamentos triples (101-102-121)</text>
  </threadedComment>
  <threadedComment ref="F5080" dT="2025-10-14T10:02:06.67" personId="{4D8483EF-5A39-4E7B-A473-929EF5A077E1}" id="{FE11F087-7CF3-4006-A95A-888D0A2278F5}" parentId="{2E46155A-4EDD-4431-A0B4-651B7ED80FEF}">
    <text xml:space="preserve">Alojamiento para 6 personas.
 2 apartamentos triples </text>
  </threadedComment>
  <threadedComment ref="F5082" dT="2024-11-07T11:33:47.80" personId="{17D30B62-2123-41F1-B603-E5411FDFA3E0}" id="{BB393D80-9021-4F0C-8531-382A63E69CAB}">
    <text>Alquiler 2870 Fianza 1435 camas 8</text>
  </threadedComment>
  <threadedComment ref="Y5082" dT="2024-08-12T06:19:55.68" personId="{8BEA8CB1-BB33-44FC-A791-4439DE945680}" id="{607368BF-AADB-4B71-AD79-DD4A21F06D33}">
    <text>ALQUILER  1500    FIANZA     3000   CAMAS 9</text>
  </threadedComment>
  <threadedComment ref="F5086" dT="2025-02-13T10:05:11.33" personId="{17D30B62-2123-41F1-B603-E5411FDFA3E0}" id="{4EFC2F66-6936-46BF-B949-A539740D09DA}">
    <text>1 Habitacion</text>
  </threadedComment>
  <threadedComment ref="F5088" dT="2025-02-26T12:24:18.65" personId="{98986A2A-739A-4851-A979-4B0D560C46CD}" id="{46708966-708C-40B4-BFF9-50B0C4EDFC5E}">
    <text xml:space="preserve">Alquiler 1150 , Fianza 2200  Camas 4
</text>
  </threadedComment>
  <threadedComment ref="F5089" dT="2025-02-13T10:05:11.33" personId="{17D30B62-2123-41F1-B603-E5411FDFA3E0}" id="{CC0AD11F-9C77-40B9-9C00-458CCC0F30F5}">
    <text>Habitacion doble para trabajadores cant 1 Costo 60€/noche
Habitacion triple para trabajadores cant 3 Costo 75€/noche cada una
(camas separadas)</text>
  </threadedComment>
  <threadedComment ref="F5090" dT="2025-02-13T10:05:11.33" personId="{17D30B62-2123-41F1-B603-E5411FDFA3E0}" id="{0A439BA0-3AA5-4913-BA02-A697033DBDAF}">
    <text>Habitacion doble para trabajadores cant 1 Costo 60€/noche
Habitacion triple para trabajadores cant 3 Costo 75€/noche cada una
(camas separadas)</text>
  </threadedComment>
  <threadedComment ref="F5091" dT="2025-02-13T10:05:11.33" personId="{17D30B62-2123-41F1-B603-E5411FDFA3E0}" id="{8DE681F0-3982-4B79-AE5E-9135180C3759}">
    <text>Habitacion doble para trabajadores cant 1 Costo 60€/noche
Habitacion triple para trabajadores cant 3 Costo 75€/noche cada una
(camas separadas)</text>
  </threadedComment>
  <threadedComment ref="F5092" dT="2025-02-13T10:05:11.33" personId="{17D30B62-2123-41F1-B603-E5411FDFA3E0}" id="{4992BC56-0A8E-43B9-BA30-3D77CC2C2679}">
    <text>Habitacion doble para trabajadores cant 1 Costo 60€/noche
Habitacion triple para trabajadores cant 3 Costo 75€/noche cada una
(camas separadas)</text>
  </threadedComment>
  <threadedComment ref="F5093" dT="2025-02-13T10:05:11.33" personId="{17D30B62-2123-41F1-B603-E5411FDFA3E0}" id="{E96929A9-1798-4DE9-BA9F-A4F08F85B282}">
    <text>Habitacion doble para trabajadores cant 1 Costo 60€/noche
Habitacion triple para trabajadores cant 3 Costo 75€/noche cada una
(camas separadas)</text>
  </threadedComment>
  <threadedComment ref="F5094" dT="2025-02-13T10:05:11.33" personId="{17D30B62-2123-41F1-B603-E5411FDFA3E0}" id="{5C7728B5-972D-4511-9AAB-1909F47D9CD6}">
    <text>Habitacion doble para trabajadores cant 1 Costo 60€/noche
Habitacion triple para trabajadores cant 3 Costo 75€/noche cada una
(camas separadas)</text>
  </threadedComment>
  <threadedComment ref="F5095" dT="2024-11-07T11:33:47.80" personId="{17D30B62-2123-41F1-B603-E5411FDFA3E0}" id="{C6274D6F-A6DB-4F0F-85AD-FB6B0DE30D14}">
    <text>Alquiler 2870 Fianza 1435 camas 8</text>
  </threadedComment>
  <threadedComment ref="F5097" dT="2025-07-03T17:00:32.63" personId="{98986A2A-739A-4851-A979-4B0D560C46CD}" id="{E1B6B535-DB2F-4171-AFA3-BFF6246681A6}">
    <text xml:space="preserve">1400€ ALQUILER, 5 CAMAS
</text>
  </threadedComment>
  <threadedComment ref="F5098" dT="2025-02-13T10:05:11.33" personId="{17D30B62-2123-41F1-B603-E5411FDFA3E0}" id="{161279DE-E7C3-459B-836B-E5ED62E95B24}">
    <text>Habitacion doble para trabajadores cant 1 Costo 60€/noche
Habitacion triple para trabajadores cant 3 Costo 75€/noche cada una
(camas separadas)</text>
  </threadedComment>
  <threadedComment ref="F5100" dT="2025-02-13T10:05:11.33" personId="{17D30B62-2123-41F1-B603-E5411FDFA3E0}" id="{5349B22B-76F2-484B-A27E-FBAC9EE724D1}">
    <text>Habitacion doble para trabajadores cant 1 Costo 60€/noche
Habitacion triple para trabajadores cant 3 Costo 75€/noche cada una
(camas separadas)</text>
  </threadedComment>
  <threadedComment ref="F5102" dT="2025-02-25T17:38:25.86" personId="{98986A2A-739A-4851-A979-4B0D560C46CD}" id="{87B13811-A853-4966-8880-C3B92F26E1FB}">
    <text xml:space="preserve">Alquiler 1600 Fianza 1600 camas 5
</text>
  </threadedComment>
  <threadedComment ref="F5105" dT="2025-03-04T17:12:38.85" personId="{98986A2A-739A-4851-A979-4B0D560C46CD}" id="{C4A520FF-524B-4F65-A7CF-265E4020EEDA}">
    <text>09 camas, 2100€ fianza, 2100€ alquiler +50€ luz =2150€</text>
  </threadedComment>
  <threadedComment ref="F5106" dT="2025-03-04T17:12:38.85" personId="{98986A2A-739A-4851-A979-4B0D560C46CD}" id="{034386F4-B5DE-4CBA-8772-C60E111EF9A5}">
    <text xml:space="preserve">09 camas, 2100€ fianza, 2100€ alquiler =2100€.
A partir de Marzo 2026 se adicionan 200€ anticipo de suministros </text>
  </threadedComment>
  <threadedComment ref="F5107" dT="2025-02-13T10:05:11.33" personId="{17D30B62-2123-41F1-B603-E5411FDFA3E0}" id="{6F3CDA12-239D-40E7-8FA6-D2358E8B4409}">
    <text>Habitacion doble para trabajadores cant 1 Costo 60€/noche
Habitacion triple para trabajadores cant 3 Costo 75€/noche cada una
(camas separadas)</text>
  </threadedComment>
  <threadedComment ref="F5114" dT="2025-04-10T11:04:52.94" personId="{17D30B62-2123-41F1-B603-E5411FDFA3E0}" id="{6A937A49-B978-48DB-B32F-23608318C255}">
    <text>3 Habitaciones, Capacidad para 4 trabajadores, Alquiler 600€, Fianza 600€</text>
  </threadedComment>
  <threadedComment ref="F5115" dT="2025-04-10T11:04:52.94" personId="{17D30B62-2123-41F1-B603-E5411FDFA3E0}" id="{134CAF8D-124E-4D9D-B02A-C89516D0B329}">
    <text>3 Habitaciones, Capacidad para 4 trabajadores, Alquiler 600€, Fianza 600€</text>
  </threadedComment>
  <threadedComment ref="F5118" dT="2025-07-21T11:37:12.50" personId="{98986A2A-739A-4851-A979-4B0D560C46CD}" id="{9F9050AC-541E-4B99-A369-2F8B39AA9841}">
    <text>2400€ alquiler, 2400€ fianza, 05 camas</text>
  </threadedComment>
  <threadedComment ref="F5120" dT="2025-07-21T11:37:12.50" personId="{98986A2A-739A-4851-A979-4B0D560C46CD}" id="{7474A29A-020A-431A-AD8E-E5B2A17421DE}">
    <text>2400€ alquiler, 2400€ fianza, 05 camas</text>
  </threadedComment>
  <threadedComment ref="F5121" dT="2025-10-23T15:01:45.85" personId="{4D8483EF-5A39-4E7B-A473-929EF5A077E1}" id="{4E8581CA-EB47-4A4B-A5D6-2E7D0C294E47}">
    <text>7 Camas</text>
  </threadedComment>
  <threadedComment ref="F5121" dT="2025-11-13T08:10:52.60" personId="{98986A2A-739A-4851-A979-4B0D560C46CD}" id="{5728AF15-B666-4B92-AEA7-740746C0E248}" parentId="{4E8581CA-EB47-4A4B-A5D6-2E7D0C294E47}">
    <text>FIANZA 1900€, ALQUILER 1900€</text>
  </threadedComment>
  <threadedComment ref="F5122" dT="2025-02-13T10:05:11.33" personId="{17D30B62-2123-41F1-B603-E5411FDFA3E0}" id="{C9F095A7-00C8-4CA1-8919-91F02DEB03BC}">
    <text>Habitacion doble para trabajadores cant 1 Costo 60€/noche
Habitacion triple para trabajadores cant 3 Costo 75€/noche cada una
(camas separadas)</text>
  </threadedComment>
  <threadedComment ref="F5124" dT="2025-02-13T10:05:11.33" personId="{17D30B62-2123-41F1-B603-E5411FDFA3E0}" id="{2BD902BF-BA7C-483A-950C-F7806448A556}">
    <text>Habitacion doble para trabajadores cant 1 Costo 60€/noche
Habitacion triple para trabajadores cant 3 Costo 75€/noche cada una
(camas separadas)</text>
  </threadedComment>
  <threadedComment ref="F5127" dT="2025-02-13T10:05:11.33" personId="{17D30B62-2123-41F1-B603-E5411FDFA3E0}" id="{2EFBFF81-AAFD-460C-B392-C8EF5D0C4A7E}">
    <text>Habitacion doble para trabajadores cant 1 Costo 60€/noche
Habitacion triple para trabajadores cant 3 Costo 75€/noche cada una
(camas separadas)</text>
  </threadedComment>
  <threadedComment ref="F5128" dT="2025-02-13T10:05:11.33" personId="{17D30B62-2123-41F1-B603-E5411FDFA3E0}" id="{47D6F7F9-711B-4548-B26B-CF7533B0B798}">
    <text>Habitacion doble para trabajadores cant 1 Costo 60€/noche
Habitacion triple para trabajadores cant 3 Costo 75€/noche cada una
(camas separadas)</text>
  </threadedComment>
  <threadedComment ref="F5131" dT="2025-11-05T11:01:09.24" personId="{4D8483EF-5A39-4E7B-A473-929EF5A077E1}" id="{118FB02D-676F-47DC-A100-7E25AA096338}">
    <text>Asignación de piso para 4 trabajadores en Huelva.</text>
  </threadedComment>
  <threadedComment ref="F5136" dT="2025-11-05T11:01:09.24" personId="{4D8483EF-5A39-4E7B-A473-929EF5A077E1}" id="{588CBEA5-0A20-428D-B260-03ADD05217EA}">
    <text>Asignación de piso para 4 trabajadores en Huelva.</text>
  </threadedComment>
  <threadedComment ref="F5138" dT="2026-02-18T08:38:11.35" personId="{4D8483EF-5A39-4E7B-A473-929EF5A077E1}" id="{C7E66917-0D0A-4CBD-BAF9-7878D0C84EC3}">
    <text>Alojamiento entero · 4 camas · 4 viajeros</text>
  </threadedComment>
  <threadedComment ref="F5139" dT="2026-02-18T08:38:11.35" personId="{4D8483EF-5A39-4E7B-A473-929EF5A077E1}" id="{2D523FD6-823E-4C69-9428-C067B2D8E616}">
    <text>Alojamiento entero · 4 camas · 4 viajeros</text>
  </threadedComment>
  <threadedComment ref="F5141" dT="2026-02-18T08:38:11.35" personId="{4D8483EF-5A39-4E7B-A473-929EF5A077E1}" id="{6DD90847-5478-409B-95AE-0FF0DBF1FBD3}">
    <text>Alojamiento entero · 4 camas · 4 viajeros</text>
  </threadedComment>
  <threadedComment ref="F5142" dT="2026-02-18T08:38:11.35" personId="{4D8483EF-5A39-4E7B-A473-929EF5A077E1}" id="{A3119AE7-49BF-4602-87FE-F1076D528BB9}">
    <text>Alojamiento entero · 4 camas · 4 viajeros</text>
  </threadedComment>
  <threadedComment ref="F5143" dT="2025-07-04T06:56:55.11" personId="{98986A2A-739A-4851-A979-4B0D560C46CD}" id="{3EE539DF-FED4-4F52-891C-5506161ACE39}">
    <text>05 CAMAS</text>
  </threadedComment>
  <threadedComment ref="V5143" dT="2025-07-04T06:59:55.30" personId="{98986A2A-739A-4851-A979-4B0D560C46CD}" id="{82BAFF75-3EB8-4DC5-9685-CF4F770B04A3}">
    <text>VUELVEN AL ALOJAMIENTO DE NADJA 2020/08</text>
  </threadedComment>
  <threadedComment ref="F5144" dT="2025-03-03T15:39:24.40" personId="{98986A2A-739A-4851-A979-4B0D560C46CD}" id="{CC2161DF-0FAD-4BD4-BA0D-260B517FDF7F}">
    <text>1200€ alquiler, 05 camas, 1200€ fianza</text>
  </threadedComment>
  <threadedComment ref="F5145" dT="2025-09-22T11:14:16.55" personId="{17D30B62-2123-41F1-B603-E5411FDFA3E0}" id="{C1AA7695-BA00-4FC6-8245-0FB16F4241AD}">
    <text>Alquiler 1.900€ ,4 Camas.</text>
  </threadedComment>
  <threadedComment ref="F5146" dT="2025-09-22T11:14:16.55" personId="{17D30B62-2123-41F1-B603-E5411FDFA3E0}" id="{700B2765-27F9-4934-A41B-CF060E6120C4}">
    <text>Alquiler 1.900€ ,4 Camas.</text>
  </threadedComment>
  <threadedComment ref="F5149" dT="2025-03-03T15:39:24.40" personId="{98986A2A-739A-4851-A979-4B0D560C46CD}" id="{F0657823-D08F-4844-BDE7-3318A9D2CB42}">
    <text>1200€ alquiler, 05 camas, 1200€ fianza</text>
  </threadedComment>
  <threadedComment ref="F5150" dT="2025-04-10T11:09:42.69" personId="{17D30B62-2123-41F1-B603-E5411FDFA3E0}" id="{2E9C1A38-D214-427D-B075-C7850B425671}">
    <text>4 Habitaciones con Capacidad para 5 trabajadores, Alquiler 900€, Fianza 900€</text>
  </threadedComment>
  <threadedComment ref="F5152" dT="2025-09-22T11:14:16.55" personId="{17D30B62-2123-41F1-B603-E5411FDFA3E0}" id="{CD58D924-E992-4C2F-84EC-FFCDB1FAE5E1}">
    <text>Alquiler 1.900€ ,4 Camas.</text>
  </threadedComment>
  <threadedComment ref="F5153" dT="2025-02-13T10:05:11.33" personId="{17D30B62-2123-41F1-B603-E5411FDFA3E0}" id="{0B1D627E-91C2-4556-A50A-B9C50D8D849F}">
    <text>Habitacion doble para trabajadores cant 1 Costo 60€/noche
Habitacion triple para trabajadores cant 3 Costo 75€/noche cada una
(camas separadas)</text>
  </threadedComment>
  <threadedComment ref="F5155" dT="2026-02-09T15:40:29.74" personId="{98986A2A-739A-4851-A979-4B0D560C46CD}" id="{375AC896-9DC4-4F6B-842C-F1E27D168A9D}">
    <text>Alojamiento 3 camas</text>
  </threadedComment>
  <threadedComment ref="F5156" dT="2026-02-09T15:40:29.74" personId="{98986A2A-739A-4851-A979-4B0D560C46CD}" id="{345C5CBD-4782-4AD5-BDC8-F2AAED712F50}">
    <text>Alojamiento 3 camas</text>
  </threadedComment>
  <threadedComment ref="F5157" dT="2025-02-13T10:05:11.33" personId="{17D30B62-2123-41F1-B603-E5411FDFA3E0}" id="{392C223F-99EB-4014-A152-35BBCD2F0612}">
    <text>Habitacion doble para trabajadores cant 1 Costo 60€/noche
Habitacion triple para trabajadores cant 3 Costo 75€/noche cada una
(camas separadas)</text>
  </threadedComment>
  <threadedComment ref="F5159" dT="2026-02-09T15:40:29.74" personId="{98986A2A-739A-4851-A979-4B0D560C46CD}" id="{AC390B86-47C9-419D-BCE1-BECA4575F16D}">
    <text>Alojamiento 3 camas</text>
  </threadedComment>
  <threadedComment ref="F5160" dT="2025-09-22T11:14:16.55" personId="{17D30B62-2123-41F1-B603-E5411FDFA3E0}" id="{A1648A11-CA26-4E73-BD89-5C5F0DB05F1E}">
    <text>Alquiler 1.900€ ,4 Camas.</text>
  </threadedComment>
  <threadedComment ref="F5163" dT="2025-11-05T11:01:09.24" personId="{4D8483EF-5A39-4E7B-A473-929EF5A077E1}" id="{EA57CA69-6614-4029-8525-DB9256C206F5}">
    <text>Asignación de piso para 4 trabajadores en Huelva.</text>
  </threadedComment>
  <threadedComment ref="F5166" dT="2026-01-19T07:31:36.18" personId="{4D8483EF-5A39-4E7B-A473-929EF5A077E1}" id="{350A3895-8B9B-4505-9DAA-C85EB8700C62}">
    <text>Alojamiento para 4 personas, Valor 1.200€</text>
  </threadedComment>
  <threadedComment ref="F5169" dT="2025-09-24T06:40:59.84" personId="{17D30B62-2123-41F1-B603-E5411FDFA3E0}" id="{87FF95E6-50C1-45A3-9F2E-633FE1978401}">
    <text>1 Habitación Doble camas individuales, Alquiler 590€ Fianza 350€</text>
  </threadedComment>
  <threadedComment ref="F5172" dT="2025-12-09T14:35:02.13" personId="{4D8483EF-5A39-4E7B-A473-929EF5A077E1}" id="{2F37ED8A-C5D2-4AE5-94F9-132839F4CB19}">
    <text>3 Camas</text>
  </threadedComment>
  <threadedComment ref="F5180" dT="2025-03-11T10:08:17.58" personId="{98986A2A-739A-4851-A979-4B0D560C46CD}" id="{0EB696EB-9232-451F-882F-D9C37A901E0A}">
    <text>06 camas, Renta vivienda 1.380€+ Servicio limpieza 302,50€ =TOTAL 1.682,50€. Fianza 950€ fianza</text>
  </threadedComment>
  <threadedComment ref="F5182" dT="2026-05-15T14:22:00.00" personId="{4D8483EF-5A39-4E7B-A473-929EF5A077E1}" id="{08F78114-8DE5-420E-818A-25FE9A6399A3}">
    <text xml:space="preserve">Alojamiento para 4 personas.
 2 apartamento DOBLES </text>
  </threadedComment>
  <threadedComment ref="F5183" dT="2026-06-05T10:41:32.34" personId="{4D8483EF-5A39-4E7B-A473-929EF5A077E1}" id="{4982E014-E36C-4840-99D6-877436C28725}">
    <text>Alojamiento entero · 5 camas · 4 viajeros</text>
  </threadedComment>
  <threadedComment ref="F5185" dT="2026-04-24T07:31:09.57" personId="{4D8483EF-5A39-4E7B-A473-929EF5A077E1}" id="{FD0AB877-3586-49EC-8FAD-38E18D026246}">
    <text>Alojamiento con 4 Habitaciones 3 Camas.
Alquiler: 1.200€
Fianza 1.200€</text>
  </threadedComment>
  <threadedComment ref="F5186" dT="2025-02-13T10:05:11.33" personId="{17D30B62-2123-41F1-B603-E5411FDFA3E0}" id="{90132B2C-6683-4119-970D-94C542B19207}">
    <text>Habitacion doble para trabajadores cant 1 Costo 60€/noche
Habitacion triple para trabajadores cant 3 Costo 75€/noche cada una
(camas separadas)</text>
  </threadedComment>
  <threadedComment ref="F5187" dT="2025-02-13T10:05:11.33" personId="{17D30B62-2123-41F1-B603-E5411FDFA3E0}" id="{2BCE6124-0D8F-4ED5-9029-D2B4EFF8CB95}">
    <text>Habitacion doble para trabajadores cant 1 Costo 60€/noche
Habitacion triple para trabajadores cant 3 Costo 75€/noche cada una
(camas separadas)</text>
  </threadedComment>
  <threadedComment ref="F5188" dT="2025-02-13T10:05:11.33" personId="{17D30B62-2123-41F1-B603-E5411FDFA3E0}" id="{8B09294A-3DBA-4B79-97A9-F6845F2112BA}">
    <text>Habitacion doble para trabajadores cant 1 Costo 60€/noche
Habitacion triple para trabajadores cant 3 Costo 75€/noche cada una
(camas separadas)</text>
  </threadedComment>
  <threadedComment ref="F5189" dT="2025-08-13T10:30:38.76" personId="{17D30B62-2123-41F1-B603-E5411FDFA3E0}" id="{186F35DC-B8F0-430B-91C6-E84144B834B4}">
    <text>4 Camas</text>
  </threadedComment>
  <threadedComment ref="F5190" dT="2025-06-25T14:37:51.43" personId="{98986A2A-739A-4851-A979-4B0D560C46CD}" id="{09293104-6504-4BE7-BCAE-4BECE56A48CB}">
    <text xml:space="preserve">03 camas + 01 sofa cama. Alquiler 600€. Fianza 600€
</text>
  </threadedComment>
  <threadedComment ref="F5191" dT="2025-07-18T07:48:38.51" personId="{98986A2A-739A-4851-A979-4B0D560C46CD}" id="{38262500-5814-4DCC-B88F-FBD0F2C206CD}">
    <text>04 CAMAS, ALQUILER 955€</text>
  </threadedComment>
  <threadedComment ref="F5200" dT="2025-02-25T12:24:49.79" personId="{98986A2A-739A-4851-A979-4B0D560C46CD}" id="{DD076CCF-D35F-4D7F-85D4-575AB1C89D5D}">
    <text>04 camas, 1500€ alquiler, 1500€ fianza</text>
  </threadedComment>
  <threadedComment ref="F5202" dT="2024-12-02T09:17:44.96" personId="{98986A2A-739A-4851-A979-4B0D560C46CD}" id="{D5C04536-C9FB-4E3C-972C-AA9C1198AA7F}">
    <text>08 CAMAS, 2500€ alquiler, 2500€ fianza</text>
  </threadedComment>
  <threadedComment ref="F5205" dT="2026-04-13T11:09:10.68" personId="{4D8483EF-5A39-4E7B-A473-929EF5A077E1}" id="{1EF3F73E-9ECA-4338-9DD4-068F31F26351}">
    <text>(para 4 personas)</text>
  </threadedComment>
  <threadedComment ref="F5206" dT="2026-04-13T11:09:10.68" personId="{4D8483EF-5A39-4E7B-A473-929EF5A077E1}" id="{F08BE064-7CEA-4F04-99F0-F51F80D2BE4E}">
    <text>(para 4 personas)</text>
  </threadedComment>
  <threadedComment ref="F5207" dT="2025-02-13T10:05:11.33" personId="{17D30B62-2123-41F1-B603-E5411FDFA3E0}" id="{7BB49DCD-6C13-4F3D-BED7-E53907FB98FD}">
    <text>Habitacion doble para trabajadores cant 1 Costo 60€/noche
Habitacion triple para trabajadores cant 3 Costo 75€/noche cada una
(camas separadas)</text>
  </threadedComment>
  <threadedComment ref="F5208" dT="2025-03-03T15:49:22.14" personId="{98986A2A-739A-4851-A979-4B0D560C46CD}" id="{79359813-590B-4ECF-AE33-F09F3D010BBD}">
    <text>03 camas, 550€ alquiler, 550€ fianza</text>
  </threadedComment>
  <threadedComment ref="F5209" dT="2024-08-06T14:12:58.54" personId="{8BEA8CB1-BB33-44FC-A791-4439DE945680}" id="{00B79A15-DC10-493F-BB9A-AB49ADE64E47}">
    <text>Alquiler 1700, fianza 1700 6 CAMAS</text>
  </threadedComment>
  <threadedComment ref="F5209" dT="2025-01-16T18:23:38.41" personId="{98986A2A-739A-4851-A979-4B0D560C46CD}" id="{72B5C6CE-D4DF-4724-9B87-88C45B05C6C9}" parentId="{00B79A15-DC10-493F-BB9A-AB49ADE64E47}">
    <text>5 habitaciones</text>
  </threadedComment>
  <threadedComment ref="F5210" dT="2025-03-04T17:12:38.85" personId="{98986A2A-739A-4851-A979-4B0D560C46CD}" id="{50BE9A96-094A-4984-BD88-397098882B96}">
    <text xml:space="preserve">09 camas, 2100€ fianza, 2100€ alquiler =2100€.
A partir de Marzo 2026 se adicionan 200€ anticipo de suministros </text>
  </threadedComment>
  <threadedComment ref="F5212" dT="2024-08-06T14:12:58.54" personId="{8BEA8CB1-BB33-44FC-A791-4439DE945680}" id="{55AFACBA-6027-4361-91D1-2C1D199584D1}">
    <text>Alquiler 1700, fianza 1700 6 CAMAS</text>
  </threadedComment>
  <threadedComment ref="F5212" dT="2025-01-16T18:23:38.41" personId="{98986A2A-739A-4851-A979-4B0D560C46CD}" id="{37116388-60DD-485F-8939-7EF9132BF70C}" parentId="{55AFACBA-6027-4361-91D1-2C1D199584D1}">
    <text>5 habitaciones</text>
  </threadedComment>
  <threadedComment ref="F5213" dT="2024-08-06T14:12:58.54" personId="{8BEA8CB1-BB33-44FC-A791-4439DE945680}" id="{3DD089C0-45CE-4975-80CC-475C2791B70B}">
    <text>Alquiler 1700, fianza 1700 6 CAMAS</text>
  </threadedComment>
  <threadedComment ref="F5213" dT="2025-01-16T18:23:38.41" personId="{98986A2A-739A-4851-A979-4B0D560C46CD}" id="{2642976C-8621-48C3-BB25-D6FD5E3C4612}" parentId="{3DD089C0-45CE-4975-80CC-475C2791B70B}">
    <text>5 habitaciones</text>
  </threadedComment>
  <threadedComment ref="F5214" dT="2026-04-01T08:42:47.84" personId="{4D8483EF-5A39-4E7B-A473-929EF5A077E1}" id="{75F07ABA-04BA-4CCA-AEDB-F603E562FF9F}">
    <text xml:space="preserve">1 Habitación- Alquiler 450€ </text>
  </threadedComment>
  <threadedComment ref="F5215" dT="2025-08-28T14:19:51.19" personId="{17D30B62-2123-41F1-B603-E5411FDFA3E0}" id="{2D326DF6-9674-4944-8CB3-D6C08398D977}">
    <text>4 camas</text>
  </threadedComment>
  <threadedComment ref="F5215" dT="2025-09-29T08:12:02.30" personId="{E3C446A3-37B8-466B-82DA-8F7BAC7681F7}" id="{F9A5CE97-6141-4B20-8315-88C290604B9C}" parentId="{2D326DF6-9674-4944-8CB3-D6C08398D977}">
    <text>2000 alquiler- 2000 fianza</text>
  </threadedComment>
  <threadedComment ref="W5215" dT="2026-07-03T08:34:13.78" personId="{98986A2A-739A-4851-A979-4B0D560C46CD}" id="{2185BD6B-89A9-4C31-91A4-E203750E765B}">
    <text>Esta fianza pasa al piso Calle Escalante 345, Valencia</text>
  </threadedComment>
  <threadedComment ref="F5217" dT="2026-04-24T07:31:09.57" personId="{4D8483EF-5A39-4E7B-A473-929EF5A077E1}" id="{3A57C591-7533-4F18-BB5F-55FAFD01D41C}">
    <text>Alojamiento con 4 Habitaciones 3 Camas.
Alquiler: 1.200€
Fianza 1.200€</text>
  </threadedComment>
  <threadedComment ref="F5218" dT="2025-02-26T14:56:43.99" personId="{17D30B62-2123-41F1-B603-E5411FDFA3E0}" id="{C7D74E7D-F4A2-4BE8-959D-10392BA7C79B}">
    <text>Alojamiento para 9 personas.
 3 apartamentos triples (101-102-121)</text>
  </threadedComment>
  <threadedComment ref="F5218" dT="2025-10-14T10:02:06.67" personId="{4D8483EF-5A39-4E7B-A473-929EF5A077E1}" id="{DA9D7AF2-DC68-4515-A9D1-3AD502177328}" parentId="{C7D74E7D-F4A2-4BE8-959D-10392BA7C79B}">
    <text xml:space="preserve">Alojamiento para 6 personas.
 2 apartamentos triples </text>
  </threadedComment>
  <threadedComment ref="F5219" dT="2025-08-28T14:19:51.19" personId="{17D30B62-2123-41F1-B603-E5411FDFA3E0}" id="{3DA01EF9-AD80-4833-9C46-99801349DB81}">
    <text>4 camas</text>
  </threadedComment>
  <threadedComment ref="F5219" dT="2025-09-29T08:12:02.30" personId="{E3C446A3-37B8-466B-82DA-8F7BAC7681F7}" id="{ECB181A9-A178-4CEE-9FD8-DA5DD24BAAD6}" parentId="{3DA01EF9-AD80-4833-9C46-99801349DB81}">
    <text>2000 alquiler- 2000 fianza</text>
  </threadedComment>
  <threadedComment ref="F5220" dT="2025-08-28T14:19:51.19" personId="{17D30B62-2123-41F1-B603-E5411FDFA3E0}" id="{0DEEF3D3-10C1-4854-AC32-54AB675D6838}">
    <text>4 camas</text>
  </threadedComment>
  <threadedComment ref="F5220" dT="2025-09-29T08:12:02.30" personId="{E3C446A3-37B8-466B-82DA-8F7BAC7681F7}" id="{604C0BF6-CD90-41B9-B451-B8DA5CE7FAB8}" parentId="{0DEEF3D3-10C1-4854-AC32-54AB675D6838}">
    <text>2000 alquiler- 2000 fianza</text>
  </threadedComment>
  <threadedComment ref="F5221" dT="2025-04-07T06:50:18.61" personId="{98986A2A-739A-4851-A979-4B0D560C46CD}" id="{30C20D1C-7E9C-4532-B814-BC3CC93E9784}">
    <text>05 CAMAS</text>
  </threadedComment>
  <threadedComment ref="F5222" dT="2025-03-10T14:28:20.32" personId="{98986A2A-739A-4851-A979-4B0D560C46CD}" id="{13964E32-FB90-44EE-A01E-08648861B5B1}">
    <text>02 camas, 700€ alquiler, 500€ fianza</text>
  </threadedComment>
  <threadedComment ref="F5224" dT="2025-02-13T10:05:11.33" personId="{17D30B62-2123-41F1-B603-E5411FDFA3E0}" id="{937D8151-5F9F-49BA-A199-571B1EECA8EB}">
    <text>Habitacion doble para trabajadores cant 1 Costo 60€/noche
Habitacion triple para trabajadores cant 3 Costo 75€/noche cada una
(camas separadas)</text>
  </threadedComment>
  <threadedComment ref="F5225" dT="2025-02-24T10:19:28.57" personId="{98986A2A-739A-4851-A979-4B0D560C46CD}" id="{79F53B03-B0F3-437B-A19D-659F226A9718}">
    <text>06 camas</text>
  </threadedComment>
  <threadedComment ref="F5225" dT="2025-08-05T11:29:05.15" personId="{17D30B62-2123-41F1-B603-E5411FDFA3E0}" id="{8619E902-0C9C-465B-8FCE-BF087EE0BC68}" parentId="{79F53B03-B0F3-437B-A19D-659F226A9718}">
    <text>+1 Cama</text>
  </threadedComment>
  <threadedComment ref="F5226" dT="2025-02-25T14:27:09.00" personId="{98986A2A-739A-4851-A979-4B0D560C46CD}" id="{4EB06852-4748-4ADA-B81A-3B8A57F4A017}">
    <text>03 CAMAS, 1450€ ALQUILER, 600€ FIANZA. SE PAGO MARZO</text>
  </threadedComment>
  <threadedComment ref="F5227" dT="2025-02-13T10:05:11.33" personId="{17D30B62-2123-41F1-B603-E5411FDFA3E0}" id="{D7A56342-5EB4-46F1-9496-E3AB4AB6292E}">
    <text>Habitacion doble para trabajadores cant 1 Costo 60€/noche
Habitacion triple para trabajadores cant 3 Costo 75€/noche cada una
(camas separadas)</text>
  </threadedComment>
  <threadedComment ref="F5229" dT="2025-02-25T08:01:07.95" personId="{98986A2A-739A-4851-A979-4B0D560C46CD}" id="{E92D699F-D4FD-48E9-8BD7-9EA680ABF16A}">
    <text>03 camas, 1100€ alquiler, 200€ fianza</text>
  </threadedComment>
  <threadedComment ref="F5231" dT="2026-03-16T16:06:24.65" personId="{4D8483EF-5A39-4E7B-A473-929EF5A077E1}" id="{6E3065E9-6AD9-478C-BE87-98C8C374AEC7}">
    <text>Alquiler Mensual 1.000€ - Fianza 500€ Total Alojamiento para 4 personas</text>
  </threadedComment>
  <threadedComment ref="F5232" dT="2026-03-16T16:06:24.65" personId="{4D8483EF-5A39-4E7B-A473-929EF5A077E1}" id="{E9D56C7B-3BC4-41EC-B01B-C8F9AE51BB0E}">
    <text>Alquiler Mensual 1.000€ - Fianza 500€ Total Alojamiento para 4 personas</text>
  </threadedComment>
  <threadedComment ref="F5234" dT="2025-04-07T06:50:18.61" personId="{98986A2A-739A-4851-A979-4B0D560C46CD}" id="{9C25A297-96E6-4757-ADEF-3467FA3413E5}">
    <text>05 CAMAS</text>
  </threadedComment>
  <threadedComment ref="F5235" dT="2025-07-09T14:24:23.31" personId="{98986A2A-739A-4851-A979-4B0D560C46CD}" id="{D73A4A3F-156F-444D-8C87-743E6EC1E434}">
    <text>10 CAMAS. ALQUILER 1643.20</text>
  </threadedComment>
  <threadedComment ref="F5240" dT="2025-02-13T10:05:11.33" personId="{17D30B62-2123-41F1-B603-E5411FDFA3E0}" id="{438F7337-8967-46F0-BF6D-F910E3B6CA10}">
    <text>Habitacion doble para trabajadores cant 1 Costo 60€/noche
Habitacion triple para trabajadores cant 3 Costo 75€/noche cada una
(camas separadas)</text>
  </threadedComment>
  <threadedComment ref="F5241" dT="2025-02-13T10:05:11.33" personId="{17D30B62-2123-41F1-B603-E5411FDFA3E0}" id="{F3703F22-EA66-44C8-977F-10B49C407EEA}">
    <text>Habitacion doble para trabajadores cant 1 Costo 60€/noche
Habitacion triple para trabajadores cant 3 Costo 75€/noche cada una
(camas separadas)</text>
  </threadedComment>
  <threadedComment ref="F5242" dT="2025-02-13T10:05:11.33" personId="{17D30B62-2123-41F1-B603-E5411FDFA3E0}" id="{29B6247D-4747-4352-8DFE-BDA591C65BED}">
    <text>Habitacion doble para trabajadores cant 1 Costo 60€/noche
Habitacion triple para trabajadores cant 3 Costo 75€/noche cada una
(camas separadas)</text>
  </threadedComment>
  <threadedComment ref="F5243" dT="2026-03-16T16:06:24.65" personId="{4D8483EF-5A39-4E7B-A473-929EF5A077E1}" id="{67330351-450D-4471-97CE-4E7BD653B712}">
    <text>Alquiler Mensual 1.000€ - Fianza 500€ Total Alojamiento para 4 personas</text>
  </threadedComment>
  <threadedComment ref="F5244" dT="2025-10-22T10:38:32.82" personId="{4D8483EF-5A39-4E7B-A473-929EF5A077E1}" id="{D8141D01-A870-4AE5-8981-1C468740755C}">
    <text>(para 4 personas)</text>
  </threadedComment>
  <threadedComment ref="F5245" dT="2026-01-22T07:34:08.60" personId="{4D8483EF-5A39-4E7B-A473-929EF5A077E1}" id="{30CF7A7E-3EB4-4FFE-A1E0-F327BE660B25}">
    <text>Habitación:400€ 
Finanza:100€</text>
  </threadedComment>
  <threadedComment ref="F5246" dT="2025-04-07T06:50:18.61" personId="{98986A2A-739A-4851-A979-4B0D560C46CD}" id="{95601A5E-23D4-4692-8AB4-D612549BAE1C}">
    <text>05 CAMAS</text>
  </threadedComment>
  <threadedComment ref="F5247" dT="2026-04-24T07:31:09.57" personId="{4D8483EF-5A39-4E7B-A473-929EF5A077E1}" id="{18AEDD86-7407-4851-80C4-02A49351D689}">
    <text>Alojamiento con 4 Habitaciones 3 Camas.
Alquiler: 1.200€
Fianza 1.200€</text>
  </threadedComment>
  <threadedComment ref="F5248" dT="2025-02-13T10:05:11.33" personId="{17D30B62-2123-41F1-B603-E5411FDFA3E0}" id="{1B3F7DE9-4DD9-4E6F-99C5-EE647AAD3F94}">
    <text>Habitacion 480€</text>
  </threadedComment>
  <threadedComment ref="F5249" dT="2025-02-13T10:05:11.33" personId="{17D30B62-2123-41F1-B603-E5411FDFA3E0}" id="{4532AEA5-70D0-4B0D-967F-D14D7241D92A}">
    <text>Habitacion doble para trabajadores cant 1 Costo 60€/noche
Habitacion triple para trabajadores cant 3 Costo 75€/noche cada una
(camas separadas)</text>
  </threadedComment>
  <threadedComment ref="F5250" dT="2025-10-13T06:45:58.73" personId="{4D8483EF-5A39-4E7B-A473-929EF5A077E1}" id="{A9F892DD-6737-4863-9E2E-8A3FE5E67F2C}">
    <text>Alojamiento (para 4 personas)</text>
  </threadedComment>
  <threadedComment ref="F5251" dT="2026-05-25T06:01:26.72" personId="{4D8483EF-5A39-4E7B-A473-929EF5A077E1}" id="{B09DFFF8-6D5F-4DF8-8808-727A2ED4ABA9}">
    <text>1 Habitación individual</text>
  </threadedComment>
  <threadedComment ref="F5252" dT="2026-06-16T15:02:54.52" personId="{4D8483EF-5A39-4E7B-A473-929EF5A077E1}" id="{52AA2783-C634-48C4-B70D-E316BC9126EE}">
    <text xml:space="preserve">Alojamiento para 4 personas, Alquiler 970€ Fianza 970€ </text>
  </threadedComment>
  <threadedComment ref="F5253" dT="2026-04-17T12:30:55.31" personId="{4D8483EF-5A39-4E7B-A473-929EF5A077E1}" id="{44EC00BC-97CD-4DFB-8029-F77F5E01AF60}">
    <text>3 Habitaciones Doble: Tenéis que hacer el ingreso de su medio mes 1.200€. Igualmente si continúan otros 15 días la cuantía sería sólo de 900€ más</text>
  </threadedComment>
  <threadedComment ref="F5254" dT="2025-05-05T11:29:54.02" personId="{98986A2A-739A-4851-A979-4B0D560C46CD}" id="{B5E8D458-08EB-4767-BB08-58B07FCA7515}">
    <text>Alquiler 260€ cada habitacion, 400€fianza</text>
  </threadedComment>
  <threadedComment ref="F5254" dT="2025-09-24T10:00:00.90" personId="{E3C446A3-37B8-466B-82DA-8F7BAC7681F7}" id="{F9788AF2-55A1-4249-81C9-E0366491AC7C}" parentId="{B5E8D458-08EB-4767-BB08-58B07FCA7515}">
    <text xml:space="preserve">+2 HABITACIONES (29-09-25) Total piso 1800€ </text>
  </threadedComment>
  <threadedComment ref="F5254" dT="2025-12-04T12:55:31.07" personId="{4D8483EF-5A39-4E7B-A473-929EF5A077E1}" id="{86C92D5C-EB19-4BE8-952B-5765A5EC7100}" parentId="{B5E8D458-08EB-4767-BB08-58B07FCA7515}">
    <text>Alquiler por habitación 260€</text>
  </threadedComment>
  <threadedComment ref="F5255" dT="2026-03-25T13:26:23.86" personId="{4D8483EF-5A39-4E7B-A473-929EF5A077E1}" id="{AA619F11-47E5-4663-B720-F31AC51B7945}">
    <text>Alquiler 250€ + gastos</text>
  </threadedComment>
  <threadedComment ref="F5257" dT="2025-03-18T09:49:27.52" personId="{98986A2A-739A-4851-A979-4B0D560C46CD}" id="{756B5A9C-5885-4418-9662-3318A55F6B9C}">
    <text>04 camas, 400€ alquiler, 400€ fianza</text>
  </threadedComment>
  <threadedComment ref="F5259" dT="2024-11-05T09:17:59.63" personId="{17D30B62-2123-41F1-B603-E5411FDFA3E0}" id="{7335622A-2C23-47AD-8E19-1B29D9CFC76B}">
    <text>Alquiler 1400  Fianza 2800 Camas 6</text>
  </threadedComment>
  <threadedComment ref="F5259" dT="2024-12-30T10:06:22.23" personId="{98986A2A-739A-4851-A979-4B0D560C46CD}" id="{EA02A8C4-D82B-46E2-91AA-4CA1AE2A85A3}" parentId="{7335622A-2C23-47AD-8E19-1B29D9CFC76B}">
    <text>+01 cama Kotrik llevada 28/12</text>
  </threadedComment>
  <threadedComment ref="F5260" dT="2025-10-23T15:01:45.85" personId="{4D8483EF-5A39-4E7B-A473-929EF5A077E1}" id="{AA9FB3F1-4A4A-4BBA-875E-8CAADA589C06}">
    <text>7 Camas</text>
  </threadedComment>
  <threadedComment ref="F5260" dT="2025-11-13T08:10:52.60" personId="{98986A2A-739A-4851-A979-4B0D560C46CD}" id="{7DCD8319-71A5-4E35-9447-3BB666FF4E36}" parentId="{AA9FB3F1-4A4A-4BBA-875E-8CAADA589C06}">
    <text>FIANZA 1900€, ALQUILER 1900€</text>
  </threadedComment>
  <threadedComment ref="F5261" dT="2026-06-16T15:02:54.52" personId="{4D8483EF-5A39-4E7B-A473-929EF5A077E1}" id="{3F0EF049-1883-436F-B5CF-B6E433C61849}">
    <text xml:space="preserve">Alojamiento para 4 personas, Alquiler 970€ Fianza 970€ </text>
  </threadedComment>
  <threadedComment ref="F5263" dT="2025-02-13T10:05:11.33" personId="{17D30B62-2123-41F1-B603-E5411FDFA3E0}" id="{BF7D2935-AB02-487A-A266-764530B494B9}">
    <text>Habitacion doble para trabajadores cant 1 Costo 60€/noche
Habitacion triple para trabajadores cant 3 Costo 75€/noche cada una
(camas separadas)</text>
  </threadedComment>
  <threadedComment ref="F5264" dT="2025-02-26T14:56:43.99" personId="{17D30B62-2123-41F1-B603-E5411FDFA3E0}" id="{59AC706B-91D4-4A03-8659-A0E484AB875F}">
    <text>Alojamiento para 11 personas.</text>
  </threadedComment>
  <threadedComment ref="F5265" dT="2024-08-08T15:05:50.75" personId="{8BEA8CB1-BB33-44FC-A791-4439DE945680}" id="{24CC0EEA-C2BF-4B20-8E56-451598C34B7C}">
    <text>Alquiler 1380 Fianza 2760 Camas 5</text>
  </threadedComment>
  <threadedComment ref="F5266" dT="2024-08-08T15:05:50.75" personId="{8BEA8CB1-BB33-44FC-A791-4439DE945680}" id="{494109A5-F0C1-4206-814F-BA545EF66EA6}">
    <text>Alquiler 1380 Fianza 2760 Camas 5</text>
  </threadedComment>
  <threadedComment ref="F5267" dT="2025-03-04T08:46:27.80" personId="{98986A2A-739A-4851-A979-4B0D560C46CD}" id="{528695D2-0608-49C9-B0F7-21311B43714F}">
    <text>01 cama, sin fianza, transferencia al trabajador</text>
  </threadedComment>
  <threadedComment ref="F5268" dT="2025-03-04T17:12:38.85" personId="{98986A2A-739A-4851-A979-4B0D560C46CD}" id="{450082CC-A69C-4204-B14A-8EE4F46277CE}">
    <text xml:space="preserve">09 camas, 2100€ fianza, 2100€ alquiler =2100€.
A partir de Marzo 2026 se adicionan 200€ anticipo de suministros </text>
  </threadedComment>
  <threadedComment ref="F5269" dT="2025-02-13T10:05:11.33" personId="{17D30B62-2123-41F1-B603-E5411FDFA3E0}" id="{76A3292F-06A3-47A9-B65A-89A49DB8CB79}">
    <text>Habitacion doble para trabajadores cant 1 Costo 60€/noche
Habitacion triple para trabajadores cant 3 Costo 75€/noche cada una
(camas separadas)</text>
  </threadedComment>
  <threadedComment ref="F5270" dT="2025-09-15T06:51:15.08" personId="{17D30B62-2123-41F1-B603-E5411FDFA3E0}" id="{CBFEA5EB-18BF-4C8F-8787-320D047BE53E}">
    <text>Alojamiento para 2 PERSONAS</text>
  </threadedComment>
  <threadedComment ref="F5271" dT="2024-11-05T09:17:59.63" personId="{17D30B62-2123-41F1-B603-E5411FDFA3E0}" id="{4F419714-B856-44FE-AEEE-97EA67C0812E}">
    <text>Alquiler 1400  Fianza 2800 Camas 6</text>
  </threadedComment>
  <threadedComment ref="F5271" dT="2024-12-30T10:06:22.23" personId="{98986A2A-739A-4851-A979-4B0D560C46CD}" id="{E64D3860-D22F-44D3-A7ED-D6BDC3C1CCD6}" parentId="{4F419714-B856-44FE-AEEE-97EA67C0812E}">
    <text>+01 cama Kotrik llevada 28/12</text>
  </threadedComment>
  <threadedComment ref="F5272" dT="2024-11-05T09:17:59.63" personId="{17D30B62-2123-41F1-B603-E5411FDFA3E0}" id="{95F97DB3-384A-40D5-AE61-69FEB2391235}">
    <text>Alquiler 1400  Fianza 2800 Camas 6</text>
  </threadedComment>
  <threadedComment ref="F5272" dT="2024-12-30T10:06:22.23" personId="{98986A2A-739A-4851-A979-4B0D560C46CD}" id="{BBE09B10-62DE-412D-B554-24CC590138E3}" parentId="{95F97DB3-384A-40D5-AE61-69FEB2391235}">
    <text>+01 cama Kotrik llevada 28/12</text>
  </threadedComment>
  <threadedComment ref="F5273" dT="2024-11-05T09:17:59.63" personId="{17D30B62-2123-41F1-B603-E5411FDFA3E0}" id="{04FF223B-F202-44FD-B321-9E758C7F1EB1}">
    <text>Alquiler 1400  Fianza 2800 Camas 6</text>
  </threadedComment>
  <threadedComment ref="F5273" dT="2024-12-30T10:06:22.23" personId="{98986A2A-739A-4851-A979-4B0D560C46CD}" id="{2FFA449B-6380-42B0-B6AA-D6938F3280A5}" parentId="{04FF223B-F202-44FD-B321-9E758C7F1EB1}">
    <text>+01 cama Kotrik llevada 28/12</text>
  </threadedComment>
  <threadedComment ref="F5274" dT="2024-11-05T09:17:59.63" personId="{17D30B62-2123-41F1-B603-E5411FDFA3E0}" id="{03C736C0-2804-4EB3-AD95-24355D6075E2}">
    <text>Alquiler 1400  Fianza 2800 Camas 6</text>
  </threadedComment>
  <threadedComment ref="F5274" dT="2024-12-30T10:06:22.23" personId="{98986A2A-739A-4851-A979-4B0D560C46CD}" id="{5C2C6588-6D25-40BA-892E-EC6EAAC660FD}" parentId="{03C736C0-2804-4EB3-AD95-24355D6075E2}">
    <text>+01 cama Kotrik llevada 28/12</text>
  </threadedComment>
  <threadedComment ref="F5275" dT="2024-11-05T09:17:59.63" personId="{17D30B62-2123-41F1-B603-E5411FDFA3E0}" id="{CCECD547-8356-428E-9A58-7C8053B4054A}">
    <text>Alquiler 1400  Fianza 2800 Camas 6</text>
  </threadedComment>
  <threadedComment ref="F5275" dT="2024-12-30T10:06:22.23" personId="{98986A2A-739A-4851-A979-4B0D560C46CD}" id="{45C295AD-495C-48C2-BC4C-758F8DCA16EE}" parentId="{CCECD547-8356-428E-9A58-7C8053B4054A}">
    <text>+01 cama Kotrik llevada 28/12</text>
  </threadedComment>
  <threadedComment ref="F5276" dT="2025-03-21T15:44:19.97" personId="{17D30B62-2123-41F1-B603-E5411FDFA3E0}" id="{B2853BBB-ACAA-4BE8-BDDF-58521E8A4BF7}">
    <text>Fianza 2.400€, Alquiler 1.200€, 6 Camas.</text>
  </threadedComment>
  <threadedComment ref="F5276" dT="2026-04-10T10:51:55.80" personId="{4D8483EF-5A39-4E7B-A473-929EF5A077E1}" id="{AE35B5B0-87BC-4284-BADD-5EFE6B0EED9A}" parentId="{B2853BBB-ACAA-4BE8-BDDF-58521E8A4BF7}">
    <text>Sube el ipc segun contrato 3%, queda alquiler total a pagar: 1.236€</text>
  </threadedComment>
  <threadedComment ref="F5279" dT="2025-08-29T08:46:36.58" personId="{17D30B62-2123-41F1-B603-E5411FDFA3E0}" id="{FAAEAA0A-4C42-4326-B649-D1E1F5CC4F13}">
    <text xml:space="preserve">3 Camas </text>
  </threadedComment>
  <threadedComment ref="F5280" dT="2025-08-29T08:46:36.58" personId="{17D30B62-2123-41F1-B603-E5411FDFA3E0}" id="{4CF9C1B9-5A4B-4092-8DBB-855FA96190DC}">
    <text xml:space="preserve">3 Camas </text>
  </threadedComment>
  <threadedComment ref="F5281" dT="2025-08-29T08:46:36.58" personId="{17D30B62-2123-41F1-B603-E5411FDFA3E0}" id="{EB4D8B97-52A7-4975-A8DC-1D7A835481F0}">
    <text xml:space="preserve">3 Camas </text>
  </threadedComment>
  <threadedComment ref="F5284" dT="2025-02-24T07:37:31.16" personId="{17D30B62-2123-41F1-B603-E5411FDFA3E0}" id="{6A5957D9-A234-4099-B777-4D240136548B}">
    <text>Alquiler 1400 3 Habitaciones 5 camas</text>
  </threadedComment>
  <threadedComment ref="F5285" dT="2025-09-15T08:08:12.05" personId="{17D30B62-2123-41F1-B603-E5411FDFA3E0}" id="{11A86788-2BE0-4BF3-993A-1C7AB77F07B3}">
    <text>3 Camas</text>
  </threadedComment>
  <threadedComment ref="F5286" dT="2025-09-15T08:08:17.02" personId="{17D30B62-2123-41F1-B603-E5411FDFA3E0}" id="{7BEAF2E6-A44A-4AA8-B1B5-3F1A91E1A394}">
    <text>3 Camas</text>
  </threadedComment>
  <threadedComment ref="F5287" dT="2025-09-15T08:08:17.02" personId="{17D30B62-2123-41F1-B603-E5411FDFA3E0}" id="{43D3B202-F234-4092-8D45-362A8E1CAE60}">
    <text>3 Camas</text>
  </threadedComment>
  <threadedComment ref="F5289" dT="2025-02-25T07:41:27.36" personId="{98986A2A-739A-4851-A979-4B0D560C46CD}" id="{A36D5AE2-A2D9-41B4-B16E-BE34B785E715}">
    <text>Alquiler 2300 Camas 5</text>
  </threadedComment>
  <threadedComment ref="F5290" dT="2025-02-13T10:05:11.33" personId="{17D30B62-2123-41F1-B603-E5411FDFA3E0}" id="{B708AA1F-A10F-4DDA-80BD-58149682A83B}">
    <text>4 Habitaciones 5 camas 1 sofá</text>
  </threadedComment>
  <threadedComment ref="F5290" dT="2025-11-07T07:08:43.68" personId="{98986A2A-739A-4851-A979-4B0D560C46CD}" id="{B3124348-7040-4164-9774-773F0DA4B75C}" parentId="{B708AA1F-A10F-4DDA-80BD-58149682A83B}">
    <text>875,50 alquiler</text>
  </threadedComment>
  <threadedComment ref="F5290" dT="2026-08-19T09:16:29.54" personId="{E3C446A3-37B8-466B-82DA-8F7BAC7681F7}" id="{9F625DC4-4D9F-4C8F-A913-F142AA3C779B}" parentId="{B708AA1F-A10F-4DDA-80BD-58149682A83B}">
    <text>FIANZA 1700€</text>
  </threadedComment>
  <threadedComment ref="F5291" dT="2025-03-21T15:44:19.97" personId="{17D30B62-2123-41F1-B603-E5411FDFA3E0}" id="{15A5ED21-0EC6-4A31-859B-383487E9FEED}">
    <text>Fianza 2.400€, Alquiler 1.200€, 6 Camas.</text>
  </threadedComment>
  <threadedComment ref="F5291" dT="2026-04-10T10:51:55.80" personId="{4D8483EF-5A39-4E7B-A473-929EF5A077E1}" id="{715C8DEE-6580-409D-A580-23E3BAEF0AF6}" parentId="{15A5ED21-0EC6-4A31-859B-383487E9FEED}">
    <text>Sube el ipc segun contrato 3%, queda alquiler total a pagar: 1.236€</text>
  </threadedComment>
  <threadedComment ref="F5292" dT="2025-10-20T11:35:26.42" personId="{4D8483EF-5A39-4E7B-A473-929EF5A077E1}" id="{BB220B95-ABCE-43E3-A5E1-88E3987ED2C3}">
    <text>Alojamiento entero · 4 camas · 4 viajeros</text>
  </threadedComment>
  <threadedComment ref="F5293" dT="2025-10-20T11:35:26.42" personId="{4D8483EF-5A39-4E7B-A473-929EF5A077E1}" id="{A06C019E-1513-470E-A969-4C48342789A8}">
    <text>Alojamiento entero · 4 camas · 4 viajeros</text>
  </threadedComment>
  <threadedComment ref="F5294" dT="2025-10-20T11:35:26.42" personId="{4D8483EF-5A39-4E7B-A473-929EF5A077E1}" id="{DAFDE24E-19BA-42A8-B578-201D505B1A03}">
    <text>Alojamiento entero · 4 camas · 4 viajeros</text>
  </threadedComment>
  <threadedComment ref="F5295" dT="2025-10-20T11:35:26.42" personId="{4D8483EF-5A39-4E7B-A473-929EF5A077E1}" id="{5B86D4AA-09F3-4F6E-9968-2EB108996852}">
    <text>Alojamiento entero · 4 camas · 4 viajeros</text>
  </threadedComment>
  <threadedComment ref="F5296" dT="2025-02-13T10:05:11.33" personId="{17D30B62-2123-41F1-B603-E5411FDFA3E0}" id="{BD14852B-2F1A-4C76-8331-7EEF19C99A5C}">
    <text>Habitacion doble para trabajadores cant 1 Costo 60€/noche
Habitacion triple para trabajadores cant 3 Costo 75€/noche cada una
(camas separadas)</text>
  </threadedComment>
  <threadedComment ref="F5297" dT="2025-10-23T11:57:11.80" personId="{4D8483EF-5A39-4E7B-A473-929EF5A077E1}" id="{241E7E29-E9AC-447A-A915-7FB705A30523}">
    <text>Alojamiento entero · 4 camas · 4 viajeros</text>
  </threadedComment>
  <threadedComment ref="F5298" dT="2025-10-23T11:57:11.80" personId="{4D8483EF-5A39-4E7B-A473-929EF5A077E1}" id="{A8199491-5C3B-4989-9E2D-52744A683FBD}">
    <text>Alojamiento entero · 4 camas · 4 viajeros</text>
  </threadedComment>
  <threadedComment ref="F5299" dT="2025-10-23T11:57:11.80" personId="{4D8483EF-5A39-4E7B-A473-929EF5A077E1}" id="{F67A8F2E-42FD-4C1C-8251-9C7D36F193D3}">
    <text>Alojamiento entero · 4 camas · 4 viajeros</text>
  </threadedComment>
  <threadedComment ref="F5300" dT="2025-10-23T11:57:11.80" personId="{4D8483EF-5A39-4E7B-A473-929EF5A077E1}" id="{D30F24D6-F560-4EDF-81A2-DD539A6D2F97}">
    <text>Alojamiento entero · 4 camas · 4 viajeros</text>
  </threadedComment>
  <threadedComment ref="F5301" dT="2025-02-13T10:05:11.33" personId="{17D30B62-2123-41F1-B603-E5411FDFA3E0}" id="{7922C092-EB26-4632-9ACF-81499249700F}">
    <text>Habitacion doble para trabajadores cant 1 Costo 60€/noche
Habitacion triple para trabajadores cant 3 Costo 75€/noche cada una
(camas separadas)</text>
  </threadedComment>
  <threadedComment ref="F5302" dT="2026-06-08T07:44:40.36" personId="{4D8483EF-5A39-4E7B-A473-929EF5A077E1}" id="{C4916E16-2EE9-4903-9332-89BC12414CDF}">
    <text>Alquiler 600€, fianza 300€ 3 CAMAS</text>
  </threadedComment>
  <threadedComment ref="F5303" dT="2025-06-12T09:31:52.00" personId="{98986A2A-739A-4851-A979-4B0D560C46CD}" id="{4B6DB16A-EF78-45A8-827F-2F812B502094}">
    <text>Capacidad 06 camas- 1980€</text>
  </threadedComment>
  <threadedComment ref="F5305" dT="2025-02-13T10:05:11.33" personId="{17D30B62-2123-41F1-B603-E5411FDFA3E0}" id="{80ABDFD9-984B-468C-A687-0C15AE790F7F}">
    <text xml:space="preserve">695€Alquiler
695€ Fianza
4 camas </text>
  </threadedComment>
  <threadedComment ref="F5306" dT="2025-06-12T08:53:55.86" personId="{98986A2A-739A-4851-A979-4B0D560C46CD}" id="{B3083B43-93A5-4C49-BB05-FFBFF9173718}">
    <text>1200€ alquiler + 200€suministros+ 2400€ fianza. 04 camas</text>
  </threadedComment>
  <threadedComment ref="F5307" dT="2026-06-08T07:44:40.36" personId="{4D8483EF-5A39-4E7B-A473-929EF5A077E1}" id="{C105BF32-958E-4C35-80A5-267CCA3A74AA}">
    <text>Alquiler 600€, fianza 300€ 3 CAMAS</text>
  </threadedComment>
  <threadedComment ref="F5308" dT="2024-08-08T15:05:50.75" personId="{8BEA8CB1-BB33-44FC-A791-4439DE945680}" id="{E752BCFE-1C02-442B-B0D8-825366FDC078}">
    <text>Alquiler 1380 Fianza 2760 Camas 5</text>
  </threadedComment>
  <threadedComment ref="F5309" dT="2024-08-08T15:05:50.75" personId="{8BEA8CB1-BB33-44FC-A791-4439DE945680}" id="{3D24F730-8D97-4395-BFE5-85B1CEC3E86B}">
    <text>Alquiler 1380 Fianza 2760 Camas 5</text>
  </threadedComment>
  <threadedComment ref="F5310" dT="2025-03-21T15:44:19.97" personId="{17D30B62-2123-41F1-B603-E5411FDFA3E0}" id="{96F5119D-7D03-4966-9058-0AAD3FB5BE14}">
    <text>Fianza 2.400€, Alquiler 1.200€, 6 Camas.</text>
  </threadedComment>
  <threadedComment ref="F5310" dT="2026-04-10T10:51:55.80" personId="{4D8483EF-5A39-4E7B-A473-929EF5A077E1}" id="{F594BDC7-BB44-4CE9-9C64-3F27D6E7BBEA}" parentId="{96F5119D-7D03-4966-9058-0AAD3FB5BE14}">
    <text>Sube el ipc segun contrato 3%, queda alquiler total a pagar: 1.236€</text>
  </threadedComment>
  <threadedComment ref="F5311" dT="2026-02-03T10:13:26.66" personId="{4D8483EF-5A39-4E7B-A473-929EF5A077E1}" id="{08800E5C-A248-432A-AB57-3D860E87E0F4}">
    <text>(para 4 personas)</text>
  </threadedComment>
  <threadedComment ref="F5312" dT="2025-03-21T15:44:19.97" personId="{17D30B62-2123-41F1-B603-E5411FDFA3E0}" id="{CC3E3839-A0A3-47AF-BDB1-6B7996693271}">
    <text>Fianza 2.400€, Alquiler 1.200€, 6 Camas.</text>
  </threadedComment>
  <threadedComment ref="F5313" dT="2025-03-21T15:44:19.97" personId="{17D30B62-2123-41F1-B603-E5411FDFA3E0}" id="{CD57FB72-A888-4A12-9323-7AB89AF8D0CD}">
    <text>Fianza 2.400€, Alquiler 1.200€, 6 Camas.</text>
  </threadedComment>
  <threadedComment ref="F5315" dT="2025-10-27T11:22:52.59" personId="{4D8483EF-5A39-4E7B-A473-929EF5A077E1}" id="{52B21C18-B795-491E-9D0C-D0F337D1C2EC}">
    <text xml:space="preserve">1 Habitación, Alquiler 450€ Fianza 450€ </text>
  </threadedComment>
  <threadedComment ref="F5318" dT="2026-05-20T08:56:43.03" personId="{4D8483EF-5A39-4E7B-A473-929EF5A077E1}" id="{3503559B-3C08-4159-99D8-25673E1596FD}">
    <text>(para 4 personas)</text>
  </threadedComment>
  <threadedComment ref="F5324" dT="2025-02-13T10:05:11.33" personId="{17D30B62-2123-41F1-B603-E5411FDFA3E0}" id="{A6E874A7-523F-4254-916A-67B469B1ECC7}">
    <text>Habitacion doble para trabajadores cant 1 Costo 60€/noche
Habitacion triple para trabajadores cant 3 Costo 75€/noche cada una
(camas separadas)</text>
  </threadedComment>
  <threadedComment ref="F5329" dT="2025-07-09T14:24:23.31" personId="{98986A2A-739A-4851-A979-4B0D560C46CD}" id="{C5235C98-AC84-4017-A7BC-F70221895772}">
    <text>10 CAMAS. ALQUILER 1643.20</text>
  </threadedComment>
  <threadedComment ref="F5330" dT="2025-02-13T10:05:11.33" personId="{17D30B62-2123-41F1-B603-E5411FDFA3E0}" id="{F5F25DD6-3D55-4906-A4CE-C313A1CB042F}">
    <text>Habitacion doble para trabajadores cant 1 Costo 60€/noche
Habitacion triple para trabajadores cant 3 Costo 75€/noche cada una
(camas separadas)</text>
  </threadedComment>
  <threadedComment ref="F5331" dT="2024-06-25T09:14:46.90" personId="{98986A2A-739A-4851-A979-4B0D560C46CD}" id="{B1493088-1D8B-4601-8D1E-CF7887FE9343}">
    <text>Fianza 1000, alquiler 1250, 05 camas. Nuevo Contrato Febrero 2025</text>
  </threadedComment>
  <threadedComment ref="F5333" dT="2025-04-30T11:00:49.95" personId="{17D30B62-2123-41F1-B603-E5411FDFA3E0}" id="{F7F28148-2A69-4F16-88B5-8641D3915BA8}">
    <text xml:space="preserve">Alquiler 850€ Fianza 850€ 7 camas </text>
  </threadedComment>
  <threadedComment ref="F5334" dT="2025-10-21T07:56:55.08" personId="{4D8483EF-5A39-4E7B-A473-929EF5A077E1}" id="{C7998847-5E6B-4082-BE9F-30DEF6EF15D3}">
    <text>5 CAMAS</text>
  </threadedComment>
  <threadedComment ref="F5335" dT="2025-10-21T07:56:55.08" personId="{4D8483EF-5A39-4E7B-A473-929EF5A077E1}" id="{5CA59D68-AF0F-4E4D-ABFF-4BC0657098C4}">
    <text>5 CAMAS</text>
  </threadedComment>
  <threadedComment ref="F5336" dT="2025-03-04T17:12:38.85" personId="{98986A2A-739A-4851-A979-4B0D560C46CD}" id="{64A125F6-D24A-4BCD-AAE4-CDABCDE0CED4}">
    <text xml:space="preserve">09 camas, 2100€ fianza, 2100€ alquiler =2100€.
A partir de Marzo 2026 se adicionan 200€ anticipo de suministros </text>
  </threadedComment>
  <threadedComment ref="F5338" dT="2025-03-20T12:19:13.98" personId="{98986A2A-739A-4851-A979-4B0D560C46CD}" id="{4344C62C-41A0-4047-9C8F-0297598E7646}">
    <text>08 camas</text>
  </threadedComment>
  <threadedComment ref="F5341" dT="2025-07-03T17:00:32.63" personId="{98986A2A-739A-4851-A979-4B0D560C46CD}" id="{A5EB5708-7B79-4714-AE64-A5A290E61461}">
    <text xml:space="preserve">1400€ ALQUILER, 5 CAMAS
</text>
  </threadedComment>
  <threadedComment ref="F5342" dT="2024-08-06T14:12:58.54" personId="{8BEA8CB1-BB33-44FC-A791-4439DE945680}" id="{38408C70-417D-45F6-BC02-BC42822249E6}">
    <text>Alquiler 1700, fianza 1700 6 CAMAS</text>
  </threadedComment>
  <threadedComment ref="F5342" dT="2025-01-16T18:23:38.41" personId="{98986A2A-739A-4851-A979-4B0D560C46CD}" id="{D1EBD9C0-505C-41C7-BF7A-B414DC9A8E6D}" parentId="{38408C70-417D-45F6-BC02-BC42822249E6}">
    <text>5 habitaciones</text>
  </threadedComment>
  <threadedComment ref="F5343" dT="2026-05-20T08:56:43.03" personId="{4D8483EF-5A39-4E7B-A473-929EF5A077E1}" id="{D2CFA462-FB5F-40C5-B157-99483B9DB2FD}">
    <text>(para 4 personas)</text>
  </threadedComment>
  <threadedComment ref="F5345" dT="2025-03-21T15:44:19.97" personId="{17D30B62-2123-41F1-B603-E5411FDFA3E0}" id="{CF65B94D-017C-4F9D-B65A-5D32C8FF8A63}">
    <text>Fianza 2.400€, Alquiler 1.200€, 6 Camas.</text>
  </threadedComment>
  <threadedComment ref="F5345" dT="2026-04-10T10:51:55.80" personId="{4D8483EF-5A39-4E7B-A473-929EF5A077E1}" id="{18EB9357-8513-4086-8774-ABB9CB8D8EFC}" parentId="{CF65B94D-017C-4F9D-B65A-5D32C8FF8A63}">
    <text>Sube el ipc segun contrato 3%, queda alquiler total a pagar: 1.236€</text>
  </threadedComment>
  <threadedComment ref="F5346" dT="2025-03-21T15:44:19.97" personId="{17D30B62-2123-41F1-B603-E5411FDFA3E0}" id="{6C7BF800-8743-451D-A8A7-5C11A936275D}">
    <text>Fianza 2.400€, Alquiler 1.200€, 6 Camas.</text>
  </threadedComment>
  <threadedComment ref="F5346" dT="2026-04-10T10:51:55.80" personId="{4D8483EF-5A39-4E7B-A473-929EF5A077E1}" id="{A8F1FDF6-28A4-4EAE-AAAD-3F8C045F3C5A}" parentId="{6C7BF800-8743-451D-A8A7-5C11A936275D}">
    <text>Sube el ipc segun contrato 3%, queda alquiler total a pagar: 1.236€</text>
  </threadedComment>
  <threadedComment ref="F5347" dT="2025-03-04T17:12:38.85" personId="{98986A2A-739A-4851-A979-4B0D560C46CD}" id="{723AA6DE-0245-40FC-B3A7-973F6CFCF756}">
    <text xml:space="preserve">09 camas, 2100€ fianza, 2100€ alquiler =2100€.
A partir de Marzo 2026 se adicionan 200€ anticipo de suministros </text>
  </threadedComment>
  <threadedComment ref="F5350" dT="2026-05-20T08:56:43.03" personId="{4D8483EF-5A39-4E7B-A473-929EF5A077E1}" id="{2C93A420-4755-43BE-A1E4-5C9F5777648B}">
    <text>(para 4 personas)</text>
  </threadedComment>
  <threadedComment ref="F5354" dT="2025-03-03T15:49:22.14" personId="{98986A2A-739A-4851-A979-4B0D560C46CD}" id="{89AEE74B-11B2-4898-81EE-25C8C26BF0DB}">
    <text>03 camas, 550€ alquiler, 550€ fianza</text>
  </threadedComment>
  <threadedComment ref="F5355" dT="2025-02-13T10:05:11.33" personId="{17D30B62-2123-41F1-B603-E5411FDFA3E0}" id="{AF128957-204E-4FB7-AD9A-1AC0A7F788F5}">
    <text>Habitacion doble para trabajadores cant 1 Costo 60€/noche
Habitacion triple para trabajadores cant 3 Costo 75€/noche cada una
(camas separadas)</text>
  </threadedComment>
  <threadedComment ref="F5356" dT="2025-03-21T15:44:19.97" personId="{17D30B62-2123-41F1-B603-E5411FDFA3E0}" id="{F1667895-BEA3-43DE-98D5-24BC0395176D}">
    <text>Fianza 2.400€, Alquiler 1.200€, 6 Camas.</text>
  </threadedComment>
  <threadedComment ref="F5356" dT="2026-04-10T10:51:55.80" personId="{4D8483EF-5A39-4E7B-A473-929EF5A077E1}" id="{3A531B3F-718C-49F2-9478-75346AE106D2}" parentId="{F1667895-BEA3-43DE-98D5-24BC0395176D}">
    <text>Sube el ipc segun contrato 3%, queda alquiler total a pagar: 1.236€</text>
  </threadedComment>
  <threadedComment ref="F5357" dT="2025-03-21T15:44:19.97" personId="{17D30B62-2123-41F1-B603-E5411FDFA3E0}" id="{633FDAB7-A8E5-4C4B-A5B1-D6F8B8677253}">
    <text>Fianza 2.400€, Alquiler 1.200€, 6 Camas.</text>
  </threadedComment>
  <threadedComment ref="F5357" dT="2026-04-10T10:51:55.80" personId="{4D8483EF-5A39-4E7B-A473-929EF5A077E1}" id="{CE5BDBF9-1750-4B19-96CE-F5C5A46ADA30}" parentId="{633FDAB7-A8E5-4C4B-A5B1-D6F8B8677253}">
    <text>Sube el ipc segun contrato 3%, queda alquiler total a pagar: 1.236€</text>
  </threadedComment>
  <threadedComment ref="F5358" dT="2025-02-13T10:05:11.33" personId="{17D30B62-2123-41F1-B603-E5411FDFA3E0}" id="{68BB5851-3F55-43A6-9E41-2E6752226BD0}">
    <text>Habitacion doble para trabajadores cant 1 Costo 60€/noche
Habitacion triple para trabajadores cant 3 Costo 75€/noche cada una
(camas separadas)</text>
  </threadedComment>
  <threadedComment ref="F5359" dT="2026-02-09T07:22:55.03" personId="{4D8483EF-5A39-4E7B-A473-929EF5A077E1}" id="{AB806535-29CC-4E8C-B4DE-04CDB52E8734}">
    <text>650 € ALQUILER FEBRERO
650 € FIANZA -5 CAMAS</text>
  </threadedComment>
  <threadedComment ref="F5360" dT="2026-02-09T07:22:55.03" personId="{4D8483EF-5A39-4E7B-A473-929EF5A077E1}" id="{FE0245EE-D91A-431D-8E91-11F11F3CD294}">
    <text>650 € ALQUILER FEBRERO
650 € FIANZA -5 CAMAS</text>
  </threadedComment>
  <threadedComment ref="F5361" dT="2024-08-08T15:05:50.75" personId="{8BEA8CB1-BB33-44FC-A791-4439DE945680}" id="{1E0F079B-14CC-40D2-B81D-215F02E857DB}">
    <text>Alquiler 1380 Fianza 2760 Camas 5</text>
  </threadedComment>
  <threadedComment ref="F5362" dT="2024-08-08T15:05:50.75" personId="{8BEA8CB1-BB33-44FC-A791-4439DE945680}" id="{9F0529E3-C92D-4B67-928F-285F05AC686E}">
    <text>Alquiler 1380 Fianza 2760 Camas 5</text>
  </threadedComment>
  <threadedComment ref="F5364" dT="2024-12-02T09:17:44.96" personId="{98986A2A-739A-4851-A979-4B0D560C46CD}" id="{D69E16DF-C313-4C23-BC7A-61698C23736A}">
    <text>08 CAMAS, 2500€ alquiler, 2500€ fianza</text>
  </threadedComment>
  <threadedComment ref="F5365" dT="2025-03-03T16:55:33.48" personId="{17D30B62-2123-41F1-B603-E5411FDFA3E0}" id="{E8DFF2BF-2C01-4766-9B98-4FD7A69DAF5F}">
    <text>4 camas 700 alquiler</text>
  </threadedComment>
  <threadedComment ref="F5366" dT="2026-02-09T07:22:55.03" personId="{4D8483EF-5A39-4E7B-A473-929EF5A077E1}" id="{8B330202-E22F-4EB6-BB3C-76140535CDAD}">
    <text>650 € ALQUILER FEBRERO
650 € FIANZA -5 CAMAS</text>
  </threadedComment>
  <threadedComment ref="F5367" dT="2024-12-02T09:17:44.96" personId="{98986A2A-739A-4851-A979-4B0D560C46CD}" id="{69A6FDA4-4B53-4047-84E3-213E97315C3E}">
    <text>08 CAMAS, 2500€ alquiler, 2500€ fianza</text>
  </threadedComment>
  <threadedComment ref="F5368" dT="2025-02-26T12:24:18.65" personId="{98986A2A-739A-4851-A979-4B0D560C46CD}" id="{AF3B5EFB-68C1-41C4-A718-52DD8C7210DC}">
    <text xml:space="preserve">Alquiler 1150 , Fianza 2200  Camas 4
</text>
  </threadedComment>
  <threadedComment ref="F5369" dT="2025-03-04T17:12:38.85" personId="{98986A2A-739A-4851-A979-4B0D560C46CD}" id="{F61B8BFB-6E80-4145-831A-E476CF66E7FF}">
    <text xml:space="preserve">09 camas, 2100€ fianza, 2100€ alquiler =2100€.
A partir de Marzo 2026 se adicionan 200€ anticipo de suministros </text>
  </threadedComment>
  <threadedComment ref="F5370" dT="2025-03-04T17:12:38.85" personId="{98986A2A-739A-4851-A979-4B0D560C46CD}" id="{D5A3633B-19E3-435B-A66A-49C8661D8EFD}">
    <text xml:space="preserve">09 camas, 2100€ fianza, 2100€ alquiler =2100€.
A partir de Marzo 2026 se adicionan 200€ anticipo de suministros </text>
  </threadedComment>
  <threadedComment ref="F5371" dT="2025-03-18T09:49:27.52" personId="{98986A2A-739A-4851-A979-4B0D560C46CD}" id="{C424E18C-478D-4985-8499-0DF2D0D4FC6B}">
    <text>04 camas, 400€ alquiler, 400€ fianza</text>
  </threadedComment>
  <threadedComment ref="F5373" dT="2025-10-06T11:09:21.88" personId="{E3C446A3-37B8-466B-82DA-8F7BAC7681F7}" id="{24CAE4FE-DE77-4087-B9E4-2BCF444044BE}">
    <text xml:space="preserve">07 CAMAS, ALQUILER 2117,50€,  FIANZA1750€ </text>
  </threadedComment>
  <threadedComment ref="F5374" dT="2025-10-06T11:09:21.88" personId="{E3C446A3-37B8-466B-82DA-8F7BAC7681F7}" id="{2E412A2A-C3A3-4260-9F34-AC1385CE142E}">
    <text xml:space="preserve">07 CAMAS, ALQUILER 2117,50€,  FIANZA1750€ </text>
  </threadedComment>
  <threadedComment ref="F5375" dT="2025-10-06T11:09:21.88" personId="{E3C446A3-37B8-466B-82DA-8F7BAC7681F7}" id="{B7096445-A3BE-4AEA-89A4-E38980808286}">
    <text xml:space="preserve">07 CAMAS, ALQUILER 2117,50€,  FIANZA1750€ </text>
  </threadedComment>
  <threadedComment ref="F5376" dT="2025-10-06T11:09:21.88" personId="{E3C446A3-37B8-466B-82DA-8F7BAC7681F7}" id="{610DC482-E9DE-4785-9F80-539994B6F38B}">
    <text xml:space="preserve">07 CAMAS, ALQUILER 2117,50€,  FIANZA1750€ </text>
  </threadedComment>
  <threadedComment ref="F5377" dT="2026-03-10T14:45:05.63" personId="{4D8483EF-5A39-4E7B-A473-929EF5A077E1}" id="{3BF3626F-E07D-48FE-AF62-6B5CB53B60A1}">
    <text>250€ cada habitaciòn * 4 =1000
Fianza 1000€</text>
  </threadedComment>
  <threadedComment ref="F5378" dT="2025-10-27T11:57:19.08" personId="{4D8483EF-5A39-4E7B-A473-929EF5A077E1}" id="{868BC976-E5DB-4E37-8D69-3EAE8D4DADF6}">
    <text>Alojamiento 4 Camas Alquiler 1.122€ Fianza 2.200€</text>
  </threadedComment>
  <threadedComment ref="F5379" dT="2025-02-13T10:05:11.33" personId="{17D30B62-2123-41F1-B603-E5411FDFA3E0}" id="{41129EF2-F023-4CDE-B07D-EE609769D2FC}">
    <text>Habitacion doble para trabajadores cant 1 Costo 60€/noche
Habitacion triple para trabajadores cant 3 Costo 75€/noche cada una
(camas separadas)</text>
  </threadedComment>
  <threadedComment ref="F5380" dT="2026-03-13T12:43:45.75" personId="{4D8483EF-5A39-4E7B-A473-929EF5A077E1}" id="{5E93D9A6-BD4C-4E4F-B8F6-6B74D3C9EAC9}">
    <text>2 Camas
600€ alquiler
600€ Fianza </text>
  </threadedComment>
  <threadedComment ref="F5382" dT="2025-02-13T10:05:11.33" personId="{17D30B62-2123-41F1-B603-E5411FDFA3E0}" id="{A05D2CA2-1FEB-4E02-B1CB-CEAC8A8B3D73}">
    <text>Habitacion doble para trabajadores cant 1 Costo 60€/noche
Habitacion triple para trabajadores cant 3 Costo 75€/noche cada una
(camas separadas)</text>
  </threadedComment>
  <threadedComment ref="F5383" dT="2025-03-04T17:12:38.85" personId="{98986A2A-739A-4851-A979-4B0D560C46CD}" id="{194FFD0D-47EC-4361-A73F-FF9C7FFCCE55}">
    <text xml:space="preserve">09 camas, 2100€ fianza, 2100€ alquiler =2100€.
A partir de Marzo 2026 se adicionan 200€ anticipo de suministros </text>
  </threadedComment>
  <threadedComment ref="F5384" dT="2025-10-13T06:45:58.73" personId="{4D8483EF-5A39-4E7B-A473-929EF5A077E1}" id="{7AB0420C-CFF4-467A-9A85-960356F63D3C}">
    <text>Alojamiento (para 4 personas)</text>
  </threadedComment>
  <threadedComment ref="F5385" dT="2026-03-13T12:43:41.89" personId="{4D8483EF-5A39-4E7B-A473-929EF5A077E1}" id="{9219DDD5-B497-485D-B2F4-C1C4AB3FF7FF}">
    <text>2 Camas
600€ alquiler
600€ Fianza </text>
  </threadedComment>
  <threadedComment ref="F5386" dT="2026-02-10T08:17:08.01" personId="{4D8483EF-5A39-4E7B-A473-929EF5A077E1}" id="{7B94A7C7-252C-4252-88DB-3D2896DC5E91}">
    <text xml:space="preserve">Alquiler 1500, 3 camas </text>
  </threadedComment>
  <threadedComment ref="F5387" dT="2025-03-04T17:12:38.85" personId="{98986A2A-739A-4851-A979-4B0D560C46CD}" id="{100AE616-C8ED-472E-8894-520568A50892}">
    <text xml:space="preserve">09 camas, 2100€ fianza, 2100€ alquiler =2100€.
A partir de Marzo 2026 se adicionan 200€ anticipo de suministros </text>
  </threadedComment>
  <threadedComment ref="F5388" dT="2026-02-10T08:17:12.48" personId="{4D8483EF-5A39-4E7B-A473-929EF5A077E1}" id="{C7412A72-04A0-46AB-A046-0E5E0F82FC97}">
    <text xml:space="preserve">Alquiler 1500, 3 camas </text>
  </threadedComment>
  <threadedComment ref="F5390" dT="2026-04-13T11:09:10.68" personId="{4D8483EF-5A39-4E7B-A473-929EF5A077E1}" id="{4ABC10F8-B250-4DD7-9DD8-8FDC41FC8153}">
    <text>(para 4 personas)</text>
  </threadedComment>
  <threadedComment ref="F5391" dT="2026-04-13T11:09:10.68" personId="{4D8483EF-5A39-4E7B-A473-929EF5A077E1}" id="{DECC6699-06C5-4D15-A71D-A4C375CB3054}">
    <text>(para 4 personas)</text>
  </threadedComment>
  <threadedComment ref="F5393" dT="2026-04-17T12:30:55.31" personId="{4D8483EF-5A39-4E7B-A473-929EF5A077E1}" id="{0ACA66DB-03BA-4D39-AAC2-3E6554688F8B}">
    <text>Tenéis que hacer el ingreso de su medio mes 700€. Igualmente si continúan otros 15 días la cuantía sería sólo de 200€ más</text>
  </threadedComment>
  <threadedComment ref="F5394" dT="2026-03-10T14:45:05.63" personId="{4D8483EF-5A39-4E7B-A473-929EF5A077E1}" id="{4212293B-CAD8-4C5A-8D73-A9C0A736217E}">
    <text>250€ cada habitaciòn * 4 =1000
Fianza 1000€</text>
  </threadedComment>
  <threadedComment ref="F5395" dT="2026-03-10T14:45:05.63" personId="{4D8483EF-5A39-4E7B-A473-929EF5A077E1}" id="{4118BE8D-810A-4576-BC2B-FBA51AE98BC2}">
    <text>250€ cada habitaciòn * 4 =1000
Fianza 1000€</text>
  </threadedComment>
  <threadedComment ref="F5396" dT="2025-10-24T06:53:00.00" personId="{4D8483EF-5A39-4E7B-A473-929EF5A077E1}" id="{C2C94DCE-D6FF-4083-9858-BF8632BCD86F}">
    <text>habitación cuádruple</text>
  </threadedComment>
  <threadedComment ref="F5397" dT="2025-10-24T06:53:00.00" personId="{4D8483EF-5A39-4E7B-A473-929EF5A077E1}" id="{162A34F2-E845-4434-8888-3F03ADA1C89E}">
    <text>habitación cuádruple</text>
  </threadedComment>
  <threadedComment ref="F5398" dT="2026-03-10T14:45:05.63" personId="{4D8483EF-5A39-4E7B-A473-929EF5A077E1}" id="{A6859043-B67C-4598-A539-08BAC755F100}">
    <text>250€ cada habitaciòn * 4 =1000
Fianza 1000€</text>
  </threadedComment>
  <threadedComment ref="F5399" dT="2026-03-10T14:45:05.63" personId="{4D8483EF-5A39-4E7B-A473-929EF5A077E1}" id="{06EC981F-428B-4A39-85F4-322980D45086}">
    <text>250€ cada habitaciòn * 4 =1000
Fianza 1000€</text>
  </threadedComment>
  <threadedComment ref="F5402" dT="2026-06-16T15:02:54.52" personId="{4D8483EF-5A39-4E7B-A473-929EF5A077E1}" id="{1EE17199-05AB-4A65-AB85-ECAA66344C80}">
    <text xml:space="preserve">Alojamiento para 4 personas, Alquiler 970€ Fianza 970€ </text>
  </threadedComment>
  <threadedComment ref="F5403" dT="2025-02-26T12:24:18.65" personId="{98986A2A-739A-4851-A979-4B0D560C46CD}" id="{844EB527-D698-4EF2-BCCE-CDB478EC84F3}">
    <text xml:space="preserve">Alquiler 1150 , Fianza 2200  Camas 4
</text>
  </threadedComment>
  <threadedComment ref="F5404" dT="2026-02-18T08:45:25.88" personId="{4D8483EF-5A39-4E7B-A473-929EF5A077E1}" id="{A986BA9F-58E4-4AAB-B15D-18E07858BC33}">
    <text>Habitación alquiler 450/mes
Fianza 150</text>
  </threadedComment>
  <threadedComment ref="F5406" dT="2026-02-09T07:22:55.03" personId="{4D8483EF-5A39-4E7B-A473-929EF5A077E1}" id="{D00187E9-2F02-41A7-A0C4-0935C9249A7F}">
    <text>650 € ALQUILER FEBRERO
650 € FIANZA -5 CAMAS</text>
  </threadedComment>
  <threadedComment ref="F5407" dT="2025-10-27T11:57:19.08" personId="{4D8483EF-5A39-4E7B-A473-929EF5A077E1}" id="{A9CA097B-4C64-49F5-A7A7-6829876CA1DC}">
    <text>Alojamiento 4 Camas Alquiler 1.122€ Fianza 2.200€</text>
  </threadedComment>
  <threadedComment ref="F5408" dT="2025-12-22T15:35:08.17" personId="{4D8483EF-5A39-4E7B-A473-929EF5A077E1}" id="{CEEA0F9C-034A-4964-A151-20CA5C0B2667}">
    <text>Alquiler 280€- fianza de 260€</text>
  </threadedComment>
  <threadedComment ref="F5409" dT="2025-03-11T10:16:04.90" personId="{98986A2A-739A-4851-A979-4B0D560C46CD}" id="{73BB6D72-6354-4282-88C1-A2FE3E3F13B2}">
    <text xml:space="preserve">6 camas 
Renta vivienda 1.250€+ Servicio de Limpieza 363€ =TOTAL 1.613€, fianza 
</text>
  </threadedComment>
  <threadedComment ref="F5409" dT="2025-12-09T08:40:53.10" personId="{4D8483EF-5A39-4E7B-A473-929EF5A077E1}" id="{5761A354-934B-4886-8C77-8B8822AF3D50}" parentId="{73BB6D72-6354-4282-88C1-A2FE3E3F13B2}">
    <text>Renovación contrato vivienda 1.050€+suministros 250€ + Servicio de Limpieza 363€ =TOTAL 1.663€, fianza 950€</text>
  </threadedComment>
  <threadedComment ref="F5411" dT="2025-10-24T06:53:00.00" personId="{4D8483EF-5A39-4E7B-A473-929EF5A077E1}" id="{002E6AA1-6612-4D9D-A7F0-933803F99785}">
    <text>habitación cuádruple</text>
  </threadedComment>
  <threadedComment ref="F5412" dT="2025-12-09T14:35:02.13" personId="{4D8483EF-5A39-4E7B-A473-929EF5A077E1}" id="{763E657F-5EB2-446F-B733-7FF8B5DA6D13}">
    <text>3 Camas</text>
  </threadedComment>
  <threadedComment ref="F5416" dT="2026-04-01T08:42:47.84" personId="{4D8483EF-5A39-4E7B-A473-929EF5A077E1}" id="{C3C128E7-2D1A-4BF7-9F6B-5F1E5F5F96A0}">
    <text xml:space="preserve">1 Habitación- Alquiler 450€ </text>
  </threadedComment>
  <threadedComment ref="F5420" dT="2025-10-23T15:01:45.85" personId="{4D8483EF-5A39-4E7B-A473-929EF5A077E1}" id="{1F79FE6F-B7A7-4C54-B8C7-1D06E9730C6F}">
    <text>7 Camas</text>
  </threadedComment>
  <threadedComment ref="F5420" dT="2025-11-13T08:10:52.60" personId="{98986A2A-739A-4851-A979-4B0D560C46CD}" id="{37B76FB5-725E-4A98-972F-BAE5AC92877B}" parentId="{1F79FE6F-B7A7-4C54-B8C7-1D06E9730C6F}">
    <text>FIANZA 1900€, ALQUILER 1900€</text>
  </threadedComment>
  <threadedComment ref="F5420" dT="2026-07-31T09:07:19.23" personId="{4D8483EF-5A39-4E7B-A473-929EF5A077E1}" id="{CF20E9BD-FDD5-4650-8CFA-93B1A008585F}" parentId="{1F79FE6F-B7A7-4C54-B8C7-1D06E9730C6F}">
    <text xml:space="preserve"> ALQUILER 1500€</text>
  </threadedComment>
  <threadedComment ref="F5423" dT="2025-07-03T17:00:32.63" personId="{98986A2A-739A-4851-A979-4B0D560C46CD}" id="{52A1EB67-DE50-46BB-B876-F821F2096F47}">
    <text xml:space="preserve">1400€ ALQUILER, 5 CAMAS
</text>
  </threadedComment>
  <threadedComment ref="F5429" dT="2026-07-03T08:31:04.30" personId="{98986A2A-739A-4851-A979-4B0D560C46CD}" id="{29221E12-E006-44A1-A4FB-994174E725E2}">
    <text>2000 alquiler, 2000 fianza del piso (Carrer del Monestir de Poblet, 42, 1, Campanar, 46015 València), 04 camas</text>
  </threadedComment>
  <threadedComment ref="U5429" dT="2026-07-03T08:54:58.48" personId="{98986A2A-739A-4851-A979-4B0D560C46CD}" id="{504F23B8-2DC2-40C1-B4B2-05FEC56C86BF}">
    <text>PTE POR CORREGIR FECHA, ELLOS AÙN NO HAN INGRESADO</text>
  </threadedComment>
  <threadedComment ref="F5453" dT="2025-02-13T10:05:11.33" personId="{17D30B62-2123-41F1-B603-E5411FDFA3E0}" id="{7EE79DCB-3370-46CF-A97B-CB9FB730ED06}">
    <text>Habitacion doble para trabajadores cant 1 Costo 60€/noche
Habitacion triple para trabajadores cant 3 Costo 75€/noche cada una
(camas separadas)</text>
  </threadedComment>
  <threadedComment ref="F5457" dT="2025-02-13T10:05:11.33" personId="{17D30B62-2123-41F1-B603-E5411FDFA3E0}" id="{4FCAACAC-EB84-40DC-8E0F-C8A065FD2819}">
    <text>Habitacion doble para trabajadores cant 1 Costo 60€/noche
Habitacion triple para trabajadores cant 3 Costo 75€/noche cada una
(camas separadas)</text>
  </threadedComment>
  <threadedComment ref="F5464" dT="2025-02-13T10:05:11.33" personId="{17D30B62-2123-41F1-B603-E5411FDFA3E0}" id="{D76B022C-D7B5-40C5-B838-75F69C532FD3}">
    <text>Habitacion doble para trabajadores cant 1 Costo 60€/noche
Habitacion triple para trabajadores cant 3 Costo 75€/noche cada una
(camas separadas)</text>
  </threadedComment>
  <threadedComment ref="F5465" dT="2024-08-19T11:49:32.68" personId="{98986A2A-739A-4851-A979-4B0D560C46CD}" id="{26614AFE-06CF-4F9B-BFDD-11061B02910E}">
    <text>3 habitaciones</text>
  </threadedComment>
  <threadedComment ref="F5466" dT="2025-02-13T10:05:11.33" personId="{17D30B62-2123-41F1-B603-E5411FDFA3E0}" id="{59F2349E-67C6-4041-B3DD-CD65EDA667BB}">
    <text>Habitacion doble para trabajadores cant 1 Costo 60€/noche
Habitacion triple para trabajadores cant 3 Costo 75€/noche cada una
(camas separadas)</text>
  </threadedComment>
  <threadedComment ref="F5467" dT="2025-10-23T15:01:45.85" personId="{4D8483EF-5A39-4E7B-A473-929EF5A077E1}" id="{FD9D020A-2B42-43FE-86C5-8DDDD5F69747}">
    <text>7 Camas</text>
  </threadedComment>
  <threadedComment ref="F5467" dT="2025-11-13T08:10:52.60" personId="{98986A2A-739A-4851-A979-4B0D560C46CD}" id="{1B7F8EB3-3D3A-4B4B-B0DA-144BE9BF944F}" parentId="{FD9D020A-2B42-43FE-86C5-8DDDD5F69747}">
    <text>FIANZA 1900€, ALQUILER 1900€</text>
  </threadedComment>
  <threadedComment ref="F5467" dT="2026-07-31T09:07:19.23" personId="{4D8483EF-5A39-4E7B-A473-929EF5A077E1}" id="{1F2F883C-443B-4D18-BACF-DA405A2AF195}" parentId="{FD9D020A-2B42-43FE-86C5-8DDDD5F69747}">
    <text xml:space="preserve"> ALQUILER 1500€</text>
  </threadedComment>
  <threadedComment ref="F5470" dT="2025-07-03T17:00:32.63" personId="{98986A2A-739A-4851-A979-4B0D560C46CD}" id="{EAE47709-9956-4F9F-9FF1-C2E78BAF201C}">
    <text xml:space="preserve">1400€ ALQUILER, 5 CAMAS
</text>
  </threadedComment>
  <threadedComment ref="F5471" dT="2025-10-13T06:45:58.73" personId="{4D8483EF-5A39-4E7B-A473-929EF5A077E1}" id="{6A0634CF-4DED-45E5-B74B-6F4E1CB90A1C}">
    <text>Alojamiento (para 4 personas)</text>
  </threadedComment>
  <threadedComment ref="F5472" dT="2025-10-22T10:32:18.01" personId="{4D8483EF-5A39-4E7B-A473-929EF5A077E1}" id="{4EA70170-F4DF-46B3-B1C6-13DAE9D5DF0B}">
    <text>1 Habitación Doble.</text>
  </threadedComment>
  <threadedComment ref="F5473" dT="2025-10-22T10:32:18.01" personId="{4D8483EF-5A39-4E7B-A473-929EF5A077E1}" id="{2277B0E9-911F-4A55-9F09-0E978C5D30EA}">
    <text>1 Habitación Doble.</text>
  </threadedComment>
  <threadedComment ref="F5474" dT="2025-10-13T06:45:58.73" personId="{4D8483EF-5A39-4E7B-A473-929EF5A077E1}" id="{D2BE7518-C717-4641-9E59-D6D81F02A55C}">
    <text>Alojamiento (para 4 personas)</text>
  </threadedComment>
  <threadedComment ref="F5475" dT="2025-10-22T10:32:18.01" personId="{4D8483EF-5A39-4E7B-A473-929EF5A077E1}" id="{EF1CEC07-2FF6-45E1-B351-B3EA6F6ED6FB}">
    <text>1 Habitación Doble.</text>
  </threadedComment>
  <threadedComment ref="F5476" dT="2025-02-13T10:05:11.33" personId="{17D30B62-2123-41F1-B603-E5411FDFA3E0}" id="{7C715CE6-D34B-4499-AF5C-6556DAF55A67}">
    <text xml:space="preserve">Alquiler 1438,80€    3 camas </text>
  </threadedComment>
  <threadedComment ref="F5480" dT="2025-07-03T17:00:32.63" personId="{98986A2A-739A-4851-A979-4B0D560C46CD}" id="{4A3849A1-8DC3-4AD9-84C0-9DC33B3505D2}">
    <text xml:space="preserve">1400€ ALQUILER, 5 CAMAS
</text>
  </threadedComment>
  <threadedComment ref="F5481" dT="2025-03-31T09:50:42.16" personId="{17D30B62-2123-41F1-B603-E5411FDFA3E0}" id="{6206483F-AC26-4103-BF75-0EF15154BF5B}">
    <text>Alojamiento entero · 4 camas · 4</text>
  </threadedComment>
  <threadedComment ref="F5482" dT="2025-05-09T14:42:41.46" personId="{17D30B62-2123-41F1-B603-E5411FDFA3E0}" id="{60701B13-5C48-4A37-90F3-128F26EB2587}">
    <text>4 CAMAS 2.600€ Alquiler</text>
  </threadedComment>
  <threadedComment ref="F5486" dT="2025-02-26T12:24:18.65" personId="{98986A2A-739A-4851-A979-4B0D560C46CD}" id="{E7FFCEC0-4213-48A3-BE9A-0CB36287EAE3}">
    <text xml:space="preserve">Alquiler 1150 , Fianza 2200  Camas 4
</text>
  </threadedComment>
  <threadedComment ref="F5489" dT="2026-01-08T11:39:56.47" personId="{4D8483EF-5A39-4E7B-A473-929EF5A077E1}" id="{56DD34FE-B753-4512-A2BB-0D405148B49D}">
    <text>La propietaria solicita los pagos efectuados entre el 01 y 02 días de cada mes ya que tiene compromisos urgentes que pagar. Alquiler 350€</text>
  </threadedComment>
  <threadedComment ref="F5492" dT="2025-02-25T17:38:25.86" personId="{98986A2A-739A-4851-A979-4B0D560C46CD}" id="{EC0E0539-12FE-44F4-A8CD-918B3C3C0B10}">
    <text xml:space="preserve">Alquiler 1600 Fianza 1600 camas 5
</text>
  </threadedComment>
  <threadedComment ref="F5499" dT="2025-09-22T06:31:07.01" personId="{17D30B62-2123-41F1-B603-E5411FDFA3E0}" id="{E2CD9722-A342-4872-83EF-C1FF8D33DC4E}">
    <text>1 Habitación, 28€/ Noche un mes entrando el 20/09</text>
  </threadedComment>
  <threadedComment ref="F5500" dT="2025-11-24T14:36:35.11" personId="{4D8483EF-5A39-4E7B-A473-929EF5A077E1}" id="{00DF20ED-D736-439E-B522-3B2A5B9C1C79}">
    <text xml:space="preserve">480€ Habitación </text>
  </threadedComment>
  <threadedComment ref="F5502" dT="2025-03-11T10:16:04.90" personId="{98986A2A-739A-4851-A979-4B0D560C46CD}" id="{1DD9250C-A269-4B9D-904E-DD750C11002C}">
    <text xml:space="preserve">6 camas 
Renta vivienda 1.250€+ Servicio de Limpieza 363€ =TOTAL 1.613€, fianza 
</text>
  </threadedComment>
  <threadedComment ref="F5502" dT="2025-12-09T08:40:53.10" personId="{4D8483EF-5A39-4E7B-A473-929EF5A077E1}" id="{23D6494F-EB03-4A6B-8706-A8C0F063B39F}" parentId="{1DD9250C-A269-4B9D-904E-DD750C11002C}">
    <text>Renovación contrato vivienda 1.050€+suministros 250€ + Servicio de Limpieza 363€ =TOTAL 1.663€, fianza 950€</text>
  </threadedComment>
  <threadedComment ref="F5503" dT="2025-07-17T15:35:06.73" personId="{98986A2A-739A-4851-A979-4B0D560C46CD}" id="{9DCD5736-E492-4A31-BFB6-64AB83A85545}">
    <text>05 camas, 1600€ alquiler, 1200€ fianza</text>
  </threadedComment>
  <threadedComment ref="F5503" dT="2025-07-29T15:27:52.03" personId="{17D30B62-2123-41F1-B603-E5411FDFA3E0}" id="{AD735A99-C870-41A7-ABF3-FE72552BA14A}" parentId="{9DCD5736-E492-4A31-BFB6-64AB83A85545}">
    <text>1 cama supletoria 200€</text>
  </threadedComment>
  <threadedComment ref="F5507" dT="2025-12-09T14:35:02.13" personId="{4D8483EF-5A39-4E7B-A473-929EF5A077E1}" id="{66500881-CDB3-4B04-8A29-2C1EEAB7C6DB}">
    <text>3 Camas</text>
  </threadedComment>
  <threadedComment ref="F5508" dT="2025-02-13T10:05:11.33" personId="{17D30B62-2123-41F1-B603-E5411FDFA3E0}" id="{F1871E11-4F71-46B0-A573-C6AA1438D94B}">
    <text>Habitacion doble para trabajadores cant 1 Costo 60€/noche
Habitacion triple para trabajadores cant 3 Costo 75€/noche cada una
(camas separadas)</text>
  </threadedComment>
  <threadedComment ref="F5511" dT="2025-03-11T10:16:04.90" personId="{98986A2A-739A-4851-A979-4B0D560C46CD}" id="{1A5F1788-F197-4BD8-918E-C9558C180B8B}">
    <text xml:space="preserve">6 camas 
Renta vivienda 1.250€+ Servicio de Limpieza 363€ =TOTAL 1.613€, fianza 
</text>
  </threadedComment>
  <threadedComment ref="F5511" dT="2025-12-09T08:40:53.10" personId="{4D8483EF-5A39-4E7B-A473-929EF5A077E1}" id="{B5EFEA91-4CF5-48D4-A798-495B4A6716CF}" parentId="{1A5F1788-F197-4BD8-918E-C9558C180B8B}">
    <text>Renovación contrato vivienda 1.050€+suministros 250€ + Servicio de Limpieza 363€ =TOTAL 1.663€, fianza 950€</text>
  </threadedComment>
  <threadedComment ref="F5512" dT="2025-03-11T10:16:04.90" personId="{98986A2A-739A-4851-A979-4B0D560C46CD}" id="{31C01841-D53A-4416-8C32-18B3DC7787DB}">
    <text xml:space="preserve">6 camas 
Renta vivienda 1.250€+ Servicio de Limpieza 363€ =TOTAL 1.613€, fianza 
</text>
  </threadedComment>
  <threadedComment ref="F5512" dT="2025-12-09T08:40:53.10" personId="{4D8483EF-5A39-4E7B-A473-929EF5A077E1}" id="{73D85F13-898E-4FF5-AF31-014CC4165E61}" parentId="{31C01841-D53A-4416-8C32-18B3DC7787DB}">
    <text>Renovación contrato vivienda 1.050€+suministros 250€ + Servicio de Limpieza 363€ =TOTAL 1.663€, fianza 950€</text>
  </threadedComment>
  <threadedComment ref="F5513" dT="2025-03-11T10:16:04.90" personId="{98986A2A-739A-4851-A979-4B0D560C46CD}" id="{0B26B382-7C17-4217-8CFF-FDB7F1FAE520}">
    <text xml:space="preserve">6 camas 
Renta vivienda 1.250€+ Servicio de Limpieza 363€ =TOTAL 1.613€, fianza 
</text>
  </threadedComment>
  <threadedComment ref="F5513" dT="2025-12-09T08:40:53.10" personId="{4D8483EF-5A39-4E7B-A473-929EF5A077E1}" id="{FD7C193D-F7A2-41D8-8BE7-D48300F7B133}" parentId="{0B26B382-7C17-4217-8CFF-FDB7F1FAE520}">
    <text>Renovación contrato vivienda 1.050€+suministros 250€ + Servicio de Limpieza 363€ =TOTAL 1.663€, fianza 950€</text>
  </threadedComment>
  <threadedComment ref="F5515" dT="2026-01-08T11:40:42.13" personId="{4D8483EF-5A39-4E7B-A473-929EF5A077E1}" id="{65F1C391-8565-4C32-A121-75F5A97749F1}">
    <text>La propietaria solicita los pagos efectuados entre el 01 y 02 días de cada mes ya que tiene compromisos urgentes que pagar. Alquiler 450€</text>
  </threadedComment>
  <threadedComment ref="F5516" dT="2025-03-11T10:16:04.90" personId="{98986A2A-739A-4851-A979-4B0D560C46CD}" id="{8E00D63F-8DD0-4AB1-8D17-523766EFA59D}">
    <text xml:space="preserve">6 camas 
Renta vivienda 1.250€+ Servicio de Limpieza 363€ =TOTAL 1.613€, fianza 
</text>
  </threadedComment>
  <threadedComment ref="F5516" dT="2025-12-09T08:40:53.10" personId="{4D8483EF-5A39-4E7B-A473-929EF5A077E1}" id="{7703A03F-0B9E-4BCA-9BC1-D1987C53AD4A}" parentId="{8E00D63F-8DD0-4AB1-8D17-523766EFA59D}">
    <text>Renovación contrato vivienda 1.050€+suministros 250€ + Servicio de Limpieza 363€ =TOTAL 1.663€, fianza 950€</text>
  </threadedComment>
  <threadedComment ref="F5517" dT="2025-07-17T15:35:06.73" personId="{98986A2A-739A-4851-A979-4B0D560C46CD}" id="{305EB46D-AD94-4CBD-865D-DA9830769CCF}">
    <text>05 camas, 1600€ alquiler, 1200€ fianza</text>
  </threadedComment>
  <threadedComment ref="F5517" dT="2025-07-29T15:27:52.03" personId="{17D30B62-2123-41F1-B603-E5411FDFA3E0}" id="{4D3558DC-F302-4736-A39C-254D6F0BCD79}" parentId="{305EB46D-AD94-4CBD-865D-DA9830769CCF}">
    <text>1 cama supletoria 200€</text>
  </threadedComment>
  <threadedComment ref="F5518" dT="2025-10-02T11:40:48.75" personId="{17D30B62-2123-41F1-B603-E5411FDFA3E0}" id="{5519AB2E-869F-4010-96DB-CA6201C6EC96}">
    <text>Alquiler Habitación - Septiembre-Octubre 350€
Fianza - 350€</text>
  </threadedComment>
  <threadedComment ref="F5519" dT="2025-03-11T10:16:04.90" personId="{98986A2A-739A-4851-A979-4B0D560C46CD}" id="{56B0F0F8-6201-4414-9377-584C63F5DA5B}">
    <text xml:space="preserve">6 camas 
Renta vivienda 1.250€+ Servicio de Limpieza 363€ =TOTAL 1.613€, fianza 
</text>
  </threadedComment>
  <threadedComment ref="F5519" dT="2025-12-09T08:40:53.10" personId="{4D8483EF-5A39-4E7B-A473-929EF5A077E1}" id="{C14BF1C8-FEE3-44B8-A4BC-4E84D8C01A6D}" parentId="{56B0F0F8-6201-4414-9377-584C63F5DA5B}">
    <text>Renovación contrato vivienda 1.050€+suministros 250€ + Servicio de Limpieza 363€ =TOTAL 1.663€, fianza 950€</text>
  </threadedComment>
  <threadedComment ref="F5520" dT="2025-07-17T15:35:06.73" personId="{98986A2A-739A-4851-A979-4B0D560C46CD}" id="{4CD05D6F-E0C1-4EEE-B59E-F6CF12C8ED73}">
    <text>05 camas, 1600€ alquiler, 1200€ fianza</text>
  </threadedComment>
  <threadedComment ref="F5520" dT="2025-07-29T15:27:52.03" personId="{17D30B62-2123-41F1-B603-E5411FDFA3E0}" id="{6C4B267E-4265-47A1-853C-7925FFE929CB}" parentId="{4CD05D6F-E0C1-4EEE-B59E-F6CF12C8ED73}">
    <text>1 cama supletoria 200€</text>
  </threadedComment>
  <threadedComment ref="F5525" dT="2026-07-06T06:15:12.46" personId="{4D8483EF-5A39-4E7B-A473-929EF5A077E1}" id="{CD3FCE7A-6B7B-4011-B348-E37670C467DE}">
    <text xml:space="preserve">1 Habitación. </text>
  </threadedComment>
  <threadedComment ref="F5526" dT="2025-02-13T10:05:11.33" personId="{17D30B62-2123-41F1-B603-E5411FDFA3E0}" id="{AEDB5143-E0C9-4E5E-B2E9-891AD5CFBDD4}">
    <text>Habitacion doble para trabajadores cant 1 Costo 60€/noche
Habitacion triple para trabajadores cant 3 Costo 75€/noche cada una
(camas separadas)</text>
  </threadedComment>
  <threadedComment ref="F5527" dT="2025-02-26T14:56:43.99" personId="{17D30B62-2123-41F1-B603-E5411FDFA3E0}" id="{FA0DA7A4-F5F7-43CA-83EB-4AD6B61C619E}">
    <text>Alojamiento para 9 personas.
 3 apartamentos triples (101-102-121)</text>
  </threadedComment>
  <threadedComment ref="F5527" dT="2025-10-14T10:02:06.67" personId="{4D8483EF-5A39-4E7B-A473-929EF5A077E1}" id="{08B6721D-6CB9-4FD5-9419-119D41CE4A39}" parentId="{FA0DA7A4-F5F7-43CA-83EB-4AD6B61C619E}">
    <text xml:space="preserve">Alojamiento para 6 personas.
 2 apartamentos triples </text>
  </threadedComment>
  <threadedComment ref="F5528" dT="2024-12-02T09:17:44.96" personId="{98986A2A-739A-4851-A979-4B0D560C46CD}" id="{FD57C8EA-2E1A-4996-89BC-074484A6D22E}">
    <text>08 CAMAS, 2500€ alquiler, 2500€ fianza</text>
  </threadedComment>
  <threadedComment ref="F5530" dT="2025-02-13T10:05:11.33" personId="{17D30B62-2123-41F1-B603-E5411FDFA3E0}" id="{50C86E7A-E1D9-431F-9126-F7BFDF53EE2F}">
    <text>Habitacion doble para trabajadores cant 1 Costo 60€/noche
Habitacion triple para trabajadores cant 3 Costo 75€/noche cada una
(camas separadas)</text>
  </threadedComment>
  <threadedComment ref="F5531" dT="2026-02-09T07:37:54.71" personId="{4D8483EF-5A39-4E7B-A473-929EF5A077E1}" id="{C3281146-C82E-45E6-9791-AA95D465D81F}">
    <text>3 Habitaciones Doble: Tenéis que hacer el ingreso de su medio mes 1.200€. Igualmente si continúan otros 15 días la cuantía sería sólo de 900€ máss</text>
  </threadedComment>
  <threadedComment ref="F5532" dT="2025-02-13T10:05:11.33" personId="{17D30B62-2123-41F1-B603-E5411FDFA3E0}" id="{43989B25-4287-4073-A2FC-D2C8944E1953}">
    <text>Habitacion doble para trabajadores cant 1 Costo 60€/noche
Habitacion triple para trabajadores cant 3 Costo 75€/noche cada una
(camas separadas)</text>
  </threadedComment>
  <threadedComment ref="F5533" dT="2026-01-05T10:25:45.92" personId="{4D8483EF-5A39-4E7B-A473-929EF5A077E1}" id="{CFE000CF-9B50-4081-AE33-777EE87EB004}">
    <text>3 Habitaciones triples camas separadas- 9 Camas</text>
  </threadedComment>
  <threadedComment ref="F5534" dT="2025-02-25T17:38:25.86" personId="{98986A2A-739A-4851-A979-4B0D560C46CD}" id="{9DF9FE50-0F98-4563-BE40-B04A427D58F3}">
    <text xml:space="preserve">Alquiler 1600 Fianza 1600 camas 5
</text>
  </threadedComment>
  <threadedComment ref="F5535" dT="2026-02-17T08:36:54.34" personId="{98986A2A-739A-4851-A979-4B0D560C46CD}" id="{E738A0E6-A9A8-4EC8-BFAB-187AB69B0FF8}">
    <text>05 camas</text>
  </threadedComment>
  <threadedComment ref="F5536" dT="2026-02-09T07:37:54.71" personId="{4D8483EF-5A39-4E7B-A473-929EF5A077E1}" id="{CAB4CEE6-F140-4A5C-AF71-6868B79C0ED4}">
    <text>1 Habitacion Doble: Tenéis que hacer el ingreso de su medio mes 500€. Igualmente si continúan otros 15 días la cuantía sería sólo de 200€ máss</text>
  </threadedComment>
  <threadedComment ref="F5538" dT="2025-07-17T15:35:06.73" personId="{98986A2A-739A-4851-A979-4B0D560C46CD}" id="{A209B56D-958F-4A93-B370-40A821080FF1}">
    <text>05 camas, 1600€ alquiler, 1200€ fianza</text>
  </threadedComment>
  <threadedComment ref="F5538" dT="2025-07-29T15:27:52.03" personId="{17D30B62-2123-41F1-B603-E5411FDFA3E0}" id="{359FB395-6FDA-4A05-9AA7-EFE265C9C034}" parentId="{A209B56D-958F-4A93-B370-40A821080FF1}">
    <text>1 cama supletoria 200€</text>
  </threadedComment>
  <threadedComment ref="F5543" dT="2025-10-23T15:01:45.85" personId="{4D8483EF-5A39-4E7B-A473-929EF5A077E1}" id="{B69F6A45-7E53-4452-865A-A4951FD19233}">
    <text>7 Camas</text>
  </threadedComment>
  <threadedComment ref="F5543" dT="2025-11-13T08:10:52.60" personId="{98986A2A-739A-4851-A979-4B0D560C46CD}" id="{58401C99-9F76-40EF-82A3-5ED8255FBB16}" parentId="{B69F6A45-7E53-4452-865A-A4951FD19233}">
    <text>FIANZA 1900€, ALQUILER 1900€</text>
  </threadedComment>
  <threadedComment ref="F5544" dT="2024-12-02T09:17:44.96" personId="{98986A2A-739A-4851-A979-4B0D560C46CD}" id="{D47762D7-4243-409D-AC40-FB00A6C90413}">
    <text>08 CAMAS, 2500€ alquiler, 2500€ fianza</text>
  </threadedComment>
  <threadedComment ref="F5545" dT="2026-01-05T10:25:45.92" personId="{4D8483EF-5A39-4E7B-A473-929EF5A077E1}" id="{A3AEEFB6-4BBA-401A-B737-B4B972CEA8F1}">
    <text>3 Habitaciones triples camas separadas- 9 Camas</text>
  </threadedComment>
  <threadedComment ref="F5546" dT="2026-02-26T10:20:40.87" personId="{4D8483EF-5A39-4E7B-A473-929EF5A077E1}" id="{97FDD5A0-EE06-4528-97A2-68C71AAC32FD}">
    <text>1HABITACIONES 500 C/U
Limpieza       30</text>
  </threadedComment>
  <threadedComment ref="F5547" dT="2024-12-02T09:17:44.96" personId="{98986A2A-739A-4851-A979-4B0D560C46CD}" id="{C4BFFAD3-FED9-4ACE-970B-A9226CF09B57}">
    <text>08 CAMAS, 2500€ alquiler, 2500€ fianza</text>
  </threadedComment>
  <threadedComment ref="F5548" dT="2025-10-23T15:01:45.85" personId="{4D8483EF-5A39-4E7B-A473-929EF5A077E1}" id="{1671EDB4-3A43-482A-A593-6BBEB184E04E}">
    <text>7 Camas</text>
  </threadedComment>
  <threadedComment ref="F5548" dT="2025-11-13T08:10:52.60" personId="{98986A2A-739A-4851-A979-4B0D560C46CD}" id="{F27C0B88-70B5-4616-AC32-8C82A5850773}" parentId="{1671EDB4-3A43-482A-A593-6BBEB184E04E}">
    <text>FIANZA 1900€, ALQUILER 1900€</text>
  </threadedComment>
  <threadedComment ref="F5548" dT="2026-07-31T09:07:19.23" personId="{4D8483EF-5A39-4E7B-A473-929EF5A077E1}" id="{151DB7EE-4874-4F1F-B0FF-FAEFD513DB8C}" parentId="{1671EDB4-3A43-482A-A593-6BBEB184E04E}">
    <text xml:space="preserve"> ALQUILER 1500€</text>
  </threadedComment>
  <threadedComment ref="F5549" dT="2026-02-16T08:56:30.42" personId="{4D8483EF-5A39-4E7B-A473-929EF5A077E1}" id="{4E359B72-182F-4A44-A7EB-774046ECD887}">
    <text>2 Camas alquiler 900€</text>
  </threadedComment>
  <threadedComment ref="F5552" dT="2025-09-23T14:26:28.36" personId="{17D30B62-2123-41F1-B603-E5411FDFA3E0}" id="{02E8F980-B80F-496A-8EE9-888442237C0D}">
    <text>1 Habitación 2 camas.</text>
  </threadedComment>
  <threadedComment ref="F5552" dT="2026-01-22T09:19:58.20" personId="{4D8483EF-5A39-4E7B-A473-929EF5A077E1}" id="{122B6E0A-FCB5-4ADF-A913-53F7035143F3}" parentId="{02E8F980-B80F-496A-8EE9-888442237C0D}">
    <text>840€ Alquiler Mensual</text>
  </threadedComment>
  <threadedComment ref="H5552" dT="2026-01-12T08:46:13.62" personId="{4D8483EF-5A39-4E7B-A473-929EF5A077E1}" id="{B38BE23F-9E61-4B99-B06F-709416D21332}">
    <text>2026/680</text>
  </threadedComment>
  <threadedComment ref="F5554" dT="2024-12-02T09:17:44.96" personId="{98986A2A-739A-4851-A979-4B0D560C46CD}" id="{70D35C9C-57F2-4E71-A6D7-7FF212729222}">
    <text>08 CAMAS, 2500€ alquiler, 2500€ fianza</text>
  </threadedComment>
  <threadedComment ref="F5555" dT="2025-02-13T10:05:11.33" personId="{17D30B62-2123-41F1-B603-E5411FDFA3E0}" id="{7C669793-EFA4-4CE3-AC77-E03540B76F58}">
    <text>Habitacion doble para trabajadores cant 1 Costo 60€/noche
Habitacion triple para trabajadores cant 3 Costo 75€/noche cada una
(camas separadas)</text>
  </threadedComment>
  <threadedComment ref="F5556" dT="2026-02-26T10:08:21.22" personId="{4D8483EF-5A39-4E7B-A473-929EF5A077E1}" id="{DD04C533-F32E-426F-B4C5-0DAD36A4AA9C}">
    <text>4 Camas Alquiler 1450€
Fianza 1450€
Limpieza 120€</text>
  </threadedComment>
  <threadedComment ref="F5558" dT="2024-12-02T09:17:44.96" personId="{98986A2A-739A-4851-A979-4B0D560C46CD}" id="{C9D002B8-D652-4F9D-925A-E09966D5FF31}">
    <text>08 CAMAS, 2500€ alquiler, 2500€ fianza</text>
  </threadedComment>
  <threadedComment ref="F5559" dT="2025-03-03T15:49:22.14" personId="{98986A2A-739A-4851-A979-4B0D560C46CD}" id="{0C6EB042-865C-424F-803E-7F09441C2B4A}">
    <text>03 camas, 550€ alquiler, 550€ fianza</text>
  </threadedComment>
  <threadedComment ref="F5560" dT="2026-07-03T08:31:04.30" personId="{98986A2A-739A-4851-A979-4B0D560C46CD}" id="{A6BFB2AC-58C2-419D-993F-B4B55707AF35}">
    <text>2000 alquiler, 2000 fianza del piso (Carrer del Monestir de Poblet, 42, 1, Campanar, 46015 València), 04 camas</text>
  </threadedComment>
  <threadedComment ref="U5560" dT="2026-07-03T08:54:58.48" personId="{98986A2A-739A-4851-A979-4B0D560C46CD}" id="{DAD26A0C-E99C-46A7-9B61-4C7521522E1E}">
    <text>PTE POR CORREGIR FECHA, ELLOS AÙN NO HAN INGRESADO</text>
  </threadedComment>
  <threadedComment ref="F5561" dT="2025-10-23T15:01:45.85" personId="{4D8483EF-5A39-4E7B-A473-929EF5A077E1}" id="{C9CFA8C7-8A5A-4AEA-866D-8AC4F9ADD0CC}">
    <text>7 Camas</text>
  </threadedComment>
  <threadedComment ref="F5561" dT="2025-11-13T08:10:52.60" personId="{98986A2A-739A-4851-A979-4B0D560C46CD}" id="{49E79C18-4B6E-41D5-A1C4-25573C9DEFC1}" parentId="{C9CFA8C7-8A5A-4AEA-866D-8AC4F9ADD0CC}">
    <text>FIANZA 1900€, ALQUILER 1900€</text>
  </threadedComment>
  <threadedComment ref="F5562" dT="2025-10-23T15:01:45.85" personId="{4D8483EF-5A39-4E7B-A473-929EF5A077E1}" id="{3D019ED4-66A6-429C-BE30-7A1211C6905E}">
    <text>7 Camas</text>
  </threadedComment>
  <threadedComment ref="F5562" dT="2025-11-13T08:10:52.60" personId="{98986A2A-739A-4851-A979-4B0D560C46CD}" id="{D980F997-66DB-40B0-9CAC-2E5EF2E4D45F}" parentId="{3D019ED4-66A6-429C-BE30-7A1211C6905E}">
    <text>FIANZA 1900€, ALQUILER 1900€</text>
  </threadedComment>
  <threadedComment ref="F5562" dT="2026-07-31T09:07:19.23" personId="{4D8483EF-5A39-4E7B-A473-929EF5A077E1}" id="{BF1DE2CE-E145-4876-A52A-BA6C62E390CE}" parentId="{3D019ED4-66A6-429C-BE30-7A1211C6905E}">
    <text xml:space="preserve"> ALQUILER 1500€</text>
  </threadedComment>
  <threadedComment ref="F5563" dT="2025-03-21T15:44:19.97" personId="{17D30B62-2123-41F1-B603-E5411FDFA3E0}" id="{58C69831-764B-4679-808E-EE8DF73DAFC6}">
    <text>Fianza 2.400€, Alquiler 1.200€, 6 Camas.</text>
  </threadedComment>
  <threadedComment ref="F5563" dT="2026-04-10T10:51:55.80" personId="{4D8483EF-5A39-4E7B-A473-929EF5A077E1}" id="{E724DA80-801B-4F45-8844-9D6BDE1C6CE6}" parentId="{58C69831-764B-4679-808E-EE8DF73DAFC6}">
    <text>Sube el ipc segun contrato 3%, queda alquiler total a pagar: 1.236€</text>
  </threadedComment>
  <threadedComment ref="F5564" dT="2025-02-13T10:05:11.33" personId="{17D30B62-2123-41F1-B603-E5411FDFA3E0}" id="{32A4D4A8-FA2F-41B1-A1EE-AA733F7AE2EE}">
    <text xml:space="preserve">Alquiler 1300, Fianza 1300, 3 camas </text>
  </threadedComment>
  <threadedComment ref="F5565" dT="2025-03-21T15:44:19.97" personId="{17D30B62-2123-41F1-B603-E5411FDFA3E0}" id="{15DCE067-9329-49E8-AD7B-7752E58A19FC}">
    <text>Fianza 2.400€, Alquiler 1.200€, 6 Camas.</text>
  </threadedComment>
  <threadedComment ref="F5565" dT="2026-04-10T10:51:55.80" personId="{4D8483EF-5A39-4E7B-A473-929EF5A077E1}" id="{07B76931-ADDD-4FEB-8947-FB081FFD675E}" parentId="{15DCE067-9329-49E8-AD7B-7752E58A19FC}">
    <text>Sube el ipc segun contrato 3%, queda alquiler total a pagar: 1.236€</text>
  </threadedComment>
  <threadedComment ref="F5569" dT="2025-03-21T15:44:19.97" personId="{17D30B62-2123-41F1-B603-E5411FDFA3E0}" id="{BE86D05F-D974-4711-B339-EF614F7C8C26}">
    <text>Fianza 2.400€, Alquiler 1.200€, 6 Camas.</text>
  </threadedComment>
  <threadedComment ref="F5569" dT="2026-04-10T10:51:55.80" personId="{4D8483EF-5A39-4E7B-A473-929EF5A077E1}" id="{CE6B747E-5166-4017-9B6A-4BB5ADF4CFA1}" parentId="{BE86D05F-D974-4711-B339-EF614F7C8C26}">
    <text>Sube el ipc segun contrato 3%, queda alquiler total a pagar: 1.236€</text>
  </threadedComment>
  <threadedComment ref="F5570" dT="2024-12-02T09:17:44.96" personId="{98986A2A-739A-4851-A979-4B0D560C46CD}" id="{684DF946-AA7A-41F1-82A2-9D5D3D6C0AFB}">
    <text>08 CAMAS, 2500€ alquiler, 2500€ fianza</text>
  </threadedComment>
  <threadedComment ref="F5574" dT="2025-04-07T06:50:18.61" personId="{98986A2A-739A-4851-A979-4B0D560C46CD}" id="{C0068E47-A57C-4857-919C-6FF6E238E292}">
    <text>05 CAMAS</text>
  </threadedComment>
  <threadedComment ref="F5575" dT="2025-12-09T14:35:02.13" personId="{4D8483EF-5A39-4E7B-A473-929EF5A077E1}" id="{BBEF8CCB-D1C9-410E-BDC2-F712573ABAC0}">
    <text>2 Camas</text>
  </threadedComment>
  <threadedComment ref="F5576" dT="2024-12-02T09:17:44.96" personId="{98986A2A-739A-4851-A979-4B0D560C46CD}" id="{E61F3994-3E5E-476B-90C1-A9FF9D04A4D9}">
    <text>08 CAMAS, 2500€ alquiler, 2500€ fianza</text>
  </threadedComment>
  <threadedComment ref="F5577" dT="2026-04-23T07:35:10.11" personId="{4D8483EF-5A39-4E7B-A473-929EF5A077E1}" id="{B8C308D6-06FA-4ABB-9A92-47D9540C2465}">
    <text>3 Camas</text>
  </threadedComment>
  <threadedComment ref="F5578" dT="2026-02-26T10:20:58.04" personId="{4D8483EF-5A39-4E7B-A473-929EF5A077E1}" id="{50FD4D49-82A1-495C-8CBC-D4E2F0A0BB4D}">
    <text>1 HABITACIÒN 15 DIAS= 250 C/U 
LIMPIEZA 30</text>
  </threadedComment>
  <threadedComment ref="F5580" dT="2025-03-21T15:44:19.97" personId="{17D30B62-2123-41F1-B603-E5411FDFA3E0}" id="{147A3CD0-6A8B-42CF-BB0E-5B70CD3F3B56}">
    <text>Fianza 2.400€, Alquiler 1.200€, 6 Camas.</text>
  </threadedComment>
  <threadedComment ref="F5580" dT="2026-04-10T10:51:55.80" personId="{4D8483EF-5A39-4E7B-A473-929EF5A077E1}" id="{4909FEC7-9411-40E0-B53C-BF11E44AA0C0}" parentId="{147A3CD0-6A8B-42CF-BB0E-5B70CD3F3B56}">
    <text>Sube el ipc segun contrato 3%, queda alquiler total a pagar: 1.236€</text>
  </threadedComment>
  <threadedComment ref="F5581" dT="2026-06-16T15:02:54.52" personId="{4D8483EF-5A39-4E7B-A473-929EF5A077E1}" id="{D1459F73-10C8-4ECE-87C3-F95237E1C2DB}">
    <text xml:space="preserve">Alojamiento para 4 personas, Alquiler 970€ Fianza 970€ </text>
  </threadedComment>
  <threadedComment ref="F5584" dT="2025-10-30T14:37:57.92" personId="{4D8483EF-5A39-4E7B-A473-929EF5A077E1}" id="{8775C90C-4A73-43EE-944A-D6AAF210C1D6}">
    <text>3 Camas Alquiler 1500€ Fianza 1500€</text>
  </threadedComment>
  <threadedComment ref="F5585" dT="2026-02-09T07:22:55.03" personId="{4D8483EF-5A39-4E7B-A473-929EF5A077E1}" id="{4E73EED7-223F-459C-9065-7D793855E15C}">
    <text>650 € ALQUILER FEBRERO
650 € FIANZA -5 CAMAS</text>
  </threadedComment>
  <threadedComment ref="F5586" dT="2025-03-21T15:44:19.97" personId="{17D30B62-2123-41F1-B603-E5411FDFA3E0}" id="{A589B7B3-E3B5-4EA8-9ABE-0F319BDC2072}">
    <text>Fianza 2.400€, Alquiler 1.200€, 6 Camas.</text>
  </threadedComment>
  <threadedComment ref="F5586" dT="2026-04-10T10:51:55.80" personId="{4D8483EF-5A39-4E7B-A473-929EF5A077E1}" id="{40E353DB-C109-4600-AAB5-967F07F5176F}" parentId="{A589B7B3-E3B5-4EA8-9ABE-0F319BDC2072}">
    <text>Sube el ipc segun contrato 3%, queda alquiler total a pagar: 1.236€</text>
  </threadedComment>
  <threadedComment ref="F5589" dT="2025-02-26T14:29:45.42" personId="{17D30B62-2123-41F1-B603-E5411FDFA3E0}" id="{7931AD5D-8C78-4DF2-BC95-C7D8FEEA18BC}">
    <text>9 Camas, Alquiler 2300€, Fianza 700€</text>
  </threadedComment>
  <threadedComment ref="F5589" dT="2026-01-21T15:11:00.84" personId="{4D8483EF-5A39-4E7B-A473-929EF5A077E1}" id="{16E8BE2A-D53B-43D0-8DD3-EBB9C12D4E60}" parentId="{7931AD5D-8C78-4DF2-BC95-C7D8FEEA18BC}">
    <text xml:space="preserve">Descuento a 2000€ </text>
  </threadedComment>
  <threadedComment ref="F5590" dT="2025-02-26T14:29:45.42" personId="{17D30B62-2123-41F1-B603-E5411FDFA3E0}" id="{1C520854-FC03-49E2-A216-E8D965539E7E}">
    <text>9 Camas, Alquiler 2300€, Fianza 700€</text>
  </threadedComment>
  <threadedComment ref="F5590" dT="2026-01-21T15:11:00.84" personId="{4D8483EF-5A39-4E7B-A473-929EF5A077E1}" id="{6523D35B-055E-4D69-91B6-915A3DEADAC8}" parentId="{1C520854-FC03-49E2-A216-E8D965539E7E}">
    <text xml:space="preserve">Descuento a 2000€ </text>
  </threadedComment>
  <threadedComment ref="F5591" dT="2025-02-26T14:29:45.42" personId="{17D30B62-2123-41F1-B603-E5411FDFA3E0}" id="{A011BA90-C30D-44DF-9B5D-FC24FEF8EAE5}">
    <text>9 Camas, Alquiler 2300€, Fianza 700€</text>
  </threadedComment>
  <threadedComment ref="F5591" dT="2026-01-21T15:11:00.84" personId="{4D8483EF-5A39-4E7B-A473-929EF5A077E1}" id="{5CF62FFA-78D0-44B6-8D9B-06FB313DED91}" parentId="{A011BA90-C30D-44DF-9B5D-FC24FEF8EAE5}">
    <text xml:space="preserve">Descuento a 2000€ </text>
  </threadedComment>
  <threadedComment ref="F5592" dT="2025-02-13T10:05:11.33" personId="{17D30B62-2123-41F1-B603-E5411FDFA3E0}" id="{E24CDC58-EAB4-4382-AAA3-4B1CEE151480}">
    <text>Habitacion doble para trabajadores cant 1 Costo 60€/noche
Habitacion triple para trabajadores cant 3 Costo 75€/noche cada una
(camas separadas)</text>
  </threadedComment>
  <threadedComment ref="F5593" dT="2025-02-13T10:05:11.33" personId="{17D30B62-2123-41F1-B603-E5411FDFA3E0}" id="{0A5626FD-AC47-4409-AA35-E4DF7AFB3D65}">
    <text>Habitacion doble para trabajadores cant 1 Costo 60€/noche
Habitacion triple para trabajadores cant 3 Costo 75€/noche cada una
(camas separadas)</text>
  </threadedComment>
  <threadedComment ref="F5594" dT="2025-02-13T10:05:11.33" personId="{17D30B62-2123-41F1-B603-E5411FDFA3E0}" id="{D1B12B1F-FEF8-4213-BF3C-37778F82339E}">
    <text>Habitacion doble para trabajadores cant 1 Costo 60€/noche
Habitacion triple para trabajadores cant 3 Costo 75€/noche cada una
(camas separadas)</text>
  </threadedComment>
  <threadedComment ref="F5595" dT="2025-02-13T10:05:11.33" personId="{17D30B62-2123-41F1-B603-E5411FDFA3E0}" id="{12D1325A-39C4-461C-88F2-AB801F45D98F}">
    <text>Habitacion doble para trabajadores cant 1 Costo 60€/noche
Habitacion triple para trabajadores cant 3 Costo 75€/noche cada una
(camas separadas)</text>
  </threadedComment>
  <threadedComment ref="F5596" dT="2025-02-13T10:05:11.33" personId="{17D30B62-2123-41F1-B603-E5411FDFA3E0}" id="{CFA202B1-6836-4F3E-A355-B06A15DCD658}">
    <text>Habitacion doble para trabajadores cant 1 Costo 60€/noche
Habitacion triple para trabajadores cant 3 Costo 75€/noche cada una
(camas separadas)</text>
  </threadedComment>
  <threadedComment ref="F5597" dT="2025-02-13T10:05:11.33" personId="{17D30B62-2123-41F1-B603-E5411FDFA3E0}" id="{C9F078A6-77E1-442F-8654-869337D81D3F}">
    <text>Habitacion doble para trabajadores cant 1 Costo 60€/noche
Habitacion triple para trabajadores cant 3 Costo 75€/noche cada una
(camas separadas)</text>
  </threadedComment>
  <threadedComment ref="F5598" dT="2025-02-13T10:05:11.33" personId="{17D30B62-2123-41F1-B603-E5411FDFA3E0}" id="{1D5801DE-C382-40B3-8CE0-362E3E7B0F8D}">
    <text>Habitacion doble para trabajadores cant 1 Costo 60€/noche
Habitacion triple para trabajadores cant 3 Costo 75€/noche cada una
(camas separadas)</text>
  </threadedComment>
  <threadedComment ref="F5599" dT="2025-02-13T10:05:11.33" personId="{17D30B62-2123-41F1-B603-E5411FDFA3E0}" id="{1F7911A4-A481-4E30-BE65-80FEB6453FB8}">
    <text>Habitacion doble para trabajadores cant 1 Costo 60€/noche
Habitacion triple para trabajadores cant 3 Costo 75€/noche cada una
(camas separadas)</text>
  </threadedComment>
  <threadedComment ref="F5600" dT="2024-12-02T09:17:44.96" personId="{98986A2A-739A-4851-A979-4B0D560C46CD}" id="{F906CA81-9B87-4C77-940E-C973271D709E}">
    <text>08 CAMAS, 2500€ alquiler, 2500€ fianza</text>
  </threadedComment>
  <threadedComment ref="F5601" dT="2025-02-13T10:05:11.33" personId="{17D30B62-2123-41F1-B603-E5411FDFA3E0}" id="{5B50FB6F-F40A-46BE-9AF4-C7462BD8522C}">
    <text>Habitacion doble para trabajadores cant 1 Costo 60€/noche
Habitacion triple para trabajadores cant 3 Costo 75€/noche cada una
(camas separadas)</text>
  </threadedComment>
  <threadedComment ref="F5602" dT="2025-02-13T10:05:11.33" personId="{17D30B62-2123-41F1-B603-E5411FDFA3E0}" id="{2B8F42AA-E827-4641-A3D1-761CFFD9381B}">
    <text>Habitacion doble para trabajadores cant 1 Costo 60€/noche
Habitacion triple para trabajadores cant 3 Costo 75€/noche cada una
(camas separadas)</text>
  </threadedComment>
  <threadedComment ref="F5604" dT="2025-02-13T10:05:11.33" personId="{17D30B62-2123-41F1-B603-E5411FDFA3E0}" id="{F072ED13-C228-449E-B87A-A740B03897C3}">
    <text>2 Habitaciones de 350€ y                   1 Habitación de 375€</text>
  </threadedComment>
  <threadedComment ref="F5606" dT="2025-02-13T10:05:11.33" personId="{17D30B62-2123-41F1-B603-E5411FDFA3E0}" id="{DCA765C0-62DD-4B0A-B849-AA46CFC7B4EB}">
    <text>Habitacion doble para trabajadores cant 1 Costo 60€/noche
Habitacion triple para trabajadores cant 3 Costo 75€/noche cada una
(camas separadas)</text>
  </threadedComment>
  <threadedComment ref="F5607" dT="2025-02-13T10:05:11.33" personId="{17D30B62-2123-41F1-B603-E5411FDFA3E0}" id="{D53CCD1D-7020-451A-B4B0-0FEEFF78E64A}">
    <text>Habitacion doble para trabajadores cant 1 Costo 60€/noche
Habitacion triple para trabajadores cant 3 Costo 75€/noche cada una
(camas separadas)</text>
  </threadedComment>
  <threadedComment ref="F5608" dT="2025-02-13T10:05:11.33" personId="{17D30B62-2123-41F1-B603-E5411FDFA3E0}" id="{554C0E4C-F8DF-4E98-83C1-B783C9EE2A61}">
    <text>Habitacion doble para trabajadores cant 1 Costo 60€/noche
Habitacion triple para trabajadores cant 3 Costo 75€/noche cada una
(camas separadas)</text>
  </threadedComment>
  <threadedComment ref="F5610" dT="2025-02-13T10:05:11.33" personId="{17D30B62-2123-41F1-B603-E5411FDFA3E0}" id="{8B9594E6-03C0-422B-8677-9A5D9EBAED0C}">
    <text>Habitacion doble para trabajadores cant 1 Costo 60€/noche
Habitacion triple para trabajadores cant 3 Costo 75€/noche cada una
(camas separadas)</text>
  </threadedComment>
  <threadedComment ref="F5611" dT="2025-02-13T10:05:11.33" personId="{17D30B62-2123-41F1-B603-E5411FDFA3E0}" id="{30DC173E-A916-4201-B56E-FD89F13857AF}">
    <text>Habitacion doble para trabajadores cant 1 Costo 60€/noche
Habitacion triple para trabajadores cant 3 Costo 75€/noche cada una
(camas separadas)</text>
  </threadedComment>
  <threadedComment ref="F5612" dT="2025-02-13T10:05:11.33" personId="{17D30B62-2123-41F1-B603-E5411FDFA3E0}" id="{4DC61D8F-293E-4649-849C-C258047F740D}">
    <text>Habitacion doble para trabajadores cant 1 Costo 60€/noche
Habitacion triple para trabajadores cant 3 Costo 75€/noche cada una
(camas separadas)</text>
  </threadedComment>
  <threadedComment ref="F5614" dT="2025-02-13T10:05:11.33" personId="{17D30B62-2123-41F1-B603-E5411FDFA3E0}" id="{87852538-2473-4141-9E6B-649BB246D59E}">
    <text>Habitacion doble para trabajadores cant 1 Costo 60€/noche
Habitacion triple para trabajadores cant 3 Costo 75€/noche cada una
(camas separadas)</text>
  </threadedComment>
  <threadedComment ref="F5615" dT="2025-02-13T10:05:11.33" personId="{17D30B62-2123-41F1-B603-E5411FDFA3E0}" id="{307F7BC9-DA70-449A-89F0-4860455DE9A4}">
    <text>Habitacion doble para trabajadores cant 1 Costo 60€/noche
Habitacion triple para trabajadores cant 3 Costo 75€/noche cada una
(camas separadas)</text>
  </threadedComment>
  <threadedComment ref="F5616" dT="2025-02-13T10:05:11.33" personId="{17D30B62-2123-41F1-B603-E5411FDFA3E0}" id="{104E2E60-3D77-43F5-A187-85E252C9D6DE}">
    <text>Habitacion doble para trabajadores cant 1 Costo 60€/noche
Habitacion triple para trabajadores cant 3 Costo 75€/noche cada una
(camas separadas)</text>
  </threadedComment>
  <threadedComment ref="F5617" dT="2024-12-02T09:17:44.96" personId="{98986A2A-739A-4851-A979-4B0D560C46CD}" id="{B8EBD682-47DE-4A0A-862A-22E50036D0C6}">
    <text>08 CAMAS, 2500€ alquiler, 2500€ fianza</text>
  </threadedComment>
  <threadedComment ref="F5620" dT="2025-02-13T10:05:11.33" personId="{17D30B62-2123-41F1-B603-E5411FDFA3E0}" id="{6CF54B80-2620-4679-91A3-E2E73B2B789C}">
    <text>Habitacion doble para trabajadores cant 1 Costo 60€/noche
Habitacion triple para trabajadores cant 3 Costo 75€/noche cada una
(camas separadas)</text>
  </threadedComment>
  <threadedComment ref="F5621" dT="2025-02-13T10:05:11.33" personId="{17D30B62-2123-41F1-B603-E5411FDFA3E0}" id="{BE99122A-715F-4A46-91EB-525B10390244}">
    <text>Habitacion doble para trabajadores cant 1 Costo 60€/noche
Habitacion triple para trabajadores cant 3 Costo 75€/noche cada una
(camas separadas)</text>
  </threadedComment>
  <threadedComment ref="F5622" dT="2024-12-02T09:17:44.96" personId="{98986A2A-739A-4851-A979-4B0D560C46CD}" id="{2F5F4367-570F-4303-A5A1-DDF2F37790CF}">
    <text>08 CAMAS, 2500€ alquiler, 2500€ fianza</text>
  </threadedComment>
  <threadedComment ref="F5623" dT="2025-07-09T14:24:23.31" personId="{98986A2A-739A-4851-A979-4B0D560C46CD}" id="{DDDC4030-42C6-4B3F-9992-BC4E4F67EE04}">
    <text>10 CAMAS. ALQUILER 1643.20</text>
  </threadedComment>
  <threadedComment ref="F5624" dT="2025-02-13T10:05:11.33" personId="{17D30B62-2123-41F1-B603-E5411FDFA3E0}" id="{03DB8DEF-F602-465B-AFF5-DECEC366C4C4}">
    <text>Habitacion doble para trabajadores cant 1 Costo 60€/noche
Habitacion triple para trabajadores cant 3 Costo 75€/noche cada una
(camas separadas)</text>
  </threadedComment>
  <threadedComment ref="F5625" dT="2025-02-13T10:05:11.33" personId="{17D30B62-2123-41F1-B603-E5411FDFA3E0}" id="{F708675E-B762-4098-A5E1-F9FA3B4156AB}">
    <text>Habitacion doble para trabajadores cant 1 Costo 60€/noche
Habitacion triple para trabajadores cant 3 Costo 75€/noche cada una
(camas separadas)</text>
  </threadedComment>
  <threadedComment ref="F5626" dT="2024-05-06T09:44:31.20" personId="{98986A2A-739A-4851-A979-4B0D560C46CD}" id="{1CFAB6B5-CBA9-406B-B716-4C88BCB6D3A6}">
    <text>Renta 450, fianza 450</text>
  </threadedComment>
  <threadedComment ref="F5628" dT="2025-02-13T10:05:11.33" personId="{17D30B62-2123-41F1-B603-E5411FDFA3E0}" id="{87DE02CD-6BC7-4AE4-AFEA-54F10ABC9932}">
    <text>Habitacion doble para trabajadores cant 1 Costo 60€/noche
Habitacion triple para trabajadores cant 3 Costo 75€/noche cada una
(camas separadas)</text>
  </threadedComment>
  <threadedComment ref="F5629" dT="2025-02-13T10:05:11.33" personId="{17D30B62-2123-41F1-B603-E5411FDFA3E0}" id="{24AE6BC1-9B56-4D49-98FE-A3EC99BA7328}">
    <text>Habitacion doble para trabajadores cant 1 Costo 60€/noche
Habitacion triple para trabajadores cant 3 Costo 75€/noche cada una
(camas separadas)</text>
  </threadedComment>
  <threadedComment ref="F5630" dT="2025-02-13T10:05:11.33" personId="{17D30B62-2123-41F1-B603-E5411FDFA3E0}" id="{C738543F-5649-40D9-AC64-DFC18B5BA414}">
    <text>Habitacion doble para trabajadores cant 1 Costo 60€/noche
Habitacion triple para trabajadores cant 3 Costo 75€/noche cada una
(camas separadas)</text>
  </threadedComment>
  <threadedComment ref="F5631" dT="2025-02-13T10:05:11.33" personId="{17D30B62-2123-41F1-B603-E5411FDFA3E0}" id="{4840EAF1-455C-4F08-A49E-ECB04DF176E9}">
    <text>Habitacion doble para trabajadores cant 1 Costo 60€/noche
Habitacion triple para trabajadores cant 3 Costo 75€/noche cada una
(camas separadas)</text>
  </threadedComment>
  <threadedComment ref="F5632" dT="2025-02-25T17:38:25.86" personId="{98986A2A-739A-4851-A979-4B0D560C46CD}" id="{ED05F45D-7F2B-46AA-99BA-9605F51627FF}">
    <text xml:space="preserve">Alquiler 1600 Fianza 1600 camas 5
</text>
  </threadedComment>
  <threadedComment ref="F5633" dT="2025-02-13T10:05:11.33" personId="{17D30B62-2123-41F1-B603-E5411FDFA3E0}" id="{53D5B84D-7533-41F2-B9DB-E179BBFD32F3}">
    <text>Habitacion doble para trabajadores cant 1 Costo 60€/noche
Habitacion triple para trabajadores cant 3 Costo 75€/noche cada una
(camas separadas)</text>
  </threadedComment>
  <threadedComment ref="F5635" dT="2025-02-13T10:05:11.33" personId="{17D30B62-2123-41F1-B603-E5411FDFA3E0}" id="{7DF57CB1-623B-4EC6-B85F-0EC73001166F}">
    <text>Habitacion doble para trabajadores cant 1 Costo 60€/noche
Habitacion triple para trabajadores cant 3 Costo 75€/noche cada una
(camas separadas)</text>
  </threadedComment>
  <threadedComment ref="F5636" dT="2026-01-19T07:34:38.37" personId="{4D8483EF-5A39-4E7B-A473-929EF5A077E1}" id="{360389EB-378B-4844-BAFA-54ACC7FD456F}">
    <text>Alojamiento 2 personas 15 días por 400€</text>
  </threadedComment>
  <threadedComment ref="F5637" dT="2025-02-13T10:05:11.33" personId="{17D30B62-2123-41F1-B603-E5411FDFA3E0}" id="{6568EB30-6625-4B77-A392-FF2234F00F9A}">
    <text>Habitacion doble para trabajadores cant 1 Costo 60€/noche
Habitacion triple para trabajadores cant 3 Costo 75€/noche cada una
(camas separadas)</text>
  </threadedComment>
  <threadedComment ref="F5639" dT="2025-02-13T10:05:11.33" personId="{17D30B62-2123-41F1-B603-E5411FDFA3E0}" id="{83026454-CE99-4C0C-9117-268FEA367ADE}">
    <text>Habitacion doble para trabajadores cant 1 Costo 60€/noche
Habitacion triple para trabajadores cant 3 Costo 75€/noche cada una
(camas separadas)</text>
  </threadedComment>
  <threadedComment ref="F5640" dT="2025-02-13T10:05:11.33" personId="{17D30B62-2123-41F1-B603-E5411FDFA3E0}" id="{BA605E5A-3496-4D49-B72D-7C6F5FE39343}">
    <text>Habitacion doble para trabajadores cant 1 Costo 60€/noche
Habitacion triple para trabajadores cant 3 Costo 75€/noche cada una
(camas separadas)</text>
  </threadedComment>
  <threadedComment ref="F5641" dT="2025-02-13T10:05:11.33" personId="{17D30B62-2123-41F1-B603-E5411FDFA3E0}" id="{A90BC87D-0E51-45C4-AC1E-952B1D5E3789}">
    <text>Habitacion doble para trabajadores cant 1 Costo 60€/noche
Habitacion triple para trabajadores cant 3 Costo 75€/noche cada una
(camas separadas)</text>
  </threadedComment>
  <threadedComment ref="F5642" dT="2025-02-13T10:05:11.33" personId="{17D30B62-2123-41F1-B603-E5411FDFA3E0}" id="{CCBB3E53-1050-4101-B584-FC7652ADB01B}">
    <text>Habitacion doble para trabajadores cant 1 Costo 60€/noche
Habitacion triple para trabajadores cant 3 Costo 75€/noche cada una
(camas separadas)</text>
  </threadedComment>
  <threadedComment ref="F5643" dT="2025-02-13T10:05:11.33" personId="{17D30B62-2123-41F1-B603-E5411FDFA3E0}" id="{447C9E21-AC70-405D-AFA4-93B934D19C74}">
    <text>Habitacion doble para trabajadores cant 1 Costo 60€/noche
Habitacion triple para trabajadores cant 3 Costo 75€/noche cada una
(camas separadas)</text>
  </threadedComment>
  <threadedComment ref="F5644" dT="2025-02-13T10:05:11.33" personId="{17D30B62-2123-41F1-B603-E5411FDFA3E0}" id="{027794AA-DEFE-4DC4-88B5-9F66702F95E4}">
    <text>Habitacion doble para trabajadores cant 1 Costo 60€/noche
Habitacion triple para trabajadores cant 3 Costo 75€/noche cada una
(camas separadas)</text>
  </threadedComment>
  <threadedComment ref="F5645" dT="2025-02-13T10:05:11.33" personId="{17D30B62-2123-41F1-B603-E5411FDFA3E0}" id="{E380807E-0C8D-4BDC-8C9F-5E75DDB68001}">
    <text>Habitacion doble para trabajadores cant 1 Costo 60€/noche
Habitacion triple para trabajadores cant 3 Costo 75€/noche cada una
(camas separadas)</text>
  </threadedComment>
  <threadedComment ref="F5646" dT="2025-02-13T10:05:11.33" personId="{17D30B62-2123-41F1-B603-E5411FDFA3E0}" id="{07206801-80CC-49D0-BCDD-D605D39C8A25}">
    <text>Habitacion doble para trabajadores cant 1 Costo 60€/noche
Habitacion triple para trabajadores cant 3 Costo 75€/noche cada una
(camas separadas)</text>
  </threadedComment>
  <threadedComment ref="F5647" dT="2025-02-13T10:05:11.33" personId="{17D30B62-2123-41F1-B603-E5411FDFA3E0}" id="{9EFAB77B-03A6-439E-9FCD-ED44214F7D6B}">
    <text>Habitacion doble para trabajadores cant 1 Costo 60€/noche
Habitacion triple para trabajadores cant 3 Costo 75€/noche cada una
(camas separadas)</text>
  </threadedComment>
  <threadedComment ref="F5648" dT="2025-02-13T10:05:11.33" personId="{17D30B62-2123-41F1-B603-E5411FDFA3E0}" id="{514913A7-1A3A-437E-B199-591173AA9AC7}">
    <text>Habitacion doble para trabajadores cant 1 Costo 60€/noche
Habitacion triple para trabajadores cant 3 Costo 75€/noche cada una
(camas separadas)</text>
  </threadedComment>
  <threadedComment ref="F5649" dT="2025-02-13T10:05:11.33" personId="{17D30B62-2123-41F1-B603-E5411FDFA3E0}" id="{793D624F-7AC3-4211-9C91-55F6E303199E}">
    <text>Habitacion doble para trabajadores cant 1 Costo 60€/noche
Habitacion triple para trabajadores cant 3 Costo 75€/noche cada una
(camas separadas)</text>
  </threadedComment>
  <threadedComment ref="F5650" dT="2025-02-13T10:05:11.33" personId="{17D30B62-2123-41F1-B603-E5411FDFA3E0}" id="{DE516858-A704-48E5-AA3D-789378350FC3}">
    <text>Habitacion doble para trabajadores cant 1 Costo 60€/noche
Habitacion triple para trabajadores cant 3 Costo 75€/noche cada una
(camas separadas)</text>
  </threadedComment>
  <threadedComment ref="F5651" dT="2025-02-13T10:05:11.33" personId="{17D30B62-2123-41F1-B603-E5411FDFA3E0}" id="{3537B5A4-8115-4330-A234-A934D345EA2D}">
    <text>Habitacion doble para trabajadores cant 1 Costo 60€/noche
Habitacion triple para trabajadores cant 3 Costo 75€/noche cada una
(camas separadas)</text>
  </threadedComment>
  <threadedComment ref="F5652" dT="2025-02-13T10:05:11.33" personId="{17D30B62-2123-41F1-B603-E5411FDFA3E0}" id="{C94B998A-4789-489F-A9EE-F27836D662B3}">
    <text>Habitacion doble para trabajadores cant 1 Costo 60€/noche
Habitacion triple para trabajadores cant 3 Costo 75€/noche cada una
(camas separadas)</text>
  </threadedComment>
  <threadedComment ref="F5653" dT="2025-02-13T10:05:11.33" personId="{17D30B62-2123-41F1-B603-E5411FDFA3E0}" id="{99EC636C-8508-478B-8E54-1EDE536DCB13}">
    <text>Habitacion doble para trabajadores cant 1 Costo 60€/noche
Habitacion triple para trabajadores cant 3 Costo 75€/noche cada una
(camas separadas)</text>
  </threadedComment>
  <threadedComment ref="F5654" dT="2025-02-13T10:05:11.33" personId="{17D30B62-2123-41F1-B603-E5411FDFA3E0}" id="{0381ACB9-550E-403D-BFF6-3D13F7A51F03}">
    <text>Habitacion doble para trabajadores cant 1 Costo 60€/noche
Habitacion triple para trabajadores cant 3 Costo 75€/noche cada una
(camas separadas)</text>
  </threadedComment>
  <threadedComment ref="F5655" dT="2025-02-13T10:05:11.33" personId="{17D30B62-2123-41F1-B603-E5411FDFA3E0}" id="{BE0A3AE7-1844-4E51-9F1B-FF958CE44D06}">
    <text>Habitacion doble para trabajadores cant 1 Costo 60€/noche
Habitacion triple para trabajadores cant 3 Costo 75€/noche cada una
(camas separadas)</text>
  </threadedComment>
  <threadedComment ref="F5656" dT="2025-02-13T10:05:11.33" personId="{17D30B62-2123-41F1-B603-E5411FDFA3E0}" id="{FAE57729-BA4C-4142-B0AD-EDEEA0D6F30F}">
    <text>Habitacion doble para trabajadores cant 1 Costo 60€/noche
Habitacion triple para trabajadores cant 3 Costo 75€/noche cada una
(camas separadas)</text>
  </threadedComment>
  <threadedComment ref="F5657" dT="2025-02-13T10:05:11.33" personId="{17D30B62-2123-41F1-B603-E5411FDFA3E0}" id="{DBA00C0E-EF9F-4DFB-ABA8-7EBE004DF26B}">
    <text>Habitacion doble para trabajadores cant 1 Costo 60€/noche
Habitacion triple para trabajadores cant 3 Costo 75€/noche cada una
(camas separadas)</text>
  </threadedComment>
  <threadedComment ref="F5659" dT="2025-02-13T10:05:11.33" personId="{17D30B62-2123-41F1-B603-E5411FDFA3E0}" id="{8D7C2A4C-C2FE-46B1-A620-BAB6F99D64F5}">
    <text>Habitacion doble para trabajadores cant 1 Costo 60€/noche
Habitacion triple para trabajadores cant 3 Costo 75€/noche cada una
(camas separadas)</text>
  </threadedComment>
  <threadedComment ref="F5660" dT="2025-02-13T10:05:11.33" personId="{17D30B62-2123-41F1-B603-E5411FDFA3E0}" id="{7642743F-6B98-46E7-90D9-06B77F72728E}">
    <text>Habitacion doble para trabajadores cant 1 Costo 60€/noche
Habitacion triple para trabajadores cant 3 Costo 75€/noche cada una
(camas separadas)</text>
  </threadedComment>
  <threadedComment ref="F5661" dT="2025-02-13T10:05:11.33" personId="{17D30B62-2123-41F1-B603-E5411FDFA3E0}" id="{1FFED5B1-250A-4434-AA8B-0B4F3C9030DB}">
    <text>Habitacion doble para trabajadores cant 1 Costo 60€/noche
Habitacion triple para trabajadores cant 3 Costo 75€/noche cada una
(camas separadas)</text>
  </threadedComment>
  <threadedComment ref="F5662" dT="2025-02-13T10:05:11.33" personId="{17D30B62-2123-41F1-B603-E5411FDFA3E0}" id="{4F1C0B2B-5E59-427E-8EE1-3AFAB15CF484}">
    <text>Habitacion doble para trabajadores cant 1 Costo 60€/noche
Habitacion triple para trabajadores cant 3 Costo 75€/noche cada una
(camas separadas)</text>
  </threadedComment>
  <threadedComment ref="F5663" dT="2025-02-13T10:05:11.33" personId="{17D30B62-2123-41F1-B603-E5411FDFA3E0}" id="{6BA74BFC-DDC4-4DFB-BC8E-1445085C6D77}">
    <text>Habitacion doble para trabajadores cant 1 Costo 60€/noche
Habitacion triple para trabajadores cant 3 Costo 75€/noche cada una
(camas separadas)</text>
  </threadedComment>
  <threadedComment ref="F5665" dT="2025-02-13T10:05:11.33" personId="{17D30B62-2123-41F1-B603-E5411FDFA3E0}" id="{3DD9477F-20A7-48AB-8C11-03DA93E19540}">
    <text>Habitacion doble para trabajadores cant 1 Costo 60€/noche
Habitacion triple para trabajadores cant 3 Costo 75€/noche cada una
(camas separadas)</text>
  </threadedComment>
  <threadedComment ref="F5666" dT="2026-01-19T07:34:38.37" personId="{4D8483EF-5A39-4E7B-A473-929EF5A077E1}" id="{277E12BF-E495-42FB-8904-D2BDAA0FAEC9}">
    <text>Alojamiento 2 personas 15 días por 400€</text>
  </threadedComment>
  <threadedComment ref="F5669" dT="2025-11-10T10:56:00.16" personId="{4D8483EF-5A39-4E7B-A473-929EF5A077E1}" id="{B1B9DA38-65D1-4C38-B481-4C926498BA00}">
    <text>(para 3 personas)</text>
  </threadedComment>
  <threadedComment ref="F5670" dT="2025-02-13T10:05:11.33" personId="{17D30B62-2123-41F1-B603-E5411FDFA3E0}" id="{45D1DC42-DBB2-424E-868A-2B2CE4F6DDCC}">
    <text>Habitacion doble para trabajadores cant 1 Costo 60€/noche
Habitacion triple para trabajadores cant 3 Costo 75€/noche cada una
(camas separadas)</text>
  </threadedComment>
  <threadedComment ref="F5671" dT="2025-02-13T10:05:11.33" personId="{17D30B62-2123-41F1-B603-E5411FDFA3E0}" id="{FB8A9C50-44D1-422D-971A-26D7B0775EAA}">
    <text>Habitacion doble para trabajadores cant 1 Costo 60€/noche
Habitacion triple para trabajadores cant 3 Costo 75€/noche cada una
(camas separadas)</text>
  </threadedComment>
  <threadedComment ref="F5672" dT="2025-02-13T10:05:11.33" personId="{17D30B62-2123-41F1-B603-E5411FDFA3E0}" id="{1C656B5C-64A4-40D2-AD37-BAC310CB79CB}">
    <text>Habitacion doble para trabajadores cant 1 Costo 60€/noche
Habitacion triple para trabajadores cant 3 Costo 75€/noche cada una
(camas separadas)</text>
  </threadedComment>
  <threadedComment ref="F5675" dT="2025-02-13T10:05:11.33" personId="{17D30B62-2123-41F1-B603-E5411FDFA3E0}" id="{9222ACF6-4503-4670-9C3F-684BD79A81D2}">
    <text>Habitacion doble para trabajadores cant 1 Costo 60€/noche
Habitacion triple para trabajadores cant 3 Costo 75€/noche cada una
(camas separadas)</text>
  </threadedComment>
  <threadedComment ref="F5677" dT="2025-03-03T15:39:24.40" personId="{98986A2A-739A-4851-A979-4B0D560C46CD}" id="{52422F03-F005-4175-B6C5-D02B038E4B77}">
    <text>1200€ alquiler, 05 camas, 1200€ fianza</text>
  </threadedComment>
  <threadedComment ref="F5678" dT="2025-02-13T10:05:11.33" personId="{17D30B62-2123-41F1-B603-E5411FDFA3E0}" id="{C9C155E2-2C16-4356-A530-01678E725427}">
    <text>Habitacion doble para trabajadores cant 1 Costo 60€/noche
Habitacion triple para trabajadores cant 3 Costo 75€/noche cada una
(camas separadas)</text>
  </threadedComment>
  <threadedComment ref="F5679" dT="2025-02-13T10:05:11.33" personId="{17D30B62-2123-41F1-B603-E5411FDFA3E0}" id="{093A203C-29AA-4BB9-BDC1-DA38B1DAD31E}">
    <text>Habitacion doble para trabajadores cant 1 Costo 60€/noche
Habitacion triple para trabajadores cant 3 Costo 75€/noche cada una
(camas separadas)</text>
  </threadedComment>
  <threadedComment ref="F5680" dT="2025-02-13T10:05:11.33" personId="{17D30B62-2123-41F1-B603-E5411FDFA3E0}" id="{241B365B-8F8B-44F8-B1DE-1DFC2628EF4D}">
    <text>Habitacion doble para trabajadores cant 1 Costo 60€/noche
Habitacion triple para trabajadores cant 3 Costo 75€/noche cada una
(camas separadas)</text>
  </threadedComment>
  <threadedComment ref="F5681" dT="2025-02-13T10:05:11.33" personId="{17D30B62-2123-41F1-B603-E5411FDFA3E0}" id="{44AE5BD3-9CB3-41B3-916C-8C55D1A03A0C}">
    <text>Habitacion doble para trabajadores cant 1 Costo 60€/noche
Habitacion triple para trabajadores cant 3 Costo 75€/noche cada una
(camas separadas)</text>
  </threadedComment>
  <threadedComment ref="F5682" dT="2025-02-13T10:05:11.33" personId="{17D30B62-2123-41F1-B603-E5411FDFA3E0}" id="{DBDAD241-4C6C-4C9F-83F8-2EC6E9FA62B1}">
    <text>Habitacion doble para trabajadores cant 1 Costo 60€/noche
Habitacion triple para trabajadores cant 3 Costo 75€/noche cada una
(camas separadas)</text>
  </threadedComment>
  <threadedComment ref="F5683" dT="2025-02-13T10:05:11.33" personId="{17D30B62-2123-41F1-B603-E5411FDFA3E0}" id="{1BA4C8EB-6C48-40F1-B218-05B6B4730EB4}">
    <text>Habitacion doble para trabajadores cant 1 Costo 60€/noche
Habitacion triple para trabajadores cant 3 Costo 75€/noche cada una
(camas separadas)</text>
  </threadedComment>
  <threadedComment ref="F5684" dT="2025-02-13T10:05:11.33" personId="{17D30B62-2123-41F1-B603-E5411FDFA3E0}" id="{D74FCC6D-0E03-43A0-B149-62009019691B}">
    <text>Habitacion doble para trabajadores cant 1 Costo 60€/noche
Habitacion triple para trabajadores cant 3 Costo 75€/noche cada una
(camas separadas)</text>
  </threadedComment>
  <threadedComment ref="F5685" dT="2025-02-13T10:05:11.33" personId="{17D30B62-2123-41F1-B603-E5411FDFA3E0}" id="{F6C949F7-1A58-4DB7-92A4-06DB72F0CBFC}">
    <text>Habitacion doble para trabajadores cant 1 Costo 60€/noche
Habitacion triple para trabajadores cant 3 Costo 75€/noche cada una
(camas separadas)</text>
  </threadedComment>
  <threadedComment ref="F5686" dT="2025-02-13T10:05:11.33" personId="{17D30B62-2123-41F1-B603-E5411FDFA3E0}" id="{3C565C82-6EA3-4511-93B9-ADA11B980651}">
    <text>Habitacion doble para trabajadores cant 1 Costo 60€/noche
Habitacion triple para trabajadores cant 3 Costo 75€/noche cada una
(camas separadas)</text>
  </threadedComment>
  <threadedComment ref="F5687" dT="2025-02-13T10:05:11.33" personId="{17D30B62-2123-41F1-B603-E5411FDFA3E0}" id="{8564DD20-59B5-4979-9135-82E2FF54BF63}">
    <text>Habitacion doble para trabajadores cant 1 Costo 60€/noche
Habitacion triple para trabajadores cant 3 Costo 75€/noche cada una
(camas separadas)</text>
  </threadedComment>
  <threadedComment ref="F5688" dT="2025-02-13T10:05:11.33" personId="{17D30B62-2123-41F1-B603-E5411FDFA3E0}" id="{D3F61DB6-181E-4C5C-9CDF-49998E40795F}">
    <text>Habitacion doble para trabajadores cant 1 Costo 60€/noche
Habitacion triple para trabajadores cant 3 Costo 75€/noche cada una
(camas separadas)</text>
  </threadedComment>
  <threadedComment ref="F5689" dT="2025-02-13T10:05:11.33" personId="{17D30B62-2123-41F1-B603-E5411FDFA3E0}" id="{9C3A1621-47AB-4A73-B14B-EC82BAC6144B}">
    <text>Habitacion doble para trabajadores cant 1 Costo 60€/noche
Habitacion triple para trabajadores cant 3 Costo 75€/noche cada una
(camas separadas)</text>
  </threadedComment>
  <threadedComment ref="F5690" dT="2025-02-13T10:05:11.33" personId="{17D30B62-2123-41F1-B603-E5411FDFA3E0}" id="{CDEA4467-D351-48B1-9ABF-BDBCDF497085}">
    <text>Habitacion doble para trabajadores cant 1 Costo 60€/noche
Habitacion triple para trabajadores cant 3 Costo 75€/noche cada una
(camas separadas)</text>
  </threadedComment>
  <threadedComment ref="F5691" dT="2025-02-13T10:05:11.33" personId="{17D30B62-2123-41F1-B603-E5411FDFA3E0}" id="{F66AA34D-AC21-4276-81AC-A8A6957B985A}">
    <text>Habitacion doble para trabajadores cant 1 Costo 60€/noche
Habitacion triple para trabajadores cant 3 Costo 75€/noche cada una
(camas separadas)</text>
  </threadedComment>
  <threadedComment ref="F5695" dT="2025-02-25T12:24:49.79" personId="{98986A2A-739A-4851-A979-4B0D560C46CD}" id="{EDCB689C-6372-4AF4-A882-420748B7C45D}">
    <text>04 camas, 1500€ alquiler, 1500€ fianza</text>
  </threadedComment>
  <threadedComment ref="F5704" dT="2024-12-02T09:17:44.96" personId="{98986A2A-739A-4851-A979-4B0D560C46CD}" id="{5058C5A4-A89A-4DD7-801E-692577809D63}">
    <text>08 CAMAS, 2500€ alquiler, 2500€ fianza</text>
  </threadedComment>
  <threadedComment ref="F5706" dT="2026-02-09T07:37:54.71" personId="{4D8483EF-5A39-4E7B-A473-929EF5A077E1}" id="{6F6B2311-E7E0-488B-BD2D-B522F231B2F7}">
    <text>1 Habitacion Doble: Tenéis que hacer el ingreso de su medio mes 500€. Igualmente si continúan otros 15 días la cuantía sería sólo de 200€ máss</text>
  </threadedComment>
  <threadedComment ref="F5707" dT="2026-02-09T07:37:50.55" personId="{4D8483EF-5A39-4E7B-A473-929EF5A077E1}" id="{3830DCA8-9D18-4D28-91EC-8AACFF2A6637}">
    <text>Habitación triple con tres camas, baño privado y cocina para 15 días continuados 700€. Si continúan el mes completo sería solo 200€ más </text>
  </threadedComment>
  <threadedComment ref="F5709" dT="2025-09-17T07:54:06.16" personId="{17D30B62-2123-41F1-B603-E5411FDFA3E0}" id="{DD35540E-61C8-4CF2-8059-AAA26A1086F9}">
    <text>4 camas</text>
  </threadedComment>
  <threadedComment ref="F5712" dT="2025-03-27T16:16:05.36" personId="{17D30B62-2123-41F1-B603-E5411FDFA3E0}" id="{132C8FDB-DE7B-4A1C-A11F-B0CB48CA5AF9}">
    <text>5 CAMAS</text>
  </threadedComment>
  <threadedComment ref="F5713" dT="2025-02-13T10:05:11.33" personId="{17D30B62-2123-41F1-B603-E5411FDFA3E0}" id="{F7AEB643-D6D2-4AF6-8E01-26344F45B9BE}">
    <text>Habitacion doble para trabajadores cant 1 Costo 60€/noche
Habitacion triple para trabajadores cant 3 Costo 75€/noche cada una
(camas separadas)</text>
  </threadedComment>
  <threadedComment ref="F5715" dT="2026-04-23T07:35:10.11" personId="{4D8483EF-5A39-4E7B-A473-929EF5A077E1}" id="{29CC9947-9367-4810-B475-8AB33242A732}">
    <text>1 Habitación 1 Cama</text>
  </threadedComment>
  <threadedComment ref="F5715" dT="2026-07-08T12:05:12.08" personId="{98986A2A-739A-4851-A979-4B0D560C46CD}" id="{9EE4E30D-1128-42E3-901D-835CA740AE49}" parentId="{29CC9947-9367-4810-B475-8AB33242A732}">
    <text>682€</text>
  </threadedComment>
  <threadedComment ref="F5716" dT="2025-02-13T10:05:11.33" personId="{17D30B62-2123-41F1-B603-E5411FDFA3E0}" id="{2FC9BB9C-E896-4D0E-BE53-2BEA0C57DB07}">
    <text>Habitacion doble para trabajadores cant 1 Costo 60€/noche
Habitacion triple para trabajadores cant 3 Costo 75€/noche cada una
(camas separadas)</text>
  </threadedComment>
  <threadedComment ref="F5717" dT="2025-12-22T15:03:27.69" personId="{4D8483EF-5A39-4E7B-A473-929EF5A077E1}" id="{9E4EE341-6DD2-42E9-B33D-BF704FC7782D}">
    <text>4 camas</text>
  </threadedComment>
  <threadedComment ref="F5718" dT="2026-03-20T10:36:22.90" personId="{4D8483EF-5A39-4E7B-A473-929EF5A077E1}" id="{F76804D8-D4F8-4336-B3EF-BD1AD028AAE9}">
    <text>Casa de 3 dormitorios
Dormitorio 1-2 camas individuales
Dormitorio 2-2 camas individuales
Dormitorio 3-2 sofás cama
Sala de estar 1 sofá cama</text>
    <extLst>
      <x:ext xmlns:xltc2="http://schemas.microsoft.com/office/spreadsheetml/2020/threadedcomments2" uri="{F7C98A9C-CBB3-438F-8F68-D28B6AF4A901}">
        <xltc2:checksum>2822991603</xltc2:checksum>
        <xltc2:hyperlink startIndex="0" length="21" url="https://www.booking.com/hotel/es/casa-familiar-el-gran-alacant.es.html?label=es-es-booking-desktop-onknyt5TBrS8m9RnGd*6fgS652829001115%3Apl%3Ata%3Ap1%3Ap2%3Aac%3Aap%3Aneg%3Afi%3Atikwd-65526620%3Alp9199239%3Ali%3Adec%3Adm&amp;sid=94a6c958ba7d8898ee65ce2dd0ef8aaa&amp;aid=2311236#RD1470279201"/>
      </x:ext>
    </extLst>
  </threadedComment>
  <threadedComment ref="F5721" dT="2026-04-23T07:35:10.11" personId="{4D8483EF-5A39-4E7B-A473-929EF5A077E1}" id="{73D7D2A2-C129-4ACE-937B-D6BA05ECAE1F}">
    <text>1 Habitación 2 Camas Nº2</text>
  </threadedComment>
  <threadedComment ref="F5722" dT="2025-10-02T10:09:40.57" personId="{17D30B62-2123-41F1-B603-E5411FDFA3E0}" id="{E470496B-7C5A-478C-8B9F-239CDFECBB1C}">
    <text>Alojamiento entero · 4 camas · 4 viajeros</text>
  </threadedComment>
  <threadedComment ref="F5724" dT="2026-04-24T14:08:31.91" personId="{4D8483EF-5A39-4E7B-A473-929EF5A077E1}" id="{5A2C25C9-E05A-4B48-BF88-31DC0B8CC38C}">
    <text>Alojamiento entero · 4 camas · 4 viajeros </text>
  </threadedComment>
  <threadedComment ref="F5725" dT="2026-05-20T08:56:43.03" personId="{4D8483EF-5A39-4E7B-A473-929EF5A077E1}" id="{E9D026CE-5422-4C24-B96C-344E28F27854}">
    <text>(para 4 personas)</text>
  </threadedComment>
  <threadedComment ref="F5730" dT="2025-03-03T15:49:22.14" personId="{98986A2A-739A-4851-A979-4B0D560C46CD}" id="{3083D44F-3920-4225-B1D5-EED588B4D04E}">
    <text>03 camas, 550€ alquiler, 550€ fianza</text>
  </threadedComment>
  <threadedComment ref="F5731" dT="2025-03-03T15:49:22.14" personId="{98986A2A-739A-4851-A979-4B0D560C46CD}" id="{ED180267-5C1B-4B4A-A433-E2115F9CC02E}">
    <text>03 camas, 550€ alquiler, 550€ fianza</text>
  </threadedComment>
  <threadedComment ref="F5732" dT="2026-01-29T14:37:35.05" personId="{4D8483EF-5A39-4E7B-A473-929EF5A077E1}" id="{96ECF0A6-6427-4DDA-AD02-A6E05010C009}">
    <text>Alojamiento para 3 personas</text>
  </threadedComment>
  <threadedComment ref="F5733" dT="2026-01-29T14:37:35.05" personId="{4D8483EF-5A39-4E7B-A473-929EF5A077E1}" id="{66C48A50-D2CD-41A8-8901-9F4BE6D586BA}">
    <text>Alojamiento para 3 personas</text>
  </threadedComment>
  <threadedComment ref="F5737" dT="2026-07-10T13:00:04.82" personId="{4D8483EF-5A39-4E7B-A473-929EF5A077E1}" id="{30957445-2F46-43DB-96FB-FBEB92C57723}">
    <text>300€ Alquiler +10€ agua
300€ Fianza
2 Habitaciones.</text>
  </threadedComment>
  <threadedComment ref="F5742" dT="2026-06-16T15:02:54.52" personId="{4D8483EF-5A39-4E7B-A473-929EF5A077E1}" id="{78DFEFCA-F4B6-43DE-8F26-7AE3D17E8511}">
    <text xml:space="preserve">Alojamiento para 4 personas, Alquiler 970€ Fianza 970€ </text>
  </threadedComment>
  <threadedComment ref="F5743" dT="2025-03-27T16:16:05.36" personId="{17D30B62-2123-41F1-B603-E5411FDFA3E0}" id="{25B56068-92A2-4D09-81B2-7210ACBB4AD9}">
    <text>5 CAMAS</text>
  </threadedComment>
  <threadedComment ref="F5746" dT="2026-06-16T13:10:50.27" personId="{4D8483EF-5A39-4E7B-A473-929EF5A077E1}" id="{D8CF33CF-809E-4142-840D-FB9BFD69C866}">
    <text>5 Camas</text>
  </threadedComment>
  <threadedComment ref="F5748" dT="2025-02-13T10:05:11.33" personId="{17D30B62-2123-41F1-B603-E5411FDFA3E0}" id="{96934A35-8623-405B-A9E2-E1684C92C1E2}">
    <text>Habitacion doble para trabajadores cant 1 Costo 60€/noche
Habitacion triple para trabajadores cant 3 Costo 75€/noche cada una
(camas separadas)</text>
  </threadedComment>
  <threadedComment ref="F5751" dT="2025-07-09T14:24:23.31" personId="{98986A2A-739A-4851-A979-4B0D560C46CD}" id="{C3BC2B69-4591-459A-8707-A92064C4E131}">
    <text>10 CAMAS. ALQUILER 1643.20</text>
  </threadedComment>
  <threadedComment ref="F5752" dT="2025-07-09T14:24:23.31" personId="{98986A2A-739A-4851-A979-4B0D560C46CD}" id="{8A35CA7F-2ED0-43A6-AF26-D80B425DD63A}">
    <text>10 CAMAS. ALQUILER 1643.20</text>
  </threadedComment>
  <threadedComment ref="F5756" dT="2025-07-09T14:24:23.31" personId="{98986A2A-739A-4851-A979-4B0D560C46CD}" id="{F5B0CDBF-3F2A-4162-A4FC-C66726078BF7}">
    <text>10 CAMAS. ALQUILER 1643.20</text>
  </threadedComment>
  <threadedComment ref="F5757" dT="2025-07-09T14:24:23.31" personId="{98986A2A-739A-4851-A979-4B0D560C46CD}" id="{2F74E83B-95E3-4A33-9107-BB51AE3660D9}">
    <text>10 CAMAS. ALQUILER 1643.20</text>
  </threadedComment>
  <threadedComment ref="F5758" dT="2025-07-09T14:24:23.31" personId="{98986A2A-739A-4851-A979-4B0D560C46CD}" id="{2BA41CC2-1B48-43D0-80EE-D385C20CD2AC}">
    <text>10 CAMAS. ALQUILER 1643.20</text>
  </threadedComment>
  <threadedComment ref="F5759" dT="2025-07-09T14:24:23.31" personId="{98986A2A-739A-4851-A979-4B0D560C46CD}" id="{584CFF41-AC9B-43E5-B77F-E8ED93AF40B9}">
    <text>10 CAMAS. ALQUILER 1643.20</text>
  </threadedComment>
  <threadedComment ref="F5760" dT="2025-02-25T17:38:25.86" personId="{98986A2A-739A-4851-A979-4B0D560C46CD}" id="{8F38D0DE-45BE-4785-BD85-3A02C23D3656}">
    <text xml:space="preserve">Alquiler 1600 Fianza 1600 camas 5
</text>
  </threadedComment>
  <threadedComment ref="F5761" dT="2025-07-09T14:24:23.31" personId="{98986A2A-739A-4851-A979-4B0D560C46CD}" id="{5B505717-2EBC-47EF-B60A-1D27112B045F}">
    <text>10 CAMAS. ALQUILER 1643.20</text>
  </threadedComment>
  <threadedComment ref="F5762" dT="2025-02-13T10:05:11.33" personId="{17D30B62-2123-41F1-B603-E5411FDFA3E0}" id="{A9488E64-16F8-4E65-8621-0416D765F517}">
    <text>Habitacion doble para trabajadores cant 1 Costo 60€/noche
Habitacion triple para trabajadores cant 3 Costo 75€/noche cada una
(camas separadas)</text>
  </threadedComment>
  <threadedComment ref="F5763" dT="2025-02-13T10:05:11.33" personId="{17D30B62-2123-41F1-B603-E5411FDFA3E0}" id="{47490351-1EFF-49F5-B181-2BB8D842E6BC}">
    <text>Habitacion doble para trabajadores cant 1 Costo 60€/noche
Habitacion triple para trabajadores cant 3 Costo 75€/noche cada una
(camas separadas)</text>
  </threadedComment>
  <threadedComment ref="F5767" dT="2025-04-30T11:00:49.95" personId="{17D30B62-2123-41F1-B603-E5411FDFA3E0}" id="{C7EEF74B-6DFF-499D-90C8-AAD17CBB925D}">
    <text xml:space="preserve">Alquiler 850€ Fianza 850€ 7 camas </text>
  </threadedComment>
  <threadedComment ref="F5769" dT="2025-04-30T11:00:49.95" personId="{17D30B62-2123-41F1-B603-E5411FDFA3E0}" id="{CA17FD48-B07C-48E7-B2AB-ED0CD53F8D38}">
    <text xml:space="preserve">Alquiler 850€ Fianza 850€ 7 camas </text>
  </threadedComment>
  <threadedComment ref="F5770" dT="2025-03-21T15:44:19.97" personId="{17D30B62-2123-41F1-B603-E5411FDFA3E0}" id="{55D9D937-0468-45B9-8EE4-88AB7238AA23}">
    <text>Fianza 2.400€, Alquiler 1.200€, 6 Camas.</text>
  </threadedComment>
  <threadedComment ref="F5770" dT="2026-04-10T10:51:55.80" personId="{4D8483EF-5A39-4E7B-A473-929EF5A077E1}" id="{DDE82AB9-0F8F-42B3-8B80-11F295577E86}" parentId="{55D9D937-0468-45B9-8EE4-88AB7238AA23}">
    <text>Sube el ipc segun contrato 3%, queda alquiler total a pagar: 1.236€</text>
  </threadedComment>
  <threadedComment ref="F5771" dT="2025-10-24T06:53:00.00" personId="{4D8483EF-5A39-4E7B-A473-929EF5A077E1}" id="{450E71F2-628B-46AF-895F-5B8E13C2D762}">
    <text>habitación cuádruple</text>
  </threadedComment>
  <threadedComment ref="F5772" dT="2025-03-21T15:44:19.97" personId="{17D30B62-2123-41F1-B603-E5411FDFA3E0}" id="{1D523B4C-5EE4-461D-8719-8D544DA6364B}">
    <text>Fianza 2.400€, Alquiler 1.200€, 6 Camas.</text>
  </threadedComment>
  <threadedComment ref="F5772" dT="2026-04-10T10:51:55.80" personId="{4D8483EF-5A39-4E7B-A473-929EF5A077E1}" id="{CE0EC2E6-9FEA-48B1-9D39-D91FF0165041}" parentId="{1D523B4C-5EE4-461D-8719-8D544DA6364B}">
    <text>Sube el ipc segun contrato 3%, queda alquiler total a pagar: 1.236€</text>
  </threadedComment>
  <threadedComment ref="F5773" dT="2026-05-08T12:48:03.05" personId="{4D8483EF-5A39-4E7B-A473-929EF5A077E1}" id="{4A6268C1-4AE9-4A2A-8B2A-C362D5BC271D}">
    <text>Alojamiento para 4 personas</text>
  </threadedComment>
  <threadedComment ref="F5774" dT="2025-03-21T15:44:19.97" personId="{17D30B62-2123-41F1-B603-E5411FDFA3E0}" id="{93201D24-FA1C-40A3-BBD5-3F57220E2F2D}">
    <text>Fianza 2.400€, Alquiler 1.200€, 6 Camas.</text>
  </threadedComment>
  <threadedComment ref="F5774" dT="2026-04-10T10:51:55.80" personId="{4D8483EF-5A39-4E7B-A473-929EF5A077E1}" id="{8ACAA756-859F-4D04-8BA5-75D979F45541}" parentId="{93201D24-FA1C-40A3-BBD5-3F57220E2F2D}">
    <text>Sube el ipc segun contrato 3%, queda alquiler total a pagar: 1.236€</text>
  </threadedComment>
  <threadedComment ref="F5775" dT="2025-03-21T15:44:19.97" personId="{17D30B62-2123-41F1-B603-E5411FDFA3E0}" id="{2CA31121-F4D5-4C86-8C23-89E96CA4B139}">
    <text>Fianza 2.400€, Alquiler 1.200€, 6 Camas.</text>
  </threadedComment>
  <threadedComment ref="F5775" dT="2026-04-10T10:51:55.80" personId="{4D8483EF-5A39-4E7B-A473-929EF5A077E1}" id="{CCA23CE1-DB72-497A-8156-DE9E4B39D616}" parentId="{2CA31121-F4D5-4C86-8C23-89E96CA4B139}">
    <text>Sube el ipc segun contrato 3%, queda alquiler total a pagar: 1.236€</text>
  </threadedComment>
  <threadedComment ref="F5776" dT="2025-03-21T15:44:19.97" personId="{17D30B62-2123-41F1-B603-E5411FDFA3E0}" id="{BD15C738-3792-4A1E-89B5-7C591D9803FF}">
    <text>Fianza 2.400€, Alquiler 1.200€, 6 Camas.</text>
  </threadedComment>
  <threadedComment ref="F5776" dT="2026-04-10T10:51:55.80" personId="{4D8483EF-5A39-4E7B-A473-929EF5A077E1}" id="{1E6A37B2-1988-430E-885A-594A9AF25F37}" parentId="{BD15C738-3792-4A1E-89B5-7C591D9803FF}">
    <text>Sube el ipc segun contrato 3%, queda alquiler total a pagar: 1.236€</text>
  </threadedComment>
  <threadedComment ref="F5778" dT="2026-05-08T12:48:03.05" personId="{4D8483EF-5A39-4E7B-A473-929EF5A077E1}" id="{9D00C76D-E994-4F25-A46F-B1268A676B68}">
    <text>Alojamiento para 4 personas</text>
  </threadedComment>
  <threadedComment ref="F5779" dT="2026-06-16T13:10:50.27" personId="{4D8483EF-5A39-4E7B-A473-929EF5A077E1}" id="{6D0EAD05-6C48-4121-9DB1-13F366159F2C}">
    <text>5 Camas</text>
  </threadedComment>
  <threadedComment ref="F5781" dT="2026-06-16T13:10:50.27" personId="{4D8483EF-5A39-4E7B-A473-929EF5A077E1}" id="{FDDDA988-9907-45B8-8DC6-03062B34AB5C}">
    <text>5 Camas</text>
  </threadedComment>
  <threadedComment ref="F5782" dT="2026-06-16T13:10:50.27" personId="{4D8483EF-5A39-4E7B-A473-929EF5A077E1}" id="{23612806-EFD8-4836-B719-003418B037E4}">
    <text>5 Camas</text>
  </threadedComment>
  <threadedComment ref="F5783" dT="2026-06-16T13:10:50.27" personId="{4D8483EF-5A39-4E7B-A473-929EF5A077E1}" id="{63BF07DA-E030-4B35-BFA6-2C4592FCE8C6}">
    <text>5 Camas</text>
  </threadedComment>
  <threadedComment ref="F5784" dT="2026-06-18T09:12:47.14" personId="{4D8483EF-5A39-4E7B-A473-929EF5A077E1}" id="{DBA4AE9F-6D2B-4092-8CD7-A238CEF708E2}">
    <text>Alquiler 1.500€, 3camas, Fianza 500€</text>
  </threadedComment>
  <threadedComment ref="F5785" dT="2026-02-26T10:08:21.22" personId="{4D8483EF-5A39-4E7B-A473-929EF5A077E1}" id="{F34A734F-D148-492C-BD77-C50D0876CD05}">
    <text>4 Camas Alquiler 1450€
Fianza 1450€
Limpieza 120€</text>
  </threadedComment>
  <threadedComment ref="F5786" dT="2026-02-26T10:08:21.22" personId="{4D8483EF-5A39-4E7B-A473-929EF5A077E1}" id="{776E4169-E788-48DC-B3BE-2170542625FB}">
    <text>4 Camas Alquiler 1450€
Fianza 1450€
Limpieza 120€</text>
  </threadedComment>
  <threadedComment ref="F5787" dT="2026-06-05T10:41:32.34" personId="{4D8483EF-5A39-4E7B-A473-929EF5A077E1}" id="{9A7D3393-4A00-419C-BBD5-BB5B430F4A50}">
    <text>Alojamiento entero · 5 camas · 4 viajeros</text>
  </threadedComment>
  <threadedComment ref="F5789" dT="2025-02-13T10:05:11.33" personId="{17D30B62-2123-41F1-B603-E5411FDFA3E0}" id="{04484063-F56A-4232-963D-0B1179F36E63}">
    <text>Habitacion doble para trabajadores cant 1 Costo 60€/noche
Habitacion triple para trabajadores cant 3 Costo 75€/noche cada una
(camas separadas)</text>
  </threadedComment>
  <threadedComment ref="F5792" dT="2026-01-29T14:32:41.57" personId="{4D8483EF-5A39-4E7B-A473-929EF5A077E1}" id="{B4D829EE-B664-4E77-A6C2-70A6BF6DF7B2}">
    <text>Alojamiento para 6 personas</text>
  </threadedComment>
  <threadedComment ref="F5793" dT="2026-06-29T06:20:03.07" personId="{4D8483EF-5A39-4E7B-A473-929EF5A077E1}" id="{28F9F93A-38F8-4D44-9E23-C5CD7A8B22B9}">
    <text>Alojamiento entero · 4 camas · 4 viajeros</text>
  </threadedComment>
  <threadedComment ref="F5794" dT="2026-06-29T06:20:03.07" personId="{4D8483EF-5A39-4E7B-A473-929EF5A077E1}" id="{798C0200-6154-45EA-BB18-C300696A8ABE}">
    <text>Alojamiento entero · 4 camas · 4 viajeros</text>
  </threadedComment>
  <threadedComment ref="F5795" dT="2026-06-16T13:10:50.27" personId="{4D8483EF-5A39-4E7B-A473-929EF5A077E1}" id="{0D337F51-6973-4AB6-AADD-8FF9E866E179}">
    <text>5 Camas</text>
  </threadedComment>
  <threadedComment ref="F5796" dT="2026-06-18T09:12:47.14" personId="{4D8483EF-5A39-4E7B-A473-929EF5A077E1}" id="{91D70112-4E49-4BB9-B10F-DFD76B2BFA05}">
    <text>Alquiler 1.500€, 3camas, Fianza 500€</text>
  </threadedComment>
  <threadedComment ref="F5797" dT="2026-06-18T09:12:47.14" personId="{4D8483EF-5A39-4E7B-A473-929EF5A077E1}" id="{53B1206F-81DC-47D4-BA98-444E3AFC30B4}">
    <text>Alquiler 1.500€, 3camas, Fianza 500€</text>
  </threadedComment>
  <threadedComment ref="F5798" dT="2026-02-26T10:08:21.22" personId="{4D8483EF-5A39-4E7B-A473-929EF5A077E1}" id="{42B0D111-BF69-45FD-84D2-2880E753CFA0}">
    <text>4 Camas Alquiler 1450€
Fianza 1450€
Limpieza 120€</text>
  </threadedComment>
  <threadedComment ref="F5799" dT="2026-06-16T13:10:50.27" personId="{4D8483EF-5A39-4E7B-A473-929EF5A077E1}" id="{049E8AE2-C6D7-4D1B-ACFA-40350D63FB85}">
    <text>5 Camas</text>
  </threadedComment>
  <threadedComment ref="F5800" dT="2025-06-11T16:18:27.83" personId="{98986A2A-739A-4851-A979-4B0D560C46CD}" id="{4ACC9DB9-932E-41ED-AA54-DAB4D2BF7CF6}">
    <text>Alquiler 940, fianza 1880, 03 camas</text>
  </threadedComment>
  <threadedComment ref="F5801" dT="2025-06-11T16:18:27.83" personId="{98986A2A-739A-4851-A979-4B0D560C46CD}" id="{C60F3797-0A55-49D1-A903-7177D2F3A790}">
    <text>Alquiler 940, fianza 1880, 03 camas</text>
  </threadedComment>
  <threadedComment ref="F5802" dT="2026-04-23T07:35:10.11" personId="{4D8483EF-5A39-4E7B-A473-929EF5A077E1}" id="{5BB34F2D-4984-4CD0-BA2E-A8433E783105}">
    <text>1 Habitación 2 Camas Nº2</text>
  </threadedComment>
  <threadedComment ref="F5803" dT="2025-03-04T17:12:38.85" personId="{98986A2A-739A-4851-A979-4B0D560C46CD}" id="{93847C17-22CF-49C4-A443-326440123452}">
    <text xml:space="preserve">09 camas, 2100€ fianza, 2100€ alquiler =2100€.
A partir de Marzo 2026 se adicionan 200€ anticipo de suministros </text>
  </threadedComment>
  <threadedComment ref="F5804" dT="2026-05-08T12:48:03.05" personId="{4D8483EF-5A39-4E7B-A473-929EF5A077E1}" id="{13FEA084-ED9A-4A14-BF37-FE7FA55541A7}">
    <text>Alojamiento para 4 personas</text>
  </threadedComment>
  <threadedComment ref="F5807" dT="2026-05-08T12:48:03.05" personId="{4D8483EF-5A39-4E7B-A473-929EF5A077E1}" id="{E45B232E-0DC5-48B5-8746-845BB7FB8799}">
    <text>Alojamiento para 4 personas</text>
  </threadedComment>
  <threadedComment ref="F5810" dT="2026-01-19T07:31:36.18" personId="{4D8483EF-5A39-4E7B-A473-929EF5A077E1}" id="{62A56CF6-04E8-4AC7-94DD-FF11626722B9}">
    <text>Alojamiento para 4 personas, Valor 1.200€</text>
  </threadedComment>
  <threadedComment ref="F5810" dT="2026-05-14T09:39:39.60" personId="{4D8483EF-5A39-4E7B-A473-929EF5A077E1}" id="{993005E9-1FCD-4524-B3F9-2AA898A2A155}" parentId="{62A56CF6-04E8-4AC7-94DD-FF11626722B9}">
    <text>1.000€ para 3 personas</text>
  </threadedComment>
  <threadedComment ref="F5812" dT="2025-05-05T11:29:54.02" personId="{98986A2A-739A-4851-A979-4B0D560C46CD}" id="{16E771E2-E5D1-43F8-955F-AAE58ED0A954}">
    <text>Alquiler 260€ cada habitacion, 400€fianza</text>
  </threadedComment>
  <threadedComment ref="F5812" dT="2025-09-24T10:00:00.90" personId="{E3C446A3-37B8-466B-82DA-8F7BAC7681F7}" id="{B669A0CF-77D5-4B5B-8BFB-95D5DD3448F7}" parentId="{16E771E2-E5D1-43F8-955F-AAE58ED0A954}">
    <text xml:space="preserve">+2 HABITACIONES (29-09-25) Total piso 1800€ </text>
  </threadedComment>
  <threadedComment ref="F5812" dT="2025-12-04T12:55:31.07" personId="{4D8483EF-5A39-4E7B-A473-929EF5A077E1}" id="{237A0A77-34B0-4C30-92FC-E3DE729194FA}" parentId="{16E771E2-E5D1-43F8-955F-AAE58ED0A954}">
    <text>Alquiler por habitación 260€</text>
  </threadedComment>
  <threadedComment ref="F5814" dT="2025-05-05T11:29:54.02" personId="{98986A2A-739A-4851-A979-4B0D560C46CD}" id="{32ED9021-45F5-41F2-9BF9-7991E99C1761}">
    <text>Alquiler 260€ cada habitacion, 400€fianza</text>
  </threadedComment>
  <threadedComment ref="F5814" dT="2025-09-24T10:00:00.90" personId="{E3C446A3-37B8-466B-82DA-8F7BAC7681F7}" id="{FA5A1933-25A6-40C7-846E-0B9B9F0A53CF}" parentId="{32ED9021-45F5-41F2-9BF9-7991E99C1761}">
    <text xml:space="preserve">+2 HABITACIONES (29-09-25) Total piso 1800€ </text>
  </threadedComment>
  <threadedComment ref="F5814" dT="2025-12-04T12:55:31.07" personId="{4D8483EF-5A39-4E7B-A473-929EF5A077E1}" id="{8438DE02-149F-4980-ADAF-2A932DA8AACE}" parentId="{32ED9021-45F5-41F2-9BF9-7991E99C1761}">
    <text>Alquiler por habitación 260€</text>
  </threadedComment>
  <threadedComment ref="F5816" dT="2025-07-09T14:24:23.31" personId="{98986A2A-739A-4851-A979-4B0D560C46CD}" id="{C54296EC-F922-4140-B597-C3137C335DC2}">
    <text>10 CAMAS. ALQUILER 1643.20</text>
  </threadedComment>
  <threadedComment ref="F5819" dT="2025-02-13T10:05:11.33" personId="{17D30B62-2123-41F1-B603-E5411FDFA3E0}" id="{C0E3D2DA-D0A8-40BB-BDB0-88B7B61699A6}">
    <text>Habitacion doble para trabajadores cant 1 Costo 60€/noche
Habitacion triple para trabajadores cant 3 Costo 75€/noche cada una
(camas separadas)</text>
  </threadedComment>
  <threadedComment ref="F5820" dT="2025-10-30T14:37:57.92" personId="{4D8483EF-5A39-4E7B-A473-929EF5A077E1}" id="{D65F2162-3B8B-4474-87E5-6F0ADA742036}">
    <text>3 Camas Alquiler 1500€ Fianza 1500€</text>
  </threadedComment>
  <threadedComment ref="F5821" dT="2025-10-30T11:27:25.29" personId="{4D8483EF-5A39-4E7B-A473-929EF5A077E1}" id="{42CB1C38-DE96-43E7-B964-401374A32387}">
    <text>Habitación individual</text>
  </threadedComment>
  <threadedComment ref="F5822" dT="2025-03-11T10:16:04.90" personId="{98986A2A-739A-4851-A979-4B0D560C46CD}" id="{12FC17F4-A9E5-408C-B152-CF56DB882D0C}">
    <text xml:space="preserve">6 camas 
Renta vivienda 1.250€+ Servicio de Limpieza 363€ =TOTAL 1.613€, fianza 
</text>
  </threadedComment>
  <threadedComment ref="F5822" dT="2025-12-09T08:40:53.10" personId="{4D8483EF-5A39-4E7B-A473-929EF5A077E1}" id="{9872522F-BD4F-4EF6-B98A-7DB9848F4447}" parentId="{12FC17F4-A9E5-408C-B152-CF56DB882D0C}">
    <text>Renovación contrato vivienda 1.050€+suministros 250€ + Servicio de Limpieza 363€ =TOTAL 1.663€, fianza 950€</text>
  </threadedComment>
  <threadedComment ref="F5823" dT="2025-03-11T10:16:04.90" personId="{98986A2A-739A-4851-A979-4B0D560C46CD}" id="{35C17556-C553-4B55-9D17-145F1A20BC3B}">
    <text xml:space="preserve">6 camas 
Renta vivienda 1.250€+ Servicio de Limpieza 363€ =TOTAL 1.613€, fianza 
</text>
  </threadedComment>
  <threadedComment ref="F5823" dT="2025-12-09T08:40:53.10" personId="{4D8483EF-5A39-4E7B-A473-929EF5A077E1}" id="{4F94B5E1-BA96-42E3-B583-B81E2E75E9F2}" parentId="{35C17556-C553-4B55-9D17-145F1A20BC3B}">
    <text>Renovación contrato vivienda 1.050€+suministros 250€ + Servicio de Limpieza 363€ =TOTAL 1.663€, fianza 950€</text>
  </threadedComment>
  <threadedComment ref="F5824" dT="2025-03-27T16:16:05.36" personId="{17D30B62-2123-41F1-B603-E5411FDFA3E0}" id="{5A60FD36-9A1E-49B7-9DFB-FB1D2F506D43}">
    <text>5 CAMAS</text>
  </threadedComment>
  <threadedComment ref="F5826" dT="2025-05-05T11:29:54.02" personId="{98986A2A-739A-4851-A979-4B0D560C46CD}" id="{FF54729C-9592-4E93-84DC-565B4E1AE041}">
    <text>Alquiler 260€ cada habitacion, 400€fianza</text>
  </threadedComment>
  <threadedComment ref="F5826" dT="2025-09-24T10:00:00.90" personId="{E3C446A3-37B8-466B-82DA-8F7BAC7681F7}" id="{85F35051-1765-4330-ACBE-206CC5851EF6}" parentId="{FF54729C-9592-4E93-84DC-565B4E1AE041}">
    <text xml:space="preserve">+2 HABITACIONES (29-09-25) Total piso 1800€ </text>
  </threadedComment>
  <threadedComment ref="F5826" dT="2025-12-04T12:55:31.07" personId="{4D8483EF-5A39-4E7B-A473-929EF5A077E1}" id="{D8F925F9-E5AA-43A6-BB35-DD67929A3236}" parentId="{FF54729C-9592-4E93-84DC-565B4E1AE041}">
    <text>Alquiler por habitación 260€</text>
  </threadedComment>
  <threadedComment ref="F5827" dT="2026-06-03T07:34:05.96" personId="{4D8483EF-5A39-4E7B-A473-929EF5A077E1}" id="{37D9AF6B-0F38-4F57-8BFE-625FD9DBB4EE}">
    <text>Tipo de cama: 4 camas individuales (90-130 cm de ancho), 1 cama doble (131-150 cm de ancho), 1 sofá cama (Tamaño variable).</text>
  </threadedComment>
  <threadedComment ref="F5830" dT="2026-06-03T07:34:11.07" personId="{4D8483EF-5A39-4E7B-A473-929EF5A077E1}" id="{D60B54B2-8A18-4BCA-B296-1EEAC1CD0E17}">
    <text>Tipo de cama: 4 camas individuales (90-130 cm de ancho), 1 cama doble (131-150 cm de ancho), 1 sofá cama (Tamaño variable).</text>
  </threadedComment>
  <threadedComment ref="F5831" dT="2025-07-17T15:35:06.73" personId="{98986A2A-739A-4851-A979-4B0D560C46CD}" id="{584B59B5-2362-4414-BE85-ED0F84D06D50}">
    <text>05 camas, 1600€ alquiler, 1200€ fianza</text>
  </threadedComment>
  <threadedComment ref="F5831" dT="2025-07-29T15:27:52.03" personId="{17D30B62-2123-41F1-B603-E5411FDFA3E0}" id="{CB92E880-BECE-450E-975E-1D547AF0EA67}" parentId="{584B59B5-2362-4414-BE85-ED0F84D06D50}">
    <text>1 cama supletoria 200€</text>
  </threadedComment>
  <threadedComment ref="F5832" dT="2026-06-03T07:34:15.44" personId="{4D8483EF-5A39-4E7B-A473-929EF5A077E1}" id="{72E7FA92-6557-4460-9CD3-51E9B17ECCD1}">
    <text>Tipo de cama: 4 camas individuales (90-130 cm de ancho), 1 cama doble (131-150 cm de ancho), 1 sofá cama (Tamaño variable).</text>
  </threadedComment>
  <threadedComment ref="F5833" dT="2025-03-04T17:12:38.85" personId="{98986A2A-739A-4851-A979-4B0D560C46CD}" id="{B0CD2D5F-68CD-4002-A91A-E32C08E041C9}">
    <text xml:space="preserve">09 camas, 2100€ fianza, 2100€ alquiler =2100€.
A partir de Marzo 2026 se adicionan 200€ anticipo de suministros </text>
  </threadedComment>
  <threadedComment ref="F5835" dT="2026-04-21T08:44:00.53" personId="{4D8483EF-5A39-4E7B-A473-929EF5A077E1}" id="{D5670C94-BB6E-4FDB-BE80-F2E015ED9C59}">
    <text>Apto 2</text>
  </threadedComment>
  <threadedComment ref="F5836" dT="2025-03-04T17:12:38.85" personId="{98986A2A-739A-4851-A979-4B0D560C46CD}" id="{6C324AA5-A1E0-47B8-905A-5C44D360DD98}">
    <text xml:space="preserve">09 camas, 2100€ fianza, 2100€ alquiler =2100€.
A partir de Marzo 2026 se adicionan 200€ anticipo de suministros </text>
  </threadedComment>
  <threadedComment ref="F5838" dT="2025-03-04T17:12:38.85" personId="{98986A2A-739A-4851-A979-4B0D560C46CD}" id="{E30DAB4B-6678-4F87-BE20-92CAC0F1639F}">
    <text xml:space="preserve">09 camas, 2100€ fianza, 2100€ alquiler =2100€.
A partir de Marzo 2026 se adicionan 200€ anticipo de suministros </text>
  </threadedComment>
  <threadedComment ref="F5839" dT="2026-05-04T08:14:44.71" personId="{4D8483EF-5A39-4E7B-A473-929EF5A077E1}" id="{5F87D287-7CCA-4F4B-AB63-6A6E26B09171}">
    <text>A partir de mayo alquiler 450€ suministros incluidos (mensaje de whatsapp del propietario)</text>
  </threadedComment>
  <threadedComment ref="F5841" dT="2026-05-20T08:56:43.03" personId="{4D8483EF-5A39-4E7B-A473-929EF5A077E1}" id="{0C8FF131-FAF3-4A70-A153-C657AEDC7C1D}">
    <text>(para 4 personas)</text>
  </threadedComment>
  <threadedComment ref="F5844" dT="2026-02-09T07:22:55.03" personId="{4D8483EF-5A39-4E7B-A473-929EF5A077E1}" id="{D55CDDD9-3743-47C6-8820-3CADF0589B8F}">
    <text>650 € ALQUILER FEBRERO
650 € FIANZA -5 CAMAS</text>
  </threadedComment>
  <threadedComment ref="F5845" dT="2026-02-09T07:22:55.03" personId="{4D8483EF-5A39-4E7B-A473-929EF5A077E1}" id="{C0663518-6EDA-4747-8FA1-BAF387DA9A67}">
    <text>650 € ALQUILER FEBRERO
650 € FIANZA -5 CAMAS</text>
  </threadedComment>
  <threadedComment ref="F5848" dT="2025-07-04T12:14:41.73" personId="{98986A2A-739A-4851-A979-4B0D560C46CD}" id="{917B050F-7CA2-41BE-A4C5-1EAF896A87F3}">
    <text>03 CAMAS.ALQUILER 1500€. FIANZA 1500€</text>
  </threadedComment>
  <threadedComment ref="F5848" dT="2026-08-24T09:21:24.78" personId="{E3C446A3-37B8-466B-82DA-8F7BAC7681F7}" id="{9C8A5769-AB69-4D0A-B0BC-FB8014F625A7}" parentId="{917B050F-7CA2-41BE-A4C5-1EAF896A87F3}">
    <text xml:space="preserve">01 Habitación doble
01 habitación 2 camas </text>
  </threadedComment>
  <threadedComment ref="F5849" dT="2025-07-04T12:14:41.73" personId="{98986A2A-739A-4851-A979-4B0D560C46CD}" id="{4D0F604D-A09A-4654-A32F-943AFFA953B1}">
    <text>03 CAMAS.ALQUILER 1500€. FIANZA 1500€</text>
  </threadedComment>
  <threadedComment ref="F5849" dT="2026-08-24T09:21:24.78" personId="{E3C446A3-37B8-466B-82DA-8F7BAC7681F7}" id="{8F74C6A9-D0CA-49EF-8E63-548B38C849A6}" parentId="{4D0F604D-A09A-4654-A32F-943AFFA953B1}">
    <text xml:space="preserve">01 Habitación doble
01 habitación 2 camas </text>
  </threadedComment>
  <threadedComment ref="F5853" dT="2025-07-04T12:14:41.73" personId="{98986A2A-739A-4851-A979-4B0D560C46CD}" id="{7610708C-D480-4856-BFE0-FD751D0E85A3}">
    <text>03 CAMAS.ALQUILER 1500€. FIANZA 1500€</text>
  </threadedComment>
  <threadedComment ref="F5853" dT="2026-08-24T09:21:24.78" personId="{E3C446A3-37B8-466B-82DA-8F7BAC7681F7}" id="{4626C411-370C-458E-A115-A2E3B0C00A8E}" parentId="{7610708C-D480-4856-BFE0-FD751D0E85A3}">
    <text xml:space="preserve">01 Habitación doble
01 habitación 2 camas </text>
  </threadedComment>
  <threadedComment ref="F5854" dT="2025-07-17T15:35:06.73" personId="{98986A2A-739A-4851-A979-4B0D560C46CD}" id="{CD4717DA-3BC7-4D25-A9A9-100311401D76}">
    <text>05 camas, 1600€ alquiler, 1200€ fianza</text>
  </threadedComment>
  <threadedComment ref="F5854" dT="2025-07-29T15:27:52.03" personId="{17D30B62-2123-41F1-B603-E5411FDFA3E0}" id="{BF04C75E-CC13-4119-A0A1-06057CF504B4}" parentId="{CD4717DA-3BC7-4D25-A9A9-100311401D76}">
    <text>1 cama supletoria 200€</text>
  </threadedComment>
  <threadedComment ref="F5856" dT="2026-04-23T07:35:10.11" personId="{4D8483EF-5A39-4E7B-A473-929EF5A077E1}" id="{D4F9C3B0-12E8-4872-979F-9B3863C299A3}">
    <text>1 Habitación 2 Camas Nº1</text>
  </threadedComment>
  <threadedComment ref="F5858" dT="2026-06-29T06:20:03.07" personId="{4D8483EF-5A39-4E7B-A473-929EF5A077E1}" id="{1F486CCD-73D1-4507-AE65-189977C9F8E2}">
    <text>Alojamiento entero · 4 camas · 4 viajeros</text>
  </threadedComment>
  <threadedComment ref="F5859" dT="2026-07-06T15:34:50.26" personId="{4D8483EF-5A39-4E7B-A473-929EF5A077E1}" id="{E110691A-27D9-4C72-91D5-E3E8ED64A49B}">
    <text>Alojamiento entero · 3 camas Fianza 300€</text>
  </threadedComment>
  <threadedComment ref="F5860" dT="2026-07-06T15:34:50.26" personId="{4D8483EF-5A39-4E7B-A473-929EF5A077E1}" id="{3860E940-D708-454F-A948-5760C2E0B858}">
    <text>Alojamiento entero · 3 camas Fianza 300€</text>
  </threadedComment>
  <threadedComment ref="F5861" dT="2026-07-06T15:34:50.26" personId="{4D8483EF-5A39-4E7B-A473-929EF5A077E1}" id="{A6278C23-DB56-40B4-8A05-D127B69828E5}">
    <text>Alojamiento entero · 3 camas Fianza 300€</text>
  </threadedComment>
  <threadedComment ref="F5862" dT="2025-02-26T14:56:43.99" personId="{17D30B62-2123-41F1-B603-E5411FDFA3E0}" id="{ECC35CEF-DE9B-48E4-8BEF-F8F8A6BECA50}">
    <text>Alojamiento para 9 personas.
 3 apartamentos triples (101-102-121)</text>
  </threadedComment>
  <threadedComment ref="F5862" dT="2025-10-14T10:02:06.67" personId="{4D8483EF-5A39-4E7B-A473-929EF5A077E1}" id="{BF0B5554-2D81-4E21-B0D7-D55BA2F9C156}" parentId="{ECC35CEF-DE9B-48E4-8BEF-F8F8A6BECA50}">
    <text xml:space="preserve">Alojamiento para 6 personas.
 2 apartamentos triples </text>
  </threadedComment>
  <threadedComment ref="F5865" dT="2026-05-25T06:01:26.72" personId="{4D8483EF-5A39-4E7B-A473-929EF5A077E1}" id="{528A533A-FBE7-4B49-952E-B7E16D3CD5E8}">
    <text>1 Habitación individual</text>
  </threadedComment>
  <threadedComment ref="F5869" dT="2026-04-23T07:35:10.11" personId="{4D8483EF-5A39-4E7B-A473-929EF5A077E1}" id="{5B531373-C5C5-42E5-83EE-BD85EFF90244}">
    <text>1 Habitación 2 Camas Nº2</text>
  </threadedComment>
  <threadedComment ref="F5870" dT="2026-01-29T14:37:35.05" personId="{4D8483EF-5A39-4E7B-A473-929EF5A077E1}" id="{95BE13CE-4710-4F3B-8A2F-61476814EC53}">
    <text>Alojamiento para 3 personas</text>
  </threadedComment>
  <threadedComment ref="F5872" dT="2026-02-17T08:36:54.34" personId="{98986A2A-739A-4851-A979-4B0D560C46CD}" id="{EB8DD626-8BCA-45CF-A137-785A3604D91C}">
    <text>05 camas</text>
  </threadedComment>
  <threadedComment ref="F5874" dT="2026-07-06T06:35:19.10" personId="{4D8483EF-5A39-4E7B-A473-929EF5A077E1}" id="{CE5457E1-CC22-43B0-9BE0-031688BBF5CE}">
    <text>Alojamiento entero · 5 camas · 4 viajeros</text>
  </threadedComment>
  <threadedComment ref="F5875" dT="2026-07-06T06:35:23.58" personId="{4D8483EF-5A39-4E7B-A473-929EF5A077E1}" id="{27869088-E1DB-4A0C-BB3F-5B76B1CFD360}">
    <text>Alojamiento entero · 5 camas · 4 viajeros</text>
  </threadedComment>
  <threadedComment ref="F5879" dT="2026-07-10T13:00:04.82" personId="{4D8483EF-5A39-4E7B-A473-929EF5A077E1}" id="{5FB4CFE8-300F-4E10-A795-AB309B0C4DDD}">
    <text>300€ Alquiler +10€ agua
300€ Fianza
2 Habitaciones.</text>
  </threadedComment>
  <threadedComment ref="F5884" dT="2026-02-10T08:17:08.01" personId="{4D8483EF-5A39-4E7B-A473-929EF5A077E1}" id="{DEACAF27-1112-45CE-886D-FC662EB2992F}">
    <text xml:space="preserve">Alquiler 1500, 3 camas </text>
  </threadedComment>
  <threadedComment ref="F5884" dT="2026-08-24T09:06:56.53" personId="{E3C446A3-37B8-466B-82DA-8F7BAC7681F7}" id="{41F7F31E-1B39-4351-AD38-7718CFEE188E}" parentId="{DEACAF27-1112-45CE-886D-FC662EB2992F}">
    <text>01 habitación doble
01 habitación con dos camas
01 terraza</text>
  </threadedComment>
  <threadedComment ref="F5885" dT="2025-02-26T14:56:43.99" personId="{17D30B62-2123-41F1-B603-E5411FDFA3E0}" id="{8F3EF6D7-6E7D-4415-9CC0-D6F9B28DC246}">
    <text>Alojamiento para 11 personas.</text>
  </threadedComment>
  <threadedComment ref="F5886" dT="2025-02-26T14:56:43.99" personId="{17D30B62-2123-41F1-B603-E5411FDFA3E0}" id="{460992A2-10B6-4A32-9998-19E316CC0188}">
    <text>Alojamiento para 9 personas.
 3 apartamentos triples (101-102-121)</text>
  </threadedComment>
  <threadedComment ref="F5886" dT="2025-10-14T10:02:06.67" personId="{4D8483EF-5A39-4E7B-A473-929EF5A077E1}" id="{813A7623-0E59-4AC5-88B1-89ECCA23D4F7}" parentId="{460992A2-10B6-4A32-9998-19E316CC0188}">
    <text xml:space="preserve">Alojamiento para 6 personas.
 2 apartamentos triples </text>
  </threadedComment>
  <threadedComment ref="F5887" dT="2025-03-07T13:18:36.65" personId="{98986A2A-739A-4851-A979-4B0D560C46CD}" id="{76C40D73-C42A-4E06-81B5-E9289208AB84}">
    <text>04 camas, 550€ alquiler, 550€ fianza</text>
  </threadedComment>
  <threadedComment ref="F5888" dT="2025-03-03T15:39:24.40" personId="{98986A2A-739A-4851-A979-4B0D560C46CD}" id="{BA2DEC06-171C-447D-8C61-E386A987C015}">
    <text>1200€ alquiler, 05 camas, 1200€ fianza</text>
  </threadedComment>
  <threadedComment ref="F5889" dT="2025-07-09T14:24:23.31" personId="{98986A2A-739A-4851-A979-4B0D560C46CD}" id="{19991A05-BA52-49D4-AF77-379159CCE7DB}">
    <text>10 CAMAS. ALQUILER 1643.20</text>
  </threadedComment>
  <threadedComment ref="F5890" dT="2025-07-09T14:24:23.31" personId="{98986A2A-739A-4851-A979-4B0D560C46CD}" id="{8C1010E9-0D77-4A45-B9A5-14551B979A64}">
    <text>10 CAMAS. ALQUILER 1643.20</text>
  </threadedComment>
  <threadedComment ref="F5891" dT="2026-05-15T14:22:00.00" personId="{4D8483EF-5A39-4E7B-A473-929EF5A077E1}" id="{457A1E5D-7E0B-4E8C-84E0-714FCAFF6DFB}">
    <text xml:space="preserve">Alojamiento para 4 personas.
 2 apartamento DOBLES </text>
  </threadedComment>
  <threadedComment ref="F5892" dT="2026-01-29T14:37:35.05" personId="{4D8483EF-5A39-4E7B-A473-929EF5A077E1}" id="{14A07815-95C7-4C10-B6D2-17CFC3F22829}">
    <text>Alojamiento para 3 personas</text>
  </threadedComment>
  <threadedComment ref="F5893" dT="2026-02-10T08:17:08.01" personId="{4D8483EF-5A39-4E7B-A473-929EF5A077E1}" id="{76F1E9E0-F5A9-4EF2-9177-02B7C71A80DF}">
    <text xml:space="preserve">Alquiler 1500, 3 camas </text>
  </threadedComment>
  <threadedComment ref="F5893" dT="2026-08-24T09:06:56.53" personId="{E3C446A3-37B8-466B-82DA-8F7BAC7681F7}" id="{B3215769-11D7-4175-AF77-E48081043A14}" parentId="{76F1E9E0-F5A9-4EF2-9177-02B7C71A80DF}">
    <text>01 habitación doble
01 habitación con dos camas
01 terraza</text>
  </threadedComment>
  <threadedComment ref="F5894" dT="2025-02-13T10:05:11.33" personId="{17D30B62-2123-41F1-B603-E5411FDFA3E0}" id="{921FCABE-0FF5-40C6-82AE-441711452E2E}">
    <text>Habitacion doble para trabajadores cant 1 Costo 60€/noche
Habitacion triple para trabajadores cant 3 Costo 75€/noche cada una
(camas separadas)</text>
  </threadedComment>
  <threadedComment ref="F5895" dT="2026-07-06T06:35:27.92" personId="{4D8483EF-5A39-4E7B-A473-929EF5A077E1}" id="{F0C044B9-6F3D-47AE-882D-3BD8E1A62D7D}">
    <text>Alojamiento entero · 5 camas · 4 viajeros</text>
  </threadedComment>
  <threadedComment ref="F5896" dT="2025-02-26T14:56:43.99" personId="{17D30B62-2123-41F1-B603-E5411FDFA3E0}" id="{349906DF-D0EE-4D82-B591-D858E1DCA9CF}">
    <text>Alojamiento para 11 personas.</text>
  </threadedComment>
  <threadedComment ref="F5897" dT="2025-02-26T14:56:43.99" personId="{17D30B62-2123-41F1-B603-E5411FDFA3E0}" id="{AF9C7701-CDC8-49A1-8A5E-21578E2A0E16}">
    <text>Alojamiento para 11 personas.</text>
  </threadedComment>
  <threadedComment ref="F5899" dT="2025-02-13T10:05:11.33" personId="{17D30B62-2123-41F1-B603-E5411FDFA3E0}" id="{7C011552-F3C1-43A6-AC70-C9A57BE6AF5D}">
    <text>Habitacion doble para trabajadores cant 1 Costo 60€/noche
Habitacion triple para trabajadores cant 3 Costo 75€/noche cada una
(camas separadas)</text>
  </threadedComment>
  <threadedComment ref="F5901" dT="2025-02-13T10:05:11.33" personId="{17D30B62-2123-41F1-B603-E5411FDFA3E0}" id="{55BEB29A-53BD-4EDF-86A7-467AC6DA5444}">
    <text>Habitacion doble para trabajadores cant 1 Costo 60€/noche
Habitacion triple para trabajadores cant 3 Costo 75€/noche cada una
(camas separadas)</text>
  </threadedComment>
  <threadedComment ref="F5902" dT="2026-02-10T08:17:08.01" personId="{4D8483EF-5A39-4E7B-A473-929EF5A077E1}" id="{D336AFD5-664F-41CC-99BB-925C3E5C03A4}">
    <text xml:space="preserve">Alquiler 1500, 3 camas </text>
  </threadedComment>
  <threadedComment ref="F5902" dT="2026-08-24T09:06:56.53" personId="{E3C446A3-37B8-466B-82DA-8F7BAC7681F7}" id="{DD7C1036-1429-4E35-A913-F62C5636392C}" parentId="{D336AFD5-664F-41CC-99BB-925C3E5C03A4}">
    <text>01 habitación doble
01 habitación con dos camas
01 terraza</text>
  </threadedComment>
  <threadedComment ref="F5903" dT="2025-02-13T10:05:11.33" personId="{17D30B62-2123-41F1-B603-E5411FDFA3E0}" id="{F77E786E-84A8-4EE1-A8EE-21C63C6E758E}">
    <text>Habitacion doble para trabajadores cant 1 Costo 60€/noche
Habitacion triple para trabajadores cant 3 Costo 75€/noche cada una
(camas separadas)</text>
  </threadedComment>
  <threadedComment ref="V5903" dT="2024-11-28T11:47:45.83" personId="{98986A2A-739A-4851-A979-4B0D560C46CD}" id="{6AA2AE88-EC7F-426F-8937-D5F142F85B3A}">
    <text>Martes 10/12 vuelven al piso</text>
  </threadedComment>
  <threadedComment ref="F5904" dT="2025-02-13T10:05:11.33" personId="{17D30B62-2123-41F1-B603-E5411FDFA3E0}" id="{CDA277FA-AE20-4825-B299-CEDC268424AE}">
    <text>Habitacion doble para trabajadores cant 1 Costo 60€/noche
Habitacion triple para trabajadores cant 3 Costo 75€/noche cada una
(camas separadas)</text>
  </threadedComment>
  <threadedComment ref="F5906" dT="2025-07-17T15:35:06.73" personId="{98986A2A-739A-4851-A979-4B0D560C46CD}" id="{E944BB83-8236-446D-8A6D-3301CBE91150}">
    <text>05 camas, 1600€ alquiler, 1200€ fianza</text>
  </threadedComment>
  <threadedComment ref="F5906" dT="2025-07-29T15:27:52.03" personId="{17D30B62-2123-41F1-B603-E5411FDFA3E0}" id="{FF98AFBD-172C-4338-8152-BB86FD4CAA94}" parentId="{E944BB83-8236-446D-8A6D-3301CBE91150}">
    <text>1 cama supletoria 200€</text>
  </threadedComment>
  <threadedComment ref="F5907" dT="2025-02-13T10:05:11.33" personId="{17D30B62-2123-41F1-B603-E5411FDFA3E0}" id="{86B07074-E5AA-44C6-9A50-226B192179B4}">
    <text>Habitacion doble para trabajadores cant 1 Costo 60€/noche
Habitacion triple para trabajadores cant 3 Costo 75€/noche cada una
(camas separadas)</text>
  </threadedComment>
  <threadedComment ref="F5912" dT="2025-04-30T11:00:49.95" personId="{17D30B62-2123-41F1-B603-E5411FDFA3E0}" id="{028DA5EA-D6CC-4545-8A47-CE99204D9602}">
    <text xml:space="preserve">Alquiler 850€ Fianza 850€ 7 camas </text>
  </threadedComment>
  <threadedComment ref="F5914" dT="2025-07-17T15:35:06.73" personId="{98986A2A-739A-4851-A979-4B0D560C46CD}" id="{A43590E7-937C-4EA1-985F-E8FCC0E8F24E}">
    <text>05 camas, 1600€ alquiler, 1200€ fianza</text>
  </threadedComment>
  <threadedComment ref="F5914" dT="2025-07-29T15:27:52.03" personId="{17D30B62-2123-41F1-B603-E5411FDFA3E0}" id="{286DE7C0-43AA-44C2-9C35-F879696326F4}" parentId="{A43590E7-937C-4EA1-985F-E8FCC0E8F24E}">
    <text>1 cama supletoria 200€</text>
  </threadedComment>
  <threadedComment ref="F5915" dT="2026-07-06T06:35:32.33" personId="{4D8483EF-5A39-4E7B-A473-929EF5A077E1}" id="{4E3244D9-36A0-4614-A220-C9029789FDBD}">
    <text>Alojamiento entero · 5 camas · 4 viajeros</text>
  </threadedComment>
  <threadedComment ref="F5917" dT="2026-06-16T15:02:54.52" personId="{4D8483EF-5A39-4E7B-A473-929EF5A077E1}" id="{B41CE261-A439-4949-B4D2-D7490A8D275D}">
    <text xml:space="preserve">Alojamiento para 4 personas, Alquiler 970€ Fianza 970€ </text>
  </threadedComment>
  <threadedComment ref="F5919" dT="2025-04-11T08:30:24.86" personId="{17D30B62-2123-41F1-B603-E5411FDFA3E0}" id="{4EBD9C9A-3FC1-42B3-941B-BBC96AE9C5A7}">
    <text xml:space="preserve">1 habitación </text>
  </threadedComment>
  <threadedComment ref="F5919" dT="2026-05-26T07:28:35.88" personId="{4D8483EF-5A39-4E7B-A473-929EF5A077E1}" id="{710F6A97-DA40-4630-8B9E-4333F7478D10}" parentId="{4EBD9C9A-3FC1-42B3-941B-BBC96AE9C5A7}">
    <text>Nuevos datos Bancario para pago de junio:
ES43 2100 0476 9501 0125 6614
Fabiola Pulupa Almachi</text>
  </threadedComment>
  <threadedComment ref="F5923" dT="2026-02-06T08:43:54.86" personId="{4D8483EF-5A39-4E7B-A473-929EF5A077E1}" id="{C6C4F567-D91B-47FA-AA7A-77BB9702636F}">
    <text>1 Habitación 1 cama</text>
  </threadedComment>
  <threadedComment ref="F5929" dT="2025-03-03T15:49:22.14" personId="{98986A2A-739A-4851-A979-4B0D560C46CD}" id="{0EF1E375-B863-4031-AE36-ADBD21AD8728}">
    <text>03 camas, 550€ alquiler, 550€ fianza</text>
  </threadedComment>
  <threadedComment ref="F5934" dT="2025-02-26T14:56:43.99" personId="{17D30B62-2123-41F1-B603-E5411FDFA3E0}" id="{9AE82BA0-80FA-4017-9EA7-C217B8895D82}">
    <text>Alojamiento para 11 personas.</text>
  </threadedComment>
  <threadedComment ref="F5935" dT="2025-07-09T14:24:23.31" personId="{98986A2A-739A-4851-A979-4B0D560C46CD}" id="{13DCE121-E280-45B5-B34C-18304F43221D}">
    <text>10 CAMAS. ALQUILER 1643.20</text>
  </threadedComment>
  <threadedComment ref="F5936" dT="2025-02-26T14:56:43.99" personId="{17D30B62-2123-41F1-B603-E5411FDFA3E0}" id="{9B31B17C-A54B-438F-845F-B10F58348ABF}">
    <text>Alojamiento para 9 personas.
 3 apartamentos triples (101-102-121)</text>
  </threadedComment>
  <threadedComment ref="F5936" dT="2025-10-14T10:02:06.67" personId="{4D8483EF-5A39-4E7B-A473-929EF5A077E1}" id="{3386163B-BCE8-4106-9F63-0BBBAFCC5BC0}" parentId="{9B31B17C-A54B-438F-845F-B10F58348ABF}">
    <text xml:space="preserve">Alojamiento para 6 personas.
 2 apartamentos triples </text>
  </threadedComment>
  <threadedComment ref="F5937" dT="2025-02-13T10:05:11.33" personId="{17D30B62-2123-41F1-B603-E5411FDFA3E0}" id="{58CECF75-A1CB-429C-B11D-0BC0B95E21A1}">
    <text>Habitacion doble para trabajadores cant 1 Costo 60€/noche
Habitacion triple para trabajadores cant 3 Costo 75€/noche cada una
(camas separadas)</text>
  </threadedComment>
  <threadedComment ref="F5938" dT="2025-03-11T10:16:04.90" personId="{98986A2A-739A-4851-A979-4B0D560C46CD}" id="{D0929C14-F608-465D-83D4-23623AAE6689}">
    <text xml:space="preserve">6 camas 
Renta vivienda 1.250€+ Servicio de Limpieza 363€ =TOTAL 1.613€, fianza 
</text>
  </threadedComment>
  <threadedComment ref="F5938" dT="2025-12-09T08:40:53.10" personId="{4D8483EF-5A39-4E7B-A473-929EF5A077E1}" id="{62CDCA76-7980-46E8-BE52-58110E13AACE}" parentId="{D0929C14-F608-465D-83D4-23623AAE6689}">
    <text>Renovación contrato vivienda 1.050€+suministros 250€ + Servicio de Limpieza 363€ =TOTAL 1.663€, fianza 950€</text>
  </threadedComment>
  <threadedComment ref="F5939" dT="2025-07-09T14:24:23.31" personId="{98986A2A-739A-4851-A979-4B0D560C46CD}" id="{BF702505-B5E5-4144-AF51-4C722B33BF69}">
    <text>10 CAMAS. ALQUILER 1643.20</text>
  </threadedComment>
  <threadedComment ref="F5939" dT="2026-08-10T08:07:36.00" personId="{E3C446A3-37B8-466B-82DA-8F7BAC7681F7}" id="{6F943CBD-74E6-44A2-89A5-4C035C70ED31}" parentId="{BF702505-B5E5-4144-AF51-4C722B33BF69}">
    <text>FIANZA 3200</text>
  </threadedComment>
  <threadedComment ref="F5942" dT="2025-03-11T10:16:04.90" personId="{98986A2A-739A-4851-A979-4B0D560C46CD}" id="{D39740BA-5DD9-4B09-BA9F-E0DE757FAB5A}">
    <text xml:space="preserve">6 camas 
Renta vivienda 1.250€+ Servicio de Limpieza 363€ =TOTAL 1.613€, fianza 
</text>
  </threadedComment>
  <threadedComment ref="F5942" dT="2025-12-09T08:40:53.10" personId="{4D8483EF-5A39-4E7B-A473-929EF5A077E1}" id="{BA8912F8-766A-441A-A715-A54B54F606EA}" parentId="{D39740BA-5DD9-4B09-BA9F-E0DE757FAB5A}">
    <text>Renovación contrato vivienda 1.050€+suministros 250€ + Servicio de Limpieza 363€ =TOTAL 1.663€, fianza 950€</text>
  </threadedComment>
  <threadedComment ref="F5943" dT="2026-04-21T08:44:00.53" personId="{4D8483EF-5A39-4E7B-A473-929EF5A077E1}" id="{C1EC29F9-AEC9-46DC-8C8E-442B472B426A}">
    <text>Apto 2</text>
  </threadedComment>
  <threadedComment ref="F5945" dT="2025-10-29T11:54:27.92" personId="{4D8483EF-5A39-4E7B-A473-929EF5A077E1}" id="{26FDBB9D-7F14-4504-B1DC-1089D82B0474}">
    <text>4 CAMAS</text>
  </threadedComment>
  <threadedComment ref="F5948" dT="2025-03-18T09:49:27.52" personId="{98986A2A-739A-4851-A979-4B0D560C46CD}" id="{45CF3968-344B-464B-9119-325BFDDC154B}">
    <text>04 camas, 400€ alquiler, 400€ fianza</text>
  </threadedComment>
  <threadedComment ref="F5951" dT="2026-07-06T06:35:19.10" personId="{4D8483EF-5A39-4E7B-A473-929EF5A077E1}" id="{B96A82EE-422D-4790-86E6-CDA5D11153C4}">
    <text>Alojamiento entero · 5 camas · 4 viajeros</text>
  </threadedComment>
  <threadedComment ref="F5952" dT="2026-07-06T06:35:23.58" personId="{4D8483EF-5A39-4E7B-A473-929EF5A077E1}" id="{CB445EF8-2E39-48D0-8008-BBE970CFAEAC}">
    <text>Alojamiento entero · 5 camas · 4 viajeros</text>
  </threadedComment>
  <threadedComment ref="F5953" dT="2026-07-06T06:35:27.92" personId="{4D8483EF-5A39-4E7B-A473-929EF5A077E1}" id="{2E63EE11-402D-4DFC-AE74-C699789DD655}">
    <text>Alojamiento entero · 5 camas · 4 viajeros</text>
  </threadedComment>
  <threadedComment ref="F5954" dT="2026-07-06T06:35:32.33" personId="{4D8483EF-5A39-4E7B-A473-929EF5A077E1}" id="{F33A8F89-5A47-46B0-BBF9-12F6BE07B5B6}">
    <text>Alojamiento entero · 5 camas · 4 viajeros</text>
  </threadedComment>
  <threadedComment ref="F5956" dT="2026-01-29T14:37:35.05" personId="{4D8483EF-5A39-4E7B-A473-929EF5A077E1}" id="{4DEE3526-BF97-45C3-864F-C6D8212AC7DA}">
    <text>Alojamiento para 3 personas</text>
  </threadedComment>
  <threadedComment ref="F5961" dT="2025-02-13T10:05:11.33" personId="{17D30B62-2123-41F1-B603-E5411FDFA3E0}" id="{5AD5FB3E-1C07-4807-81CE-4687EC4CDC42}">
    <text>Habitacion doble para trabajadores cant 1 Costo 60€/noche
Habitacion triple para trabajadores cant 3 Costo 75€/noche cada una
(camas separadas)</text>
  </threadedComment>
  <threadedComment ref="F5962" dT="2026-04-21T08:43:30.84" personId="{4D8483EF-5A39-4E7B-A473-929EF5A077E1}" id="{EACD1E22-2FDA-4EED-978B-858307147F88}">
    <text xml:space="preserve">Apto 1 </text>
  </threadedComment>
  <threadedComment ref="F5963" dT="2026-04-21T08:44:00.53" personId="{4D8483EF-5A39-4E7B-A473-929EF5A077E1}" id="{DABB34B6-8B0F-46CF-A1A6-33EBCBC30BC6}">
    <text>Apto 2</text>
  </threadedComment>
  <threadedComment ref="F5966" dT="2026-02-17T08:36:54.34" personId="{98986A2A-739A-4851-A979-4B0D560C46CD}" id="{2B1CD344-4A79-4928-8752-FF100E7658C9}">
    <text>05 camas</text>
  </threadedComment>
  <threadedComment ref="F5966" dT="2026-07-27T13:08:03.53" personId="{4D8483EF-5A39-4E7B-A473-929EF5A077E1}" id="{15ABC920-CABC-4835-AB69-60C9AFF69314}" parentId="{2B1CD344-4A79-4928-8752-FF100E7658C9}">
    <text xml:space="preserve">Alquiler 1900€
120€ Limpieza </text>
  </threadedComment>
  <threadedComment ref="F5968" dT="2025-10-29T11:54:27.92" personId="{4D8483EF-5A39-4E7B-A473-929EF5A077E1}" id="{5559CC67-3865-4A56-AECE-C4837E3E1D50}">
    <text>4 CAMAS</text>
  </threadedComment>
  <threadedComment ref="F5973" dT="2026-02-10T08:17:08.01" personId="{4D8483EF-5A39-4E7B-A473-929EF5A077E1}" id="{72BCEA13-23ED-4AC2-9621-045E6A9FFB6C}">
    <text xml:space="preserve">Alquiler 1500, 3 camas </text>
  </threadedComment>
  <threadedComment ref="F5975" dT="2026-01-19T07:31:36.18" personId="{4D8483EF-5A39-4E7B-A473-929EF5A077E1}" id="{6B1E901E-7A5B-4546-8454-9000E3448E0C}">
    <text>Alojamiento para 4 personas, Valor 1.200€</text>
  </threadedComment>
  <threadedComment ref="F5975" dT="2026-05-14T09:39:39.60" personId="{4D8483EF-5A39-4E7B-A473-929EF5A077E1}" id="{D5727EA5-DEAD-419C-AA83-750D355AE48C}" parentId="{6B1E901E-7A5B-4546-8454-9000E3448E0C}">
    <text>1.000€ para 3 personas</text>
  </threadedComment>
  <threadedComment ref="F5975" dT="2026-07-13T09:38:08.42" personId="{4D8483EF-5A39-4E7B-A473-929EF5A077E1}" id="{2FDF84D2-F289-4E9B-8A99-E3EFB7911CF1}" parentId="{6B1E901E-7A5B-4546-8454-9000E3448E0C}">
    <text>Alojamiento para 4 personas, Valor 1.300€</text>
  </threadedComment>
  <threadedComment ref="F5975" dT="2026-07-28T09:30:17.18" personId="{4D8483EF-5A39-4E7B-A473-929EF5A077E1}" id="{9DF9C152-DD15-423E-AF07-8FD543BBF267}" parentId="{6B1E901E-7A5B-4546-8454-9000E3448E0C}">
    <text>Alojamiento para 4 personas, Valor 900€</text>
  </threadedComment>
  <threadedComment ref="F5976" dT="2025-10-29T11:54:27.92" personId="{4D8483EF-5A39-4E7B-A473-929EF5A077E1}" id="{CFB8A71E-B97E-4655-BA2B-C3A3B72172DF}">
    <text>4 CAMAS</text>
  </threadedComment>
  <threadedComment ref="F5978" dT="2025-10-29T11:54:27.92" personId="{4D8483EF-5A39-4E7B-A473-929EF5A077E1}" id="{28991EB3-CD37-4F60-AC2E-5C98981C33A2}">
    <text>4 CAMAS</text>
  </threadedComment>
  <threadedComment ref="F5979" dT="2026-02-16T15:37:24.64" personId="{4D8483EF-5A39-4E7B-A473-929EF5A077E1}" id="{DFD097E0-C953-4BEC-B739-2F66C8CBB5F8}">
    <text>1 Habitación Alquiler 285€
Fianza 285€</text>
  </threadedComment>
  <threadedComment ref="F5980" dT="2026-04-17T12:30:55.31" personId="{4D8483EF-5A39-4E7B-A473-929EF5A077E1}" id="{0DD4789C-F10B-443C-BB7A-1CDA4FF14126}">
    <text>3 Habitaciones Doble: Tenéis que hacer el ingreso de su medio mes 1.200€. Igualmente si continúan otros 15 días la cuantía sería sólo de 900€ más</text>
  </threadedComment>
  <threadedComment ref="F5981" dT="2026-02-17T08:36:54.34" personId="{98986A2A-739A-4851-A979-4B0D560C46CD}" id="{DC196030-CA1F-45A1-BF27-58C38E5BE0F2}">
    <text>05 camas</text>
  </threadedComment>
  <threadedComment ref="F5981" dT="2026-07-27T13:08:03.53" personId="{4D8483EF-5A39-4E7B-A473-929EF5A077E1}" id="{23CE2587-0854-4041-8722-F0F0F09A36B9}" parentId="{DC196030-CA1F-45A1-BF27-58C38E5BE0F2}">
    <text xml:space="preserve">Alquiler 1900€
120€ Limpieza </text>
  </threadedComment>
  <threadedComment ref="F5983" dT="2026-02-10T08:17:08.01" personId="{4D8483EF-5A39-4E7B-A473-929EF5A077E1}" id="{4F892845-3594-4B4A-A173-071B0172CCBA}">
    <text xml:space="preserve">Alquiler 1500, 3 camas </text>
  </threadedComment>
  <threadedComment ref="F5985" dT="2025-10-30T14:37:57.92" personId="{4D8483EF-5A39-4E7B-A473-929EF5A077E1}" id="{61449837-F764-4CA7-8AA6-5AF127111B93}">
    <text>3 Camas Alquiler 1500€ Fianza 1500€</text>
  </threadedComment>
  <threadedComment ref="F5987" dT="2026-07-20T14:53:39.34" personId="{4D8483EF-5A39-4E7B-A473-929EF5A077E1}" id="{9B99F505-8E93-44B6-9820-C4EB6AF567E5}">
    <text xml:space="preserve">1500€ mes de Julio (14/07 al 14/08)
3000€ dos meses de fianza 
6 Camas
+01 cama Kotrik llevada 28/12/25
</text>
  </threadedComment>
  <threadedComment ref="F5988" dT="2026-02-17T08:36:54.34" personId="{98986A2A-739A-4851-A979-4B0D560C46CD}" id="{F4876BB9-759A-42C1-99E8-80EFC0F86187}">
    <text>05 camas</text>
  </threadedComment>
  <threadedComment ref="F5988" dT="2026-07-27T13:08:03.53" personId="{4D8483EF-5A39-4E7B-A473-929EF5A077E1}" id="{19AA1694-9333-4CC4-91A1-75A96E75FC7E}" parentId="{F4876BB9-759A-42C1-99E8-80EFC0F86187}">
    <text xml:space="preserve">Alquiler 1900€
120€ Limpieza </text>
  </threadedComment>
  <threadedComment ref="F5989" dT="2026-02-17T08:36:54.34" personId="{98986A2A-739A-4851-A979-4B0D560C46CD}" id="{185F6362-575E-47F3-A911-1368781C679F}">
    <text>05 camas</text>
  </threadedComment>
  <threadedComment ref="F5989" dT="2026-07-27T13:08:03.53" personId="{4D8483EF-5A39-4E7B-A473-929EF5A077E1}" id="{A06A7632-9973-446A-992F-EC1773D58329}" parentId="{185F6362-575E-47F3-A911-1368781C679F}">
    <text xml:space="preserve">Alquiler 1900€
120€ Limpieza </text>
  </threadedComment>
  <threadedComment ref="F5990" dT="2026-07-20T14:53:39.34" personId="{4D8483EF-5A39-4E7B-A473-929EF5A077E1}" id="{44B2276E-A0A5-4BC5-A67E-C6BE32AB44FB}">
    <text xml:space="preserve">1500€ mes de Julio (14/07 al 14/08)
3000€ dos meses de fianza 
6 Camas
+01 cama Kotrik llevada 28/12/25
</text>
  </threadedComment>
  <threadedComment ref="F5991" dT="2025-02-13T10:05:11.33" personId="{17D30B62-2123-41F1-B603-E5411FDFA3E0}" id="{B97A6D08-4BBE-4C59-866E-FB2BE908B50A}">
    <text>Habitacion doble para trabajadores cant 1 Costo 60€/noche
Habitacion triple para trabajadores cant 3 Costo 75€/noche cada una
(camas separadas)</text>
  </threadedComment>
  <threadedComment ref="F5994" dT="2025-02-13T10:05:11.33" personId="{17D30B62-2123-41F1-B603-E5411FDFA3E0}" id="{BEF6582F-D44F-40B0-9DAB-16E816924DC4}">
    <text>Habitacion doble para trabajadores cant 1 Costo 60€/noche
Habitacion triple para trabajadores cant 3 Costo 75€/noche cada una
(camas separadas)</text>
  </threadedComment>
  <threadedComment ref="F5996" dT="2025-03-11T10:16:04.90" personId="{98986A2A-739A-4851-A979-4B0D560C46CD}" id="{768E27D7-5BD1-475A-993D-1E54408C2875}">
    <text xml:space="preserve">6 camas 
Renta vivienda 1.250€+ Servicio de Limpieza 363€ =TOTAL 1.613€, fianza 
</text>
  </threadedComment>
  <threadedComment ref="F5996" dT="2025-12-09T08:40:53.10" personId="{4D8483EF-5A39-4E7B-A473-929EF5A077E1}" id="{3626F8CF-D13B-4152-B5C7-BB2071BFCAB1}" parentId="{768E27D7-5BD1-475A-993D-1E54408C2875}">
    <text>Renovación contrato vivienda 1.050€+suministros 250€ + Servicio de Limpieza 363€ =TOTAL 1.663€, fianza 950€</text>
  </threadedComment>
  <threadedComment ref="F5997" dT="2026-02-17T08:36:54.34" personId="{98986A2A-739A-4851-A979-4B0D560C46CD}" id="{4F6F4EFE-FDC9-4F21-A864-C6E6696ECCF8}">
    <text>05 camas</text>
  </threadedComment>
  <threadedComment ref="F5997" dT="2026-07-27T13:08:03.53" personId="{4D8483EF-5A39-4E7B-A473-929EF5A077E1}" id="{4B91A7E4-9517-4472-899C-0399E6728269}" parentId="{4F6F4EFE-FDC9-4F21-A864-C6E6696ECCF8}">
    <text xml:space="preserve">Alquiler 1900€
120€ Limpieza </text>
  </threadedComment>
  <threadedComment ref="F5998" dT="2025-07-09T14:24:23.31" personId="{98986A2A-739A-4851-A979-4B0D560C46CD}" id="{DC995DD8-0EA8-4D3F-BFA1-DE94A3D53AF2}">
    <text>10 CAMAS. ALQUILER 1643.20</text>
  </threadedComment>
  <threadedComment ref="F5999" dT="2026-07-20T14:53:39.34" personId="{4D8483EF-5A39-4E7B-A473-929EF5A077E1}" id="{B2DA91A9-C656-446C-95C6-AABF935816DA}">
    <text xml:space="preserve">1500€ mes de Julio (14/07 al 14/08)
3000€ dos meses de fianza 
6 Camas
+01 cama Kotrik llevada 28/12/25
</text>
  </threadedComment>
  <threadedComment ref="F6002" dT="2026-02-17T08:36:54.34" personId="{98986A2A-739A-4851-A979-4B0D560C46CD}" id="{341F69E1-28FF-4ED6-89DF-2DCD6AF668AB}">
    <text>05 camas</text>
  </threadedComment>
  <threadedComment ref="F6002" dT="2026-07-27T13:08:03.53" personId="{4D8483EF-5A39-4E7B-A473-929EF5A077E1}" id="{4ED12386-6406-430F-9065-7F0D4BC2B60B}" parentId="{341F69E1-28FF-4ED6-89DF-2DCD6AF668AB}">
    <text xml:space="preserve">Alquiler 1900€
120€ Limpieza </text>
  </threadedComment>
  <threadedComment ref="F6003" dT="2026-07-20T14:53:39.34" personId="{4D8483EF-5A39-4E7B-A473-929EF5A077E1}" id="{1A9B2AE0-AE17-4D46-8B70-2CEC6C86419A}">
    <text xml:space="preserve">1500€ mes de Julio (14/07 al 14/08)
3000€ dos meses de fianza 
6 Camas
+01 cama Kotrik llevada 28/12/25
</text>
  </threadedComment>
  <threadedComment ref="F6005" dT="2025-03-11T10:16:04.90" personId="{98986A2A-739A-4851-A979-4B0D560C46CD}" id="{57CF25CE-C6E9-45F9-850A-DDDCD58ABF4E}">
    <text xml:space="preserve">6 camas 
Renta vivienda 1.250€+ Servicio de Limpieza 363€ =TOTAL 1.613€, fianza 
</text>
  </threadedComment>
  <threadedComment ref="F6005" dT="2025-12-09T08:40:53.10" personId="{4D8483EF-5A39-4E7B-A473-929EF5A077E1}" id="{8209BD07-1CC9-44BA-A3FC-A21B03C191B3}" parentId="{57CF25CE-C6E9-45F9-850A-DDDCD58ABF4E}">
    <text>Renovación contrato vivienda 1.050€+suministros 250€ + Servicio de Limpieza 363€ =TOTAL 1.663€, fianza 950€</text>
  </threadedComment>
  <threadedComment ref="F6006" dT="2025-02-13T10:05:11.33" personId="{17D30B62-2123-41F1-B603-E5411FDFA3E0}" id="{7498E2E7-0C95-4BA4-B0C9-7EF8D982C728}">
    <text>Habitacion doble para trabajadores cant 1 Costo 60€/noche
Habitacion triple para trabajadores cant 3 Costo 75€/noche cada una
(camas separadas)</text>
  </threadedComment>
  <threadedComment ref="F6007" dT="2025-03-11T10:16:04.90" personId="{98986A2A-739A-4851-A979-4B0D560C46CD}" id="{132895F2-5D7B-4492-8321-DA2FFD0EA551}">
    <text xml:space="preserve">6 camas 
Renta vivienda 1.250€+ Servicio de Limpieza 363€ =TOTAL 1.613€, fianza 
</text>
  </threadedComment>
  <threadedComment ref="F6007" dT="2025-12-09T08:40:53.10" personId="{4D8483EF-5A39-4E7B-A473-929EF5A077E1}" id="{62CFDD54-CF14-4606-A203-02927298402F}" parentId="{132895F2-5D7B-4492-8321-DA2FFD0EA551}">
    <text>Renovación contrato vivienda 1.050€+suministros 250€ + Servicio de Limpieza 363€ =TOTAL 1.663€, fianza 950€</text>
  </threadedComment>
  <threadedComment ref="F6008" dT="2025-03-11T10:16:04.90" personId="{98986A2A-739A-4851-A979-4B0D560C46CD}" id="{E07D23BF-01BD-47AB-8FB2-CB56B46B0951}">
    <text xml:space="preserve">6 camas 
Renta vivienda 1.250€+ Servicio de Limpieza 363€ =TOTAL 1.613€, fianza 
</text>
  </threadedComment>
  <threadedComment ref="F6008" dT="2025-12-09T08:40:53.10" personId="{4D8483EF-5A39-4E7B-A473-929EF5A077E1}" id="{513F9B32-7995-4351-A87B-3760D58843D4}" parentId="{E07D23BF-01BD-47AB-8FB2-CB56B46B0951}">
    <text>Renovación contrato vivienda 1.050€+suministros 250€ + Servicio de Limpieza 363€ =TOTAL 1.663€, fianza 950€</text>
  </threadedComment>
  <threadedComment ref="F6014" dT="2026-08-04T09:45:56.75" personId="{4D8483EF-5A39-4E7B-A473-929EF5A077E1}" id="{099D5A9E-D47E-4444-8C36-16C313FCA8A5}">
    <text>Habitación Nº6</text>
  </threadedComment>
  <threadedComment ref="F6017" dT="2026-04-21T08:43:30.84" personId="{4D8483EF-5A39-4E7B-A473-929EF5A077E1}" id="{643CB212-F357-4AF7-8443-C8510A2948CC}">
    <text xml:space="preserve">Apto 1 </text>
  </threadedComment>
  <threadedComment ref="F6020" dT="2026-04-21T08:43:30.84" personId="{4D8483EF-5A39-4E7B-A473-929EF5A077E1}" id="{D6077D75-C2EB-4E38-A6B6-29AB63EC12E4}">
    <text xml:space="preserve">Apto 1 </text>
  </threadedComment>
  <threadedComment ref="F6022" dT="2026-02-10T08:17:08.01" personId="{4D8483EF-5A39-4E7B-A473-929EF5A077E1}" id="{4DBFC779-928B-46E9-8FEE-64E56D9B444B}">
    <text xml:space="preserve">Alquiler 1500, 3 camas </text>
  </threadedComment>
  <threadedComment ref="F6023" dT="2026-08-04T09:45:56.75" personId="{4D8483EF-5A39-4E7B-A473-929EF5A077E1}" id="{30144539-3B73-48CB-8298-73F8341ABC24}">
    <text>Habitación Nº6</text>
  </threadedComment>
  <threadedComment ref="F6024" dT="2025-07-09T14:24:23.31" personId="{98986A2A-739A-4851-A979-4B0D560C46CD}" id="{24382248-C254-4C72-8515-2DEB2AD2446D}">
    <text>10 CAMAS</text>
  </threadedComment>
  <threadedComment ref="F6026" dT="2025-07-18T07:48:38.51" personId="{98986A2A-739A-4851-A979-4B0D560C46CD}" id="{FBF3E53D-D32A-40F4-9FF2-FF404012A1E2}">
    <text>04 CAMAS, ALQUILER 955€</text>
  </threadedComment>
  <threadedComment ref="F6027" dT="2026-04-21T08:44:00.53" personId="{4D8483EF-5A39-4E7B-A473-929EF5A077E1}" id="{FA955A81-CB92-4A2A-B147-39A3914B158D}">
    <text>Apto 2</text>
  </threadedComment>
  <threadedComment ref="F6028" dT="2025-02-13T10:05:11.33" personId="{17D30B62-2123-41F1-B603-E5411FDFA3E0}" id="{8DB2E076-845D-469B-A461-A719EB77F6B2}">
    <text xml:space="preserve">Alquiler 1300, Fianza 1300, 3 camas </text>
  </threadedComment>
  <threadedComment ref="F6029" dT="2025-02-13T10:05:11.33" personId="{17D30B62-2123-41F1-B603-E5411FDFA3E0}" id="{C5244E33-0267-4688-988D-A7FC71F3C7BC}">
    <text xml:space="preserve">Alquiler 1300, Fianza 1300, 3 camas </text>
  </threadedComment>
  <threadedComment ref="F6030" dT="2026-04-21T08:44:00.53" personId="{4D8483EF-5A39-4E7B-A473-929EF5A077E1}" id="{751DD982-7D85-4D3E-9BDE-B3074CC189C9}">
    <text>Apto 2</text>
  </threadedComment>
  <threadedComment ref="F6032" dT="2025-10-30T14:37:57.92" personId="{4D8483EF-5A39-4E7B-A473-929EF5A077E1}" id="{7B9E5046-A128-4EE9-8295-7EC18B0CAABC}">
    <text>3 Camas Alquiler 1500€ Fianza 1500€</text>
  </threadedComment>
  <threadedComment ref="F6037" dT="2025-02-13T10:05:11.33" personId="{17D30B62-2123-41F1-B603-E5411FDFA3E0}" id="{439FAD25-470D-4E7C-9D4B-D1AA8842E324}">
    <text xml:space="preserve">Alquiler 1300, Fianza 1300, 3 camas </text>
  </threadedComment>
  <threadedComment ref="F6037" dT="2026-08-24T09:27:41.06" personId="{E3C446A3-37B8-466B-82DA-8F7BAC7681F7}" id="{6690EA59-7E97-40A5-8146-D8B50E99A562}" parentId="{439FAD25-470D-4E7C-9D4B-D1AA8842E324}">
    <text>01 habitación individual
01 habitación 02 camas
01 cama en la sala (cajón)</text>
  </threadedComment>
  <threadedComment ref="F6038" dT="2025-02-13T10:05:11.33" personId="{17D30B62-2123-41F1-B603-E5411FDFA3E0}" id="{C09C9B5A-1104-4695-AA04-5DDD7DBB86E9}">
    <text xml:space="preserve">Alquiler 1300, Fianza 1300, 3 camas </text>
  </threadedComment>
  <threadedComment ref="F6038" dT="2026-08-24T09:27:41.06" personId="{E3C446A3-37B8-466B-82DA-8F7BAC7681F7}" id="{D6C84771-BA0A-4268-AF10-52F8C7442D85}" parentId="{C09C9B5A-1104-4695-AA04-5DDD7DBB86E9}">
    <text>01 habitación individual
01 habitación 02 camas
01 cama en la sala (cajón)</text>
  </threadedComment>
  <threadedComment ref="F6039" dT="2025-02-13T10:05:11.33" personId="{17D30B62-2123-41F1-B603-E5411FDFA3E0}" id="{84C50288-8520-4405-A1E9-6E4673F936E7}">
    <text>Habitacion doble para trabajadores cant 1 Costo 60€/noche
Habitacion triple para trabajadores cant 3 Costo 75€/noche cada una
(camas separadas)</text>
  </threadedComment>
  <threadedComment ref="F6040" dT="2026-06-23T12:07:12.71" personId="{4D8483EF-5A39-4E7B-A473-929EF5A077E1}" id="{8B40B7DF-AB57-45A6-8057-8723A1E89B41}">
    <text>Habitación 300€ + 50€ suministros</text>
  </threadedComment>
  <threadedComment ref="F6041" dT="2026-02-17T08:36:54.34" personId="{98986A2A-739A-4851-A979-4B0D560C46CD}" id="{489E2EE2-EA45-480F-8AD7-EB8537D4DF03}">
    <text>05 camas</text>
  </threadedComment>
  <threadedComment ref="F6041" dT="2026-07-27T13:08:03.53" personId="{4D8483EF-5A39-4E7B-A473-929EF5A077E1}" id="{CF7EE330-35C6-4E92-903B-AB4D918004F0}" parentId="{489E2EE2-EA45-480F-8AD7-EB8537D4DF03}">
    <text xml:space="preserve">Alquiler 1900€
120€ Limpieza </text>
  </threadedComment>
  <threadedComment ref="F6042" dT="2025-10-30T14:37:57.92" personId="{4D8483EF-5A39-4E7B-A473-929EF5A077E1}" id="{14BC4149-BEAC-4525-867C-EBA1D0B00E2E}">
    <text>3 Camas Alquiler 1500€ Fianza 1500€</text>
  </threadedComment>
  <threadedComment ref="F6042" dT="2026-08-24T09:02:55.66" personId="{E3C446A3-37B8-466B-82DA-8F7BAC7681F7}" id="{F7734DEA-FEE1-4FAA-8376-48BE73E11BB9}" parentId="{14BC4149-BEAC-4525-867C-EBA1D0B00E2E}">
    <text>01 habitación con 2 camas
01 cama en la sala
01 terraza</text>
  </threadedComment>
  <threadedComment ref="F6043" dT="2025-10-30T14:37:57.92" personId="{4D8483EF-5A39-4E7B-A473-929EF5A077E1}" id="{47F1D5F7-27AE-40EB-962F-C1D54EA4D012}">
    <text>3 Camas Alquiler 1500€ Fianza 1500€</text>
  </threadedComment>
  <threadedComment ref="F6043" dT="2026-08-24T09:02:55.66" personId="{E3C446A3-37B8-466B-82DA-8F7BAC7681F7}" id="{8BAB3E32-0491-453B-BF2A-5B3560FAAF15}" parentId="{47F1D5F7-27AE-40EB-962F-C1D54EA4D012}">
    <text>01 habitación con 2 camas
01 cama en la sala
01 terraza</text>
  </threadedComment>
  <threadedComment ref="F6044" dT="2025-02-25T12:24:49.79" personId="{98986A2A-739A-4851-A979-4B0D560C46CD}" id="{4733B809-EDFF-4F1D-979C-458A7BAF5C2B}">
    <text>04 camas, 1500€ alquiler, 1500€ fianza</text>
  </threadedComment>
  <threadedComment ref="F6045" dT="2025-02-25T12:24:49.79" personId="{98986A2A-739A-4851-A979-4B0D560C46CD}" id="{B24D8112-00C1-4FD9-827A-03F40C3C3F89}">
    <text>04 camas, 1500€ alquiler, 1500€ fianza</text>
  </threadedComment>
  <threadedComment ref="F6046" dT="2025-02-25T12:24:49.79" personId="{98986A2A-739A-4851-A979-4B0D560C46CD}" id="{61A866CA-7B18-4AA6-A9BC-D2F46071FF3E}">
    <text>04 camas, 1500€ alquiler, 1500€ fianza</text>
  </threadedComment>
  <threadedComment ref="F6047" dT="2025-03-27T16:16:05.36" personId="{17D30B62-2123-41F1-B603-E5411FDFA3E0}" id="{0661D89A-0182-4C53-AB0E-6D299E105D84}">
    <text>5 CAMAS</text>
  </threadedComment>
  <threadedComment ref="F6048" dT="2025-07-18T07:48:38.51" personId="{98986A2A-739A-4851-A979-4B0D560C46CD}" id="{ABDA29C8-1F12-4B16-8EF6-A01809421AB4}">
    <text>04 CAMAS, ALQUILER 955€</text>
  </threadedComment>
  <threadedComment ref="F6048" dT="2026-08-13T06:35:40.71" personId="{E3C446A3-37B8-466B-82DA-8F7BAC7681F7}" id="{5F89D0B5-26FD-47E7-8144-DA00B42333B4}" parentId="{ABDA29C8-1F12-4B16-8EF6-A01809421AB4}">
    <text>Fianza 955€</text>
  </threadedComment>
  <threadedComment ref="F6049" dT="2025-03-27T16:16:05.36" personId="{17D30B62-2123-41F1-B603-E5411FDFA3E0}" id="{5A39E551-1739-4209-9460-99A8D233D9F7}">
    <text>5 CAMAS</text>
  </threadedComment>
  <threadedComment ref="F6050" dT="2025-07-18T07:48:38.51" personId="{98986A2A-739A-4851-A979-4B0D560C46CD}" id="{4640DCA0-1323-4FF2-91F4-F508375A52DE}">
    <text>04 CAMAS, ALQUILER 955€</text>
  </threadedComment>
  <threadedComment ref="F6050" dT="2026-08-13T06:35:40.71" personId="{E3C446A3-37B8-466B-82DA-8F7BAC7681F7}" id="{ACA8F607-98B6-49C6-A508-05B69B9E75A2}" parentId="{4640DCA0-1323-4FF2-91F4-F508375A52DE}">
    <text>Fianza 955€</text>
  </threadedComment>
  <threadedComment ref="F6051" dT="2025-07-18T07:48:38.51" personId="{98986A2A-739A-4851-A979-4B0D560C46CD}" id="{CF97244C-6C5A-4752-B863-F760DFDBA43B}">
    <text>04 CAMAS, ALQUILER 955€</text>
  </threadedComment>
  <threadedComment ref="F6051" dT="2026-08-13T06:35:40.71" personId="{E3C446A3-37B8-466B-82DA-8F7BAC7681F7}" id="{272D6C2D-D40A-4C5C-9DB9-9108B9495763}" parentId="{CF97244C-6C5A-4752-B863-F760DFDBA43B}">
    <text>Fianza 955€</text>
  </threadedComment>
  <threadedComment ref="F6052" dT="2025-07-09T14:24:23.31" personId="{98986A2A-739A-4851-A979-4B0D560C46CD}" id="{B8943385-EB84-4408-9D06-E3A95746EA94}">
    <text>10 CAMAS. ALQUILER 1643.20</text>
  </threadedComment>
  <threadedComment ref="F6052" dT="2026-08-10T08:07:36.00" personId="{E3C446A3-37B8-466B-82DA-8F7BAC7681F7}" id="{86F9FFAB-4561-42B1-842C-194276247559}" parentId="{B8943385-EB84-4408-9D06-E3A95746EA94}">
    <text>FIANZA 3200</text>
  </threadedComment>
  <threadedComment ref="F6053" dT="2025-07-09T14:24:23.31" personId="{98986A2A-739A-4851-A979-4B0D560C46CD}" id="{6DFFF11B-2111-4256-9F3F-7147E08D1AE9}">
    <text>10 CAMAS. ALQUILER 1643.20</text>
  </threadedComment>
  <threadedComment ref="F6053" dT="2026-08-10T08:07:36.00" personId="{E3C446A3-37B8-466B-82DA-8F7BAC7681F7}" id="{028F5F82-3FB5-4309-8A3B-DA0001DAAE87}" parentId="{6DFFF11B-2111-4256-9F3F-7147E08D1AE9}">
    <text>FIANZA 3200</text>
  </threadedComment>
  <threadedComment ref="F6054" dT="2025-07-09T14:24:23.31" personId="{98986A2A-739A-4851-A979-4B0D560C46CD}" id="{5B9D2738-78E8-4074-A362-33F8D0226A38}">
    <text>10 CAMAS. ALQUILER 1643.20</text>
  </threadedComment>
  <threadedComment ref="F6054" dT="2026-08-10T08:07:36.00" personId="{E3C446A3-37B8-466B-82DA-8F7BAC7681F7}" id="{47B43BDD-2504-422F-89F5-749BF9E69FE7}" parentId="{5B9D2738-78E8-4074-A362-33F8D0226A38}">
    <text>FIANZA 3200</text>
  </threadedComment>
  <threadedComment ref="F6055" dT="2025-07-09T14:24:23.31" personId="{98986A2A-739A-4851-A979-4B0D560C46CD}" id="{1709CB24-E7AD-4930-B5CC-D331D1C7EC74}">
    <text>10 CAMAS. ALQUILER 1643.20</text>
  </threadedComment>
  <threadedComment ref="F6055" dT="2026-08-10T08:07:36.00" personId="{E3C446A3-37B8-466B-82DA-8F7BAC7681F7}" id="{44764B4E-9E59-439A-BC30-C2C37638B98C}" parentId="{1709CB24-E7AD-4930-B5CC-D331D1C7EC74}">
    <text>FIANZA 3200</text>
  </threadedComment>
  <threadedComment ref="F6056" dT="2025-07-09T14:24:23.31" personId="{98986A2A-739A-4851-A979-4B0D560C46CD}" id="{52C4BCC8-C960-4DD7-A5A3-D82DBA0AE685}">
    <text>10 CAMAS. ALQUILER 1643.20</text>
  </threadedComment>
  <threadedComment ref="F6056" dT="2026-08-10T08:07:36.00" personId="{E3C446A3-37B8-466B-82DA-8F7BAC7681F7}" id="{D202E0F7-BEFD-4A11-A29C-E8013F018ED7}" parentId="{52C4BCC8-C960-4DD7-A5A3-D82DBA0AE685}">
    <text>FIANZA 3200</text>
  </threadedComment>
  <threadedComment ref="F6057" dT="2026-01-19T07:31:36.18" personId="{4D8483EF-5A39-4E7B-A473-929EF5A077E1}" id="{986DBC58-8DEA-40CB-8DF8-A1161E5FCA12}">
    <text>Alojamiento para 4 personas, Valor 1.200€</text>
  </threadedComment>
  <threadedComment ref="F6057" dT="2026-05-14T09:39:39.60" personId="{4D8483EF-5A39-4E7B-A473-929EF5A077E1}" id="{4D591CD3-7306-4A78-98AE-8F54EF804A50}" parentId="{986DBC58-8DEA-40CB-8DF8-A1161E5FCA12}">
    <text>1.000€ para 3 personas</text>
  </threadedComment>
  <threadedComment ref="F6057" dT="2026-07-13T09:38:08.42" personId="{4D8483EF-5A39-4E7B-A473-929EF5A077E1}" id="{337EB322-DB55-417B-951C-4FD68EA47D94}" parentId="{986DBC58-8DEA-40CB-8DF8-A1161E5FCA12}">
    <text>Alojamiento para 4 personas, Valor 1.300€</text>
  </threadedComment>
  <threadedComment ref="F6057" dT="2026-07-28T09:30:17.18" personId="{4D8483EF-5A39-4E7B-A473-929EF5A077E1}" id="{4F5A1509-BAFF-4446-97A2-FD56E51EB894}" parentId="{986DBC58-8DEA-40CB-8DF8-A1161E5FCA12}">
    <text>Alojamiento para 4 personas, Valor 900€</text>
  </threadedComment>
  <threadedComment ref="F6058" dT="2026-01-19T07:31:36.18" personId="{4D8483EF-5A39-4E7B-A473-929EF5A077E1}" id="{D55D6901-1426-42A2-B323-95084629EC2E}">
    <text>Alojamiento para 4 personas, Valor 1.200€</text>
  </threadedComment>
  <threadedComment ref="F6058" dT="2026-05-14T09:39:39.60" personId="{4D8483EF-5A39-4E7B-A473-929EF5A077E1}" id="{8526BC15-689A-4052-A7B7-4DA0DC256548}" parentId="{D55D6901-1426-42A2-B323-95084629EC2E}">
    <text>1.000€ para 3 personas</text>
  </threadedComment>
  <threadedComment ref="F6058" dT="2026-07-13T09:38:08.42" personId="{4D8483EF-5A39-4E7B-A473-929EF5A077E1}" id="{1950296B-F834-4C74-A69C-C4A559EE9A77}" parentId="{D55D6901-1426-42A2-B323-95084629EC2E}">
    <text>Alojamiento para 4 personas, Valor 1.300€</text>
  </threadedComment>
  <threadedComment ref="F6058" dT="2026-07-28T09:30:17.18" personId="{4D8483EF-5A39-4E7B-A473-929EF5A077E1}" id="{8322B031-03DF-4843-8551-BD9913751C36}" parentId="{D55D6901-1426-42A2-B323-95084629EC2E}">
    <text>Alojamiento para 4 personas, Valor 900€</text>
  </threadedComment>
  <threadedComment ref="F6059" dT="2025-02-13T10:05:11.33" personId="{17D30B62-2123-41F1-B603-E5411FDFA3E0}" id="{6CABBEE9-7B7C-4219-A685-758991CF166F}">
    <text>4 Habitaciones 5 camas 1 sofá</text>
  </threadedComment>
  <threadedComment ref="F6059" dT="2025-11-07T07:08:43.68" personId="{98986A2A-739A-4851-A979-4B0D560C46CD}" id="{E31A7BB9-8388-49FC-A49C-B02654AA716D}" parentId="{6CABBEE9-7B7C-4219-A685-758991CF166F}">
    <text>875,50 alquiler</text>
  </threadedComment>
  <threadedComment ref="F6059" dT="2026-08-19T09:16:29.54" personId="{E3C446A3-37B8-466B-82DA-8F7BAC7681F7}" id="{B118FB18-5AF1-4752-9575-E38DA739EAB2}" parentId="{6CABBEE9-7B7C-4219-A685-758991CF166F}">
    <text>FIANZA 1700€</text>
  </threadedComment>
  <threadedComment ref="F6060" dT="2025-02-13T10:05:11.33" personId="{17D30B62-2123-41F1-B603-E5411FDFA3E0}" id="{6D4DD404-86D2-45C6-A701-091D9AD88D9F}">
    <text>4 Habitaciones 5 camas 1 sofá</text>
  </threadedComment>
  <threadedComment ref="F6060" dT="2025-11-07T07:08:43.68" personId="{98986A2A-739A-4851-A979-4B0D560C46CD}" id="{D56A2617-C489-4842-9737-479194BDDB7E}" parentId="{6D4DD404-86D2-45C6-A701-091D9AD88D9F}">
    <text>875,50 alquiler</text>
  </threadedComment>
  <threadedComment ref="F6060" dT="2026-08-19T09:16:29.54" personId="{E3C446A3-37B8-466B-82DA-8F7BAC7681F7}" id="{558AF4B6-9C2C-4468-8B45-3D960165D449}" parentId="{6D4DD404-86D2-45C6-A701-091D9AD88D9F}">
    <text>FIANZA 1700€</text>
  </threadedComment>
  <threadedComment ref="F6061" dT="2025-10-30T14:37:57.92" personId="{4D8483EF-5A39-4E7B-A473-929EF5A077E1}" id="{BB7809B5-3F91-4D1A-B5DB-642FFC850269}">
    <text>3 Camas Alquiler 1500€ Fianza 1500€</text>
  </threadedComment>
  <threadedComment ref="F6062" dT="2026-01-19T07:31:36.18" personId="{4D8483EF-5A39-4E7B-A473-929EF5A077E1}" id="{0AF16E72-3DD0-4563-ADFB-0330632C608F}">
    <text>Alojamiento para 4 personas, Valor 1.200€</text>
  </threadedComment>
  <threadedComment ref="F6062" dT="2026-05-14T09:39:39.60" personId="{4D8483EF-5A39-4E7B-A473-929EF5A077E1}" id="{AD07B743-F8B0-41D8-B4BF-E85EAD08E6D4}" parentId="{0AF16E72-3DD0-4563-ADFB-0330632C608F}">
    <text>1.000€ para 3 personas</text>
  </threadedComment>
  <threadedComment ref="F6062" dT="2026-07-13T09:38:08.42" personId="{4D8483EF-5A39-4E7B-A473-929EF5A077E1}" id="{EED1EF50-45C9-4780-80B9-757FAA249078}" parentId="{0AF16E72-3DD0-4563-ADFB-0330632C608F}">
    <text>Alojamiento para 4 personas, Valor 1.300€</text>
  </threadedComment>
  <threadedComment ref="F6062" dT="2026-07-28T09:30:17.18" personId="{4D8483EF-5A39-4E7B-A473-929EF5A077E1}" id="{CB034B87-FCD6-456C-9D62-4F169BAF23CA}" parentId="{0AF16E72-3DD0-4563-ADFB-0330632C608F}">
    <text>Alojamiento para 4 personas, Valor 900€</text>
  </threadedComment>
  <threadedComment ref="F6063" dT="2025-02-13T10:05:11.33" personId="{17D30B62-2123-41F1-B603-E5411FDFA3E0}" id="{3E8C9BB7-C785-4FC9-8DE5-61603CECCE4E}">
    <text>4 Habitaciones 5 camas 1 sofá</text>
  </threadedComment>
  <threadedComment ref="F6063" dT="2025-11-07T07:08:43.68" personId="{98986A2A-739A-4851-A979-4B0D560C46CD}" id="{3D42FAFA-E128-498D-B2C5-532B9B978C05}" parentId="{3E8C9BB7-C785-4FC9-8DE5-61603CECCE4E}">
    <text>875,50 alquiler</text>
  </threadedComment>
  <threadedComment ref="F6063" dT="2026-08-19T09:16:29.54" personId="{E3C446A3-37B8-466B-82DA-8F7BAC7681F7}" id="{4083429C-A2A4-4A79-B00E-3398E116E7BF}" parentId="{3E8C9BB7-C785-4FC9-8DE5-61603CECCE4E}">
    <text>FIANZA 1700€</text>
  </threadedComment>
  <threadedComment ref="F6064" dT="2025-02-13T10:05:11.33" personId="{17D30B62-2123-41F1-B603-E5411FDFA3E0}" id="{F309FA8F-FC3C-49A1-A692-CA0AAAD93A00}">
    <text>4 Habitaciones 5 camas 1 sofá</text>
  </threadedComment>
  <threadedComment ref="F6064" dT="2025-11-07T07:08:43.68" personId="{98986A2A-739A-4851-A979-4B0D560C46CD}" id="{D34A9754-01D3-43CA-9340-FD5EEA90727A}" parentId="{F309FA8F-FC3C-49A1-A692-CA0AAAD93A00}">
    <text>875,50 alquiler</text>
  </threadedComment>
  <threadedComment ref="F6064" dT="2026-08-19T09:16:29.54" personId="{E3C446A3-37B8-466B-82DA-8F7BAC7681F7}" id="{AFA3B3DC-03CE-4A66-9D24-0076A5A857D3}" parentId="{F309FA8F-FC3C-49A1-A692-CA0AAAD93A00}">
    <text>FIANZA 1700€</text>
  </threadedComment>
  <threadedComment ref="F6068" dT="2025-07-09T14:24:23.31" personId="{98986A2A-739A-4851-A979-4B0D560C46CD}" id="{E084ABE9-037E-4CA4-9897-EBA254EE1D64}">
    <text>10 CAMAS. ALQUILER 1643.20</text>
  </threadedComment>
  <threadedComment ref="F6068" dT="2026-08-10T08:07:36.00" personId="{E3C446A3-37B8-466B-82DA-8F7BAC7681F7}" id="{2AB2F351-6D91-4C8A-949A-3E9E84FC7311}" parentId="{E084ABE9-037E-4CA4-9897-EBA254EE1D64}">
    <text>FIANZA 3200</text>
  </threadedComment>
  <threadedComment ref="F6071" dT="2026-07-06T06:10:30.50" personId="{4D8483EF-5A39-4E7B-A473-929EF5A077E1}" id="{64AE641E-8B18-41EE-A0C2-E9329E79B9A7}">
    <text>Habitación privada · 2 camas · 2 viajeros</text>
  </threadedComment>
  <threadedComment ref="F6072" dT="2026-07-06T06:10:35.41" personId="{4D8483EF-5A39-4E7B-A473-929EF5A077E1}" id="{DFF1FFA3-6172-47B2-AA26-DA15D5CAED37}">
    <text>Habitación privada · 2 camas · 2 viajeros</text>
  </threadedComment>
  <threadedComment ref="F6073" dT="2026-02-09T07:37:39.52" personId="{4D8483EF-5A39-4E7B-A473-929EF5A077E1}" id="{6A6584F3-E8D7-4B0E-8EE9-6CFE49830691}">
    <text>3 Habitaciones Doble: Tenéis que hacer el ingreso de su medio mes 1.200€. Igualmente si continúan otros 15 días la cuantía sería sólo de 900€ más</text>
  </threadedComment>
  <threadedComment ref="F6074" dT="2026-02-09T07:37:54.71" personId="{4D8483EF-5A39-4E7B-A473-929EF5A077E1}" id="{7A996FC6-C71B-4E5F-80BB-45D14A3E05CB}">
    <text>3 Habitaciones Doble: Tenéis que hacer el ingreso de su medio mes 1.200€. Igualmente si continúan otros 15 días la cuantía sería sólo de 900€ más</text>
  </threadedComment>
  <threadedComment ref="F6075" dT="2025-07-09T14:24:23.31" personId="{98986A2A-739A-4851-A979-4B0D560C46CD}" id="{66D32450-B71E-48D2-9A2B-A6C2283A5791}">
    <text>10 CAMAS. ALQUILER 1643.20</text>
  </threadedComment>
  <threadedComment ref="F6075" dT="2026-08-10T08:07:36.00" personId="{E3C446A3-37B8-466B-82DA-8F7BAC7681F7}" id="{0420E181-17A0-4359-BDD0-12CF39612BD7}" parentId="{66D32450-B71E-48D2-9A2B-A6C2283A5791}">
    <text>FIANZA 3200</text>
  </threadedComment>
  <threadedComment ref="F6077" dT="2026-02-09T07:37:54.71" personId="{4D8483EF-5A39-4E7B-A473-929EF5A077E1}" id="{3AD1C9CA-8910-428B-BC9A-C6B6D744768A}">
    <text>3 Habitaciones Doble: Tenéis que hacer el ingreso de su medio mes 1.200€. Igualmente si continúan otros 15 días la cuantía sería sólo de 900€ más</text>
  </threadedComment>
  <threadedComment ref="F6078" dT="2026-02-09T07:37:54.71" personId="{4D8483EF-5A39-4E7B-A473-929EF5A077E1}" id="{711FF5D2-9AE1-4963-B6E6-D798800C1DA4}">
    <text>3 Habitaciones Doble: Tenéis que hacer el ingreso de su medio mes 1.200€. Igualmente si continúan otros 15 días la cuantía sería sólo de 900€ más</text>
  </threadedComment>
  <threadedComment ref="F6080" dT="2026-01-14T08:43:24.28" personId="{4D8483EF-5A39-4E7B-A473-929EF5A077E1}" id="{3459BF01-4C78-47B4-A9EA-B4AA9F539C61}">
    <text>Alojamiento para 2 Personas, 30€ por noche</text>
  </threadedComment>
  <threadedComment ref="F6081" dT="2026-01-14T08:43:24.28" personId="{4D8483EF-5A39-4E7B-A473-929EF5A077E1}" id="{7F4497F3-E0F2-4C6C-8F19-735023647E9A}">
    <text>Alojamiento para 2 Personas, 30€ por noche</text>
  </threadedComment>
  <threadedComment ref="F6082" dT="2026-08-20T14:36:54.92" personId="{E3C446A3-37B8-466B-82DA-8F7BAC7681F7}" id="{F195C005-5055-4C7C-852D-A1C7D552D8F3}">
    <text>03 camas</text>
  </threadedComment>
  <threadedComment ref="F6083" dT="2026-08-20T14:36:54.92" personId="{E3C446A3-37B8-466B-82DA-8F7BAC7681F7}" id="{138F6D6D-4C98-47C0-878C-D9E3A90D1C65}">
    <text>03 camas</text>
  </threadedComment>
  <threadedComment ref="F6084" dT="2026-08-20T14:36:54.92" personId="{E3C446A3-37B8-466B-82DA-8F7BAC7681F7}" id="{E02361E3-F084-4314-A705-F611B2344649}">
    <text>03 camas</text>
  </threadedComment>
</ThreadedComments>
</file>

<file path=xl/threadedComments/threadedComment2.xml><?xml version="1.0" encoding="utf-8"?>
<ThreadedComments xmlns="http://schemas.microsoft.com/office/spreadsheetml/2018/threadedcomments" xmlns:x="http://schemas.openxmlformats.org/spreadsheetml/2006/main">
  <threadedComment ref="C22" dT="2025-03-10T12:40:09.37" personId="{98986A2A-739A-4851-A979-4B0D560C46CD}" id="{07CC9A95-76EE-4655-B644-9725E551189A}">
    <text>200€ cada habitaciòn, 200€ c/u solo las primeras.</text>
  </threadedComment>
  <threadedComment ref="C24" dT="2024-08-12T06:19:55.68" personId="{8BEA8CB1-BB33-44FC-A791-4439DE945680}" id="{CB786744-A657-469A-9B86-9E42C6F2A6BF}">
    <text>ALQUILER  1500    FIANZA     3000   CAMAS 9</text>
  </threadedComment>
  <threadedComment ref="C24" dT="2024-12-02T12:38:12.96" personId="{98986A2A-739A-4851-A979-4B0D560C46CD}" id="{83D6A1D8-9667-48EC-842E-41C924008F81}" parentId="{CB786744-A657-469A-9B86-9E42C6F2A6BF}">
    <text>11 camas, 09 acomodadas, 02 pendientes por acomodar</text>
  </threadedComment>
  <threadedComment ref="C26" dT="2025-03-04T16:43:59.44" personId="{98986A2A-739A-4851-A979-4B0D560C46CD}" id="{95723963-08F6-4C27-AD4E-A132D33907AF}">
    <text>05 camas, 1580€ alquiler, 1580€ fianza</text>
  </threadedComment>
  <threadedComment ref="C27" dT="2025-02-26T12:24:18.65" personId="{98986A2A-739A-4851-A979-4B0D560C46CD}" id="{019A4346-600E-47D5-AB6E-E270A08075E6}">
    <text xml:space="preserve">Alquiler 1100 +150 = total alquiler 1250 servicios  Fianza 2200  Camas 4
</text>
  </threadedComment>
  <threadedComment ref="C37" dT="2025-03-03T09:04:07.99" personId="{17D30B62-2123-41F1-B603-E5411FDFA3E0}" id="{BD158AF3-38B3-4A22-834B-7B7DC0D2C5B8}">
    <text>4 Habitaciones Alquiler 810€/mes
Fianza 900€ Suministros 33,28€</text>
  </threadedComment>
  <threadedComment ref="J45" dT="2024-10-16T09:53:42.58" personId="{98986A2A-739A-4851-A979-4B0D560C46CD}" id="{6D12DEB7-4097-46F0-80ED-754FE87AF5AD}">
    <text>350 Cada habitaciòn</text>
  </threadedComment>
  <threadedComment ref="K45" dT="2024-10-16T09:53:16.55" personId="{98986A2A-739A-4851-A979-4B0D560C46CD}" id="{C96787E6-1003-4BD3-940E-C271D7E54E93}">
    <text>300 contrato inicial agosto 2024 y 600 segundo contrato</text>
  </threadedComment>
  <threadedComment ref="C69" dT="2025-03-10T14:28:20.32" personId="{98986A2A-739A-4851-A979-4B0D560C46CD}" id="{B9514D1F-A209-46DC-8A73-2A2CE6C90393}">
    <text>02 camas, 700€ alquiler, 500€ fianza</text>
  </threadedComment>
  <threadedComment ref="C108" dT="2025-03-13T14:46:07.24" personId="{98986A2A-739A-4851-A979-4B0D560C46CD}" id="{71C43D40-D6C1-40AB-BA3E-932F3D58338F}">
    <text>04 camas</text>
  </threadedComment>
  <threadedComment ref="C136" dT="2024-10-07T10:51:29.99" personId="{17D30B62-2123-41F1-B603-E5411FDFA3E0}" id="{418ECFB0-1195-4550-85A9-0B721A948D9F}">
    <text>ALQUILER 722.21 FIANZA 150 CAMAS 2</text>
  </threadedComment>
  <threadedComment ref="C137" dT="2024-10-14T14:05:13.50" personId="{98986A2A-739A-4851-A979-4B0D560C46CD}" id="{14516883-F8B9-4223-8EB3-58D3A4A4EFD7}">
    <text xml:space="preserve">02 habitaciones
</text>
  </threadedComment>
  <threadedComment ref="E137" dT="2024-10-14T14:04:59.06" personId="{98986A2A-739A-4851-A979-4B0D560C46CD}" id="{A3BD0A78-EC17-4ED0-A133-C0F5E29EA5F1}">
    <text>02 habitaciones</text>
  </threadedComment>
  <threadedComment ref="C145" dT="2024-10-18T07:09:16.26" personId="{17D30B62-2123-41F1-B603-E5411FDFA3E0}" id="{9161D8B2-E6E5-4F05-B3D0-8897207E3BC6}">
    <text>Alquiler 1453 Fianza 950 Camas 4 ext a 6</text>
  </threadedComment>
  <threadedComment ref="C145" dT="2025-02-14T11:10:39.40" personId="{98986A2A-739A-4851-A979-4B0D560C46CD}" id="{5A3EEDE2-2C91-4769-A8CA-027A7A637888}" parentId="{9161D8B2-E6E5-4F05-B3D0-8897207E3BC6}">
    <text>Renta  vivienda 1.450€ + Servicio de Limpieza 302,50€ = 1.752,50€ y 950€ fianza</text>
  </threadedComment>
  <threadedComment ref="C151" dT="2024-10-28T11:44:32.75" personId="{17D30B62-2123-41F1-B603-E5411FDFA3E0}" id="{BE9B0E6F-2B63-4D72-A0B9-57A6C6A16FE7}">
    <text>Alquiler 2870 Fianza 2870 camas 8</text>
  </threadedComment>
  <threadedComment ref="C153" dT="2024-11-07T17:15:37.18" personId="{98986A2A-739A-4851-A979-4B0D560C46CD}" id="{3C027645-F4C7-40EA-AA63-19B31F83CE7B}">
    <text>04 camas 1500€, fianza 1000€</text>
  </threadedComment>
  <threadedComment ref="C154" dT="2024-11-07T11:33:47.80" personId="{17D30B62-2123-41F1-B603-E5411FDFA3E0}" id="{9A94E61C-A755-4AFC-B32E-FDE0C0CD9A7D}">
    <text>Alquiler 2870 Fianza 1435 camas 8</text>
  </threadedComment>
  <threadedComment ref="C157" dT="2024-11-11T17:05:18.77" personId="{17D30B62-2123-41F1-B603-E5411FDFA3E0}" id="{2AA62654-EBE7-4E8C-9204-A18E98BE034D}">
    <text xml:space="preserve">Alquiler 1650€  Fianza 1550 € camas 5
</text>
  </threadedComment>
  <threadedComment ref="C163" dT="2024-11-25T17:21:01.51" personId="{98986A2A-739A-4851-A979-4B0D560C46CD}" id="{907D269F-6CFB-4816-A4A7-18E0D3C03C29}">
    <text xml:space="preserve">Alquiler 650 Fianza 650 camas 4 ( 2 camas dobles propietaria y 2 kotrik) 
</text>
  </threadedComment>
  <threadedComment ref="C165" dT="2024-12-02T09:17:44.96" personId="{98986A2A-739A-4851-A979-4B0D560C46CD}" id="{372614D1-05EE-4D8B-9648-131BF5AA04C2}">
    <text>08 CAMAS</text>
  </threadedComment>
  <threadedComment ref="C169" dT="2024-12-07T09:48:49.17" personId="{98986A2A-739A-4851-A979-4B0D560C46CD}" id="{E63793CB-4FC5-4692-A8B8-58DBA84F9B59}">
    <text>ALQUILER 580, FIANZA 580, 4 CAMAS. Contrato pago hasta Febrero</text>
  </threadedComment>
  <threadedComment ref="C172" dT="2025-01-03T11:18:45.85" personId="{98986A2A-739A-4851-A979-4B0D560C46CD}" id="{93E3A096-675C-4A9D-AA9A-05A752F984F6}">
    <text>10 camas renta 3300</text>
  </threadedComment>
  <threadedComment ref="J176" dT="2025-01-08T08:12:24.40" personId="{98986A2A-739A-4851-A979-4B0D560C46CD}" id="{37CDB99C-9657-4680-90C1-64D8D19AC4C5}">
    <text>600€ ALQUILER +100€ SERVICIOS</text>
  </threadedComment>
  <threadedComment ref="C180" dT="2025-01-14T09:07:37.64" personId="{98986A2A-739A-4851-A979-4B0D560C46CD}" id="{34E7B54E-6FC4-4A9A-AD88-2D64EA828C6F}">
    <text>03 CAMAS, ALQULER 800. FIANZA 1000, SE PAGO ENERO-FEBRERO</text>
  </threadedComment>
  <threadedComment ref="C181" dT="2025-01-15T15:10:08.91" personId="{98986A2A-739A-4851-A979-4B0D560C46CD}" id="{FEA94F8C-EAE4-4490-A82F-27A43D7A4EAF}">
    <text>500€ ALQUILER, 500€ FIANZA, 03 HABITACIONES, 04 CAMAS</text>
  </threadedComment>
  <threadedComment ref="C182" dT="2024-08-19T11:49:32.68" personId="{98986A2A-739A-4851-A979-4B0D560C46CD}" id="{EF36E1E5-086C-4B7B-B8D9-989773B6B104}">
    <text>3 habitaciones, 04 CAMAS, 1100€ ALQUILER,</text>
  </threadedComment>
  <threadedComment ref="C183" dT="2025-02-07T12:51:36.96" personId="{98986A2A-739A-4851-A979-4B0D560C46CD}" id="{3D23C005-3F01-4552-8457-8FE334783B08}">
    <text>04 camas, alquiler 1100€, sin fianza</text>
  </threadedComment>
  <threadedComment ref="C193" dT="2025-02-07T09:48:48.33" personId="{98986A2A-739A-4851-A979-4B0D560C46CD}" id="{8FB4596D-916C-44AE-9288-BA65366C3BCC}">
    <text>355€ ALQULER + 55€ SUMINISTROS =410€ TOTAL. 500 FIANZA</text>
  </threadedComment>
  <threadedComment ref="C196" dT="2025-02-10T07:12:32.59" personId="{17D30B62-2123-41F1-B603-E5411FDFA3E0}" id="{7B5F1C3C-B946-4603-BC1C-3C3B8A444105}">
    <text xml:space="preserve">1.500€ renta mes,1.200€ Fianza, 3 Habitacines con 4 camas </text>
  </threadedComment>
  <threadedComment ref="C197" dT="2025-03-10T13:00:01.56" personId="{98986A2A-739A-4851-A979-4B0D560C46CD}" id="{6638219A-0879-48E2-B9D0-25BCE0D91086}">
    <text>3 CAMAS, 600€ALQUILER, 600€FIANZA</text>
  </threadedComment>
  <threadedComment ref="C198" dT="2025-02-10T17:07:43.06" personId="{17D30B62-2123-41F1-B603-E5411FDFA3E0}" id="{76A8E28E-80C5-481D-9D6A-5ECCC266E06D}">
    <text>350€ por cada habitacion
350€ fianza</text>
  </threadedComment>
  <threadedComment ref="C198" dT="2025-02-12T10:28:53.03" personId="{98986A2A-739A-4851-A979-4B0D560C46CD}" id="{E53C1388-1640-47A2-BDEC-9E2AA6F7FDCD}" parentId="{76A8E28E-80C5-481D-9D6A-5ECCC266E06D}">
    <text>04 habitaciones x 350 cu. Fianza 350 c/h Total 1400</text>
  </threadedComment>
  <threadedComment ref="C198" dT="2025-02-12T10:41:29.61" personId="{98986A2A-739A-4851-A979-4B0D560C46CD}" id="{56F62740-ED96-4388-BE3C-72FFC637D9BA}" parentId="{76A8E28E-80C5-481D-9D6A-5ECCC266E06D}">
    <text>Se adicionan 03 habitaciones 10/02 x 350 € c/u. Fianza 350€ c/u. Total 1050€fianza</text>
  </threadedComment>
  <threadedComment ref="C198" dT="2025-05-22T09:34:40.53" personId="{17D30B62-2123-41F1-B603-E5411FDFA3E0}" id="{E0790EE5-EFB8-4D55-ABF8-784DAAE52082}" parentId="{76A8E28E-80C5-481D-9D6A-5ECCC266E06D}">
    <text>Se adicionan 2 Habitaciones el día 23/05 por valor de  350€ C/U + 350€ fianzas C/U. Total 700€ fianza.</text>
  </threadedComment>
  <threadedComment ref="C199" dT="2025-02-14T10:48:48.74" personId="{98986A2A-739A-4851-A979-4B0D560C46CD}" id="{38421C98-637E-4947-A473-7BAF7FFC3305}">
    <text>01 HABITACIÒN, SIN FIANZA, 300+SERVICIOS</text>
  </threadedComment>
  <threadedComment ref="C200" dT="2025-02-14T12:21:40.61" personId="{17D30B62-2123-41F1-B603-E5411FDFA3E0}" id="{9DA7A7B7-EE5E-4B3D-8E0B-E58921D25FCC}">
    <text xml:space="preserve">Alquiler1.400€ 2 Habitaciones 4 Camas </text>
  </threadedComment>
  <threadedComment ref="C201" dT="2024-08-19T11:49:32.68" personId="{98986A2A-739A-4851-A979-4B0D560C46CD}" id="{A1BABB5E-F8A4-4898-99EF-F271D5FC6F12}">
    <text>01 estudio 02 camas, sin fianza, 750€ alquiler</text>
  </threadedComment>
  <threadedComment ref="N202" dT="2025-02-18T10:30:12.17" personId="{17D30B62-2123-41F1-B603-E5411FDFA3E0}" id="{9FA1FC10-DADE-40F5-96C8-537B751BB413}">
    <text>1 sofacama</text>
  </threadedComment>
  <threadedComment ref="C203" dT="2025-02-18T11:17:14.26" personId="{17D30B62-2123-41F1-B603-E5411FDFA3E0}" id="{7A0A9FCD-B319-42D3-90FD-BB5614213E65}">
    <text>Renta 1.050€ 
Suministros 200€
Huésped extra 150€ ( cuando se requiera ) 
Servicio de limpieza 300€ + IVA ( 363€) </text>
  </threadedComment>
  <threadedComment ref="C204" dT="2025-02-20T10:41:42.78" personId="{17D30B62-2123-41F1-B603-E5411FDFA3E0}" id="{EB713294-9E19-4A42-A531-0ED6B702EE56}">
    <text>3 CAMAS</text>
  </threadedComment>
  <threadedComment ref="C207" dT="2025-02-13T10:05:11.33" personId="{17D30B62-2123-41F1-B603-E5411FDFA3E0}" id="{33CA76F7-36A8-4770-91BA-E9489596D042}">
    <text>Habitacion doble para trabajadores cant 1 Costo 60€/noche
Habitacion triple para trabajadores cant 3 Costo 75€/noche cada una
(camas separadas)</text>
  </threadedComment>
  <threadedComment ref="C209" dT="2025-02-28T10:17:33.48" personId="{17D30B62-2123-41F1-B603-E5411FDFA3E0}" id="{A6FACE59-2428-49FB-BF52-BECF29F65B1A}">
    <text>1 Habitacion Alquiler 450 fianza 150</text>
  </threadedComment>
  <threadedComment ref="C210" dT="2025-03-03T11:44:25.68" personId="{17D30B62-2123-41F1-B603-E5411FDFA3E0}" id="{26B5F82C-58F5-4D31-A845-17CE15D9ECF5}">
    <text xml:space="preserve">1 Habitación </text>
  </threadedComment>
  <threadedComment ref="C211" dT="2025-03-03T17:43:57.04" personId="{98986A2A-739A-4851-A979-4B0D560C46CD}" id="{CAB00443-34F7-427A-BAC8-385C546E96CB}">
    <text>07 CAMAS, 1600€ PARA 4 PERSONAS, 500€ FIANZA</text>
  </threadedComment>
  <threadedComment ref="C213" dT="2025-03-10T16:48:17.17" personId="{17D30B62-2123-41F1-B603-E5411FDFA3E0}" id="{5732BB56-DDC3-4798-8DBE-84254B9BBE6C}">
    <text xml:space="preserve">1300€  alquiler
 50€ limpieza
</text>
  </threadedComment>
  <threadedComment ref="C215" dT="2025-02-13T10:05:11.33" personId="{17D30B62-2123-41F1-B603-E5411FDFA3E0}" id="{97FDAD2B-B7BA-4DED-887B-50D63D5C4A9C}">
    <text>Habitacion doble para trabajadores cant 1 Costo 60€/noche
Habitacion triple para trabajadores cant 3 Costo 75€/noche cada una
(camas separadas)</text>
  </threadedComment>
  <threadedComment ref="H220" dT="2025-05-08T09:01:17.52" personId="{17D30B62-2123-41F1-B603-E5411FDFA3E0}" id="{4AC6E69A-4FC3-47A5-8284-7DD713D4EFBA}">
    <text>prorrogable hasta 23/07/2025</text>
  </threadedComment>
  <threadedComment ref="C221" dT="2025-03-24T10:20:34.96" personId="{17D30B62-2123-41F1-B603-E5411FDFA3E0}" id="{530F504D-6D57-43E1-B319-008C0A508051}">
    <text>400€ Por persona alquiler mes, Fianza 500€, 5 Camas.</text>
  </threadedComment>
  <threadedComment ref="C223" dT="2025-04-04T09:05:30.54" personId="{17D30B62-2123-41F1-B603-E5411FDFA3E0}" id="{67C1D317-5954-4DFF-848D-A1A50AE88751}">
    <text>400€ cada habitación =800€.
400€ fianza</text>
  </threadedComment>
  <threadedComment ref="J236" dT="2025-05-13T10:07:25.30" personId="{17D30B62-2123-41F1-B603-E5411FDFA3E0}" id="{A4D607D4-FC8A-4D7F-AA3C-E636C11B493A}">
    <text>2 habitaciones Cada una: 600€ Alquiler del 13/05 al 30/06</text>
  </threadedComment>
  <threadedComment ref="C239" dT="2025-05-21T14:08:11.69" personId="{17D30B62-2123-41F1-B603-E5411FDFA3E0}" id="{31C47D92-05FE-48A1-AA15-774040BCFDFE}">
    <text>Habitación  1- 360€ alquiler + 55€ suministros (235€ parte proporcional mayo)
             500€ fianza</text>
  </threadedComment>
  <threadedComment ref="G239" dT="2025-05-21T14:38:25.72" personId="{17D30B62-2123-41F1-B603-E5411FDFA3E0}" id="{5B6BCDE1-B993-41B0-9B83-E3F1CB6C5E0A}">
    <text>Duración de 1 año, estancia mínima obligatoria de 3 meses.</text>
  </threadedComment>
  <threadedComment ref="C240" dT="2025-05-21T14:08:11.69" personId="{17D30B62-2123-41F1-B603-E5411FDFA3E0}" id="{0C57BF8D-59B1-46A6-8502-BD0A0BEFB3DA}">
    <text>Habitación 3  400€ alquiler + 55€ suministros (255€ parte proporcional mayo)
             500€ fianza</text>
  </threadedComment>
  <threadedComment ref="G240" dT="2025-05-21T14:38:25.72" personId="{17D30B62-2123-41F1-B603-E5411FDFA3E0}" id="{77031F27-49C4-4B7F-8059-EBF721CE9D48}">
    <text>Duración de 1 año, estancia mínima obligatoria de 3 meses.</text>
  </threadedComment>
  <threadedComment ref="C241" dT="2025-02-10T17:07:43.06" personId="{17D30B62-2123-41F1-B603-E5411FDFA3E0}" id="{3ED8E6FD-BA72-471F-8C0F-0C3E78F0AE91}">
    <text>Se adicionan 2 Habitaciones el día 23/05 por valor de  350€ C/U + 350€ fianzas C/U. Total 700€ fianza.</text>
  </threadedComment>
  <threadedComment ref="J243" dT="2025-06-12T11:41:23.13" personId="{98986A2A-739A-4851-A979-4B0D560C46CD}" id="{6815B1A5-E16C-4EAC-BD0B-576F3938660D}">
    <text>INCLUYE LIMPIEZA Y 6TA CAMAS 1200€ALQUILER+200€ SUMINISTROS</text>
  </threadedComment>
  <threadedComment ref="J246" dT="2025-06-12T08:52:23.31" personId="{98986A2A-739A-4851-A979-4B0D560C46CD}" id="{41A51EB8-1A2C-40E1-BD34-0F29F503A018}">
    <text>1050 alquiler + 150 suministros</text>
  </threadedComment>
  <threadedComment ref="J247" dT="2025-06-12T08:53:06.55" personId="{98986A2A-739A-4851-A979-4B0D560C46CD}" id="{EE0684FD-861C-44EC-B2AD-8C5FA2091560}">
    <text>1200€ alquiler + 200€ suministros</text>
  </threadedComment>
  <threadedComment ref="C249" dT="2025-06-25T15:20:38.46" personId="{98986A2A-739A-4851-A979-4B0D560C46CD}" id="{7B0CBA79-02F0-4648-B311-898E34BBB187}">
    <text>1300€ ALQUILER- 1300€FIANZA-04 CAMAS</text>
  </threadedComment>
  <threadedComment ref="C251" dT="2025-06-30T11:38:12.54" personId="{98986A2A-739A-4851-A979-4B0D560C46CD}" id="{21CEE3D3-988E-407F-B07E-96C8DF5E7237}">
    <text>Alquiler 700€, 02 camas, sin fianza</text>
  </threadedComment>
  <threadedComment ref="C253" dT="2025-07-02T13:20:25.40" personId="{98986A2A-739A-4851-A979-4B0D560C46CD}" id="{154A50C9-3978-49DF-AF95-9456A3156E0D}">
    <text>ALQUILER 1400€, FIANZA 1400€ , 06 CAMAS</text>
  </threadedComment>
  <threadedComment ref="C254" dT="2025-07-02T13:45:45.26" personId="{98986A2A-739A-4851-A979-4B0D560C46CD}" id="{078FC751-AA6B-4404-8CBB-25F6C76CBB48}">
    <text>03 camas, 750€ alquiler, 750€ fianza</text>
  </threadedComment>
  <threadedComment ref="C262" dT="2025-07-04T08:18:39.26" personId="{98986A2A-739A-4851-A979-4B0D560C46CD}" id="{1CBF411B-7445-4B1A-851E-3B14DD48CBE2}">
    <text>1200€ ALQUILER, 1200€ FIANZA, 03 CAMAS DOBLES</text>
  </threadedComment>
  <threadedComment ref="C263" dT="2025-07-04T11:05:16.59" personId="{98986A2A-739A-4851-A979-4B0D560C46CD}" id="{3D8CF36E-752B-4844-B724-0BCD23E93765}">
    <text>04 camas, 1200€ alquiler, 1200€ fianza</text>
  </threadedComment>
  <threadedComment ref="C269" dT="2025-07-24T07:39:46.03" personId="{98986A2A-739A-4851-A979-4B0D560C46CD}" id="{3CBF6B15-079E-45A2-AC20-52F852845453}">
    <text>1800€ alquiler, 400€ fianza, 100€ limpieza, 04 camas</text>
  </threadedComment>
  <threadedComment ref="C273" dT="2025-07-17T10:32:37.00" personId="{98986A2A-739A-4851-A979-4B0D560C46CD}" id="{564EFA12-A4B9-4CFF-B085-FE5E294DC1C4}">
    <text>Alquiler 1500€+fianza 400€+limpieza 100€</text>
  </threadedComment>
  <threadedComment ref="C279" dT="2025-08-14T07:51:52.37" personId="{17D30B62-2123-41F1-B603-E5411FDFA3E0}" id="{4090AAA6-0E31-4330-AE74-1973D436EB20}">
    <text>Alquiler 2.180€, 5camas, Fianza 600€</text>
  </threadedComment>
  <threadedComment ref="C280" dT="2025-08-14T08:55:55.58" personId="{17D30B62-2123-41F1-B603-E5411FDFA3E0}" id="{79C3E658-83EF-43F6-8BAC-1486F6471D64}">
    <text>4 Camas, Alquiler 750€ Fianza 750€</text>
  </threadedComment>
  <threadedComment ref="C283" dT="2025-09-22T11:14:16.55" personId="{17D30B62-2123-41F1-B603-E5411FDFA3E0}" id="{DF737AB3-23AC-48A2-BBC2-8736C419F26C}">
    <text>Alquiler 1.900€ ,4 Camas.</text>
  </threadedComment>
  <threadedComment ref="C289" dT="2025-10-14T06:14:49.10" personId="{4D8483EF-5A39-4E7B-A473-929EF5A077E1}" id="{D960AD5B-EA8C-40C2-97F0-3C571699A675}">
    <text>3 Camas----&gt;Estancia 1 mes Habitación doble Alquiler 500€+ fianza: 500€
Estancia 1 mes Habitación individual Alquiler 365€ + fianza: 365€</text>
  </threadedComment>
  <threadedComment ref="C293" dT="2025-10-30T14:37:57.92" personId="{4D8483EF-5A39-4E7B-A473-929EF5A077E1}" id="{874AD342-A8A9-4038-A332-3DF3CD696A9B}">
    <text>3 Camas Alquiler 1500€ Fianza 1500€</text>
  </threadedComment>
  <threadedComment ref="C301" dT="2025-02-25T12:24:49.79" personId="{98986A2A-739A-4851-A979-4B0D560C46CD}" id="{99554C9C-D35E-49A7-92BD-A41DF55321D3}">
    <text>04 camas, 1500€ alquiler, 1500€ fianza</text>
  </threadedComment>
  <threadedComment ref="C302" dT="2026-07-23T06:30:58.09" personId="{4D8483EF-5A39-4E7B-A473-929EF5A077E1}" id="{56B56926-DA78-40CE-9110-77C6BE370336}">
    <text xml:space="preserve">Alquiler 1500, 3 camas </text>
  </threadedComment>
  <threadedComment ref="C303" dT="2026-02-10T08:17:08.01" personId="{4D8483EF-5A39-4E7B-A473-929EF5A077E1}" id="{835072F1-DE04-4AEC-9704-B6114D35FF78}">
    <text xml:space="preserve">Alquiler 1500, 3 camas </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s://www.airbnb.es/users/show/553342638" TargetMode="External"/><Relationship Id="rId13" Type="http://schemas.openxmlformats.org/officeDocument/2006/relationships/hyperlink" Target="https://www.airbnb.es/users/show/548718892" TargetMode="External"/><Relationship Id="rId18" Type="http://schemas.microsoft.com/office/2017/10/relationships/threadedComment" Target="../threadedComments/threadedComment1.xml"/><Relationship Id="rId3" Type="http://schemas.openxmlformats.org/officeDocument/2006/relationships/hyperlink" Target="tel:0034%20655%2080%2064%2020" TargetMode="External"/><Relationship Id="rId7" Type="http://schemas.openxmlformats.org/officeDocument/2006/relationships/hyperlink" Target="https://www.airbnb.es/users/show/553342638" TargetMode="External"/><Relationship Id="rId12" Type="http://schemas.openxmlformats.org/officeDocument/2006/relationships/hyperlink" Target="https://www.airbnb.es/users/show/548718892" TargetMode="External"/><Relationship Id="rId17" Type="http://schemas.openxmlformats.org/officeDocument/2006/relationships/comments" Target="../comments1.xml"/><Relationship Id="rId2" Type="http://schemas.openxmlformats.org/officeDocument/2006/relationships/hyperlink" Target="tel:0034%20655%2080%2064%2020" TargetMode="External"/><Relationship Id="rId16" Type="http://schemas.openxmlformats.org/officeDocument/2006/relationships/table" Target="../tables/table1.xml"/><Relationship Id="rId1" Type="http://schemas.openxmlformats.org/officeDocument/2006/relationships/hyperlink" Target="tel:0034%20655%2080%2064%2020" TargetMode="External"/><Relationship Id="rId6" Type="http://schemas.openxmlformats.org/officeDocument/2006/relationships/hyperlink" Target="https://www.airbnb.es/users/show/553342638" TargetMode="External"/><Relationship Id="rId11" Type="http://schemas.openxmlformats.org/officeDocument/2006/relationships/hyperlink" Target="https://www.airbnb.es/users/show/2870383" TargetMode="External"/><Relationship Id="rId5" Type="http://schemas.openxmlformats.org/officeDocument/2006/relationships/hyperlink" Target="https://www.airbnb.es/users/show/553342638" TargetMode="External"/><Relationship Id="rId15" Type="http://schemas.openxmlformats.org/officeDocument/2006/relationships/vmlDrawing" Target="../drawings/vmlDrawing1.vml"/><Relationship Id="rId10" Type="http://schemas.openxmlformats.org/officeDocument/2006/relationships/hyperlink" Target="https://www.airbnb.es/users/show/2870383" TargetMode="External"/><Relationship Id="rId19" Type="http://schemas.microsoft.com/office/2019/04/relationships/namedSheetView" Target="../namedSheetViews/namedSheetView1.xml"/><Relationship Id="rId4" Type="http://schemas.openxmlformats.org/officeDocument/2006/relationships/hyperlink" Target="tel:0034%20655%2080%2064%2020" TargetMode="External"/><Relationship Id="rId9" Type="http://schemas.openxmlformats.org/officeDocument/2006/relationships/hyperlink" Target="https://www.airbnb.es/users/show/553342638"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2.xml"/><Relationship Id="rId1" Type="http://schemas.openxmlformats.org/officeDocument/2006/relationships/vmlDrawing" Target="../drawings/vmlDrawing2.vml"/><Relationship Id="rId4" Type="http://schemas.microsoft.com/office/2017/10/relationships/threadedComment" Target="../threadedComments/threadedComment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1677D-4010-4AA9-9BC0-06A57BFCA057}">
  <sheetPr>
    <pageSetUpPr fitToPage="1"/>
  </sheetPr>
  <dimension ref="A1:AH6084"/>
  <sheetViews>
    <sheetView showGridLines="0" tabSelected="1" zoomScale="90" zoomScaleNormal="90" workbookViewId="0">
      <pane ySplit="50" topLeftCell="A198" activePane="bottomLeft" state="frozen"/>
      <selection pane="bottomLeft" activeCell="F31" sqref="F31"/>
    </sheetView>
  </sheetViews>
  <sheetFormatPr defaultColWidth="14.42578125" defaultRowHeight="15"/>
  <cols>
    <col min="1" max="1" width="8.85546875" customWidth="1"/>
    <col min="2" max="2" width="14.42578125" style="30" customWidth="1"/>
    <col min="3" max="3" width="34" style="49" customWidth="1"/>
    <col min="4" max="4" width="14.42578125" customWidth="1"/>
    <col min="5" max="5" width="14.42578125" style="49" customWidth="1"/>
    <col min="6" max="6" width="74.7109375" style="49" customWidth="1"/>
    <col min="7" max="7" width="24.140625" customWidth="1"/>
    <col min="8" max="8" width="14.42578125" customWidth="1"/>
    <col min="9" max="9" width="60.140625" style="22" customWidth="1"/>
    <col min="10" max="10" width="14.42578125" style="22" customWidth="1"/>
    <col min="11" max="11" width="24.7109375" style="23" customWidth="1"/>
    <col min="12" max="12" width="25.85546875" style="10" customWidth="1"/>
    <col min="13" max="13" width="21.85546875" style="24" customWidth="1"/>
    <col min="14" max="14" width="16.140625" style="354" customWidth="1"/>
    <col min="15" max="15" width="31.28515625" style="24" customWidth="1"/>
    <col min="16" max="16" width="18" style="24" customWidth="1"/>
    <col min="17" max="17" width="24.140625" style="24" customWidth="1"/>
    <col min="18" max="18" width="21.5703125" customWidth="1"/>
    <col min="19" max="19" width="17.85546875" customWidth="1"/>
    <col min="20" max="20" width="23.5703125" style="98" customWidth="1"/>
    <col min="21" max="21" width="20.140625" style="22" customWidth="1"/>
    <col min="22" max="22" width="18" style="270" customWidth="1"/>
    <col min="23" max="23" width="12.140625" style="271" customWidth="1"/>
    <col min="24" max="24" width="17" customWidth="1"/>
    <col min="25" max="25" width="47.7109375" customWidth="1"/>
    <col min="26" max="26" width="14.42578125" customWidth="1"/>
    <col min="27" max="27" width="14.42578125" style="353" customWidth="1"/>
    <col min="28" max="28" width="13" style="353" bestFit="1" customWidth="1"/>
    <col min="29" max="29" width="10.7109375" customWidth="1"/>
    <col min="30" max="31" width="2" bestFit="1" customWidth="1"/>
    <col min="32" max="32" width="10.7109375" customWidth="1"/>
  </cols>
  <sheetData>
    <row r="1" spans="1:33" s="10" customFormat="1" ht="15.75">
      <c r="A1" s="1" t="s">
        <v>0</v>
      </c>
      <c r="B1" s="1" t="s">
        <v>1</v>
      </c>
      <c r="C1" s="2" t="s">
        <v>2</v>
      </c>
      <c r="D1" s="1" t="s">
        <v>3</v>
      </c>
      <c r="E1" s="1" t="s">
        <v>4</v>
      </c>
      <c r="F1" s="1" t="s">
        <v>5</v>
      </c>
      <c r="G1" s="1" t="s">
        <v>6</v>
      </c>
      <c r="H1" s="1" t="s">
        <v>7</v>
      </c>
      <c r="I1" s="1" t="s">
        <v>8</v>
      </c>
      <c r="J1" s="3" t="s">
        <v>9</v>
      </c>
      <c r="K1" s="3" t="s">
        <v>10</v>
      </c>
      <c r="L1" s="4" t="s">
        <v>11</v>
      </c>
      <c r="M1" s="1" t="s">
        <v>12</v>
      </c>
      <c r="N1" s="5" t="s">
        <v>13</v>
      </c>
      <c r="O1" s="6" t="s">
        <v>14</v>
      </c>
      <c r="P1" s="6" t="s">
        <v>15</v>
      </c>
      <c r="Q1" s="6" t="s">
        <v>16</v>
      </c>
      <c r="R1" s="6" t="s">
        <v>17</v>
      </c>
      <c r="S1" s="1" t="s">
        <v>18</v>
      </c>
      <c r="T1" s="1" t="s">
        <v>19</v>
      </c>
      <c r="U1" s="7" t="s">
        <v>20</v>
      </c>
      <c r="V1" s="8" t="s">
        <v>21</v>
      </c>
      <c r="W1" s="6" t="s">
        <v>22</v>
      </c>
      <c r="X1" s="1" t="s">
        <v>23</v>
      </c>
      <c r="Y1" s="1" t="s">
        <v>24</v>
      </c>
      <c r="Z1" s="1" t="s">
        <v>25</v>
      </c>
      <c r="AA1" s="4" t="s">
        <v>26</v>
      </c>
      <c r="AB1" s="4" t="s">
        <v>27</v>
      </c>
      <c r="AC1" s="9"/>
      <c r="AD1" s="9"/>
      <c r="AE1" s="9"/>
      <c r="AF1" s="9"/>
      <c r="AG1" s="9"/>
    </row>
    <row r="2" spans="1:33" s="17" customFormat="1">
      <c r="A2" s="2" t="s">
        <v>8633</v>
      </c>
      <c r="B2" s="2" t="s">
        <v>28</v>
      </c>
      <c r="C2" s="11" t="s">
        <v>29</v>
      </c>
      <c r="D2" s="2" t="s">
        <v>30</v>
      </c>
      <c r="E2" s="2" t="s">
        <v>31</v>
      </c>
      <c r="F2" s="11" t="s">
        <v>32</v>
      </c>
      <c r="G2" s="11" t="s">
        <v>33</v>
      </c>
      <c r="H2" s="2">
        <v>2023</v>
      </c>
      <c r="I2" s="12" t="s">
        <v>34</v>
      </c>
      <c r="J2" s="8">
        <v>45254</v>
      </c>
      <c r="K2" s="8">
        <v>45187</v>
      </c>
      <c r="L2" s="13">
        <f>_xlfn.DAYS(Tabla1[[#This Row],[FECHA FIN ]],Tabla1[[#This Row],[FECHA INICIO]])</f>
        <v>-67</v>
      </c>
      <c r="M2" s="12"/>
      <c r="N2" s="12"/>
      <c r="O2" s="12">
        <f>(Tabla1[[#This Row],[COSTO FIJO ]]/30)*Tabla1[[#This Row],[TOTAL DIAS PROYECTO]]+(Tabla1[[#This Row],[COSTO TEMPORAL]])</f>
        <v>0</v>
      </c>
      <c r="P2" s="12"/>
      <c r="Q2" s="12">
        <f>+(Tabla1[[#This Row],[COSTO COCHE]]/30)*Tabla1[[#This Row],[TOTAL DIAS PROYECTO]]</f>
        <v>0</v>
      </c>
      <c r="R2" s="12">
        <f>+Tabla1[[#This Row],[COSTO TOTAL ALOJAMIENTO]]+Tabla1[[#This Row],[COSTO TOTAL COCHE]]</f>
        <v>0</v>
      </c>
      <c r="S2" s="2"/>
      <c r="T2" s="2" t="s">
        <v>35</v>
      </c>
      <c r="U2" s="14"/>
      <c r="V2" s="14"/>
      <c r="W2" s="15"/>
      <c r="X2" s="16">
        <v>1</v>
      </c>
      <c r="Y2" s="11"/>
      <c r="Z2" s="2" t="s">
        <v>36</v>
      </c>
      <c r="AA2" s="13" t="s">
        <v>10323</v>
      </c>
      <c r="AB2" s="13" t="s">
        <v>10324</v>
      </c>
    </row>
    <row r="3" spans="1:33" s="17" customFormat="1">
      <c r="A3" s="2" t="s">
        <v>8634</v>
      </c>
      <c r="B3" s="2" t="s">
        <v>28</v>
      </c>
      <c r="C3" s="11" t="s">
        <v>37</v>
      </c>
      <c r="D3" s="2" t="s">
        <v>30</v>
      </c>
      <c r="E3" s="2" t="s">
        <v>38</v>
      </c>
      <c r="F3" s="11" t="s">
        <v>39</v>
      </c>
      <c r="G3" s="11" t="s">
        <v>40</v>
      </c>
      <c r="H3" s="2" t="s">
        <v>41</v>
      </c>
      <c r="I3" s="2" t="s">
        <v>42</v>
      </c>
      <c r="J3" s="8">
        <f>+Tabla1[[#This Row],[FECHA ENTRADA]]</f>
        <v>45312</v>
      </c>
      <c r="K3" s="8">
        <v>45318</v>
      </c>
      <c r="L3" s="13">
        <f>_xlfn.DAYS(Tabla1[[#This Row],[FECHA FIN ]],Tabla1[[#This Row],[FECHA INICIO]])</f>
        <v>6</v>
      </c>
      <c r="M3" s="12"/>
      <c r="N3" s="2" t="s">
        <v>43</v>
      </c>
      <c r="O3" s="12" t="e">
        <f>(Tabla1[[#This Row],[COSTO FIJO ]]/30)*Tabla1[[#This Row],[TOTAL DIAS PROYECTO]]+(Tabla1[[#This Row],[COSTO TEMPORAL]])</f>
        <v>#VALUE!</v>
      </c>
      <c r="P3" s="12"/>
      <c r="Q3" s="12">
        <f>+(Tabla1[[#This Row],[COSTO COCHE]]/30)*Tabla1[[#This Row],[TOTAL DIAS PROYECTO]]</f>
        <v>0</v>
      </c>
      <c r="R3" s="12" t="e">
        <f>+Tabla1[[#This Row],[COSTO TOTAL ALOJAMIENTO]]+Tabla1[[#This Row],[COSTO TOTAL COCHE]]</f>
        <v>#VALUE!</v>
      </c>
      <c r="S3" s="2"/>
      <c r="T3" s="2" t="s">
        <v>44</v>
      </c>
      <c r="U3" s="14">
        <v>45312</v>
      </c>
      <c r="V3" s="14">
        <v>45318</v>
      </c>
      <c r="W3" s="15"/>
      <c r="X3" s="16"/>
      <c r="Y3" s="18"/>
      <c r="Z3" s="2" t="s">
        <v>36</v>
      </c>
      <c r="AA3" s="13" t="s">
        <v>10325</v>
      </c>
      <c r="AB3" s="13" t="s">
        <v>10326</v>
      </c>
    </row>
    <row r="4" spans="1:33" s="17" customFormat="1">
      <c r="A4" s="2" t="s">
        <v>8635</v>
      </c>
      <c r="B4" s="2" t="s">
        <v>28</v>
      </c>
      <c r="C4" s="11" t="s">
        <v>45</v>
      </c>
      <c r="D4" s="2" t="s">
        <v>30</v>
      </c>
      <c r="E4" s="2" t="s">
        <v>38</v>
      </c>
      <c r="F4" s="11" t="s">
        <v>39</v>
      </c>
      <c r="G4" s="11" t="s">
        <v>40</v>
      </c>
      <c r="H4" s="2" t="s">
        <v>41</v>
      </c>
      <c r="I4" s="2" t="s">
        <v>42</v>
      </c>
      <c r="J4" s="8">
        <f>+Tabla1[[#This Row],[FECHA ENTRADA]]</f>
        <v>45312</v>
      </c>
      <c r="K4" s="8">
        <v>45318</v>
      </c>
      <c r="L4" s="13">
        <f>_xlfn.DAYS(Tabla1[[#This Row],[FECHA FIN ]],Tabla1[[#This Row],[FECHA INICIO]])</f>
        <v>6</v>
      </c>
      <c r="M4" s="2"/>
      <c r="N4" s="12"/>
      <c r="O4" s="12">
        <f>(Tabla1[[#This Row],[COSTO FIJO ]]/30)*Tabla1[[#This Row],[TOTAL DIAS PROYECTO]]+(Tabla1[[#This Row],[COSTO TEMPORAL]])</f>
        <v>0</v>
      </c>
      <c r="P4" s="12"/>
      <c r="Q4" s="12">
        <f>+(Tabla1[[#This Row],[COSTO COCHE]]/30)*Tabla1[[#This Row],[TOTAL DIAS PROYECTO]]</f>
        <v>0</v>
      </c>
      <c r="R4" s="12">
        <f>+Tabla1[[#This Row],[COSTO TOTAL ALOJAMIENTO]]+Tabla1[[#This Row],[COSTO TOTAL COCHE]]</f>
        <v>0</v>
      </c>
      <c r="S4" s="2"/>
      <c r="T4" s="2" t="s">
        <v>44</v>
      </c>
      <c r="U4" s="14">
        <v>45312</v>
      </c>
      <c r="V4" s="14">
        <v>45318</v>
      </c>
      <c r="W4" s="15"/>
      <c r="X4" s="16"/>
      <c r="Y4" s="18"/>
      <c r="Z4" s="2" t="s">
        <v>36</v>
      </c>
      <c r="AA4" s="13" t="s">
        <v>10325</v>
      </c>
      <c r="AB4" s="13" t="s">
        <v>10326</v>
      </c>
    </row>
    <row r="5" spans="1:33" s="17" customFormat="1" ht="15" customHeight="1">
      <c r="A5" s="2" t="s">
        <v>8634</v>
      </c>
      <c r="B5" s="2" t="s">
        <v>28</v>
      </c>
      <c r="C5" s="11" t="s">
        <v>37</v>
      </c>
      <c r="D5" s="2" t="s">
        <v>30</v>
      </c>
      <c r="E5" s="2" t="s">
        <v>38</v>
      </c>
      <c r="F5" s="11" t="s">
        <v>46</v>
      </c>
      <c r="G5" s="11" t="s">
        <v>47</v>
      </c>
      <c r="H5" s="2" t="s">
        <v>41</v>
      </c>
      <c r="I5" s="2" t="s">
        <v>42</v>
      </c>
      <c r="J5" s="8">
        <f>+Tabla1[[#This Row],[FECHA ENTRADA]]</f>
        <v>45318</v>
      </c>
      <c r="K5" s="8">
        <v>45328</v>
      </c>
      <c r="L5" s="13">
        <f>_xlfn.DAYS(Tabla1[[#This Row],[FECHA FIN ]],Tabla1[[#This Row],[FECHA INICIO]])</f>
        <v>10</v>
      </c>
      <c r="M5" s="12"/>
      <c r="N5" s="2"/>
      <c r="O5" s="12">
        <f>(Tabla1[[#This Row],[COSTO FIJO ]]/30)*Tabla1[[#This Row],[TOTAL DIAS PROYECTO]]+(Tabla1[[#This Row],[COSTO TEMPORAL]])</f>
        <v>0</v>
      </c>
      <c r="P5" s="12"/>
      <c r="Q5" s="12">
        <f>+(Tabla1[[#This Row],[COSTO COCHE]]/30)*Tabla1[[#This Row],[TOTAL DIAS PROYECTO]]</f>
        <v>0</v>
      </c>
      <c r="R5" s="12">
        <f>+Tabla1[[#This Row],[COSTO TOTAL ALOJAMIENTO]]+Tabla1[[#This Row],[COSTO TOTAL COCHE]]</f>
        <v>0</v>
      </c>
      <c r="S5" s="2"/>
      <c r="T5" s="2" t="s">
        <v>44</v>
      </c>
      <c r="U5" s="14">
        <v>45318</v>
      </c>
      <c r="V5" s="14">
        <v>45328</v>
      </c>
      <c r="W5" s="15"/>
      <c r="X5" s="16"/>
      <c r="Y5" s="18" t="s">
        <v>48</v>
      </c>
      <c r="Z5" s="2" t="s">
        <v>36</v>
      </c>
      <c r="AA5" s="13" t="s">
        <v>10325</v>
      </c>
      <c r="AB5" s="13" t="s">
        <v>10326</v>
      </c>
    </row>
    <row r="6" spans="1:33" s="19" customFormat="1">
      <c r="A6" s="2" t="s">
        <v>8635</v>
      </c>
      <c r="B6" s="2" t="s">
        <v>28</v>
      </c>
      <c r="C6" s="11" t="s">
        <v>45</v>
      </c>
      <c r="D6" s="2" t="s">
        <v>30</v>
      </c>
      <c r="E6" s="2" t="s">
        <v>38</v>
      </c>
      <c r="F6" s="11" t="s">
        <v>46</v>
      </c>
      <c r="G6" s="11" t="s">
        <v>47</v>
      </c>
      <c r="H6" s="2" t="s">
        <v>41</v>
      </c>
      <c r="I6" s="2" t="s">
        <v>42</v>
      </c>
      <c r="J6" s="8">
        <f>+Tabla1[[#This Row],[FECHA ENTRADA]]</f>
        <v>45318</v>
      </c>
      <c r="K6" s="8">
        <v>45328</v>
      </c>
      <c r="L6" s="13">
        <f>_xlfn.DAYS(Tabla1[[#This Row],[FECHA FIN ]],Tabla1[[#This Row],[FECHA INICIO]])</f>
        <v>10</v>
      </c>
      <c r="M6" s="2"/>
      <c r="N6" s="12"/>
      <c r="O6" s="12">
        <f>(Tabla1[[#This Row],[COSTO FIJO ]]/30)*Tabla1[[#This Row],[TOTAL DIAS PROYECTO]]+(Tabla1[[#This Row],[COSTO TEMPORAL]])</f>
        <v>0</v>
      </c>
      <c r="P6" s="12"/>
      <c r="Q6" s="12">
        <f>+(Tabla1[[#This Row],[COSTO COCHE]]/30)*Tabla1[[#This Row],[TOTAL DIAS PROYECTO]]</f>
        <v>0</v>
      </c>
      <c r="R6" s="12">
        <f>+Tabla1[[#This Row],[COSTO TOTAL ALOJAMIENTO]]+Tabla1[[#This Row],[COSTO TOTAL COCHE]]</f>
        <v>0</v>
      </c>
      <c r="S6" s="2"/>
      <c r="T6" s="2" t="s">
        <v>44</v>
      </c>
      <c r="U6" s="14">
        <v>45318</v>
      </c>
      <c r="V6" s="14">
        <v>45328</v>
      </c>
      <c r="W6" s="15"/>
      <c r="X6" s="16"/>
      <c r="Y6" s="18" t="s">
        <v>48</v>
      </c>
      <c r="Z6" s="2" t="s">
        <v>36</v>
      </c>
      <c r="AA6" s="13" t="s">
        <v>10325</v>
      </c>
      <c r="AB6" s="13" t="s">
        <v>10326</v>
      </c>
    </row>
    <row r="7" spans="1:33" s="17" customFormat="1" ht="15" customHeight="1">
      <c r="A7" s="2" t="s">
        <v>8636</v>
      </c>
      <c r="B7" s="2" t="s">
        <v>28</v>
      </c>
      <c r="C7" s="18" t="s">
        <v>49</v>
      </c>
      <c r="D7" s="2" t="s">
        <v>30</v>
      </c>
      <c r="E7" s="2" t="s">
        <v>31</v>
      </c>
      <c r="F7" s="11" t="s">
        <v>50</v>
      </c>
      <c r="G7" s="11" t="s">
        <v>51</v>
      </c>
      <c r="H7" s="2"/>
      <c r="I7" s="2" t="s">
        <v>52</v>
      </c>
      <c r="J7" s="8">
        <f>+Tabla1[[#This Row],[FECHA ENTRADA]]</f>
        <v>45322</v>
      </c>
      <c r="K7" s="8">
        <v>45338</v>
      </c>
      <c r="L7" s="13">
        <f>_xlfn.DAYS(Tabla1[[#This Row],[FECHA FIN ]],Tabla1[[#This Row],[FECHA INICIO]])</f>
        <v>16</v>
      </c>
      <c r="M7" s="12"/>
      <c r="N7" s="20"/>
      <c r="O7" s="12">
        <f>(Tabla1[[#This Row],[COSTO FIJO ]]/30)*Tabla1[[#This Row],[TOTAL DIAS PROYECTO]]+(Tabla1[[#This Row],[COSTO TEMPORAL]])</f>
        <v>0</v>
      </c>
      <c r="P7" s="12"/>
      <c r="Q7" s="12">
        <f>+(Tabla1[[#This Row],[COSTO COCHE]]/30)*Tabla1[[#This Row],[TOTAL DIAS PROYECTO]]</f>
        <v>0</v>
      </c>
      <c r="R7" s="12">
        <f>+Tabla1[[#This Row],[COSTO TOTAL ALOJAMIENTO]]+Tabla1[[#This Row],[COSTO TOTAL COCHE]]</f>
        <v>0</v>
      </c>
      <c r="S7" s="2"/>
      <c r="T7" s="2" t="s">
        <v>44</v>
      </c>
      <c r="U7" s="14">
        <v>45322</v>
      </c>
      <c r="V7" s="14">
        <v>45352</v>
      </c>
      <c r="W7" s="15"/>
      <c r="X7" s="16"/>
      <c r="Y7" s="18" t="s">
        <v>53</v>
      </c>
      <c r="Z7" s="2" t="s">
        <v>36</v>
      </c>
      <c r="AA7" s="13" t="s">
        <v>10323</v>
      </c>
      <c r="AB7" s="13" t="s">
        <v>10324</v>
      </c>
    </row>
    <row r="8" spans="1:33" s="17" customFormat="1" ht="15" customHeight="1">
      <c r="A8" s="2" t="s">
        <v>8637</v>
      </c>
      <c r="B8" s="2" t="s">
        <v>28</v>
      </c>
      <c r="C8" s="11" t="s">
        <v>54</v>
      </c>
      <c r="D8" s="2" t="s">
        <v>30</v>
      </c>
      <c r="E8" s="2" t="s">
        <v>55</v>
      </c>
      <c r="F8" s="11"/>
      <c r="G8" s="11"/>
      <c r="H8" s="2" t="s">
        <v>56</v>
      </c>
      <c r="I8" s="2" t="s">
        <v>57</v>
      </c>
      <c r="J8" s="8">
        <f>+Tabla1[[#This Row],[FECHA ENTRADA]]</f>
        <v>45342</v>
      </c>
      <c r="K8" s="8">
        <v>45346</v>
      </c>
      <c r="L8" s="13">
        <f>_xlfn.DAYS(Tabla1[[#This Row],[FECHA FIN ]],Tabla1[[#This Row],[FECHA INICIO]])</f>
        <v>4</v>
      </c>
      <c r="M8" s="12"/>
      <c r="N8" s="12"/>
      <c r="O8" s="12">
        <f>(Tabla1[[#This Row],[COSTO FIJO ]]/30)*Tabla1[[#This Row],[TOTAL DIAS PROYECTO]]+(Tabla1[[#This Row],[COSTO TEMPORAL]])</f>
        <v>0</v>
      </c>
      <c r="P8" s="12"/>
      <c r="Q8" s="12">
        <f>+(Tabla1[[#This Row],[COSTO COCHE]]/30)*Tabla1[[#This Row],[TOTAL DIAS PROYECTO]]</f>
        <v>0</v>
      </c>
      <c r="R8" s="12">
        <f>+Tabla1[[#This Row],[COSTO TOTAL ALOJAMIENTO]]+Tabla1[[#This Row],[COSTO TOTAL COCHE]]</f>
        <v>0</v>
      </c>
      <c r="S8" s="2"/>
      <c r="T8" s="2" t="s">
        <v>58</v>
      </c>
      <c r="U8" s="14">
        <v>45342</v>
      </c>
      <c r="V8" s="14"/>
      <c r="W8" s="15"/>
      <c r="X8" s="16"/>
      <c r="Y8" s="18" t="s">
        <v>59</v>
      </c>
      <c r="Z8" s="2" t="s">
        <v>36</v>
      </c>
      <c r="AA8" s="13" t="s">
        <v>10327</v>
      </c>
      <c r="AB8" s="13" t="s">
        <v>10328</v>
      </c>
    </row>
    <row r="9" spans="1:33" s="17" customFormat="1" ht="15" customHeight="1">
      <c r="A9" s="2" t="s">
        <v>8638</v>
      </c>
      <c r="B9" s="2" t="s">
        <v>28</v>
      </c>
      <c r="C9" s="11" t="s">
        <v>60</v>
      </c>
      <c r="D9" s="2" t="s">
        <v>30</v>
      </c>
      <c r="E9" s="2" t="s">
        <v>61</v>
      </c>
      <c r="F9" s="11" t="s">
        <v>62</v>
      </c>
      <c r="G9" s="11" t="s">
        <v>63</v>
      </c>
      <c r="H9" s="2"/>
      <c r="I9" s="2" t="s">
        <v>64</v>
      </c>
      <c r="J9" s="8">
        <f>+Tabla1[[#This Row],[FECHA ENTRADA]]</f>
        <v>45332</v>
      </c>
      <c r="K9" s="8">
        <v>45348</v>
      </c>
      <c r="L9" s="13">
        <f>_xlfn.DAYS(Tabla1[[#This Row],[FECHA FIN ]],Tabla1[[#This Row],[FECHA INICIO]])</f>
        <v>16</v>
      </c>
      <c r="M9" s="12"/>
      <c r="N9" s="2">
        <v>450</v>
      </c>
      <c r="O9" s="12">
        <f>(Tabla1[[#This Row],[COSTO FIJO ]]/30)*Tabla1[[#This Row],[TOTAL DIAS PROYECTO]]+(Tabla1[[#This Row],[COSTO TEMPORAL]])</f>
        <v>240</v>
      </c>
      <c r="P9" s="12"/>
      <c r="Q9" s="12">
        <f>+(Tabla1[[#This Row],[COSTO COCHE]]/30)*Tabla1[[#This Row],[TOTAL DIAS PROYECTO]]</f>
        <v>0</v>
      </c>
      <c r="R9" s="12">
        <f>+Tabla1[[#This Row],[COSTO TOTAL ALOJAMIENTO]]+Tabla1[[#This Row],[COSTO TOTAL COCHE]]</f>
        <v>240</v>
      </c>
      <c r="S9" s="2"/>
      <c r="T9" s="2" t="s">
        <v>44</v>
      </c>
      <c r="U9" s="14">
        <v>45332</v>
      </c>
      <c r="V9" s="14">
        <v>45349</v>
      </c>
      <c r="W9" s="15"/>
      <c r="X9" s="16"/>
      <c r="Y9" s="18" t="s">
        <v>65</v>
      </c>
      <c r="Z9" s="2" t="s">
        <v>36</v>
      </c>
      <c r="AA9" s="13" t="s">
        <v>10329</v>
      </c>
      <c r="AB9" s="13" t="s">
        <v>10330</v>
      </c>
    </row>
    <row r="10" spans="1:33" s="17" customFormat="1" ht="15" customHeight="1">
      <c r="A10" s="2" t="s">
        <v>8639</v>
      </c>
      <c r="B10" s="2" t="s">
        <v>28</v>
      </c>
      <c r="C10" s="11" t="s">
        <v>66</v>
      </c>
      <c r="D10" s="2" t="s">
        <v>30</v>
      </c>
      <c r="E10" s="2" t="s">
        <v>31</v>
      </c>
      <c r="F10" s="11" t="s">
        <v>67</v>
      </c>
      <c r="G10" s="11" t="s">
        <v>68</v>
      </c>
      <c r="H10" s="2" t="s">
        <v>69</v>
      </c>
      <c r="I10" s="12" t="s">
        <v>34</v>
      </c>
      <c r="J10" s="8">
        <f>+Tabla1[[#This Row],[FECHA ENTRADA]]</f>
        <v>45354</v>
      </c>
      <c r="K10" s="8">
        <v>45355</v>
      </c>
      <c r="L10" s="13">
        <f>_xlfn.DAYS(Tabla1[[#This Row],[FECHA FIN ]],Tabla1[[#This Row],[FECHA INICIO]])</f>
        <v>1</v>
      </c>
      <c r="M10" s="12"/>
      <c r="N10" s="12"/>
      <c r="O10" s="12">
        <f>(Tabla1[[#This Row],[COSTO FIJO ]]/30)*Tabla1[[#This Row],[TOTAL DIAS PROYECTO]]+(Tabla1[[#This Row],[COSTO TEMPORAL]])</f>
        <v>0</v>
      </c>
      <c r="P10" s="12"/>
      <c r="Q10" s="12">
        <f>+(Tabla1[[#This Row],[COSTO COCHE]]/30)*Tabla1[[#This Row],[TOTAL DIAS PROYECTO]]</f>
        <v>0</v>
      </c>
      <c r="R10" s="12">
        <f>+Tabla1[[#This Row],[COSTO TOTAL ALOJAMIENTO]]+Tabla1[[#This Row],[COSTO TOTAL COCHE]]</f>
        <v>0</v>
      </c>
      <c r="S10" s="2"/>
      <c r="T10" s="2" t="s">
        <v>35</v>
      </c>
      <c r="U10" s="14">
        <v>45354</v>
      </c>
      <c r="V10" s="14"/>
      <c r="W10" s="15"/>
      <c r="X10" s="16">
        <v>1</v>
      </c>
      <c r="Y10" s="18" t="s">
        <v>70</v>
      </c>
      <c r="Z10" s="2" t="s">
        <v>36</v>
      </c>
      <c r="AA10" s="13" t="s">
        <v>10323</v>
      </c>
      <c r="AB10" s="13" t="s">
        <v>10324</v>
      </c>
    </row>
    <row r="11" spans="1:33" s="17" customFormat="1" ht="15" customHeight="1">
      <c r="A11" s="2" t="s">
        <v>8640</v>
      </c>
      <c r="B11" s="2" t="s">
        <v>28</v>
      </c>
      <c r="C11" s="11" t="s">
        <v>71</v>
      </c>
      <c r="D11" s="2" t="s">
        <v>72</v>
      </c>
      <c r="E11" s="2" t="s">
        <v>73</v>
      </c>
      <c r="F11" s="11" t="s">
        <v>74</v>
      </c>
      <c r="G11" s="11" t="s">
        <v>75</v>
      </c>
      <c r="H11" s="2" t="s">
        <v>76</v>
      </c>
      <c r="I11" s="2" t="s">
        <v>64</v>
      </c>
      <c r="J11" s="8">
        <f>+Tabla1[[#This Row],[FECHA ENTRADA]]</f>
        <v>45313</v>
      </c>
      <c r="K11" s="8">
        <v>45359</v>
      </c>
      <c r="L11" s="13">
        <f>_xlfn.DAYS(Tabla1[[#This Row],[FECHA FIN ]],Tabla1[[#This Row],[FECHA INICIO]])</f>
        <v>46</v>
      </c>
      <c r="M11" s="12"/>
      <c r="N11" s="2"/>
      <c r="O11" s="12">
        <f>(Tabla1[[#This Row],[COSTO FIJO ]]/30)*Tabla1[[#This Row],[TOTAL DIAS PROYECTO]]+(Tabla1[[#This Row],[COSTO TEMPORAL]])</f>
        <v>0</v>
      </c>
      <c r="P11" s="12"/>
      <c r="Q11" s="12">
        <f>+(Tabla1[[#This Row],[COSTO COCHE]]/30)*Tabla1[[#This Row],[TOTAL DIAS PROYECTO]]</f>
        <v>0</v>
      </c>
      <c r="R11" s="12">
        <f>+Tabla1[[#This Row],[COSTO TOTAL ALOJAMIENTO]]+Tabla1[[#This Row],[COSTO TOTAL COCHE]]</f>
        <v>0</v>
      </c>
      <c r="S11" s="2"/>
      <c r="T11" s="2" t="s">
        <v>35</v>
      </c>
      <c r="U11" s="14">
        <v>45313</v>
      </c>
      <c r="V11" s="14">
        <v>45359</v>
      </c>
      <c r="W11" s="15"/>
      <c r="X11" s="16"/>
      <c r="Y11" s="18" t="s">
        <v>77</v>
      </c>
      <c r="Z11" s="2" t="s">
        <v>36</v>
      </c>
      <c r="AA11" s="13" t="s">
        <v>10331</v>
      </c>
      <c r="AB11" s="13" t="s">
        <v>10332</v>
      </c>
    </row>
    <row r="12" spans="1:33" ht="15" customHeight="1">
      <c r="A12" s="2" t="s">
        <v>8636</v>
      </c>
      <c r="B12" s="2" t="s">
        <v>28</v>
      </c>
      <c r="C12" s="18" t="s">
        <v>49</v>
      </c>
      <c r="D12" s="2" t="s">
        <v>78</v>
      </c>
      <c r="E12" s="2" t="s">
        <v>79</v>
      </c>
      <c r="F12" s="11" t="s">
        <v>80</v>
      </c>
      <c r="G12" s="11" t="s">
        <v>81</v>
      </c>
      <c r="H12" s="2" t="s">
        <v>82</v>
      </c>
      <c r="I12" s="2" t="s">
        <v>83</v>
      </c>
      <c r="J12" s="8">
        <f>+Tabla1[[#This Row],[FECHA ENTRADA]]</f>
        <v>45353</v>
      </c>
      <c r="K12" s="8">
        <v>45361</v>
      </c>
      <c r="L12" s="13">
        <f>_xlfn.DAYS(Tabla1[[#This Row],[FECHA FIN ]],Tabla1[[#This Row],[FECHA INICIO]])</f>
        <v>8</v>
      </c>
      <c r="M12" s="12"/>
      <c r="N12" s="20"/>
      <c r="O12" s="12">
        <f>(Tabla1[[#This Row],[COSTO FIJO ]]/30)*Tabla1[[#This Row],[TOTAL DIAS PROYECTO]]+(Tabla1[[#This Row],[COSTO TEMPORAL]])</f>
        <v>0</v>
      </c>
      <c r="P12" s="12"/>
      <c r="Q12" s="12">
        <f>+(Tabla1[[#This Row],[COSTO COCHE]]/30)*Tabla1[[#This Row],[TOTAL DIAS PROYECTO]]</f>
        <v>0</v>
      </c>
      <c r="R12" s="12">
        <f>+Tabla1[[#This Row],[COSTO TOTAL ALOJAMIENTO]]+Tabla1[[#This Row],[COSTO TOTAL COCHE]]</f>
        <v>0</v>
      </c>
      <c r="S12" s="2" t="s">
        <v>84</v>
      </c>
      <c r="T12" s="2" t="s">
        <v>44</v>
      </c>
      <c r="U12" s="14">
        <v>45353</v>
      </c>
      <c r="V12" s="14">
        <v>45384</v>
      </c>
      <c r="W12" s="15"/>
      <c r="X12" s="16"/>
      <c r="Y12" s="18" t="s">
        <v>85</v>
      </c>
      <c r="Z12" s="2" t="s">
        <v>36</v>
      </c>
      <c r="AA12" s="13" t="s">
        <v>10333</v>
      </c>
      <c r="AB12" s="13" t="s">
        <v>10334</v>
      </c>
    </row>
    <row r="13" spans="1:33" ht="15" customHeight="1">
      <c r="A13" s="2" t="s">
        <v>8641</v>
      </c>
      <c r="B13" s="2" t="s">
        <v>28</v>
      </c>
      <c r="C13" s="18" t="s">
        <v>86</v>
      </c>
      <c r="D13" s="2" t="s">
        <v>78</v>
      </c>
      <c r="E13" s="2" t="s">
        <v>79</v>
      </c>
      <c r="F13" s="11" t="s">
        <v>80</v>
      </c>
      <c r="G13" s="11" t="s">
        <v>81</v>
      </c>
      <c r="H13" s="2" t="s">
        <v>82</v>
      </c>
      <c r="I13" s="2" t="s">
        <v>83</v>
      </c>
      <c r="J13" s="8">
        <f>+Tabla1[[#This Row],[FECHA ENTRADA]]</f>
        <v>45353</v>
      </c>
      <c r="K13" s="8">
        <v>45361</v>
      </c>
      <c r="L13" s="13">
        <f>_xlfn.DAYS(Tabla1[[#This Row],[FECHA FIN ]],Tabla1[[#This Row],[FECHA INICIO]])</f>
        <v>8</v>
      </c>
      <c r="M13" s="12"/>
      <c r="N13" s="20"/>
      <c r="O13" s="12">
        <f>(Tabla1[[#This Row],[COSTO FIJO ]]/30)*Tabla1[[#This Row],[TOTAL DIAS PROYECTO]]+(Tabla1[[#This Row],[COSTO TEMPORAL]])</f>
        <v>0</v>
      </c>
      <c r="P13" s="12"/>
      <c r="Q13" s="12">
        <f>+(Tabla1[[#This Row],[COSTO COCHE]]/30)*Tabla1[[#This Row],[TOTAL DIAS PROYECTO]]</f>
        <v>0</v>
      </c>
      <c r="R13" s="12">
        <f>+Tabla1[[#This Row],[COSTO TOTAL ALOJAMIENTO]]+Tabla1[[#This Row],[COSTO TOTAL COCHE]]</f>
        <v>0</v>
      </c>
      <c r="S13" s="2" t="s">
        <v>84</v>
      </c>
      <c r="T13" s="2" t="s">
        <v>44</v>
      </c>
      <c r="U13" s="14">
        <v>45353</v>
      </c>
      <c r="V13" s="14">
        <v>45412</v>
      </c>
      <c r="W13" s="15"/>
      <c r="X13" s="16"/>
      <c r="Y13" s="18" t="s">
        <v>85</v>
      </c>
      <c r="Z13" s="2" t="s">
        <v>36</v>
      </c>
      <c r="AA13" s="13" t="s">
        <v>10333</v>
      </c>
      <c r="AB13" s="13" t="s">
        <v>10334</v>
      </c>
    </row>
    <row r="14" spans="1:33">
      <c r="A14" s="2" t="s">
        <v>8634</v>
      </c>
      <c r="B14" s="2" t="s">
        <v>28</v>
      </c>
      <c r="C14" s="11" t="s">
        <v>37</v>
      </c>
      <c r="D14" s="2" t="s">
        <v>30</v>
      </c>
      <c r="E14" s="2" t="s">
        <v>87</v>
      </c>
      <c r="F14" s="11" t="s">
        <v>88</v>
      </c>
      <c r="G14" s="11" t="s">
        <v>89</v>
      </c>
      <c r="H14" s="2" t="s">
        <v>41</v>
      </c>
      <c r="I14" s="2" t="s">
        <v>42</v>
      </c>
      <c r="J14" s="8">
        <f>+Tabla1[[#This Row],[FECHA ENTRADA]]</f>
        <v>45328</v>
      </c>
      <c r="K14" s="8">
        <v>45361</v>
      </c>
      <c r="L14" s="13">
        <f>_xlfn.DAYS(Tabla1[[#This Row],[FECHA FIN ]],Tabla1[[#This Row],[FECHA INICIO]])</f>
        <v>33</v>
      </c>
      <c r="M14" s="12"/>
      <c r="N14" s="12"/>
      <c r="O14" s="12">
        <f>(Tabla1[[#This Row],[COSTO FIJO ]]/30)*Tabla1[[#This Row],[TOTAL DIAS PROYECTO]]+(Tabla1[[#This Row],[COSTO TEMPORAL]])</f>
        <v>0</v>
      </c>
      <c r="P14" s="12"/>
      <c r="Q14" s="12">
        <f>+(Tabla1[[#This Row],[COSTO COCHE]]/30)*Tabla1[[#This Row],[TOTAL DIAS PROYECTO]]</f>
        <v>0</v>
      </c>
      <c r="R14" s="12">
        <f>+Tabla1[[#This Row],[COSTO TOTAL ALOJAMIENTO]]+Tabla1[[#This Row],[COSTO TOTAL COCHE]]</f>
        <v>0</v>
      </c>
      <c r="S14" s="2"/>
      <c r="T14" s="2" t="s">
        <v>35</v>
      </c>
      <c r="U14" s="14">
        <v>45328</v>
      </c>
      <c r="V14" s="14">
        <v>45360</v>
      </c>
      <c r="W14" s="15"/>
      <c r="X14" s="16"/>
      <c r="Y14" s="18" t="s">
        <v>90</v>
      </c>
      <c r="Z14" s="2" t="s">
        <v>36</v>
      </c>
      <c r="AA14" s="13" t="s">
        <v>10335</v>
      </c>
      <c r="AB14" s="13">
        <v>404.16500000000002</v>
      </c>
    </row>
    <row r="15" spans="1:33">
      <c r="A15" s="2" t="s">
        <v>8635</v>
      </c>
      <c r="B15" s="2" t="s">
        <v>28</v>
      </c>
      <c r="C15" s="11" t="s">
        <v>45</v>
      </c>
      <c r="D15" s="2" t="s">
        <v>30</v>
      </c>
      <c r="E15" s="2" t="s">
        <v>87</v>
      </c>
      <c r="F15" s="11" t="s">
        <v>88</v>
      </c>
      <c r="G15" s="11" t="s">
        <v>89</v>
      </c>
      <c r="H15" s="2" t="s">
        <v>41</v>
      </c>
      <c r="I15" s="2" t="s">
        <v>42</v>
      </c>
      <c r="J15" s="8">
        <f>+Tabla1[[#This Row],[FECHA ENTRADA]]</f>
        <v>45328</v>
      </c>
      <c r="K15" s="8">
        <v>45361</v>
      </c>
      <c r="L15" s="13">
        <f>_xlfn.DAYS(Tabla1[[#This Row],[FECHA FIN ]],Tabla1[[#This Row],[FECHA INICIO]])</f>
        <v>33</v>
      </c>
      <c r="M15" s="12"/>
      <c r="N15" s="2"/>
      <c r="O15" s="12">
        <f>(Tabla1[[#This Row],[COSTO FIJO ]]/30)*Tabla1[[#This Row],[TOTAL DIAS PROYECTO]]+(Tabla1[[#This Row],[COSTO TEMPORAL]])</f>
        <v>0</v>
      </c>
      <c r="P15" s="12"/>
      <c r="Q15" s="12">
        <f>+(Tabla1[[#This Row],[COSTO COCHE]]/30)*Tabla1[[#This Row],[TOTAL DIAS PROYECTO]]</f>
        <v>0</v>
      </c>
      <c r="R15" s="12">
        <f>+Tabla1[[#This Row],[COSTO TOTAL ALOJAMIENTO]]+Tabla1[[#This Row],[COSTO TOTAL COCHE]]</f>
        <v>0</v>
      </c>
      <c r="S15" s="2"/>
      <c r="T15" s="2" t="s">
        <v>35</v>
      </c>
      <c r="U15" s="14">
        <v>45328</v>
      </c>
      <c r="V15" s="14">
        <v>45360</v>
      </c>
      <c r="W15" s="15"/>
      <c r="X15" s="16"/>
      <c r="Y15" s="18" t="s">
        <v>90</v>
      </c>
      <c r="Z15" s="2" t="s">
        <v>36</v>
      </c>
      <c r="AA15" s="13" t="s">
        <v>10335</v>
      </c>
      <c r="AB15" s="13">
        <v>404.16500000000002</v>
      </c>
    </row>
    <row r="16" spans="1:33">
      <c r="A16" s="2" t="s">
        <v>8642</v>
      </c>
      <c r="B16" s="2" t="s">
        <v>28</v>
      </c>
      <c r="C16" s="18" t="s">
        <v>91</v>
      </c>
      <c r="D16" s="2" t="s">
        <v>30</v>
      </c>
      <c r="E16" s="2" t="s">
        <v>92</v>
      </c>
      <c r="F16" s="11" t="s">
        <v>93</v>
      </c>
      <c r="G16" s="11" t="s">
        <v>94</v>
      </c>
      <c r="H16" s="2" t="s">
        <v>95</v>
      </c>
      <c r="I16" s="12" t="s">
        <v>96</v>
      </c>
      <c r="J16" s="8">
        <f>+Tabla1[[#This Row],[FECHA ENTRADA]]</f>
        <v>45363</v>
      </c>
      <c r="K16" s="8">
        <v>45365</v>
      </c>
      <c r="L16" s="13">
        <f>_xlfn.DAYS(Tabla1[[#This Row],[FECHA FIN ]],Tabla1[[#This Row],[FECHA INICIO]])</f>
        <v>2</v>
      </c>
      <c r="M16" s="12"/>
      <c r="N16" s="12">
        <v>277.77777777777777</v>
      </c>
      <c r="O16" s="12">
        <f>(Tabla1[[#This Row],[COSTO FIJO ]]/30)*Tabla1[[#This Row],[TOTAL DIAS PROYECTO]]+(Tabla1[[#This Row],[COSTO TEMPORAL]])</f>
        <v>18.518518518518519</v>
      </c>
      <c r="P16" s="12"/>
      <c r="Q16" s="12">
        <f>+(Tabla1[[#This Row],[COSTO COCHE]]/30)*Tabla1[[#This Row],[TOTAL DIAS PROYECTO]]</f>
        <v>0</v>
      </c>
      <c r="R16" s="12">
        <f>+Tabla1[[#This Row],[COSTO TOTAL ALOJAMIENTO]]+Tabla1[[#This Row],[COSTO TOTAL COCHE]]</f>
        <v>18.518518518518519</v>
      </c>
      <c r="S16" s="2"/>
      <c r="T16" s="2" t="s">
        <v>35</v>
      </c>
      <c r="U16" s="14">
        <v>45363</v>
      </c>
      <c r="V16" s="14">
        <v>45365</v>
      </c>
      <c r="W16" s="15"/>
      <c r="X16" s="16">
        <v>11</v>
      </c>
      <c r="Y16" s="18" t="s">
        <v>97</v>
      </c>
      <c r="Z16" s="2" t="s">
        <v>36</v>
      </c>
      <c r="AA16" s="13" t="s">
        <v>10336</v>
      </c>
      <c r="AB16" s="13" t="s">
        <v>10337</v>
      </c>
    </row>
    <row r="17" spans="1:33" ht="15" customHeight="1">
      <c r="A17" s="2" t="s">
        <v>8643</v>
      </c>
      <c r="B17" s="2" t="s">
        <v>28</v>
      </c>
      <c r="C17" s="11" t="s">
        <v>98</v>
      </c>
      <c r="D17" s="2" t="s">
        <v>99</v>
      </c>
      <c r="E17" s="2" t="s">
        <v>100</v>
      </c>
      <c r="F17" s="11" t="s">
        <v>101</v>
      </c>
      <c r="G17" s="21" t="s">
        <v>102</v>
      </c>
      <c r="H17" s="2" t="s">
        <v>103</v>
      </c>
      <c r="I17" s="12" t="s">
        <v>96</v>
      </c>
      <c r="J17" s="22">
        <f>+Tabla1[[#This Row],[FECHA ENTRADA]]</f>
        <v>45739</v>
      </c>
      <c r="K17" s="22">
        <v>45749</v>
      </c>
      <c r="L17" s="23">
        <f>_xlfn.DAYS(Tabla1[[#This Row],[FECHA FIN ]],Tabla1[[#This Row],[FECHA INICIO]])</f>
        <v>10</v>
      </c>
      <c r="M17" s="12"/>
      <c r="N17" s="12"/>
      <c r="O17" s="24">
        <f>(Tabla1[[#This Row],[COSTO FIJO ]]/30)*Tabla1[[#This Row],[TOTAL DIAS PROYECTO]]+(Tabla1[[#This Row],[COSTO TEMPORAL]])</f>
        <v>0</v>
      </c>
      <c r="P17" s="12">
        <f>651.96/3</f>
        <v>217.32000000000002</v>
      </c>
      <c r="Q17" s="12">
        <f>+(Tabla1[[#This Row],[COSTO COCHE]]/30)*Tabla1[[#This Row],[TOTAL DIAS PROYECTO]]</f>
        <v>72.440000000000012</v>
      </c>
      <c r="R17" s="12">
        <f>+Tabla1[[#This Row],[COSTO TOTAL ALOJAMIENTO]]+Tabla1[[#This Row],[COSTO TOTAL COCHE]]</f>
        <v>72.440000000000012</v>
      </c>
      <c r="S17" s="2"/>
      <c r="T17" s="2" t="s">
        <v>35</v>
      </c>
      <c r="U17" s="14">
        <v>45739</v>
      </c>
      <c r="V17" s="25"/>
      <c r="W17" s="26"/>
      <c r="X17" s="2">
        <v>25</v>
      </c>
      <c r="Y17" s="11"/>
      <c r="Z17" s="2" t="s">
        <v>36</v>
      </c>
      <c r="AA17" s="13" t="s">
        <v>10338</v>
      </c>
      <c r="AB17" s="13">
        <v>3718817</v>
      </c>
    </row>
    <row r="18" spans="1:33">
      <c r="A18" s="2" t="s">
        <v>8644</v>
      </c>
      <c r="B18" s="2" t="s">
        <v>28</v>
      </c>
      <c r="C18" s="18" t="s">
        <v>104</v>
      </c>
      <c r="D18" s="2" t="s">
        <v>30</v>
      </c>
      <c r="E18" s="2" t="s">
        <v>55</v>
      </c>
      <c r="F18" s="11" t="s">
        <v>105</v>
      </c>
      <c r="G18" s="11" t="s">
        <v>106</v>
      </c>
      <c r="H18" s="2" t="s">
        <v>56</v>
      </c>
      <c r="I18" s="2" t="s">
        <v>57</v>
      </c>
      <c r="J18" s="8">
        <f>+Tabla1[[#This Row],[FECHA ENTRADA]]</f>
        <v>45342</v>
      </c>
      <c r="K18" s="8">
        <v>45373</v>
      </c>
      <c r="L18" s="13">
        <f>_xlfn.DAYS(Tabla1[[#This Row],[FECHA FIN ]],Tabla1[[#This Row],[FECHA INICIO]])</f>
        <v>31</v>
      </c>
      <c r="M18" s="2"/>
      <c r="N18" s="12">
        <v>450</v>
      </c>
      <c r="O18" s="12">
        <f>(Tabla1[[#This Row],[COSTO FIJO ]]/30)*Tabla1[[#This Row],[TOTAL DIAS PROYECTO]]+(Tabla1[[#This Row],[COSTO TEMPORAL]])</f>
        <v>465</v>
      </c>
      <c r="P18" s="12"/>
      <c r="Q18" s="12">
        <f>+(Tabla1[[#This Row],[COSTO COCHE]]/30)*Tabla1[[#This Row],[TOTAL DIAS PROYECTO]]</f>
        <v>0</v>
      </c>
      <c r="R18" s="12">
        <f>+Tabla1[[#This Row],[COSTO TOTAL ALOJAMIENTO]]+Tabla1[[#This Row],[COSTO TOTAL COCHE]]</f>
        <v>465</v>
      </c>
      <c r="S18" s="2"/>
      <c r="T18" s="2" t="s">
        <v>35</v>
      </c>
      <c r="U18" s="14">
        <v>45342</v>
      </c>
      <c r="V18" s="14">
        <v>45373</v>
      </c>
      <c r="W18" s="15"/>
      <c r="X18" s="16">
        <v>1</v>
      </c>
      <c r="Y18" s="18" t="s">
        <v>107</v>
      </c>
      <c r="Z18" s="2" t="s">
        <v>36</v>
      </c>
      <c r="AA18" s="13" t="s">
        <v>10327</v>
      </c>
      <c r="AB18" s="13" t="s">
        <v>10328</v>
      </c>
    </row>
    <row r="19" spans="1:33">
      <c r="A19" s="2" t="s">
        <v>8645</v>
      </c>
      <c r="B19" s="2" t="s">
        <v>28</v>
      </c>
      <c r="C19" s="11" t="s">
        <v>108</v>
      </c>
      <c r="D19" s="2" t="s">
        <v>30</v>
      </c>
      <c r="E19" s="2" t="s">
        <v>109</v>
      </c>
      <c r="F19" s="11" t="s">
        <v>110</v>
      </c>
      <c r="G19" s="11" t="s">
        <v>111</v>
      </c>
      <c r="H19" s="2" t="s">
        <v>41</v>
      </c>
      <c r="I19" s="2" t="s">
        <v>42</v>
      </c>
      <c r="J19" s="8">
        <f>+Tabla1[[#This Row],[FECHA ENTRADA]]</f>
        <v>45312</v>
      </c>
      <c r="K19" s="8">
        <v>45373</v>
      </c>
      <c r="L19" s="13">
        <f>_xlfn.DAYS(Tabla1[[#This Row],[FECHA FIN ]],Tabla1[[#This Row],[FECHA INICIO]])</f>
        <v>61</v>
      </c>
      <c r="M19" s="12"/>
      <c r="N19" s="12"/>
      <c r="O19" s="12">
        <f>(Tabla1[[#This Row],[COSTO FIJO ]]/30)*Tabla1[[#This Row],[TOTAL DIAS PROYECTO]]+(Tabla1[[#This Row],[COSTO TEMPORAL]])</f>
        <v>0</v>
      </c>
      <c r="P19" s="12"/>
      <c r="Q19" s="12">
        <f>+(Tabla1[[#This Row],[COSTO COCHE]]/30)*Tabla1[[#This Row],[TOTAL DIAS PROYECTO]]</f>
        <v>0</v>
      </c>
      <c r="R19" s="12">
        <f>+Tabla1[[#This Row],[COSTO TOTAL ALOJAMIENTO]]+Tabla1[[#This Row],[COSTO TOTAL COCHE]]</f>
        <v>0</v>
      </c>
      <c r="S19" s="2"/>
      <c r="T19" s="2" t="s">
        <v>35</v>
      </c>
      <c r="U19" s="14">
        <v>45312</v>
      </c>
      <c r="V19" s="14">
        <v>45373</v>
      </c>
      <c r="W19" s="15"/>
      <c r="X19" s="16"/>
      <c r="Y19" s="18" t="s">
        <v>112</v>
      </c>
      <c r="Z19" s="2" t="s">
        <v>36</v>
      </c>
      <c r="AA19" s="13">
        <v>0.62217999999999996</v>
      </c>
      <c r="AB19" s="13" t="s">
        <v>10339</v>
      </c>
    </row>
    <row r="20" spans="1:33" ht="15" customHeight="1">
      <c r="A20" s="2" t="s">
        <v>8646</v>
      </c>
      <c r="B20" s="2" t="s">
        <v>28</v>
      </c>
      <c r="C20" s="11" t="s">
        <v>113</v>
      </c>
      <c r="D20" s="2" t="s">
        <v>30</v>
      </c>
      <c r="E20" s="2" t="s">
        <v>114</v>
      </c>
      <c r="F20" s="11" t="s">
        <v>115</v>
      </c>
      <c r="G20" s="11" t="s">
        <v>116</v>
      </c>
      <c r="H20" s="2" t="s">
        <v>117</v>
      </c>
      <c r="I20" s="12" t="s">
        <v>118</v>
      </c>
      <c r="J20" s="8">
        <f>+Tabla1[[#This Row],[FECHA ENTRADA]]</f>
        <v>45375</v>
      </c>
      <c r="K20" s="8">
        <v>45375</v>
      </c>
      <c r="L20" s="13">
        <f>_xlfn.DAYS(Tabla1[[#This Row],[FECHA FIN ]],Tabla1[[#This Row],[FECHA INICIO]])</f>
        <v>0</v>
      </c>
      <c r="M20" s="12"/>
      <c r="N20" s="12"/>
      <c r="O20" s="12">
        <f>(Tabla1[[#This Row],[COSTO FIJO ]]/30)*Tabla1[[#This Row],[TOTAL DIAS PROYECTO]]+(Tabla1[[#This Row],[COSTO TEMPORAL]])</f>
        <v>0</v>
      </c>
      <c r="P20" s="12"/>
      <c r="Q20" s="12">
        <f>+(Tabla1[[#This Row],[COSTO COCHE]]/30)*Tabla1[[#This Row],[TOTAL DIAS PROYECTO]]</f>
        <v>0</v>
      </c>
      <c r="R20" s="12">
        <f>+Tabla1[[#This Row],[COSTO TOTAL ALOJAMIENTO]]+Tabla1[[#This Row],[COSTO TOTAL COCHE]]</f>
        <v>0</v>
      </c>
      <c r="S20" s="2"/>
      <c r="T20" s="2" t="s">
        <v>44</v>
      </c>
      <c r="U20" s="14">
        <v>45375</v>
      </c>
      <c r="V20" s="14">
        <v>45383</v>
      </c>
      <c r="W20" s="15"/>
      <c r="X20" s="16"/>
      <c r="Y20" s="18" t="s">
        <v>119</v>
      </c>
      <c r="Z20" s="2" t="s">
        <v>36</v>
      </c>
      <c r="AA20" s="13" t="s">
        <v>10340</v>
      </c>
      <c r="AB20" s="13" t="s">
        <v>10341</v>
      </c>
    </row>
    <row r="21" spans="1:33">
      <c r="A21" s="2" t="s">
        <v>8647</v>
      </c>
      <c r="B21" s="2" t="s">
        <v>28</v>
      </c>
      <c r="C21" s="18" t="s">
        <v>120</v>
      </c>
      <c r="D21" s="2" t="s">
        <v>30</v>
      </c>
      <c r="E21" s="2" t="s">
        <v>87</v>
      </c>
      <c r="F21" s="11" t="s">
        <v>121</v>
      </c>
      <c r="G21" s="11" t="s">
        <v>122</v>
      </c>
      <c r="H21" s="2" t="s">
        <v>123</v>
      </c>
      <c r="I21" s="2" t="s">
        <v>124</v>
      </c>
      <c r="J21" s="8">
        <f>+Tabla1[[#This Row],[FECHA ENTRADA]]</f>
        <v>45361</v>
      </c>
      <c r="K21" s="8">
        <v>45378</v>
      </c>
      <c r="L21" s="13">
        <f>_xlfn.DAYS(Tabla1[[#This Row],[FECHA FIN ]],Tabla1[[#This Row],[FECHA INICIO]])</f>
        <v>17</v>
      </c>
      <c r="M21" s="2"/>
      <c r="N21" s="12">
        <v>450</v>
      </c>
      <c r="O21" s="12">
        <f>(Tabla1[[#This Row],[COSTO FIJO ]]/30)*Tabla1[[#This Row],[TOTAL DIAS PROYECTO]]+(Tabla1[[#This Row],[COSTO TEMPORAL]])</f>
        <v>255</v>
      </c>
      <c r="P21" s="12"/>
      <c r="Q21" s="12">
        <f>+(Tabla1[[#This Row],[COSTO COCHE]]/30)*Tabla1[[#This Row],[TOTAL DIAS PROYECTO]]</f>
        <v>0</v>
      </c>
      <c r="R21" s="12">
        <f>+Tabla1[[#This Row],[COSTO TOTAL ALOJAMIENTO]]+Tabla1[[#This Row],[COSTO TOTAL COCHE]]</f>
        <v>255</v>
      </c>
      <c r="S21" s="2"/>
      <c r="T21" s="2" t="s">
        <v>35</v>
      </c>
      <c r="U21" s="14">
        <v>45361</v>
      </c>
      <c r="V21" s="14"/>
      <c r="W21" s="15"/>
      <c r="X21" s="16">
        <v>9</v>
      </c>
      <c r="Y21" s="18" t="s">
        <v>125</v>
      </c>
      <c r="Z21" s="2" t="s">
        <v>36</v>
      </c>
      <c r="AA21" s="13" t="s">
        <v>10335</v>
      </c>
      <c r="AB21" s="13">
        <v>404.16500000000002</v>
      </c>
      <c r="AC21" s="27"/>
      <c r="AD21" s="27"/>
      <c r="AE21" s="27"/>
      <c r="AF21" s="27"/>
      <c r="AG21" s="27"/>
    </row>
    <row r="22" spans="1:33" s="17" customFormat="1">
      <c r="A22" s="2" t="s">
        <v>8648</v>
      </c>
      <c r="B22" s="2" t="s">
        <v>28</v>
      </c>
      <c r="C22" s="11" t="s">
        <v>126</v>
      </c>
      <c r="D22" s="2" t="s">
        <v>30</v>
      </c>
      <c r="E22" s="2" t="s">
        <v>127</v>
      </c>
      <c r="F22" s="11" t="s">
        <v>128</v>
      </c>
      <c r="G22" s="11" t="s">
        <v>129</v>
      </c>
      <c r="H22" s="2" t="s">
        <v>130</v>
      </c>
      <c r="I22" s="2" t="s">
        <v>124</v>
      </c>
      <c r="J22" s="8">
        <f>+Tabla1[[#This Row],[FECHA ENTRADA]]</f>
        <v>45366</v>
      </c>
      <c r="K22" s="8">
        <v>45379</v>
      </c>
      <c r="L22" s="13">
        <f>_xlfn.DAYS(Tabla1[[#This Row],[FECHA FIN ]],Tabla1[[#This Row],[FECHA INICIO]])</f>
        <v>13</v>
      </c>
      <c r="M22" s="12"/>
      <c r="N22" s="12"/>
      <c r="O22" s="12">
        <f>(Tabla1[[#This Row],[COSTO FIJO ]]/30)*Tabla1[[#This Row],[TOTAL DIAS PROYECTO]]+(Tabla1[[#This Row],[COSTO TEMPORAL]])</f>
        <v>0</v>
      </c>
      <c r="P22" s="12"/>
      <c r="Q22" s="12">
        <f>+(Tabla1[[#This Row],[COSTO COCHE]]/30)*Tabla1[[#This Row],[TOTAL DIAS PROYECTO]]</f>
        <v>0</v>
      </c>
      <c r="R22" s="12">
        <f>+Tabla1[[#This Row],[COSTO TOTAL ALOJAMIENTO]]+Tabla1[[#This Row],[COSTO TOTAL COCHE]]</f>
        <v>0</v>
      </c>
      <c r="S22" s="2"/>
      <c r="T22" s="2" t="s">
        <v>35</v>
      </c>
      <c r="U22" s="14">
        <v>45366</v>
      </c>
      <c r="V22" s="14"/>
      <c r="W22" s="15"/>
      <c r="X22" s="16">
        <v>15</v>
      </c>
      <c r="Y22" s="18"/>
      <c r="Z22" s="2" t="s">
        <v>36</v>
      </c>
      <c r="AA22" s="13" t="s">
        <v>10342</v>
      </c>
      <c r="AB22" s="13" t="s">
        <v>10343</v>
      </c>
    </row>
    <row r="23" spans="1:33" s="17" customFormat="1">
      <c r="A23" s="2" t="s">
        <v>8649</v>
      </c>
      <c r="B23" s="2" t="s">
        <v>28</v>
      </c>
      <c r="C23" s="18" t="s">
        <v>131</v>
      </c>
      <c r="D23" s="2" t="s">
        <v>30</v>
      </c>
      <c r="E23" s="2" t="s">
        <v>31</v>
      </c>
      <c r="F23" s="11"/>
      <c r="G23" s="11"/>
      <c r="H23" s="2">
        <v>2023</v>
      </c>
      <c r="I23" s="12" t="s">
        <v>132</v>
      </c>
      <c r="J23" s="8">
        <f>+Tabla1[[#This Row],[FECHA ENTRADA]]</f>
        <v>0</v>
      </c>
      <c r="K23" s="22">
        <v>45380</v>
      </c>
      <c r="L23" s="13">
        <f>_xlfn.DAYS(Tabla1[[#This Row],[FECHA FIN ]],Tabla1[[#This Row],[FECHA INICIO]])</f>
        <v>45380</v>
      </c>
      <c r="M23" s="12"/>
      <c r="N23" s="12">
        <v>300</v>
      </c>
      <c r="O23" s="12">
        <f>(Tabla1[[#This Row],[COSTO FIJO ]]/30)*Tabla1[[#This Row],[TOTAL DIAS PROYECTO]]+(Tabla1[[#This Row],[COSTO TEMPORAL]])</f>
        <v>453800</v>
      </c>
      <c r="P23" s="12"/>
      <c r="Q23" s="12">
        <f>+(Tabla1[[#This Row],[COSTO COCHE]]/30)*Tabla1[[#This Row],[TOTAL DIAS PROYECTO]]</f>
        <v>0</v>
      </c>
      <c r="R23" s="12">
        <f>+Tabla1[[#This Row],[COSTO TOTAL ALOJAMIENTO]]+Tabla1[[#This Row],[COSTO TOTAL COCHE]]</f>
        <v>453800</v>
      </c>
      <c r="S23" s="2"/>
      <c r="T23" s="2" t="s">
        <v>58</v>
      </c>
      <c r="U23" s="14"/>
      <c r="V23" s="14"/>
      <c r="W23" s="15"/>
      <c r="X23" s="16"/>
      <c r="Y23" s="18" t="s">
        <v>133</v>
      </c>
      <c r="Z23" s="2" t="s">
        <v>36</v>
      </c>
      <c r="AA23" s="13" t="s">
        <v>10323</v>
      </c>
      <c r="AB23" s="13" t="s">
        <v>10324</v>
      </c>
    </row>
    <row r="24" spans="1:33" s="17" customFormat="1" ht="15" customHeight="1">
      <c r="A24" s="2" t="s">
        <v>8650</v>
      </c>
      <c r="B24" s="2" t="s">
        <v>28</v>
      </c>
      <c r="C24" s="11" t="s">
        <v>134</v>
      </c>
      <c r="D24" s="2" t="s">
        <v>30</v>
      </c>
      <c r="E24" s="2" t="s">
        <v>127</v>
      </c>
      <c r="F24" s="11" t="s">
        <v>128</v>
      </c>
      <c r="G24" s="11" t="s">
        <v>129</v>
      </c>
      <c r="H24" s="2">
        <v>2023</v>
      </c>
      <c r="I24" s="2" t="s">
        <v>124</v>
      </c>
      <c r="J24" s="8">
        <f>+Tabla1[[#This Row],[FECHA ENTRADA]]</f>
        <v>45366</v>
      </c>
      <c r="K24" s="8">
        <v>45380</v>
      </c>
      <c r="L24" s="13">
        <f>_xlfn.DAYS(Tabla1[[#This Row],[FECHA FIN ]],Tabla1[[#This Row],[FECHA INICIO]])</f>
        <v>14</v>
      </c>
      <c r="M24" s="12"/>
      <c r="N24" s="2"/>
      <c r="O24" s="12">
        <f>(Tabla1[[#This Row],[COSTO FIJO ]]/30)*Tabla1[[#This Row],[TOTAL DIAS PROYECTO]]+(Tabla1[[#This Row],[COSTO TEMPORAL]])</f>
        <v>0</v>
      </c>
      <c r="P24" s="12"/>
      <c r="Q24" s="12">
        <f>+(Tabla1[[#This Row],[COSTO COCHE]]/30)*Tabla1[[#This Row],[TOTAL DIAS PROYECTO]]</f>
        <v>0</v>
      </c>
      <c r="R24" s="12">
        <f>+Tabla1[[#This Row],[COSTO TOTAL ALOJAMIENTO]]+Tabla1[[#This Row],[COSTO TOTAL COCHE]]</f>
        <v>0</v>
      </c>
      <c r="S24" s="2"/>
      <c r="T24" s="2" t="s">
        <v>35</v>
      </c>
      <c r="U24" s="14">
        <v>45366</v>
      </c>
      <c r="V24" s="14"/>
      <c r="W24" s="15"/>
      <c r="X24" s="16">
        <v>15</v>
      </c>
      <c r="Y24" s="18"/>
      <c r="Z24" s="2" t="s">
        <v>36</v>
      </c>
      <c r="AA24" s="13" t="s">
        <v>10342</v>
      </c>
      <c r="AB24" s="13" t="s">
        <v>10343</v>
      </c>
    </row>
    <row r="25" spans="1:33" s="17" customFormat="1" ht="15" customHeight="1">
      <c r="A25" s="2" t="s">
        <v>8651</v>
      </c>
      <c r="B25" s="2" t="s">
        <v>28</v>
      </c>
      <c r="C25" s="11" t="s">
        <v>135</v>
      </c>
      <c r="D25" s="2" t="s">
        <v>78</v>
      </c>
      <c r="E25" s="2" t="s">
        <v>136</v>
      </c>
      <c r="F25" s="11" t="s">
        <v>137</v>
      </c>
      <c r="G25" s="11" t="s">
        <v>138</v>
      </c>
      <c r="H25" s="2" t="s">
        <v>139</v>
      </c>
      <c r="I25" s="12" t="s">
        <v>140</v>
      </c>
      <c r="J25" s="8">
        <f>+Tabla1[[#This Row],[FECHA ENTRADA]]</f>
        <v>45375</v>
      </c>
      <c r="K25" s="8">
        <v>45381</v>
      </c>
      <c r="L25" s="13">
        <f>_xlfn.DAYS(Tabla1[[#This Row],[FECHA FIN ]],Tabla1[[#This Row],[FECHA INICIO]])</f>
        <v>6</v>
      </c>
      <c r="M25" s="12"/>
      <c r="N25" s="28"/>
      <c r="O25" s="12">
        <f>(Tabla1[[#This Row],[COSTO FIJO ]]/30)*Tabla1[[#This Row],[TOTAL DIAS PROYECTO]]+(Tabla1[[#This Row],[COSTO TEMPORAL]])</f>
        <v>0</v>
      </c>
      <c r="P25" s="12"/>
      <c r="Q25" s="12">
        <f>+(Tabla1[[#This Row],[COSTO COCHE]]/30)*Tabla1[[#This Row],[TOTAL DIAS PROYECTO]]</f>
        <v>0</v>
      </c>
      <c r="R25" s="12">
        <f>+Tabla1[[#This Row],[COSTO TOTAL ALOJAMIENTO]]+Tabla1[[#This Row],[COSTO TOTAL COCHE]]</f>
        <v>0</v>
      </c>
      <c r="S25" s="2" t="s">
        <v>84</v>
      </c>
      <c r="T25" s="2" t="s">
        <v>44</v>
      </c>
      <c r="U25" s="14">
        <v>45375</v>
      </c>
      <c r="V25" s="14">
        <v>45383</v>
      </c>
      <c r="W25" s="15"/>
      <c r="X25" s="16"/>
      <c r="Y25" s="18"/>
      <c r="Z25" s="2" t="s">
        <v>36</v>
      </c>
      <c r="AA25" s="13" t="s">
        <v>10344</v>
      </c>
      <c r="AB25" s="13">
        <v>440.18799999999999</v>
      </c>
    </row>
    <row r="26" spans="1:33" s="17" customFormat="1" ht="15" customHeight="1">
      <c r="A26" s="2" t="s">
        <v>8652</v>
      </c>
      <c r="B26" s="2" t="s">
        <v>28</v>
      </c>
      <c r="C26" s="18" t="s">
        <v>141</v>
      </c>
      <c r="D26" s="2" t="s">
        <v>78</v>
      </c>
      <c r="E26" s="2" t="s">
        <v>79</v>
      </c>
      <c r="F26" s="11" t="s">
        <v>142</v>
      </c>
      <c r="G26" s="11" t="s">
        <v>143</v>
      </c>
      <c r="H26" s="2" t="s">
        <v>144</v>
      </c>
      <c r="I26" s="29" t="s">
        <v>145</v>
      </c>
      <c r="J26" s="8">
        <f>+Tabla1[[#This Row],[FECHA ENTRADA]]</f>
        <v>45346</v>
      </c>
      <c r="K26" s="8">
        <v>45381</v>
      </c>
      <c r="L26" s="13">
        <f>_xlfn.DAYS(Tabla1[[#This Row],[FECHA FIN ]],Tabla1[[#This Row],[FECHA INICIO]])</f>
        <v>35</v>
      </c>
      <c r="M26" s="2"/>
      <c r="N26" s="12">
        <v>505.92</v>
      </c>
      <c r="O26" s="12">
        <f>(Tabla1[[#This Row],[COSTO FIJO ]]/30)*Tabla1[[#This Row],[TOTAL DIAS PROYECTO]]+(Tabla1[[#This Row],[COSTO TEMPORAL]])</f>
        <v>590.24</v>
      </c>
      <c r="P26" s="12"/>
      <c r="Q26" s="12">
        <f>+(Tabla1[[#This Row],[COSTO COCHE]]/30)*Tabla1[[#This Row],[TOTAL DIAS PROYECTO]]</f>
        <v>0</v>
      </c>
      <c r="R26" s="12">
        <f>+Tabla1[[#This Row],[COSTO TOTAL ALOJAMIENTO]]+Tabla1[[#This Row],[COSTO TOTAL COCHE]]</f>
        <v>590.24</v>
      </c>
      <c r="S26" s="2"/>
      <c r="T26" s="2" t="s">
        <v>44</v>
      </c>
      <c r="U26" s="14">
        <v>45346</v>
      </c>
      <c r="V26" s="14">
        <v>45406</v>
      </c>
      <c r="W26" s="15"/>
      <c r="X26" s="16">
        <v>23</v>
      </c>
      <c r="Y26" s="18" t="s">
        <v>146</v>
      </c>
      <c r="Z26" s="2" t="s">
        <v>36</v>
      </c>
      <c r="AA26" s="13" t="s">
        <v>10333</v>
      </c>
      <c r="AB26" s="13" t="s">
        <v>10334</v>
      </c>
    </row>
    <row r="27" spans="1:33" s="17" customFormat="1" ht="15" customHeight="1">
      <c r="A27" s="2" t="s">
        <v>8653</v>
      </c>
      <c r="B27" s="2" t="s">
        <v>28</v>
      </c>
      <c r="C27" s="18" t="s">
        <v>147</v>
      </c>
      <c r="D27" s="2" t="s">
        <v>78</v>
      </c>
      <c r="E27" s="2" t="s">
        <v>79</v>
      </c>
      <c r="F27" s="11" t="s">
        <v>142</v>
      </c>
      <c r="G27" s="11" t="s">
        <v>143</v>
      </c>
      <c r="H27" s="2" t="s">
        <v>144</v>
      </c>
      <c r="I27" s="29" t="s">
        <v>145</v>
      </c>
      <c r="J27" s="8">
        <f>+Tabla1[[#This Row],[FECHA ENTRADA]]</f>
        <v>45346</v>
      </c>
      <c r="K27" s="8">
        <v>45381</v>
      </c>
      <c r="L27" s="13">
        <f>_xlfn.DAYS(Tabla1[[#This Row],[FECHA FIN ]],Tabla1[[#This Row],[FECHA INICIO]])</f>
        <v>35</v>
      </c>
      <c r="M27" s="2"/>
      <c r="N27" s="12">
        <v>505.92</v>
      </c>
      <c r="O27" s="12">
        <f>(Tabla1[[#This Row],[COSTO FIJO ]]/30)*Tabla1[[#This Row],[TOTAL DIAS PROYECTO]]+(Tabla1[[#This Row],[COSTO TEMPORAL]])</f>
        <v>590.24</v>
      </c>
      <c r="P27" s="12"/>
      <c r="Q27" s="12">
        <f>+(Tabla1[[#This Row],[COSTO COCHE]]/30)*Tabla1[[#This Row],[TOTAL DIAS PROYECTO]]</f>
        <v>0</v>
      </c>
      <c r="R27" s="12">
        <f>+Tabla1[[#This Row],[COSTO TOTAL ALOJAMIENTO]]+Tabla1[[#This Row],[COSTO TOTAL COCHE]]</f>
        <v>590.24</v>
      </c>
      <c r="S27" s="2"/>
      <c r="T27" s="2" t="s">
        <v>44</v>
      </c>
      <c r="U27" s="14">
        <v>45346</v>
      </c>
      <c r="V27" s="14">
        <v>45406</v>
      </c>
      <c r="W27" s="15"/>
      <c r="X27" s="16">
        <v>23</v>
      </c>
      <c r="Y27" s="18" t="s">
        <v>146</v>
      </c>
      <c r="Z27" s="2" t="s">
        <v>36</v>
      </c>
      <c r="AA27" s="13" t="s">
        <v>10333</v>
      </c>
      <c r="AB27" s="13" t="s">
        <v>10334</v>
      </c>
    </row>
    <row r="28" spans="1:33" s="17" customFormat="1" ht="15" customHeight="1">
      <c r="A28" s="2" t="s">
        <v>8654</v>
      </c>
      <c r="B28" s="2" t="s">
        <v>28</v>
      </c>
      <c r="C28" s="11" t="s">
        <v>148</v>
      </c>
      <c r="D28" s="2" t="s">
        <v>78</v>
      </c>
      <c r="E28" s="2" t="s">
        <v>79</v>
      </c>
      <c r="F28" s="11" t="s">
        <v>142</v>
      </c>
      <c r="G28" s="11" t="s">
        <v>143</v>
      </c>
      <c r="H28" s="2" t="s">
        <v>144</v>
      </c>
      <c r="I28" s="29" t="s">
        <v>145</v>
      </c>
      <c r="J28" s="8">
        <f>+Tabla1[[#This Row],[FECHA ENTRADA]]</f>
        <v>45346</v>
      </c>
      <c r="K28" s="8">
        <v>45381</v>
      </c>
      <c r="L28" s="13">
        <f>_xlfn.DAYS(Tabla1[[#This Row],[FECHA FIN ]],Tabla1[[#This Row],[FECHA INICIO]])</f>
        <v>35</v>
      </c>
      <c r="M28" s="2"/>
      <c r="N28" s="12">
        <v>505.92</v>
      </c>
      <c r="O28" s="12">
        <f>(Tabla1[[#This Row],[COSTO FIJO ]]/30)*Tabla1[[#This Row],[TOTAL DIAS PROYECTO]]+(Tabla1[[#This Row],[COSTO TEMPORAL]])</f>
        <v>590.24</v>
      </c>
      <c r="P28" s="12"/>
      <c r="Q28" s="12">
        <f>+(Tabla1[[#This Row],[COSTO COCHE]]/30)*Tabla1[[#This Row],[TOTAL DIAS PROYECTO]]</f>
        <v>0</v>
      </c>
      <c r="R28" s="12">
        <f>+Tabla1[[#This Row],[COSTO TOTAL ALOJAMIENTO]]+Tabla1[[#This Row],[COSTO TOTAL COCHE]]</f>
        <v>590.24</v>
      </c>
      <c r="S28" s="2"/>
      <c r="T28" s="2" t="s">
        <v>44</v>
      </c>
      <c r="U28" s="14">
        <v>45346</v>
      </c>
      <c r="V28" s="14">
        <v>45406</v>
      </c>
      <c r="W28" s="15"/>
      <c r="X28" s="16">
        <v>23</v>
      </c>
      <c r="Y28" s="18" t="s">
        <v>146</v>
      </c>
      <c r="Z28" s="2" t="s">
        <v>36</v>
      </c>
      <c r="AA28" s="13" t="s">
        <v>10333</v>
      </c>
      <c r="AB28" s="13" t="s">
        <v>10334</v>
      </c>
    </row>
    <row r="29" spans="1:33" s="17" customFormat="1" ht="15" customHeight="1">
      <c r="A29" s="2" t="s">
        <v>8655</v>
      </c>
      <c r="B29" s="2" t="s">
        <v>28</v>
      </c>
      <c r="C29" s="18" t="s">
        <v>149</v>
      </c>
      <c r="D29" s="2" t="s">
        <v>78</v>
      </c>
      <c r="E29" s="2" t="s">
        <v>136</v>
      </c>
      <c r="F29" s="11"/>
      <c r="G29" s="11"/>
      <c r="H29" s="2" t="s">
        <v>139</v>
      </c>
      <c r="I29" s="12" t="s">
        <v>140</v>
      </c>
      <c r="J29" s="8">
        <f>+Tabla1[[#This Row],[FECHA ENTRADA]]</f>
        <v>45375</v>
      </c>
      <c r="K29" s="8">
        <v>45381</v>
      </c>
      <c r="L29" s="13">
        <f>_xlfn.DAYS(Tabla1[[#This Row],[FECHA FIN ]],Tabla1[[#This Row],[FECHA INICIO]])</f>
        <v>6</v>
      </c>
      <c r="M29" s="12"/>
      <c r="N29" s="20"/>
      <c r="O29" s="12">
        <f>(Tabla1[[#This Row],[COSTO FIJO ]]/30)*Tabla1[[#This Row],[TOTAL DIAS PROYECTO]]+(Tabla1[[#This Row],[COSTO TEMPORAL]])</f>
        <v>0</v>
      </c>
      <c r="P29" s="12"/>
      <c r="Q29" s="12">
        <f>+(Tabla1[[#This Row],[COSTO COCHE]]/30)*Tabla1[[#This Row],[TOTAL DIAS PROYECTO]]</f>
        <v>0</v>
      </c>
      <c r="R29" s="12">
        <f>+Tabla1[[#This Row],[COSTO TOTAL ALOJAMIENTO]]+Tabla1[[#This Row],[COSTO TOTAL COCHE]]</f>
        <v>0</v>
      </c>
      <c r="S29" s="2" t="s">
        <v>84</v>
      </c>
      <c r="T29" s="2" t="s">
        <v>44</v>
      </c>
      <c r="U29" s="14">
        <v>45375</v>
      </c>
      <c r="V29" s="14"/>
      <c r="W29" s="15"/>
      <c r="X29" s="16"/>
      <c r="Y29" s="18"/>
      <c r="Z29" s="2" t="s">
        <v>36</v>
      </c>
      <c r="AA29" s="13" t="s">
        <v>10344</v>
      </c>
      <c r="AB29" s="13">
        <v>440.18799999999999</v>
      </c>
    </row>
    <row r="30" spans="1:33" s="17" customFormat="1">
      <c r="A30" s="2" t="s">
        <v>8656</v>
      </c>
      <c r="B30" s="2" t="s">
        <v>28</v>
      </c>
      <c r="C30" s="18" t="s">
        <v>150</v>
      </c>
      <c r="D30" s="2" t="s">
        <v>30</v>
      </c>
      <c r="E30" s="2" t="s">
        <v>151</v>
      </c>
      <c r="F30" s="11"/>
      <c r="G30" s="11"/>
      <c r="H30" s="2">
        <v>2023</v>
      </c>
      <c r="I30" s="12" t="s">
        <v>152</v>
      </c>
      <c r="J30" s="8">
        <f>+Tabla1[[#This Row],[FECHA ENTRADA]]</f>
        <v>45347</v>
      </c>
      <c r="K30" s="22">
        <v>45382</v>
      </c>
      <c r="L30" s="13">
        <f>_xlfn.DAYS(Tabla1[[#This Row],[FECHA FIN ]],Tabla1[[#This Row],[FECHA INICIO]])</f>
        <v>35</v>
      </c>
      <c r="M30" s="12"/>
      <c r="N30" s="12">
        <v>300</v>
      </c>
      <c r="O30" s="12">
        <f>(Tabla1[[#This Row],[COSTO FIJO ]]/30)*Tabla1[[#This Row],[TOTAL DIAS PROYECTO]]+(Tabla1[[#This Row],[COSTO TEMPORAL]])</f>
        <v>350</v>
      </c>
      <c r="P30" s="12"/>
      <c r="Q30" s="12">
        <f>+(Tabla1[[#This Row],[COSTO COCHE]]/30)*Tabla1[[#This Row],[TOTAL DIAS PROYECTO]]</f>
        <v>0</v>
      </c>
      <c r="R30" s="12">
        <f>+Tabla1[[#This Row],[COSTO TOTAL ALOJAMIENTO]]+Tabla1[[#This Row],[COSTO TOTAL COCHE]]</f>
        <v>350</v>
      </c>
      <c r="S30" s="2"/>
      <c r="T30" s="2" t="s">
        <v>58</v>
      </c>
      <c r="U30" s="14">
        <v>45347</v>
      </c>
      <c r="V30" s="14">
        <v>45382</v>
      </c>
      <c r="W30" s="15"/>
      <c r="X30" s="16"/>
      <c r="Y30" s="18" t="s">
        <v>153</v>
      </c>
      <c r="Z30" s="2" t="s">
        <v>36</v>
      </c>
      <c r="AA30" s="13" t="s">
        <v>10345</v>
      </c>
      <c r="AB30" s="13" t="s">
        <v>10346</v>
      </c>
    </row>
    <row r="31" spans="1:33">
      <c r="A31" s="2" t="s">
        <v>8657</v>
      </c>
      <c r="B31" s="2" t="s">
        <v>28</v>
      </c>
      <c r="C31" s="18" t="s">
        <v>154</v>
      </c>
      <c r="D31" s="2" t="s">
        <v>30</v>
      </c>
      <c r="E31" s="2" t="s">
        <v>114</v>
      </c>
      <c r="F31" s="11" t="s">
        <v>155</v>
      </c>
      <c r="G31" s="30" t="s">
        <v>156</v>
      </c>
      <c r="H31" s="2" t="s">
        <v>157</v>
      </c>
      <c r="I31" s="2" t="s">
        <v>158</v>
      </c>
      <c r="J31" s="8">
        <f>+Tabla1[[#This Row],[FECHA ENTRADA]]</f>
        <v>45354</v>
      </c>
      <c r="K31" s="8">
        <v>45384</v>
      </c>
      <c r="L31" s="13">
        <f>_xlfn.DAYS(Tabla1[[#This Row],[FECHA FIN ]],Tabla1[[#This Row],[FECHA INICIO]])</f>
        <v>30</v>
      </c>
      <c r="M31" s="2"/>
      <c r="N31" s="12">
        <v>500</v>
      </c>
      <c r="O31" s="12">
        <f>(Tabla1[[#This Row],[COSTO FIJO ]]/30)*Tabla1[[#This Row],[TOTAL DIAS PROYECTO]]+(Tabla1[[#This Row],[COSTO TEMPORAL]])</f>
        <v>500.00000000000006</v>
      </c>
      <c r="P31" s="12"/>
      <c r="Q31" s="12">
        <f>+(Tabla1[[#This Row],[COSTO COCHE]]/30)*Tabla1[[#This Row],[TOTAL DIAS PROYECTO]]</f>
        <v>0</v>
      </c>
      <c r="R31" s="12">
        <f>+Tabla1[[#This Row],[COSTO TOTAL ALOJAMIENTO]]+Tabla1[[#This Row],[COSTO TOTAL COCHE]]</f>
        <v>500.00000000000006</v>
      </c>
      <c r="S31" s="2"/>
      <c r="T31" s="2" t="s">
        <v>35</v>
      </c>
      <c r="U31" s="14">
        <v>45354</v>
      </c>
      <c r="V31" s="14"/>
      <c r="W31" s="15"/>
      <c r="X31" s="16">
        <v>2</v>
      </c>
      <c r="Y31" s="18" t="s">
        <v>159</v>
      </c>
      <c r="Z31" s="2" t="s">
        <v>36</v>
      </c>
      <c r="AA31" s="13" t="s">
        <v>10340</v>
      </c>
      <c r="AB31" s="13" t="s">
        <v>10341</v>
      </c>
    </row>
    <row r="32" spans="1:33" s="17" customFormat="1" ht="15" customHeight="1">
      <c r="A32" s="2" t="s">
        <v>8642</v>
      </c>
      <c r="B32" s="2" t="s">
        <v>28</v>
      </c>
      <c r="C32" s="18" t="s">
        <v>160</v>
      </c>
      <c r="D32" s="2" t="s">
        <v>161</v>
      </c>
      <c r="E32" s="2" t="s">
        <v>162</v>
      </c>
      <c r="F32" s="11" t="s">
        <v>163</v>
      </c>
      <c r="G32" s="30" t="s">
        <v>156</v>
      </c>
      <c r="H32" s="2" t="s">
        <v>164</v>
      </c>
      <c r="I32" s="2" t="s">
        <v>165</v>
      </c>
      <c r="J32" s="8">
        <f>+Tabla1[[#This Row],[FECHA ENTRADA]]</f>
        <v>45355</v>
      </c>
      <c r="K32" s="8">
        <v>45384</v>
      </c>
      <c r="L32" s="13">
        <f>_xlfn.DAYS(Tabla1[[#This Row],[FECHA FIN ]],Tabla1[[#This Row],[FECHA INICIO]])</f>
        <v>29</v>
      </c>
      <c r="M32" s="12"/>
      <c r="N32" s="12">
        <v>325</v>
      </c>
      <c r="O32" s="12">
        <f>(Tabla1[[#This Row],[COSTO FIJO ]]/30)*Tabla1[[#This Row],[TOTAL DIAS PROYECTO]]+(Tabla1[[#This Row],[COSTO TEMPORAL]])</f>
        <v>314.16666666666669</v>
      </c>
      <c r="P32" s="12"/>
      <c r="Q32" s="12">
        <f>+(Tabla1[[#This Row],[COSTO COCHE]]/30)*Tabla1[[#This Row],[TOTAL DIAS PROYECTO]]</f>
        <v>0</v>
      </c>
      <c r="R32" s="12">
        <f>+Tabla1[[#This Row],[COSTO TOTAL ALOJAMIENTO]]+Tabla1[[#This Row],[COSTO TOTAL COCHE]]</f>
        <v>314.16666666666669</v>
      </c>
      <c r="S32" s="2" t="s">
        <v>84</v>
      </c>
      <c r="T32" s="2" t="s">
        <v>35</v>
      </c>
      <c r="U32" s="14">
        <v>45355</v>
      </c>
      <c r="V32" s="14"/>
      <c r="W32" s="15"/>
      <c r="X32" s="16">
        <v>3</v>
      </c>
      <c r="Y32" s="18" t="s">
        <v>166</v>
      </c>
      <c r="Z32" s="2" t="s">
        <v>36</v>
      </c>
      <c r="AA32" s="13" t="s">
        <v>10347</v>
      </c>
      <c r="AB32" s="13" t="s">
        <v>10348</v>
      </c>
    </row>
    <row r="33" spans="1:28" s="17" customFormat="1" ht="15" customHeight="1">
      <c r="A33" s="2" t="s">
        <v>8638</v>
      </c>
      <c r="B33" s="2" t="s">
        <v>28</v>
      </c>
      <c r="C33" s="18" t="s">
        <v>167</v>
      </c>
      <c r="D33" s="2" t="s">
        <v>161</v>
      </c>
      <c r="E33" s="2" t="s">
        <v>162</v>
      </c>
      <c r="F33" s="11" t="s">
        <v>163</v>
      </c>
      <c r="G33" s="30" t="s">
        <v>156</v>
      </c>
      <c r="H33" s="2" t="s">
        <v>164</v>
      </c>
      <c r="I33" s="2" t="s">
        <v>165</v>
      </c>
      <c r="J33" s="8">
        <f>+Tabla1[[#This Row],[FECHA ENTRADA]]</f>
        <v>45364</v>
      </c>
      <c r="K33" s="8">
        <v>45384</v>
      </c>
      <c r="L33" s="13">
        <f>_xlfn.DAYS(Tabla1[[#This Row],[FECHA FIN ]],Tabla1[[#This Row],[FECHA INICIO]])</f>
        <v>20</v>
      </c>
      <c r="M33" s="2"/>
      <c r="N33" s="12">
        <v>325</v>
      </c>
      <c r="O33" s="12">
        <f>(Tabla1[[#This Row],[COSTO FIJO ]]/30)*Tabla1[[#This Row],[TOTAL DIAS PROYECTO]]+(Tabla1[[#This Row],[COSTO TEMPORAL]])</f>
        <v>216.66666666666669</v>
      </c>
      <c r="P33" s="12"/>
      <c r="Q33" s="12">
        <f>+(Tabla1[[#This Row],[COSTO COCHE]]/30)*Tabla1[[#This Row],[TOTAL DIAS PROYECTO]]</f>
        <v>0</v>
      </c>
      <c r="R33" s="12">
        <f>+Tabla1[[#This Row],[COSTO TOTAL ALOJAMIENTO]]+Tabla1[[#This Row],[COSTO TOTAL COCHE]]</f>
        <v>216.66666666666669</v>
      </c>
      <c r="S33" s="2" t="s">
        <v>84</v>
      </c>
      <c r="T33" s="2" t="s">
        <v>35</v>
      </c>
      <c r="U33" s="14">
        <v>45364</v>
      </c>
      <c r="V33" s="14"/>
      <c r="W33" s="15"/>
      <c r="X33" s="16">
        <v>3</v>
      </c>
      <c r="Y33" s="18" t="s">
        <v>168</v>
      </c>
      <c r="Z33" s="2" t="s">
        <v>36</v>
      </c>
      <c r="AA33" s="13" t="s">
        <v>10347</v>
      </c>
      <c r="AB33" s="13" t="s">
        <v>10348</v>
      </c>
    </row>
    <row r="34" spans="1:28" s="17" customFormat="1">
      <c r="A34" s="2" t="s">
        <v>8658</v>
      </c>
      <c r="B34" s="2" t="s">
        <v>28</v>
      </c>
      <c r="C34" s="18" t="s">
        <v>169</v>
      </c>
      <c r="D34" s="2" t="s">
        <v>161</v>
      </c>
      <c r="E34" s="2" t="s">
        <v>162</v>
      </c>
      <c r="F34" s="11"/>
      <c r="G34" s="11"/>
      <c r="H34" s="2" t="s">
        <v>164</v>
      </c>
      <c r="I34" s="2" t="s">
        <v>165</v>
      </c>
      <c r="J34" s="8">
        <f>+Tabla1[[#This Row],[FECHA ENTRADA]]</f>
        <v>45355</v>
      </c>
      <c r="K34" s="8">
        <v>45384</v>
      </c>
      <c r="L34" s="13">
        <f>_xlfn.DAYS(Tabla1[[#This Row],[FECHA FIN ]],Tabla1[[#This Row],[FECHA INICIO]])</f>
        <v>29</v>
      </c>
      <c r="M34" s="12"/>
      <c r="N34" s="12">
        <v>300</v>
      </c>
      <c r="O34" s="12">
        <f>(Tabla1[[#This Row],[COSTO FIJO ]]/30)*Tabla1[[#This Row],[TOTAL DIAS PROYECTO]]+(Tabla1[[#This Row],[COSTO TEMPORAL]])</f>
        <v>290</v>
      </c>
      <c r="P34" s="12"/>
      <c r="Q34" s="12">
        <f>+(Tabla1[[#This Row],[COSTO COCHE]]/30)*Tabla1[[#This Row],[TOTAL DIAS PROYECTO]]</f>
        <v>0</v>
      </c>
      <c r="R34" s="12">
        <f>+Tabla1[[#This Row],[COSTO TOTAL ALOJAMIENTO]]+Tabla1[[#This Row],[COSTO TOTAL COCHE]]</f>
        <v>290</v>
      </c>
      <c r="S34" s="2" t="s">
        <v>84</v>
      </c>
      <c r="T34" s="2" t="s">
        <v>58</v>
      </c>
      <c r="U34" s="14">
        <v>45355</v>
      </c>
      <c r="V34" s="14"/>
      <c r="W34" s="15"/>
      <c r="X34" s="16"/>
      <c r="Y34" s="18" t="s">
        <v>166</v>
      </c>
      <c r="Z34" s="2" t="s">
        <v>36</v>
      </c>
      <c r="AA34" s="13" t="s">
        <v>10347</v>
      </c>
      <c r="AB34" s="13" t="s">
        <v>10348</v>
      </c>
    </row>
    <row r="35" spans="1:28" s="17" customFormat="1">
      <c r="A35" s="2" t="s">
        <v>8659</v>
      </c>
      <c r="B35" s="2" t="s">
        <v>28</v>
      </c>
      <c r="C35" s="18" t="s">
        <v>170</v>
      </c>
      <c r="D35" s="2" t="s">
        <v>161</v>
      </c>
      <c r="E35" s="2" t="s">
        <v>162</v>
      </c>
      <c r="F35" s="11"/>
      <c r="G35" s="11"/>
      <c r="H35" s="2" t="s">
        <v>164</v>
      </c>
      <c r="I35" s="2" t="s">
        <v>165</v>
      </c>
      <c r="J35" s="8">
        <f>+Tabla1[[#This Row],[FECHA ENTRADA]]</f>
        <v>45355</v>
      </c>
      <c r="K35" s="8">
        <v>45384</v>
      </c>
      <c r="L35" s="13">
        <f>_xlfn.DAYS(Tabla1[[#This Row],[FECHA FIN ]],Tabla1[[#This Row],[FECHA INICIO]])</f>
        <v>29</v>
      </c>
      <c r="M35" s="12"/>
      <c r="N35" s="12">
        <v>300</v>
      </c>
      <c r="O35" s="12">
        <f>(Tabla1[[#This Row],[COSTO FIJO ]]/30)*Tabla1[[#This Row],[TOTAL DIAS PROYECTO]]+(Tabla1[[#This Row],[COSTO TEMPORAL]])</f>
        <v>290</v>
      </c>
      <c r="P35" s="12"/>
      <c r="Q35" s="12">
        <f>+(Tabla1[[#This Row],[COSTO COCHE]]/30)*Tabla1[[#This Row],[TOTAL DIAS PROYECTO]]</f>
        <v>0</v>
      </c>
      <c r="R35" s="12">
        <f>+Tabla1[[#This Row],[COSTO TOTAL ALOJAMIENTO]]+Tabla1[[#This Row],[COSTO TOTAL COCHE]]</f>
        <v>290</v>
      </c>
      <c r="S35" s="2" t="s">
        <v>84</v>
      </c>
      <c r="T35" s="2" t="s">
        <v>58</v>
      </c>
      <c r="U35" s="14">
        <v>45355</v>
      </c>
      <c r="V35" s="14">
        <v>45362</v>
      </c>
      <c r="W35" s="15"/>
      <c r="X35" s="16"/>
      <c r="Y35" s="18" t="s">
        <v>171</v>
      </c>
      <c r="Z35" s="2" t="s">
        <v>36</v>
      </c>
      <c r="AA35" s="13" t="s">
        <v>10347</v>
      </c>
      <c r="AB35" s="13" t="s">
        <v>10348</v>
      </c>
    </row>
    <row r="36" spans="1:28" s="17" customFormat="1" ht="15" customHeight="1">
      <c r="A36" s="2" t="s">
        <v>8660</v>
      </c>
      <c r="B36" s="2" t="s">
        <v>28</v>
      </c>
      <c r="C36" s="11" t="s">
        <v>172</v>
      </c>
      <c r="D36" s="2" t="s">
        <v>30</v>
      </c>
      <c r="E36" s="2" t="s">
        <v>114</v>
      </c>
      <c r="F36" s="11" t="s">
        <v>173</v>
      </c>
      <c r="G36" s="11" t="s">
        <v>174</v>
      </c>
      <c r="H36" s="2" t="s">
        <v>175</v>
      </c>
      <c r="I36" s="12" t="s">
        <v>158</v>
      </c>
      <c r="J36" s="8">
        <f>+Tabla1[[#This Row],[FECHA ENTRADA]]</f>
        <v>45363</v>
      </c>
      <c r="K36" s="8">
        <v>45384</v>
      </c>
      <c r="L36" s="13">
        <f>_xlfn.DAYS(Tabla1[[#This Row],[FECHA FIN ]],Tabla1[[#This Row],[FECHA INICIO]])</f>
        <v>21</v>
      </c>
      <c r="M36" s="12">
        <v>168.75</v>
      </c>
      <c r="N36" s="28"/>
      <c r="O36" s="12">
        <f>(Tabla1[[#This Row],[COSTO FIJO ]]/30)*Tabla1[[#This Row],[TOTAL DIAS PROYECTO]]+(Tabla1[[#This Row],[COSTO TEMPORAL]])</f>
        <v>168.75</v>
      </c>
      <c r="P36" s="12"/>
      <c r="Q36" s="12">
        <f>+(Tabla1[[#This Row],[COSTO COCHE]]/30)*Tabla1[[#This Row],[TOTAL DIAS PROYECTO]]</f>
        <v>0</v>
      </c>
      <c r="R36" s="12">
        <f>+Tabla1[[#This Row],[COSTO TOTAL ALOJAMIENTO]]+Tabla1[[#This Row],[COSTO TOTAL COCHE]]</f>
        <v>168.75</v>
      </c>
      <c r="S36" s="2"/>
      <c r="T36" s="2" t="s">
        <v>35</v>
      </c>
      <c r="U36" s="14">
        <v>45363</v>
      </c>
      <c r="V36" s="14"/>
      <c r="W36" s="15"/>
      <c r="X36" s="16">
        <v>12</v>
      </c>
      <c r="Y36" s="18" t="s">
        <v>176</v>
      </c>
      <c r="Z36" s="2" t="s">
        <v>36</v>
      </c>
      <c r="AA36" s="13" t="s">
        <v>10340</v>
      </c>
      <c r="AB36" s="13" t="s">
        <v>10341</v>
      </c>
    </row>
    <row r="37" spans="1:28" s="17" customFormat="1" ht="15" customHeight="1">
      <c r="A37" s="2" t="s">
        <v>8661</v>
      </c>
      <c r="B37" s="2" t="s">
        <v>28</v>
      </c>
      <c r="C37" s="18" t="s">
        <v>177</v>
      </c>
      <c r="D37" s="2" t="s">
        <v>30</v>
      </c>
      <c r="E37" s="2" t="s">
        <v>31</v>
      </c>
      <c r="F37" s="11" t="s">
        <v>178</v>
      </c>
      <c r="G37" s="31" t="s">
        <v>179</v>
      </c>
      <c r="H37" s="2" t="s">
        <v>180</v>
      </c>
      <c r="I37" s="2" t="s">
        <v>181</v>
      </c>
      <c r="J37" s="8">
        <f>+Tabla1[[#This Row],[FECHA ENTRADA]]</f>
        <v>45354</v>
      </c>
      <c r="K37" s="8">
        <v>45385</v>
      </c>
      <c r="L37" s="13">
        <f>_xlfn.DAYS(Tabla1[[#This Row],[FECHA FIN ]],Tabla1[[#This Row],[FECHA INICIO]])</f>
        <v>31</v>
      </c>
      <c r="M37" s="2"/>
      <c r="N37" s="12">
        <v>300</v>
      </c>
      <c r="O37" s="12">
        <f>(Tabla1[[#This Row],[COSTO FIJO ]]/30)*Tabla1[[#This Row],[TOTAL DIAS PROYECTO]]+(Tabla1[[#This Row],[COSTO TEMPORAL]])</f>
        <v>310</v>
      </c>
      <c r="P37" s="12"/>
      <c r="Q37" s="12">
        <f>+(Tabla1[[#This Row],[COSTO COCHE]]/30)*Tabla1[[#This Row],[TOTAL DIAS PROYECTO]]</f>
        <v>0</v>
      </c>
      <c r="R37" s="12">
        <f>+Tabla1[[#This Row],[COSTO TOTAL ALOJAMIENTO]]+Tabla1[[#This Row],[COSTO TOTAL COCHE]]</f>
        <v>310</v>
      </c>
      <c r="S37" s="2"/>
      <c r="T37" s="2" t="s">
        <v>35</v>
      </c>
      <c r="U37" s="14">
        <v>45354</v>
      </c>
      <c r="V37" s="14">
        <v>45394</v>
      </c>
      <c r="W37" s="15">
        <v>300</v>
      </c>
      <c r="X37" s="16">
        <v>3</v>
      </c>
      <c r="Y37" s="18" t="s">
        <v>182</v>
      </c>
      <c r="Z37" s="2" t="s">
        <v>36</v>
      </c>
      <c r="AA37" s="13" t="s">
        <v>10323</v>
      </c>
      <c r="AB37" s="13" t="s">
        <v>10324</v>
      </c>
    </row>
    <row r="38" spans="1:28" s="17" customFormat="1" ht="15" customHeight="1">
      <c r="A38" s="2" t="s">
        <v>8638</v>
      </c>
      <c r="B38" s="2" t="s">
        <v>28</v>
      </c>
      <c r="C38" s="11" t="s">
        <v>183</v>
      </c>
      <c r="D38" s="2" t="s">
        <v>30</v>
      </c>
      <c r="E38" s="2" t="s">
        <v>114</v>
      </c>
      <c r="F38" s="11" t="s">
        <v>173</v>
      </c>
      <c r="G38" s="11" t="s">
        <v>174</v>
      </c>
      <c r="H38" s="2" t="s">
        <v>175</v>
      </c>
      <c r="I38" s="12" t="s">
        <v>158</v>
      </c>
      <c r="J38" s="8">
        <f>+Tabla1[[#This Row],[FECHA ENTRADA]]</f>
        <v>45363</v>
      </c>
      <c r="K38" s="8">
        <v>45385</v>
      </c>
      <c r="L38" s="13">
        <f>_xlfn.DAYS(Tabla1[[#This Row],[FECHA FIN ]],Tabla1[[#This Row],[FECHA INICIO]])</f>
        <v>22</v>
      </c>
      <c r="M38" s="12"/>
      <c r="N38" s="12">
        <v>168.75</v>
      </c>
      <c r="O38" s="12">
        <f>(Tabla1[[#This Row],[COSTO FIJO ]]/30)*Tabla1[[#This Row],[TOTAL DIAS PROYECTO]]+(Tabla1[[#This Row],[COSTO TEMPORAL]])</f>
        <v>123.75</v>
      </c>
      <c r="P38" s="12"/>
      <c r="Q38" s="12">
        <f>+(Tabla1[[#This Row],[COSTO COCHE]]/30)*Tabla1[[#This Row],[TOTAL DIAS PROYECTO]]</f>
        <v>0</v>
      </c>
      <c r="R38" s="12">
        <f>+Tabla1[[#This Row],[COSTO TOTAL ALOJAMIENTO]]+Tabla1[[#This Row],[COSTO TOTAL COCHE]]</f>
        <v>123.75</v>
      </c>
      <c r="S38" s="2"/>
      <c r="T38" s="2" t="s">
        <v>35</v>
      </c>
      <c r="U38" s="14">
        <v>45363</v>
      </c>
      <c r="V38" s="14"/>
      <c r="W38" s="15"/>
      <c r="X38" s="16">
        <v>12</v>
      </c>
      <c r="Y38" s="18" t="s">
        <v>184</v>
      </c>
      <c r="Z38" s="2" t="s">
        <v>36</v>
      </c>
      <c r="AA38" s="13" t="s">
        <v>10340</v>
      </c>
      <c r="AB38" s="13" t="s">
        <v>10341</v>
      </c>
    </row>
    <row r="39" spans="1:28" s="17" customFormat="1" ht="15" customHeight="1">
      <c r="A39" s="2" t="s">
        <v>8662</v>
      </c>
      <c r="B39" s="2" t="s">
        <v>28</v>
      </c>
      <c r="C39" s="11" t="s">
        <v>185</v>
      </c>
      <c r="D39" s="2" t="s">
        <v>72</v>
      </c>
      <c r="E39" s="2" t="s">
        <v>73</v>
      </c>
      <c r="F39" s="11" t="s">
        <v>186</v>
      </c>
      <c r="G39" s="11" t="s">
        <v>187</v>
      </c>
      <c r="H39" s="2" t="s">
        <v>188</v>
      </c>
      <c r="I39" s="2" t="s">
        <v>189</v>
      </c>
      <c r="J39" s="8">
        <f>+Tabla1[[#This Row],[FECHA ENTRADA]]</f>
        <v>45381</v>
      </c>
      <c r="K39" s="8">
        <v>45387</v>
      </c>
      <c r="L39" s="13">
        <f>_xlfn.DAYS(Tabla1[[#This Row],[FECHA FIN ]],Tabla1[[#This Row],[FECHA INICIO]])</f>
        <v>6</v>
      </c>
      <c r="M39" s="12"/>
      <c r="N39" s="2"/>
      <c r="O39" s="12">
        <f>(Tabla1[[#This Row],[COSTO FIJO ]]/30)*Tabla1[[#This Row],[TOTAL DIAS PROYECTO]]+(Tabla1[[#This Row],[COSTO TEMPORAL]])</f>
        <v>0</v>
      </c>
      <c r="P39" s="12"/>
      <c r="Q39" s="12">
        <f>+(Tabla1[[#This Row],[COSTO COCHE]]/30)*Tabla1[[#This Row],[TOTAL DIAS PROYECTO]]</f>
        <v>0</v>
      </c>
      <c r="R39" s="12">
        <f>+Tabla1[[#This Row],[COSTO TOTAL ALOJAMIENTO]]+Tabla1[[#This Row],[COSTO TOTAL COCHE]]</f>
        <v>0</v>
      </c>
      <c r="S39" s="2" t="s">
        <v>84</v>
      </c>
      <c r="T39" s="2" t="s">
        <v>44</v>
      </c>
      <c r="U39" s="14">
        <v>45381</v>
      </c>
      <c r="V39" s="14">
        <v>45412</v>
      </c>
      <c r="W39" s="15"/>
      <c r="X39" s="16"/>
      <c r="Y39" s="18" t="s">
        <v>190</v>
      </c>
      <c r="Z39" s="2" t="s">
        <v>36</v>
      </c>
      <c r="AA39" s="13" t="s">
        <v>10331</v>
      </c>
      <c r="AB39" s="13" t="s">
        <v>10332</v>
      </c>
    </row>
    <row r="40" spans="1:28">
      <c r="A40" s="2" t="s">
        <v>8663</v>
      </c>
      <c r="B40" s="2" t="s">
        <v>28</v>
      </c>
      <c r="C40" s="18" t="s">
        <v>191</v>
      </c>
      <c r="D40" s="2" t="s">
        <v>30</v>
      </c>
      <c r="E40" s="2" t="s">
        <v>114</v>
      </c>
      <c r="F40" s="11" t="s">
        <v>115</v>
      </c>
      <c r="G40" s="11" t="s">
        <v>116</v>
      </c>
      <c r="H40" s="2" t="s">
        <v>117</v>
      </c>
      <c r="I40" s="12" t="s">
        <v>118</v>
      </c>
      <c r="J40" s="8">
        <f>+Tabla1[[#This Row],[FECHA ENTRADA]]</f>
        <v>45375</v>
      </c>
      <c r="K40" s="8">
        <v>45397</v>
      </c>
      <c r="L40" s="13">
        <f>_xlfn.DAYS(Tabla1[[#This Row],[FECHA FIN ]],Tabla1[[#This Row],[FECHA INICIO]])</f>
        <v>22</v>
      </c>
      <c r="M40" s="12"/>
      <c r="N40" s="12">
        <v>241.67</v>
      </c>
      <c r="O40" s="12">
        <f>(Tabla1[[#This Row],[COSTO FIJO ]]/30)*Tabla1[[#This Row],[TOTAL DIAS PROYECTO]]+(Tabla1[[#This Row],[COSTO TEMPORAL]])</f>
        <v>177.22466666666665</v>
      </c>
      <c r="P40" s="12"/>
      <c r="Q40" s="12">
        <f>+(Tabla1[[#This Row],[COSTO COCHE]]/30)*Tabla1[[#This Row],[TOTAL DIAS PROYECTO]]</f>
        <v>0</v>
      </c>
      <c r="R40" s="12">
        <f>+Tabla1[[#This Row],[COSTO TOTAL ALOJAMIENTO]]+Tabla1[[#This Row],[COSTO TOTAL COCHE]]</f>
        <v>177.22466666666665</v>
      </c>
      <c r="S40" s="2"/>
      <c r="T40" s="2" t="s">
        <v>35</v>
      </c>
      <c r="U40" s="14">
        <v>45375</v>
      </c>
      <c r="V40" s="14">
        <v>45397</v>
      </c>
      <c r="W40" s="15"/>
      <c r="X40" s="16">
        <v>1</v>
      </c>
      <c r="Y40" s="18" t="s">
        <v>192</v>
      </c>
      <c r="Z40" s="2" t="s">
        <v>36</v>
      </c>
      <c r="AA40" s="13" t="s">
        <v>10340</v>
      </c>
      <c r="AB40" s="13" t="s">
        <v>10341</v>
      </c>
    </row>
    <row r="41" spans="1:28" s="17" customFormat="1">
      <c r="A41" s="2" t="s">
        <v>8638</v>
      </c>
      <c r="B41" s="2" t="s">
        <v>28</v>
      </c>
      <c r="C41" s="18" t="s">
        <v>193</v>
      </c>
      <c r="D41" s="2" t="s">
        <v>30</v>
      </c>
      <c r="E41" s="2" t="s">
        <v>114</v>
      </c>
      <c r="F41" s="11" t="s">
        <v>115</v>
      </c>
      <c r="G41" s="11" t="s">
        <v>116</v>
      </c>
      <c r="H41" s="2" t="s">
        <v>117</v>
      </c>
      <c r="I41" s="12" t="s">
        <v>118</v>
      </c>
      <c r="J41" s="8">
        <f>+Tabla1[[#This Row],[FECHA ENTRADA]]</f>
        <v>45383</v>
      </c>
      <c r="K41" s="8">
        <v>45397</v>
      </c>
      <c r="L41" s="13">
        <f>_xlfn.DAYS(Tabla1[[#This Row],[FECHA FIN ]],Tabla1[[#This Row],[FECHA INICIO]])</f>
        <v>14</v>
      </c>
      <c r="M41" s="12"/>
      <c r="N41" s="12">
        <v>241.67</v>
      </c>
      <c r="O41" s="12">
        <f>(Tabla1[[#This Row],[COSTO FIJO ]]/30)*Tabla1[[#This Row],[TOTAL DIAS PROYECTO]]+(Tabla1[[#This Row],[COSTO TEMPORAL]])</f>
        <v>112.77933333333331</v>
      </c>
      <c r="P41" s="12"/>
      <c r="Q41" s="12">
        <f>+(Tabla1[[#This Row],[COSTO COCHE]]/30)*Tabla1[[#This Row],[TOTAL DIAS PROYECTO]]</f>
        <v>0</v>
      </c>
      <c r="R41" s="12">
        <f>+Tabla1[[#This Row],[COSTO TOTAL ALOJAMIENTO]]+Tabla1[[#This Row],[COSTO TOTAL COCHE]]</f>
        <v>112.77933333333331</v>
      </c>
      <c r="S41" s="2"/>
      <c r="T41" s="2" t="s">
        <v>35</v>
      </c>
      <c r="U41" s="14">
        <v>45383</v>
      </c>
      <c r="V41" s="14">
        <v>45397</v>
      </c>
      <c r="W41" s="15"/>
      <c r="X41" s="16">
        <v>1</v>
      </c>
      <c r="Y41" s="18" t="s">
        <v>192</v>
      </c>
      <c r="Z41" s="2" t="s">
        <v>36</v>
      </c>
      <c r="AA41" s="13" t="s">
        <v>10340</v>
      </c>
      <c r="AB41" s="13" t="s">
        <v>10341</v>
      </c>
    </row>
    <row r="42" spans="1:28" ht="15" customHeight="1">
      <c r="A42" s="2" t="s">
        <v>8638</v>
      </c>
      <c r="B42" s="2" t="s">
        <v>28</v>
      </c>
      <c r="C42" s="18" t="s">
        <v>194</v>
      </c>
      <c r="D42" s="2" t="s">
        <v>30</v>
      </c>
      <c r="E42" s="2" t="s">
        <v>114</v>
      </c>
      <c r="F42" s="11" t="s">
        <v>155</v>
      </c>
      <c r="G42" s="11" t="s">
        <v>195</v>
      </c>
      <c r="H42" s="2" t="s">
        <v>117</v>
      </c>
      <c r="I42" s="12" t="s">
        <v>118</v>
      </c>
      <c r="J42" s="8">
        <f>+Tabla1[[#This Row],[FECHA ENTRADA]]</f>
        <v>45375</v>
      </c>
      <c r="K42" s="8">
        <v>45397</v>
      </c>
      <c r="L42" s="13">
        <f>_xlfn.DAYS(Tabla1[[#This Row],[FECHA FIN ]],Tabla1[[#This Row],[FECHA INICIO]])</f>
        <v>22</v>
      </c>
      <c r="M42" s="12"/>
      <c r="N42" s="12">
        <v>400</v>
      </c>
      <c r="O42" s="12">
        <f>(Tabla1[[#This Row],[COSTO FIJO ]]/30)*Tabla1[[#This Row],[TOTAL DIAS PROYECTO]]+(Tabla1[[#This Row],[COSTO TEMPORAL]])</f>
        <v>293.33333333333337</v>
      </c>
      <c r="P42" s="12"/>
      <c r="Q42" s="12">
        <f>+(Tabla1[[#This Row],[COSTO COCHE]]/30)*Tabla1[[#This Row],[TOTAL DIAS PROYECTO]]</f>
        <v>0</v>
      </c>
      <c r="R42" s="12">
        <f>+Tabla1[[#This Row],[COSTO TOTAL ALOJAMIENTO]]+Tabla1[[#This Row],[COSTO TOTAL COCHE]]</f>
        <v>293.33333333333337</v>
      </c>
      <c r="S42" s="2"/>
      <c r="T42" s="2" t="s">
        <v>35</v>
      </c>
      <c r="U42" s="14">
        <v>45375</v>
      </c>
      <c r="V42" s="14">
        <v>45397</v>
      </c>
      <c r="W42" s="15"/>
      <c r="X42" s="16">
        <v>11</v>
      </c>
      <c r="Y42" s="18" t="s">
        <v>192</v>
      </c>
      <c r="Z42" s="2" t="s">
        <v>36</v>
      </c>
      <c r="AA42" s="13" t="s">
        <v>10340</v>
      </c>
      <c r="AB42" s="13" t="s">
        <v>10341</v>
      </c>
    </row>
    <row r="43" spans="1:28">
      <c r="A43" s="2" t="s">
        <v>8638</v>
      </c>
      <c r="B43" s="2" t="s">
        <v>28</v>
      </c>
      <c r="C43" s="11" t="s">
        <v>196</v>
      </c>
      <c r="D43" s="2" t="s">
        <v>30</v>
      </c>
      <c r="E43" s="2" t="s">
        <v>114</v>
      </c>
      <c r="F43" s="11" t="s">
        <v>197</v>
      </c>
      <c r="G43" s="11" t="s">
        <v>198</v>
      </c>
      <c r="H43" s="2" t="s">
        <v>117</v>
      </c>
      <c r="I43" s="12" t="s">
        <v>118</v>
      </c>
      <c r="J43" s="8">
        <f>+Tabla1[[#This Row],[FECHA ENTRADA]]</f>
        <v>45368</v>
      </c>
      <c r="K43" s="8">
        <v>45397</v>
      </c>
      <c r="L43" s="13">
        <f>_xlfn.DAYS(Tabla1[[#This Row],[FECHA FIN ]],Tabla1[[#This Row],[FECHA INICIO]])</f>
        <v>29</v>
      </c>
      <c r="M43" s="12"/>
      <c r="N43" s="12"/>
      <c r="O43" s="12">
        <f>(Tabla1[[#This Row],[COSTO FIJO ]]/30)*Tabla1[[#This Row],[TOTAL DIAS PROYECTO]]+(Tabla1[[#This Row],[COSTO TEMPORAL]])</f>
        <v>0</v>
      </c>
      <c r="P43" s="12"/>
      <c r="Q43" s="12">
        <f>+(Tabla1[[#This Row],[COSTO COCHE]]/30)*Tabla1[[#This Row],[TOTAL DIAS PROYECTO]]</f>
        <v>0</v>
      </c>
      <c r="R43" s="12">
        <f>+Tabla1[[#This Row],[COSTO TOTAL ALOJAMIENTO]]+Tabla1[[#This Row],[COSTO TOTAL COCHE]]</f>
        <v>0</v>
      </c>
      <c r="S43" s="2"/>
      <c r="T43" s="2" t="s">
        <v>35</v>
      </c>
      <c r="U43" s="14">
        <v>45368</v>
      </c>
      <c r="V43" s="14">
        <v>45397</v>
      </c>
      <c r="W43" s="15"/>
      <c r="X43" s="16">
        <v>15</v>
      </c>
      <c r="Y43" s="18" t="s">
        <v>192</v>
      </c>
      <c r="Z43" s="2" t="s">
        <v>36</v>
      </c>
      <c r="AA43" s="13" t="s">
        <v>10340</v>
      </c>
      <c r="AB43" s="13" t="s">
        <v>10341</v>
      </c>
    </row>
    <row r="44" spans="1:28" ht="15" customHeight="1">
      <c r="A44" s="2" t="s">
        <v>8664</v>
      </c>
      <c r="B44" s="2" t="s">
        <v>28</v>
      </c>
      <c r="C44" s="11" t="s">
        <v>199</v>
      </c>
      <c r="D44" s="2" t="s">
        <v>30</v>
      </c>
      <c r="E44" s="2" t="s">
        <v>114</v>
      </c>
      <c r="F44" s="11" t="s">
        <v>200</v>
      </c>
      <c r="G44" s="11" t="s">
        <v>201</v>
      </c>
      <c r="H44" s="2" t="s">
        <v>117</v>
      </c>
      <c r="I44" s="12" t="s">
        <v>118</v>
      </c>
      <c r="J44" s="8">
        <f>+Tabla1[[#This Row],[FECHA ENTRADA]]</f>
        <v>45375</v>
      </c>
      <c r="K44" s="8">
        <v>45397</v>
      </c>
      <c r="L44" s="13">
        <f>_xlfn.DAYS(Tabla1[[#This Row],[FECHA FIN ]],Tabla1[[#This Row],[FECHA INICIO]])</f>
        <v>22</v>
      </c>
      <c r="M44" s="12"/>
      <c r="N44" s="12"/>
      <c r="O44" s="12">
        <f>(Tabla1[[#This Row],[COSTO FIJO ]]/30)*Tabla1[[#This Row],[TOTAL DIAS PROYECTO]]+(Tabla1[[#This Row],[COSTO TEMPORAL]])</f>
        <v>0</v>
      </c>
      <c r="P44" s="12"/>
      <c r="Q44" s="12">
        <f>+(Tabla1[[#This Row],[COSTO COCHE]]/30)*Tabla1[[#This Row],[TOTAL DIAS PROYECTO]]</f>
        <v>0</v>
      </c>
      <c r="R44" s="12">
        <f>+Tabla1[[#This Row],[COSTO TOTAL ALOJAMIENTO]]+Tabla1[[#This Row],[COSTO TOTAL COCHE]]</f>
        <v>0</v>
      </c>
      <c r="S44" s="2"/>
      <c r="T44" s="2" t="s">
        <v>35</v>
      </c>
      <c r="U44" s="14">
        <v>45375</v>
      </c>
      <c r="V44" s="14">
        <v>45397</v>
      </c>
      <c r="W44" s="15"/>
      <c r="X44" s="16">
        <v>23</v>
      </c>
      <c r="Y44" s="18" t="s">
        <v>192</v>
      </c>
      <c r="Z44" s="2" t="s">
        <v>36</v>
      </c>
      <c r="AA44" s="13" t="s">
        <v>10340</v>
      </c>
      <c r="AB44" s="13" t="s">
        <v>10341</v>
      </c>
    </row>
    <row r="45" spans="1:28" s="30" customFormat="1" ht="15" customHeight="1">
      <c r="A45" s="2" t="s">
        <v>8638</v>
      </c>
      <c r="B45" s="2" t="s">
        <v>28</v>
      </c>
      <c r="C45" s="11" t="s">
        <v>202</v>
      </c>
      <c r="D45" s="2" t="s">
        <v>30</v>
      </c>
      <c r="E45" s="2" t="s">
        <v>114</v>
      </c>
      <c r="F45" s="11" t="s">
        <v>203</v>
      </c>
      <c r="G45" s="11" t="s">
        <v>204</v>
      </c>
      <c r="H45" s="2" t="s">
        <v>117</v>
      </c>
      <c r="I45" s="12" t="s">
        <v>118</v>
      </c>
      <c r="J45" s="8">
        <f>+Tabla1[[#This Row],[FECHA ENTRADA]]</f>
        <v>45375</v>
      </c>
      <c r="K45" s="8">
        <v>45397</v>
      </c>
      <c r="L45" s="13">
        <f>_xlfn.DAYS(Tabla1[[#This Row],[FECHA FIN ]],Tabla1[[#This Row],[FECHA INICIO]])</f>
        <v>22</v>
      </c>
      <c r="M45" s="12"/>
      <c r="N45" s="12"/>
      <c r="O45" s="12">
        <f>(Tabla1[[#This Row],[COSTO FIJO ]]/30)*Tabla1[[#This Row],[TOTAL DIAS PROYECTO]]+(Tabla1[[#This Row],[COSTO TEMPORAL]])</f>
        <v>0</v>
      </c>
      <c r="P45" s="12"/>
      <c r="Q45" s="12">
        <f>+(Tabla1[[#This Row],[COSTO COCHE]]/30)*Tabla1[[#This Row],[TOTAL DIAS PROYECTO]]</f>
        <v>0</v>
      </c>
      <c r="R45" s="12">
        <f>+Tabla1[[#This Row],[COSTO TOTAL ALOJAMIENTO]]+Tabla1[[#This Row],[COSTO TOTAL COCHE]]</f>
        <v>0</v>
      </c>
      <c r="S45" s="2"/>
      <c r="T45" s="2" t="s">
        <v>35</v>
      </c>
      <c r="U45" s="14">
        <v>45375</v>
      </c>
      <c r="V45" s="14">
        <v>45397</v>
      </c>
      <c r="W45" s="15"/>
      <c r="X45" s="16">
        <v>23</v>
      </c>
      <c r="Y45" s="18" t="s">
        <v>192</v>
      </c>
      <c r="Z45" s="2" t="s">
        <v>36</v>
      </c>
      <c r="AA45" s="13" t="s">
        <v>10340</v>
      </c>
      <c r="AB45" s="13" t="s">
        <v>10341</v>
      </c>
    </row>
    <row r="46" spans="1:28">
      <c r="A46" s="2" t="s">
        <v>8665</v>
      </c>
      <c r="B46" s="2" t="s">
        <v>28</v>
      </c>
      <c r="C46" s="11" t="s">
        <v>205</v>
      </c>
      <c r="D46" s="2" t="s">
        <v>30</v>
      </c>
      <c r="E46" s="2" t="s">
        <v>114</v>
      </c>
      <c r="F46" s="11" t="s">
        <v>115</v>
      </c>
      <c r="G46" s="11" t="s">
        <v>116</v>
      </c>
      <c r="H46" s="2" t="s">
        <v>117</v>
      </c>
      <c r="I46" s="12" t="s">
        <v>118</v>
      </c>
      <c r="J46" s="8">
        <f>+Tabla1[[#This Row],[FECHA ENTRADA]]</f>
        <v>45383</v>
      </c>
      <c r="K46" s="8">
        <v>45398</v>
      </c>
      <c r="L46" s="13">
        <f>_xlfn.DAYS(Tabla1[[#This Row],[FECHA FIN ]],Tabla1[[#This Row],[FECHA INICIO]])</f>
        <v>15</v>
      </c>
      <c r="M46" s="12"/>
      <c r="N46" s="12"/>
      <c r="O46" s="12">
        <f>(Tabla1[[#This Row],[COSTO FIJO ]]/30)*Tabla1[[#This Row],[TOTAL DIAS PROYECTO]]+(Tabla1[[#This Row],[COSTO TEMPORAL]])</f>
        <v>0</v>
      </c>
      <c r="P46" s="12"/>
      <c r="Q46" s="12">
        <f>+(Tabla1[[#This Row],[COSTO COCHE]]/30)*Tabla1[[#This Row],[TOTAL DIAS PROYECTO]]</f>
        <v>0</v>
      </c>
      <c r="R46" s="12">
        <f>+Tabla1[[#This Row],[COSTO TOTAL ALOJAMIENTO]]+Tabla1[[#This Row],[COSTO TOTAL COCHE]]</f>
        <v>0</v>
      </c>
      <c r="S46" s="2"/>
      <c r="T46" s="2" t="s">
        <v>35</v>
      </c>
      <c r="U46" s="14">
        <v>45383</v>
      </c>
      <c r="V46" s="14">
        <v>45413</v>
      </c>
      <c r="W46" s="15"/>
      <c r="X46" s="16">
        <v>1</v>
      </c>
      <c r="Y46" s="18" t="s">
        <v>206</v>
      </c>
      <c r="Z46" s="2" t="s">
        <v>36</v>
      </c>
      <c r="AA46" s="13" t="s">
        <v>10340</v>
      </c>
      <c r="AB46" s="13" t="s">
        <v>10341</v>
      </c>
    </row>
    <row r="47" spans="1:28" ht="15" customHeight="1">
      <c r="A47" s="2" t="s">
        <v>8666</v>
      </c>
      <c r="B47" s="2" t="s">
        <v>28</v>
      </c>
      <c r="C47" s="11" t="s">
        <v>207</v>
      </c>
      <c r="D47" s="2" t="s">
        <v>30</v>
      </c>
      <c r="E47" s="2" t="s">
        <v>114</v>
      </c>
      <c r="F47" s="11" t="s">
        <v>115</v>
      </c>
      <c r="G47" s="11" t="s">
        <v>116</v>
      </c>
      <c r="H47" s="2" t="s">
        <v>117</v>
      </c>
      <c r="I47" s="12" t="s">
        <v>118</v>
      </c>
      <c r="J47" s="8">
        <f>+Tabla1[[#This Row],[FECHA ENTRADA]]</f>
        <v>45375</v>
      </c>
      <c r="K47" s="8">
        <v>45398</v>
      </c>
      <c r="L47" s="13">
        <f>_xlfn.DAYS(Tabla1[[#This Row],[FECHA FIN ]],Tabla1[[#This Row],[FECHA INICIO]])</f>
        <v>23</v>
      </c>
      <c r="M47" s="12"/>
      <c r="N47" s="12"/>
      <c r="O47" s="12">
        <f>(Tabla1[[#This Row],[COSTO FIJO ]]/30)*Tabla1[[#This Row],[TOTAL DIAS PROYECTO]]+(Tabla1[[#This Row],[COSTO TEMPORAL]])</f>
        <v>0</v>
      </c>
      <c r="P47" s="12"/>
      <c r="Q47" s="12">
        <f>+(Tabla1[[#This Row],[COSTO COCHE]]/30)*Tabla1[[#This Row],[TOTAL DIAS PROYECTO]]</f>
        <v>0</v>
      </c>
      <c r="R47" s="12">
        <f>+Tabla1[[#This Row],[COSTO TOTAL ALOJAMIENTO]]+Tabla1[[#This Row],[COSTO TOTAL COCHE]]</f>
        <v>0</v>
      </c>
      <c r="S47" s="2"/>
      <c r="T47" s="2" t="s">
        <v>35</v>
      </c>
      <c r="U47" s="14">
        <v>45375</v>
      </c>
      <c r="V47" s="14">
        <v>45398</v>
      </c>
      <c r="W47" s="15"/>
      <c r="X47" s="16">
        <v>1</v>
      </c>
      <c r="Y47" s="18" t="s">
        <v>206</v>
      </c>
      <c r="Z47" s="2" t="s">
        <v>36</v>
      </c>
      <c r="AA47" s="13" t="s">
        <v>10340</v>
      </c>
      <c r="AB47" s="13" t="s">
        <v>10341</v>
      </c>
    </row>
    <row r="48" spans="1:28" ht="15" customHeight="1">
      <c r="A48" s="2" t="s">
        <v>8667</v>
      </c>
      <c r="B48" s="2" t="s">
        <v>28</v>
      </c>
      <c r="C48" s="11" t="s">
        <v>208</v>
      </c>
      <c r="D48" s="2" t="s">
        <v>30</v>
      </c>
      <c r="E48" s="2" t="s">
        <v>114</v>
      </c>
      <c r="F48" s="11" t="s">
        <v>197</v>
      </c>
      <c r="G48" s="11" t="s">
        <v>198</v>
      </c>
      <c r="H48" s="2" t="s">
        <v>117</v>
      </c>
      <c r="I48" s="12" t="s">
        <v>118</v>
      </c>
      <c r="J48" s="8">
        <f>+Tabla1[[#This Row],[FECHA ENTRADA]]</f>
        <v>45368</v>
      </c>
      <c r="K48" s="8">
        <v>45398</v>
      </c>
      <c r="L48" s="13">
        <f>_xlfn.DAYS(Tabla1[[#This Row],[FECHA FIN ]],Tabla1[[#This Row],[FECHA INICIO]])</f>
        <v>30</v>
      </c>
      <c r="M48" s="12"/>
      <c r="N48" s="12"/>
      <c r="O48" s="12">
        <f>(Tabla1[[#This Row],[COSTO FIJO ]]/30)*Tabla1[[#This Row],[TOTAL DIAS PROYECTO]]+(Tabla1[[#This Row],[COSTO TEMPORAL]])</f>
        <v>0</v>
      </c>
      <c r="P48" s="12"/>
      <c r="Q48" s="12">
        <f>+(Tabla1[[#This Row],[COSTO COCHE]]/30)*Tabla1[[#This Row],[TOTAL DIAS PROYECTO]]</f>
        <v>0</v>
      </c>
      <c r="R48" s="12">
        <f>+Tabla1[[#This Row],[COSTO TOTAL ALOJAMIENTO]]+Tabla1[[#This Row],[COSTO TOTAL COCHE]]</f>
        <v>0</v>
      </c>
      <c r="S48" s="2"/>
      <c r="T48" s="2" t="s">
        <v>35</v>
      </c>
      <c r="U48" s="14">
        <v>45368</v>
      </c>
      <c r="V48" s="14">
        <v>45398</v>
      </c>
      <c r="W48" s="15"/>
      <c r="X48" s="16">
        <v>15</v>
      </c>
      <c r="Y48" s="18" t="s">
        <v>206</v>
      </c>
      <c r="Z48" s="2" t="s">
        <v>36</v>
      </c>
      <c r="AA48" s="13" t="s">
        <v>10340</v>
      </c>
      <c r="AB48" s="13" t="s">
        <v>10341</v>
      </c>
    </row>
    <row r="49" spans="1:28" ht="15" customHeight="1">
      <c r="A49" s="2" t="s">
        <v>8668</v>
      </c>
      <c r="B49" s="2" t="s">
        <v>28</v>
      </c>
      <c r="C49" s="11" t="s">
        <v>209</v>
      </c>
      <c r="D49" s="2" t="s">
        <v>30</v>
      </c>
      <c r="E49" s="2" t="s">
        <v>114</v>
      </c>
      <c r="F49" s="11" t="s">
        <v>210</v>
      </c>
      <c r="G49" s="11" t="s">
        <v>211</v>
      </c>
      <c r="H49" s="2" t="s">
        <v>117</v>
      </c>
      <c r="I49" s="12" t="s">
        <v>118</v>
      </c>
      <c r="J49" s="8">
        <f>+Tabla1[[#This Row],[FECHA ENTRADA]]</f>
        <v>45368</v>
      </c>
      <c r="K49" s="8">
        <v>45398</v>
      </c>
      <c r="L49" s="13">
        <f>_xlfn.DAYS(Tabla1[[#This Row],[FECHA FIN ]],Tabla1[[#This Row],[FECHA INICIO]])</f>
        <v>30</v>
      </c>
      <c r="M49" s="12"/>
      <c r="N49" s="12"/>
      <c r="O49" s="12">
        <f>(Tabla1[[#This Row],[COSTO FIJO ]]/30)*Tabla1[[#This Row],[TOTAL DIAS PROYECTO]]+(Tabla1[[#This Row],[COSTO TEMPORAL]])</f>
        <v>0</v>
      </c>
      <c r="P49" s="12"/>
      <c r="Q49" s="12">
        <f>+(Tabla1[[#This Row],[COSTO COCHE]]/30)*Tabla1[[#This Row],[TOTAL DIAS PROYECTO]]</f>
        <v>0</v>
      </c>
      <c r="R49" s="12">
        <f>+Tabla1[[#This Row],[COSTO TOTAL ALOJAMIENTO]]+Tabla1[[#This Row],[COSTO TOTAL COCHE]]</f>
        <v>0</v>
      </c>
      <c r="S49" s="2"/>
      <c r="T49" s="2" t="s">
        <v>35</v>
      </c>
      <c r="U49" s="14">
        <v>45368</v>
      </c>
      <c r="V49" s="14">
        <v>45398</v>
      </c>
      <c r="W49" s="15"/>
      <c r="X49" s="16">
        <v>15</v>
      </c>
      <c r="Y49" s="18" t="s">
        <v>206</v>
      </c>
      <c r="Z49" s="2" t="s">
        <v>36</v>
      </c>
      <c r="AA49" s="13" t="s">
        <v>10340</v>
      </c>
      <c r="AB49" s="13" t="s">
        <v>10341</v>
      </c>
    </row>
    <row r="50" spans="1:28" ht="15" customHeight="1">
      <c r="A50" s="2" t="s">
        <v>8669</v>
      </c>
      <c r="B50" s="2" t="s">
        <v>28</v>
      </c>
      <c r="C50" s="11" t="s">
        <v>212</v>
      </c>
      <c r="D50" s="2" t="s">
        <v>30</v>
      </c>
      <c r="E50" s="2" t="s">
        <v>114</v>
      </c>
      <c r="F50" s="11" t="s">
        <v>197</v>
      </c>
      <c r="G50" s="11" t="s">
        <v>198</v>
      </c>
      <c r="H50" s="2" t="s">
        <v>117</v>
      </c>
      <c r="I50" s="12" t="s">
        <v>118</v>
      </c>
      <c r="J50" s="8">
        <f>+Tabla1[[#This Row],[FECHA ENTRADA]]</f>
        <v>45368</v>
      </c>
      <c r="K50" s="8">
        <v>45398</v>
      </c>
      <c r="L50" s="13">
        <f>_xlfn.DAYS(Tabla1[[#This Row],[FECHA FIN ]],Tabla1[[#This Row],[FECHA INICIO]])</f>
        <v>30</v>
      </c>
      <c r="M50" s="12"/>
      <c r="N50" s="12"/>
      <c r="O50" s="12">
        <f>(Tabla1[[#This Row],[COSTO FIJO ]]/30)*Tabla1[[#This Row],[TOTAL DIAS PROYECTO]]+(Tabla1[[#This Row],[COSTO TEMPORAL]])</f>
        <v>0</v>
      </c>
      <c r="P50" s="12"/>
      <c r="Q50" s="12">
        <f>+(Tabla1[[#This Row],[COSTO COCHE]]/30)*Tabla1[[#This Row],[TOTAL DIAS PROYECTO]]</f>
        <v>0</v>
      </c>
      <c r="R50" s="12">
        <f>+Tabla1[[#This Row],[COSTO TOTAL ALOJAMIENTO]]+Tabla1[[#This Row],[COSTO TOTAL COCHE]]</f>
        <v>0</v>
      </c>
      <c r="S50" s="2"/>
      <c r="T50" s="2" t="s">
        <v>35</v>
      </c>
      <c r="U50" s="14">
        <v>45368</v>
      </c>
      <c r="V50" s="14">
        <v>45398</v>
      </c>
      <c r="W50" s="15"/>
      <c r="X50" s="16">
        <v>15</v>
      </c>
      <c r="Y50" s="18" t="s">
        <v>206</v>
      </c>
      <c r="Z50" s="2" t="s">
        <v>36</v>
      </c>
      <c r="AA50" s="13" t="s">
        <v>10340</v>
      </c>
      <c r="AB50" s="13" t="s">
        <v>10341</v>
      </c>
    </row>
    <row r="51" spans="1:28" s="32" customFormat="1" ht="15" customHeight="1">
      <c r="A51" s="2" t="s">
        <v>8652</v>
      </c>
      <c r="B51" s="2" t="s">
        <v>28</v>
      </c>
      <c r="C51" s="18" t="s">
        <v>141</v>
      </c>
      <c r="D51" s="2" t="s">
        <v>30</v>
      </c>
      <c r="E51" s="2" t="s">
        <v>213</v>
      </c>
      <c r="F51" s="11" t="s">
        <v>214</v>
      </c>
      <c r="G51" s="11">
        <v>972400500</v>
      </c>
      <c r="H51" s="2" t="s">
        <v>215</v>
      </c>
      <c r="I51" s="2" t="s">
        <v>52</v>
      </c>
      <c r="J51" s="8">
        <f>+Tabla1[[#This Row],[FECHA ENTRADA]]</f>
        <v>45396</v>
      </c>
      <c r="K51" s="8">
        <v>45401</v>
      </c>
      <c r="L51" s="13">
        <f>_xlfn.DAYS(Tabla1[[#This Row],[FECHA FIN ]],Tabla1[[#This Row],[FECHA INICIO]])</f>
        <v>5</v>
      </c>
      <c r="M51" s="12"/>
      <c r="N51" s="20"/>
      <c r="O51" s="12">
        <f>(Tabla1[[#This Row],[COSTO FIJO ]]/30)*Tabla1[[#This Row],[TOTAL DIAS PROYECTO]]+(Tabla1[[#This Row],[COSTO TEMPORAL]])</f>
        <v>0</v>
      </c>
      <c r="P51" s="12"/>
      <c r="Q51" s="12">
        <f>+(Tabla1[[#This Row],[COSTO COCHE]]/30)*Tabla1[[#This Row],[TOTAL DIAS PROYECTO]]</f>
        <v>0</v>
      </c>
      <c r="R51" s="12">
        <f>+Tabla1[[#This Row],[COSTO TOTAL ALOJAMIENTO]]+Tabla1[[#This Row],[COSTO TOTAL COCHE]]</f>
        <v>0</v>
      </c>
      <c r="S51" s="2"/>
      <c r="T51" s="2" t="s">
        <v>44</v>
      </c>
      <c r="U51" s="14">
        <v>45396</v>
      </c>
      <c r="V51" s="14">
        <v>45400</v>
      </c>
      <c r="W51" s="15"/>
      <c r="X51" s="16"/>
      <c r="Y51" s="18" t="s">
        <v>216</v>
      </c>
      <c r="Z51" s="2" t="s">
        <v>36</v>
      </c>
      <c r="AA51" s="13" t="s">
        <v>10349</v>
      </c>
      <c r="AB51" s="13" t="s">
        <v>10350</v>
      </c>
    </row>
    <row r="52" spans="1:28">
      <c r="A52" s="2" t="s">
        <v>8638</v>
      </c>
      <c r="B52" s="2" t="s">
        <v>28</v>
      </c>
      <c r="C52" s="11" t="s">
        <v>217</v>
      </c>
      <c r="D52" s="2" t="s">
        <v>72</v>
      </c>
      <c r="E52" s="2" t="s">
        <v>218</v>
      </c>
      <c r="F52" s="11"/>
      <c r="G52" s="11"/>
      <c r="H52" s="2" t="s">
        <v>188</v>
      </c>
      <c r="I52" s="2" t="s">
        <v>189</v>
      </c>
      <c r="J52" s="8">
        <f>+Tabla1[[#This Row],[FECHA ENTRADA]]</f>
        <v>45381</v>
      </c>
      <c r="K52" s="8">
        <v>45402</v>
      </c>
      <c r="L52" s="13">
        <f>_xlfn.DAYS(Tabla1[[#This Row],[FECHA FIN ]],Tabla1[[#This Row],[FECHA INICIO]])</f>
        <v>21</v>
      </c>
      <c r="M52" s="12"/>
      <c r="N52" s="12"/>
      <c r="O52" s="12">
        <f>(Tabla1[[#This Row],[COSTO FIJO ]]/30)*Tabla1[[#This Row],[TOTAL DIAS PROYECTO]]+(Tabla1[[#This Row],[COSTO TEMPORAL]])</f>
        <v>0</v>
      </c>
      <c r="P52" s="12"/>
      <c r="Q52" s="12">
        <f>+(Tabla1[[#This Row],[COSTO COCHE]]/30)*Tabla1[[#This Row],[TOTAL DIAS PROYECTO]]</f>
        <v>0</v>
      </c>
      <c r="R52" s="12">
        <f>+Tabla1[[#This Row],[COSTO TOTAL ALOJAMIENTO]]+Tabla1[[#This Row],[COSTO TOTAL COCHE]]</f>
        <v>0</v>
      </c>
      <c r="S52" s="2" t="s">
        <v>84</v>
      </c>
      <c r="T52" s="2" t="s">
        <v>58</v>
      </c>
      <c r="U52" s="14">
        <v>45381</v>
      </c>
      <c r="V52" s="14">
        <v>45412</v>
      </c>
      <c r="W52" s="15"/>
      <c r="X52" s="16"/>
      <c r="Y52" s="18" t="s">
        <v>219</v>
      </c>
      <c r="Z52" s="2" t="s">
        <v>36</v>
      </c>
      <c r="AA52" s="13" t="s">
        <v>10351</v>
      </c>
      <c r="AB52" s="13" t="s">
        <v>10352</v>
      </c>
    </row>
    <row r="53" spans="1:28">
      <c r="A53" s="2" t="s">
        <v>8645</v>
      </c>
      <c r="B53" s="2" t="s">
        <v>28</v>
      </c>
      <c r="C53" s="11" t="s">
        <v>108</v>
      </c>
      <c r="D53" s="2" t="s">
        <v>30</v>
      </c>
      <c r="E53" s="2" t="s">
        <v>114</v>
      </c>
      <c r="F53" s="11" t="s">
        <v>173</v>
      </c>
      <c r="G53" s="11" t="s">
        <v>174</v>
      </c>
      <c r="H53" s="2" t="s">
        <v>220</v>
      </c>
      <c r="I53" s="12" t="s">
        <v>118</v>
      </c>
      <c r="J53" s="8">
        <f>+Tabla1[[#This Row],[FECHA ENTRADA]]</f>
        <v>45385</v>
      </c>
      <c r="K53" s="8">
        <v>45403</v>
      </c>
      <c r="L53" s="13">
        <f>_xlfn.DAYS(Tabla1[[#This Row],[FECHA FIN ]],Tabla1[[#This Row],[FECHA INICIO]])</f>
        <v>18</v>
      </c>
      <c r="M53" s="12"/>
      <c r="N53" s="12"/>
      <c r="O53" s="12">
        <f>(Tabla1[[#This Row],[COSTO FIJO ]]/30)*Tabla1[[#This Row],[TOTAL DIAS PROYECTO]]+(Tabla1[[#This Row],[COSTO TEMPORAL]])</f>
        <v>0</v>
      </c>
      <c r="P53" s="12"/>
      <c r="Q53" s="12">
        <f>+(Tabla1[[#This Row],[COSTO COCHE]]/30)*Tabla1[[#This Row],[TOTAL DIAS PROYECTO]]</f>
        <v>0</v>
      </c>
      <c r="R53" s="12">
        <f>+Tabla1[[#This Row],[COSTO TOTAL ALOJAMIENTO]]+Tabla1[[#This Row],[COSTO TOTAL COCHE]]</f>
        <v>0</v>
      </c>
      <c r="S53" s="2"/>
      <c r="T53" s="2" t="s">
        <v>35</v>
      </c>
      <c r="U53" s="14">
        <v>45385</v>
      </c>
      <c r="V53" s="14">
        <v>45403</v>
      </c>
      <c r="W53" s="15"/>
      <c r="X53" s="16">
        <v>12</v>
      </c>
      <c r="Y53" s="18" t="s">
        <v>221</v>
      </c>
      <c r="Z53" s="2" t="s">
        <v>36</v>
      </c>
      <c r="AA53" s="13" t="s">
        <v>10340</v>
      </c>
      <c r="AB53" s="13" t="s">
        <v>10341</v>
      </c>
    </row>
    <row r="54" spans="1:28" ht="15" customHeight="1">
      <c r="A54" s="2" t="s">
        <v>8670</v>
      </c>
      <c r="B54" s="2" t="s">
        <v>28</v>
      </c>
      <c r="C54" s="11" t="s">
        <v>222</v>
      </c>
      <c r="D54" s="2" t="s">
        <v>30</v>
      </c>
      <c r="E54" s="2" t="s">
        <v>114</v>
      </c>
      <c r="F54" s="11" t="s">
        <v>155</v>
      </c>
      <c r="G54" s="30" t="s">
        <v>156</v>
      </c>
      <c r="H54" s="2" t="s">
        <v>220</v>
      </c>
      <c r="I54" s="12" t="s">
        <v>118</v>
      </c>
      <c r="J54" s="8">
        <f>+Tabla1[[#This Row],[FECHA ENTRADA]]</f>
        <v>45385</v>
      </c>
      <c r="K54" s="8">
        <v>45405</v>
      </c>
      <c r="L54" s="13">
        <f>_xlfn.DAYS(Tabla1[[#This Row],[FECHA FIN ]],Tabla1[[#This Row],[FECHA INICIO]])</f>
        <v>20</v>
      </c>
      <c r="M54" s="12"/>
      <c r="N54" s="12"/>
      <c r="O54" s="12">
        <f>(Tabla1[[#This Row],[COSTO FIJO ]]/30)*Tabla1[[#This Row],[TOTAL DIAS PROYECTO]]+(Tabla1[[#This Row],[COSTO TEMPORAL]])</f>
        <v>0</v>
      </c>
      <c r="P54" s="12"/>
      <c r="Q54" s="12">
        <f>+(Tabla1[[#This Row],[COSTO COCHE]]/30)*Tabla1[[#This Row],[TOTAL DIAS PROYECTO]]</f>
        <v>0</v>
      </c>
      <c r="R54" s="12">
        <f>+Tabla1[[#This Row],[COSTO TOTAL ALOJAMIENTO]]+Tabla1[[#This Row],[COSTO TOTAL COCHE]]</f>
        <v>0</v>
      </c>
      <c r="S54" s="2"/>
      <c r="T54" s="2" t="s">
        <v>35</v>
      </c>
      <c r="U54" s="14">
        <v>45385</v>
      </c>
      <c r="V54" s="14">
        <v>45405</v>
      </c>
      <c r="W54" s="15"/>
      <c r="X54" s="16">
        <v>2</v>
      </c>
      <c r="Y54" s="18" t="s">
        <v>223</v>
      </c>
      <c r="Z54" s="2" t="s">
        <v>36</v>
      </c>
      <c r="AA54" s="13" t="s">
        <v>10340</v>
      </c>
      <c r="AB54" s="13" t="s">
        <v>10341</v>
      </c>
    </row>
    <row r="55" spans="1:28" ht="15" customHeight="1">
      <c r="A55" s="2" t="s">
        <v>8671</v>
      </c>
      <c r="B55" s="2" t="s">
        <v>28</v>
      </c>
      <c r="C55" s="11" t="s">
        <v>224</v>
      </c>
      <c r="D55" s="2" t="s">
        <v>30</v>
      </c>
      <c r="E55" s="2" t="s">
        <v>225</v>
      </c>
      <c r="F55" s="11" t="s">
        <v>226</v>
      </c>
      <c r="G55" s="11" t="s">
        <v>227</v>
      </c>
      <c r="H55" s="2">
        <v>2023</v>
      </c>
      <c r="I55" s="2" t="s">
        <v>228</v>
      </c>
      <c r="J55" s="8">
        <v>45084</v>
      </c>
      <c r="K55" s="22">
        <v>45821</v>
      </c>
      <c r="L55" s="13">
        <f>_xlfn.DAYS(Tabla1[[#This Row],[FECHA FIN ]],Tabla1[[#This Row],[FECHA INICIO]])</f>
        <v>737</v>
      </c>
      <c r="M55" s="12"/>
      <c r="N55" s="12"/>
      <c r="O55" s="12">
        <f>(Tabla1[[#This Row],[COSTO FIJO ]]/30)*Tabla1[[#This Row],[TOTAL DIAS PROYECTO]]+(Tabla1[[#This Row],[COSTO TEMPORAL]])</f>
        <v>0</v>
      </c>
      <c r="P55" s="12"/>
      <c r="Q55" s="12">
        <f>+(Tabla1[[#This Row],[COSTO COCHE]]/30)*Tabla1[[#This Row],[TOTAL DIAS PROYECTO]]</f>
        <v>0</v>
      </c>
      <c r="R55" s="12">
        <f>+Tabla1[[#This Row],[COSTO TOTAL ALOJAMIENTO]]+Tabla1[[#This Row],[COSTO TOTAL COCHE]]</f>
        <v>0</v>
      </c>
      <c r="S55" s="2"/>
      <c r="T55" s="2" t="s">
        <v>35</v>
      </c>
      <c r="U55" s="14"/>
      <c r="V55" s="14"/>
      <c r="W55" s="15"/>
      <c r="X55" s="16">
        <v>1</v>
      </c>
      <c r="Y55" s="11" t="s">
        <v>229</v>
      </c>
      <c r="Z55" s="2" t="s">
        <v>36</v>
      </c>
      <c r="AA55" s="13" t="s">
        <v>10353</v>
      </c>
      <c r="AB55" s="13" t="s">
        <v>10354</v>
      </c>
    </row>
    <row r="56" spans="1:28" ht="15" customHeight="1">
      <c r="A56" s="2" t="s">
        <v>8672</v>
      </c>
      <c r="B56" s="2" t="s">
        <v>28</v>
      </c>
      <c r="C56" s="18" t="s">
        <v>230</v>
      </c>
      <c r="D56" s="2" t="s">
        <v>30</v>
      </c>
      <c r="E56" s="2" t="s">
        <v>55</v>
      </c>
      <c r="F56" s="11" t="s">
        <v>231</v>
      </c>
      <c r="G56" s="11" t="s">
        <v>106</v>
      </c>
      <c r="H56" s="2" t="s">
        <v>232</v>
      </c>
      <c r="I56" s="12" t="s">
        <v>233</v>
      </c>
      <c r="J56" s="8">
        <f>+Tabla1[[#This Row],[FECHA ENTRADA]]</f>
        <v>45328</v>
      </c>
      <c r="K56" s="22">
        <v>45412</v>
      </c>
      <c r="L56" s="13">
        <f>_xlfn.DAYS(Tabla1[[#This Row],[FECHA FIN ]],Tabla1[[#This Row],[FECHA INICIO]])</f>
        <v>84</v>
      </c>
      <c r="M56" s="12"/>
      <c r="N56" s="12">
        <v>500</v>
      </c>
      <c r="O56" s="12">
        <f>(Tabla1[[#This Row],[COSTO FIJO ]]/30)*Tabla1[[#This Row],[TOTAL DIAS PROYECTO]]+(Tabla1[[#This Row],[COSTO TEMPORAL]])</f>
        <v>1400</v>
      </c>
      <c r="P56" s="12"/>
      <c r="Q56" s="12">
        <f>+(Tabla1[[#This Row],[COSTO COCHE]]/30)*Tabla1[[#This Row],[TOTAL DIAS PROYECTO]]</f>
        <v>0</v>
      </c>
      <c r="R56" s="12">
        <f>+Tabla1[[#This Row],[COSTO TOTAL ALOJAMIENTO]]+Tabla1[[#This Row],[COSTO TOTAL COCHE]]</f>
        <v>1400</v>
      </c>
      <c r="S56" s="2"/>
      <c r="T56" s="2" t="s">
        <v>35</v>
      </c>
      <c r="U56" s="14">
        <v>45328</v>
      </c>
      <c r="V56" s="14"/>
      <c r="W56" s="15">
        <v>600</v>
      </c>
      <c r="X56" s="16">
        <v>1</v>
      </c>
      <c r="Y56" s="18" t="s">
        <v>234</v>
      </c>
      <c r="Z56" s="2" t="s">
        <v>36</v>
      </c>
      <c r="AA56" s="13" t="s">
        <v>10327</v>
      </c>
      <c r="AB56" s="13" t="s">
        <v>10328</v>
      </c>
    </row>
    <row r="57" spans="1:28" ht="15" customHeight="1">
      <c r="A57" s="2" t="s">
        <v>8673</v>
      </c>
      <c r="B57" s="2" t="s">
        <v>28</v>
      </c>
      <c r="C57" s="18" t="s">
        <v>235</v>
      </c>
      <c r="D57" s="33" t="s">
        <v>30</v>
      </c>
      <c r="E57" s="33" t="s">
        <v>55</v>
      </c>
      <c r="F57" s="11"/>
      <c r="G57" s="34" t="s">
        <v>106</v>
      </c>
      <c r="H57" s="33">
        <v>2023</v>
      </c>
      <c r="I57" s="33" t="s">
        <v>236</v>
      </c>
      <c r="J57" s="8">
        <f>+Tabla1[[#This Row],[FECHA ENTRADA]]</f>
        <v>45383</v>
      </c>
      <c r="K57" s="35">
        <v>45412</v>
      </c>
      <c r="L57" s="13">
        <f>_xlfn.DAYS(Tabla1[[#This Row],[FECHA FIN ]],Tabla1[[#This Row],[FECHA INICIO]])</f>
        <v>29</v>
      </c>
      <c r="M57" s="12"/>
      <c r="N57" s="36">
        <v>500</v>
      </c>
      <c r="O57" s="36">
        <f>(Tabla1[[#This Row],[COSTO FIJO ]]/30)*Tabla1[[#This Row],[TOTAL DIAS PROYECTO]]+(Tabla1[[#This Row],[COSTO TEMPORAL]])</f>
        <v>483.33333333333337</v>
      </c>
      <c r="P57" s="36"/>
      <c r="Q57" s="36">
        <f>+(Tabla1[[#This Row],[COSTO COCHE]]/30)*Tabla1[[#This Row],[TOTAL DIAS PROYECTO]]</f>
        <v>0</v>
      </c>
      <c r="R57" s="36">
        <f>+Tabla1[[#This Row],[COSTO TOTAL ALOJAMIENTO]]+Tabla1[[#This Row],[COSTO TOTAL COCHE]]</f>
        <v>483.33333333333337</v>
      </c>
      <c r="S57" s="33"/>
      <c r="T57" s="33" t="s">
        <v>35</v>
      </c>
      <c r="U57" s="37">
        <v>45383</v>
      </c>
      <c r="V57" s="37"/>
      <c r="W57" s="38">
        <v>1500</v>
      </c>
      <c r="X57" s="39">
        <v>5</v>
      </c>
      <c r="Y57" s="34" t="s">
        <v>237</v>
      </c>
      <c r="Z57" s="33" t="s">
        <v>36</v>
      </c>
      <c r="AA57" s="13" t="s">
        <v>10327</v>
      </c>
      <c r="AB57" s="13" t="s">
        <v>10328</v>
      </c>
    </row>
    <row r="58" spans="1:28">
      <c r="A58" s="2" t="s">
        <v>8674</v>
      </c>
      <c r="B58" s="2" t="s">
        <v>28</v>
      </c>
      <c r="C58" s="11" t="s">
        <v>238</v>
      </c>
      <c r="D58" s="33" t="s">
        <v>30</v>
      </c>
      <c r="E58" s="33" t="s">
        <v>127</v>
      </c>
      <c r="F58" s="11" t="s">
        <v>128</v>
      </c>
      <c r="G58" s="34" t="s">
        <v>129</v>
      </c>
      <c r="H58" s="33">
        <v>2023</v>
      </c>
      <c r="I58" s="33" t="s">
        <v>124</v>
      </c>
      <c r="J58" s="8">
        <f>+Tabla1[[#This Row],[FECHA ENTRADA]]</f>
        <v>45366</v>
      </c>
      <c r="K58" s="22">
        <v>45821</v>
      </c>
      <c r="L58" s="13">
        <f>_xlfn.DAYS(Tabla1[[#This Row],[FECHA FIN ]],Tabla1[[#This Row],[FECHA INICIO]])</f>
        <v>455</v>
      </c>
      <c r="M58" s="12"/>
      <c r="N58" s="12"/>
      <c r="O58" s="36">
        <f>(Tabla1[[#This Row],[COSTO FIJO ]]/30)*Tabla1[[#This Row],[TOTAL DIAS PROYECTO]]+(Tabla1[[#This Row],[COSTO TEMPORAL]])</f>
        <v>0</v>
      </c>
      <c r="P58" s="36"/>
      <c r="Q58" s="36">
        <f>+(Tabla1[[#This Row],[COSTO COCHE]]/30)*Tabla1[[#This Row],[TOTAL DIAS PROYECTO]]</f>
        <v>0</v>
      </c>
      <c r="R58" s="36">
        <f>+Tabla1[[#This Row],[COSTO TOTAL ALOJAMIENTO]]+Tabla1[[#This Row],[COSTO TOTAL COCHE]]</f>
        <v>0</v>
      </c>
      <c r="S58" s="33"/>
      <c r="T58" s="33" t="s">
        <v>35</v>
      </c>
      <c r="U58" s="37">
        <v>45366</v>
      </c>
      <c r="V58" s="14"/>
      <c r="W58" s="38">
        <v>1500</v>
      </c>
      <c r="X58" s="39">
        <v>15</v>
      </c>
      <c r="Y58" s="18" t="s">
        <v>239</v>
      </c>
      <c r="Z58" s="33" t="s">
        <v>36</v>
      </c>
      <c r="AA58" s="13" t="s">
        <v>10342</v>
      </c>
      <c r="AB58" s="13" t="s">
        <v>10343</v>
      </c>
    </row>
    <row r="59" spans="1:28" ht="15" customHeight="1">
      <c r="A59" s="2" t="s">
        <v>8675</v>
      </c>
      <c r="B59" s="2" t="s">
        <v>28</v>
      </c>
      <c r="C59" s="11" t="s">
        <v>240</v>
      </c>
      <c r="D59" s="2" t="s">
        <v>72</v>
      </c>
      <c r="E59" s="2" t="s">
        <v>73</v>
      </c>
      <c r="F59" s="11" t="s">
        <v>241</v>
      </c>
      <c r="G59" s="11" t="s">
        <v>242</v>
      </c>
      <c r="H59" s="2" t="s">
        <v>188</v>
      </c>
      <c r="I59" s="2" t="s">
        <v>189</v>
      </c>
      <c r="J59" s="8">
        <f>+Tabla1[[#This Row],[FECHA ENTRADA]]</f>
        <v>45383</v>
      </c>
      <c r="K59" s="8">
        <v>45414</v>
      </c>
      <c r="L59" s="13">
        <f>_xlfn.DAYS(Tabla1[[#This Row],[FECHA FIN ]],Tabla1[[#This Row],[FECHA INICIO]])</f>
        <v>31</v>
      </c>
      <c r="M59" s="12"/>
      <c r="N59" s="2"/>
      <c r="O59" s="12">
        <f>(Tabla1[[#This Row],[COSTO FIJO ]]/30)*Tabla1[[#This Row],[TOTAL DIAS PROYECTO]]+(Tabla1[[#This Row],[COSTO TEMPORAL]])</f>
        <v>0</v>
      </c>
      <c r="P59" s="12"/>
      <c r="Q59" s="12">
        <f>+(Tabla1[[#This Row],[COSTO COCHE]]/30)*Tabla1[[#This Row],[TOTAL DIAS PROYECTO]]</f>
        <v>0</v>
      </c>
      <c r="R59" s="12">
        <f>+Tabla1[[#This Row],[COSTO TOTAL ALOJAMIENTO]]+Tabla1[[#This Row],[COSTO TOTAL COCHE]]</f>
        <v>0</v>
      </c>
      <c r="S59" s="2"/>
      <c r="T59" s="2" t="s">
        <v>35</v>
      </c>
      <c r="U59" s="14">
        <v>45383</v>
      </c>
      <c r="V59" s="14"/>
      <c r="W59" s="26"/>
      <c r="X59" s="16"/>
      <c r="Y59" s="18" t="s">
        <v>243</v>
      </c>
      <c r="Z59" s="2" t="s">
        <v>36</v>
      </c>
      <c r="AA59" s="13" t="s">
        <v>10331</v>
      </c>
      <c r="AB59" s="13" t="s">
        <v>10332</v>
      </c>
    </row>
    <row r="60" spans="1:28">
      <c r="A60" s="2" t="s">
        <v>8676</v>
      </c>
      <c r="B60" s="2" t="s">
        <v>28</v>
      </c>
      <c r="C60" s="11" t="s">
        <v>244</v>
      </c>
      <c r="D60" s="2" t="s">
        <v>30</v>
      </c>
      <c r="E60" s="2" t="s">
        <v>245</v>
      </c>
      <c r="F60" s="11" t="s">
        <v>246</v>
      </c>
      <c r="G60" s="11" t="s">
        <v>247</v>
      </c>
      <c r="H60" s="2" t="s">
        <v>248</v>
      </c>
      <c r="I60" s="12" t="s">
        <v>249</v>
      </c>
      <c r="J60" s="8">
        <f>+Tabla1[[#This Row],[FECHA ENTRADA]]</f>
        <v>45396</v>
      </c>
      <c r="K60" s="22">
        <v>45821</v>
      </c>
      <c r="L60" s="13">
        <f>_xlfn.DAYS(Tabla1[[#This Row],[FECHA FIN ]],Tabla1[[#This Row],[FECHA INICIO]])</f>
        <v>425</v>
      </c>
      <c r="M60" s="12"/>
      <c r="N60" s="12">
        <f>1811.6/17</f>
        <v>106.56470588235294</v>
      </c>
      <c r="O60" s="12">
        <f>(Tabla1[[#This Row],[COSTO FIJO ]]/30)*Tabla1[[#This Row],[TOTAL DIAS PROYECTO]]+(Tabla1[[#This Row],[COSTO TEMPORAL]])</f>
        <v>1509.6666666666667</v>
      </c>
      <c r="P60" s="12"/>
      <c r="Q60" s="12">
        <f>+(Tabla1[[#This Row],[COSTO COCHE]]/30)*Tabla1[[#This Row],[TOTAL DIAS PROYECTO]]</f>
        <v>0</v>
      </c>
      <c r="R60" s="12">
        <f>+Tabla1[[#This Row],[COSTO TOTAL ALOJAMIENTO]]+Tabla1[[#This Row],[COSTO TOTAL COCHE]]</f>
        <v>1509.6666666666667</v>
      </c>
      <c r="S60" s="2"/>
      <c r="T60" s="2" t="s">
        <v>35</v>
      </c>
      <c r="U60" s="14">
        <v>45396</v>
      </c>
      <c r="V60" s="14"/>
      <c r="W60" s="15">
        <v>150</v>
      </c>
      <c r="X60" s="16">
        <v>12</v>
      </c>
      <c r="Y60" s="18"/>
      <c r="Z60" s="2" t="s">
        <v>36</v>
      </c>
      <c r="AA60" s="13" t="s">
        <v>10355</v>
      </c>
      <c r="AB60" s="13" t="s">
        <v>10356</v>
      </c>
    </row>
    <row r="61" spans="1:28">
      <c r="A61" s="2" t="s">
        <v>8677</v>
      </c>
      <c r="B61" s="2" t="s">
        <v>28</v>
      </c>
      <c r="C61" s="18" t="s">
        <v>250</v>
      </c>
      <c r="D61" s="2" t="s">
        <v>30</v>
      </c>
      <c r="E61" s="2" t="s">
        <v>55</v>
      </c>
      <c r="F61" s="11"/>
      <c r="G61" s="11" t="s">
        <v>106</v>
      </c>
      <c r="H61" s="2">
        <v>2023</v>
      </c>
      <c r="I61" s="2" t="s">
        <v>57</v>
      </c>
      <c r="J61" s="8">
        <f>+Tabla1[[#This Row],[FECHA ENTRADA]]</f>
        <v>45383</v>
      </c>
      <c r="K61" s="8">
        <v>45415</v>
      </c>
      <c r="L61" s="13">
        <f>_xlfn.DAYS(Tabla1[[#This Row],[FECHA FIN ]],Tabla1[[#This Row],[FECHA INICIO]])</f>
        <v>32</v>
      </c>
      <c r="M61" s="2"/>
      <c r="N61" s="12">
        <v>500</v>
      </c>
      <c r="O61" s="12">
        <f>(Tabla1[[#This Row],[COSTO FIJO ]]/30)*Tabla1[[#This Row],[TOTAL DIAS PROYECTO]]+(Tabla1[[#This Row],[COSTO TEMPORAL]])</f>
        <v>533.33333333333337</v>
      </c>
      <c r="P61" s="12"/>
      <c r="Q61" s="12">
        <f>+(Tabla1[[#This Row],[COSTO COCHE]]/30)*Tabla1[[#This Row],[TOTAL DIAS PROYECTO]]</f>
        <v>0</v>
      </c>
      <c r="R61" s="12">
        <f>+Tabla1[[#This Row],[COSTO TOTAL ALOJAMIENTO]]+Tabla1[[#This Row],[COSTO TOTAL COCHE]]</f>
        <v>533.33333333333337</v>
      </c>
      <c r="S61" s="2"/>
      <c r="T61" s="2" t="s">
        <v>35</v>
      </c>
      <c r="U61" s="14">
        <v>45383</v>
      </c>
      <c r="V61" s="14"/>
      <c r="W61" s="15"/>
      <c r="X61" s="16">
        <v>5</v>
      </c>
      <c r="Y61" s="11" t="s">
        <v>237</v>
      </c>
      <c r="Z61" s="2" t="s">
        <v>36</v>
      </c>
      <c r="AA61" s="13" t="s">
        <v>10327</v>
      </c>
      <c r="AB61" s="13" t="s">
        <v>10328</v>
      </c>
    </row>
    <row r="62" spans="1:28">
      <c r="A62" s="2" t="s">
        <v>8678</v>
      </c>
      <c r="B62" s="2" t="s">
        <v>28</v>
      </c>
      <c r="C62" s="11" t="s">
        <v>251</v>
      </c>
      <c r="D62" s="33" t="s">
        <v>30</v>
      </c>
      <c r="E62" s="33" t="s">
        <v>55</v>
      </c>
      <c r="F62" s="11"/>
      <c r="G62" s="34" t="s">
        <v>106</v>
      </c>
      <c r="H62" s="33">
        <v>2023</v>
      </c>
      <c r="I62" s="33" t="s">
        <v>57</v>
      </c>
      <c r="J62" s="8">
        <f>+Tabla1[[#This Row],[FECHA ENTRADA]]</f>
        <v>45383</v>
      </c>
      <c r="K62" s="35">
        <v>45415</v>
      </c>
      <c r="L62" s="13">
        <f>_xlfn.DAYS(Tabla1[[#This Row],[FECHA FIN ]],Tabla1[[#This Row],[FECHA INICIO]])</f>
        <v>32</v>
      </c>
      <c r="M62" s="36"/>
      <c r="N62" s="36">
        <v>500</v>
      </c>
      <c r="O62" s="36">
        <f>(Tabla1[[#This Row],[COSTO FIJO ]]/30)*Tabla1[[#This Row],[TOTAL DIAS PROYECTO]]+(Tabla1[[#This Row],[COSTO TEMPORAL]])</f>
        <v>533.33333333333337</v>
      </c>
      <c r="P62" s="36"/>
      <c r="Q62" s="36">
        <f>+(Tabla1[[#This Row],[COSTO COCHE]]/30)*Tabla1[[#This Row],[TOTAL DIAS PROYECTO]]</f>
        <v>0</v>
      </c>
      <c r="R62" s="36">
        <f>+Tabla1[[#This Row],[COSTO TOTAL ALOJAMIENTO]]+Tabla1[[#This Row],[COSTO TOTAL COCHE]]</f>
        <v>533.33333333333337</v>
      </c>
      <c r="S62" s="33"/>
      <c r="T62" s="33" t="s">
        <v>35</v>
      </c>
      <c r="U62" s="37">
        <v>45383</v>
      </c>
      <c r="V62" s="37"/>
      <c r="W62" s="38">
        <v>1500</v>
      </c>
      <c r="X62" s="39">
        <v>5</v>
      </c>
      <c r="Y62" s="34" t="s">
        <v>237</v>
      </c>
      <c r="Z62" s="33" t="s">
        <v>36</v>
      </c>
      <c r="AA62" s="13" t="s">
        <v>10327</v>
      </c>
      <c r="AB62" s="13" t="s">
        <v>10328</v>
      </c>
    </row>
    <row r="63" spans="1:28">
      <c r="A63" s="2" t="s">
        <v>8679</v>
      </c>
      <c r="B63" s="2" t="s">
        <v>28</v>
      </c>
      <c r="C63" s="11" t="s">
        <v>252</v>
      </c>
      <c r="D63" s="2" t="s">
        <v>30</v>
      </c>
      <c r="E63" s="2" t="s">
        <v>253</v>
      </c>
      <c r="F63" s="11" t="s">
        <v>254</v>
      </c>
      <c r="G63" s="11" t="s">
        <v>255</v>
      </c>
      <c r="H63" s="2">
        <v>2023</v>
      </c>
      <c r="I63" s="2" t="s">
        <v>256</v>
      </c>
      <c r="J63" s="8">
        <v>45257</v>
      </c>
      <c r="K63" s="8">
        <v>45422</v>
      </c>
      <c r="L63" s="13">
        <f>_xlfn.DAYS(Tabla1[[#This Row],[FECHA FIN ]],Tabla1[[#This Row],[FECHA INICIO]])</f>
        <v>165</v>
      </c>
      <c r="M63" s="12"/>
      <c r="N63" s="12"/>
      <c r="O63" s="12">
        <f>(Tabla1[[#This Row],[COSTO FIJO ]]/30)*Tabla1[[#This Row],[TOTAL DIAS PROYECTO]]+(Tabla1[[#This Row],[COSTO TEMPORAL]])</f>
        <v>0</v>
      </c>
      <c r="P63" s="12"/>
      <c r="Q63" s="12">
        <f>+(Tabla1[[#This Row],[COSTO COCHE]]/30)*Tabla1[[#This Row],[TOTAL DIAS PROYECTO]]</f>
        <v>0</v>
      </c>
      <c r="R63" s="12">
        <f>+Tabla1[[#This Row],[COSTO TOTAL ALOJAMIENTO]]+Tabla1[[#This Row],[COSTO TOTAL COCHE]]</f>
        <v>0</v>
      </c>
      <c r="S63" s="2"/>
      <c r="T63" s="2" t="s">
        <v>35</v>
      </c>
      <c r="U63" s="14"/>
      <c r="V63" s="14"/>
      <c r="W63" s="15"/>
      <c r="X63" s="16"/>
      <c r="Y63" s="18" t="s">
        <v>257</v>
      </c>
      <c r="Z63" s="2" t="s">
        <v>36</v>
      </c>
      <c r="AA63" s="13" t="s">
        <v>10357</v>
      </c>
      <c r="AB63" s="13" t="s">
        <v>10358</v>
      </c>
    </row>
    <row r="64" spans="1:28">
      <c r="A64" s="2" t="s">
        <v>8680</v>
      </c>
      <c r="B64" s="2" t="s">
        <v>28</v>
      </c>
      <c r="C64" s="11" t="s">
        <v>258</v>
      </c>
      <c r="D64" s="2" t="s">
        <v>30</v>
      </c>
      <c r="E64" s="2" t="s">
        <v>259</v>
      </c>
      <c r="F64" s="11" t="s">
        <v>260</v>
      </c>
      <c r="G64" s="11" t="s">
        <v>261</v>
      </c>
      <c r="H64" s="2" t="s">
        <v>262</v>
      </c>
      <c r="I64" s="12" t="s">
        <v>263</v>
      </c>
      <c r="J64" s="8">
        <f>+Tabla1[[#This Row],[FECHA ENTRADA]]</f>
        <v>45413</v>
      </c>
      <c r="K64" s="8">
        <v>45427</v>
      </c>
      <c r="L64" s="13">
        <f>_xlfn.DAYS(Tabla1[[#This Row],[FECHA FIN ]],Tabla1[[#This Row],[FECHA INICIO]])</f>
        <v>14</v>
      </c>
      <c r="M64" s="12"/>
      <c r="N64" s="12"/>
      <c r="O64" s="12">
        <f>(Tabla1[[#This Row],[COSTO FIJO ]]/30)*Tabla1[[#This Row],[TOTAL DIAS PROYECTO]]+(Tabla1[[#This Row],[COSTO TEMPORAL]])</f>
        <v>0</v>
      </c>
      <c r="P64" s="12"/>
      <c r="Q64" s="12">
        <f>+(Tabla1[[#This Row],[COSTO COCHE]]/30)*Tabla1[[#This Row],[TOTAL DIAS PROYECTO]]</f>
        <v>0</v>
      </c>
      <c r="R64" s="12">
        <f>+Tabla1[[#This Row],[COSTO TOTAL ALOJAMIENTO]]+Tabla1[[#This Row],[COSTO TOTAL COCHE]]</f>
        <v>0</v>
      </c>
      <c r="S64" s="2"/>
      <c r="T64" s="2" t="s">
        <v>35</v>
      </c>
      <c r="U64" s="14">
        <v>45413</v>
      </c>
      <c r="V64" s="14"/>
      <c r="W64" s="2"/>
      <c r="X64" s="2">
        <v>5</v>
      </c>
      <c r="Y64" s="18" t="s">
        <v>264</v>
      </c>
      <c r="Z64" s="2" t="s">
        <v>36</v>
      </c>
      <c r="AA64" s="13">
        <v>-0.87734000000000001</v>
      </c>
      <c r="AB64" s="13" t="s">
        <v>10359</v>
      </c>
    </row>
    <row r="65" spans="1:28" ht="15" customHeight="1">
      <c r="A65" s="2" t="s">
        <v>8653</v>
      </c>
      <c r="B65" s="2" t="s">
        <v>28</v>
      </c>
      <c r="C65" s="18" t="s">
        <v>147</v>
      </c>
      <c r="D65" s="2" t="s">
        <v>30</v>
      </c>
      <c r="E65" s="2" t="s">
        <v>259</v>
      </c>
      <c r="F65" s="11" t="s">
        <v>260</v>
      </c>
      <c r="G65" s="11" t="s">
        <v>261</v>
      </c>
      <c r="H65" s="2" t="s">
        <v>262</v>
      </c>
      <c r="I65" s="12" t="s">
        <v>263</v>
      </c>
      <c r="J65" s="8">
        <f>+Tabla1[[#This Row],[FECHA ENTRADA]]</f>
        <v>45413</v>
      </c>
      <c r="K65" s="8">
        <v>45427</v>
      </c>
      <c r="L65" s="13">
        <f>_xlfn.DAYS(Tabla1[[#This Row],[FECHA FIN ]],Tabla1[[#This Row],[FECHA INICIO]])</f>
        <v>14</v>
      </c>
      <c r="M65" s="12"/>
      <c r="N65" s="12">
        <v>420</v>
      </c>
      <c r="O65" s="12">
        <f>(Tabla1[[#This Row],[COSTO FIJO ]]/30)*Tabla1[[#This Row],[TOTAL DIAS PROYECTO]]+(Tabla1[[#This Row],[COSTO TEMPORAL]])</f>
        <v>196</v>
      </c>
      <c r="P65" s="12"/>
      <c r="Q65" s="12">
        <f>+(Tabla1[[#This Row],[COSTO COCHE]]/30)*Tabla1[[#This Row],[TOTAL DIAS PROYECTO]]</f>
        <v>0</v>
      </c>
      <c r="R65" s="12">
        <f>+Tabla1[[#This Row],[COSTO TOTAL ALOJAMIENTO]]+Tabla1[[#This Row],[COSTO TOTAL COCHE]]</f>
        <v>196</v>
      </c>
      <c r="S65" s="2"/>
      <c r="T65" s="2" t="s">
        <v>35</v>
      </c>
      <c r="U65" s="14">
        <v>45413</v>
      </c>
      <c r="V65" s="14"/>
      <c r="W65" s="2"/>
      <c r="X65" s="2">
        <v>5</v>
      </c>
      <c r="Y65" s="18" t="s">
        <v>264</v>
      </c>
      <c r="Z65" s="2" t="s">
        <v>36</v>
      </c>
      <c r="AA65" s="13">
        <v>-0.87734000000000001</v>
      </c>
      <c r="AB65" s="13" t="s">
        <v>10359</v>
      </c>
    </row>
    <row r="66" spans="1:28" ht="15" customHeight="1">
      <c r="A66" s="2" t="s">
        <v>8638</v>
      </c>
      <c r="B66" s="2" t="s">
        <v>28</v>
      </c>
      <c r="C66" s="11" t="s">
        <v>265</v>
      </c>
      <c r="D66" s="2" t="s">
        <v>78</v>
      </c>
      <c r="E66" s="2" t="s">
        <v>266</v>
      </c>
      <c r="F66" s="11" t="s">
        <v>267</v>
      </c>
      <c r="G66" s="11" t="s">
        <v>268</v>
      </c>
      <c r="H66" s="2" t="s">
        <v>269</v>
      </c>
      <c r="I66" s="12" t="s">
        <v>270</v>
      </c>
      <c r="J66" s="8">
        <f>+Tabla1[[#This Row],[FECHA ENTRADA]]</f>
        <v>45416</v>
      </c>
      <c r="K66" s="8">
        <v>45429</v>
      </c>
      <c r="L66" s="13">
        <f>_xlfn.DAYS(Tabla1[[#This Row],[FECHA FIN ]],Tabla1[[#This Row],[FECHA INICIO]])</f>
        <v>13</v>
      </c>
      <c r="M66" s="12"/>
      <c r="N66" s="12">
        <f>209.12+345.2</f>
        <v>554.31999999999994</v>
      </c>
      <c r="O66" s="12">
        <f>(Tabla1[[#This Row],[COSTO FIJO ]]/30)*Tabla1[[#This Row],[TOTAL DIAS PROYECTO]]+(Tabla1[[#This Row],[COSTO TEMPORAL]])</f>
        <v>240.2053333333333</v>
      </c>
      <c r="P66" s="12"/>
      <c r="Q66" s="12">
        <f>+(Tabla1[[#This Row],[COSTO COCHE]]/30)*Tabla1[[#This Row],[TOTAL DIAS PROYECTO]]</f>
        <v>0</v>
      </c>
      <c r="R66" s="12">
        <f>+Tabla1[[#This Row],[COSTO TOTAL ALOJAMIENTO]]+Tabla1[[#This Row],[COSTO TOTAL COCHE]]</f>
        <v>240.2053333333333</v>
      </c>
      <c r="S66" s="2" t="s">
        <v>84</v>
      </c>
      <c r="T66" s="2" t="s">
        <v>44</v>
      </c>
      <c r="U66" s="14">
        <v>45416</v>
      </c>
      <c r="V66" s="14">
        <v>45447</v>
      </c>
      <c r="W66" s="26"/>
      <c r="X66" s="2"/>
      <c r="Y66" s="18" t="s">
        <v>271</v>
      </c>
      <c r="Z66" s="2" t="s">
        <v>36</v>
      </c>
      <c r="AA66" s="13" t="s">
        <v>10360</v>
      </c>
      <c r="AB66" s="13" t="s">
        <v>10361</v>
      </c>
    </row>
    <row r="67" spans="1:28">
      <c r="A67" s="2" t="s">
        <v>8681</v>
      </c>
      <c r="B67" s="2" t="s">
        <v>28</v>
      </c>
      <c r="C67" s="11" t="s">
        <v>272</v>
      </c>
      <c r="D67" s="2" t="s">
        <v>30</v>
      </c>
      <c r="E67" s="2" t="s">
        <v>225</v>
      </c>
      <c r="F67" s="11" t="s">
        <v>226</v>
      </c>
      <c r="G67" s="11" t="s">
        <v>227</v>
      </c>
      <c r="H67" s="2" t="s">
        <v>273</v>
      </c>
      <c r="I67" s="2" t="s">
        <v>228</v>
      </c>
      <c r="J67" s="8">
        <f>+Tabla1[[#This Row],[FECHA ENTRADA]]</f>
        <v>45305</v>
      </c>
      <c r="K67" s="8">
        <v>45572</v>
      </c>
      <c r="L67" s="13">
        <f>_xlfn.DAYS(Tabla1[[#This Row],[FECHA FIN ]],Tabla1[[#This Row],[FECHA INICIO]])</f>
        <v>267</v>
      </c>
      <c r="M67" s="12"/>
      <c r="N67" s="2"/>
      <c r="O67" s="12">
        <f>(Tabla1[[#This Row],[COSTO FIJO ]]/30)*Tabla1[[#This Row],[TOTAL DIAS PROYECTO]]+(Tabla1[[#This Row],[COSTO TEMPORAL]])</f>
        <v>0</v>
      </c>
      <c r="P67" s="12"/>
      <c r="Q67" s="12">
        <f>+(Tabla1[[#This Row],[COSTO COCHE]]/30)*Tabla1[[#This Row],[TOTAL DIAS PROYECTO]]</f>
        <v>0</v>
      </c>
      <c r="R67" s="12">
        <f>+Tabla1[[#This Row],[COSTO TOTAL ALOJAMIENTO]]+Tabla1[[#This Row],[COSTO TOTAL COCHE]]</f>
        <v>0</v>
      </c>
      <c r="S67" s="2"/>
      <c r="T67" s="2" t="s">
        <v>35</v>
      </c>
      <c r="U67" s="14">
        <v>45305</v>
      </c>
      <c r="V67" s="14"/>
      <c r="W67" s="15">
        <v>340</v>
      </c>
      <c r="X67" s="2">
        <v>1</v>
      </c>
      <c r="Y67" s="11" t="s">
        <v>274</v>
      </c>
      <c r="Z67" s="2" t="s">
        <v>36</v>
      </c>
      <c r="AA67" s="13" t="s">
        <v>10353</v>
      </c>
      <c r="AB67" s="13" t="s">
        <v>10354</v>
      </c>
    </row>
    <row r="68" spans="1:28">
      <c r="A68" s="2" t="s">
        <v>8682</v>
      </c>
      <c r="B68" s="2" t="s">
        <v>28</v>
      </c>
      <c r="C68" s="11" t="s">
        <v>275</v>
      </c>
      <c r="D68" s="2" t="s">
        <v>30</v>
      </c>
      <c r="E68" s="2" t="s">
        <v>127</v>
      </c>
      <c r="F68" s="11" t="s">
        <v>276</v>
      </c>
      <c r="G68" s="11" t="s">
        <v>277</v>
      </c>
      <c r="H68" s="2" t="s">
        <v>278</v>
      </c>
      <c r="I68" s="12" t="s">
        <v>279</v>
      </c>
      <c r="J68" s="8">
        <f>+Tabla1[[#This Row],[FECHA ENTRADA]]</f>
        <v>45405</v>
      </c>
      <c r="K68" s="8">
        <v>45436</v>
      </c>
      <c r="L68" s="13">
        <f>_xlfn.DAYS(Tabla1[[#This Row],[FECHA FIN ]],Tabla1[[#This Row],[FECHA INICIO]])</f>
        <v>31</v>
      </c>
      <c r="M68" s="12"/>
      <c r="N68" s="12"/>
      <c r="O68" s="12">
        <f>(Tabla1[[#This Row],[COSTO FIJO ]]/30)*Tabla1[[#This Row],[TOTAL DIAS PROYECTO]]+(Tabla1[[#This Row],[COSTO TEMPORAL]])</f>
        <v>0</v>
      </c>
      <c r="P68" s="12"/>
      <c r="Q68" s="12">
        <f>+(Tabla1[[#This Row],[COSTO COCHE]]/30)*Tabla1[[#This Row],[TOTAL DIAS PROYECTO]]</f>
        <v>0</v>
      </c>
      <c r="R68" s="12">
        <f>+Tabla1[[#This Row],[COSTO TOTAL ALOJAMIENTO]]+Tabla1[[#This Row],[COSTO TOTAL COCHE]]</f>
        <v>0</v>
      </c>
      <c r="S68" s="2"/>
      <c r="T68" s="2" t="s">
        <v>35</v>
      </c>
      <c r="U68" s="14">
        <v>45405</v>
      </c>
      <c r="V68" s="14">
        <v>45437</v>
      </c>
      <c r="W68" s="15"/>
      <c r="X68" s="16">
        <v>20</v>
      </c>
      <c r="Y68" s="18" t="s">
        <v>280</v>
      </c>
      <c r="Z68" s="2" t="s">
        <v>36</v>
      </c>
      <c r="AA68" s="13" t="s">
        <v>10342</v>
      </c>
      <c r="AB68" s="13" t="s">
        <v>10343</v>
      </c>
    </row>
    <row r="69" spans="1:28" ht="15" customHeight="1">
      <c r="A69" s="2" t="s">
        <v>8683</v>
      </c>
      <c r="B69" s="2" t="s">
        <v>28</v>
      </c>
      <c r="C69" s="11" t="s">
        <v>281</v>
      </c>
      <c r="D69" s="2" t="s">
        <v>30</v>
      </c>
      <c r="E69" s="2" t="s">
        <v>127</v>
      </c>
      <c r="F69" s="11" t="s">
        <v>276</v>
      </c>
      <c r="G69" s="11" t="s">
        <v>277</v>
      </c>
      <c r="H69" s="2" t="s">
        <v>278</v>
      </c>
      <c r="I69" s="12" t="s">
        <v>279</v>
      </c>
      <c r="J69" s="8">
        <f>+Tabla1[[#This Row],[FECHA ENTRADA]]</f>
        <v>45405</v>
      </c>
      <c r="K69" s="8">
        <v>45436</v>
      </c>
      <c r="L69" s="13">
        <f>_xlfn.DAYS(Tabla1[[#This Row],[FECHA FIN ]],Tabla1[[#This Row],[FECHA INICIO]])</f>
        <v>31</v>
      </c>
      <c r="M69" s="12"/>
      <c r="N69" s="12">
        <v>440</v>
      </c>
      <c r="O69" s="12">
        <f>(Tabla1[[#This Row],[COSTO FIJO ]]/30)*Tabla1[[#This Row],[TOTAL DIAS PROYECTO]]+(Tabla1[[#This Row],[COSTO TEMPORAL]])</f>
        <v>454.66666666666663</v>
      </c>
      <c r="P69" s="12"/>
      <c r="Q69" s="12">
        <f>+(Tabla1[[#This Row],[COSTO COCHE]]/30)*Tabla1[[#This Row],[TOTAL DIAS PROYECTO]]</f>
        <v>0</v>
      </c>
      <c r="R69" s="12">
        <f>+Tabla1[[#This Row],[COSTO TOTAL ALOJAMIENTO]]+Tabla1[[#This Row],[COSTO TOTAL COCHE]]</f>
        <v>454.66666666666663</v>
      </c>
      <c r="S69" s="2"/>
      <c r="T69" s="2" t="s">
        <v>35</v>
      </c>
      <c r="U69" s="14">
        <v>45405</v>
      </c>
      <c r="V69" s="14">
        <v>45437</v>
      </c>
      <c r="W69" s="15"/>
      <c r="X69" s="16">
        <v>20</v>
      </c>
      <c r="Y69" s="18" t="s">
        <v>280</v>
      </c>
      <c r="Z69" s="2" t="s">
        <v>36</v>
      </c>
      <c r="AA69" s="13" t="s">
        <v>10342</v>
      </c>
      <c r="AB69" s="13" t="s">
        <v>10343</v>
      </c>
    </row>
    <row r="70" spans="1:28">
      <c r="A70" s="2" t="s">
        <v>8684</v>
      </c>
      <c r="B70" s="2" t="s">
        <v>28</v>
      </c>
      <c r="C70" s="11" t="s">
        <v>282</v>
      </c>
      <c r="D70" s="2" t="s">
        <v>30</v>
      </c>
      <c r="E70" s="2" t="s">
        <v>127</v>
      </c>
      <c r="F70" s="11" t="s">
        <v>276</v>
      </c>
      <c r="G70" s="11" t="s">
        <v>277</v>
      </c>
      <c r="H70" s="2" t="s">
        <v>278</v>
      </c>
      <c r="I70" s="12" t="s">
        <v>279</v>
      </c>
      <c r="J70" s="8">
        <f>+Tabla1[[#This Row],[FECHA ENTRADA]]</f>
        <v>45405</v>
      </c>
      <c r="K70" s="8">
        <v>45436</v>
      </c>
      <c r="L70" s="13">
        <f>_xlfn.DAYS(Tabla1[[#This Row],[FECHA FIN ]],Tabla1[[#This Row],[FECHA INICIO]])</f>
        <v>31</v>
      </c>
      <c r="M70" s="12"/>
      <c r="N70" s="12">
        <v>166</v>
      </c>
      <c r="O70" s="12">
        <f>(Tabla1[[#This Row],[COSTO FIJO ]]/30)*Tabla1[[#This Row],[TOTAL DIAS PROYECTO]]+(Tabla1[[#This Row],[COSTO TEMPORAL]])</f>
        <v>171.53333333333333</v>
      </c>
      <c r="P70" s="12"/>
      <c r="Q70" s="12">
        <f>+(Tabla1[[#This Row],[COSTO COCHE]]/30)*Tabla1[[#This Row],[TOTAL DIAS PROYECTO]]</f>
        <v>0</v>
      </c>
      <c r="R70" s="12">
        <f>+Tabla1[[#This Row],[COSTO TOTAL ALOJAMIENTO]]+Tabla1[[#This Row],[COSTO TOTAL COCHE]]</f>
        <v>171.53333333333333</v>
      </c>
      <c r="S70" s="2"/>
      <c r="T70" s="2" t="s">
        <v>35</v>
      </c>
      <c r="U70" s="14">
        <v>45405</v>
      </c>
      <c r="V70" s="14">
        <v>45437</v>
      </c>
      <c r="W70" s="15"/>
      <c r="X70" s="16">
        <v>20</v>
      </c>
      <c r="Y70" s="18" t="s">
        <v>280</v>
      </c>
      <c r="Z70" s="2" t="s">
        <v>36</v>
      </c>
      <c r="AA70" s="13" t="s">
        <v>10342</v>
      </c>
      <c r="AB70" s="13" t="s">
        <v>10343</v>
      </c>
    </row>
    <row r="71" spans="1:28">
      <c r="A71" s="2" t="s">
        <v>8685</v>
      </c>
      <c r="B71" s="2" t="s">
        <v>28</v>
      </c>
      <c r="C71" s="11" t="s">
        <v>283</v>
      </c>
      <c r="D71" s="2" t="s">
        <v>30</v>
      </c>
      <c r="E71" s="2" t="s">
        <v>127</v>
      </c>
      <c r="F71" s="34" t="s">
        <v>276</v>
      </c>
      <c r="G71" s="11" t="s">
        <v>277</v>
      </c>
      <c r="H71" s="2" t="s">
        <v>278</v>
      </c>
      <c r="I71" s="12" t="s">
        <v>279</v>
      </c>
      <c r="J71" s="8">
        <f>+Tabla1[[#This Row],[FECHA ENTRADA]]</f>
        <v>45405</v>
      </c>
      <c r="K71" s="8">
        <v>45436</v>
      </c>
      <c r="L71" s="13">
        <f>_xlfn.DAYS(Tabla1[[#This Row],[FECHA FIN ]],Tabla1[[#This Row],[FECHA INICIO]])</f>
        <v>31</v>
      </c>
      <c r="M71" s="12"/>
      <c r="N71" s="12">
        <v>166</v>
      </c>
      <c r="O71" s="12">
        <f>(Tabla1[[#This Row],[COSTO FIJO ]]/30)*Tabla1[[#This Row],[TOTAL DIAS PROYECTO]]+(Tabla1[[#This Row],[COSTO TEMPORAL]])</f>
        <v>171.53333333333333</v>
      </c>
      <c r="P71" s="12"/>
      <c r="Q71" s="12">
        <f>+(Tabla1[[#This Row],[COSTO COCHE]]/30)*Tabla1[[#This Row],[TOTAL DIAS PROYECTO]]</f>
        <v>0</v>
      </c>
      <c r="R71" s="12">
        <f>+Tabla1[[#This Row],[COSTO TOTAL ALOJAMIENTO]]+Tabla1[[#This Row],[COSTO TOTAL COCHE]]</f>
        <v>171.53333333333333</v>
      </c>
      <c r="S71" s="2"/>
      <c r="T71" s="2" t="s">
        <v>35</v>
      </c>
      <c r="U71" s="14">
        <v>45405</v>
      </c>
      <c r="V71" s="14">
        <v>45437</v>
      </c>
      <c r="W71" s="15"/>
      <c r="X71" s="16">
        <v>20</v>
      </c>
      <c r="Y71" s="18" t="s">
        <v>280</v>
      </c>
      <c r="Z71" s="2" t="s">
        <v>36</v>
      </c>
      <c r="AA71" s="13" t="s">
        <v>10342</v>
      </c>
      <c r="AB71" s="13" t="s">
        <v>10343</v>
      </c>
    </row>
    <row r="72" spans="1:28">
      <c r="A72" s="2" t="s">
        <v>8686</v>
      </c>
      <c r="B72" s="2" t="s">
        <v>28</v>
      </c>
      <c r="C72" s="11" t="s">
        <v>284</v>
      </c>
      <c r="D72" s="2" t="s">
        <v>30</v>
      </c>
      <c r="E72" s="2" t="s">
        <v>87</v>
      </c>
      <c r="F72" s="11" t="s">
        <v>88</v>
      </c>
      <c r="G72" s="11" t="s">
        <v>89</v>
      </c>
      <c r="H72" s="2" t="s">
        <v>285</v>
      </c>
      <c r="I72" s="2" t="s">
        <v>124</v>
      </c>
      <c r="J72" s="8">
        <f>+Tabla1[[#This Row],[FECHA ENTRADA]]</f>
        <v>45410</v>
      </c>
      <c r="K72" s="22">
        <v>45438</v>
      </c>
      <c r="L72" s="13">
        <f>_xlfn.DAYS(Tabla1[[#This Row],[FECHA FIN ]],Tabla1[[#This Row],[FECHA INICIO]])</f>
        <v>28</v>
      </c>
      <c r="M72" s="12"/>
      <c r="N72" s="12"/>
      <c r="O72" s="12">
        <f>(Tabla1[[#This Row],[COSTO FIJO ]]/30)*Tabla1[[#This Row],[TOTAL DIAS PROYECTO]]+(Tabla1[[#This Row],[COSTO TEMPORAL]])</f>
        <v>0</v>
      </c>
      <c r="P72" s="12"/>
      <c r="Q72" s="12">
        <f>+(Tabla1[[#This Row],[COSTO COCHE]]/30)*Tabla1[[#This Row],[TOTAL DIAS PROYECTO]]</f>
        <v>0</v>
      </c>
      <c r="R72" s="12">
        <f>+Tabla1[[#This Row],[COSTO TOTAL ALOJAMIENTO]]+Tabla1[[#This Row],[COSTO TOTAL COCHE]]</f>
        <v>0</v>
      </c>
      <c r="S72" s="2"/>
      <c r="T72" s="2" t="s">
        <v>35</v>
      </c>
      <c r="U72" s="14">
        <v>45410</v>
      </c>
      <c r="V72" s="14">
        <v>45430</v>
      </c>
      <c r="W72" s="26"/>
      <c r="X72" s="16">
        <v>9</v>
      </c>
      <c r="Y72" s="18" t="s">
        <v>286</v>
      </c>
      <c r="Z72" s="2" t="s">
        <v>36</v>
      </c>
      <c r="AA72" s="13" t="s">
        <v>10335</v>
      </c>
      <c r="AB72" s="13">
        <v>404.16500000000002</v>
      </c>
    </row>
    <row r="73" spans="1:28" ht="15" customHeight="1">
      <c r="A73" s="2" t="s">
        <v>8687</v>
      </c>
      <c r="B73" s="2" t="s">
        <v>28</v>
      </c>
      <c r="C73" s="11" t="s">
        <v>287</v>
      </c>
      <c r="D73" s="2" t="s">
        <v>78</v>
      </c>
      <c r="E73" s="2" t="s">
        <v>288</v>
      </c>
      <c r="F73" s="11" t="s">
        <v>289</v>
      </c>
      <c r="G73" s="11" t="s">
        <v>290</v>
      </c>
      <c r="H73" s="2" t="s">
        <v>291</v>
      </c>
      <c r="I73" s="12" t="s">
        <v>292</v>
      </c>
      <c r="J73" s="8">
        <f>+Tabla1[[#This Row],[FECHA ENTRADA]]</f>
        <v>45367</v>
      </c>
      <c r="K73" s="8">
        <v>45441</v>
      </c>
      <c r="L73" s="13">
        <f>_xlfn.DAYS(Tabla1[[#This Row],[FECHA FIN ]],Tabla1[[#This Row],[FECHA INICIO]])</f>
        <v>74</v>
      </c>
      <c r="M73" s="12"/>
      <c r="N73" s="12"/>
      <c r="O73" s="12">
        <f>(Tabla1[[#This Row],[COSTO FIJO ]]/30)*Tabla1[[#This Row],[TOTAL DIAS PROYECTO]]+(Tabla1[[#This Row],[COSTO TEMPORAL]])</f>
        <v>0</v>
      </c>
      <c r="P73" s="12"/>
      <c r="Q73" s="12">
        <f>+(Tabla1[[#This Row],[COSTO COCHE]]/30)*Tabla1[[#This Row],[TOTAL DIAS PROYECTO]]</f>
        <v>0</v>
      </c>
      <c r="R73" s="12">
        <f>+Tabla1[[#This Row],[COSTO TOTAL ALOJAMIENTO]]+Tabla1[[#This Row],[COSTO TOTAL COCHE]]</f>
        <v>0</v>
      </c>
      <c r="S73" s="2" t="s">
        <v>84</v>
      </c>
      <c r="T73" s="2" t="s">
        <v>44</v>
      </c>
      <c r="U73" s="14">
        <v>45367</v>
      </c>
      <c r="V73" s="14">
        <v>45445</v>
      </c>
      <c r="W73" s="26"/>
      <c r="X73" s="16"/>
      <c r="Y73" s="18" t="s">
        <v>293</v>
      </c>
      <c r="Z73" s="2" t="s">
        <v>36</v>
      </c>
      <c r="AA73" s="13" t="s">
        <v>10362</v>
      </c>
      <c r="AB73" s="13" t="s">
        <v>10363</v>
      </c>
    </row>
    <row r="74" spans="1:28" ht="15" customHeight="1">
      <c r="A74" s="2" t="s">
        <v>8688</v>
      </c>
      <c r="B74" s="2" t="s">
        <v>28</v>
      </c>
      <c r="C74" s="11" t="s">
        <v>294</v>
      </c>
      <c r="D74" s="2" t="s">
        <v>30</v>
      </c>
      <c r="E74" s="2" t="s">
        <v>31</v>
      </c>
      <c r="F74" s="11" t="s">
        <v>295</v>
      </c>
      <c r="G74" s="11" t="s">
        <v>296</v>
      </c>
      <c r="H74" s="2" t="s">
        <v>297</v>
      </c>
      <c r="I74" s="2" t="s">
        <v>298</v>
      </c>
      <c r="J74" s="8">
        <f>+Tabla1[[#This Row],[FECHA ENTRADA]]</f>
        <v>45389</v>
      </c>
      <c r="K74" s="8">
        <v>45443</v>
      </c>
      <c r="L74" s="13">
        <f>_xlfn.DAYS(Tabla1[[#This Row],[FECHA FIN ]],Tabla1[[#This Row],[FECHA INICIO]])</f>
        <v>54</v>
      </c>
      <c r="M74" s="2"/>
      <c r="N74" s="12">
        <v>275</v>
      </c>
      <c r="O74" s="12">
        <f>(Tabla1[[#This Row],[COSTO FIJO ]]/30)*Tabla1[[#This Row],[TOTAL DIAS PROYECTO]]+(Tabla1[[#This Row],[COSTO TEMPORAL]])</f>
        <v>494.99999999999994</v>
      </c>
      <c r="P74" s="12"/>
      <c r="Q74" s="12">
        <f>+(Tabla1[[#This Row],[COSTO COCHE]]/30)*Tabla1[[#This Row],[TOTAL DIAS PROYECTO]]</f>
        <v>0</v>
      </c>
      <c r="R74" s="12">
        <f>+Tabla1[[#This Row],[COSTO TOTAL ALOJAMIENTO]]+Tabla1[[#This Row],[COSTO TOTAL COCHE]]</f>
        <v>494.99999999999994</v>
      </c>
      <c r="S74" s="2"/>
      <c r="T74" s="2" t="s">
        <v>35</v>
      </c>
      <c r="U74" s="14">
        <v>45389</v>
      </c>
      <c r="V74" s="14">
        <v>45368</v>
      </c>
      <c r="W74" s="15"/>
      <c r="X74" s="16">
        <v>1</v>
      </c>
      <c r="Y74" s="18" t="s">
        <v>299</v>
      </c>
      <c r="Z74" s="2" t="s">
        <v>36</v>
      </c>
      <c r="AA74" s="13" t="s">
        <v>10323</v>
      </c>
      <c r="AB74" s="13" t="s">
        <v>10324</v>
      </c>
    </row>
    <row r="75" spans="1:28" ht="15" customHeight="1">
      <c r="A75" s="2" t="s">
        <v>8689</v>
      </c>
      <c r="B75" s="2" t="s">
        <v>28</v>
      </c>
      <c r="C75" s="18" t="s">
        <v>300</v>
      </c>
      <c r="D75" s="2" t="s">
        <v>30</v>
      </c>
      <c r="E75" s="2" t="s">
        <v>301</v>
      </c>
      <c r="F75" s="11"/>
      <c r="G75" s="11"/>
      <c r="H75" s="2" t="s">
        <v>302</v>
      </c>
      <c r="I75" s="2" t="s">
        <v>124</v>
      </c>
      <c r="J75" s="8">
        <f>+Tabla1[[#This Row],[FECHA ENTRADA]]</f>
        <v>45350</v>
      </c>
      <c r="K75" s="8">
        <v>45443</v>
      </c>
      <c r="L75" s="13">
        <f>_xlfn.DAYS(Tabla1[[#This Row],[FECHA FIN ]],Tabla1[[#This Row],[FECHA INICIO]])</f>
        <v>93</v>
      </c>
      <c r="M75" s="12">
        <v>300</v>
      </c>
      <c r="N75" s="20"/>
      <c r="O75" s="12">
        <f>(Tabla1[[#This Row],[COSTO FIJO ]]/30)*Tabla1[[#This Row],[TOTAL DIAS PROYECTO]]+(Tabla1[[#This Row],[COSTO TEMPORAL]])</f>
        <v>300</v>
      </c>
      <c r="P75" s="12"/>
      <c r="Q75" s="12">
        <f>+(Tabla1[[#This Row],[COSTO COCHE]]/30)*Tabla1[[#This Row],[TOTAL DIAS PROYECTO]]</f>
        <v>0</v>
      </c>
      <c r="R75" s="12">
        <f>+Tabla1[[#This Row],[COSTO TOTAL ALOJAMIENTO]]+Tabla1[[#This Row],[COSTO TOTAL COCHE]]</f>
        <v>300</v>
      </c>
      <c r="S75" s="2"/>
      <c r="T75" s="2" t="s">
        <v>58</v>
      </c>
      <c r="U75" s="14">
        <v>45350</v>
      </c>
      <c r="V75" s="14"/>
      <c r="W75" s="15"/>
      <c r="X75" s="16"/>
      <c r="Y75" s="18" t="s">
        <v>303</v>
      </c>
      <c r="Z75" s="2" t="s">
        <v>36</v>
      </c>
      <c r="AA75" s="13" t="s">
        <v>10364</v>
      </c>
      <c r="AB75" s="13" t="s">
        <v>10365</v>
      </c>
    </row>
    <row r="76" spans="1:28" ht="15" customHeight="1">
      <c r="A76" s="2" t="s">
        <v>8690</v>
      </c>
      <c r="B76" s="2" t="s">
        <v>28</v>
      </c>
      <c r="C76" s="18" t="s">
        <v>304</v>
      </c>
      <c r="D76" s="2" t="s">
        <v>30</v>
      </c>
      <c r="E76" s="2" t="s">
        <v>87</v>
      </c>
      <c r="F76" s="11" t="s">
        <v>121</v>
      </c>
      <c r="G76" s="11" t="s">
        <v>122</v>
      </c>
      <c r="H76" s="2" t="s">
        <v>305</v>
      </c>
      <c r="I76" s="2" t="s">
        <v>124</v>
      </c>
      <c r="J76" s="8">
        <f>+Tabla1[[#This Row],[FECHA ENTRADA]]</f>
        <v>45361</v>
      </c>
      <c r="K76" s="8">
        <v>45443</v>
      </c>
      <c r="L76" s="13">
        <f>_xlfn.DAYS(Tabla1[[#This Row],[FECHA FIN ]],Tabla1[[#This Row],[FECHA INICIO]])</f>
        <v>82</v>
      </c>
      <c r="M76" s="2"/>
      <c r="N76" s="12">
        <v>450</v>
      </c>
      <c r="O76" s="12">
        <f>(Tabla1[[#This Row],[COSTO FIJO ]]/30)*Tabla1[[#This Row],[TOTAL DIAS PROYECTO]]+(Tabla1[[#This Row],[COSTO TEMPORAL]])</f>
        <v>1230</v>
      </c>
      <c r="P76" s="12"/>
      <c r="Q76" s="12">
        <f>+(Tabla1[[#This Row],[COSTO COCHE]]/30)*Tabla1[[#This Row],[TOTAL DIAS PROYECTO]]</f>
        <v>0</v>
      </c>
      <c r="R76" s="12">
        <f>+Tabla1[[#This Row],[COSTO TOTAL ALOJAMIENTO]]+Tabla1[[#This Row],[COSTO TOTAL COCHE]]</f>
        <v>1230</v>
      </c>
      <c r="S76" s="2"/>
      <c r="T76" s="2" t="s">
        <v>35</v>
      </c>
      <c r="U76" s="14">
        <v>45361</v>
      </c>
      <c r="V76" s="14"/>
      <c r="W76" s="15"/>
      <c r="X76" s="16">
        <v>9</v>
      </c>
      <c r="Y76" s="18" t="s">
        <v>306</v>
      </c>
      <c r="Z76" s="2" t="s">
        <v>36</v>
      </c>
      <c r="AA76" s="13" t="s">
        <v>10335</v>
      </c>
      <c r="AB76" s="13">
        <v>404.16500000000002</v>
      </c>
    </row>
    <row r="77" spans="1:28">
      <c r="A77" s="2" t="s">
        <v>8691</v>
      </c>
      <c r="B77" s="2" t="s">
        <v>28</v>
      </c>
      <c r="C77" s="11" t="s">
        <v>307</v>
      </c>
      <c r="D77" s="2" t="s">
        <v>30</v>
      </c>
      <c r="E77" s="2" t="s">
        <v>225</v>
      </c>
      <c r="F77" s="11" t="s">
        <v>226</v>
      </c>
      <c r="G77" s="11" t="s">
        <v>227</v>
      </c>
      <c r="H77" s="2" t="s">
        <v>273</v>
      </c>
      <c r="I77" s="2" t="s">
        <v>228</v>
      </c>
      <c r="J77" s="8">
        <f>+Tabla1[[#This Row],[FECHA ENTRADA]]</f>
        <v>45305</v>
      </c>
      <c r="K77" s="22">
        <v>45821</v>
      </c>
      <c r="L77" s="13">
        <f>_xlfn.DAYS(Tabla1[[#This Row],[FECHA FIN ]],Tabla1[[#This Row],[FECHA INICIO]])</f>
        <v>516</v>
      </c>
      <c r="M77" s="12"/>
      <c r="N77" s="12">
        <f>1811.6/17</f>
        <v>106.56470588235294</v>
      </c>
      <c r="O77" s="12">
        <f>(Tabla1[[#This Row],[COSTO FIJO ]]/30)*Tabla1[[#This Row],[TOTAL DIAS PROYECTO]]+(Tabla1[[#This Row],[COSTO TEMPORAL]])</f>
        <v>1832.9129411764707</v>
      </c>
      <c r="P77" s="12"/>
      <c r="Q77" s="12">
        <f>+(Tabla1[[#This Row],[COSTO COCHE]]/30)*Tabla1[[#This Row],[TOTAL DIAS PROYECTO]]</f>
        <v>0</v>
      </c>
      <c r="R77" s="12">
        <f>+Tabla1[[#This Row],[COSTO TOTAL ALOJAMIENTO]]+Tabla1[[#This Row],[COSTO TOTAL COCHE]]</f>
        <v>1832.9129411764707</v>
      </c>
      <c r="S77" s="2"/>
      <c r="T77" s="2" t="s">
        <v>35</v>
      </c>
      <c r="U77" s="14">
        <v>45305</v>
      </c>
      <c r="V77" s="14"/>
      <c r="W77" s="15">
        <v>350</v>
      </c>
      <c r="X77" s="2">
        <v>1</v>
      </c>
      <c r="Y77" s="11" t="s">
        <v>308</v>
      </c>
      <c r="Z77" s="2" t="s">
        <v>36</v>
      </c>
      <c r="AA77" s="13" t="s">
        <v>10353</v>
      </c>
      <c r="AB77" s="13" t="s">
        <v>10354</v>
      </c>
    </row>
    <row r="78" spans="1:28" ht="15.75" customHeight="1">
      <c r="A78" s="2" t="s">
        <v>8692</v>
      </c>
      <c r="B78" s="2" t="s">
        <v>28</v>
      </c>
      <c r="C78" s="18" t="s">
        <v>309</v>
      </c>
      <c r="D78" s="2" t="s">
        <v>30</v>
      </c>
      <c r="E78" s="2" t="s">
        <v>225</v>
      </c>
      <c r="F78" s="11" t="s">
        <v>310</v>
      </c>
      <c r="G78" s="11" t="s">
        <v>311</v>
      </c>
      <c r="H78" s="2" t="s">
        <v>273</v>
      </c>
      <c r="I78" s="2" t="s">
        <v>228</v>
      </c>
      <c r="J78" s="8">
        <f>+Tabla1[[#This Row],[FECHA ENTRADA]]</f>
        <v>45323</v>
      </c>
      <c r="K78" s="8">
        <v>45429</v>
      </c>
      <c r="L78" s="13">
        <f>_xlfn.DAYS(Tabla1[[#This Row],[FECHA FIN ]],Tabla1[[#This Row],[FECHA INICIO]])</f>
        <v>106</v>
      </c>
      <c r="M78" s="12"/>
      <c r="N78" s="2"/>
      <c r="O78" s="12">
        <f>(Tabla1[[#This Row],[COSTO FIJO ]]/30)*Tabla1[[#This Row],[TOTAL DIAS PROYECTO]]+(Tabla1[[#This Row],[COSTO TEMPORAL]])</f>
        <v>0</v>
      </c>
      <c r="P78" s="12"/>
      <c r="Q78" s="12">
        <f>+(Tabla1[[#This Row],[COSTO COCHE]]/30)*Tabla1[[#This Row],[TOTAL DIAS PROYECTO]]</f>
        <v>0</v>
      </c>
      <c r="R78" s="12">
        <f>+Tabla1[[#This Row],[COSTO TOTAL ALOJAMIENTO]]+Tabla1[[#This Row],[COSTO TOTAL COCHE]]</f>
        <v>0</v>
      </c>
      <c r="S78" s="2"/>
      <c r="T78" s="2" t="s">
        <v>35</v>
      </c>
      <c r="U78" s="14">
        <v>45323</v>
      </c>
      <c r="V78" s="14"/>
      <c r="W78" s="15"/>
      <c r="X78" s="16">
        <v>1</v>
      </c>
      <c r="Y78" s="18" t="s">
        <v>312</v>
      </c>
      <c r="Z78" s="2" t="s">
        <v>36</v>
      </c>
      <c r="AA78" s="13" t="s">
        <v>10353</v>
      </c>
      <c r="AB78" s="13" t="s">
        <v>10354</v>
      </c>
    </row>
    <row r="79" spans="1:28" ht="15" customHeight="1">
      <c r="A79" s="2" t="s">
        <v>8693</v>
      </c>
      <c r="B79" s="2" t="s">
        <v>28</v>
      </c>
      <c r="C79" s="11" t="s">
        <v>313</v>
      </c>
      <c r="D79" s="2" t="s">
        <v>78</v>
      </c>
      <c r="E79" s="2" t="s">
        <v>314</v>
      </c>
      <c r="F79" s="11" t="s">
        <v>289</v>
      </c>
      <c r="G79" s="11" t="s">
        <v>290</v>
      </c>
      <c r="H79" s="2" t="s">
        <v>291</v>
      </c>
      <c r="I79" s="12" t="s">
        <v>292</v>
      </c>
      <c r="J79" s="8">
        <f>+Tabla1[[#This Row],[FECHA ENTRADA]]</f>
        <v>45367</v>
      </c>
      <c r="K79" s="8">
        <v>45451</v>
      </c>
      <c r="L79" s="13">
        <f>_xlfn.DAYS(Tabla1[[#This Row],[FECHA FIN ]],Tabla1[[#This Row],[FECHA INICIO]])</f>
        <v>84</v>
      </c>
      <c r="M79" s="12"/>
      <c r="N79" s="12"/>
      <c r="O79" s="12">
        <f>(Tabla1[[#This Row],[COSTO FIJO ]]/30)*Tabla1[[#This Row],[TOTAL DIAS PROYECTO]]+(Tabla1[[#This Row],[COSTO TEMPORAL]])</f>
        <v>0</v>
      </c>
      <c r="P79" s="12"/>
      <c r="Q79" s="12">
        <f>+(Tabla1[[#This Row],[COSTO COCHE]]/30)*Tabla1[[#This Row],[TOTAL DIAS PROYECTO]]</f>
        <v>0</v>
      </c>
      <c r="R79" s="12">
        <f>+Tabla1[[#This Row],[COSTO TOTAL ALOJAMIENTO]]+Tabla1[[#This Row],[COSTO TOTAL COCHE]]</f>
        <v>0</v>
      </c>
      <c r="S79" s="2" t="s">
        <v>84</v>
      </c>
      <c r="T79" s="2" t="s">
        <v>44</v>
      </c>
      <c r="U79" s="14">
        <v>45367</v>
      </c>
      <c r="V79" s="14">
        <v>45475</v>
      </c>
      <c r="W79" s="26"/>
      <c r="X79" s="16"/>
      <c r="Y79" s="18" t="s">
        <v>315</v>
      </c>
      <c r="Z79" s="2" t="s">
        <v>36</v>
      </c>
      <c r="AA79" s="13">
        <v>392.40300000000002</v>
      </c>
      <c r="AB79" s="13" t="s">
        <v>10366</v>
      </c>
    </row>
    <row r="80" spans="1:28" ht="15" customHeight="1">
      <c r="A80" s="2" t="s">
        <v>8694</v>
      </c>
      <c r="B80" s="2" t="s">
        <v>28</v>
      </c>
      <c r="C80" s="11" t="s">
        <v>316</v>
      </c>
      <c r="D80" s="2" t="s">
        <v>72</v>
      </c>
      <c r="E80" s="2" t="s">
        <v>73</v>
      </c>
      <c r="F80" s="11" t="s">
        <v>74</v>
      </c>
      <c r="G80" s="11" t="s">
        <v>75</v>
      </c>
      <c r="H80" s="2">
        <v>2023</v>
      </c>
      <c r="I80" s="2" t="s">
        <v>317</v>
      </c>
      <c r="J80" s="8">
        <v>45257</v>
      </c>
      <c r="K80" s="8">
        <v>45456</v>
      </c>
      <c r="L80" s="13">
        <f>_xlfn.DAYS(Tabla1[[#This Row],[FECHA FIN ]],Tabla1[[#This Row],[FECHA INICIO]])</f>
        <v>199</v>
      </c>
      <c r="M80" s="12"/>
      <c r="N80" s="12"/>
      <c r="O80" s="12">
        <f>(Tabla1[[#This Row],[COSTO FIJO ]]/30)*Tabla1[[#This Row],[TOTAL DIAS PROYECTO]]+(Tabla1[[#This Row],[COSTO TEMPORAL]])</f>
        <v>0</v>
      </c>
      <c r="P80" s="12"/>
      <c r="Q80" s="12">
        <f>+(Tabla1[[#This Row],[COSTO COCHE]]/30)*Tabla1[[#This Row],[TOTAL DIAS PROYECTO]]</f>
        <v>0</v>
      </c>
      <c r="R80" s="12">
        <f>+Tabla1[[#This Row],[COSTO TOTAL ALOJAMIENTO]]+Tabla1[[#This Row],[COSTO TOTAL COCHE]]</f>
        <v>0</v>
      </c>
      <c r="S80" s="2"/>
      <c r="T80" s="2" t="s">
        <v>35</v>
      </c>
      <c r="U80" s="14"/>
      <c r="V80" s="14"/>
      <c r="W80" s="15">
        <v>1900</v>
      </c>
      <c r="X80" s="16"/>
      <c r="Y80" s="11" t="s">
        <v>318</v>
      </c>
      <c r="Z80" s="2" t="s">
        <v>36</v>
      </c>
      <c r="AA80" s="13" t="s">
        <v>10331</v>
      </c>
      <c r="AB80" s="13" t="s">
        <v>10332</v>
      </c>
    </row>
    <row r="81" spans="1:28" ht="15" customHeight="1">
      <c r="A81" s="2" t="s">
        <v>8695</v>
      </c>
      <c r="B81" s="2" t="s">
        <v>28</v>
      </c>
      <c r="C81" s="11" t="s">
        <v>319</v>
      </c>
      <c r="D81" s="33" t="s">
        <v>78</v>
      </c>
      <c r="E81" s="33" t="s">
        <v>314</v>
      </c>
      <c r="F81" s="11" t="s">
        <v>320</v>
      </c>
      <c r="G81" s="34" t="s">
        <v>321</v>
      </c>
      <c r="H81" s="33" t="s">
        <v>291</v>
      </c>
      <c r="I81" s="36" t="s">
        <v>292</v>
      </c>
      <c r="J81" s="8">
        <f>+Tabla1[[#This Row],[FECHA ENTRADA]]</f>
        <v>45384</v>
      </c>
      <c r="K81" s="35">
        <v>45458</v>
      </c>
      <c r="L81" s="13">
        <f>_xlfn.DAYS(Tabla1[[#This Row],[FECHA FIN ]],Tabla1[[#This Row],[FECHA INICIO]])</f>
        <v>74</v>
      </c>
      <c r="M81" s="12"/>
      <c r="N81" s="36"/>
      <c r="O81" s="36">
        <f>(Tabla1[[#This Row],[COSTO FIJO ]]/30)*Tabla1[[#This Row],[TOTAL DIAS PROYECTO]]+(Tabla1[[#This Row],[COSTO TEMPORAL]])</f>
        <v>0</v>
      </c>
      <c r="P81" s="36"/>
      <c r="Q81" s="36">
        <f>+(Tabla1[[#This Row],[COSTO COCHE]]/30)*Tabla1[[#This Row],[TOTAL DIAS PROYECTO]]</f>
        <v>0</v>
      </c>
      <c r="R81" s="36">
        <f>+Tabla1[[#This Row],[COSTO TOTAL ALOJAMIENTO]]+Tabla1[[#This Row],[COSTO TOTAL COCHE]]</f>
        <v>0</v>
      </c>
      <c r="S81" s="2" t="s">
        <v>84</v>
      </c>
      <c r="T81" s="33" t="s">
        <v>44</v>
      </c>
      <c r="U81" s="37">
        <v>45384</v>
      </c>
      <c r="V81" s="37">
        <v>45462</v>
      </c>
      <c r="W81" s="40"/>
      <c r="X81" s="39"/>
      <c r="Y81" s="18" t="s">
        <v>322</v>
      </c>
      <c r="Z81" s="33" t="s">
        <v>36</v>
      </c>
      <c r="AA81" s="13">
        <v>392.40300000000002</v>
      </c>
      <c r="AB81" s="13" t="s">
        <v>10366</v>
      </c>
    </row>
    <row r="82" spans="1:28" ht="15" customHeight="1">
      <c r="A82" s="2" t="s">
        <v>8640</v>
      </c>
      <c r="B82" s="2" t="s">
        <v>28</v>
      </c>
      <c r="C82" s="18" t="s">
        <v>71</v>
      </c>
      <c r="D82" s="33" t="s">
        <v>78</v>
      </c>
      <c r="E82" s="33" t="s">
        <v>314</v>
      </c>
      <c r="F82" s="11" t="s">
        <v>289</v>
      </c>
      <c r="G82" s="34" t="s">
        <v>290</v>
      </c>
      <c r="H82" s="33" t="s">
        <v>291</v>
      </c>
      <c r="I82" s="36" t="s">
        <v>292</v>
      </c>
      <c r="J82" s="8">
        <f>+Tabla1[[#This Row],[FECHA ENTRADA]]</f>
        <v>45400</v>
      </c>
      <c r="K82" s="35">
        <v>45458</v>
      </c>
      <c r="L82" s="13">
        <f>_xlfn.DAYS(Tabla1[[#This Row],[FECHA FIN ]],Tabla1[[#This Row],[FECHA INICIO]])</f>
        <v>58</v>
      </c>
      <c r="M82" s="36"/>
      <c r="N82" s="20"/>
      <c r="O82" s="36">
        <f>(Tabla1[[#This Row],[COSTO FIJO ]]/30)*Tabla1[[#This Row],[TOTAL DIAS PROYECTO]]+(Tabla1[[#This Row],[COSTO TEMPORAL]])</f>
        <v>0</v>
      </c>
      <c r="P82" s="36"/>
      <c r="Q82" s="36">
        <f>+(Tabla1[[#This Row],[COSTO COCHE]]/30)*Tabla1[[#This Row],[TOTAL DIAS PROYECTO]]</f>
        <v>0</v>
      </c>
      <c r="R82" s="36">
        <f>+Tabla1[[#This Row],[COSTO TOTAL ALOJAMIENTO]]+Tabla1[[#This Row],[COSTO TOTAL COCHE]]</f>
        <v>0</v>
      </c>
      <c r="S82" s="2" t="s">
        <v>84</v>
      </c>
      <c r="T82" s="33" t="s">
        <v>44</v>
      </c>
      <c r="U82" s="37">
        <v>45400</v>
      </c>
      <c r="V82" s="37">
        <v>45475</v>
      </c>
      <c r="W82" s="40"/>
      <c r="X82" s="33"/>
      <c r="Y82" s="18" t="s">
        <v>323</v>
      </c>
      <c r="Z82" s="33" t="s">
        <v>36</v>
      </c>
      <c r="AA82" s="13">
        <v>392.40300000000002</v>
      </c>
      <c r="AB82" s="13" t="s">
        <v>10366</v>
      </c>
    </row>
    <row r="83" spans="1:28" ht="15" customHeight="1">
      <c r="A83" s="2" t="s">
        <v>8638</v>
      </c>
      <c r="B83" s="2" t="s">
        <v>28</v>
      </c>
      <c r="C83" s="11" t="s">
        <v>324</v>
      </c>
      <c r="D83" s="33" t="s">
        <v>30</v>
      </c>
      <c r="E83" s="2" t="s">
        <v>31</v>
      </c>
      <c r="F83" s="34"/>
      <c r="G83" s="34"/>
      <c r="H83" s="33">
        <v>2023</v>
      </c>
      <c r="I83" s="36" t="s">
        <v>34</v>
      </c>
      <c r="J83" s="8">
        <f>+Tabla1[[#This Row],[FECHA ENTRADA]]</f>
        <v>45366</v>
      </c>
      <c r="K83" s="35">
        <v>45458</v>
      </c>
      <c r="L83" s="13">
        <f>_xlfn.DAYS(Tabla1[[#This Row],[FECHA FIN ]],Tabla1[[#This Row],[FECHA INICIO]])</f>
        <v>92</v>
      </c>
      <c r="M83" s="12"/>
      <c r="N83" s="36"/>
      <c r="O83" s="36">
        <f>(Tabla1[[#This Row],[COSTO FIJO ]]/30)*Tabla1[[#This Row],[TOTAL DIAS PROYECTO]]+(Tabla1[[#This Row],[COSTO TEMPORAL]])</f>
        <v>0</v>
      </c>
      <c r="P83" s="36"/>
      <c r="Q83" s="36">
        <f>+(Tabla1[[#This Row],[COSTO COCHE]]/30)*Tabla1[[#This Row],[TOTAL DIAS PROYECTO]]</f>
        <v>0</v>
      </c>
      <c r="R83" s="36">
        <f>+Tabla1[[#This Row],[COSTO TOTAL ALOJAMIENTO]]+Tabla1[[#This Row],[COSTO TOTAL COCHE]]</f>
        <v>0</v>
      </c>
      <c r="S83" s="33"/>
      <c r="T83" s="33" t="s">
        <v>58</v>
      </c>
      <c r="U83" s="37">
        <v>45366</v>
      </c>
      <c r="V83" s="14"/>
      <c r="W83" s="38"/>
      <c r="X83" s="39"/>
      <c r="Y83" s="18" t="s">
        <v>325</v>
      </c>
      <c r="Z83" s="33" t="s">
        <v>36</v>
      </c>
      <c r="AA83" s="13" t="s">
        <v>10323</v>
      </c>
      <c r="AB83" s="13" t="s">
        <v>10324</v>
      </c>
    </row>
    <row r="84" spans="1:28" ht="15" customHeight="1">
      <c r="A84" s="2" t="s">
        <v>8696</v>
      </c>
      <c r="B84" s="2" t="s">
        <v>28</v>
      </c>
      <c r="C84" s="11" t="s">
        <v>326</v>
      </c>
      <c r="D84" s="33" t="s">
        <v>30</v>
      </c>
      <c r="E84" s="2" t="s">
        <v>87</v>
      </c>
      <c r="F84" s="11" t="s">
        <v>88</v>
      </c>
      <c r="G84" s="34" t="s">
        <v>89</v>
      </c>
      <c r="H84" s="33" t="s">
        <v>285</v>
      </c>
      <c r="I84" s="33" t="s">
        <v>124</v>
      </c>
      <c r="J84" s="8">
        <f>+Tabla1[[#This Row],[FECHA ENTRADA]]</f>
        <v>45361</v>
      </c>
      <c r="K84" s="22">
        <v>45458</v>
      </c>
      <c r="L84" s="13">
        <f>_xlfn.DAYS(Tabla1[[#This Row],[FECHA FIN ]],Tabla1[[#This Row],[FECHA INICIO]])</f>
        <v>97</v>
      </c>
      <c r="M84" s="12"/>
      <c r="N84" s="12"/>
      <c r="O84" s="36">
        <f>(Tabla1[[#This Row],[COSTO FIJO ]]/30)*Tabla1[[#This Row],[TOTAL DIAS PROYECTO]]+(Tabla1[[#This Row],[COSTO TEMPORAL]])</f>
        <v>0</v>
      </c>
      <c r="P84" s="36"/>
      <c r="Q84" s="36">
        <f>+(Tabla1[[#This Row],[COSTO COCHE]]/30)*Tabla1[[#This Row],[TOTAL DIAS PROYECTO]]</f>
        <v>0</v>
      </c>
      <c r="R84" s="36">
        <f>+Tabla1[[#This Row],[COSTO TOTAL ALOJAMIENTO]]+Tabla1[[#This Row],[COSTO TOTAL COCHE]]</f>
        <v>0</v>
      </c>
      <c r="S84" s="33"/>
      <c r="T84" s="33" t="s">
        <v>35</v>
      </c>
      <c r="U84" s="37">
        <v>45361</v>
      </c>
      <c r="V84" s="14"/>
      <c r="W84" s="38"/>
      <c r="X84" s="39">
        <v>9</v>
      </c>
      <c r="Y84" s="18" t="s">
        <v>327</v>
      </c>
      <c r="Z84" s="33" t="s">
        <v>36</v>
      </c>
      <c r="AA84" s="13" t="s">
        <v>10335</v>
      </c>
      <c r="AB84" s="13">
        <v>404.16500000000002</v>
      </c>
    </row>
    <row r="85" spans="1:28">
      <c r="A85" s="2" t="s">
        <v>8697</v>
      </c>
      <c r="B85" s="2" t="s">
        <v>28</v>
      </c>
      <c r="C85" s="18" t="s">
        <v>328</v>
      </c>
      <c r="D85" s="33" t="s">
        <v>30</v>
      </c>
      <c r="E85" s="2" t="s">
        <v>87</v>
      </c>
      <c r="F85" s="11" t="s">
        <v>88</v>
      </c>
      <c r="G85" s="34" t="s">
        <v>89</v>
      </c>
      <c r="H85" s="33" t="s">
        <v>305</v>
      </c>
      <c r="I85" s="33" t="s">
        <v>124</v>
      </c>
      <c r="J85" s="8">
        <f>+Tabla1[[#This Row],[FECHA ENTRADA]]</f>
        <v>45361</v>
      </c>
      <c r="K85" s="22">
        <v>45458</v>
      </c>
      <c r="L85" s="13">
        <f>_xlfn.DAYS(Tabla1[[#This Row],[FECHA FIN ]],Tabla1[[#This Row],[FECHA INICIO]])</f>
        <v>97</v>
      </c>
      <c r="M85" s="12"/>
      <c r="N85" s="24"/>
      <c r="O85" s="36">
        <f>(Tabla1[[#This Row],[COSTO FIJO ]]/30)*Tabla1[[#This Row],[TOTAL DIAS PROYECTO]]+(Tabla1[[#This Row],[COSTO TEMPORAL]])</f>
        <v>0</v>
      </c>
      <c r="P85" s="36"/>
      <c r="Q85" s="36">
        <f>+(Tabla1[[#This Row],[COSTO COCHE]]/30)*Tabla1[[#This Row],[TOTAL DIAS PROYECTO]]</f>
        <v>0</v>
      </c>
      <c r="R85" s="36">
        <f>+Tabla1[[#This Row],[COSTO TOTAL ALOJAMIENTO]]+Tabla1[[#This Row],[COSTO TOTAL COCHE]]</f>
        <v>0</v>
      </c>
      <c r="S85" s="33"/>
      <c r="T85" s="33" t="s">
        <v>35</v>
      </c>
      <c r="U85" s="37">
        <v>45361</v>
      </c>
      <c r="V85" s="14"/>
      <c r="W85" s="38"/>
      <c r="X85" s="39">
        <v>9</v>
      </c>
      <c r="Y85" s="18" t="s">
        <v>329</v>
      </c>
      <c r="Z85" s="33" t="s">
        <v>36</v>
      </c>
      <c r="AA85" s="13" t="s">
        <v>10335</v>
      </c>
      <c r="AB85" s="13">
        <v>404.16500000000002</v>
      </c>
    </row>
    <row r="86" spans="1:28" ht="15" customHeight="1">
      <c r="A86" s="2" t="s">
        <v>8698</v>
      </c>
      <c r="B86" s="2" t="s">
        <v>28</v>
      </c>
      <c r="C86" s="11" t="s">
        <v>330</v>
      </c>
      <c r="D86" s="2" t="s">
        <v>72</v>
      </c>
      <c r="E86" s="2" t="s">
        <v>73</v>
      </c>
      <c r="F86" s="11" t="s">
        <v>241</v>
      </c>
      <c r="G86" s="11" t="s">
        <v>242</v>
      </c>
      <c r="H86" s="2" t="s">
        <v>331</v>
      </c>
      <c r="I86" s="12" t="s">
        <v>332</v>
      </c>
      <c r="J86" s="8">
        <f>+Tabla1[[#This Row],[FECHA ENTRADA]]</f>
        <v>45445</v>
      </c>
      <c r="K86" s="8">
        <v>45461</v>
      </c>
      <c r="L86" s="13">
        <f>_xlfn.DAYS(Tabla1[[#This Row],[FECHA FIN ]],Tabla1[[#This Row],[FECHA INICIO]])</f>
        <v>16</v>
      </c>
      <c r="M86" s="12"/>
      <c r="N86" s="12"/>
      <c r="O86" s="12">
        <f>(Tabla1[[#This Row],[COSTO FIJO ]]/30)*Tabla1[[#This Row],[TOTAL DIAS PROYECTO]]+(Tabla1[[#This Row],[COSTO TEMPORAL]])</f>
        <v>0</v>
      </c>
      <c r="P86" s="12"/>
      <c r="Q86" s="12">
        <f>+(Tabla1[[#This Row],[COSTO COCHE]]/30)*Tabla1[[#This Row],[TOTAL DIAS PROYECTO]]</f>
        <v>0</v>
      </c>
      <c r="R86" s="12">
        <f>+Tabla1[[#This Row],[COSTO TOTAL ALOJAMIENTO]]+Tabla1[[#This Row],[COSTO TOTAL COCHE]]</f>
        <v>0</v>
      </c>
      <c r="S86" s="2"/>
      <c r="T86" s="2" t="s">
        <v>35</v>
      </c>
      <c r="U86" s="14">
        <v>45445</v>
      </c>
      <c r="V86" s="14"/>
      <c r="W86" s="26"/>
      <c r="X86" s="2"/>
      <c r="Y86" s="18" t="s">
        <v>333</v>
      </c>
      <c r="Z86" s="2" t="s">
        <v>36</v>
      </c>
      <c r="AA86" s="13" t="s">
        <v>10331</v>
      </c>
      <c r="AB86" s="13" t="s">
        <v>10332</v>
      </c>
    </row>
    <row r="87" spans="1:28">
      <c r="A87" s="2" t="s">
        <v>8642</v>
      </c>
      <c r="B87" s="2" t="s">
        <v>28</v>
      </c>
      <c r="C87" s="11" t="s">
        <v>160</v>
      </c>
      <c r="D87" s="2" t="s">
        <v>161</v>
      </c>
      <c r="E87" s="2" t="s">
        <v>162</v>
      </c>
      <c r="F87" s="11" t="s">
        <v>334</v>
      </c>
      <c r="G87" s="11" t="s">
        <v>335</v>
      </c>
      <c r="H87" s="2" t="s">
        <v>336</v>
      </c>
      <c r="I87" s="12" t="s">
        <v>165</v>
      </c>
      <c r="J87" s="8">
        <f>+Tabla1[[#This Row],[FECHA ENTRADA]]</f>
        <v>45424</v>
      </c>
      <c r="K87" s="8">
        <v>45463</v>
      </c>
      <c r="L87" s="13">
        <f>_xlfn.DAYS(Tabla1[[#This Row],[FECHA FIN ]],Tabla1[[#This Row],[FECHA INICIO]])</f>
        <v>39</v>
      </c>
      <c r="M87" s="12"/>
      <c r="N87" s="12"/>
      <c r="O87" s="12">
        <f>(Tabla1[[#This Row],[COSTO FIJO ]]/30)*Tabla1[[#This Row],[TOTAL DIAS PROYECTO]]+(Tabla1[[#This Row],[COSTO TEMPORAL]])</f>
        <v>0</v>
      </c>
      <c r="P87" s="12"/>
      <c r="Q87" s="12">
        <f>+(Tabla1[[#This Row],[COSTO COCHE]]/30)*Tabla1[[#This Row],[TOTAL DIAS PROYECTO]]</f>
        <v>0</v>
      </c>
      <c r="R87" s="12">
        <f>+Tabla1[[#This Row],[COSTO TOTAL ALOJAMIENTO]]+Tabla1[[#This Row],[COSTO TOTAL COCHE]]</f>
        <v>0</v>
      </c>
      <c r="S87" s="2" t="s">
        <v>84</v>
      </c>
      <c r="T87" s="2" t="s">
        <v>35</v>
      </c>
      <c r="U87" s="14">
        <v>45424</v>
      </c>
      <c r="V87" s="14">
        <v>45469</v>
      </c>
      <c r="W87" s="26"/>
      <c r="X87" s="2"/>
      <c r="Y87" s="18"/>
      <c r="Z87" s="2" t="s">
        <v>36</v>
      </c>
      <c r="AA87" s="13" t="s">
        <v>10347</v>
      </c>
      <c r="AB87" s="13" t="s">
        <v>10348</v>
      </c>
    </row>
    <row r="88" spans="1:28" ht="15" customHeight="1">
      <c r="A88" s="2" t="s">
        <v>8638</v>
      </c>
      <c r="B88" s="2" t="s">
        <v>28</v>
      </c>
      <c r="C88" s="11" t="s">
        <v>167</v>
      </c>
      <c r="D88" s="2" t="s">
        <v>161</v>
      </c>
      <c r="E88" s="2" t="s">
        <v>162</v>
      </c>
      <c r="F88" s="11" t="s">
        <v>334</v>
      </c>
      <c r="G88" s="11" t="s">
        <v>335</v>
      </c>
      <c r="H88" s="2" t="s">
        <v>336</v>
      </c>
      <c r="I88" s="12" t="s">
        <v>165</v>
      </c>
      <c r="J88" s="8">
        <f>+Tabla1[[#This Row],[FECHA ENTRADA]]</f>
        <v>45424</v>
      </c>
      <c r="K88" s="8">
        <v>45463</v>
      </c>
      <c r="L88" s="13">
        <f>_xlfn.DAYS(Tabla1[[#This Row],[FECHA FIN ]],Tabla1[[#This Row],[FECHA INICIO]])</f>
        <v>39</v>
      </c>
      <c r="M88" s="12"/>
      <c r="N88" s="12"/>
      <c r="O88" s="12">
        <f>(Tabla1[[#This Row],[COSTO FIJO ]]/30)*Tabla1[[#This Row],[TOTAL DIAS PROYECTO]]+(Tabla1[[#This Row],[COSTO TEMPORAL]])</f>
        <v>0</v>
      </c>
      <c r="P88" s="12"/>
      <c r="Q88" s="12">
        <f>+(Tabla1[[#This Row],[COSTO COCHE]]/30)*Tabla1[[#This Row],[TOTAL DIAS PROYECTO]]</f>
        <v>0</v>
      </c>
      <c r="R88" s="12">
        <f>+Tabla1[[#This Row],[COSTO TOTAL ALOJAMIENTO]]+Tabla1[[#This Row],[COSTO TOTAL COCHE]]</f>
        <v>0</v>
      </c>
      <c r="S88" s="2" t="s">
        <v>84</v>
      </c>
      <c r="T88" s="2" t="s">
        <v>35</v>
      </c>
      <c r="U88" s="14">
        <v>45424</v>
      </c>
      <c r="V88" s="14">
        <v>45469</v>
      </c>
      <c r="W88" s="26"/>
      <c r="X88" s="2"/>
      <c r="Y88" s="18"/>
      <c r="Z88" s="2" t="s">
        <v>36</v>
      </c>
      <c r="AA88" s="13" t="s">
        <v>10347</v>
      </c>
      <c r="AB88" s="13" t="s">
        <v>10348</v>
      </c>
    </row>
    <row r="89" spans="1:28" ht="15" customHeight="1">
      <c r="A89" s="2" t="s">
        <v>8638</v>
      </c>
      <c r="B89" s="2" t="s">
        <v>28</v>
      </c>
      <c r="C89" s="11" t="s">
        <v>337</v>
      </c>
      <c r="D89" s="2" t="s">
        <v>161</v>
      </c>
      <c r="E89" s="2" t="s">
        <v>162</v>
      </c>
      <c r="F89" s="11" t="s">
        <v>334</v>
      </c>
      <c r="G89" s="11" t="s">
        <v>335</v>
      </c>
      <c r="H89" s="2" t="s">
        <v>336</v>
      </c>
      <c r="I89" s="12" t="s">
        <v>165</v>
      </c>
      <c r="J89" s="8">
        <f>+Tabla1[[#This Row],[FECHA ENTRADA]]</f>
        <v>45424</v>
      </c>
      <c r="K89" s="8">
        <v>45463</v>
      </c>
      <c r="L89" s="13">
        <f>_xlfn.DAYS(Tabla1[[#This Row],[FECHA FIN ]],Tabla1[[#This Row],[FECHA INICIO]])</f>
        <v>39</v>
      </c>
      <c r="M89" s="12"/>
      <c r="N89" s="12"/>
      <c r="O89" s="12">
        <f>(Tabla1[[#This Row],[COSTO FIJO ]]/30)*Tabla1[[#This Row],[TOTAL DIAS PROYECTO]]+(Tabla1[[#This Row],[COSTO TEMPORAL]])</f>
        <v>0</v>
      </c>
      <c r="P89" s="12"/>
      <c r="Q89" s="12">
        <f>+(Tabla1[[#This Row],[COSTO COCHE]]/30)*Tabla1[[#This Row],[TOTAL DIAS PROYECTO]]</f>
        <v>0</v>
      </c>
      <c r="R89" s="12">
        <f>+Tabla1[[#This Row],[COSTO TOTAL ALOJAMIENTO]]+Tabla1[[#This Row],[COSTO TOTAL COCHE]]</f>
        <v>0</v>
      </c>
      <c r="S89" s="2" t="s">
        <v>84</v>
      </c>
      <c r="T89" s="2" t="s">
        <v>35</v>
      </c>
      <c r="U89" s="14">
        <v>45424</v>
      </c>
      <c r="V89" s="14">
        <v>45469</v>
      </c>
      <c r="W89" s="26"/>
      <c r="X89" s="2"/>
      <c r="Y89" s="18"/>
      <c r="Z89" s="2" t="s">
        <v>36</v>
      </c>
      <c r="AA89" s="13" t="s">
        <v>10347</v>
      </c>
      <c r="AB89" s="13" t="s">
        <v>10348</v>
      </c>
    </row>
    <row r="90" spans="1:28" ht="15" customHeight="1">
      <c r="A90" s="2" t="s">
        <v>8699</v>
      </c>
      <c r="B90" s="2" t="s">
        <v>28</v>
      </c>
      <c r="C90" s="11" t="s">
        <v>338</v>
      </c>
      <c r="D90" s="2" t="s">
        <v>30</v>
      </c>
      <c r="E90" s="2" t="s">
        <v>55</v>
      </c>
      <c r="F90" s="11" t="s">
        <v>339</v>
      </c>
      <c r="G90" s="11" t="s">
        <v>340</v>
      </c>
      <c r="H90" s="2" t="s">
        <v>341</v>
      </c>
      <c r="I90" s="12" t="s">
        <v>152</v>
      </c>
      <c r="J90" s="8">
        <f>+Tabla1[[#This Row],[FECHA ENTRADA]]</f>
        <v>45466</v>
      </c>
      <c r="K90" s="8">
        <v>45466</v>
      </c>
      <c r="L90" s="13">
        <f>_xlfn.DAYS(Tabla1[[#This Row],[FECHA FIN ]],Tabla1[[#This Row],[FECHA INICIO]])</f>
        <v>0</v>
      </c>
      <c r="M90" s="12"/>
      <c r="N90" s="12"/>
      <c r="O90" s="12">
        <f>(Tabla1[[#This Row],[COSTO FIJO ]]/30)*Tabla1[[#This Row],[TOTAL DIAS PROYECTO]]+(Tabla1[[#This Row],[COSTO TEMPORAL]])</f>
        <v>0</v>
      </c>
      <c r="P90" s="12"/>
      <c r="Q90" s="12">
        <f>+(Tabla1[[#This Row],[COSTO COCHE]]/30)*Tabla1[[#This Row],[TOTAL DIAS PROYECTO]]</f>
        <v>0</v>
      </c>
      <c r="R90" s="12">
        <f>+Tabla1[[#This Row],[COSTO TOTAL ALOJAMIENTO]]+Tabla1[[#This Row],[COSTO TOTAL COCHE]]</f>
        <v>0</v>
      </c>
      <c r="S90" s="2"/>
      <c r="T90" s="2" t="s">
        <v>44</v>
      </c>
      <c r="U90" s="14">
        <v>45466</v>
      </c>
      <c r="V90" s="14">
        <v>45469</v>
      </c>
      <c r="W90" s="26"/>
      <c r="X90" s="2"/>
      <c r="Y90" s="18" t="s">
        <v>342</v>
      </c>
      <c r="Z90" s="2" t="s">
        <v>36</v>
      </c>
      <c r="AA90" s="13" t="s">
        <v>10327</v>
      </c>
      <c r="AB90" s="13" t="s">
        <v>10328</v>
      </c>
    </row>
    <row r="91" spans="1:28" ht="15" customHeight="1">
      <c r="A91" s="2" t="s">
        <v>8700</v>
      </c>
      <c r="B91" s="2" t="s">
        <v>28</v>
      </c>
      <c r="C91" s="11" t="s">
        <v>343</v>
      </c>
      <c r="D91" s="2" t="s">
        <v>30</v>
      </c>
      <c r="E91" s="2" t="s">
        <v>31</v>
      </c>
      <c r="F91" s="11" t="s">
        <v>344</v>
      </c>
      <c r="G91" s="11" t="s">
        <v>345</v>
      </c>
      <c r="H91" s="2" t="s">
        <v>346</v>
      </c>
      <c r="I91" s="12" t="s">
        <v>347</v>
      </c>
      <c r="J91" s="8">
        <f>+Tabla1[[#This Row],[FECHA ENTRADA]]</f>
        <v>45455</v>
      </c>
      <c r="K91" s="8">
        <v>45467</v>
      </c>
      <c r="L91" s="13">
        <f>_xlfn.DAYS(Tabla1[[#This Row],[FECHA FIN ]],Tabla1[[#This Row],[FECHA INICIO]])</f>
        <v>12</v>
      </c>
      <c r="M91" s="12"/>
      <c r="N91" s="12"/>
      <c r="O91" s="12">
        <f>(Tabla1[[#This Row],[COSTO FIJO ]]/30)*Tabla1[[#This Row],[TOTAL DIAS PROYECTO]]+(Tabla1[[#This Row],[COSTO TEMPORAL]])</f>
        <v>0</v>
      </c>
      <c r="P91" s="12"/>
      <c r="Q91" s="12">
        <f>+(Tabla1[[#This Row],[COSTO COCHE]]/30)*Tabla1[[#This Row],[TOTAL DIAS PROYECTO]]</f>
        <v>0</v>
      </c>
      <c r="R91" s="12">
        <f>+Tabla1[[#This Row],[COSTO TOTAL ALOJAMIENTO]]+Tabla1[[#This Row],[COSTO TOTAL COCHE]]</f>
        <v>0</v>
      </c>
      <c r="S91" s="2"/>
      <c r="T91" s="2" t="s">
        <v>35</v>
      </c>
      <c r="U91" s="14">
        <v>45455</v>
      </c>
      <c r="V91" s="14"/>
      <c r="W91" s="26"/>
      <c r="X91" s="2"/>
      <c r="Y91" s="31" t="s">
        <v>348</v>
      </c>
      <c r="Z91" s="2" t="s">
        <v>36</v>
      </c>
      <c r="AA91" s="13" t="s">
        <v>10323</v>
      </c>
      <c r="AB91" s="13" t="s">
        <v>10324</v>
      </c>
    </row>
    <row r="92" spans="1:28" ht="15" customHeight="1">
      <c r="A92" s="2" t="s">
        <v>8701</v>
      </c>
      <c r="B92" s="2" t="s">
        <v>28</v>
      </c>
      <c r="C92" s="18" t="s">
        <v>349</v>
      </c>
      <c r="D92" s="2" t="s">
        <v>30</v>
      </c>
      <c r="E92" s="2" t="s">
        <v>55</v>
      </c>
      <c r="F92" s="11" t="s">
        <v>105</v>
      </c>
      <c r="G92" s="11" t="s">
        <v>106</v>
      </c>
      <c r="H92" s="2" t="s">
        <v>350</v>
      </c>
      <c r="I92" s="2" t="s">
        <v>236</v>
      </c>
      <c r="J92" s="8">
        <f>+Tabla1[[#This Row],[FECHA ENTRADA]]</f>
        <v>45340</v>
      </c>
      <c r="K92" s="8">
        <v>45468</v>
      </c>
      <c r="L92" s="13">
        <f>_xlfn.DAYS(Tabla1[[#This Row],[FECHA FIN ]],Tabla1[[#This Row],[FECHA INICIO]])</f>
        <v>128</v>
      </c>
      <c r="M92" s="2"/>
      <c r="N92" s="12">
        <v>450</v>
      </c>
      <c r="O92" s="12">
        <f>(Tabla1[[#This Row],[COSTO FIJO ]]/30)*Tabla1[[#This Row],[TOTAL DIAS PROYECTO]]+(Tabla1[[#This Row],[COSTO TEMPORAL]])</f>
        <v>1920</v>
      </c>
      <c r="P92" s="12"/>
      <c r="Q92" s="12">
        <f>+(Tabla1[[#This Row],[COSTO COCHE]]/30)*Tabla1[[#This Row],[TOTAL DIAS PROYECTO]]</f>
        <v>0</v>
      </c>
      <c r="R92" s="12">
        <f>+Tabla1[[#This Row],[COSTO TOTAL ALOJAMIENTO]]+Tabla1[[#This Row],[COSTO TOTAL COCHE]]</f>
        <v>1920</v>
      </c>
      <c r="S92" s="2"/>
      <c r="T92" s="2" t="s">
        <v>35</v>
      </c>
      <c r="U92" s="14">
        <v>45340</v>
      </c>
      <c r="V92" s="14">
        <v>45353</v>
      </c>
      <c r="W92" s="15">
        <v>600</v>
      </c>
      <c r="X92" s="16">
        <v>1</v>
      </c>
      <c r="Y92" s="18" t="s">
        <v>351</v>
      </c>
      <c r="Z92" s="2" t="s">
        <v>36</v>
      </c>
      <c r="AA92" s="13" t="s">
        <v>10327</v>
      </c>
      <c r="AB92" s="13" t="s">
        <v>10328</v>
      </c>
    </row>
    <row r="93" spans="1:28" ht="15" customHeight="1">
      <c r="A93" s="2" t="s">
        <v>8638</v>
      </c>
      <c r="B93" s="2" t="s">
        <v>28</v>
      </c>
      <c r="C93" s="18" t="s">
        <v>352</v>
      </c>
      <c r="D93" s="2" t="s">
        <v>30</v>
      </c>
      <c r="E93" s="2" t="s">
        <v>55</v>
      </c>
      <c r="F93" s="11" t="s">
        <v>105</v>
      </c>
      <c r="G93" s="11" t="s">
        <v>106</v>
      </c>
      <c r="H93" s="2" t="s">
        <v>350</v>
      </c>
      <c r="I93" s="2" t="s">
        <v>236</v>
      </c>
      <c r="J93" s="8">
        <f>+Tabla1[[#This Row],[FECHA ENTRADA]]</f>
        <v>45340</v>
      </c>
      <c r="K93" s="8">
        <v>45468</v>
      </c>
      <c r="L93" s="13">
        <f>_xlfn.DAYS(Tabla1[[#This Row],[FECHA FIN ]],Tabla1[[#This Row],[FECHA INICIO]])</f>
        <v>128</v>
      </c>
      <c r="M93" s="2"/>
      <c r="N93" s="12">
        <v>450</v>
      </c>
      <c r="O93" s="12">
        <f>(Tabla1[[#This Row],[COSTO FIJO ]]/30)*Tabla1[[#This Row],[TOTAL DIAS PROYECTO]]+(Tabla1[[#This Row],[COSTO TEMPORAL]])</f>
        <v>1920</v>
      </c>
      <c r="P93" s="12"/>
      <c r="Q93" s="12">
        <f>+(Tabla1[[#This Row],[COSTO COCHE]]/30)*Tabla1[[#This Row],[TOTAL DIAS PROYECTO]]</f>
        <v>0</v>
      </c>
      <c r="R93" s="12">
        <f>+Tabla1[[#This Row],[COSTO TOTAL ALOJAMIENTO]]+Tabla1[[#This Row],[COSTO TOTAL COCHE]]</f>
        <v>1920</v>
      </c>
      <c r="S93" s="2"/>
      <c r="T93" s="2" t="s">
        <v>35</v>
      </c>
      <c r="U93" s="14">
        <v>45340</v>
      </c>
      <c r="V93" s="14">
        <v>45353</v>
      </c>
      <c r="W93" s="15"/>
      <c r="X93" s="16">
        <v>1</v>
      </c>
      <c r="Y93" s="18" t="s">
        <v>353</v>
      </c>
      <c r="Z93" s="2" t="s">
        <v>36</v>
      </c>
      <c r="AA93" s="13" t="s">
        <v>10327</v>
      </c>
      <c r="AB93" s="13" t="s">
        <v>10328</v>
      </c>
    </row>
    <row r="94" spans="1:28" ht="15" customHeight="1">
      <c r="A94" s="2" t="s">
        <v>8702</v>
      </c>
      <c r="B94" s="2" t="s">
        <v>28</v>
      </c>
      <c r="C94" s="18" t="s">
        <v>354</v>
      </c>
      <c r="D94" s="33" t="s">
        <v>78</v>
      </c>
      <c r="E94" s="33" t="s">
        <v>314</v>
      </c>
      <c r="F94" s="11" t="s">
        <v>320</v>
      </c>
      <c r="G94" s="34" t="s">
        <v>321</v>
      </c>
      <c r="H94" s="33" t="s">
        <v>291</v>
      </c>
      <c r="I94" s="36" t="s">
        <v>292</v>
      </c>
      <c r="J94" s="8">
        <f>+Tabla1[[#This Row],[FECHA ENTRADA]]</f>
        <v>45375</v>
      </c>
      <c r="K94" s="35">
        <v>45471</v>
      </c>
      <c r="L94" s="13">
        <f>_xlfn.DAYS(Tabla1[[#This Row],[FECHA FIN ]],Tabla1[[#This Row],[FECHA INICIO]])</f>
        <v>96</v>
      </c>
      <c r="M94" s="12"/>
      <c r="N94" s="20"/>
      <c r="O94" s="36">
        <f>(Tabla1[[#This Row],[COSTO FIJO ]]/30)*Tabla1[[#This Row],[TOTAL DIAS PROYECTO]]+(Tabla1[[#This Row],[COSTO TEMPORAL]])</f>
        <v>0</v>
      </c>
      <c r="P94" s="36"/>
      <c r="Q94" s="36">
        <f>+(Tabla1[[#This Row],[COSTO COCHE]]/30)*Tabla1[[#This Row],[TOTAL DIAS PROYECTO]]</f>
        <v>0</v>
      </c>
      <c r="R94" s="36">
        <f>+Tabla1[[#This Row],[COSTO TOTAL ALOJAMIENTO]]+Tabla1[[#This Row],[COSTO TOTAL COCHE]]</f>
        <v>0</v>
      </c>
      <c r="S94" s="2" t="s">
        <v>84</v>
      </c>
      <c r="T94" s="33" t="s">
        <v>44</v>
      </c>
      <c r="U94" s="37">
        <v>45375</v>
      </c>
      <c r="V94" s="37">
        <v>45462</v>
      </c>
      <c r="W94" s="40"/>
      <c r="X94" s="39"/>
      <c r="Y94" s="18" t="s">
        <v>355</v>
      </c>
      <c r="Z94" s="33" t="s">
        <v>36</v>
      </c>
      <c r="AA94" s="13">
        <v>392.40300000000002</v>
      </c>
      <c r="AB94" s="13" t="s">
        <v>10366</v>
      </c>
    </row>
    <row r="95" spans="1:28">
      <c r="A95" s="2" t="s">
        <v>8688</v>
      </c>
      <c r="B95" s="2" t="s">
        <v>28</v>
      </c>
      <c r="C95" s="11" t="s">
        <v>294</v>
      </c>
      <c r="D95" s="33" t="s">
        <v>30</v>
      </c>
      <c r="E95" s="2" t="s">
        <v>31</v>
      </c>
      <c r="F95" s="11" t="s">
        <v>344</v>
      </c>
      <c r="G95" s="11" t="s">
        <v>345</v>
      </c>
      <c r="H95" s="33" t="s">
        <v>356</v>
      </c>
      <c r="I95" s="36" t="s">
        <v>357</v>
      </c>
      <c r="J95" s="8">
        <f>+Tabla1[[#This Row],[FECHA ENTRADA]]</f>
        <v>45447</v>
      </c>
      <c r="K95" s="35">
        <v>45477</v>
      </c>
      <c r="L95" s="13">
        <f>_xlfn.DAYS(Tabla1[[#This Row],[FECHA FIN ]],Tabla1[[#This Row],[FECHA INICIO]])</f>
        <v>30</v>
      </c>
      <c r="M95" s="12"/>
      <c r="N95" s="12"/>
      <c r="O95" s="36">
        <f>(Tabla1[[#This Row],[COSTO FIJO ]]/30)*Tabla1[[#This Row],[TOTAL DIAS PROYECTO]]+(Tabla1[[#This Row],[COSTO TEMPORAL]])</f>
        <v>0</v>
      </c>
      <c r="P95" s="36"/>
      <c r="Q95" s="36">
        <f>+(Tabla1[[#This Row],[COSTO COCHE]]/30)*Tabla1[[#This Row],[TOTAL DIAS PROYECTO]]</f>
        <v>0</v>
      </c>
      <c r="R95" s="36">
        <f>+Tabla1[[#This Row],[COSTO TOTAL ALOJAMIENTO]]+Tabla1[[#This Row],[COSTO TOTAL COCHE]]</f>
        <v>0</v>
      </c>
      <c r="S95" s="33"/>
      <c r="T95" s="33" t="s">
        <v>35</v>
      </c>
      <c r="U95" s="37">
        <v>45447</v>
      </c>
      <c r="V95" s="14"/>
      <c r="W95" s="40"/>
      <c r="X95" s="33"/>
      <c r="Y95" s="18" t="s">
        <v>358</v>
      </c>
      <c r="Z95" s="33" t="s">
        <v>36</v>
      </c>
      <c r="AA95" s="13" t="s">
        <v>10323</v>
      </c>
      <c r="AB95" s="13" t="s">
        <v>10324</v>
      </c>
    </row>
    <row r="96" spans="1:28" ht="15" customHeight="1">
      <c r="A96" s="2" t="s">
        <v>8643</v>
      </c>
      <c r="B96" s="2" t="s">
        <v>28</v>
      </c>
      <c r="C96" s="11" t="s">
        <v>98</v>
      </c>
      <c r="D96" s="2" t="s">
        <v>99</v>
      </c>
      <c r="E96" s="2" t="s">
        <v>359</v>
      </c>
      <c r="F96" s="11" t="s">
        <v>360</v>
      </c>
      <c r="G96" s="11" t="s">
        <v>361</v>
      </c>
      <c r="H96" s="2" t="s">
        <v>362</v>
      </c>
      <c r="I96" s="12" t="s">
        <v>96</v>
      </c>
      <c r="J96" s="41">
        <f>+Tabla1[[#This Row],[FECHA ENTRADA]]</f>
        <v>45749</v>
      </c>
      <c r="K96" s="41">
        <v>45779</v>
      </c>
      <c r="L96" s="42">
        <f>_xlfn.DAYS(Tabla1[[#This Row],[FECHA FIN ]],Tabla1[[#This Row],[FECHA INICIO]])</f>
        <v>30</v>
      </c>
      <c r="M96" s="12"/>
      <c r="N96" s="28">
        <v>400</v>
      </c>
      <c r="O96" s="28">
        <f>(Tabla1[[#This Row],[COSTO FIJO ]]/30)*Tabla1[[#This Row],[TOTAL DIAS PROYECTO]]+(Tabla1[[#This Row],[COSTO TEMPORAL]])</f>
        <v>400</v>
      </c>
      <c r="P96" s="12"/>
      <c r="Q96" s="12">
        <f>+(Tabla1[[#This Row],[COSTO COCHE]]/30)*Tabla1[[#This Row],[TOTAL DIAS PROYECTO]]</f>
        <v>0</v>
      </c>
      <c r="R96" s="12">
        <f>+Tabla1[[#This Row],[COSTO TOTAL ALOJAMIENTO]]+Tabla1[[#This Row],[COSTO TOTAL COCHE]]</f>
        <v>400</v>
      </c>
      <c r="S96" s="2"/>
      <c r="T96" s="2" t="s">
        <v>35</v>
      </c>
      <c r="U96" s="14">
        <v>45749</v>
      </c>
      <c r="V96" s="43">
        <v>45779</v>
      </c>
      <c r="W96" s="26"/>
      <c r="X96" s="2">
        <v>1</v>
      </c>
      <c r="Y96" s="11"/>
      <c r="Z96" s="2" t="s">
        <v>36</v>
      </c>
      <c r="AA96" s="13" t="s">
        <v>10367</v>
      </c>
      <c r="AB96" s="13">
        <v>3899424</v>
      </c>
    </row>
    <row r="97" spans="1:28">
      <c r="A97" s="2" t="s">
        <v>8703</v>
      </c>
      <c r="B97" s="2" t="s">
        <v>28</v>
      </c>
      <c r="C97" s="11" t="s">
        <v>363</v>
      </c>
      <c r="D97" s="2" t="s">
        <v>30</v>
      </c>
      <c r="E97" s="2" t="s">
        <v>55</v>
      </c>
      <c r="F97" s="11"/>
      <c r="G97" s="11"/>
      <c r="H97" s="2">
        <v>2023</v>
      </c>
      <c r="I97" s="2" t="s">
        <v>236</v>
      </c>
      <c r="J97" s="8">
        <v>45122</v>
      </c>
      <c r="K97" s="8">
        <v>45482</v>
      </c>
      <c r="L97" s="13">
        <f>_xlfn.DAYS(Tabla1[[#This Row],[FECHA FIN ]],Tabla1[[#This Row],[FECHA INICIO]])</f>
        <v>360</v>
      </c>
      <c r="M97" s="12"/>
      <c r="N97" s="2"/>
      <c r="O97" s="12">
        <f>(Tabla1[[#This Row],[COSTO FIJO ]]/30)*Tabla1[[#This Row],[TOTAL DIAS PROYECTO]]+(Tabla1[[#This Row],[COSTO TEMPORAL]])</f>
        <v>0</v>
      </c>
      <c r="P97" s="12"/>
      <c r="Q97" s="12">
        <f>+(Tabla1[[#This Row],[COSTO COCHE]]/30)*Tabla1[[#This Row],[TOTAL DIAS PROYECTO]]</f>
        <v>0</v>
      </c>
      <c r="R97" s="12">
        <f>+Tabla1[[#This Row],[COSTO TOTAL ALOJAMIENTO]]+Tabla1[[#This Row],[COSTO TOTAL COCHE]]</f>
        <v>0</v>
      </c>
      <c r="S97" s="2"/>
      <c r="T97" s="2" t="s">
        <v>58</v>
      </c>
      <c r="U97" s="14"/>
      <c r="V97" s="14">
        <v>45353</v>
      </c>
      <c r="W97" s="15"/>
      <c r="X97" s="16"/>
      <c r="Y97" s="18" t="s">
        <v>364</v>
      </c>
      <c r="Z97" s="2" t="s">
        <v>36</v>
      </c>
      <c r="AA97" s="13" t="s">
        <v>10327</v>
      </c>
      <c r="AB97" s="13" t="s">
        <v>10328</v>
      </c>
    </row>
    <row r="98" spans="1:28" ht="15" customHeight="1">
      <c r="A98" s="2" t="s">
        <v>8704</v>
      </c>
      <c r="B98" s="2" t="s">
        <v>28</v>
      </c>
      <c r="C98" s="11" t="s">
        <v>365</v>
      </c>
      <c r="D98" s="33" t="s">
        <v>78</v>
      </c>
      <c r="E98" s="33" t="s">
        <v>79</v>
      </c>
      <c r="F98" s="34" t="s">
        <v>142</v>
      </c>
      <c r="G98" s="34" t="s">
        <v>143</v>
      </c>
      <c r="H98" s="33" t="s">
        <v>366</v>
      </c>
      <c r="I98" s="29" t="s">
        <v>145</v>
      </c>
      <c r="J98" s="8">
        <f>+Tabla1[[#This Row],[FECHA ENTRADA]]</f>
        <v>45458</v>
      </c>
      <c r="K98" s="8">
        <v>45482</v>
      </c>
      <c r="L98" s="13">
        <f>_xlfn.DAYS(Tabla1[[#This Row],[FECHA FIN ]],Tabla1[[#This Row],[FECHA INICIO]])</f>
        <v>24</v>
      </c>
      <c r="M98" s="12"/>
      <c r="N98" s="36"/>
      <c r="O98" s="36">
        <f>(Tabla1[[#This Row],[COSTO FIJO ]]/30)*Tabla1[[#This Row],[TOTAL DIAS PROYECTO]]+(Tabla1[[#This Row],[COSTO TEMPORAL]])</f>
        <v>0</v>
      </c>
      <c r="P98" s="36"/>
      <c r="Q98" s="36">
        <f>+(Tabla1[[#This Row],[COSTO COCHE]]/30)*Tabla1[[#This Row],[TOTAL DIAS PROYECTO]]</f>
        <v>0</v>
      </c>
      <c r="R98" s="36">
        <f>+Tabla1[[#This Row],[COSTO TOTAL ALOJAMIENTO]]+Tabla1[[#This Row],[COSTO TOTAL COCHE]]</f>
        <v>0</v>
      </c>
      <c r="S98" s="33"/>
      <c r="T98" s="33" t="s">
        <v>44</v>
      </c>
      <c r="U98" s="37">
        <v>45458</v>
      </c>
      <c r="V98" s="37">
        <v>45488</v>
      </c>
      <c r="W98" s="40"/>
      <c r="X98" s="33">
        <v>13</v>
      </c>
      <c r="Y98" s="18" t="s">
        <v>367</v>
      </c>
      <c r="Z98" s="33" t="s">
        <v>36</v>
      </c>
      <c r="AA98" s="13" t="s">
        <v>10333</v>
      </c>
      <c r="AB98" s="13" t="s">
        <v>10334</v>
      </c>
    </row>
    <row r="99" spans="1:28" ht="15" customHeight="1">
      <c r="A99" s="2" t="s">
        <v>8705</v>
      </c>
      <c r="B99" s="2" t="s">
        <v>368</v>
      </c>
      <c r="C99" s="18" t="s">
        <v>369</v>
      </c>
      <c r="D99" s="2" t="s">
        <v>30</v>
      </c>
      <c r="E99" s="2" t="s">
        <v>370</v>
      </c>
      <c r="F99" s="11" t="s">
        <v>371</v>
      </c>
      <c r="G99" s="11" t="s">
        <v>372</v>
      </c>
      <c r="H99" s="2" t="s">
        <v>373</v>
      </c>
      <c r="I99" s="12" t="s">
        <v>374</v>
      </c>
      <c r="J99" s="8">
        <f>+Tabla1[[#This Row],[FECHA ENTRADA]]</f>
        <v>45481</v>
      </c>
      <c r="K99" s="8">
        <v>45483</v>
      </c>
      <c r="L99" s="13">
        <f>_xlfn.DAYS(Tabla1[[#This Row],[FECHA FIN ]],Tabla1[[#This Row],[FECHA INICIO]])</f>
        <v>2</v>
      </c>
      <c r="M99" s="12">
        <v>421.89</v>
      </c>
      <c r="N99" s="20"/>
      <c r="O99" s="12">
        <f>(Tabla1[[#This Row],[COSTO FIJO ]]/30)*Tabla1[[#This Row],[TOTAL DIAS PROYECTO]]+(Tabla1[[#This Row],[COSTO TEMPORAL]])</f>
        <v>421.89</v>
      </c>
      <c r="P99" s="12"/>
      <c r="Q99" s="12">
        <f>+(Tabla1[[#This Row],[COSTO COCHE]]/30)*Tabla1[[#This Row],[TOTAL DIAS PROYECTO]]</f>
        <v>0</v>
      </c>
      <c r="R99" s="12">
        <f>+Tabla1[[#This Row],[COSTO TOTAL ALOJAMIENTO]]+Tabla1[[#This Row],[COSTO TOTAL COCHE]]</f>
        <v>421.89</v>
      </c>
      <c r="S99" s="2" t="s">
        <v>84</v>
      </c>
      <c r="T99" s="2" t="s">
        <v>44</v>
      </c>
      <c r="U99" s="14">
        <v>45481</v>
      </c>
      <c r="V99" s="14">
        <v>45535</v>
      </c>
      <c r="W99" s="26"/>
      <c r="X99" s="2"/>
      <c r="Y99" s="18" t="s">
        <v>375</v>
      </c>
      <c r="Z99" s="2" t="s">
        <v>36</v>
      </c>
      <c r="AA99" s="13" t="s">
        <v>10368</v>
      </c>
      <c r="AB99" s="13" t="s">
        <v>10369</v>
      </c>
    </row>
    <row r="100" spans="1:28" ht="15" customHeight="1">
      <c r="A100" s="2" t="s">
        <v>8668</v>
      </c>
      <c r="B100" s="2" t="s">
        <v>28</v>
      </c>
      <c r="C100" s="11" t="s">
        <v>209</v>
      </c>
      <c r="D100" s="33" t="s">
        <v>30</v>
      </c>
      <c r="E100" s="33" t="s">
        <v>127</v>
      </c>
      <c r="F100" s="11" t="s">
        <v>276</v>
      </c>
      <c r="G100" s="44" t="s">
        <v>277</v>
      </c>
      <c r="H100" s="33" t="s">
        <v>376</v>
      </c>
      <c r="I100" s="36" t="s">
        <v>377</v>
      </c>
      <c r="J100" s="8">
        <f>+Tabla1[[#This Row],[FECHA ENTRADA]]</f>
        <v>45466</v>
      </c>
      <c r="K100" s="35">
        <v>45483</v>
      </c>
      <c r="L100" s="13">
        <f>_xlfn.DAYS(Tabla1[[#This Row],[FECHA FIN ]],Tabla1[[#This Row],[FECHA INICIO]])</f>
        <v>17</v>
      </c>
      <c r="M100" s="12"/>
      <c r="N100" s="36"/>
      <c r="O100" s="36">
        <f>(Tabla1[[#This Row],[COSTO FIJO ]]/30)*Tabla1[[#This Row],[TOTAL DIAS PROYECTO]]+(Tabla1[[#This Row],[COSTO TEMPORAL]])</f>
        <v>0</v>
      </c>
      <c r="P100" s="36"/>
      <c r="Q100" s="36">
        <f>+(Tabla1[[#This Row],[COSTO COCHE]]/30)*Tabla1[[#This Row],[TOTAL DIAS PROYECTO]]</f>
        <v>0</v>
      </c>
      <c r="R100" s="36">
        <f>+Tabla1[[#This Row],[COSTO TOTAL ALOJAMIENTO]]+Tabla1[[#This Row],[COSTO TOTAL COCHE]]</f>
        <v>0</v>
      </c>
      <c r="S100" s="33"/>
      <c r="T100" s="33" t="s">
        <v>35</v>
      </c>
      <c r="U100" s="37">
        <v>45466</v>
      </c>
      <c r="V100" s="14"/>
      <c r="W100" s="40"/>
      <c r="X100" s="33">
        <v>20</v>
      </c>
      <c r="Y100" s="18" t="s">
        <v>378</v>
      </c>
      <c r="Z100" s="33" t="s">
        <v>36</v>
      </c>
      <c r="AA100" s="13" t="s">
        <v>10342</v>
      </c>
      <c r="AB100" s="13" t="s">
        <v>10343</v>
      </c>
    </row>
    <row r="101" spans="1:28" ht="15" customHeight="1">
      <c r="A101" s="2" t="s">
        <v>8706</v>
      </c>
      <c r="B101" s="2" t="s">
        <v>28</v>
      </c>
      <c r="C101" s="11" t="s">
        <v>379</v>
      </c>
      <c r="D101" s="2" t="s">
        <v>30</v>
      </c>
      <c r="E101" s="2" t="s">
        <v>380</v>
      </c>
      <c r="F101" s="11"/>
      <c r="G101" s="30" t="s">
        <v>381</v>
      </c>
      <c r="H101" s="2">
        <v>2023</v>
      </c>
      <c r="I101" s="2" t="s">
        <v>382</v>
      </c>
      <c r="J101" s="8">
        <f>+Tabla1[[#This Row],[FECHA ENTRADA]]</f>
        <v>0</v>
      </c>
      <c r="K101" s="22">
        <v>45821</v>
      </c>
      <c r="L101" s="13">
        <f>_xlfn.DAYS(Tabla1[[#This Row],[FECHA FIN ]],Tabla1[[#This Row],[FECHA INICIO]])</f>
        <v>45821</v>
      </c>
      <c r="M101" s="12"/>
      <c r="N101" s="12"/>
      <c r="O101" s="12">
        <f>(Tabla1[[#This Row],[COSTO FIJO ]]/30)*Tabla1[[#This Row],[TOTAL DIAS PROYECTO]]+(Tabla1[[#This Row],[COSTO TEMPORAL]])</f>
        <v>0</v>
      </c>
      <c r="P101" s="12"/>
      <c r="Q101" s="12">
        <f>+(Tabla1[[#This Row],[COSTO COCHE]]/30)*Tabla1[[#This Row],[TOTAL DIAS PROYECTO]]</f>
        <v>0</v>
      </c>
      <c r="R101" s="12">
        <f>+Tabla1[[#This Row],[COSTO TOTAL ALOJAMIENTO]]+Tabla1[[#This Row],[COSTO TOTAL COCHE]]</f>
        <v>0</v>
      </c>
      <c r="S101" s="2"/>
      <c r="T101" s="2" t="s">
        <v>35</v>
      </c>
      <c r="U101" s="14"/>
      <c r="V101" s="14">
        <v>45481</v>
      </c>
      <c r="W101" s="26">
        <v>1800</v>
      </c>
      <c r="X101" s="16">
        <v>5</v>
      </c>
      <c r="Y101" s="30" t="s">
        <v>383</v>
      </c>
      <c r="Z101" s="2" t="s">
        <v>36</v>
      </c>
      <c r="AA101" s="13" t="s">
        <v>10370</v>
      </c>
      <c r="AB101" s="13" t="s">
        <v>10371</v>
      </c>
    </row>
    <row r="102" spans="1:28" ht="15.75" customHeight="1">
      <c r="A102" s="2" t="s">
        <v>8707</v>
      </c>
      <c r="B102" s="2" t="s">
        <v>28</v>
      </c>
      <c r="C102" s="11" t="s">
        <v>384</v>
      </c>
      <c r="D102" s="2" t="s">
        <v>30</v>
      </c>
      <c r="E102" s="2" t="s">
        <v>31</v>
      </c>
      <c r="F102" s="11"/>
      <c r="G102" s="11"/>
      <c r="H102" s="2">
        <v>2023</v>
      </c>
      <c r="I102" s="2" t="s">
        <v>385</v>
      </c>
      <c r="J102" s="8" t="s">
        <v>386</v>
      </c>
      <c r="K102" s="8">
        <v>45485</v>
      </c>
      <c r="L102" s="13">
        <f>_xlfn.DAYS(Tabla1[[#This Row],[FECHA FIN ]],Tabla1[[#This Row],[FECHA INICIO]])</f>
        <v>207</v>
      </c>
      <c r="M102" s="12"/>
      <c r="N102" s="12"/>
      <c r="O102" s="12">
        <f>(Tabla1[[#This Row],[COSTO FIJO ]]/30)*Tabla1[[#This Row],[TOTAL DIAS PROYECTO]]+(Tabla1[[#This Row],[COSTO TEMPORAL]])</f>
        <v>0</v>
      </c>
      <c r="P102" s="12"/>
      <c r="Q102" s="12">
        <f>+(Tabla1[[#This Row],[COSTO COCHE]]/30)*Tabla1[[#This Row],[TOTAL DIAS PROYECTO]]</f>
        <v>0</v>
      </c>
      <c r="R102" s="12">
        <f>+Tabla1[[#This Row],[COSTO TOTAL ALOJAMIENTO]]+Tabla1[[#This Row],[COSTO TOTAL COCHE]]</f>
        <v>0</v>
      </c>
      <c r="S102" s="2"/>
      <c r="T102" s="2" t="s">
        <v>58</v>
      </c>
      <c r="U102" s="14"/>
      <c r="V102" s="14"/>
      <c r="W102" s="15"/>
      <c r="X102" s="16"/>
      <c r="Y102" s="18" t="s">
        <v>387</v>
      </c>
      <c r="Z102" s="2" t="s">
        <v>36</v>
      </c>
      <c r="AA102" s="13" t="s">
        <v>10323</v>
      </c>
      <c r="AB102" s="13" t="s">
        <v>10324</v>
      </c>
    </row>
    <row r="103" spans="1:28" s="45" customFormat="1" ht="26.25" customHeight="1">
      <c r="A103" s="2" t="s">
        <v>8708</v>
      </c>
      <c r="B103" s="2" t="s">
        <v>28</v>
      </c>
      <c r="C103" s="11" t="s">
        <v>388</v>
      </c>
      <c r="D103" s="2" t="s">
        <v>30</v>
      </c>
      <c r="E103" s="2" t="s">
        <v>127</v>
      </c>
      <c r="F103" s="11" t="s">
        <v>389</v>
      </c>
      <c r="G103" s="11" t="s">
        <v>390</v>
      </c>
      <c r="H103" s="2" t="s">
        <v>391</v>
      </c>
      <c r="I103" s="12" t="s">
        <v>392</v>
      </c>
      <c r="J103" s="8">
        <f>+Tabla1[[#This Row],[FECHA ENTRADA]]</f>
        <v>45454</v>
      </c>
      <c r="K103" s="8">
        <v>45485</v>
      </c>
      <c r="L103" s="13">
        <f>_xlfn.DAYS(Tabla1[[#This Row],[FECHA FIN ]],Tabla1[[#This Row],[FECHA INICIO]])</f>
        <v>31</v>
      </c>
      <c r="M103" s="12"/>
      <c r="N103" s="12"/>
      <c r="O103" s="12">
        <f>(Tabla1[[#This Row],[COSTO FIJO ]]/30)*Tabla1[[#This Row],[TOTAL DIAS PROYECTO]]+(Tabla1[[#This Row],[COSTO TEMPORAL]])</f>
        <v>0</v>
      </c>
      <c r="P103" s="12"/>
      <c r="Q103" s="12">
        <f>+(Tabla1[[#This Row],[COSTO COCHE]]/30)*Tabla1[[#This Row],[TOTAL DIAS PROYECTO]]</f>
        <v>0</v>
      </c>
      <c r="R103" s="12">
        <f>+Tabla1[[#This Row],[COSTO TOTAL ALOJAMIENTO]]+Tabla1[[#This Row],[COSTO TOTAL COCHE]]</f>
        <v>0</v>
      </c>
      <c r="S103" s="2"/>
      <c r="T103" s="2" t="s">
        <v>35</v>
      </c>
      <c r="U103" s="14">
        <v>45454</v>
      </c>
      <c r="V103" s="14">
        <v>45474</v>
      </c>
      <c r="W103" s="26"/>
      <c r="X103" s="2">
        <v>20</v>
      </c>
      <c r="Y103" s="18" t="s">
        <v>393</v>
      </c>
      <c r="Z103" s="2" t="s">
        <v>36</v>
      </c>
      <c r="AA103" s="13" t="s">
        <v>10342</v>
      </c>
      <c r="AB103" s="13" t="s">
        <v>10343</v>
      </c>
    </row>
    <row r="104" spans="1:28">
      <c r="A104" s="2" t="s">
        <v>8709</v>
      </c>
      <c r="B104" s="2" t="s">
        <v>28</v>
      </c>
      <c r="C104" s="11" t="s">
        <v>394</v>
      </c>
      <c r="D104" s="2" t="s">
        <v>30</v>
      </c>
      <c r="E104" s="2" t="s">
        <v>31</v>
      </c>
      <c r="F104" s="11" t="s">
        <v>344</v>
      </c>
      <c r="G104" s="11" t="s">
        <v>345</v>
      </c>
      <c r="H104" s="2">
        <v>2023</v>
      </c>
      <c r="I104" s="2" t="s">
        <v>385</v>
      </c>
      <c r="J104" s="8">
        <v>45241</v>
      </c>
      <c r="K104" s="8">
        <v>45485</v>
      </c>
      <c r="L104" s="13">
        <f>_xlfn.DAYS(Tabla1[[#This Row],[FECHA FIN ]],Tabla1[[#This Row],[FECHA INICIO]])</f>
        <v>244</v>
      </c>
      <c r="M104" s="12"/>
      <c r="N104" s="12"/>
      <c r="O104" s="12">
        <f>(Tabla1[[#This Row],[COSTO FIJO ]]/30)*Tabla1[[#This Row],[TOTAL DIAS PROYECTO]]+(Tabla1[[#This Row],[COSTO TEMPORAL]])</f>
        <v>0</v>
      </c>
      <c r="P104" s="12"/>
      <c r="Q104" s="12">
        <f>+(Tabla1[[#This Row],[COSTO COCHE]]/30)*Tabla1[[#This Row],[TOTAL DIAS PROYECTO]]</f>
        <v>0</v>
      </c>
      <c r="R104" s="12">
        <f>+Tabla1[[#This Row],[COSTO TOTAL ALOJAMIENTO]]+Tabla1[[#This Row],[COSTO TOTAL COCHE]]</f>
        <v>0</v>
      </c>
      <c r="S104" s="2"/>
      <c r="T104" s="2" t="s">
        <v>35</v>
      </c>
      <c r="U104" s="14"/>
      <c r="V104" s="14"/>
      <c r="W104" s="15"/>
      <c r="X104" s="16"/>
      <c r="Y104" s="18" t="s">
        <v>395</v>
      </c>
      <c r="Z104" s="2" t="s">
        <v>36</v>
      </c>
      <c r="AA104" s="13" t="s">
        <v>10323</v>
      </c>
      <c r="AB104" s="13" t="s">
        <v>10324</v>
      </c>
    </row>
    <row r="105" spans="1:28" ht="15" customHeight="1">
      <c r="A105" s="2" t="s">
        <v>8667</v>
      </c>
      <c r="B105" s="2" t="s">
        <v>28</v>
      </c>
      <c r="C105" s="11" t="s">
        <v>208</v>
      </c>
      <c r="D105" s="2" t="s">
        <v>30</v>
      </c>
      <c r="E105" s="2" t="s">
        <v>259</v>
      </c>
      <c r="F105" s="11" t="s">
        <v>260</v>
      </c>
      <c r="G105" s="11" t="s">
        <v>261</v>
      </c>
      <c r="H105" s="2" t="s">
        <v>396</v>
      </c>
      <c r="I105" s="29" t="s">
        <v>397</v>
      </c>
      <c r="J105" s="8">
        <f>+Tabla1[[#This Row],[FECHA ENTRADA]]</f>
        <v>45473</v>
      </c>
      <c r="K105" s="41">
        <v>45486</v>
      </c>
      <c r="L105" s="13">
        <f>_xlfn.DAYS(Tabla1[[#This Row],[FECHA FIN ]],Tabla1[[#This Row],[FECHA INICIO]])</f>
        <v>13</v>
      </c>
      <c r="M105" s="12"/>
      <c r="N105" s="12"/>
      <c r="O105" s="12">
        <f>(Tabla1[[#This Row],[COSTO FIJO ]]/30)*Tabla1[[#This Row],[TOTAL DIAS PROYECTO]]+(Tabla1[[#This Row],[COSTO TEMPORAL]])</f>
        <v>0</v>
      </c>
      <c r="P105" s="12"/>
      <c r="Q105" s="12">
        <f>+(Tabla1[[#This Row],[COSTO COCHE]]/30)*Tabla1[[#This Row],[TOTAL DIAS PROYECTO]]</f>
        <v>0</v>
      </c>
      <c r="R105" s="12">
        <f>+Tabla1[[#This Row],[COSTO TOTAL ALOJAMIENTO]]+Tabla1[[#This Row],[COSTO TOTAL COCHE]]</f>
        <v>0</v>
      </c>
      <c r="S105" s="2"/>
      <c r="T105" s="2" t="s">
        <v>35</v>
      </c>
      <c r="U105" s="14">
        <v>45473</v>
      </c>
      <c r="V105" s="14"/>
      <c r="W105" s="26"/>
      <c r="X105" s="2">
        <v>30</v>
      </c>
      <c r="Y105" s="18" t="s">
        <v>398</v>
      </c>
      <c r="Z105" s="2" t="s">
        <v>36</v>
      </c>
      <c r="AA105" s="13">
        <v>-0.87734000000000001</v>
      </c>
      <c r="AB105" s="13" t="s">
        <v>10359</v>
      </c>
    </row>
    <row r="106" spans="1:28">
      <c r="A106" s="2" t="s">
        <v>8710</v>
      </c>
      <c r="B106" s="2" t="s">
        <v>28</v>
      </c>
      <c r="C106" s="11" t="s">
        <v>399</v>
      </c>
      <c r="D106" s="2" t="s">
        <v>30</v>
      </c>
      <c r="E106" s="2" t="s">
        <v>259</v>
      </c>
      <c r="F106" s="11" t="s">
        <v>260</v>
      </c>
      <c r="G106" s="11" t="s">
        <v>261</v>
      </c>
      <c r="H106" s="2" t="s">
        <v>396</v>
      </c>
      <c r="I106" s="29" t="s">
        <v>397</v>
      </c>
      <c r="J106" s="8">
        <f>+Tabla1[[#This Row],[FECHA ENTRADA]]</f>
        <v>45473</v>
      </c>
      <c r="K106" s="41">
        <v>45486</v>
      </c>
      <c r="L106" s="13">
        <f>_xlfn.DAYS(Tabla1[[#This Row],[FECHA FIN ]],Tabla1[[#This Row],[FECHA INICIO]])</f>
        <v>13</v>
      </c>
      <c r="M106" s="12"/>
      <c r="N106" s="12"/>
      <c r="O106" s="12">
        <f>(Tabla1[[#This Row],[COSTO FIJO ]]/30)*Tabla1[[#This Row],[TOTAL DIAS PROYECTO]]+(Tabla1[[#This Row],[COSTO TEMPORAL]])</f>
        <v>0</v>
      </c>
      <c r="P106" s="12"/>
      <c r="Q106" s="12">
        <f>+(Tabla1[[#This Row],[COSTO COCHE]]/30)*Tabla1[[#This Row],[TOTAL DIAS PROYECTO]]</f>
        <v>0</v>
      </c>
      <c r="R106" s="12">
        <f>+Tabla1[[#This Row],[COSTO TOTAL ALOJAMIENTO]]+Tabla1[[#This Row],[COSTO TOTAL COCHE]]</f>
        <v>0</v>
      </c>
      <c r="S106" s="2"/>
      <c r="T106" s="2" t="s">
        <v>35</v>
      </c>
      <c r="U106" s="14">
        <v>45473</v>
      </c>
      <c r="V106" s="14"/>
      <c r="W106" s="26"/>
      <c r="X106" s="2">
        <v>30</v>
      </c>
      <c r="Y106" s="18" t="s">
        <v>398</v>
      </c>
      <c r="Z106" s="2" t="s">
        <v>36</v>
      </c>
      <c r="AA106" s="13">
        <v>-0.87734000000000001</v>
      </c>
      <c r="AB106" s="13" t="s">
        <v>10359</v>
      </c>
    </row>
    <row r="107" spans="1:28" ht="15" customHeight="1">
      <c r="A107" s="2" t="s">
        <v>8711</v>
      </c>
      <c r="B107" s="2" t="s">
        <v>28</v>
      </c>
      <c r="C107" s="11" t="s">
        <v>400</v>
      </c>
      <c r="D107" s="2" t="s">
        <v>30</v>
      </c>
      <c r="E107" s="2" t="s">
        <v>259</v>
      </c>
      <c r="F107" s="11" t="s">
        <v>260</v>
      </c>
      <c r="G107" s="11" t="s">
        <v>261</v>
      </c>
      <c r="H107" s="2" t="s">
        <v>396</v>
      </c>
      <c r="I107" s="29" t="s">
        <v>397</v>
      </c>
      <c r="J107" s="8">
        <f>+Tabla1[[#This Row],[FECHA ENTRADA]]</f>
        <v>45473</v>
      </c>
      <c r="K107" s="41">
        <v>45486</v>
      </c>
      <c r="L107" s="13">
        <f>_xlfn.DAYS(Tabla1[[#This Row],[FECHA FIN ]],Tabla1[[#This Row],[FECHA INICIO]])</f>
        <v>13</v>
      </c>
      <c r="M107" s="12"/>
      <c r="N107" s="29"/>
      <c r="O107" s="12">
        <f>(Tabla1[[#This Row],[COSTO FIJO ]]/30)*Tabla1[[#This Row],[TOTAL DIAS PROYECTO]]+(Tabla1[[#This Row],[COSTO TEMPORAL]])</f>
        <v>0</v>
      </c>
      <c r="P107" s="12"/>
      <c r="Q107" s="12">
        <f>+(Tabla1[[#This Row],[COSTO COCHE]]/30)*Tabla1[[#This Row],[TOTAL DIAS PROYECTO]]</f>
        <v>0</v>
      </c>
      <c r="R107" s="12">
        <f>+Tabla1[[#This Row],[COSTO TOTAL ALOJAMIENTO]]+Tabla1[[#This Row],[COSTO TOTAL COCHE]]</f>
        <v>0</v>
      </c>
      <c r="S107" s="2"/>
      <c r="T107" s="2" t="s">
        <v>35</v>
      </c>
      <c r="U107" s="14">
        <v>45473</v>
      </c>
      <c r="V107" s="14"/>
      <c r="W107" s="26"/>
      <c r="X107" s="2">
        <v>30</v>
      </c>
      <c r="Y107" s="18" t="s">
        <v>398</v>
      </c>
      <c r="Z107" s="2" t="s">
        <v>36</v>
      </c>
      <c r="AA107" s="13">
        <v>-0.87734000000000001</v>
      </c>
      <c r="AB107" s="13" t="s">
        <v>10359</v>
      </c>
    </row>
    <row r="108" spans="1:28">
      <c r="A108" s="2" t="s">
        <v>8654</v>
      </c>
      <c r="B108" s="2" t="s">
        <v>28</v>
      </c>
      <c r="C108" s="11" t="s">
        <v>148</v>
      </c>
      <c r="D108" s="2" t="s">
        <v>30</v>
      </c>
      <c r="E108" s="2" t="s">
        <v>259</v>
      </c>
      <c r="F108" s="11" t="s">
        <v>260</v>
      </c>
      <c r="G108" s="11" t="s">
        <v>261</v>
      </c>
      <c r="H108" s="2" t="s">
        <v>396</v>
      </c>
      <c r="I108" s="29" t="s">
        <v>397</v>
      </c>
      <c r="J108" s="8">
        <f>+Tabla1[[#This Row],[FECHA ENTRADA]]</f>
        <v>45473</v>
      </c>
      <c r="K108" s="41">
        <v>45486</v>
      </c>
      <c r="L108" s="13">
        <f>_xlfn.DAYS(Tabla1[[#This Row],[FECHA FIN ]],Tabla1[[#This Row],[FECHA INICIO]])</f>
        <v>13</v>
      </c>
      <c r="M108" s="12"/>
      <c r="N108" s="29"/>
      <c r="O108" s="12">
        <f>(Tabla1[[#This Row],[COSTO FIJO ]]/30)*Tabla1[[#This Row],[TOTAL DIAS PROYECTO]]+(Tabla1[[#This Row],[COSTO TEMPORAL]])</f>
        <v>0</v>
      </c>
      <c r="P108" s="12"/>
      <c r="Q108" s="12">
        <f>+(Tabla1[[#This Row],[COSTO COCHE]]/30)*Tabla1[[#This Row],[TOTAL DIAS PROYECTO]]</f>
        <v>0</v>
      </c>
      <c r="R108" s="12">
        <f>+Tabla1[[#This Row],[COSTO TOTAL ALOJAMIENTO]]+Tabla1[[#This Row],[COSTO TOTAL COCHE]]</f>
        <v>0</v>
      </c>
      <c r="S108" s="2"/>
      <c r="T108" s="2" t="s">
        <v>35</v>
      </c>
      <c r="U108" s="14">
        <v>45473</v>
      </c>
      <c r="V108" s="14"/>
      <c r="W108" s="26"/>
      <c r="X108" s="2">
        <v>30</v>
      </c>
      <c r="Y108" s="18" t="s">
        <v>398</v>
      </c>
      <c r="Z108" s="2" t="s">
        <v>36</v>
      </c>
      <c r="AA108" s="13">
        <v>-0.87734000000000001</v>
      </c>
      <c r="AB108" s="13" t="s">
        <v>10359</v>
      </c>
    </row>
    <row r="109" spans="1:28" ht="15" customHeight="1">
      <c r="A109" s="2" t="s">
        <v>8712</v>
      </c>
      <c r="B109" s="2" t="s">
        <v>28</v>
      </c>
      <c r="C109" s="18" t="s">
        <v>401</v>
      </c>
      <c r="D109" s="2" t="s">
        <v>30</v>
      </c>
      <c r="E109" s="2" t="s">
        <v>31</v>
      </c>
      <c r="F109" s="11" t="s">
        <v>402</v>
      </c>
      <c r="G109" s="11">
        <v>937113192</v>
      </c>
      <c r="H109" s="2">
        <v>2023</v>
      </c>
      <c r="I109" s="12" t="s">
        <v>34</v>
      </c>
      <c r="J109" s="8">
        <v>45122</v>
      </c>
      <c r="K109" s="8">
        <v>45487</v>
      </c>
      <c r="L109" s="13">
        <f>_xlfn.DAYS(Tabla1[[#This Row],[FECHA FIN ]],Tabla1[[#This Row],[FECHA INICIO]])</f>
        <v>365</v>
      </c>
      <c r="M109" s="12"/>
      <c r="N109" s="12">
        <v>300</v>
      </c>
      <c r="O109" s="12">
        <f>(Tabla1[[#This Row],[COSTO FIJO ]]/30)*Tabla1[[#This Row],[TOTAL DIAS PROYECTO]]+(Tabla1[[#This Row],[COSTO TEMPORAL]])</f>
        <v>3650</v>
      </c>
      <c r="P109" s="12"/>
      <c r="Q109" s="12">
        <f>+(Tabla1[[#This Row],[COSTO COCHE]]/30)*Tabla1[[#This Row],[TOTAL DIAS PROYECTO]]</f>
        <v>0</v>
      </c>
      <c r="R109" s="12">
        <f>+Tabla1[[#This Row],[COSTO TOTAL ALOJAMIENTO]]+Tabla1[[#This Row],[COSTO TOTAL COCHE]]</f>
        <v>3650</v>
      </c>
      <c r="S109" s="2" t="s">
        <v>403</v>
      </c>
      <c r="T109" s="2" t="s">
        <v>58</v>
      </c>
      <c r="U109" s="14"/>
      <c r="V109" s="14"/>
      <c r="W109" s="15"/>
      <c r="X109" s="16"/>
      <c r="Y109" s="18"/>
      <c r="Z109" s="2" t="s">
        <v>36</v>
      </c>
      <c r="AA109" s="13" t="s">
        <v>10323</v>
      </c>
      <c r="AB109" s="13" t="s">
        <v>10324</v>
      </c>
    </row>
    <row r="110" spans="1:28" ht="15" customHeight="1">
      <c r="A110" s="2" t="s">
        <v>8703</v>
      </c>
      <c r="B110" s="2" t="s">
        <v>28</v>
      </c>
      <c r="C110" s="11" t="s">
        <v>363</v>
      </c>
      <c r="D110" s="2" t="s">
        <v>30</v>
      </c>
      <c r="E110" s="2" t="s">
        <v>370</v>
      </c>
      <c r="F110" s="11" t="s">
        <v>404</v>
      </c>
      <c r="G110" s="11">
        <v>968324324</v>
      </c>
      <c r="H110" s="2" t="s">
        <v>405</v>
      </c>
      <c r="I110" s="12" t="s">
        <v>406</v>
      </c>
      <c r="J110" s="8">
        <f>+Tabla1[[#This Row],[FECHA ENTRADA]]</f>
        <v>45487</v>
      </c>
      <c r="K110" s="8">
        <v>45488</v>
      </c>
      <c r="L110" s="13">
        <f>_xlfn.DAYS(Tabla1[[#This Row],[FECHA FIN ]],Tabla1[[#This Row],[FECHA INICIO]])</f>
        <v>1</v>
      </c>
      <c r="M110" s="12">
        <v>88.5</v>
      </c>
      <c r="N110" s="12"/>
      <c r="O110" s="12">
        <f>(Tabla1[[#This Row],[COSTO FIJO ]]/30)*Tabla1[[#This Row],[TOTAL DIAS PROYECTO]]+(Tabla1[[#This Row],[COSTO TEMPORAL]])</f>
        <v>88.5</v>
      </c>
      <c r="P110" s="12"/>
      <c r="Q110" s="12">
        <f>+(Tabla1[[#This Row],[COSTO COCHE]]/30)*Tabla1[[#This Row],[TOTAL DIAS PROYECTO]]</f>
        <v>0</v>
      </c>
      <c r="R110" s="12">
        <f>+Tabla1[[#This Row],[COSTO TOTAL ALOJAMIENTO]]+Tabla1[[#This Row],[COSTO TOTAL COCHE]]</f>
        <v>88.5</v>
      </c>
      <c r="S110" s="2"/>
      <c r="T110" s="2" t="s">
        <v>44</v>
      </c>
      <c r="U110" s="14">
        <v>45487</v>
      </c>
      <c r="V110" s="14">
        <v>45490</v>
      </c>
      <c r="W110" s="26"/>
      <c r="X110" s="2"/>
      <c r="Y110" s="18" t="s">
        <v>407</v>
      </c>
      <c r="Z110" s="2" t="s">
        <v>36</v>
      </c>
      <c r="AA110" s="13" t="s">
        <v>10368</v>
      </c>
      <c r="AB110" s="13" t="s">
        <v>10369</v>
      </c>
    </row>
    <row r="111" spans="1:28" ht="15" customHeight="1">
      <c r="A111" s="2" t="s">
        <v>8713</v>
      </c>
      <c r="B111" s="2" t="s">
        <v>368</v>
      </c>
      <c r="C111" s="11" t="s">
        <v>408</v>
      </c>
      <c r="D111" s="2" t="s">
        <v>30</v>
      </c>
      <c r="E111" s="2" t="s">
        <v>31</v>
      </c>
      <c r="F111" s="11" t="s">
        <v>409</v>
      </c>
      <c r="G111" s="11" t="s">
        <v>410</v>
      </c>
      <c r="H111" s="2" t="s">
        <v>411</v>
      </c>
      <c r="I111" s="12" t="s">
        <v>412</v>
      </c>
      <c r="J111" s="8">
        <f>+Tabla1[[#This Row],[FECHA ENTRADA]]</f>
        <v>45487</v>
      </c>
      <c r="K111" s="8">
        <v>45489</v>
      </c>
      <c r="L111" s="13">
        <f>_xlfn.DAYS(Tabla1[[#This Row],[FECHA FIN ]],Tabla1[[#This Row],[FECHA INICIO]])</f>
        <v>2</v>
      </c>
      <c r="M111" s="12"/>
      <c r="N111" s="12"/>
      <c r="O111" s="12">
        <f>(Tabla1[[#This Row],[COSTO FIJO ]]/30)*Tabla1[[#This Row],[TOTAL DIAS PROYECTO]]+(Tabla1[[#This Row],[COSTO TEMPORAL]])</f>
        <v>0</v>
      </c>
      <c r="P111" s="12"/>
      <c r="Q111" s="12">
        <f>+(Tabla1[[#This Row],[COSTO COCHE]]/30)*Tabla1[[#This Row],[TOTAL DIAS PROYECTO]]</f>
        <v>0</v>
      </c>
      <c r="R111" s="12">
        <f>+Tabla1[[#This Row],[COSTO TOTAL ALOJAMIENTO]]+Tabla1[[#This Row],[COSTO TOTAL COCHE]]</f>
        <v>0</v>
      </c>
      <c r="S111" s="2"/>
      <c r="T111" s="2" t="s">
        <v>35</v>
      </c>
      <c r="U111" s="14">
        <v>45487</v>
      </c>
      <c r="V111" s="14"/>
      <c r="W111" s="26">
        <v>350</v>
      </c>
      <c r="X111" s="2">
        <v>14</v>
      </c>
      <c r="Y111" s="18" t="s">
        <v>413</v>
      </c>
      <c r="Z111" s="2" t="s">
        <v>36</v>
      </c>
      <c r="AA111" s="13" t="s">
        <v>10323</v>
      </c>
      <c r="AB111" s="13" t="s">
        <v>10324</v>
      </c>
    </row>
    <row r="112" spans="1:28">
      <c r="A112" s="2" t="s">
        <v>8714</v>
      </c>
      <c r="B112" s="2" t="s">
        <v>28</v>
      </c>
      <c r="C112" s="11" t="s">
        <v>414</v>
      </c>
      <c r="D112" s="2" t="s">
        <v>30</v>
      </c>
      <c r="E112" s="2" t="s">
        <v>415</v>
      </c>
      <c r="F112" s="11" t="s">
        <v>416</v>
      </c>
      <c r="G112" s="11" t="s">
        <v>417</v>
      </c>
      <c r="H112" s="2" t="s">
        <v>418</v>
      </c>
      <c r="I112" s="12" t="s">
        <v>419</v>
      </c>
      <c r="J112" s="8">
        <f>+Tabla1[[#This Row],[FECHA ENTRADA]]</f>
        <v>45487</v>
      </c>
      <c r="K112" s="22">
        <v>45491</v>
      </c>
      <c r="L112" s="13">
        <f>_xlfn.DAYS(Tabla1[[#This Row],[FECHA FIN ]],Tabla1[[#This Row],[FECHA INICIO]])</f>
        <v>4</v>
      </c>
      <c r="M112" s="12"/>
      <c r="N112" s="12">
        <v>380</v>
      </c>
      <c r="O112" s="28">
        <f>(Tabla1[[#This Row],[COSTO FIJO ]]/30)*Tabla1[[#This Row],[TOTAL DIAS PROYECTO]]+(Tabla1[[#This Row],[COSTO TEMPORAL]])</f>
        <v>50.666666666666664</v>
      </c>
      <c r="P112" s="28"/>
      <c r="Q112" s="28">
        <f>+(Tabla1[[#This Row],[COSTO COCHE]]/30)*Tabla1[[#This Row],[TOTAL DIAS PROYECTO]]</f>
        <v>0</v>
      </c>
      <c r="R112" s="28">
        <f>+Tabla1[[#This Row],[COSTO TOTAL ALOJAMIENTO]]+Tabla1[[#This Row],[COSTO TOTAL COCHE]]</f>
        <v>50.666666666666664</v>
      </c>
      <c r="S112" s="2"/>
      <c r="T112" s="2" t="s">
        <v>35</v>
      </c>
      <c r="U112" s="14">
        <v>45487</v>
      </c>
      <c r="V112" s="14">
        <v>45535</v>
      </c>
      <c r="W112" s="26">
        <v>380</v>
      </c>
      <c r="X112" s="2"/>
      <c r="Y112" s="18" t="s">
        <v>420</v>
      </c>
      <c r="Z112" s="2" t="s">
        <v>36</v>
      </c>
      <c r="AA112" s="13">
        <v>-0.37739</v>
      </c>
      <c r="AB112" s="13" t="s">
        <v>10372</v>
      </c>
    </row>
    <row r="113" spans="1:28" ht="15" customHeight="1">
      <c r="A113" s="2" t="s">
        <v>8715</v>
      </c>
      <c r="B113" s="2" t="s">
        <v>28</v>
      </c>
      <c r="C113" s="18" t="s">
        <v>421</v>
      </c>
      <c r="D113" s="2" t="s">
        <v>30</v>
      </c>
      <c r="E113" s="2" t="s">
        <v>422</v>
      </c>
      <c r="F113" s="11" t="s">
        <v>423</v>
      </c>
      <c r="G113" s="11" t="s">
        <v>424</v>
      </c>
      <c r="H113" s="2" t="s">
        <v>425</v>
      </c>
      <c r="I113" s="2" t="s">
        <v>426</v>
      </c>
      <c r="J113" s="8">
        <f>+Tabla1[[#This Row],[FECHA ENTRADA]]</f>
        <v>45348</v>
      </c>
      <c r="K113" s="22">
        <v>45821</v>
      </c>
      <c r="L113" s="13">
        <f>_xlfn.DAYS(Tabla1[[#This Row],[FECHA FIN ]],Tabla1[[#This Row],[FECHA INICIO]])</f>
        <v>473</v>
      </c>
      <c r="M113" s="12"/>
      <c r="N113" s="12">
        <f>1811.6/17</f>
        <v>106.56470588235294</v>
      </c>
      <c r="O113" s="12">
        <f>(Tabla1[[#This Row],[COSTO FIJO ]]/30)*Tabla1[[#This Row],[TOTAL DIAS PROYECTO]]+(Tabla1[[#This Row],[COSTO TEMPORAL]])</f>
        <v>1680.1701960784314</v>
      </c>
      <c r="P113" s="12"/>
      <c r="Q113" s="12">
        <f>+(Tabla1[[#This Row],[COSTO COCHE]]/30)*Tabla1[[#This Row],[TOTAL DIAS PROYECTO]]</f>
        <v>0</v>
      </c>
      <c r="R113" s="12">
        <f>+Tabla1[[#This Row],[COSTO TOTAL ALOJAMIENTO]]+Tabla1[[#This Row],[COSTO TOTAL COCHE]]</f>
        <v>1680.1701960784314</v>
      </c>
      <c r="S113" s="2"/>
      <c r="T113" s="2" t="s">
        <v>44</v>
      </c>
      <c r="U113" s="14">
        <v>45348</v>
      </c>
      <c r="V113" s="14">
        <v>45351</v>
      </c>
      <c r="W113" s="15"/>
      <c r="X113" s="16"/>
      <c r="Y113" s="18" t="s">
        <v>427</v>
      </c>
      <c r="Z113" s="2" t="s">
        <v>36</v>
      </c>
      <c r="AA113" s="13">
        <v>-326.69799999999998</v>
      </c>
      <c r="AB113" s="13" t="s">
        <v>10373</v>
      </c>
    </row>
    <row r="114" spans="1:28" ht="15" customHeight="1">
      <c r="A114" s="2" t="s">
        <v>8716</v>
      </c>
      <c r="B114" s="2" t="s">
        <v>28</v>
      </c>
      <c r="C114" s="18" t="s">
        <v>428</v>
      </c>
      <c r="D114" s="2" t="s">
        <v>30</v>
      </c>
      <c r="E114" s="2" t="s">
        <v>429</v>
      </c>
      <c r="F114" s="11" t="s">
        <v>430</v>
      </c>
      <c r="G114" s="11" t="s">
        <v>431</v>
      </c>
      <c r="H114" s="2">
        <v>2023</v>
      </c>
      <c r="I114" s="2" t="s">
        <v>165</v>
      </c>
      <c r="J114" s="8">
        <f>+Tabla1[[#This Row],[FECHA ENTRADA]]</f>
        <v>45348</v>
      </c>
      <c r="K114" s="22">
        <v>45821</v>
      </c>
      <c r="L114" s="13">
        <f>_xlfn.DAYS(Tabla1[[#This Row],[FECHA FIN ]],Tabla1[[#This Row],[FECHA INICIO]])</f>
        <v>473</v>
      </c>
      <c r="M114" s="12"/>
      <c r="N114" s="20"/>
      <c r="O114" s="12">
        <f>(Tabla1[[#This Row],[COSTO FIJO ]]/30)*Tabla1[[#This Row],[TOTAL DIAS PROYECTO]]+(Tabla1[[#This Row],[COSTO TEMPORAL]])</f>
        <v>0</v>
      </c>
      <c r="P114" s="12"/>
      <c r="Q114" s="12">
        <f>+(Tabla1[[#This Row],[COSTO COCHE]]/30)*Tabla1[[#This Row],[TOTAL DIAS PROYECTO]]</f>
        <v>0</v>
      </c>
      <c r="R114" s="12">
        <f>+Tabla1[[#This Row],[COSTO TOTAL ALOJAMIENTO]]+Tabla1[[#This Row],[COSTO TOTAL COCHE]]</f>
        <v>0</v>
      </c>
      <c r="S114" s="2"/>
      <c r="T114" s="2" t="s">
        <v>44</v>
      </c>
      <c r="U114" s="14">
        <v>45348</v>
      </c>
      <c r="V114" s="14">
        <v>45351</v>
      </c>
      <c r="W114" s="15"/>
      <c r="X114" s="16"/>
      <c r="Y114" s="18" t="s">
        <v>432</v>
      </c>
      <c r="Z114" s="2" t="s">
        <v>36</v>
      </c>
      <c r="AA114" s="13" t="s">
        <v>10374</v>
      </c>
      <c r="AB114" s="13" t="s">
        <v>10375</v>
      </c>
    </row>
    <row r="115" spans="1:28" ht="15" customHeight="1">
      <c r="A115" s="2" t="s">
        <v>8717</v>
      </c>
      <c r="B115" s="2" t="s">
        <v>28</v>
      </c>
      <c r="C115" s="11" t="s">
        <v>433</v>
      </c>
      <c r="D115" s="2" t="s">
        <v>30</v>
      </c>
      <c r="E115" s="2" t="s">
        <v>151</v>
      </c>
      <c r="F115" s="11"/>
      <c r="G115" s="46"/>
      <c r="H115" s="2" t="s">
        <v>434</v>
      </c>
      <c r="I115" s="12" t="s">
        <v>152</v>
      </c>
      <c r="J115" s="8">
        <f>+Tabla1[[#This Row],[FECHA ENTRADA]]</f>
        <v>45715</v>
      </c>
      <c r="K115" s="22">
        <v>45492</v>
      </c>
      <c r="L115" s="13">
        <f>_xlfn.DAYS(Tabla1[[#This Row],[FECHA FIN ]],Tabla1[[#This Row],[FECHA INICIO]])</f>
        <v>-223</v>
      </c>
      <c r="M115" s="12"/>
      <c r="N115" s="12">
        <v>300</v>
      </c>
      <c r="O115" s="12">
        <f>(Tabla1[[#This Row],[COSTO FIJO ]]/30)*Tabla1[[#This Row],[TOTAL DIAS PROYECTO]]+(Tabla1[[#This Row],[COSTO TEMPORAL]])</f>
        <v>-2230</v>
      </c>
      <c r="P115" s="12"/>
      <c r="Q115" s="12">
        <f>+(Tabla1[[#This Row],[COSTO COCHE]]/30)*Tabla1[[#This Row],[TOTAL DIAS PROYECTO]]</f>
        <v>0</v>
      </c>
      <c r="R115" s="12">
        <f>+Tabla1[[#This Row],[COSTO TOTAL ALOJAMIENTO]]+Tabla1[[#This Row],[COSTO TOTAL COCHE]]</f>
        <v>-2230</v>
      </c>
      <c r="S115" s="2"/>
      <c r="T115" s="2" t="s">
        <v>58</v>
      </c>
      <c r="U115" s="14">
        <v>45715</v>
      </c>
      <c r="V115" s="14"/>
      <c r="W115" s="26"/>
      <c r="X115" s="2">
        <v>1</v>
      </c>
      <c r="Y115" s="11" t="s">
        <v>435</v>
      </c>
      <c r="Z115" s="2" t="s">
        <v>36</v>
      </c>
      <c r="AA115" s="13" t="s">
        <v>10345</v>
      </c>
      <c r="AB115" s="13" t="s">
        <v>10346</v>
      </c>
    </row>
    <row r="116" spans="1:28" ht="15" customHeight="1">
      <c r="A116" s="2" t="s">
        <v>8718</v>
      </c>
      <c r="B116" s="2" t="s">
        <v>368</v>
      </c>
      <c r="C116" s="11" t="s">
        <v>436</v>
      </c>
      <c r="D116" s="2" t="s">
        <v>30</v>
      </c>
      <c r="E116" s="2" t="s">
        <v>370</v>
      </c>
      <c r="F116" s="11" t="s">
        <v>371</v>
      </c>
      <c r="G116" s="11" t="s">
        <v>372</v>
      </c>
      <c r="H116" s="2" t="s">
        <v>373</v>
      </c>
      <c r="I116" s="12" t="s">
        <v>374</v>
      </c>
      <c r="J116" s="8">
        <f>+Tabla1[[#This Row],[FECHA ENTRADA]]</f>
        <v>45481</v>
      </c>
      <c r="K116" s="8">
        <v>45496</v>
      </c>
      <c r="L116" s="13">
        <f>_xlfn.DAYS(Tabla1[[#This Row],[FECHA FIN ]],Tabla1[[#This Row],[FECHA INICIO]])</f>
        <v>15</v>
      </c>
      <c r="M116" s="12"/>
      <c r="N116" s="12"/>
      <c r="O116" s="12">
        <f>(Tabla1[[#This Row],[COSTO FIJO ]]/30)*Tabla1[[#This Row],[TOTAL DIAS PROYECTO]]+(Tabla1[[#This Row],[COSTO TEMPORAL]])</f>
        <v>0</v>
      </c>
      <c r="P116" s="12"/>
      <c r="Q116" s="12">
        <f>+(Tabla1[[#This Row],[COSTO COCHE]]/30)*Tabla1[[#This Row],[TOTAL DIAS PROYECTO]]</f>
        <v>0</v>
      </c>
      <c r="R116" s="12">
        <f>+Tabla1[[#This Row],[COSTO TOTAL ALOJAMIENTO]]+Tabla1[[#This Row],[COSTO TOTAL COCHE]]</f>
        <v>0</v>
      </c>
      <c r="S116" s="2" t="s">
        <v>84</v>
      </c>
      <c r="T116" s="2" t="s">
        <v>44</v>
      </c>
      <c r="U116" s="14">
        <v>45481</v>
      </c>
      <c r="V116" s="14"/>
      <c r="W116" s="26"/>
      <c r="X116" s="2"/>
      <c r="Y116" s="18" t="s">
        <v>437</v>
      </c>
      <c r="Z116" s="2" t="s">
        <v>36</v>
      </c>
      <c r="AA116" s="13" t="s">
        <v>10368</v>
      </c>
      <c r="AB116" s="13" t="s">
        <v>10369</v>
      </c>
    </row>
    <row r="117" spans="1:28" ht="15" customHeight="1">
      <c r="A117" s="2" t="s">
        <v>8719</v>
      </c>
      <c r="B117" s="2" t="s">
        <v>368</v>
      </c>
      <c r="C117" s="11" t="s">
        <v>438</v>
      </c>
      <c r="D117" s="2" t="s">
        <v>30</v>
      </c>
      <c r="E117" s="2" t="s">
        <v>370</v>
      </c>
      <c r="F117" s="11" t="s">
        <v>371</v>
      </c>
      <c r="G117" s="11" t="s">
        <v>372</v>
      </c>
      <c r="H117" s="2" t="s">
        <v>373</v>
      </c>
      <c r="I117" s="12" t="s">
        <v>374</v>
      </c>
      <c r="J117" s="8">
        <f>+Tabla1[[#This Row],[FECHA ENTRADA]]</f>
        <v>45481</v>
      </c>
      <c r="K117" s="8">
        <v>45496</v>
      </c>
      <c r="L117" s="13">
        <f>_xlfn.DAYS(Tabla1[[#This Row],[FECHA FIN ]],Tabla1[[#This Row],[FECHA INICIO]])</f>
        <v>15</v>
      </c>
      <c r="M117" s="12"/>
      <c r="N117" s="12"/>
      <c r="O117" s="12">
        <f>(Tabla1[[#This Row],[COSTO FIJO ]]/30)*Tabla1[[#This Row],[TOTAL DIAS PROYECTO]]+(Tabla1[[#This Row],[COSTO TEMPORAL]])</f>
        <v>0</v>
      </c>
      <c r="P117" s="12"/>
      <c r="Q117" s="12">
        <f>+(Tabla1[[#This Row],[COSTO COCHE]]/30)*Tabla1[[#This Row],[TOTAL DIAS PROYECTO]]</f>
        <v>0</v>
      </c>
      <c r="R117" s="12">
        <f>+Tabla1[[#This Row],[COSTO TOTAL ALOJAMIENTO]]+Tabla1[[#This Row],[COSTO TOTAL COCHE]]</f>
        <v>0</v>
      </c>
      <c r="S117" s="2" t="s">
        <v>84</v>
      </c>
      <c r="T117" s="2" t="s">
        <v>44</v>
      </c>
      <c r="U117" s="14">
        <v>45481</v>
      </c>
      <c r="V117" s="14"/>
      <c r="W117" s="26"/>
      <c r="X117" s="2"/>
      <c r="Y117" s="18" t="s">
        <v>439</v>
      </c>
      <c r="Z117" s="2" t="s">
        <v>36</v>
      </c>
      <c r="AA117" s="13" t="s">
        <v>10368</v>
      </c>
      <c r="AB117" s="13" t="s">
        <v>10369</v>
      </c>
    </row>
    <row r="118" spans="1:28">
      <c r="A118" s="2" t="s">
        <v>8720</v>
      </c>
      <c r="B118" s="2" t="s">
        <v>28</v>
      </c>
      <c r="C118" s="11" t="s">
        <v>440</v>
      </c>
      <c r="D118" s="2" t="s">
        <v>30</v>
      </c>
      <c r="E118" s="2" t="s">
        <v>253</v>
      </c>
      <c r="F118" s="11" t="s">
        <v>254</v>
      </c>
      <c r="G118" s="11" t="s">
        <v>255</v>
      </c>
      <c r="H118" s="2">
        <v>2023</v>
      </c>
      <c r="I118" s="2" t="s">
        <v>256</v>
      </c>
      <c r="J118" s="8">
        <v>45257</v>
      </c>
      <c r="K118" s="8">
        <v>45496</v>
      </c>
      <c r="L118" s="13">
        <f>_xlfn.DAYS(Tabla1[[#This Row],[FECHA FIN ]],Tabla1[[#This Row],[FECHA INICIO]])</f>
        <v>239</v>
      </c>
      <c r="M118" s="12"/>
      <c r="N118" s="12"/>
      <c r="O118" s="12">
        <f>(Tabla1[[#This Row],[COSTO FIJO ]]/30)*Tabla1[[#This Row],[TOTAL DIAS PROYECTO]]+(Tabla1[[#This Row],[COSTO TEMPORAL]])</f>
        <v>0</v>
      </c>
      <c r="P118" s="12"/>
      <c r="Q118" s="12">
        <f>+(Tabla1[[#This Row],[COSTO COCHE]]/30)*Tabla1[[#This Row],[TOTAL DIAS PROYECTO]]</f>
        <v>0</v>
      </c>
      <c r="R118" s="12">
        <f>+Tabla1[[#This Row],[COSTO TOTAL ALOJAMIENTO]]+Tabla1[[#This Row],[COSTO TOTAL COCHE]]</f>
        <v>0</v>
      </c>
      <c r="S118" s="2"/>
      <c r="T118" s="2" t="s">
        <v>35</v>
      </c>
      <c r="U118" s="14"/>
      <c r="V118" s="14"/>
      <c r="W118" s="15"/>
      <c r="X118" s="16"/>
      <c r="Y118" s="18" t="s">
        <v>441</v>
      </c>
      <c r="Z118" s="2" t="s">
        <v>36</v>
      </c>
      <c r="AA118" s="13" t="s">
        <v>10357</v>
      </c>
      <c r="AB118" s="13" t="s">
        <v>10358</v>
      </c>
    </row>
    <row r="119" spans="1:28" ht="15" customHeight="1">
      <c r="A119" s="2" t="s">
        <v>8721</v>
      </c>
      <c r="B119" s="2" t="s">
        <v>28</v>
      </c>
      <c r="C119" s="11" t="s">
        <v>442</v>
      </c>
      <c r="D119" s="2" t="s">
        <v>30</v>
      </c>
      <c r="E119" s="2" t="s">
        <v>443</v>
      </c>
      <c r="F119" s="11" t="s">
        <v>444</v>
      </c>
      <c r="G119" s="11"/>
      <c r="H119" s="2" t="s">
        <v>445</v>
      </c>
      <c r="I119" s="12" t="s">
        <v>279</v>
      </c>
      <c r="J119" s="8">
        <f>+Tabla1[[#This Row],[FECHA ENTRADA]]</f>
        <v>45480</v>
      </c>
      <c r="K119" s="8">
        <v>45499</v>
      </c>
      <c r="L119" s="13">
        <f>_xlfn.DAYS(Tabla1[[#This Row],[FECHA FIN ]],Tabla1[[#This Row],[FECHA INICIO]])</f>
        <v>19</v>
      </c>
      <c r="M119" s="12"/>
      <c r="N119" s="12"/>
      <c r="O119" s="12">
        <f>(Tabla1[[#This Row],[COSTO FIJO ]]/30)*Tabla1[[#This Row],[TOTAL DIAS PROYECTO]]+(Tabla1[[#This Row],[COSTO TEMPORAL]])</f>
        <v>0</v>
      </c>
      <c r="P119" s="12"/>
      <c r="Q119" s="12">
        <f>+(Tabla1[[#This Row],[COSTO COCHE]]/30)*Tabla1[[#This Row],[TOTAL DIAS PROYECTO]]</f>
        <v>0</v>
      </c>
      <c r="R119" s="12">
        <f>+Tabla1[[#This Row],[COSTO TOTAL ALOJAMIENTO]]+Tabla1[[#This Row],[COSTO TOTAL COCHE]]</f>
        <v>0</v>
      </c>
      <c r="S119" s="2"/>
      <c r="T119" s="2" t="s">
        <v>44</v>
      </c>
      <c r="U119" s="14">
        <v>45480</v>
      </c>
      <c r="V119" s="14">
        <v>45499</v>
      </c>
      <c r="W119" s="26"/>
      <c r="X119" s="2"/>
      <c r="Y119" s="18" t="s">
        <v>446</v>
      </c>
      <c r="Z119" s="2" t="s">
        <v>36</v>
      </c>
      <c r="AA119" s="13" t="s">
        <v>10376</v>
      </c>
      <c r="AB119" s="13">
        <v>38.4</v>
      </c>
    </row>
    <row r="120" spans="1:28" ht="15" customHeight="1">
      <c r="A120" s="2" t="s">
        <v>8667</v>
      </c>
      <c r="B120" s="2" t="s">
        <v>28</v>
      </c>
      <c r="C120" s="11" t="s">
        <v>208</v>
      </c>
      <c r="D120" s="2" t="s">
        <v>30</v>
      </c>
      <c r="E120" s="2" t="s">
        <v>447</v>
      </c>
      <c r="F120" s="11" t="s">
        <v>444</v>
      </c>
      <c r="G120" s="11" t="s">
        <v>448</v>
      </c>
      <c r="H120" s="2" t="s">
        <v>449</v>
      </c>
      <c r="I120" s="12" t="s">
        <v>279</v>
      </c>
      <c r="J120" s="8">
        <f>+Tabla1[[#This Row],[FECHA ENTRADA]]</f>
        <v>45487</v>
      </c>
      <c r="K120" s="8">
        <v>45499</v>
      </c>
      <c r="L120" s="13">
        <f>_xlfn.DAYS(Tabla1[[#This Row],[FECHA FIN ]],Tabla1[[#This Row],[FECHA INICIO]])</f>
        <v>12</v>
      </c>
      <c r="M120" s="12"/>
      <c r="N120" s="12"/>
      <c r="O120" s="12">
        <f>(Tabla1[[#This Row],[COSTO FIJO ]]/30)*Tabla1[[#This Row],[TOTAL DIAS PROYECTO]]+(Tabla1[[#This Row],[COSTO TEMPORAL]])</f>
        <v>0</v>
      </c>
      <c r="P120" s="12"/>
      <c r="Q120" s="12">
        <f>+(Tabla1[[#This Row],[COSTO COCHE]]/30)*Tabla1[[#This Row],[TOTAL DIAS PROYECTO]]</f>
        <v>0</v>
      </c>
      <c r="R120" s="12">
        <f>+Tabla1[[#This Row],[COSTO TOTAL ALOJAMIENTO]]+Tabla1[[#This Row],[COSTO TOTAL COCHE]]</f>
        <v>0</v>
      </c>
      <c r="S120" s="2"/>
      <c r="T120" s="2" t="s">
        <v>44</v>
      </c>
      <c r="U120" s="14">
        <v>45487</v>
      </c>
      <c r="V120" s="14">
        <v>45507</v>
      </c>
      <c r="W120" s="26"/>
      <c r="X120" s="2"/>
      <c r="Y120" s="18" t="s">
        <v>446</v>
      </c>
      <c r="Z120" s="2" t="s">
        <v>36</v>
      </c>
      <c r="AA120" s="13">
        <v>-697.06100000000004</v>
      </c>
      <c r="AB120" s="13" t="s">
        <v>10377</v>
      </c>
    </row>
    <row r="121" spans="1:28" ht="15" customHeight="1">
      <c r="A121" s="2" t="s">
        <v>8710</v>
      </c>
      <c r="B121" s="2" t="s">
        <v>28</v>
      </c>
      <c r="C121" s="11" t="s">
        <v>399</v>
      </c>
      <c r="D121" s="2" t="s">
        <v>30</v>
      </c>
      <c r="E121" s="2" t="s">
        <v>447</v>
      </c>
      <c r="F121" s="11" t="s">
        <v>444</v>
      </c>
      <c r="G121" s="11" t="s">
        <v>448</v>
      </c>
      <c r="H121" s="2" t="s">
        <v>449</v>
      </c>
      <c r="I121" s="12" t="s">
        <v>279</v>
      </c>
      <c r="J121" s="8">
        <f>+Tabla1[[#This Row],[FECHA ENTRADA]]</f>
        <v>45487</v>
      </c>
      <c r="K121" s="8">
        <v>45499</v>
      </c>
      <c r="L121" s="13">
        <f>_xlfn.DAYS(Tabla1[[#This Row],[FECHA FIN ]],Tabla1[[#This Row],[FECHA INICIO]])</f>
        <v>12</v>
      </c>
      <c r="M121" s="12"/>
      <c r="N121" s="12"/>
      <c r="O121" s="12">
        <f>(Tabla1[[#This Row],[COSTO FIJO ]]/30)*Tabla1[[#This Row],[TOTAL DIAS PROYECTO]]+(Tabla1[[#This Row],[COSTO TEMPORAL]])</f>
        <v>0</v>
      </c>
      <c r="P121" s="12"/>
      <c r="Q121" s="12">
        <f>+(Tabla1[[#This Row],[COSTO COCHE]]/30)*Tabla1[[#This Row],[TOTAL DIAS PROYECTO]]</f>
        <v>0</v>
      </c>
      <c r="R121" s="12">
        <f>+Tabla1[[#This Row],[COSTO TOTAL ALOJAMIENTO]]+Tabla1[[#This Row],[COSTO TOTAL COCHE]]</f>
        <v>0</v>
      </c>
      <c r="S121" s="2"/>
      <c r="T121" s="2" t="s">
        <v>44</v>
      </c>
      <c r="U121" s="14">
        <v>45487</v>
      </c>
      <c r="V121" s="14">
        <v>45507</v>
      </c>
      <c r="W121" s="26"/>
      <c r="X121" s="2"/>
      <c r="Y121" s="18" t="s">
        <v>446</v>
      </c>
      <c r="Z121" s="2" t="s">
        <v>36</v>
      </c>
      <c r="AA121" s="13">
        <v>-697.06100000000004</v>
      </c>
      <c r="AB121" s="13" t="s">
        <v>10377</v>
      </c>
    </row>
    <row r="122" spans="1:28" ht="15" customHeight="1">
      <c r="A122" s="2" t="s">
        <v>8711</v>
      </c>
      <c r="B122" s="2" t="s">
        <v>28</v>
      </c>
      <c r="C122" s="18" t="s">
        <v>400</v>
      </c>
      <c r="D122" s="2" t="s">
        <v>30</v>
      </c>
      <c r="E122" s="2" t="s">
        <v>447</v>
      </c>
      <c r="F122" s="11" t="s">
        <v>444</v>
      </c>
      <c r="G122" s="11" t="s">
        <v>448</v>
      </c>
      <c r="H122" s="2" t="s">
        <v>449</v>
      </c>
      <c r="I122" s="12" t="s">
        <v>279</v>
      </c>
      <c r="J122" s="8">
        <f>+Tabla1[[#This Row],[FECHA ENTRADA]]</f>
        <v>45487</v>
      </c>
      <c r="K122" s="8">
        <v>45499</v>
      </c>
      <c r="L122" s="13">
        <f>_xlfn.DAYS(Tabla1[[#This Row],[FECHA FIN ]],Tabla1[[#This Row],[FECHA INICIO]])</f>
        <v>12</v>
      </c>
      <c r="M122" s="12">
        <f>20*20</f>
        <v>400</v>
      </c>
      <c r="N122" s="20"/>
      <c r="O122" s="12">
        <f>(Tabla1[[#This Row],[COSTO FIJO ]]/30)*Tabla1[[#This Row],[TOTAL DIAS PROYECTO]]+(Tabla1[[#This Row],[COSTO TEMPORAL]])</f>
        <v>400</v>
      </c>
      <c r="P122" s="12"/>
      <c r="Q122" s="12">
        <f>+(Tabla1[[#This Row],[COSTO COCHE]]/30)*Tabla1[[#This Row],[TOTAL DIAS PROYECTO]]</f>
        <v>0</v>
      </c>
      <c r="R122" s="12">
        <f>+Tabla1[[#This Row],[COSTO TOTAL ALOJAMIENTO]]+Tabla1[[#This Row],[COSTO TOTAL COCHE]]</f>
        <v>400</v>
      </c>
      <c r="S122" s="2"/>
      <c r="T122" s="2" t="s">
        <v>44</v>
      </c>
      <c r="U122" s="14">
        <v>45487</v>
      </c>
      <c r="V122" s="14">
        <v>45507</v>
      </c>
      <c r="W122" s="26"/>
      <c r="X122" s="2"/>
      <c r="Y122" s="18" t="s">
        <v>446</v>
      </c>
      <c r="Z122" s="2" t="s">
        <v>36</v>
      </c>
      <c r="AA122" s="13">
        <v>-697.06100000000004</v>
      </c>
      <c r="AB122" s="13" t="s">
        <v>10377</v>
      </c>
    </row>
    <row r="123" spans="1:28" ht="15" customHeight="1">
      <c r="A123" s="2" t="s">
        <v>8654</v>
      </c>
      <c r="B123" s="2" t="s">
        <v>28</v>
      </c>
      <c r="C123" s="11" t="s">
        <v>148</v>
      </c>
      <c r="D123" s="2" t="s">
        <v>30</v>
      </c>
      <c r="E123" s="2" t="s">
        <v>447</v>
      </c>
      <c r="F123" s="11" t="s">
        <v>444</v>
      </c>
      <c r="G123" s="11" t="s">
        <v>448</v>
      </c>
      <c r="H123" s="2" t="s">
        <v>449</v>
      </c>
      <c r="I123" s="12" t="s">
        <v>279</v>
      </c>
      <c r="J123" s="8">
        <f>+Tabla1[[#This Row],[FECHA ENTRADA]]</f>
        <v>45487</v>
      </c>
      <c r="K123" s="8">
        <v>45499</v>
      </c>
      <c r="L123" s="13">
        <f>_xlfn.DAYS(Tabla1[[#This Row],[FECHA FIN ]],Tabla1[[#This Row],[FECHA INICIO]])</f>
        <v>12</v>
      </c>
      <c r="M123" s="12"/>
      <c r="N123" s="12"/>
      <c r="O123" s="12">
        <f>(Tabla1[[#This Row],[COSTO FIJO ]]/30)*Tabla1[[#This Row],[TOTAL DIAS PROYECTO]]+(Tabla1[[#This Row],[COSTO TEMPORAL]])</f>
        <v>0</v>
      </c>
      <c r="P123" s="12"/>
      <c r="Q123" s="12">
        <f>+(Tabla1[[#This Row],[COSTO COCHE]]/30)*Tabla1[[#This Row],[TOTAL DIAS PROYECTO]]</f>
        <v>0</v>
      </c>
      <c r="R123" s="12">
        <f>+Tabla1[[#This Row],[COSTO TOTAL ALOJAMIENTO]]+Tabla1[[#This Row],[COSTO TOTAL COCHE]]</f>
        <v>0</v>
      </c>
      <c r="S123" s="2"/>
      <c r="T123" s="2" t="s">
        <v>44</v>
      </c>
      <c r="U123" s="14">
        <v>45487</v>
      </c>
      <c r="V123" s="14">
        <v>45507</v>
      </c>
      <c r="W123" s="26"/>
      <c r="X123" s="2"/>
      <c r="Y123" s="18" t="s">
        <v>446</v>
      </c>
      <c r="Z123" s="2" t="s">
        <v>36</v>
      </c>
      <c r="AA123" s="13">
        <v>-697.06100000000004</v>
      </c>
      <c r="AB123" s="13" t="s">
        <v>10377</v>
      </c>
    </row>
    <row r="124" spans="1:28" ht="15" customHeight="1">
      <c r="A124" s="2" t="s">
        <v>8722</v>
      </c>
      <c r="B124" s="2" t="s">
        <v>368</v>
      </c>
      <c r="C124" s="18" t="s">
        <v>450</v>
      </c>
      <c r="D124" s="2" t="s">
        <v>30</v>
      </c>
      <c r="E124" s="2" t="s">
        <v>31</v>
      </c>
      <c r="F124" s="11" t="s">
        <v>451</v>
      </c>
      <c r="G124" s="11" t="s">
        <v>452</v>
      </c>
      <c r="H124" s="2" t="s">
        <v>453</v>
      </c>
      <c r="I124" s="12" t="s">
        <v>454</v>
      </c>
      <c r="J124" s="8">
        <f>+Tabla1[[#This Row],[FECHA ENTRADA]]</f>
        <v>45499</v>
      </c>
      <c r="K124" s="8">
        <v>45499</v>
      </c>
      <c r="L124" s="13">
        <f>_xlfn.DAYS(Tabla1[[#This Row],[FECHA FIN ]],Tabla1[[#This Row],[FECHA INICIO]])</f>
        <v>0</v>
      </c>
      <c r="M124" s="12"/>
      <c r="N124" s="47">
        <v>283.33</v>
      </c>
      <c r="O124" s="47">
        <f>(Tabla1[[#This Row],[COSTO FIJO ]]/30)*Tabla1[[#This Row],[TOTAL DIAS PROYECTO]]+(Tabla1[[#This Row],[COSTO TEMPORAL]])</f>
        <v>0</v>
      </c>
      <c r="P124" s="47"/>
      <c r="Q124" s="47">
        <f>+(Tabla1[[#This Row],[COSTO COCHE]]/30)*Tabla1[[#This Row],[TOTAL DIAS PROYECTO]]</f>
        <v>0</v>
      </c>
      <c r="R124" s="47">
        <f>+Tabla1[[#This Row],[COSTO TOTAL ALOJAMIENTO]]+Tabla1[[#This Row],[COSTO TOTAL COCHE]]</f>
        <v>0</v>
      </c>
      <c r="S124" s="2"/>
      <c r="T124" s="2" t="s">
        <v>35</v>
      </c>
      <c r="U124" s="14">
        <v>45499</v>
      </c>
      <c r="V124" s="14"/>
      <c r="W124" s="26"/>
      <c r="X124" s="2">
        <v>1</v>
      </c>
      <c r="Y124" s="18" t="s">
        <v>455</v>
      </c>
      <c r="Z124" s="2" t="s">
        <v>36</v>
      </c>
      <c r="AA124" s="13" t="s">
        <v>10323</v>
      </c>
      <c r="AB124" s="13" t="s">
        <v>10324</v>
      </c>
    </row>
    <row r="125" spans="1:28">
      <c r="A125" s="2" t="s">
        <v>8723</v>
      </c>
      <c r="B125" s="2" t="s">
        <v>368</v>
      </c>
      <c r="C125" s="11" t="s">
        <v>456</v>
      </c>
      <c r="D125" s="2" t="s">
        <v>30</v>
      </c>
      <c r="E125" s="2" t="s">
        <v>31</v>
      </c>
      <c r="F125" s="11" t="s">
        <v>451</v>
      </c>
      <c r="G125" s="11" t="s">
        <v>452</v>
      </c>
      <c r="H125" s="2" t="s">
        <v>453</v>
      </c>
      <c r="I125" s="12" t="s">
        <v>454</v>
      </c>
      <c r="J125" s="8">
        <f>+Tabla1[[#This Row],[FECHA ENTRADA]]</f>
        <v>45499</v>
      </c>
      <c r="K125" s="8">
        <v>45499</v>
      </c>
      <c r="L125" s="13">
        <f>_xlfn.DAYS(Tabla1[[#This Row],[FECHA FIN ]],Tabla1[[#This Row],[FECHA INICIO]])</f>
        <v>0</v>
      </c>
      <c r="M125" s="12"/>
      <c r="N125" s="12">
        <f>1700/5</f>
        <v>340</v>
      </c>
      <c r="O125" s="12">
        <f>(Tabla1[[#This Row],[COSTO FIJO ]]/30)*Tabla1[[#This Row],[TOTAL DIAS PROYECTO]]+(Tabla1[[#This Row],[COSTO TEMPORAL]])</f>
        <v>0</v>
      </c>
      <c r="P125" s="12"/>
      <c r="Q125" s="12">
        <f>+(Tabla1[[#This Row],[COSTO COCHE]]/30)*Tabla1[[#This Row],[TOTAL DIAS PROYECTO]]</f>
        <v>0</v>
      </c>
      <c r="R125" s="12">
        <f>+Tabla1[[#This Row],[COSTO TOTAL ALOJAMIENTO]]+Tabla1[[#This Row],[COSTO TOTAL COCHE]]</f>
        <v>0</v>
      </c>
      <c r="S125" s="2"/>
      <c r="T125" s="2" t="s">
        <v>35</v>
      </c>
      <c r="U125" s="14">
        <v>45499</v>
      </c>
      <c r="V125" s="14"/>
      <c r="W125" s="26"/>
      <c r="X125" s="2">
        <v>1</v>
      </c>
      <c r="Y125" s="18" t="s">
        <v>455</v>
      </c>
      <c r="Z125" s="2" t="s">
        <v>36</v>
      </c>
      <c r="AA125" s="13" t="s">
        <v>10323</v>
      </c>
      <c r="AB125" s="13" t="s">
        <v>10324</v>
      </c>
    </row>
    <row r="126" spans="1:28">
      <c r="A126" s="2" t="s">
        <v>8724</v>
      </c>
      <c r="B126" s="2" t="s">
        <v>368</v>
      </c>
      <c r="C126" s="11" t="s">
        <v>457</v>
      </c>
      <c r="D126" s="2" t="s">
        <v>30</v>
      </c>
      <c r="E126" s="2" t="s">
        <v>31</v>
      </c>
      <c r="F126" s="11" t="s">
        <v>451</v>
      </c>
      <c r="G126" s="11" t="s">
        <v>452</v>
      </c>
      <c r="H126" s="2" t="s">
        <v>453</v>
      </c>
      <c r="I126" s="12" t="s">
        <v>454</v>
      </c>
      <c r="J126" s="8">
        <f>+Tabla1[[#This Row],[FECHA ENTRADA]]</f>
        <v>45499</v>
      </c>
      <c r="K126" s="8">
        <v>45499</v>
      </c>
      <c r="L126" s="13">
        <f>_xlfn.DAYS(Tabla1[[#This Row],[FECHA FIN ]],Tabla1[[#This Row],[FECHA INICIO]])</f>
        <v>0</v>
      </c>
      <c r="M126" s="12"/>
      <c r="N126" s="12">
        <f>1700/5</f>
        <v>340</v>
      </c>
      <c r="O126" s="12">
        <f>(Tabla1[[#This Row],[COSTO FIJO ]]/30)*Tabla1[[#This Row],[TOTAL DIAS PROYECTO]]+(Tabla1[[#This Row],[COSTO TEMPORAL]])</f>
        <v>0</v>
      </c>
      <c r="P126" s="12"/>
      <c r="Q126" s="12">
        <f>+(Tabla1[[#This Row],[COSTO COCHE]]/30)*Tabla1[[#This Row],[TOTAL DIAS PROYECTO]]</f>
        <v>0</v>
      </c>
      <c r="R126" s="12">
        <f>+Tabla1[[#This Row],[COSTO TOTAL ALOJAMIENTO]]+Tabla1[[#This Row],[COSTO TOTAL COCHE]]</f>
        <v>0</v>
      </c>
      <c r="S126" s="2"/>
      <c r="T126" s="2" t="s">
        <v>35</v>
      </c>
      <c r="U126" s="14">
        <v>45499</v>
      </c>
      <c r="V126" s="14"/>
      <c r="W126" s="26"/>
      <c r="X126" s="2">
        <v>1</v>
      </c>
      <c r="Y126" s="18" t="s">
        <v>455</v>
      </c>
      <c r="Z126" s="2" t="s">
        <v>36</v>
      </c>
      <c r="AA126" s="13" t="s">
        <v>10323</v>
      </c>
      <c r="AB126" s="13" t="s">
        <v>10324</v>
      </c>
    </row>
    <row r="127" spans="1:28">
      <c r="A127" s="2" t="s">
        <v>8725</v>
      </c>
      <c r="B127" s="2" t="s">
        <v>28</v>
      </c>
      <c r="C127" s="11" t="s">
        <v>458</v>
      </c>
      <c r="D127" s="2" t="s">
        <v>30</v>
      </c>
      <c r="E127" s="2" t="s">
        <v>127</v>
      </c>
      <c r="F127" s="34" t="s">
        <v>276</v>
      </c>
      <c r="G127" s="30" t="s">
        <v>277</v>
      </c>
      <c r="H127" s="2" t="s">
        <v>459</v>
      </c>
      <c r="I127" s="12" t="s">
        <v>377</v>
      </c>
      <c r="J127" s="8">
        <f>+Tabla1[[#This Row],[FECHA ENTRADA]]</f>
        <v>45487</v>
      </c>
      <c r="K127" s="8">
        <v>45499</v>
      </c>
      <c r="L127" s="13">
        <f>_xlfn.DAYS(Tabla1[[#This Row],[FECHA FIN ]],Tabla1[[#This Row],[FECHA INICIO]])</f>
        <v>12</v>
      </c>
      <c r="M127" s="12"/>
      <c r="N127" s="12"/>
      <c r="O127" s="12">
        <f>(Tabla1[[#This Row],[COSTO FIJO ]]/30)*Tabla1[[#This Row],[TOTAL DIAS PROYECTO]]+(Tabla1[[#This Row],[COSTO TEMPORAL]])</f>
        <v>0</v>
      </c>
      <c r="P127" s="12"/>
      <c r="Q127" s="12">
        <f>+(Tabla1[[#This Row],[COSTO COCHE]]/30)*Tabla1[[#This Row],[TOTAL DIAS PROYECTO]]</f>
        <v>0</v>
      </c>
      <c r="R127" s="12">
        <f>+Tabla1[[#This Row],[COSTO TOTAL ALOJAMIENTO]]+Tabla1[[#This Row],[COSTO TOTAL COCHE]]</f>
        <v>0</v>
      </c>
      <c r="S127" s="2"/>
      <c r="T127" s="2" t="s">
        <v>35</v>
      </c>
      <c r="U127" s="14">
        <v>45487</v>
      </c>
      <c r="V127" s="14"/>
      <c r="W127" s="26"/>
      <c r="X127" s="2">
        <v>20</v>
      </c>
      <c r="Y127" s="18" t="s">
        <v>460</v>
      </c>
      <c r="Z127" s="2" t="s">
        <v>36</v>
      </c>
      <c r="AA127" s="13" t="s">
        <v>10342</v>
      </c>
      <c r="AB127" s="13" t="s">
        <v>10343</v>
      </c>
    </row>
    <row r="128" spans="1:28">
      <c r="A128" s="2" t="s">
        <v>8726</v>
      </c>
      <c r="B128" s="2" t="s">
        <v>28</v>
      </c>
      <c r="C128" s="18" t="s">
        <v>461</v>
      </c>
      <c r="D128" s="2" t="s">
        <v>30</v>
      </c>
      <c r="E128" s="2" t="s">
        <v>31</v>
      </c>
      <c r="F128" s="11" t="s">
        <v>295</v>
      </c>
      <c r="G128" s="11" t="s">
        <v>296</v>
      </c>
      <c r="H128" s="2" t="s">
        <v>297</v>
      </c>
      <c r="I128" s="2" t="s">
        <v>298</v>
      </c>
      <c r="J128" s="8">
        <f>+Tabla1[[#This Row],[FECHA ENTRADA]]</f>
        <v>45389</v>
      </c>
      <c r="K128" s="8">
        <v>45504</v>
      </c>
      <c r="L128" s="13">
        <f>_xlfn.DAYS(Tabla1[[#This Row],[FECHA FIN ]],Tabla1[[#This Row],[FECHA INICIO]])</f>
        <v>115</v>
      </c>
      <c r="M128" s="12"/>
      <c r="N128" s="2"/>
      <c r="O128" s="12">
        <f>(Tabla1[[#This Row],[COSTO FIJO ]]/30)*Tabla1[[#This Row],[TOTAL DIAS PROYECTO]]+(Tabla1[[#This Row],[COSTO TEMPORAL]])</f>
        <v>0</v>
      </c>
      <c r="P128" s="12"/>
      <c r="Q128" s="12">
        <f>+(Tabla1[[#This Row],[COSTO COCHE]]/30)*Tabla1[[#This Row],[TOTAL DIAS PROYECTO]]</f>
        <v>0</v>
      </c>
      <c r="R128" s="12">
        <f>+Tabla1[[#This Row],[COSTO TOTAL ALOJAMIENTO]]+Tabla1[[#This Row],[COSTO TOTAL COCHE]]</f>
        <v>0</v>
      </c>
      <c r="S128" s="2"/>
      <c r="T128" s="2" t="s">
        <v>58</v>
      </c>
      <c r="U128" s="14">
        <v>45389</v>
      </c>
      <c r="V128" s="14"/>
      <c r="W128" s="15">
        <f>550*2</f>
        <v>1100</v>
      </c>
      <c r="X128" s="16">
        <v>1</v>
      </c>
      <c r="Y128" s="18" t="s">
        <v>462</v>
      </c>
      <c r="Z128" s="2" t="s">
        <v>36</v>
      </c>
      <c r="AA128" s="13" t="s">
        <v>10323</v>
      </c>
      <c r="AB128" s="13" t="s">
        <v>10324</v>
      </c>
    </row>
    <row r="129" spans="1:28">
      <c r="A129" s="2" t="s">
        <v>8727</v>
      </c>
      <c r="B129" s="2" t="s">
        <v>28</v>
      </c>
      <c r="C129" s="11" t="s">
        <v>463</v>
      </c>
      <c r="D129" s="2" t="s">
        <v>72</v>
      </c>
      <c r="E129" s="2" t="s">
        <v>73</v>
      </c>
      <c r="F129" s="11" t="s">
        <v>74</v>
      </c>
      <c r="G129" s="11" t="s">
        <v>75</v>
      </c>
      <c r="H129" s="2" t="s">
        <v>464</v>
      </c>
      <c r="I129" s="2" t="s">
        <v>332</v>
      </c>
      <c r="J129" s="8">
        <f>+Tabla1[[#This Row],[FECHA ENTRADA]]</f>
        <v>45403</v>
      </c>
      <c r="K129" s="8">
        <v>45504</v>
      </c>
      <c r="L129" s="13">
        <f>_xlfn.DAYS(Tabla1[[#This Row],[FECHA FIN ]],Tabla1[[#This Row],[FECHA INICIO]])</f>
        <v>101</v>
      </c>
      <c r="M129" s="12"/>
      <c r="N129" s="12"/>
      <c r="O129" s="12">
        <f>(Tabla1[[#This Row],[COSTO FIJO ]]/30)*Tabla1[[#This Row],[TOTAL DIAS PROYECTO]]+(Tabla1[[#This Row],[COSTO TEMPORAL]])</f>
        <v>0</v>
      </c>
      <c r="P129" s="12"/>
      <c r="Q129" s="12">
        <f>+(Tabla1[[#This Row],[COSTO COCHE]]/30)*Tabla1[[#This Row],[TOTAL DIAS PROYECTO]]</f>
        <v>0</v>
      </c>
      <c r="R129" s="12">
        <f>+Tabla1[[#This Row],[COSTO TOTAL ALOJAMIENTO]]+Tabla1[[#This Row],[COSTO TOTAL COCHE]]</f>
        <v>0</v>
      </c>
      <c r="S129" s="2"/>
      <c r="T129" s="2" t="s">
        <v>35</v>
      </c>
      <c r="U129" s="14">
        <v>45403</v>
      </c>
      <c r="V129" s="14"/>
      <c r="W129" s="2"/>
      <c r="X129" s="2"/>
      <c r="Y129" s="18" t="s">
        <v>465</v>
      </c>
      <c r="Z129" s="2" t="s">
        <v>36</v>
      </c>
      <c r="AA129" s="13" t="s">
        <v>10331</v>
      </c>
      <c r="AB129" s="13" t="s">
        <v>10332</v>
      </c>
    </row>
    <row r="130" spans="1:28" ht="15" customHeight="1">
      <c r="A130" s="2" t="s">
        <v>8728</v>
      </c>
      <c r="B130" s="2" t="s">
        <v>28</v>
      </c>
      <c r="C130" s="11" t="s">
        <v>466</v>
      </c>
      <c r="D130" s="2" t="s">
        <v>30</v>
      </c>
      <c r="E130" s="2" t="s">
        <v>31</v>
      </c>
      <c r="F130" s="11"/>
      <c r="G130" s="11"/>
      <c r="H130" s="2">
        <v>2023</v>
      </c>
      <c r="I130" s="2" t="s">
        <v>385</v>
      </c>
      <c r="J130" s="8">
        <v>45122</v>
      </c>
      <c r="K130" s="8">
        <v>45505</v>
      </c>
      <c r="L130" s="13">
        <f>_xlfn.DAYS(Tabla1[[#This Row],[FECHA FIN ]],Tabla1[[#This Row],[FECHA INICIO]])</f>
        <v>383</v>
      </c>
      <c r="M130" s="12"/>
      <c r="N130" s="12">
        <v>300</v>
      </c>
      <c r="O130" s="12">
        <f>(Tabla1[[#This Row],[COSTO FIJO ]]/30)*Tabla1[[#This Row],[TOTAL DIAS PROYECTO]]+(Tabla1[[#This Row],[COSTO TEMPORAL]])</f>
        <v>3830</v>
      </c>
      <c r="P130" s="12"/>
      <c r="Q130" s="12">
        <f>+(Tabla1[[#This Row],[COSTO COCHE]]/30)*Tabla1[[#This Row],[TOTAL DIAS PROYECTO]]</f>
        <v>0</v>
      </c>
      <c r="R130" s="12">
        <f>+Tabla1[[#This Row],[COSTO TOTAL ALOJAMIENTO]]+Tabla1[[#This Row],[COSTO TOTAL COCHE]]</f>
        <v>3830</v>
      </c>
      <c r="S130" s="2"/>
      <c r="T130" s="2" t="s">
        <v>58</v>
      </c>
      <c r="U130" s="14"/>
      <c r="V130" s="14"/>
      <c r="W130" s="2"/>
      <c r="X130" s="2"/>
      <c r="Y130" s="11" t="s">
        <v>467</v>
      </c>
      <c r="Z130" s="2" t="s">
        <v>36</v>
      </c>
      <c r="AA130" s="13" t="s">
        <v>10323</v>
      </c>
      <c r="AB130" s="13" t="s">
        <v>10324</v>
      </c>
    </row>
    <row r="131" spans="1:28" ht="15" customHeight="1">
      <c r="A131" s="2" t="s">
        <v>8729</v>
      </c>
      <c r="B131" s="2" t="s">
        <v>28</v>
      </c>
      <c r="C131" s="11" t="s">
        <v>468</v>
      </c>
      <c r="D131" s="2" t="s">
        <v>30</v>
      </c>
      <c r="E131" s="2" t="s">
        <v>127</v>
      </c>
      <c r="F131" s="11" t="s">
        <v>469</v>
      </c>
      <c r="G131" s="30" t="s">
        <v>470</v>
      </c>
      <c r="H131" s="2" t="s">
        <v>391</v>
      </c>
      <c r="I131" s="12" t="s">
        <v>392</v>
      </c>
      <c r="J131" s="8">
        <f>+Tabla1[[#This Row],[FECHA ENTRADA]]</f>
        <v>45454</v>
      </c>
      <c r="K131" s="8">
        <v>45506</v>
      </c>
      <c r="L131" s="13">
        <f>_xlfn.DAYS(Tabla1[[#This Row],[FECHA FIN ]],Tabla1[[#This Row],[FECHA INICIO]])</f>
        <v>52</v>
      </c>
      <c r="M131" s="12"/>
      <c r="N131" s="12">
        <v>375</v>
      </c>
      <c r="O131" s="12">
        <f>(Tabla1[[#This Row],[COSTO FIJO ]]/30)*Tabla1[[#This Row],[TOTAL DIAS PROYECTO]]+(Tabla1[[#This Row],[COSTO TEMPORAL]])</f>
        <v>650</v>
      </c>
      <c r="P131" s="12"/>
      <c r="Q131" s="12">
        <f>+(Tabla1[[#This Row],[COSTO COCHE]]/30)*Tabla1[[#This Row],[TOTAL DIAS PROYECTO]]</f>
        <v>0</v>
      </c>
      <c r="R131" s="12">
        <f>+Tabla1[[#This Row],[COSTO TOTAL ALOJAMIENTO]]+Tabla1[[#This Row],[COSTO TOTAL COCHE]]</f>
        <v>650</v>
      </c>
      <c r="S131" s="2"/>
      <c r="T131" s="2" t="s">
        <v>35</v>
      </c>
      <c r="U131" s="14">
        <v>45454</v>
      </c>
      <c r="V131" s="14">
        <v>45474</v>
      </c>
      <c r="W131" s="15">
        <v>750</v>
      </c>
      <c r="X131" s="2">
        <v>23</v>
      </c>
      <c r="Y131" s="18" t="s">
        <v>471</v>
      </c>
      <c r="Z131" s="2" t="s">
        <v>36</v>
      </c>
      <c r="AA131" s="13" t="s">
        <v>10342</v>
      </c>
      <c r="AB131" s="13" t="s">
        <v>10343</v>
      </c>
    </row>
    <row r="132" spans="1:28" ht="15" customHeight="1">
      <c r="A132" s="2" t="s">
        <v>8730</v>
      </c>
      <c r="B132" s="2" t="s">
        <v>28</v>
      </c>
      <c r="C132" s="18" t="s">
        <v>472</v>
      </c>
      <c r="D132" s="2" t="s">
        <v>30</v>
      </c>
      <c r="E132" s="2" t="s">
        <v>225</v>
      </c>
      <c r="F132" s="11" t="s">
        <v>310</v>
      </c>
      <c r="G132" s="11" t="s">
        <v>311</v>
      </c>
      <c r="H132" s="2" t="s">
        <v>273</v>
      </c>
      <c r="I132" s="2" t="s">
        <v>228</v>
      </c>
      <c r="J132" s="8">
        <f>+Tabla1[[#This Row],[FECHA ENTRADA]]</f>
        <v>45323</v>
      </c>
      <c r="K132" s="22">
        <v>45821</v>
      </c>
      <c r="L132" s="13">
        <f>_xlfn.DAYS(Tabla1[[#This Row],[FECHA FIN ]],Tabla1[[#This Row],[FECHA INICIO]])</f>
        <v>498</v>
      </c>
      <c r="M132" s="12"/>
      <c r="N132" s="12">
        <f>1811.6/17</f>
        <v>106.56470588235294</v>
      </c>
      <c r="O132" s="12">
        <f>(Tabla1[[#This Row],[COSTO FIJO ]]/30)*Tabla1[[#This Row],[TOTAL DIAS PROYECTO]]+(Tabla1[[#This Row],[COSTO TEMPORAL]])</f>
        <v>1768.9741176470588</v>
      </c>
      <c r="P132" s="12"/>
      <c r="Q132" s="12">
        <f>+(Tabla1[[#This Row],[COSTO COCHE]]/30)*Tabla1[[#This Row],[TOTAL DIAS PROYECTO]]</f>
        <v>0</v>
      </c>
      <c r="R132" s="12">
        <f>+Tabla1[[#This Row],[COSTO TOTAL ALOJAMIENTO]]+Tabla1[[#This Row],[COSTO TOTAL COCHE]]</f>
        <v>1768.9741176470588</v>
      </c>
      <c r="S132" s="2"/>
      <c r="T132" s="2" t="s">
        <v>35</v>
      </c>
      <c r="U132" s="14">
        <v>45323</v>
      </c>
      <c r="V132" s="14"/>
      <c r="W132" s="15"/>
      <c r="X132" s="16">
        <v>1</v>
      </c>
      <c r="Y132" s="18" t="s">
        <v>473</v>
      </c>
      <c r="Z132" s="2" t="s">
        <v>36</v>
      </c>
      <c r="AA132" s="13" t="s">
        <v>10353</v>
      </c>
      <c r="AB132" s="13" t="s">
        <v>10354</v>
      </c>
    </row>
    <row r="133" spans="1:28" ht="15" customHeight="1">
      <c r="A133" s="2" t="s">
        <v>8638</v>
      </c>
      <c r="B133" s="2" t="s">
        <v>28</v>
      </c>
      <c r="C133" s="11" t="s">
        <v>337</v>
      </c>
      <c r="D133" s="2" t="s">
        <v>30</v>
      </c>
      <c r="E133" s="2" t="s">
        <v>429</v>
      </c>
      <c r="F133" s="11" t="s">
        <v>430</v>
      </c>
      <c r="G133" s="11" t="s">
        <v>431</v>
      </c>
      <c r="H133" s="2" t="s">
        <v>474</v>
      </c>
      <c r="I133" s="2" t="s">
        <v>165</v>
      </c>
      <c r="J133" s="8">
        <f>+Tabla1[[#This Row],[FECHA ENTRADA]]</f>
        <v>45348</v>
      </c>
      <c r="K133" s="8"/>
      <c r="L133" s="13">
        <f>_xlfn.DAYS(Tabla1[[#This Row],[FECHA FIN ]],Tabla1[[#This Row],[FECHA INICIO]])</f>
        <v>-45348</v>
      </c>
      <c r="M133" s="12"/>
      <c r="N133" s="2"/>
      <c r="O133" s="12">
        <f>(Tabla1[[#This Row],[COSTO FIJO ]]/30)*Tabla1[[#This Row],[TOTAL DIAS PROYECTO]]+(Tabla1[[#This Row],[COSTO TEMPORAL]])</f>
        <v>0</v>
      </c>
      <c r="P133" s="12"/>
      <c r="Q133" s="12">
        <f>+(Tabla1[[#This Row],[COSTO COCHE]]/30)*Tabla1[[#This Row],[TOTAL DIAS PROYECTO]]</f>
        <v>0</v>
      </c>
      <c r="R133" s="12">
        <f>+Tabla1[[#This Row],[COSTO TOTAL ALOJAMIENTO]]+Tabla1[[#This Row],[COSTO TOTAL COCHE]]</f>
        <v>0</v>
      </c>
      <c r="S133" s="2"/>
      <c r="T133" s="2" t="s">
        <v>44</v>
      </c>
      <c r="U133" s="14">
        <v>45348</v>
      </c>
      <c r="V133" s="14">
        <v>45351</v>
      </c>
      <c r="W133" s="15"/>
      <c r="X133" s="16"/>
      <c r="Y133" s="18" t="s">
        <v>432</v>
      </c>
      <c r="Z133" s="2" t="s">
        <v>36</v>
      </c>
      <c r="AA133" s="13" t="s">
        <v>10374</v>
      </c>
      <c r="AB133" s="13" t="s">
        <v>10375</v>
      </c>
    </row>
    <row r="134" spans="1:28" ht="15" customHeight="1">
      <c r="A134" s="2" t="s">
        <v>8731</v>
      </c>
      <c r="B134" s="2" t="s">
        <v>28</v>
      </c>
      <c r="C134" s="18" t="s">
        <v>475</v>
      </c>
      <c r="D134" s="2" t="s">
        <v>30</v>
      </c>
      <c r="E134" s="2" t="s">
        <v>476</v>
      </c>
      <c r="F134" s="11" t="s">
        <v>477</v>
      </c>
      <c r="G134" s="11" t="s">
        <v>478</v>
      </c>
      <c r="H134" s="2" t="s">
        <v>479</v>
      </c>
      <c r="I134" s="12" t="s">
        <v>165</v>
      </c>
      <c r="J134" s="8">
        <f>+Tabla1[[#This Row],[FECHA ENTRADA]]</f>
        <v>45504</v>
      </c>
      <c r="K134" s="8">
        <v>45513</v>
      </c>
      <c r="L134" s="13">
        <f>_xlfn.DAYS(Tabla1[[#This Row],[FECHA FIN ]],Tabla1[[#This Row],[FECHA INICIO]])</f>
        <v>9</v>
      </c>
      <c r="M134" s="12"/>
      <c r="N134" s="12"/>
      <c r="O134" s="12">
        <f>(Tabla1[[#This Row],[COSTO FIJO ]]/30)*Tabla1[[#This Row],[TOTAL DIAS PROYECTO]]+(Tabla1[[#This Row],[COSTO TEMPORAL]])</f>
        <v>0</v>
      </c>
      <c r="P134" s="12"/>
      <c r="Q134" s="12">
        <f>+(Tabla1[[#This Row],[COSTO COCHE]]/30)*Tabla1[[#This Row],[TOTAL DIAS PROYECTO]]</f>
        <v>0</v>
      </c>
      <c r="R134" s="12">
        <f>+Tabla1[[#This Row],[COSTO TOTAL ALOJAMIENTO]]+Tabla1[[#This Row],[COSTO TOTAL COCHE]]</f>
        <v>0</v>
      </c>
      <c r="S134" s="2"/>
      <c r="T134" s="2" t="s">
        <v>35</v>
      </c>
      <c r="U134" s="14">
        <v>45504</v>
      </c>
      <c r="V134" s="14"/>
      <c r="W134" s="26"/>
      <c r="X134" s="2">
        <v>1</v>
      </c>
      <c r="Y134" s="18" t="s">
        <v>480</v>
      </c>
      <c r="Z134" s="2" t="s">
        <v>36</v>
      </c>
      <c r="AA134" s="13">
        <v>-7.8640699999999999</v>
      </c>
      <c r="AB134" s="13">
        <v>42.336689999999997</v>
      </c>
    </row>
    <row r="135" spans="1:28" ht="15" customHeight="1">
      <c r="A135" s="2" t="s">
        <v>8732</v>
      </c>
      <c r="B135" s="2" t="s">
        <v>28</v>
      </c>
      <c r="C135" s="48" t="s">
        <v>481</v>
      </c>
      <c r="D135" s="2" t="s">
        <v>30</v>
      </c>
      <c r="E135" s="2" t="s">
        <v>476</v>
      </c>
      <c r="F135" s="11" t="s">
        <v>482</v>
      </c>
      <c r="G135" s="11" t="s">
        <v>483</v>
      </c>
      <c r="H135" s="2" t="s">
        <v>484</v>
      </c>
      <c r="I135" s="12" t="s">
        <v>165</v>
      </c>
      <c r="J135" s="8">
        <f>+Tabla1[[#This Row],[FECHA ENTRADA]]</f>
        <v>45396</v>
      </c>
      <c r="K135" s="8">
        <v>45513</v>
      </c>
      <c r="L135" s="13">
        <f>_xlfn.DAYS(Tabla1[[#This Row],[FECHA FIN ]],Tabla1[[#This Row],[FECHA INICIO]])</f>
        <v>117</v>
      </c>
      <c r="M135" s="12"/>
      <c r="N135" s="12">
        <v>158.75</v>
      </c>
      <c r="O135" s="12">
        <f>(Tabla1[[#This Row],[COSTO FIJO ]]/30)*Tabla1[[#This Row],[TOTAL DIAS PROYECTO]]+(Tabla1[[#This Row],[COSTO TEMPORAL]])</f>
        <v>619.125</v>
      </c>
      <c r="P135" s="12"/>
      <c r="Q135" s="12">
        <f>+(Tabla1[[#This Row],[COSTO COCHE]]/30)*Tabla1[[#This Row],[TOTAL DIAS PROYECTO]]</f>
        <v>0</v>
      </c>
      <c r="R135" s="12">
        <f>+Tabla1[[#This Row],[COSTO TOTAL ALOJAMIENTO]]+Tabla1[[#This Row],[COSTO TOTAL COCHE]]</f>
        <v>619.125</v>
      </c>
      <c r="S135" s="2"/>
      <c r="T135" s="2" t="s">
        <v>35</v>
      </c>
      <c r="U135" s="14">
        <v>45396</v>
      </c>
      <c r="V135" s="14"/>
      <c r="W135" s="15"/>
      <c r="X135" s="16">
        <v>1</v>
      </c>
      <c r="Y135" s="18" t="s">
        <v>485</v>
      </c>
      <c r="Z135" s="2" t="s">
        <v>36</v>
      </c>
      <c r="AA135" s="13">
        <v>-7.8640699999999999</v>
      </c>
      <c r="AB135" s="13">
        <v>42.336689999999997</v>
      </c>
    </row>
    <row r="136" spans="1:28">
      <c r="A136" s="2" t="s">
        <v>8733</v>
      </c>
      <c r="B136" s="2" t="s">
        <v>28</v>
      </c>
      <c r="C136" s="18" t="s">
        <v>486</v>
      </c>
      <c r="D136" s="2" t="s">
        <v>30</v>
      </c>
      <c r="E136" s="2" t="s">
        <v>415</v>
      </c>
      <c r="F136" s="11" t="s">
        <v>487</v>
      </c>
      <c r="G136" s="11" t="s">
        <v>488</v>
      </c>
      <c r="H136" s="2" t="s">
        <v>489</v>
      </c>
      <c r="I136" s="12" t="s">
        <v>490</v>
      </c>
      <c r="J136" s="8">
        <f>+Tabla1[[#This Row],[FECHA ENTRADA]]</f>
        <v>45420</v>
      </c>
      <c r="K136" s="8">
        <v>45513</v>
      </c>
      <c r="L136" s="13">
        <f>_xlfn.DAYS(Tabla1[[#This Row],[FECHA FIN ]],Tabla1[[#This Row],[FECHA INICIO]])</f>
        <v>93</v>
      </c>
      <c r="M136" s="12"/>
      <c r="N136" s="12">
        <v>357.14</v>
      </c>
      <c r="O136" s="12">
        <f>(Tabla1[[#This Row],[COSTO FIJO ]]/30)*Tabla1[[#This Row],[TOTAL DIAS PROYECTO]]+(Tabla1[[#This Row],[COSTO TEMPORAL]])</f>
        <v>1107.134</v>
      </c>
      <c r="P136" s="12"/>
      <c r="Q136" s="12">
        <f>+(Tabla1[[#This Row],[COSTO COCHE]]/30)*Tabla1[[#This Row],[TOTAL DIAS PROYECTO]]</f>
        <v>0</v>
      </c>
      <c r="R136" s="12">
        <f>+Tabla1[[#This Row],[COSTO TOTAL ALOJAMIENTO]]+Tabla1[[#This Row],[COSTO TOTAL COCHE]]</f>
        <v>1107.134</v>
      </c>
      <c r="S136" s="2"/>
      <c r="T136" s="2" t="s">
        <v>35</v>
      </c>
      <c r="U136" s="14">
        <v>45420</v>
      </c>
      <c r="V136" s="14"/>
      <c r="W136" s="2"/>
      <c r="X136" s="2">
        <v>5</v>
      </c>
      <c r="Y136" s="11" t="s">
        <v>487</v>
      </c>
      <c r="Z136" s="2" t="s">
        <v>36</v>
      </c>
      <c r="AA136" s="13">
        <v>-0.37739</v>
      </c>
      <c r="AB136" s="13" t="s">
        <v>10372</v>
      </c>
    </row>
    <row r="137" spans="1:28" ht="15" customHeight="1">
      <c r="A137" s="2" t="s">
        <v>8734</v>
      </c>
      <c r="B137" s="2" t="s">
        <v>28</v>
      </c>
      <c r="C137" s="18" t="s">
        <v>491</v>
      </c>
      <c r="D137" s="33" t="s">
        <v>30</v>
      </c>
      <c r="E137" s="33" t="s">
        <v>225</v>
      </c>
      <c r="F137" s="11" t="s">
        <v>226</v>
      </c>
      <c r="G137" s="34" t="s">
        <v>227</v>
      </c>
      <c r="H137" s="33" t="s">
        <v>492</v>
      </c>
      <c r="I137" s="33" t="s">
        <v>228</v>
      </c>
      <c r="J137" s="8">
        <f>+Tabla1[[#This Row],[FECHA ENTRADA]]</f>
        <v>45323</v>
      </c>
      <c r="K137" s="22">
        <v>45821</v>
      </c>
      <c r="L137" s="13">
        <f>_xlfn.DAYS(Tabla1[[#This Row],[FECHA FIN ]],Tabla1[[#This Row],[FECHA INICIO]])</f>
        <v>498</v>
      </c>
      <c r="M137" s="12"/>
      <c r="N137" s="24"/>
      <c r="O137" s="36">
        <f>(Tabla1[[#This Row],[COSTO FIJO ]]/30)*Tabla1[[#This Row],[TOTAL DIAS PROYECTO]]+(Tabla1[[#This Row],[COSTO TEMPORAL]])</f>
        <v>0</v>
      </c>
      <c r="P137" s="36"/>
      <c r="Q137" s="36">
        <f>+(Tabla1[[#This Row],[COSTO COCHE]]/30)*Tabla1[[#This Row],[TOTAL DIAS PROYECTO]]</f>
        <v>0</v>
      </c>
      <c r="R137" s="36">
        <f>+Tabla1[[#This Row],[COSTO TOTAL ALOJAMIENTO]]+Tabla1[[#This Row],[COSTO TOTAL COCHE]]</f>
        <v>0</v>
      </c>
      <c r="S137" s="33"/>
      <c r="T137" s="33" t="s">
        <v>35</v>
      </c>
      <c r="U137" s="37">
        <v>45323</v>
      </c>
      <c r="V137" s="37"/>
      <c r="W137" s="38">
        <v>340</v>
      </c>
      <c r="X137" s="39">
        <v>1</v>
      </c>
      <c r="Y137" s="18" t="s">
        <v>493</v>
      </c>
      <c r="Z137" s="33" t="s">
        <v>36</v>
      </c>
      <c r="AA137" s="13" t="s">
        <v>10353</v>
      </c>
      <c r="AB137" s="13" t="s">
        <v>10354</v>
      </c>
    </row>
    <row r="138" spans="1:28" ht="15" customHeight="1">
      <c r="A138" s="2" t="s">
        <v>8643</v>
      </c>
      <c r="B138" s="2" t="s">
        <v>28</v>
      </c>
      <c r="C138" s="31" t="s">
        <v>98</v>
      </c>
      <c r="D138" s="2" t="s">
        <v>99</v>
      </c>
      <c r="E138" s="2" t="s">
        <v>359</v>
      </c>
      <c r="F138" s="11" t="s">
        <v>494</v>
      </c>
      <c r="G138" s="49" t="s">
        <v>495</v>
      </c>
      <c r="H138" s="2" t="s">
        <v>362</v>
      </c>
      <c r="I138" s="12" t="s">
        <v>96</v>
      </c>
      <c r="J138" s="41">
        <f>+Tabla1[[#This Row],[FECHA ENTRADA]]</f>
        <v>45779</v>
      </c>
      <c r="K138" s="41">
        <v>45805</v>
      </c>
      <c r="L138" s="23">
        <f>_xlfn.DAYS(Tabla1[[#This Row],[FECHA FIN ]],Tabla1[[#This Row],[FECHA INICIO]])</f>
        <v>26</v>
      </c>
      <c r="M138" s="12"/>
      <c r="N138" s="24">
        <v>170</v>
      </c>
      <c r="O138" s="24">
        <f>(Tabla1[[#This Row],[COSTO FIJO ]]/30)*Tabla1[[#This Row],[TOTAL DIAS PROYECTO]]+(Tabla1[[#This Row],[COSTO TEMPORAL]])</f>
        <v>147.33333333333334</v>
      </c>
      <c r="P138" s="12">
        <f>651.96/2</f>
        <v>325.98</v>
      </c>
      <c r="Q138" s="12">
        <f>+(Tabla1[[#This Row],[COSTO COCHE]]/30)*Tabla1[[#This Row],[TOTAL DIAS PROYECTO]]</f>
        <v>282.51600000000002</v>
      </c>
      <c r="R138" s="12">
        <f>+Tabla1[[#This Row],[COSTO TOTAL ALOJAMIENTO]]+Tabla1[[#This Row],[COSTO TOTAL COCHE]]</f>
        <v>429.84933333333333</v>
      </c>
      <c r="S138" s="2"/>
      <c r="T138" s="2" t="s">
        <v>35</v>
      </c>
      <c r="U138" s="14">
        <v>45779</v>
      </c>
      <c r="V138" s="25"/>
      <c r="W138" s="26"/>
      <c r="X138" s="2">
        <v>1</v>
      </c>
      <c r="Y138" s="30" t="s">
        <v>496</v>
      </c>
      <c r="Z138" s="2" t="s">
        <v>36</v>
      </c>
      <c r="AA138" s="13" t="s">
        <v>10367</v>
      </c>
      <c r="AB138" s="13">
        <v>3899424</v>
      </c>
    </row>
    <row r="139" spans="1:28" ht="15" customHeight="1">
      <c r="A139" s="2" t="s">
        <v>8638</v>
      </c>
      <c r="B139" s="2" t="s">
        <v>28</v>
      </c>
      <c r="C139" s="11" t="s">
        <v>497</v>
      </c>
      <c r="D139" s="2" t="s">
        <v>30</v>
      </c>
      <c r="E139" s="2" t="s">
        <v>55</v>
      </c>
      <c r="F139" s="11"/>
      <c r="G139" s="11" t="s">
        <v>498</v>
      </c>
      <c r="H139" s="2" t="s">
        <v>499</v>
      </c>
      <c r="I139" s="12" t="s">
        <v>165</v>
      </c>
      <c r="J139" s="8">
        <f>+Tabla1[[#This Row],[FECHA ENTRADA]]</f>
        <v>45483</v>
      </c>
      <c r="K139" s="8">
        <v>45519</v>
      </c>
      <c r="L139" s="13">
        <f>_xlfn.DAYS(Tabla1[[#This Row],[FECHA FIN ]],Tabla1[[#This Row],[FECHA INICIO]])</f>
        <v>36</v>
      </c>
      <c r="M139" s="12"/>
      <c r="N139" s="12"/>
      <c r="O139" s="12">
        <f>(Tabla1[[#This Row],[COSTO FIJO ]]/30)*Tabla1[[#This Row],[TOTAL DIAS PROYECTO]]+(Tabla1[[#This Row],[COSTO TEMPORAL]])</f>
        <v>0</v>
      </c>
      <c r="P139" s="12"/>
      <c r="Q139" s="12">
        <f>+(Tabla1[[#This Row],[COSTO COCHE]]/30)*Tabla1[[#This Row],[TOTAL DIAS PROYECTO]]</f>
        <v>0</v>
      </c>
      <c r="R139" s="12">
        <f>+Tabla1[[#This Row],[COSTO TOTAL ALOJAMIENTO]]+Tabla1[[#This Row],[COSTO TOTAL COCHE]]</f>
        <v>0</v>
      </c>
      <c r="S139" s="2"/>
      <c r="T139" s="2" t="s">
        <v>35</v>
      </c>
      <c r="U139" s="14">
        <v>45483</v>
      </c>
      <c r="V139" s="14"/>
      <c r="W139" s="26"/>
      <c r="X139" s="2"/>
      <c r="Y139" s="18" t="s">
        <v>500</v>
      </c>
      <c r="Z139" s="2" t="s">
        <v>36</v>
      </c>
      <c r="AA139" s="13" t="s">
        <v>10327</v>
      </c>
      <c r="AB139" s="13" t="s">
        <v>10328</v>
      </c>
    </row>
    <row r="140" spans="1:28" ht="15" customHeight="1">
      <c r="A140" s="2" t="s">
        <v>8735</v>
      </c>
      <c r="B140" s="2" t="s">
        <v>28</v>
      </c>
      <c r="C140" s="11" t="s">
        <v>501</v>
      </c>
      <c r="D140" s="2" t="s">
        <v>30</v>
      </c>
      <c r="E140" s="2" t="s">
        <v>502</v>
      </c>
      <c r="F140" s="11" t="s">
        <v>503</v>
      </c>
      <c r="G140" s="11" t="s">
        <v>504</v>
      </c>
      <c r="H140" s="2" t="s">
        <v>505</v>
      </c>
      <c r="I140" s="12" t="s">
        <v>506</v>
      </c>
      <c r="J140" s="8">
        <f>+Tabla1[[#This Row],[FECHA ENTRADA]]</f>
        <v>45448</v>
      </c>
      <c r="K140" s="22">
        <v>45821</v>
      </c>
      <c r="L140" s="13">
        <f>_xlfn.DAYS(Tabla1[[#This Row],[FECHA FIN ]],Tabla1[[#This Row],[FECHA INICIO]])</f>
        <v>373</v>
      </c>
      <c r="M140" s="12"/>
      <c r="N140" s="12">
        <f>1811.6/17</f>
        <v>106.56470588235294</v>
      </c>
      <c r="O140" s="12">
        <f>(Tabla1[[#This Row],[COSTO FIJO ]]/30)*Tabla1[[#This Row],[TOTAL DIAS PROYECTO]]+(Tabla1[[#This Row],[COSTO TEMPORAL]])</f>
        <v>1324.9545098039216</v>
      </c>
      <c r="P140" s="12">
        <f>1156.52/8</f>
        <v>144.565</v>
      </c>
      <c r="Q140" s="12">
        <f>+(Tabla1[[#This Row],[COSTO COCHE]]/30)*Tabla1[[#This Row],[TOTAL DIAS PROYECTO]]</f>
        <v>1797.4248333333333</v>
      </c>
      <c r="R140" s="12">
        <f>+Tabla1[[#This Row],[COSTO TOTAL ALOJAMIENTO]]+Tabla1[[#This Row],[COSTO TOTAL COCHE]]</f>
        <v>3122.3793431372551</v>
      </c>
      <c r="S140" s="2"/>
      <c r="T140" s="2" t="s">
        <v>35</v>
      </c>
      <c r="U140" s="14">
        <v>45448</v>
      </c>
      <c r="V140" s="14"/>
      <c r="W140" s="26"/>
      <c r="X140" s="2">
        <v>1</v>
      </c>
      <c r="Y140" s="11" t="s">
        <v>507</v>
      </c>
      <c r="Z140" s="2" t="s">
        <v>36</v>
      </c>
      <c r="AA140" s="13" t="s">
        <v>10378</v>
      </c>
      <c r="AB140" s="13" t="s">
        <v>10379</v>
      </c>
    </row>
    <row r="141" spans="1:28">
      <c r="A141" s="2" t="s">
        <v>8736</v>
      </c>
      <c r="B141" s="2" t="s">
        <v>28</v>
      </c>
      <c r="C141" s="11" t="s">
        <v>508</v>
      </c>
      <c r="D141" s="2" t="s">
        <v>30</v>
      </c>
      <c r="E141" s="2" t="s">
        <v>31</v>
      </c>
      <c r="F141" s="11"/>
      <c r="G141" s="11"/>
      <c r="H141" s="2">
        <v>2023</v>
      </c>
      <c r="I141" s="2" t="s">
        <v>385</v>
      </c>
      <c r="J141" s="8">
        <v>45122</v>
      </c>
      <c r="K141" s="8">
        <v>45520</v>
      </c>
      <c r="L141" s="13">
        <f>_xlfn.DAYS(Tabla1[[#This Row],[FECHA FIN ]],Tabla1[[#This Row],[FECHA INICIO]])</f>
        <v>398</v>
      </c>
      <c r="M141" s="12"/>
      <c r="N141" s="12"/>
      <c r="O141" s="12">
        <f>(Tabla1[[#This Row],[COSTO FIJO ]]/30)*Tabla1[[#This Row],[TOTAL DIAS PROYECTO]]+(Tabla1[[#This Row],[COSTO TEMPORAL]])</f>
        <v>0</v>
      </c>
      <c r="P141" s="12"/>
      <c r="Q141" s="12">
        <f>+(Tabla1[[#This Row],[COSTO COCHE]]/30)*Tabla1[[#This Row],[TOTAL DIAS PROYECTO]]</f>
        <v>0</v>
      </c>
      <c r="R141" s="12">
        <f>+Tabla1[[#This Row],[COSTO TOTAL ALOJAMIENTO]]+Tabla1[[#This Row],[COSTO TOTAL COCHE]]</f>
        <v>0</v>
      </c>
      <c r="S141" s="2"/>
      <c r="T141" s="2" t="s">
        <v>58</v>
      </c>
      <c r="U141" s="14"/>
      <c r="V141" s="14"/>
      <c r="W141" s="15"/>
      <c r="X141" s="16"/>
      <c r="Y141" s="18" t="s">
        <v>509</v>
      </c>
      <c r="Z141" s="2" t="s">
        <v>36</v>
      </c>
      <c r="AA141" s="13" t="s">
        <v>10323</v>
      </c>
      <c r="AB141" s="13" t="s">
        <v>10324</v>
      </c>
    </row>
    <row r="142" spans="1:28">
      <c r="A142" s="2" t="s">
        <v>8737</v>
      </c>
      <c r="B142" s="2" t="s">
        <v>368</v>
      </c>
      <c r="C142" s="11" t="s">
        <v>510</v>
      </c>
      <c r="D142" s="2" t="s">
        <v>30</v>
      </c>
      <c r="E142" s="2" t="s">
        <v>31</v>
      </c>
      <c r="F142" s="11" t="s">
        <v>511</v>
      </c>
      <c r="G142" s="50" t="s">
        <v>512</v>
      </c>
      <c r="H142" s="2" t="s">
        <v>513</v>
      </c>
      <c r="I142" s="12" t="s">
        <v>514</v>
      </c>
      <c r="J142" s="8">
        <f>+Tabla1[[#This Row],[FECHA ENTRADA]]</f>
        <v>45498</v>
      </c>
      <c r="K142" s="8">
        <v>45520</v>
      </c>
      <c r="L142" s="13">
        <f>_xlfn.DAYS(Tabla1[[#This Row],[FECHA FIN ]],Tabla1[[#This Row],[FECHA INICIO]])</f>
        <v>22</v>
      </c>
      <c r="M142" s="12"/>
      <c r="N142" s="12">
        <v>90</v>
      </c>
      <c r="O142" s="12">
        <f>(Tabla1[[#This Row],[COSTO FIJO ]]/30)*Tabla1[[#This Row],[TOTAL DIAS PROYECTO]]+(Tabla1[[#This Row],[COSTO TEMPORAL]])</f>
        <v>66</v>
      </c>
      <c r="P142" s="12"/>
      <c r="Q142" s="12">
        <f>+(Tabla1[[#This Row],[COSTO COCHE]]/30)*Tabla1[[#This Row],[TOTAL DIAS PROYECTO]]</f>
        <v>0</v>
      </c>
      <c r="R142" s="12">
        <f>+Tabla1[[#This Row],[COSTO TOTAL ALOJAMIENTO]]+Tabla1[[#This Row],[COSTO TOTAL COCHE]]</f>
        <v>66</v>
      </c>
      <c r="S142" s="2"/>
      <c r="T142" s="2" t="s">
        <v>35</v>
      </c>
      <c r="U142" s="14">
        <v>45498</v>
      </c>
      <c r="V142" s="14"/>
      <c r="W142" s="26"/>
      <c r="X142" s="2">
        <v>23</v>
      </c>
      <c r="Y142" s="18" t="s">
        <v>509</v>
      </c>
      <c r="Z142" s="2" t="s">
        <v>36</v>
      </c>
      <c r="AA142" s="13" t="s">
        <v>10323</v>
      </c>
      <c r="AB142" s="13" t="s">
        <v>10324</v>
      </c>
    </row>
    <row r="143" spans="1:28" ht="15" customHeight="1">
      <c r="A143" s="2" t="s">
        <v>8738</v>
      </c>
      <c r="B143" s="2" t="s">
        <v>28</v>
      </c>
      <c r="C143" s="11" t="s">
        <v>515</v>
      </c>
      <c r="D143" s="2" t="s">
        <v>30</v>
      </c>
      <c r="E143" s="2" t="s">
        <v>259</v>
      </c>
      <c r="F143" s="11" t="s">
        <v>516</v>
      </c>
      <c r="G143" s="11" t="s">
        <v>517</v>
      </c>
      <c r="H143" s="2" t="s">
        <v>518</v>
      </c>
      <c r="I143" s="12" t="s">
        <v>57</v>
      </c>
      <c r="J143" s="8">
        <f>+Tabla1[[#This Row],[FECHA ENTRADA]]</f>
        <v>45480</v>
      </c>
      <c r="K143" s="8">
        <v>45617</v>
      </c>
      <c r="L143" s="13">
        <f>_xlfn.DAYS(Tabla1[[#This Row],[FECHA FIN ]],Tabla1[[#This Row],[FECHA INICIO]])</f>
        <v>137</v>
      </c>
      <c r="M143" s="12"/>
      <c r="N143" s="12">
        <v>450</v>
      </c>
      <c r="O143" s="12">
        <f>(Tabla1[[#This Row],[COSTO FIJO ]]/30)*Tabla1[[#This Row],[TOTAL DIAS PROYECTO]]+(Tabla1[[#This Row],[COSTO TEMPORAL]])</f>
        <v>2055</v>
      </c>
      <c r="P143" s="2">
        <f>(674.58*50%)/3</f>
        <v>112.43</v>
      </c>
      <c r="Q143" s="12">
        <f>+(Tabla1[[#This Row],[COSTO COCHE]]/30)*Tabla1[[#This Row],[TOTAL DIAS PROYECTO]]</f>
        <v>513.43033333333335</v>
      </c>
      <c r="R143" s="12">
        <f>+Tabla1[[#This Row],[COSTO TOTAL ALOJAMIENTO]]+Tabla1[[#This Row],[COSTO TOTAL COCHE]]</f>
        <v>2568.4303333333332</v>
      </c>
      <c r="S143" s="2"/>
      <c r="T143" s="2" t="s">
        <v>35</v>
      </c>
      <c r="U143" s="14">
        <v>45480</v>
      </c>
      <c r="V143" s="14"/>
      <c r="W143" s="26"/>
      <c r="X143" s="2">
        <v>21</v>
      </c>
      <c r="Y143" s="11" t="s">
        <v>519</v>
      </c>
      <c r="Z143" s="2" t="s">
        <v>36</v>
      </c>
      <c r="AA143" s="13">
        <v>-0.87734000000000001</v>
      </c>
      <c r="AB143" s="13" t="s">
        <v>10359</v>
      </c>
    </row>
    <row r="144" spans="1:28">
      <c r="A144" s="2" t="s">
        <v>8739</v>
      </c>
      <c r="B144" s="2" t="s">
        <v>28</v>
      </c>
      <c r="C144" s="18" t="s">
        <v>520</v>
      </c>
      <c r="D144" s="2" t="s">
        <v>30</v>
      </c>
      <c r="E144" s="2" t="s">
        <v>380</v>
      </c>
      <c r="F144" s="11"/>
      <c r="G144" s="30" t="s">
        <v>381</v>
      </c>
      <c r="H144" s="2">
        <v>2023</v>
      </c>
      <c r="I144" s="2" t="s">
        <v>382</v>
      </c>
      <c r="J144" s="8">
        <f>+Tabla1[[#This Row],[FECHA ENTRADA]]</f>
        <v>0</v>
      </c>
      <c r="K144" s="22">
        <v>45821</v>
      </c>
      <c r="L144" s="13">
        <f>_xlfn.DAYS(Tabla1[[#This Row],[FECHA FIN ]],Tabla1[[#This Row],[FECHA INICIO]])</f>
        <v>45821</v>
      </c>
      <c r="M144" s="12"/>
      <c r="N144" s="12">
        <f>1811.6/17</f>
        <v>106.56470588235294</v>
      </c>
      <c r="O144" s="12">
        <f>(Tabla1[[#This Row],[COSTO FIJO ]]/30)*Tabla1[[#This Row],[TOTAL DIAS PROYECTO]]+(Tabla1[[#This Row],[COSTO TEMPORAL]])</f>
        <v>162763.37960784315</v>
      </c>
      <c r="P144" s="12"/>
      <c r="Q144" s="12">
        <f>+(Tabla1[[#This Row],[COSTO COCHE]]/30)*Tabla1[[#This Row],[TOTAL DIAS PROYECTO]]</f>
        <v>0</v>
      </c>
      <c r="R144" s="12">
        <f>+Tabla1[[#This Row],[COSTO TOTAL ALOJAMIENTO]]+Tabla1[[#This Row],[COSTO TOTAL COCHE]]</f>
        <v>162763.37960784315</v>
      </c>
      <c r="S144" s="2"/>
      <c r="T144" s="2" t="s">
        <v>35</v>
      </c>
      <c r="U144" s="14"/>
      <c r="V144" s="14">
        <v>45481</v>
      </c>
      <c r="W144" s="26"/>
      <c r="X144" s="16">
        <v>5</v>
      </c>
      <c r="Y144" s="30" t="s">
        <v>383</v>
      </c>
      <c r="Z144" s="2" t="s">
        <v>36</v>
      </c>
      <c r="AA144" s="13" t="s">
        <v>10370</v>
      </c>
      <c r="AB144" s="13" t="s">
        <v>10371</v>
      </c>
    </row>
    <row r="145" spans="1:28" ht="15" customHeight="1">
      <c r="A145" s="2" t="s">
        <v>8740</v>
      </c>
      <c r="B145" s="2" t="s">
        <v>28</v>
      </c>
      <c r="C145" s="11" t="s">
        <v>521</v>
      </c>
      <c r="D145" s="2" t="s">
        <v>30</v>
      </c>
      <c r="E145" s="2" t="s">
        <v>259</v>
      </c>
      <c r="F145" s="11" t="s">
        <v>522</v>
      </c>
      <c r="G145" s="49"/>
      <c r="H145" s="2" t="s">
        <v>523</v>
      </c>
      <c r="I145" s="12" t="s">
        <v>263</v>
      </c>
      <c r="J145" s="22">
        <v>45522</v>
      </c>
      <c r="K145" s="22">
        <v>45524</v>
      </c>
      <c r="L145" s="23">
        <f>_xlfn.DAYS(Tabla1[[#This Row],[FECHA FIN ]],Tabla1[[#This Row],[FECHA INICIO]])</f>
        <v>2</v>
      </c>
      <c r="M145" s="12">
        <v>150</v>
      </c>
      <c r="N145" s="24"/>
      <c r="O145" s="24">
        <f>(Tabla1[[#This Row],[COSTO FIJO ]]/30)*Tabla1[[#This Row],[TOTAL DIAS PROYECTO]]+(Tabla1[[#This Row],[COSTO TEMPORAL]])</f>
        <v>150</v>
      </c>
      <c r="P145" s="12"/>
      <c r="Q145" s="12">
        <f>+(Tabla1[[#This Row],[COSTO COCHE]]/30)*Tabla1[[#This Row],[TOTAL DIAS PROYECTO]]</f>
        <v>0</v>
      </c>
      <c r="R145" s="12">
        <f>+Tabla1[[#This Row],[COSTO TOTAL ALOJAMIENTO]]+Tabla1[[#This Row],[COSTO TOTAL COCHE]]</f>
        <v>150</v>
      </c>
      <c r="S145" s="2"/>
      <c r="T145" s="2" t="s">
        <v>44</v>
      </c>
      <c r="U145" s="14">
        <v>45522</v>
      </c>
      <c r="V145" s="25">
        <v>45524</v>
      </c>
      <c r="W145" s="26"/>
      <c r="X145" s="2"/>
      <c r="Y145" s="11"/>
      <c r="Z145" s="2" t="s">
        <v>36</v>
      </c>
      <c r="AA145" s="13">
        <v>-0.87734000000000001</v>
      </c>
      <c r="AB145" s="13" t="s">
        <v>10359</v>
      </c>
    </row>
    <row r="146" spans="1:28" ht="15" customHeight="1">
      <c r="A146" s="2" t="s">
        <v>8667</v>
      </c>
      <c r="B146" s="2" t="s">
        <v>28</v>
      </c>
      <c r="C146" s="11" t="s">
        <v>208</v>
      </c>
      <c r="D146" s="2" t="s">
        <v>30</v>
      </c>
      <c r="E146" s="2" t="s">
        <v>31</v>
      </c>
      <c r="F146" s="11" t="s">
        <v>524</v>
      </c>
      <c r="G146" s="51" t="s">
        <v>525</v>
      </c>
      <c r="H146" s="2" t="s">
        <v>526</v>
      </c>
      <c r="I146" s="12" t="s">
        <v>527</v>
      </c>
      <c r="J146" s="8">
        <f>+Tabla1[[#This Row],[FECHA ENTRADA]]</f>
        <v>45502</v>
      </c>
      <c r="K146" s="8">
        <v>45526</v>
      </c>
      <c r="L146" s="13">
        <f>_xlfn.DAYS(Tabla1[[#This Row],[FECHA FIN ]],Tabla1[[#This Row],[FECHA INICIO]])</f>
        <v>24</v>
      </c>
      <c r="M146" s="12"/>
      <c r="N146" s="12">
        <v>500</v>
      </c>
      <c r="O146" s="12">
        <f>(Tabla1[[#This Row],[COSTO FIJO ]]/30)*Tabla1[[#This Row],[TOTAL DIAS PROYECTO]]+(Tabla1[[#This Row],[COSTO TEMPORAL]])</f>
        <v>400</v>
      </c>
      <c r="P146" s="12"/>
      <c r="Q146" s="12">
        <f>+(Tabla1[[#This Row],[COSTO COCHE]]/30)*Tabla1[[#This Row],[TOTAL DIAS PROYECTO]]</f>
        <v>0</v>
      </c>
      <c r="R146" s="12">
        <f>+Tabla1[[#This Row],[COSTO TOTAL ALOJAMIENTO]]+Tabla1[[#This Row],[COSTO TOTAL COCHE]]</f>
        <v>400</v>
      </c>
      <c r="S146" s="2"/>
      <c r="T146" s="2" t="s">
        <v>528</v>
      </c>
      <c r="U146" s="14">
        <v>45502</v>
      </c>
      <c r="V146" s="14">
        <v>45535</v>
      </c>
      <c r="W146" s="26">
        <v>3000</v>
      </c>
      <c r="X146" s="2">
        <v>1</v>
      </c>
      <c r="Y146" s="18" t="s">
        <v>529</v>
      </c>
      <c r="Z146" s="2" t="s">
        <v>36</v>
      </c>
      <c r="AA146" s="13" t="s">
        <v>10323</v>
      </c>
      <c r="AB146" s="13" t="s">
        <v>10324</v>
      </c>
    </row>
    <row r="147" spans="1:28" ht="15" customHeight="1">
      <c r="A147" s="2" t="s">
        <v>8711</v>
      </c>
      <c r="B147" s="2" t="s">
        <v>28</v>
      </c>
      <c r="C147" s="18" t="s">
        <v>400</v>
      </c>
      <c r="D147" s="2" t="s">
        <v>30</v>
      </c>
      <c r="E147" s="2" t="s">
        <v>31</v>
      </c>
      <c r="F147" s="11" t="s">
        <v>524</v>
      </c>
      <c r="G147" s="51" t="s">
        <v>525</v>
      </c>
      <c r="H147" s="2" t="s">
        <v>526</v>
      </c>
      <c r="I147" s="12" t="s">
        <v>527</v>
      </c>
      <c r="J147" s="8">
        <f>+Tabla1[[#This Row],[FECHA ENTRADA]]</f>
        <v>45502</v>
      </c>
      <c r="K147" s="8">
        <v>45526</v>
      </c>
      <c r="L147" s="13">
        <f>_xlfn.DAYS(Tabla1[[#This Row],[FECHA FIN ]],Tabla1[[#This Row],[FECHA INICIO]])</f>
        <v>24</v>
      </c>
      <c r="M147" s="12"/>
      <c r="N147" s="12">
        <v>500</v>
      </c>
      <c r="O147" s="12">
        <f>(Tabla1[[#This Row],[COSTO FIJO ]]/30)*Tabla1[[#This Row],[TOTAL DIAS PROYECTO]]+(Tabla1[[#This Row],[COSTO TEMPORAL]])</f>
        <v>400</v>
      </c>
      <c r="P147" s="12"/>
      <c r="Q147" s="12">
        <f>+(Tabla1[[#This Row],[COSTO COCHE]]/30)*Tabla1[[#This Row],[TOTAL DIAS PROYECTO]]</f>
        <v>0</v>
      </c>
      <c r="R147" s="12">
        <f>+Tabla1[[#This Row],[COSTO TOTAL ALOJAMIENTO]]+Tabla1[[#This Row],[COSTO TOTAL COCHE]]</f>
        <v>400</v>
      </c>
      <c r="S147" s="2"/>
      <c r="T147" s="2" t="s">
        <v>528</v>
      </c>
      <c r="U147" s="14">
        <v>45502</v>
      </c>
      <c r="V147" s="14">
        <v>45535</v>
      </c>
      <c r="W147" s="26"/>
      <c r="X147" s="2">
        <v>1</v>
      </c>
      <c r="Y147" s="18" t="s">
        <v>529</v>
      </c>
      <c r="Z147" s="2" t="s">
        <v>36</v>
      </c>
      <c r="AA147" s="13" t="s">
        <v>10323</v>
      </c>
      <c r="AB147" s="13" t="s">
        <v>10324</v>
      </c>
    </row>
    <row r="148" spans="1:28" ht="15" customHeight="1">
      <c r="A148" s="2" t="s">
        <v>8654</v>
      </c>
      <c r="B148" s="2" t="s">
        <v>28</v>
      </c>
      <c r="C148" s="11" t="s">
        <v>148</v>
      </c>
      <c r="D148" s="2" t="s">
        <v>30</v>
      </c>
      <c r="E148" s="2" t="s">
        <v>31</v>
      </c>
      <c r="F148" s="11" t="s">
        <v>524</v>
      </c>
      <c r="G148" s="51" t="s">
        <v>525</v>
      </c>
      <c r="H148" s="2" t="s">
        <v>526</v>
      </c>
      <c r="I148" s="12" t="s">
        <v>527</v>
      </c>
      <c r="J148" s="8">
        <f>+Tabla1[[#This Row],[FECHA ENTRADA]]</f>
        <v>45502</v>
      </c>
      <c r="K148" s="8">
        <v>45526</v>
      </c>
      <c r="L148" s="13">
        <f>_xlfn.DAYS(Tabla1[[#This Row],[FECHA FIN ]],Tabla1[[#This Row],[FECHA INICIO]])</f>
        <v>24</v>
      </c>
      <c r="M148" s="12"/>
      <c r="N148" s="12">
        <v>500</v>
      </c>
      <c r="O148" s="12">
        <f>(Tabla1[[#This Row],[COSTO FIJO ]]/30)*Tabla1[[#This Row],[TOTAL DIAS PROYECTO]]+(Tabla1[[#This Row],[COSTO TEMPORAL]])</f>
        <v>400</v>
      </c>
      <c r="P148" s="12"/>
      <c r="Q148" s="12">
        <f>+(Tabla1[[#This Row],[COSTO COCHE]]/30)*Tabla1[[#This Row],[TOTAL DIAS PROYECTO]]</f>
        <v>0</v>
      </c>
      <c r="R148" s="12">
        <f>+Tabla1[[#This Row],[COSTO TOTAL ALOJAMIENTO]]+Tabla1[[#This Row],[COSTO TOTAL COCHE]]</f>
        <v>400</v>
      </c>
      <c r="S148" s="2"/>
      <c r="T148" s="2" t="s">
        <v>528</v>
      </c>
      <c r="U148" s="14">
        <v>45502</v>
      </c>
      <c r="V148" s="14">
        <v>45535</v>
      </c>
      <c r="W148" s="26"/>
      <c r="X148" s="2">
        <v>1</v>
      </c>
      <c r="Y148" s="18" t="s">
        <v>529</v>
      </c>
      <c r="Z148" s="2" t="s">
        <v>36</v>
      </c>
      <c r="AA148" s="13" t="s">
        <v>10323</v>
      </c>
      <c r="AB148" s="13" t="s">
        <v>10324</v>
      </c>
    </row>
    <row r="149" spans="1:28" ht="15" customHeight="1">
      <c r="A149" s="2" t="s">
        <v>8722</v>
      </c>
      <c r="B149" s="2" t="s">
        <v>28</v>
      </c>
      <c r="C149" s="18" t="s">
        <v>450</v>
      </c>
      <c r="D149" s="2" t="s">
        <v>30</v>
      </c>
      <c r="E149" s="2" t="s">
        <v>31</v>
      </c>
      <c r="F149" s="11" t="s">
        <v>530</v>
      </c>
      <c r="G149" s="11" t="s">
        <v>531</v>
      </c>
      <c r="H149" s="2" t="s">
        <v>532</v>
      </c>
      <c r="I149" s="12" t="s">
        <v>527</v>
      </c>
      <c r="J149" s="8">
        <f>+Tabla1[[#This Row],[FECHA ENTRADA]]</f>
        <v>45517</v>
      </c>
      <c r="K149" s="8">
        <v>45526</v>
      </c>
      <c r="L149" s="13">
        <f>_xlfn.DAYS(Tabla1[[#This Row],[FECHA FIN ]],Tabla1[[#This Row],[FECHA INICIO]])</f>
        <v>9</v>
      </c>
      <c r="M149" s="12"/>
      <c r="N149" s="12">
        <v>150</v>
      </c>
      <c r="O149" s="12">
        <f>(Tabla1[[#This Row],[COSTO FIJO ]]/30)*Tabla1[[#This Row],[TOTAL DIAS PROYECTO]]+(Tabla1[[#This Row],[COSTO TEMPORAL]])</f>
        <v>45</v>
      </c>
      <c r="P149" s="12"/>
      <c r="Q149" s="12">
        <f>+(Tabla1[[#This Row],[COSTO COCHE]]/30)*Tabla1[[#This Row],[TOTAL DIAS PROYECTO]]</f>
        <v>0</v>
      </c>
      <c r="R149" s="12">
        <f>+Tabla1[[#This Row],[COSTO TOTAL ALOJAMIENTO]]+Tabla1[[#This Row],[COSTO TOTAL COCHE]]</f>
        <v>45</v>
      </c>
      <c r="S149" s="2"/>
      <c r="T149" s="2" t="s">
        <v>35</v>
      </c>
      <c r="U149" s="14">
        <v>45517</v>
      </c>
      <c r="V149" s="14"/>
      <c r="W149" s="26"/>
      <c r="X149" s="2">
        <v>1</v>
      </c>
      <c r="Y149" s="18" t="s">
        <v>533</v>
      </c>
      <c r="Z149" s="2" t="s">
        <v>36</v>
      </c>
      <c r="AA149" s="13" t="s">
        <v>10323</v>
      </c>
      <c r="AB149" s="13" t="s">
        <v>10324</v>
      </c>
    </row>
    <row r="150" spans="1:28" ht="15" customHeight="1">
      <c r="A150" s="2" t="s">
        <v>8741</v>
      </c>
      <c r="B150" s="2" t="s">
        <v>28</v>
      </c>
      <c r="C150" s="52" t="s">
        <v>534</v>
      </c>
      <c r="D150" s="2" t="s">
        <v>30</v>
      </c>
      <c r="E150" s="2" t="s">
        <v>31</v>
      </c>
      <c r="F150" s="11" t="s">
        <v>530</v>
      </c>
      <c r="G150" s="11" t="s">
        <v>531</v>
      </c>
      <c r="H150" s="2" t="s">
        <v>532</v>
      </c>
      <c r="I150" s="12" t="s">
        <v>527</v>
      </c>
      <c r="J150" s="8">
        <f>+Tabla1[[#This Row],[FECHA ENTRADA]]</f>
        <v>45517</v>
      </c>
      <c r="K150" s="8">
        <v>45526</v>
      </c>
      <c r="L150" s="13">
        <f>_xlfn.DAYS(Tabla1[[#This Row],[FECHA FIN ]],Tabla1[[#This Row],[FECHA INICIO]])</f>
        <v>9</v>
      </c>
      <c r="M150" s="12"/>
      <c r="N150" s="12">
        <v>150</v>
      </c>
      <c r="O150" s="12">
        <f>(Tabla1[[#This Row],[COSTO FIJO ]]/30)*Tabla1[[#This Row],[TOTAL DIAS PROYECTO]]+(Tabla1[[#This Row],[COSTO TEMPORAL]])</f>
        <v>45</v>
      </c>
      <c r="P150" s="12"/>
      <c r="Q150" s="12">
        <f>+(Tabla1[[#This Row],[COSTO COCHE]]/30)*Tabla1[[#This Row],[TOTAL DIAS PROYECTO]]</f>
        <v>0</v>
      </c>
      <c r="R150" s="12">
        <f>+Tabla1[[#This Row],[COSTO TOTAL ALOJAMIENTO]]+Tabla1[[#This Row],[COSTO TOTAL COCHE]]</f>
        <v>45</v>
      </c>
      <c r="S150" s="2"/>
      <c r="T150" s="2" t="s">
        <v>35</v>
      </c>
      <c r="U150" s="14">
        <v>45517</v>
      </c>
      <c r="V150" s="14"/>
      <c r="W150" s="26"/>
      <c r="X150" s="2">
        <v>1</v>
      </c>
      <c r="Y150" s="53" t="s">
        <v>533</v>
      </c>
      <c r="Z150" s="2" t="s">
        <v>36</v>
      </c>
      <c r="AA150" s="13" t="s">
        <v>10323</v>
      </c>
      <c r="AB150" s="13" t="s">
        <v>10324</v>
      </c>
    </row>
    <row r="151" spans="1:28" ht="15" customHeight="1">
      <c r="A151" s="2" t="s">
        <v>8742</v>
      </c>
      <c r="B151" s="2" t="s">
        <v>28</v>
      </c>
      <c r="C151" s="11" t="s">
        <v>535</v>
      </c>
      <c r="D151" s="2" t="s">
        <v>30</v>
      </c>
      <c r="E151" s="2" t="s">
        <v>61</v>
      </c>
      <c r="F151" s="11" t="s">
        <v>62</v>
      </c>
      <c r="G151" s="11" t="s">
        <v>63</v>
      </c>
      <c r="H151" s="2" t="s">
        <v>536</v>
      </c>
      <c r="I151" s="2" t="s">
        <v>64</v>
      </c>
      <c r="J151" s="8">
        <f>+Tabla1[[#This Row],[FECHA ENTRADA]]</f>
        <v>45332</v>
      </c>
      <c r="K151" s="8">
        <v>45527</v>
      </c>
      <c r="L151" s="13">
        <f>_xlfn.DAYS(Tabla1[[#This Row],[FECHA FIN ]],Tabla1[[#This Row],[FECHA INICIO]])</f>
        <v>195</v>
      </c>
      <c r="M151" s="12"/>
      <c r="N151" s="2">
        <v>450</v>
      </c>
      <c r="O151" s="12">
        <f>(Tabla1[[#This Row],[COSTO FIJO ]]/30)*Tabla1[[#This Row],[TOTAL DIAS PROYECTO]]+(Tabla1[[#This Row],[COSTO TEMPORAL]])</f>
        <v>2925</v>
      </c>
      <c r="P151" s="12"/>
      <c r="Q151" s="12">
        <f>+(Tabla1[[#This Row],[COSTO COCHE]]/30)*Tabla1[[#This Row],[TOTAL DIAS PROYECTO]]</f>
        <v>0</v>
      </c>
      <c r="R151" s="12">
        <f>+Tabla1[[#This Row],[COSTO TOTAL ALOJAMIENTO]]+Tabla1[[#This Row],[COSTO TOTAL COCHE]]</f>
        <v>2925</v>
      </c>
      <c r="S151" s="2"/>
      <c r="T151" s="2" t="s">
        <v>44</v>
      </c>
      <c r="U151" s="14">
        <v>45332</v>
      </c>
      <c r="V151" s="14">
        <v>45535</v>
      </c>
      <c r="W151" s="26"/>
      <c r="X151" s="16"/>
      <c r="Y151" s="18" t="s">
        <v>537</v>
      </c>
      <c r="Z151" s="2" t="s">
        <v>36</v>
      </c>
      <c r="AA151" s="13" t="s">
        <v>10329</v>
      </c>
      <c r="AB151" s="13" t="s">
        <v>10330</v>
      </c>
    </row>
    <row r="152" spans="1:28">
      <c r="A152" s="2" t="s">
        <v>8733</v>
      </c>
      <c r="B152" s="2" t="s">
        <v>368</v>
      </c>
      <c r="C152" s="18" t="s">
        <v>486</v>
      </c>
      <c r="D152" s="2" t="s">
        <v>30</v>
      </c>
      <c r="E152" s="2" t="s">
        <v>538</v>
      </c>
      <c r="F152" s="11" t="s">
        <v>539</v>
      </c>
      <c r="G152" s="11" t="s">
        <v>540</v>
      </c>
      <c r="H152" s="2" t="s">
        <v>541</v>
      </c>
      <c r="I152" s="29" t="s">
        <v>542</v>
      </c>
      <c r="J152" s="8">
        <f>+Tabla1[[#This Row],[FECHA ENTRADA]]</f>
        <v>45525</v>
      </c>
      <c r="K152" s="8">
        <v>45527</v>
      </c>
      <c r="L152" s="13">
        <f>_xlfn.DAYS(Tabla1[[#This Row],[FECHA FIN ]],Tabla1[[#This Row],[FECHA INICIO]])</f>
        <v>2</v>
      </c>
      <c r="M152" s="12"/>
      <c r="N152" s="12">
        <v>203.33</v>
      </c>
      <c r="O152" s="12">
        <f>(Tabla1[[#This Row],[COSTO FIJO ]]/30)*Tabla1[[#This Row],[TOTAL DIAS PROYECTO]]+(Tabla1[[#This Row],[COSTO TEMPORAL]])</f>
        <v>13.555333333333333</v>
      </c>
      <c r="P152" s="12">
        <f>+(613.83*50%)/4</f>
        <v>76.728750000000005</v>
      </c>
      <c r="Q152" s="12">
        <f>+(Tabla1[[#This Row],[COSTO COCHE]]/30)*Tabla1[[#This Row],[TOTAL DIAS PROYECTO]]</f>
        <v>5.1152500000000005</v>
      </c>
      <c r="R152" s="12">
        <f>+Tabla1[[#This Row],[COSTO TOTAL ALOJAMIENTO]]+Tabla1[[#This Row],[COSTO TOTAL COCHE]]</f>
        <v>18.670583333333333</v>
      </c>
      <c r="S152" s="2"/>
      <c r="T152" s="2" t="s">
        <v>35</v>
      </c>
      <c r="U152" s="14">
        <v>45525</v>
      </c>
      <c r="V152" s="14"/>
      <c r="W152" s="26"/>
      <c r="X152" s="2">
        <v>1</v>
      </c>
      <c r="Y152" s="18" t="s">
        <v>543</v>
      </c>
      <c r="Z152" s="2" t="s">
        <v>36</v>
      </c>
      <c r="AA152" s="13">
        <v>-378939</v>
      </c>
      <c r="AB152" s="13">
        <v>3776578</v>
      </c>
    </row>
    <row r="153" spans="1:28" ht="15" customHeight="1">
      <c r="A153" s="2" t="s">
        <v>8721</v>
      </c>
      <c r="B153" s="2" t="s">
        <v>28</v>
      </c>
      <c r="C153" s="18" t="s">
        <v>442</v>
      </c>
      <c r="D153" s="2" t="s">
        <v>30</v>
      </c>
      <c r="E153" s="2" t="s">
        <v>127</v>
      </c>
      <c r="F153" s="11" t="s">
        <v>544</v>
      </c>
      <c r="G153" s="11" t="s">
        <v>545</v>
      </c>
      <c r="H153" s="2" t="s">
        <v>546</v>
      </c>
      <c r="I153" s="12" t="s">
        <v>547</v>
      </c>
      <c r="J153" s="8">
        <f>+Tabla1[[#This Row],[FECHA ENTRADA]]</f>
        <v>45504</v>
      </c>
      <c r="K153" s="8">
        <v>45527</v>
      </c>
      <c r="L153" s="13">
        <f>_xlfn.DAYS(Tabla1[[#This Row],[FECHA FIN ]],Tabla1[[#This Row],[FECHA INICIO]])</f>
        <v>23</v>
      </c>
      <c r="M153" s="12"/>
      <c r="N153" s="12">
        <v>250</v>
      </c>
      <c r="O153" s="12">
        <f>(Tabla1[[#This Row],[COSTO FIJO ]]/30)*Tabla1[[#This Row],[TOTAL DIAS PROYECTO]]+(Tabla1[[#This Row],[COSTO TEMPORAL]])</f>
        <v>191.66666666666669</v>
      </c>
      <c r="P153" s="12"/>
      <c r="Q153" s="12">
        <f>+(Tabla1[[#This Row],[COSTO COCHE]]/30)*Tabla1[[#This Row],[TOTAL DIAS PROYECTO]]</f>
        <v>0</v>
      </c>
      <c r="R153" s="12">
        <f>+Tabla1[[#This Row],[COSTO TOTAL ALOJAMIENTO]]+Tabla1[[#This Row],[COSTO TOTAL COCHE]]</f>
        <v>191.66666666666669</v>
      </c>
      <c r="S153" s="2"/>
      <c r="T153" s="2" t="s">
        <v>35</v>
      </c>
      <c r="U153" s="14">
        <v>45504</v>
      </c>
      <c r="V153" s="14"/>
      <c r="W153" s="26">
        <v>150</v>
      </c>
      <c r="X153" s="2">
        <v>2</v>
      </c>
      <c r="Y153" s="18" t="s">
        <v>548</v>
      </c>
      <c r="Z153" s="2" t="s">
        <v>36</v>
      </c>
      <c r="AA153" s="13" t="s">
        <v>10342</v>
      </c>
      <c r="AB153" s="13" t="s">
        <v>10343</v>
      </c>
    </row>
    <row r="154" spans="1:28">
      <c r="A154" s="2" t="s">
        <v>8743</v>
      </c>
      <c r="B154" s="2" t="s">
        <v>28</v>
      </c>
      <c r="C154" s="11" t="s">
        <v>549</v>
      </c>
      <c r="D154" s="2" t="s">
        <v>30</v>
      </c>
      <c r="E154" s="2" t="s">
        <v>55</v>
      </c>
      <c r="F154" s="11"/>
      <c r="G154" s="11" t="s">
        <v>498</v>
      </c>
      <c r="H154" s="2" t="s">
        <v>499</v>
      </c>
      <c r="I154" s="12" t="s">
        <v>165</v>
      </c>
      <c r="J154" s="8">
        <f>+Tabla1[[#This Row],[FECHA ENTRADA]]</f>
        <v>45483</v>
      </c>
      <c r="K154" s="8">
        <v>45527</v>
      </c>
      <c r="L154" s="13">
        <f>_xlfn.DAYS(Tabla1[[#This Row],[FECHA FIN ]],Tabla1[[#This Row],[FECHA INICIO]])</f>
        <v>44</v>
      </c>
      <c r="M154" s="12"/>
      <c r="N154" s="12"/>
      <c r="O154" s="12">
        <f>(Tabla1[[#This Row],[COSTO FIJO ]]/30)*Tabla1[[#This Row],[TOTAL DIAS PROYECTO]]+(Tabla1[[#This Row],[COSTO TEMPORAL]])</f>
        <v>0</v>
      </c>
      <c r="P154" s="12"/>
      <c r="Q154" s="12">
        <f>+(Tabla1[[#This Row],[COSTO COCHE]]/30)*Tabla1[[#This Row],[TOTAL DIAS PROYECTO]]</f>
        <v>0</v>
      </c>
      <c r="R154" s="12">
        <f>+Tabla1[[#This Row],[COSTO TOTAL ALOJAMIENTO]]+Tabla1[[#This Row],[COSTO TOTAL COCHE]]</f>
        <v>0</v>
      </c>
      <c r="S154" s="2"/>
      <c r="T154" s="2" t="s">
        <v>35</v>
      </c>
      <c r="U154" s="14">
        <v>45483</v>
      </c>
      <c r="V154" s="14"/>
      <c r="W154" s="26"/>
      <c r="X154" s="2"/>
      <c r="Y154" s="18" t="s">
        <v>550</v>
      </c>
      <c r="Z154" s="2" t="s">
        <v>36</v>
      </c>
      <c r="AA154" s="13" t="s">
        <v>10327</v>
      </c>
      <c r="AB154" s="13" t="s">
        <v>10328</v>
      </c>
    </row>
    <row r="155" spans="1:28" ht="15" customHeight="1">
      <c r="A155" s="2" t="s">
        <v>8744</v>
      </c>
      <c r="B155" s="2" t="s">
        <v>28</v>
      </c>
      <c r="C155" s="11" t="s">
        <v>551</v>
      </c>
      <c r="D155" s="2" t="s">
        <v>30</v>
      </c>
      <c r="E155" s="2" t="s">
        <v>55</v>
      </c>
      <c r="F155" s="11"/>
      <c r="G155" s="11" t="s">
        <v>498</v>
      </c>
      <c r="H155" s="2" t="s">
        <v>499</v>
      </c>
      <c r="I155" s="12" t="s">
        <v>165</v>
      </c>
      <c r="J155" s="8">
        <f>+Tabla1[[#This Row],[FECHA ENTRADA]]</f>
        <v>45483</v>
      </c>
      <c r="K155" s="8">
        <v>45527</v>
      </c>
      <c r="L155" s="13">
        <f>_xlfn.DAYS(Tabla1[[#This Row],[FECHA FIN ]],Tabla1[[#This Row],[FECHA INICIO]])</f>
        <v>44</v>
      </c>
      <c r="M155" s="12"/>
      <c r="N155" s="12"/>
      <c r="O155" s="12">
        <f>(Tabla1[[#This Row],[COSTO FIJO ]]/30)*Tabla1[[#This Row],[TOTAL DIAS PROYECTO]]+(Tabla1[[#This Row],[COSTO TEMPORAL]])</f>
        <v>0</v>
      </c>
      <c r="P155" s="12"/>
      <c r="Q155" s="12">
        <f>+(Tabla1[[#This Row],[COSTO COCHE]]/30)*Tabla1[[#This Row],[TOTAL DIAS PROYECTO]]</f>
        <v>0</v>
      </c>
      <c r="R155" s="12">
        <f>+Tabla1[[#This Row],[COSTO TOTAL ALOJAMIENTO]]+Tabla1[[#This Row],[COSTO TOTAL COCHE]]</f>
        <v>0</v>
      </c>
      <c r="S155" s="2"/>
      <c r="T155" s="2" t="s">
        <v>35</v>
      </c>
      <c r="U155" s="14">
        <v>45483</v>
      </c>
      <c r="V155" s="14"/>
      <c r="W155" s="26"/>
      <c r="X155" s="2"/>
      <c r="Y155" s="18" t="s">
        <v>550</v>
      </c>
      <c r="Z155" s="2" t="s">
        <v>36</v>
      </c>
      <c r="AA155" s="13" t="s">
        <v>10327</v>
      </c>
      <c r="AB155" s="13" t="s">
        <v>10328</v>
      </c>
    </row>
    <row r="156" spans="1:28">
      <c r="A156" s="2" t="s">
        <v>8745</v>
      </c>
      <c r="B156" s="2" t="s">
        <v>28</v>
      </c>
      <c r="C156" s="18" t="s">
        <v>552</v>
      </c>
      <c r="D156" s="2" t="s">
        <v>30</v>
      </c>
      <c r="E156" s="33" t="s">
        <v>55</v>
      </c>
      <c r="F156" s="11" t="s">
        <v>553</v>
      </c>
      <c r="G156" s="11" t="s">
        <v>106</v>
      </c>
      <c r="H156" s="2" t="s">
        <v>554</v>
      </c>
      <c r="I156" s="2" t="s">
        <v>57</v>
      </c>
      <c r="J156" s="8">
        <f>+Tabla1[[#This Row],[FECHA ENTRADA]]</f>
        <v>45505</v>
      </c>
      <c r="K156" s="8">
        <v>45528</v>
      </c>
      <c r="L156" s="13">
        <f>_xlfn.DAYS(Tabla1[[#This Row],[FECHA FIN ]],Tabla1[[#This Row],[FECHA INICIO]])</f>
        <v>23</v>
      </c>
      <c r="M156" s="2"/>
      <c r="N156" s="12">
        <v>300</v>
      </c>
      <c r="O156" s="12">
        <f>(Tabla1[[#This Row],[COSTO FIJO ]]/30)*Tabla1[[#This Row],[TOTAL DIAS PROYECTO]]+(Tabla1[[#This Row],[COSTO TEMPORAL]])</f>
        <v>230</v>
      </c>
      <c r="P156" s="12">
        <f>674.58/5</f>
        <v>134.916</v>
      </c>
      <c r="Q156" s="12">
        <f>+(Tabla1[[#This Row],[COSTO COCHE]]/30)*Tabla1[[#This Row],[TOTAL DIAS PROYECTO]]</f>
        <v>103.43560000000001</v>
      </c>
      <c r="R156" s="12">
        <f>+Tabla1[[#This Row],[COSTO TOTAL ALOJAMIENTO]]+Tabla1[[#This Row],[COSTO TOTAL COCHE]]</f>
        <v>333.43560000000002</v>
      </c>
      <c r="S156" s="2"/>
      <c r="T156" s="2" t="s">
        <v>35</v>
      </c>
      <c r="U156" s="14">
        <v>45505</v>
      </c>
      <c r="V156" s="14"/>
      <c r="W156" s="15"/>
      <c r="X156" s="16">
        <v>1</v>
      </c>
      <c r="Y156" s="18" t="s">
        <v>555</v>
      </c>
      <c r="Z156" s="2" t="s">
        <v>36</v>
      </c>
      <c r="AA156" s="13" t="s">
        <v>10327</v>
      </c>
      <c r="AB156" s="13" t="s">
        <v>10328</v>
      </c>
    </row>
    <row r="157" spans="1:28" ht="15" customHeight="1">
      <c r="A157" s="2" t="s">
        <v>8746</v>
      </c>
      <c r="B157" s="2" t="s">
        <v>28</v>
      </c>
      <c r="C157" s="18" t="s">
        <v>556</v>
      </c>
      <c r="D157" s="2" t="s">
        <v>30</v>
      </c>
      <c r="E157" s="2" t="s">
        <v>31</v>
      </c>
      <c r="F157" s="11" t="s">
        <v>451</v>
      </c>
      <c r="G157" s="11" t="s">
        <v>452</v>
      </c>
      <c r="H157" s="2" t="s">
        <v>532</v>
      </c>
      <c r="I157" s="12" t="s">
        <v>527</v>
      </c>
      <c r="J157" s="8">
        <f>+Tabla1[[#This Row],[FECHA ENTRADA]]</f>
        <v>45517</v>
      </c>
      <c r="K157" s="8">
        <v>45529</v>
      </c>
      <c r="L157" s="13">
        <f>_xlfn.DAYS(Tabla1[[#This Row],[FECHA FIN ]],Tabla1[[#This Row],[FECHA INICIO]])</f>
        <v>12</v>
      </c>
      <c r="M157" s="12"/>
      <c r="N157" s="12">
        <v>150</v>
      </c>
      <c r="O157" s="12">
        <f>(Tabla1[[#This Row],[COSTO FIJO ]]/30)*Tabla1[[#This Row],[TOTAL DIAS PROYECTO]]+(Tabla1[[#This Row],[COSTO TEMPORAL]])</f>
        <v>60</v>
      </c>
      <c r="P157" s="12"/>
      <c r="Q157" s="12">
        <f>+(Tabla1[[#This Row],[COSTO COCHE]]/30)*Tabla1[[#This Row],[TOTAL DIAS PROYECTO]]</f>
        <v>0</v>
      </c>
      <c r="R157" s="12">
        <f>+Tabla1[[#This Row],[COSTO TOTAL ALOJAMIENTO]]+Tabla1[[#This Row],[COSTO TOTAL COCHE]]</f>
        <v>60</v>
      </c>
      <c r="S157" s="2"/>
      <c r="T157" s="2" t="s">
        <v>35</v>
      </c>
      <c r="U157" s="14">
        <v>45517</v>
      </c>
      <c r="V157" s="14"/>
      <c r="W157" s="26"/>
      <c r="X157" s="2">
        <v>1</v>
      </c>
      <c r="Y157" s="18"/>
      <c r="Z157" s="2" t="s">
        <v>36</v>
      </c>
      <c r="AA157" s="13" t="s">
        <v>10323</v>
      </c>
      <c r="AB157" s="13" t="s">
        <v>10324</v>
      </c>
    </row>
    <row r="158" spans="1:28">
      <c r="A158" s="2" t="s">
        <v>8725</v>
      </c>
      <c r="B158" s="2" t="s">
        <v>28</v>
      </c>
      <c r="C158" s="18" t="s">
        <v>458</v>
      </c>
      <c r="D158" s="2" t="s">
        <v>30</v>
      </c>
      <c r="E158" s="2" t="s">
        <v>31</v>
      </c>
      <c r="F158" s="11" t="s">
        <v>451</v>
      </c>
      <c r="G158" s="11" t="s">
        <v>452</v>
      </c>
      <c r="H158" s="2" t="s">
        <v>532</v>
      </c>
      <c r="I158" s="12" t="s">
        <v>527</v>
      </c>
      <c r="J158" s="8">
        <f>+Tabla1[[#This Row],[FECHA ENTRADA]]</f>
        <v>45517</v>
      </c>
      <c r="K158" s="8">
        <v>45529</v>
      </c>
      <c r="L158" s="13">
        <f>_xlfn.DAYS(Tabla1[[#This Row],[FECHA FIN ]],Tabla1[[#This Row],[FECHA INICIO]])</f>
        <v>12</v>
      </c>
      <c r="M158" s="12"/>
      <c r="N158" s="12">
        <v>150</v>
      </c>
      <c r="O158" s="12">
        <f>(Tabla1[[#This Row],[COSTO FIJO ]]/30)*Tabla1[[#This Row],[TOTAL DIAS PROYECTO]]+(Tabla1[[#This Row],[COSTO TEMPORAL]])</f>
        <v>60</v>
      </c>
      <c r="P158" s="12"/>
      <c r="Q158" s="12">
        <f>+(Tabla1[[#This Row],[COSTO COCHE]]/30)*Tabla1[[#This Row],[TOTAL DIAS PROYECTO]]</f>
        <v>0</v>
      </c>
      <c r="R158" s="12">
        <f>+Tabla1[[#This Row],[COSTO TOTAL ALOJAMIENTO]]+Tabla1[[#This Row],[COSTO TOTAL COCHE]]</f>
        <v>60</v>
      </c>
      <c r="S158" s="2"/>
      <c r="T158" s="2" t="s">
        <v>35</v>
      </c>
      <c r="U158" s="14">
        <v>45517</v>
      </c>
      <c r="V158" s="14"/>
      <c r="W158" s="26"/>
      <c r="X158" s="2">
        <v>1</v>
      </c>
      <c r="Y158" s="18"/>
      <c r="Z158" s="2" t="s">
        <v>36</v>
      </c>
      <c r="AA158" s="13" t="s">
        <v>10323</v>
      </c>
      <c r="AB158" s="13" t="s">
        <v>10324</v>
      </c>
    </row>
    <row r="159" spans="1:28" ht="15" customHeight="1">
      <c r="A159" s="2" t="s">
        <v>8645</v>
      </c>
      <c r="B159" s="2" t="s">
        <v>28</v>
      </c>
      <c r="C159" s="11" t="s">
        <v>108</v>
      </c>
      <c r="D159" s="2" t="s">
        <v>30</v>
      </c>
      <c r="E159" s="2" t="s">
        <v>213</v>
      </c>
      <c r="F159" s="11" t="s">
        <v>557</v>
      </c>
      <c r="G159" s="11" t="s">
        <v>558</v>
      </c>
      <c r="H159" s="2" t="s">
        <v>559</v>
      </c>
      <c r="I159" s="12" t="s">
        <v>560</v>
      </c>
      <c r="J159" s="8">
        <f>+Tabla1[[#This Row],[FECHA ENTRADA]]</f>
        <v>45415</v>
      </c>
      <c r="K159" s="8">
        <v>45529</v>
      </c>
      <c r="L159" s="13">
        <f>_xlfn.DAYS(Tabla1[[#This Row],[FECHA FIN ]],Tabla1[[#This Row],[FECHA INICIO]])</f>
        <v>114</v>
      </c>
      <c r="M159" s="12"/>
      <c r="N159" s="12"/>
      <c r="O159" s="12">
        <f>(Tabla1[[#This Row],[COSTO FIJO ]]/30)*Tabla1[[#This Row],[TOTAL DIAS PROYECTO]]+(Tabla1[[#This Row],[COSTO TEMPORAL]])</f>
        <v>0</v>
      </c>
      <c r="P159" s="12"/>
      <c r="Q159" s="12">
        <f>+(Tabla1[[#This Row],[COSTO COCHE]]/30)*Tabla1[[#This Row],[TOTAL DIAS PROYECTO]]</f>
        <v>0</v>
      </c>
      <c r="R159" s="12">
        <f>+Tabla1[[#This Row],[COSTO TOTAL ALOJAMIENTO]]+Tabla1[[#This Row],[COSTO TOTAL COCHE]]</f>
        <v>0</v>
      </c>
      <c r="S159" s="2"/>
      <c r="T159" s="2" t="s">
        <v>35</v>
      </c>
      <c r="U159" s="14">
        <v>45415</v>
      </c>
      <c r="V159" s="14"/>
      <c r="W159" s="2"/>
      <c r="X159" s="2">
        <v>20</v>
      </c>
      <c r="Y159" s="18" t="s">
        <v>561</v>
      </c>
      <c r="Z159" s="2" t="s">
        <v>36</v>
      </c>
      <c r="AA159" s="13" t="s">
        <v>10349</v>
      </c>
      <c r="AB159" s="13" t="s">
        <v>10350</v>
      </c>
    </row>
    <row r="160" spans="1:28" ht="15" customHeight="1">
      <c r="A160" s="2" t="s">
        <v>8710</v>
      </c>
      <c r="B160" s="2" t="s">
        <v>368</v>
      </c>
      <c r="C160" s="11" t="s">
        <v>399</v>
      </c>
      <c r="D160" s="2" t="s">
        <v>30</v>
      </c>
      <c r="E160" s="2" t="s">
        <v>31</v>
      </c>
      <c r="F160" s="11" t="s">
        <v>562</v>
      </c>
      <c r="G160" s="11" t="s">
        <v>563</v>
      </c>
      <c r="H160" s="2" t="s">
        <v>564</v>
      </c>
      <c r="I160" s="12" t="s">
        <v>514</v>
      </c>
      <c r="J160" s="8">
        <f>+Tabla1[[#This Row],[FECHA ENTRADA]]</f>
        <v>45501</v>
      </c>
      <c r="K160" s="8">
        <v>45530</v>
      </c>
      <c r="L160" s="13">
        <f>_xlfn.DAYS(Tabla1[[#This Row],[FECHA FIN ]],Tabla1[[#This Row],[FECHA INICIO]])</f>
        <v>29</v>
      </c>
      <c r="M160" s="12"/>
      <c r="N160" s="12"/>
      <c r="O160" s="12">
        <f>(Tabla1[[#This Row],[COSTO FIJO ]]/30)*Tabla1[[#This Row],[TOTAL DIAS PROYECTO]]+(Tabla1[[#This Row],[COSTO TEMPORAL]])</f>
        <v>0</v>
      </c>
      <c r="P160" s="12"/>
      <c r="Q160" s="12">
        <f>+(Tabla1[[#This Row],[COSTO COCHE]]/30)*Tabla1[[#This Row],[TOTAL DIAS PROYECTO]]</f>
        <v>0</v>
      </c>
      <c r="R160" s="12">
        <f>+Tabla1[[#This Row],[COSTO TOTAL ALOJAMIENTO]]+Tabla1[[#This Row],[COSTO TOTAL COCHE]]</f>
        <v>0</v>
      </c>
      <c r="S160" s="2"/>
      <c r="T160" s="2" t="s">
        <v>35</v>
      </c>
      <c r="U160" s="14">
        <v>45501</v>
      </c>
      <c r="V160" s="14"/>
      <c r="W160" s="26"/>
      <c r="X160" s="2"/>
      <c r="Y160" s="18" t="s">
        <v>565</v>
      </c>
      <c r="Z160" s="2" t="s">
        <v>36</v>
      </c>
      <c r="AA160" s="13" t="s">
        <v>10323</v>
      </c>
      <c r="AB160" s="13" t="s">
        <v>10324</v>
      </c>
    </row>
    <row r="161" spans="1:28" ht="15" customHeight="1">
      <c r="A161" s="2" t="s">
        <v>8719</v>
      </c>
      <c r="B161" s="2" t="s">
        <v>368</v>
      </c>
      <c r="C161" s="11" t="s">
        <v>438</v>
      </c>
      <c r="D161" s="2" t="s">
        <v>30</v>
      </c>
      <c r="E161" s="2" t="s">
        <v>31</v>
      </c>
      <c r="F161" s="11" t="s">
        <v>562</v>
      </c>
      <c r="G161" s="11" t="s">
        <v>563</v>
      </c>
      <c r="H161" s="2" t="s">
        <v>564</v>
      </c>
      <c r="I161" s="12" t="s">
        <v>514</v>
      </c>
      <c r="J161" s="8">
        <f>+Tabla1[[#This Row],[FECHA ENTRADA]]</f>
        <v>45501</v>
      </c>
      <c r="K161" s="8">
        <v>45530</v>
      </c>
      <c r="L161" s="13">
        <f>_xlfn.DAYS(Tabla1[[#This Row],[FECHA FIN ]],Tabla1[[#This Row],[FECHA INICIO]])</f>
        <v>29</v>
      </c>
      <c r="M161" s="12"/>
      <c r="N161" s="12"/>
      <c r="O161" s="12">
        <f>(Tabla1[[#This Row],[COSTO FIJO ]]/30)*Tabla1[[#This Row],[TOTAL DIAS PROYECTO]]+(Tabla1[[#This Row],[COSTO TEMPORAL]])</f>
        <v>0</v>
      </c>
      <c r="P161" s="12"/>
      <c r="Q161" s="12">
        <f>+(Tabla1[[#This Row],[COSTO COCHE]]/30)*Tabla1[[#This Row],[TOTAL DIAS PROYECTO]]</f>
        <v>0</v>
      </c>
      <c r="R161" s="12">
        <f>+Tabla1[[#This Row],[COSTO TOTAL ALOJAMIENTO]]+Tabla1[[#This Row],[COSTO TOTAL COCHE]]</f>
        <v>0</v>
      </c>
      <c r="S161" s="2"/>
      <c r="T161" s="2" t="s">
        <v>35</v>
      </c>
      <c r="U161" s="14">
        <v>45501</v>
      </c>
      <c r="V161" s="14"/>
      <c r="W161" s="26"/>
      <c r="X161" s="2"/>
      <c r="Y161" s="18" t="s">
        <v>565</v>
      </c>
      <c r="Z161" s="2" t="s">
        <v>36</v>
      </c>
      <c r="AA161" s="13" t="s">
        <v>10323</v>
      </c>
      <c r="AB161" s="13" t="s">
        <v>10324</v>
      </c>
    </row>
    <row r="162" spans="1:28" ht="15" customHeight="1">
      <c r="A162" s="2" t="s">
        <v>8747</v>
      </c>
      <c r="B162" s="2" t="s">
        <v>28</v>
      </c>
      <c r="C162" s="11" t="s">
        <v>566</v>
      </c>
      <c r="D162" s="2" t="s">
        <v>30</v>
      </c>
      <c r="E162" s="2" t="s">
        <v>301</v>
      </c>
      <c r="F162" s="11" t="s">
        <v>567</v>
      </c>
      <c r="G162" s="11" t="s">
        <v>568</v>
      </c>
      <c r="H162" s="2" t="s">
        <v>569</v>
      </c>
      <c r="I162" s="12" t="s">
        <v>570</v>
      </c>
      <c r="J162" s="8">
        <f>+Tabla1[[#This Row],[FECHA ENTRADA]]</f>
        <v>45487</v>
      </c>
      <c r="K162" s="8">
        <v>45532</v>
      </c>
      <c r="L162" s="13">
        <f>_xlfn.DAYS(Tabla1[[#This Row],[FECHA FIN ]],Tabla1[[#This Row],[FECHA INICIO]])</f>
        <v>45</v>
      </c>
      <c r="M162" s="12"/>
      <c r="N162" s="12"/>
      <c r="O162" s="12">
        <f>(Tabla1[[#This Row],[COSTO FIJO ]]/30)*Tabla1[[#This Row],[TOTAL DIAS PROYECTO]]+(Tabla1[[#This Row],[COSTO TEMPORAL]])</f>
        <v>0</v>
      </c>
      <c r="P162" s="12"/>
      <c r="Q162" s="12">
        <f>+(Tabla1[[#This Row],[COSTO COCHE]]/30)*Tabla1[[#This Row],[TOTAL DIAS PROYECTO]]</f>
        <v>0</v>
      </c>
      <c r="R162" s="12">
        <f>+Tabla1[[#This Row],[COSTO TOTAL ALOJAMIENTO]]+Tabla1[[#This Row],[COSTO TOTAL COCHE]]</f>
        <v>0</v>
      </c>
      <c r="S162" s="2"/>
      <c r="T162" s="2" t="s">
        <v>35</v>
      </c>
      <c r="U162" s="14">
        <v>45487</v>
      </c>
      <c r="V162" s="14"/>
      <c r="W162" s="26"/>
      <c r="X162" s="2">
        <v>9</v>
      </c>
      <c r="Y162" s="18" t="s">
        <v>571</v>
      </c>
      <c r="Z162" s="2" t="s">
        <v>36</v>
      </c>
      <c r="AA162" s="13" t="s">
        <v>10364</v>
      </c>
      <c r="AB162" s="13" t="s">
        <v>10365</v>
      </c>
    </row>
    <row r="163" spans="1:28" ht="15" customHeight="1">
      <c r="A163" s="2" t="s">
        <v>8673</v>
      </c>
      <c r="B163" s="2" t="s">
        <v>28</v>
      </c>
      <c r="C163" s="11" t="s">
        <v>235</v>
      </c>
      <c r="D163" s="2" t="s">
        <v>30</v>
      </c>
      <c r="E163" s="2" t="s">
        <v>572</v>
      </c>
      <c r="F163" s="11" t="s">
        <v>573</v>
      </c>
      <c r="G163" s="11" t="s">
        <v>574</v>
      </c>
      <c r="H163" s="2" t="s">
        <v>575</v>
      </c>
      <c r="I163" s="12" t="s">
        <v>576</v>
      </c>
      <c r="J163" s="8">
        <f>+Tabla1[[#This Row],[FECHA ENTRADA]]</f>
        <v>45420</v>
      </c>
      <c r="K163" s="8">
        <v>45533</v>
      </c>
      <c r="L163" s="13">
        <f>_xlfn.DAYS(Tabla1[[#This Row],[FECHA FIN ]],Tabla1[[#This Row],[FECHA INICIO]])</f>
        <v>113</v>
      </c>
      <c r="M163" s="12"/>
      <c r="N163" s="12">
        <v>112</v>
      </c>
      <c r="O163" s="12">
        <f>(Tabla1[[#This Row],[COSTO FIJO ]]/30)*Tabla1[[#This Row],[TOTAL DIAS PROYECTO]]+(Tabla1[[#This Row],[COSTO TEMPORAL]])</f>
        <v>421.86666666666667</v>
      </c>
      <c r="P163" s="12">
        <f>(577.1*50%)/5</f>
        <v>57.71</v>
      </c>
      <c r="Q163" s="12">
        <f>+(Tabla1[[#This Row],[COSTO COCHE]]/30)*Tabla1[[#This Row],[TOTAL DIAS PROYECTO]]</f>
        <v>217.37433333333334</v>
      </c>
      <c r="R163" s="12">
        <f>+Tabla1[[#This Row],[COSTO TOTAL ALOJAMIENTO]]+Tabla1[[#This Row],[COSTO TOTAL COCHE]]</f>
        <v>639.24099999999999</v>
      </c>
      <c r="S163" s="2"/>
      <c r="T163" s="2" t="s">
        <v>35</v>
      </c>
      <c r="U163" s="14">
        <v>45420</v>
      </c>
      <c r="V163" s="14"/>
      <c r="W163" s="26"/>
      <c r="X163" s="2">
        <v>15</v>
      </c>
      <c r="Y163" s="18" t="s">
        <v>577</v>
      </c>
      <c r="Z163" s="2" t="s">
        <v>36</v>
      </c>
      <c r="AA163" s="13" t="s">
        <v>10380</v>
      </c>
      <c r="AB163" s="13" t="s">
        <v>10381</v>
      </c>
    </row>
    <row r="164" spans="1:28">
      <c r="A164" s="2" t="s">
        <v>8675</v>
      </c>
      <c r="B164" s="2" t="s">
        <v>28</v>
      </c>
      <c r="C164" s="11" t="s">
        <v>240</v>
      </c>
      <c r="D164" s="2" t="s">
        <v>30</v>
      </c>
      <c r="E164" s="2" t="s">
        <v>572</v>
      </c>
      <c r="F164" s="11" t="s">
        <v>573</v>
      </c>
      <c r="G164" s="11" t="s">
        <v>574</v>
      </c>
      <c r="H164" s="2" t="s">
        <v>578</v>
      </c>
      <c r="I164" s="12" t="s">
        <v>576</v>
      </c>
      <c r="J164" s="8">
        <f>+Tabla1[[#This Row],[FECHA ENTRADA]]</f>
        <v>45459</v>
      </c>
      <c r="K164" s="8">
        <v>45533</v>
      </c>
      <c r="L164" s="13">
        <f>_xlfn.DAYS(Tabla1[[#This Row],[FECHA FIN ]],Tabla1[[#This Row],[FECHA INICIO]])</f>
        <v>74</v>
      </c>
      <c r="M164" s="12"/>
      <c r="N164" s="12">
        <v>112</v>
      </c>
      <c r="O164" s="12">
        <f>(Tabla1[[#This Row],[COSTO FIJO ]]/30)*Tabla1[[#This Row],[TOTAL DIAS PROYECTO]]+(Tabla1[[#This Row],[COSTO TEMPORAL]])</f>
        <v>276.26666666666665</v>
      </c>
      <c r="P164" s="12">
        <f>(577.1*50%)/5</f>
        <v>57.71</v>
      </c>
      <c r="Q164" s="12">
        <f>+(Tabla1[[#This Row],[COSTO COCHE]]/30)*Tabla1[[#This Row],[TOTAL DIAS PROYECTO]]</f>
        <v>142.35133333333334</v>
      </c>
      <c r="R164" s="12">
        <f>+Tabla1[[#This Row],[COSTO TOTAL ALOJAMIENTO]]+Tabla1[[#This Row],[COSTO TOTAL COCHE]]</f>
        <v>418.61799999999999</v>
      </c>
      <c r="S164" s="2"/>
      <c r="T164" s="2" t="s">
        <v>35</v>
      </c>
      <c r="U164" s="14">
        <v>45459</v>
      </c>
      <c r="V164" s="14"/>
      <c r="W164" s="26"/>
      <c r="X164" s="2">
        <v>15</v>
      </c>
      <c r="Y164" s="18" t="s">
        <v>579</v>
      </c>
      <c r="Z164" s="2" t="s">
        <v>36</v>
      </c>
      <c r="AA164" s="13" t="s">
        <v>10380</v>
      </c>
      <c r="AB164" s="13" t="s">
        <v>10381</v>
      </c>
    </row>
    <row r="165" spans="1:28">
      <c r="A165" s="2" t="s">
        <v>8748</v>
      </c>
      <c r="B165" s="2" t="s">
        <v>28</v>
      </c>
      <c r="C165" s="11" t="s">
        <v>580</v>
      </c>
      <c r="D165" s="2" t="s">
        <v>30</v>
      </c>
      <c r="E165" s="2" t="s">
        <v>253</v>
      </c>
      <c r="F165" s="11" t="s">
        <v>581</v>
      </c>
      <c r="G165" s="11" t="s">
        <v>255</v>
      </c>
      <c r="H165" s="2">
        <v>2023</v>
      </c>
      <c r="I165" s="2" t="s">
        <v>582</v>
      </c>
      <c r="J165" s="8">
        <v>45372</v>
      </c>
      <c r="K165" s="8">
        <v>45533</v>
      </c>
      <c r="L165" s="13">
        <f>_xlfn.DAYS(Tabla1[[#This Row],[FECHA FIN ]],Tabla1[[#This Row],[FECHA INICIO]])</f>
        <v>161</v>
      </c>
      <c r="M165" s="12"/>
      <c r="N165" s="2"/>
      <c r="O165" s="12">
        <f>(Tabla1[[#This Row],[COSTO FIJO ]]/30)*Tabla1[[#This Row],[TOTAL DIAS PROYECTO]]+(Tabla1[[#This Row],[COSTO TEMPORAL]])</f>
        <v>0</v>
      </c>
      <c r="P165" s="12"/>
      <c r="Q165" s="12">
        <f>+(Tabla1[[#This Row],[COSTO COCHE]]/30)*Tabla1[[#This Row],[TOTAL DIAS PROYECTO]]</f>
        <v>0</v>
      </c>
      <c r="R165" s="12">
        <f>+Tabla1[[#This Row],[COSTO TOTAL ALOJAMIENTO]]+Tabla1[[#This Row],[COSTO TOTAL COCHE]]</f>
        <v>0</v>
      </c>
      <c r="S165" s="2"/>
      <c r="T165" s="2" t="s">
        <v>35</v>
      </c>
      <c r="U165" s="14"/>
      <c r="V165" s="14"/>
      <c r="W165" s="15"/>
      <c r="X165" s="16"/>
      <c r="Y165" s="18" t="s">
        <v>583</v>
      </c>
      <c r="Z165" s="2" t="s">
        <v>36</v>
      </c>
      <c r="AA165" s="13" t="s">
        <v>10357</v>
      </c>
      <c r="AB165" s="13" t="s">
        <v>10358</v>
      </c>
    </row>
    <row r="166" spans="1:28" ht="15" customHeight="1">
      <c r="A166" s="2" t="s">
        <v>8749</v>
      </c>
      <c r="B166" s="2" t="s">
        <v>28</v>
      </c>
      <c r="C166" s="11" t="s">
        <v>584</v>
      </c>
      <c r="D166" s="2" t="s">
        <v>30</v>
      </c>
      <c r="E166" s="2" t="s">
        <v>92</v>
      </c>
      <c r="F166" s="11" t="s">
        <v>585</v>
      </c>
      <c r="G166" s="11" t="s">
        <v>94</v>
      </c>
      <c r="H166" s="2" t="s">
        <v>586</v>
      </c>
      <c r="I166" s="12" t="s">
        <v>96</v>
      </c>
      <c r="J166" s="8">
        <f>+Tabla1[[#This Row],[FECHA ENTRADA]]</f>
        <v>45319</v>
      </c>
      <c r="K166" s="8"/>
      <c r="L166" s="13">
        <f>_xlfn.DAYS(Tabla1[[#This Row],[FECHA FIN ]],Tabla1[[#This Row],[FECHA INICIO]])</f>
        <v>-45319</v>
      </c>
      <c r="M166" s="12"/>
      <c r="N166" s="12">
        <v>380</v>
      </c>
      <c r="O166" s="12">
        <f>(Tabla1[[#This Row],[COSTO FIJO ]]/30)*Tabla1[[#This Row],[TOTAL DIAS PROYECTO]]+(Tabla1[[#This Row],[COSTO TEMPORAL]])</f>
        <v>-574040.66666666663</v>
      </c>
      <c r="P166" s="12"/>
      <c r="Q166" s="12">
        <f>+(Tabla1[[#This Row],[COSTO COCHE]]/30)*Tabla1[[#This Row],[TOTAL DIAS PROYECTO]]</f>
        <v>0</v>
      </c>
      <c r="R166" s="12">
        <f>+Tabla1[[#This Row],[COSTO TOTAL ALOJAMIENTO]]+Tabla1[[#This Row],[COSTO TOTAL COCHE]]</f>
        <v>-574040.66666666663</v>
      </c>
      <c r="S166" s="2"/>
      <c r="T166" s="2" t="s">
        <v>44</v>
      </c>
      <c r="U166" s="14">
        <v>45319</v>
      </c>
      <c r="V166" s="14"/>
      <c r="W166" s="15"/>
      <c r="X166" s="16">
        <v>28</v>
      </c>
      <c r="Y166" s="11"/>
      <c r="Z166" s="2" t="s">
        <v>36</v>
      </c>
      <c r="AA166" s="13" t="s">
        <v>10336</v>
      </c>
      <c r="AB166" s="13" t="s">
        <v>10337</v>
      </c>
    </row>
    <row r="167" spans="1:28">
      <c r="A167" s="2" t="s">
        <v>8750</v>
      </c>
      <c r="B167" s="2" t="s">
        <v>28</v>
      </c>
      <c r="C167" s="11" t="s">
        <v>587</v>
      </c>
      <c r="D167" s="2" t="s">
        <v>30</v>
      </c>
      <c r="E167" s="2" t="s">
        <v>55</v>
      </c>
      <c r="F167" s="11" t="s">
        <v>105</v>
      </c>
      <c r="G167" s="11" t="s">
        <v>106</v>
      </c>
      <c r="H167" s="2" t="s">
        <v>588</v>
      </c>
      <c r="I167" s="54" t="s">
        <v>589</v>
      </c>
      <c r="J167" s="8">
        <f>+Tabla1[[#This Row],[FECHA ENTRADA]]</f>
        <v>45495</v>
      </c>
      <c r="K167" s="8">
        <v>45534</v>
      </c>
      <c r="L167" s="13">
        <f>_xlfn.DAYS(Tabla1[[#This Row],[FECHA FIN ]],Tabla1[[#This Row],[FECHA INICIO]])</f>
        <v>39</v>
      </c>
      <c r="M167" s="12"/>
      <c r="N167" s="12"/>
      <c r="O167" s="12">
        <f>(Tabla1[[#This Row],[COSTO FIJO ]]/30)*Tabla1[[#This Row],[TOTAL DIAS PROYECTO]]+(Tabla1[[#This Row],[COSTO TEMPORAL]])</f>
        <v>0</v>
      </c>
      <c r="P167" s="12"/>
      <c r="Q167" s="12">
        <f>+(Tabla1[[#This Row],[COSTO COCHE]]/30)*Tabla1[[#This Row],[TOTAL DIAS PROYECTO]]</f>
        <v>0</v>
      </c>
      <c r="R167" s="12">
        <f>+Tabla1[[#This Row],[COSTO TOTAL ALOJAMIENTO]]+Tabla1[[#This Row],[COSTO TOTAL COCHE]]</f>
        <v>0</v>
      </c>
      <c r="S167" s="2"/>
      <c r="T167" s="2" t="s">
        <v>35</v>
      </c>
      <c r="U167" s="14">
        <v>45495</v>
      </c>
      <c r="V167" s="14"/>
      <c r="W167" s="26"/>
      <c r="X167" s="2">
        <v>1</v>
      </c>
      <c r="Y167" s="18" t="s">
        <v>590</v>
      </c>
      <c r="Z167" s="2" t="s">
        <v>36</v>
      </c>
      <c r="AA167" s="13" t="s">
        <v>10327</v>
      </c>
      <c r="AB167" s="13" t="s">
        <v>10328</v>
      </c>
    </row>
    <row r="168" spans="1:28" ht="15" customHeight="1">
      <c r="A168" s="2" t="s">
        <v>8751</v>
      </c>
      <c r="B168" s="2" t="s">
        <v>28</v>
      </c>
      <c r="C168" s="11" t="s">
        <v>591</v>
      </c>
      <c r="D168" s="2" t="s">
        <v>30</v>
      </c>
      <c r="E168" s="2" t="s">
        <v>502</v>
      </c>
      <c r="F168" s="11" t="s">
        <v>503</v>
      </c>
      <c r="G168" s="11" t="s">
        <v>504</v>
      </c>
      <c r="H168" s="2" t="s">
        <v>592</v>
      </c>
      <c r="I168" s="12" t="s">
        <v>506</v>
      </c>
      <c r="J168" s="8">
        <f>+Tabla1[[#This Row],[FECHA ENTRADA]]</f>
        <v>45495</v>
      </c>
      <c r="K168" s="8">
        <v>45520</v>
      </c>
      <c r="L168" s="13">
        <f>_xlfn.DAYS(Tabla1[[#This Row],[FECHA FIN ]],Tabla1[[#This Row],[FECHA INICIO]])</f>
        <v>25</v>
      </c>
      <c r="M168" s="12"/>
      <c r="N168" s="12"/>
      <c r="O168" s="12">
        <f>(Tabla1[[#This Row],[COSTO FIJO ]]/30)*Tabla1[[#This Row],[TOTAL DIAS PROYECTO]]+(Tabla1[[#This Row],[COSTO TEMPORAL]])</f>
        <v>0</v>
      </c>
      <c r="P168" s="12"/>
      <c r="Q168" s="12">
        <f>+(Tabla1[[#This Row],[COSTO COCHE]]/30)*Tabla1[[#This Row],[TOTAL DIAS PROYECTO]]</f>
        <v>0</v>
      </c>
      <c r="R168" s="12">
        <f>+Tabla1[[#This Row],[COSTO TOTAL ALOJAMIENTO]]+Tabla1[[#This Row],[COSTO TOTAL COCHE]]</f>
        <v>0</v>
      </c>
      <c r="S168" s="2"/>
      <c r="T168" s="2" t="s">
        <v>35</v>
      </c>
      <c r="U168" s="14">
        <v>45495</v>
      </c>
      <c r="V168" s="14"/>
      <c r="W168" s="26"/>
      <c r="X168" s="2">
        <v>1</v>
      </c>
      <c r="Y168" s="18" t="s">
        <v>593</v>
      </c>
      <c r="Z168" s="2" t="s">
        <v>36</v>
      </c>
      <c r="AA168" s="13" t="s">
        <v>10378</v>
      </c>
      <c r="AB168" s="13" t="s">
        <v>10379</v>
      </c>
    </row>
    <row r="169" spans="1:28" ht="15" customHeight="1">
      <c r="A169" s="2" t="s">
        <v>8752</v>
      </c>
      <c r="B169" s="2" t="s">
        <v>28</v>
      </c>
      <c r="C169" s="11" t="s">
        <v>594</v>
      </c>
      <c r="D169" s="2" t="s">
        <v>30</v>
      </c>
      <c r="E169" s="2" t="s">
        <v>429</v>
      </c>
      <c r="F169" s="11" t="s">
        <v>595</v>
      </c>
      <c r="G169" s="11" t="s">
        <v>596</v>
      </c>
      <c r="H169" s="2"/>
      <c r="I169" s="2" t="s">
        <v>165</v>
      </c>
      <c r="J169" s="8">
        <f>+Tabla1[[#This Row],[FECHA ENTRADA]]</f>
        <v>45350</v>
      </c>
      <c r="K169" s="22">
        <v>45747</v>
      </c>
      <c r="L169" s="13">
        <f>_xlfn.DAYS(Tabla1[[#This Row],[FECHA FIN ]],Tabla1[[#This Row],[FECHA INICIO]])</f>
        <v>397</v>
      </c>
      <c r="M169" s="12"/>
      <c r="N169" s="12">
        <v>450</v>
      </c>
      <c r="O169" s="12">
        <f>(Tabla1[[#This Row],[COSTO FIJO ]]/30)*Tabla1[[#This Row],[TOTAL DIAS PROYECTO]]+(Tabla1[[#This Row],[COSTO TEMPORAL]])</f>
        <v>5955</v>
      </c>
      <c r="P169" s="12"/>
      <c r="Q169" s="12">
        <f>+(Tabla1[[#This Row],[COSTO COCHE]]/30)*Tabla1[[#This Row],[TOTAL DIAS PROYECTO]]</f>
        <v>0</v>
      </c>
      <c r="R169" s="12">
        <f>+Tabla1[[#This Row],[COSTO TOTAL ALOJAMIENTO]]+Tabla1[[#This Row],[COSTO TOTAL COCHE]]</f>
        <v>5955</v>
      </c>
      <c r="S169" s="2"/>
      <c r="T169" s="2" t="s">
        <v>35</v>
      </c>
      <c r="U169" s="14">
        <v>45350</v>
      </c>
      <c r="V169" s="14">
        <v>45401</v>
      </c>
      <c r="W169" s="55">
        <v>450</v>
      </c>
      <c r="X169" s="16">
        <v>28</v>
      </c>
      <c r="Y169" s="18" t="s">
        <v>597</v>
      </c>
      <c r="Z169" s="2" t="s">
        <v>36</v>
      </c>
      <c r="AA169" s="13" t="s">
        <v>10374</v>
      </c>
      <c r="AB169" s="13" t="s">
        <v>10375</v>
      </c>
    </row>
    <row r="170" spans="1:28">
      <c r="A170" s="2" t="s">
        <v>8753</v>
      </c>
      <c r="B170" s="2" t="s">
        <v>28</v>
      </c>
      <c r="C170" s="11" t="s">
        <v>598</v>
      </c>
      <c r="D170" s="2" t="s">
        <v>30</v>
      </c>
      <c r="E170" s="2" t="s">
        <v>599</v>
      </c>
      <c r="F170" s="11" t="s">
        <v>600</v>
      </c>
      <c r="G170" s="11" t="s">
        <v>601</v>
      </c>
      <c r="H170" s="2" t="s">
        <v>602</v>
      </c>
      <c r="I170" s="12" t="s">
        <v>603</v>
      </c>
      <c r="J170" s="8">
        <f>+Tabla1[[#This Row],[FECHA ENTRADA]]</f>
        <v>45504</v>
      </c>
      <c r="K170" s="8">
        <v>45534</v>
      </c>
      <c r="L170" s="13">
        <f>_xlfn.DAYS(Tabla1[[#This Row],[FECHA FIN ]],Tabla1[[#This Row],[FECHA INICIO]])</f>
        <v>30</v>
      </c>
      <c r="M170" s="12">
        <v>192.5</v>
      </c>
      <c r="N170" s="12">
        <v>302.5</v>
      </c>
      <c r="O170" s="12">
        <f>(Tabla1[[#This Row],[COSTO FIJO ]]/30)*Tabla1[[#This Row],[TOTAL DIAS PROYECTO]]+(Tabla1[[#This Row],[COSTO TEMPORAL]])</f>
        <v>495</v>
      </c>
      <c r="P170" s="12"/>
      <c r="Q170" s="12">
        <f>+(Tabla1[[#This Row],[COSTO COCHE]]/30)*Tabla1[[#This Row],[TOTAL DIAS PROYECTO]]</f>
        <v>0</v>
      </c>
      <c r="R170" s="12">
        <f>+Tabla1[[#This Row],[COSTO TOTAL ALOJAMIENTO]]+Tabla1[[#This Row],[COSTO TOTAL COCHE]]</f>
        <v>495</v>
      </c>
      <c r="S170" s="2"/>
      <c r="T170" s="2" t="s">
        <v>35</v>
      </c>
      <c r="U170" s="14">
        <v>45504</v>
      </c>
      <c r="V170" s="14"/>
      <c r="W170" s="26"/>
      <c r="X170" s="2">
        <v>6</v>
      </c>
      <c r="Y170" s="18" t="s">
        <v>604</v>
      </c>
      <c r="Z170" s="2" t="s">
        <v>36</v>
      </c>
      <c r="AA170" s="13" t="s">
        <v>10382</v>
      </c>
      <c r="AB170" s="13">
        <v>4038884</v>
      </c>
    </row>
    <row r="171" spans="1:28" ht="15" customHeight="1">
      <c r="A171" s="2" t="s">
        <v>8754</v>
      </c>
      <c r="B171" s="2" t="s">
        <v>28</v>
      </c>
      <c r="C171" s="18" t="s">
        <v>605</v>
      </c>
      <c r="D171" s="2" t="s">
        <v>30</v>
      </c>
      <c r="E171" s="2" t="s">
        <v>599</v>
      </c>
      <c r="F171" s="11" t="s">
        <v>600</v>
      </c>
      <c r="G171" s="11" t="s">
        <v>601</v>
      </c>
      <c r="H171" s="2" t="s">
        <v>602</v>
      </c>
      <c r="I171" s="12" t="s">
        <v>603</v>
      </c>
      <c r="J171" s="8">
        <f>+Tabla1[[#This Row],[FECHA ENTRADA]]</f>
        <v>45504</v>
      </c>
      <c r="K171" s="8">
        <v>45534</v>
      </c>
      <c r="L171" s="13">
        <f>_xlfn.DAYS(Tabla1[[#This Row],[FECHA FIN ]],Tabla1[[#This Row],[FECHA INICIO]])</f>
        <v>30</v>
      </c>
      <c r="M171" s="12">
        <v>192.5</v>
      </c>
      <c r="N171" s="12">
        <v>302.5</v>
      </c>
      <c r="O171" s="12">
        <f>(Tabla1[[#This Row],[COSTO FIJO ]]/30)*Tabla1[[#This Row],[TOTAL DIAS PROYECTO]]+(Tabla1[[#This Row],[COSTO TEMPORAL]])</f>
        <v>495</v>
      </c>
      <c r="P171" s="12"/>
      <c r="Q171" s="12">
        <f>+(Tabla1[[#This Row],[COSTO COCHE]]/30)*Tabla1[[#This Row],[TOTAL DIAS PROYECTO]]</f>
        <v>0</v>
      </c>
      <c r="R171" s="12">
        <f>+Tabla1[[#This Row],[COSTO TOTAL ALOJAMIENTO]]+Tabla1[[#This Row],[COSTO TOTAL COCHE]]</f>
        <v>495</v>
      </c>
      <c r="S171" s="2"/>
      <c r="T171" s="2" t="s">
        <v>35</v>
      </c>
      <c r="U171" s="14">
        <v>45504</v>
      </c>
      <c r="V171" s="14"/>
      <c r="W171" s="26"/>
      <c r="X171" s="2">
        <v>6</v>
      </c>
      <c r="Y171" s="18" t="s">
        <v>604</v>
      </c>
      <c r="Z171" s="2" t="s">
        <v>36</v>
      </c>
      <c r="AA171" s="13" t="s">
        <v>10382</v>
      </c>
      <c r="AB171" s="13">
        <v>4038884</v>
      </c>
    </row>
    <row r="172" spans="1:28" ht="15" customHeight="1">
      <c r="A172" s="56" t="s">
        <v>8755</v>
      </c>
      <c r="B172" s="56" t="s">
        <v>606</v>
      </c>
      <c r="C172" s="11" t="s">
        <v>607</v>
      </c>
      <c r="D172" s="56" t="s">
        <v>30</v>
      </c>
      <c r="E172" s="56" t="s">
        <v>608</v>
      </c>
      <c r="F172" s="11" t="s">
        <v>609</v>
      </c>
      <c r="G172" s="18" t="s">
        <v>610</v>
      </c>
      <c r="H172" s="56" t="s">
        <v>611</v>
      </c>
      <c r="I172" s="57" t="s">
        <v>612</v>
      </c>
      <c r="J172" s="58">
        <f>+Tabla1[[#This Row],[FECHA ENTRADA]]</f>
        <v>45487</v>
      </c>
      <c r="K172" s="58">
        <v>45534</v>
      </c>
      <c r="L172" s="59">
        <f>_xlfn.DAYS(Tabla1[[#This Row],[FECHA FIN ]],Tabla1[[#This Row],[FECHA INICIO]])</f>
        <v>47</v>
      </c>
      <c r="M172" s="57">
        <f>220+82.5+44</f>
        <v>346.5</v>
      </c>
      <c r="N172" s="57">
        <v>260</v>
      </c>
      <c r="O172" s="57">
        <f>(Tabla1[[#This Row],[COSTO FIJO ]]/30)*Tabla1[[#This Row],[TOTAL DIAS PROYECTO]]+(Tabla1[[#This Row],[COSTO TEMPORAL]])</f>
        <v>753.83333333333326</v>
      </c>
      <c r="P172" s="57"/>
      <c r="Q172" s="57">
        <f>+(Tabla1[[#This Row],[COSTO COCHE]]/30)*Tabla1[[#This Row],[TOTAL DIAS PROYECTO]]</f>
        <v>0</v>
      </c>
      <c r="R172" s="57">
        <f>+Tabla1[[#This Row],[COSTO TOTAL ALOJAMIENTO]]+Tabla1[[#This Row],[COSTO TOTAL COCHE]]</f>
        <v>753.83333333333326</v>
      </c>
      <c r="S172" s="56"/>
      <c r="T172" s="56" t="s">
        <v>613</v>
      </c>
      <c r="U172" s="60">
        <v>45487</v>
      </c>
      <c r="V172" s="58">
        <v>45609</v>
      </c>
      <c r="W172" s="61">
        <v>390</v>
      </c>
      <c r="X172" s="56">
        <v>12</v>
      </c>
      <c r="Y172" s="18" t="s">
        <v>614</v>
      </c>
      <c r="Z172" s="56" t="s">
        <v>36</v>
      </c>
      <c r="AA172" s="59" t="s">
        <v>10383</v>
      </c>
      <c r="AB172" s="59" t="s">
        <v>10384</v>
      </c>
    </row>
    <row r="173" spans="1:28" ht="15" customHeight="1">
      <c r="A173" s="2" t="s">
        <v>8756</v>
      </c>
      <c r="B173" s="2" t="s">
        <v>28</v>
      </c>
      <c r="C173" s="11" t="s">
        <v>615</v>
      </c>
      <c r="D173" s="2" t="s">
        <v>30</v>
      </c>
      <c r="E173" s="2" t="s">
        <v>422</v>
      </c>
      <c r="F173" s="11" t="s">
        <v>595</v>
      </c>
      <c r="G173" s="11" t="s">
        <v>596</v>
      </c>
      <c r="H173" s="2" t="s">
        <v>425</v>
      </c>
      <c r="I173" s="2" t="s">
        <v>426</v>
      </c>
      <c r="J173" s="8">
        <f>+Tabla1[[#This Row],[FECHA ENTRADA]]</f>
        <v>45350</v>
      </c>
      <c r="K173" s="22">
        <v>45382</v>
      </c>
      <c r="L173" s="13">
        <f>_xlfn.DAYS(Tabla1[[#This Row],[FECHA FIN ]],Tabla1[[#This Row],[FECHA INICIO]])</f>
        <v>32</v>
      </c>
      <c r="M173" s="12"/>
      <c r="N173" s="12">
        <v>400</v>
      </c>
      <c r="O173" s="12">
        <f>(Tabla1[[#This Row],[COSTO FIJO ]]/30)*Tabla1[[#This Row],[TOTAL DIAS PROYECTO]]+(Tabla1[[#This Row],[COSTO TEMPORAL]])</f>
        <v>426.66666666666669</v>
      </c>
      <c r="P173" s="12"/>
      <c r="Q173" s="12">
        <f>+(Tabla1[[#This Row],[COSTO COCHE]]/30)*Tabla1[[#This Row],[TOTAL DIAS PROYECTO]]</f>
        <v>0</v>
      </c>
      <c r="R173" s="12">
        <f>+Tabla1[[#This Row],[COSTO TOTAL ALOJAMIENTO]]+Tabla1[[#This Row],[COSTO TOTAL COCHE]]</f>
        <v>426.66666666666669</v>
      </c>
      <c r="S173" s="2"/>
      <c r="T173" s="2" t="s">
        <v>35</v>
      </c>
      <c r="U173" s="14">
        <v>45350</v>
      </c>
      <c r="V173" s="14">
        <v>45378</v>
      </c>
      <c r="W173" s="55">
        <v>450</v>
      </c>
      <c r="X173" s="16">
        <v>28</v>
      </c>
      <c r="Y173" s="18" t="s">
        <v>616</v>
      </c>
      <c r="Z173" s="2" t="s">
        <v>36</v>
      </c>
      <c r="AA173" s="13">
        <v>-326.69799999999998</v>
      </c>
      <c r="AB173" s="13" t="s">
        <v>10373</v>
      </c>
    </row>
    <row r="174" spans="1:28" ht="15" customHeight="1">
      <c r="A174" s="2" t="s">
        <v>8757</v>
      </c>
      <c r="B174" s="2" t="s">
        <v>28</v>
      </c>
      <c r="C174" s="11" t="s">
        <v>617</v>
      </c>
      <c r="D174" s="2" t="s">
        <v>30</v>
      </c>
      <c r="E174" s="2" t="s">
        <v>370</v>
      </c>
      <c r="F174" s="11" t="s">
        <v>618</v>
      </c>
      <c r="G174" s="49"/>
      <c r="H174" s="2" t="s">
        <v>619</v>
      </c>
      <c r="I174" s="12" t="s">
        <v>406</v>
      </c>
      <c r="J174" s="22">
        <v>45487</v>
      </c>
      <c r="K174" s="22">
        <v>45534</v>
      </c>
      <c r="L174" s="23">
        <f>_xlfn.DAYS(Tabla1[[#This Row],[FECHA FIN ]],Tabla1[[#This Row],[FECHA INICIO]])</f>
        <v>47</v>
      </c>
      <c r="M174" s="12">
        <v>88.5</v>
      </c>
      <c r="N174" s="24"/>
      <c r="O174" s="24">
        <f>(Tabla1[[#This Row],[COSTO FIJO ]]/30)*Tabla1[[#This Row],[TOTAL DIAS PROYECTO]]+(Tabla1[[#This Row],[COSTO TEMPORAL]])</f>
        <v>88.5</v>
      </c>
      <c r="P174" s="12"/>
      <c r="Q174" s="12">
        <f>+(Tabla1[[#This Row],[COSTO COCHE]]/30)*Tabla1[[#This Row],[TOTAL DIAS PROYECTO]]</f>
        <v>0</v>
      </c>
      <c r="R174" s="12">
        <f>+Tabla1[[#This Row],[COSTO TOTAL ALOJAMIENTO]]+Tabla1[[#This Row],[COSTO TOTAL COCHE]]</f>
        <v>88.5</v>
      </c>
      <c r="S174" s="2"/>
      <c r="T174" s="2" t="s">
        <v>44</v>
      </c>
      <c r="U174" s="14">
        <v>45487</v>
      </c>
      <c r="V174" s="25"/>
      <c r="W174" s="26"/>
      <c r="X174" s="2"/>
      <c r="Y174" s="11"/>
      <c r="Z174" s="2" t="s">
        <v>620</v>
      </c>
      <c r="AA174" s="13" t="s">
        <v>10368</v>
      </c>
      <c r="AB174" s="13" t="s">
        <v>10369</v>
      </c>
    </row>
    <row r="175" spans="1:28">
      <c r="A175" s="2" t="s">
        <v>8758</v>
      </c>
      <c r="B175" s="2" t="s">
        <v>28</v>
      </c>
      <c r="C175" s="18" t="s">
        <v>621</v>
      </c>
      <c r="D175" s="2" t="s">
        <v>30</v>
      </c>
      <c r="E175" s="2" t="s">
        <v>380</v>
      </c>
      <c r="F175" s="11"/>
      <c r="G175" s="11" t="s">
        <v>622</v>
      </c>
      <c r="H175" s="2"/>
      <c r="I175" s="2" t="s">
        <v>382</v>
      </c>
      <c r="J175" s="8">
        <f>+Tabla1[[#This Row],[FECHA ENTRADA]]</f>
        <v>0</v>
      </c>
      <c r="K175" s="22">
        <v>45821</v>
      </c>
      <c r="L175" s="13">
        <f>_xlfn.DAYS(Tabla1[[#This Row],[FECHA FIN ]],Tabla1[[#This Row],[FECHA INICIO]])</f>
        <v>45821</v>
      </c>
      <c r="M175" s="12"/>
      <c r="N175" s="12">
        <f>1811.6/17</f>
        <v>106.56470588235294</v>
      </c>
      <c r="O175" s="12">
        <f>(Tabla1[[#This Row],[COSTO FIJO ]]/30)*Tabla1[[#This Row],[TOTAL DIAS PROYECTO]]+(Tabla1[[#This Row],[COSTO TEMPORAL]])</f>
        <v>162763.37960784315</v>
      </c>
      <c r="P175" s="12"/>
      <c r="Q175" s="12">
        <f>+(Tabla1[[#This Row],[COSTO COCHE]]/30)*Tabla1[[#This Row],[TOTAL DIAS PROYECTO]]</f>
        <v>0</v>
      </c>
      <c r="R175" s="12">
        <f>+Tabla1[[#This Row],[COSTO TOTAL ALOJAMIENTO]]+Tabla1[[#This Row],[COSTO TOTAL COCHE]]</f>
        <v>162763.37960784315</v>
      </c>
      <c r="S175" s="2"/>
      <c r="T175" s="2" t="s">
        <v>35</v>
      </c>
      <c r="U175" s="14"/>
      <c r="V175" s="14">
        <v>45478</v>
      </c>
      <c r="W175" s="26"/>
      <c r="X175" s="16">
        <v>5</v>
      </c>
      <c r="Y175" s="11" t="s">
        <v>623</v>
      </c>
      <c r="Z175" s="2" t="s">
        <v>36</v>
      </c>
      <c r="AA175" s="13" t="s">
        <v>10370</v>
      </c>
      <c r="AB175" s="13" t="s">
        <v>10371</v>
      </c>
    </row>
    <row r="176" spans="1:28" ht="15" customHeight="1">
      <c r="A176" s="2" t="s">
        <v>8638</v>
      </c>
      <c r="B176" s="2" t="s">
        <v>28</v>
      </c>
      <c r="C176" s="11" t="s">
        <v>337</v>
      </c>
      <c r="D176" s="2" t="s">
        <v>30</v>
      </c>
      <c r="E176" s="2" t="s">
        <v>429</v>
      </c>
      <c r="F176" s="11" t="s">
        <v>595</v>
      </c>
      <c r="G176" s="11" t="s">
        <v>596</v>
      </c>
      <c r="H176" s="2" t="s">
        <v>474</v>
      </c>
      <c r="I176" s="2" t="s">
        <v>165</v>
      </c>
      <c r="J176" s="8">
        <f>+Tabla1[[#This Row],[FECHA ENTRADA]]</f>
        <v>45350</v>
      </c>
      <c r="K176" s="22">
        <v>45747</v>
      </c>
      <c r="L176" s="13">
        <f>_xlfn.DAYS(Tabla1[[#This Row],[FECHA FIN ]],Tabla1[[#This Row],[FECHA INICIO]])</f>
        <v>397</v>
      </c>
      <c r="M176" s="12"/>
      <c r="N176" s="12">
        <v>450</v>
      </c>
      <c r="O176" s="12">
        <f>(Tabla1[[#This Row],[COSTO FIJO ]]/30)*Tabla1[[#This Row],[TOTAL DIAS PROYECTO]]+(Tabla1[[#This Row],[COSTO TEMPORAL]])</f>
        <v>5955</v>
      </c>
      <c r="P176" s="12"/>
      <c r="Q176" s="12">
        <f>+(Tabla1[[#This Row],[COSTO COCHE]]/30)*Tabla1[[#This Row],[TOTAL DIAS PROYECTO]]</f>
        <v>0</v>
      </c>
      <c r="R176" s="12">
        <f>+Tabla1[[#This Row],[COSTO TOTAL ALOJAMIENTO]]+Tabla1[[#This Row],[COSTO TOTAL COCHE]]</f>
        <v>5955</v>
      </c>
      <c r="S176" s="2"/>
      <c r="T176" s="2" t="s">
        <v>35</v>
      </c>
      <c r="U176" s="14">
        <v>45350</v>
      </c>
      <c r="V176" s="14"/>
      <c r="W176" s="55">
        <v>450</v>
      </c>
      <c r="X176" s="16">
        <v>28</v>
      </c>
      <c r="Y176" s="18" t="s">
        <v>624</v>
      </c>
      <c r="Z176" s="2" t="s">
        <v>36</v>
      </c>
      <c r="AA176" s="13" t="s">
        <v>10374</v>
      </c>
      <c r="AB176" s="13" t="s">
        <v>10375</v>
      </c>
    </row>
    <row r="177" spans="1:28">
      <c r="A177" s="2" t="s">
        <v>8759</v>
      </c>
      <c r="B177" s="2" t="s">
        <v>368</v>
      </c>
      <c r="C177" s="11" t="s">
        <v>625</v>
      </c>
      <c r="D177" s="2" t="s">
        <v>30</v>
      </c>
      <c r="E177" s="2" t="s">
        <v>626</v>
      </c>
      <c r="F177" s="11" t="s">
        <v>627</v>
      </c>
      <c r="G177" s="11" t="s">
        <v>628</v>
      </c>
      <c r="H177" s="2" t="s">
        <v>629</v>
      </c>
      <c r="I177" s="12" t="s">
        <v>630</v>
      </c>
      <c r="J177" s="8">
        <f>+Tabla1[[#This Row],[FECHA ENTRADA]]</f>
        <v>45502</v>
      </c>
      <c r="K177" s="22">
        <v>45534</v>
      </c>
      <c r="L177" s="13">
        <f>_xlfn.DAYS(Tabla1[[#This Row],[FECHA FIN ]],Tabla1[[#This Row],[FECHA INICIO]])</f>
        <v>32</v>
      </c>
      <c r="M177" s="12"/>
      <c r="N177" s="12"/>
      <c r="O177" s="12">
        <f>(Tabla1[[#This Row],[COSTO FIJO ]]/30)*Tabla1[[#This Row],[TOTAL DIAS PROYECTO]]+(Tabla1[[#This Row],[COSTO TEMPORAL]])</f>
        <v>0</v>
      </c>
      <c r="P177" s="12"/>
      <c r="Q177" s="12">
        <f>+(Tabla1[[#This Row],[COSTO COCHE]]/30)*Tabla1[[#This Row],[TOTAL DIAS PROYECTO]]</f>
        <v>0</v>
      </c>
      <c r="R177" s="12">
        <f>+Tabla1[[#This Row],[COSTO TOTAL ALOJAMIENTO]]+Tabla1[[#This Row],[COSTO TOTAL COCHE]]</f>
        <v>0</v>
      </c>
      <c r="S177" s="2"/>
      <c r="T177" s="2" t="s">
        <v>35</v>
      </c>
      <c r="U177" s="14">
        <v>45502</v>
      </c>
      <c r="V177" s="14"/>
      <c r="W177" s="26"/>
      <c r="X177" s="2">
        <v>26</v>
      </c>
      <c r="Y177" s="18" t="s">
        <v>631</v>
      </c>
      <c r="Z177" s="2" t="s">
        <v>36</v>
      </c>
      <c r="AA177" s="13" t="s">
        <v>10385</v>
      </c>
      <c r="AB177" s="13" t="s">
        <v>10386</v>
      </c>
    </row>
    <row r="178" spans="1:28">
      <c r="A178" s="2" t="s">
        <v>8760</v>
      </c>
      <c r="B178" s="2" t="s">
        <v>368</v>
      </c>
      <c r="C178" s="11" t="s">
        <v>632</v>
      </c>
      <c r="D178" s="2" t="s">
        <v>30</v>
      </c>
      <c r="E178" s="2" t="s">
        <v>626</v>
      </c>
      <c r="F178" s="11" t="s">
        <v>627</v>
      </c>
      <c r="G178" s="11" t="s">
        <v>628</v>
      </c>
      <c r="H178" s="2" t="s">
        <v>629</v>
      </c>
      <c r="I178" s="12" t="s">
        <v>630</v>
      </c>
      <c r="J178" s="8">
        <f>+Tabla1[[#This Row],[FECHA ENTRADA]]</f>
        <v>45502</v>
      </c>
      <c r="K178" s="22">
        <v>45534</v>
      </c>
      <c r="L178" s="13">
        <f>_xlfn.DAYS(Tabla1[[#This Row],[FECHA FIN ]],Tabla1[[#This Row],[FECHA INICIO]])</f>
        <v>32</v>
      </c>
      <c r="M178" s="12"/>
      <c r="N178" s="12"/>
      <c r="O178" s="12">
        <f>(Tabla1[[#This Row],[COSTO FIJO ]]/30)*Tabla1[[#This Row],[TOTAL DIAS PROYECTO]]+(Tabla1[[#This Row],[COSTO TEMPORAL]])</f>
        <v>0</v>
      </c>
      <c r="P178" s="12"/>
      <c r="Q178" s="12">
        <f>+(Tabla1[[#This Row],[COSTO COCHE]]/30)*Tabla1[[#This Row],[TOTAL DIAS PROYECTO]]</f>
        <v>0</v>
      </c>
      <c r="R178" s="12">
        <f>+Tabla1[[#This Row],[COSTO TOTAL ALOJAMIENTO]]+Tabla1[[#This Row],[COSTO TOTAL COCHE]]</f>
        <v>0</v>
      </c>
      <c r="S178" s="2"/>
      <c r="T178" s="2" t="s">
        <v>35</v>
      </c>
      <c r="U178" s="14">
        <v>45502</v>
      </c>
      <c r="V178" s="14"/>
      <c r="W178" s="26">
        <v>150</v>
      </c>
      <c r="X178" s="2">
        <v>26</v>
      </c>
      <c r="Y178" s="18" t="s">
        <v>631</v>
      </c>
      <c r="Z178" s="2" t="s">
        <v>36</v>
      </c>
      <c r="AA178" s="13" t="s">
        <v>10385</v>
      </c>
      <c r="AB178" s="13" t="s">
        <v>10386</v>
      </c>
    </row>
    <row r="179" spans="1:28">
      <c r="A179" s="2" t="s">
        <v>8761</v>
      </c>
      <c r="B179" s="2" t="s">
        <v>368</v>
      </c>
      <c r="C179" s="11" t="s">
        <v>633</v>
      </c>
      <c r="D179" s="2" t="s">
        <v>30</v>
      </c>
      <c r="E179" s="2" t="s">
        <v>31</v>
      </c>
      <c r="F179" s="11" t="s">
        <v>634</v>
      </c>
      <c r="G179" s="11" t="s">
        <v>635</v>
      </c>
      <c r="H179" s="2" t="s">
        <v>636</v>
      </c>
      <c r="I179" s="12" t="s">
        <v>637</v>
      </c>
      <c r="J179" s="8">
        <f>+Tabla1[[#This Row],[FECHA ENTRADA]]</f>
        <v>45513</v>
      </c>
      <c r="K179" s="8">
        <v>45534</v>
      </c>
      <c r="L179" s="13">
        <f>_xlfn.DAYS(Tabla1[[#This Row],[FECHA FIN ]],Tabla1[[#This Row],[FECHA INICIO]])</f>
        <v>21</v>
      </c>
      <c r="M179" s="12"/>
      <c r="N179" s="12"/>
      <c r="O179" s="12">
        <f>(Tabla1[[#This Row],[COSTO FIJO ]]/30)*Tabla1[[#This Row],[TOTAL DIAS PROYECTO]]+(Tabla1[[#This Row],[COSTO TEMPORAL]])</f>
        <v>0</v>
      </c>
      <c r="P179" s="12"/>
      <c r="Q179" s="12">
        <f>+(Tabla1[[#This Row],[COSTO COCHE]]/30)*Tabla1[[#This Row],[TOTAL DIAS PROYECTO]]</f>
        <v>0</v>
      </c>
      <c r="R179" s="12">
        <f>+Tabla1[[#This Row],[COSTO TOTAL ALOJAMIENTO]]+Tabla1[[#This Row],[COSTO TOTAL COCHE]]</f>
        <v>0</v>
      </c>
      <c r="S179" s="2"/>
      <c r="T179" s="2" t="s">
        <v>35</v>
      </c>
      <c r="U179" s="14">
        <v>45513</v>
      </c>
      <c r="V179" s="8"/>
      <c r="W179" s="26"/>
      <c r="X179" s="2"/>
      <c r="Y179" s="18" t="s">
        <v>638</v>
      </c>
      <c r="Z179" s="2" t="s">
        <v>36</v>
      </c>
      <c r="AA179" s="13" t="s">
        <v>10323</v>
      </c>
      <c r="AB179" s="13" t="s">
        <v>10324</v>
      </c>
    </row>
    <row r="180" spans="1:28" ht="15" customHeight="1">
      <c r="A180" s="2" t="s">
        <v>8762</v>
      </c>
      <c r="B180" s="2" t="s">
        <v>28</v>
      </c>
      <c r="C180" s="18" t="s">
        <v>639</v>
      </c>
      <c r="D180" s="2" t="s">
        <v>30</v>
      </c>
      <c r="E180" s="2" t="s">
        <v>31</v>
      </c>
      <c r="F180" s="11" t="s">
        <v>524</v>
      </c>
      <c r="G180" s="51" t="s">
        <v>525</v>
      </c>
      <c r="H180" s="2" t="s">
        <v>526</v>
      </c>
      <c r="I180" s="12" t="s">
        <v>527</v>
      </c>
      <c r="J180" s="8">
        <f>+Tabla1[[#This Row],[FECHA ENTRADA]]</f>
        <v>45502</v>
      </c>
      <c r="K180" s="22">
        <v>45535</v>
      </c>
      <c r="L180" s="13">
        <f>_xlfn.DAYS(Tabla1[[#This Row],[FECHA FIN ]],Tabla1[[#This Row],[FECHA INICIO]])</f>
        <v>33</v>
      </c>
      <c r="M180" s="12"/>
      <c r="N180" s="12">
        <v>500</v>
      </c>
      <c r="O180" s="12">
        <f>(Tabla1[[#This Row],[COSTO FIJO ]]/30)*Tabla1[[#This Row],[TOTAL DIAS PROYECTO]]+(Tabla1[[#This Row],[COSTO TEMPORAL]])</f>
        <v>550</v>
      </c>
      <c r="P180" s="12"/>
      <c r="Q180" s="12">
        <f>+(Tabla1[[#This Row],[COSTO COCHE]]/30)*Tabla1[[#This Row],[TOTAL DIAS PROYECTO]]</f>
        <v>0</v>
      </c>
      <c r="R180" s="12">
        <f>+Tabla1[[#This Row],[COSTO TOTAL ALOJAMIENTO]]+Tabla1[[#This Row],[COSTO TOTAL COCHE]]</f>
        <v>550</v>
      </c>
      <c r="S180" s="2"/>
      <c r="T180" s="2" t="s">
        <v>528</v>
      </c>
      <c r="U180" s="14">
        <v>45502</v>
      </c>
      <c r="V180" s="14">
        <v>45535</v>
      </c>
      <c r="W180" s="26"/>
      <c r="X180" s="2">
        <v>1</v>
      </c>
      <c r="Y180" s="18" t="s">
        <v>640</v>
      </c>
      <c r="Z180" s="2" t="s">
        <v>36</v>
      </c>
      <c r="AA180" s="13" t="s">
        <v>10323</v>
      </c>
      <c r="AB180" s="13" t="s">
        <v>10324</v>
      </c>
    </row>
    <row r="181" spans="1:28" ht="15" customHeight="1">
      <c r="A181" s="2" t="s">
        <v>8763</v>
      </c>
      <c r="B181" s="2" t="s">
        <v>368</v>
      </c>
      <c r="C181" s="18" t="s">
        <v>641</v>
      </c>
      <c r="D181" s="2" t="s">
        <v>30</v>
      </c>
      <c r="E181" s="2" t="s">
        <v>31</v>
      </c>
      <c r="F181" s="11" t="s">
        <v>451</v>
      </c>
      <c r="G181" s="50" t="s">
        <v>452</v>
      </c>
      <c r="H181" s="2" t="s">
        <v>513</v>
      </c>
      <c r="I181" s="12" t="s">
        <v>514</v>
      </c>
      <c r="J181" s="8">
        <f>+Tabla1[[#This Row],[FECHA ENTRADA]]</f>
        <v>45507</v>
      </c>
      <c r="K181" s="8">
        <v>45537</v>
      </c>
      <c r="L181" s="13">
        <f>_xlfn.DAYS(Tabla1[[#This Row],[FECHA FIN ]],Tabla1[[#This Row],[FECHA INICIO]])</f>
        <v>30</v>
      </c>
      <c r="M181" s="12"/>
      <c r="N181" s="47">
        <v>283.33</v>
      </c>
      <c r="O181" s="47">
        <f>(Tabla1[[#This Row],[COSTO FIJO ]]/30)*Tabla1[[#This Row],[TOTAL DIAS PROYECTO]]+(Tabla1[[#This Row],[COSTO TEMPORAL]])</f>
        <v>283.33</v>
      </c>
      <c r="P181" s="47"/>
      <c r="Q181" s="47">
        <f>+(Tabla1[[#This Row],[COSTO COCHE]]/30)*Tabla1[[#This Row],[TOTAL DIAS PROYECTO]]</f>
        <v>0</v>
      </c>
      <c r="R181" s="47">
        <f>+Tabla1[[#This Row],[COSTO TOTAL ALOJAMIENTO]]+Tabla1[[#This Row],[COSTO TOTAL COCHE]]</f>
        <v>283.33</v>
      </c>
      <c r="S181" s="2"/>
      <c r="T181" s="2" t="s">
        <v>35</v>
      </c>
      <c r="U181" s="14">
        <v>45507</v>
      </c>
      <c r="V181" s="14"/>
      <c r="W181" s="26"/>
      <c r="X181" s="2">
        <v>1</v>
      </c>
      <c r="Y181" s="18"/>
      <c r="Z181" s="2" t="s">
        <v>36</v>
      </c>
      <c r="AA181" s="13" t="s">
        <v>10323</v>
      </c>
      <c r="AB181" s="13" t="s">
        <v>10324</v>
      </c>
    </row>
    <row r="182" spans="1:28" ht="15" customHeight="1">
      <c r="A182" s="2" t="s">
        <v>8639</v>
      </c>
      <c r="B182" s="2" t="s">
        <v>28</v>
      </c>
      <c r="C182" s="11" t="s">
        <v>66</v>
      </c>
      <c r="D182" s="2" t="s">
        <v>30</v>
      </c>
      <c r="E182" s="2" t="s">
        <v>415</v>
      </c>
      <c r="F182" s="11"/>
      <c r="G182" s="11"/>
      <c r="H182" s="2" t="s">
        <v>642</v>
      </c>
      <c r="I182" s="12" t="s">
        <v>419</v>
      </c>
      <c r="J182" s="8">
        <f>+Tabla1[[#This Row],[FECHA ENTRADA]]</f>
        <v>45399</v>
      </c>
      <c r="K182" s="8">
        <v>45541</v>
      </c>
      <c r="L182" s="13">
        <f>_xlfn.DAYS(Tabla1[[#This Row],[FECHA FIN ]],Tabla1[[#This Row],[FECHA INICIO]])</f>
        <v>142</v>
      </c>
      <c r="M182" s="12"/>
      <c r="N182" s="12"/>
      <c r="O182" s="12">
        <f>(Tabla1[[#This Row],[COSTO FIJO ]]/30)*Tabla1[[#This Row],[TOTAL DIAS PROYECTO]]+(Tabla1[[#This Row],[COSTO TEMPORAL]])</f>
        <v>0</v>
      </c>
      <c r="P182" s="12"/>
      <c r="Q182" s="12">
        <f>+(Tabla1[[#This Row],[COSTO COCHE]]/30)*Tabla1[[#This Row],[TOTAL DIAS PROYECTO]]</f>
        <v>0</v>
      </c>
      <c r="R182" s="12">
        <f>+Tabla1[[#This Row],[COSTO TOTAL ALOJAMIENTO]]+Tabla1[[#This Row],[COSTO TOTAL COCHE]]</f>
        <v>0</v>
      </c>
      <c r="S182" s="2"/>
      <c r="T182" s="2" t="s">
        <v>58</v>
      </c>
      <c r="U182" s="14">
        <v>45399</v>
      </c>
      <c r="V182" s="14"/>
      <c r="W182" s="62">
        <v>340</v>
      </c>
      <c r="X182" s="16"/>
      <c r="Y182" s="11" t="s">
        <v>643</v>
      </c>
      <c r="Z182" s="2" t="s">
        <v>36</v>
      </c>
      <c r="AA182" s="13">
        <v>-0.37739</v>
      </c>
      <c r="AB182" s="13" t="s">
        <v>10372</v>
      </c>
    </row>
    <row r="183" spans="1:28">
      <c r="A183" s="2" t="s">
        <v>8764</v>
      </c>
      <c r="B183" s="2" t="s">
        <v>28</v>
      </c>
      <c r="C183" s="52" t="s">
        <v>644</v>
      </c>
      <c r="D183" s="2" t="s">
        <v>30</v>
      </c>
      <c r="E183" s="2" t="s">
        <v>415</v>
      </c>
      <c r="F183" s="11"/>
      <c r="G183" s="11"/>
      <c r="H183" s="2" t="s">
        <v>645</v>
      </c>
      <c r="I183" s="12" t="s">
        <v>419</v>
      </c>
      <c r="J183" s="8">
        <f>+Tabla1[[#This Row],[FECHA ENTRADA]]</f>
        <v>45454</v>
      </c>
      <c r="K183" s="22">
        <v>45541</v>
      </c>
      <c r="L183" s="13">
        <f>_xlfn.DAYS(Tabla1[[#This Row],[FECHA FIN ]],Tabla1[[#This Row],[FECHA INICIO]])</f>
        <v>87</v>
      </c>
      <c r="M183" s="12"/>
      <c r="N183" s="12">
        <v>300</v>
      </c>
      <c r="O183" s="12">
        <f>(Tabla1[[#This Row],[COSTO FIJO ]]/30)*Tabla1[[#This Row],[TOTAL DIAS PROYECTO]]+(Tabla1[[#This Row],[COSTO TEMPORAL]])</f>
        <v>870</v>
      </c>
      <c r="P183" s="12"/>
      <c r="Q183" s="12">
        <f>+(Tabla1[[#This Row],[COSTO COCHE]]/30)*Tabla1[[#This Row],[TOTAL DIAS PROYECTO]]</f>
        <v>0</v>
      </c>
      <c r="R183" s="12">
        <f>+Tabla1[[#This Row],[COSTO TOTAL ALOJAMIENTO]]+Tabla1[[#This Row],[COSTO TOTAL COCHE]]</f>
        <v>870</v>
      </c>
      <c r="S183" s="2"/>
      <c r="T183" s="2" t="s">
        <v>646</v>
      </c>
      <c r="U183" s="14">
        <v>45454</v>
      </c>
      <c r="V183" s="14"/>
      <c r="W183" s="26"/>
      <c r="X183" s="2">
        <v>5</v>
      </c>
      <c r="Y183" s="11"/>
      <c r="Z183" s="2" t="s">
        <v>36</v>
      </c>
      <c r="AA183" s="13">
        <v>-0.37739</v>
      </c>
      <c r="AB183" s="13" t="s">
        <v>10372</v>
      </c>
    </row>
    <row r="184" spans="1:28" ht="15" customHeight="1">
      <c r="A184" s="2" t="s">
        <v>8765</v>
      </c>
      <c r="B184" s="2" t="s">
        <v>28</v>
      </c>
      <c r="C184" s="18" t="s">
        <v>647</v>
      </c>
      <c r="D184" s="2" t="s">
        <v>30</v>
      </c>
      <c r="E184" s="2" t="s">
        <v>415</v>
      </c>
      <c r="F184" s="11"/>
      <c r="G184" s="11"/>
      <c r="H184" s="2" t="s">
        <v>642</v>
      </c>
      <c r="I184" s="12" t="s">
        <v>419</v>
      </c>
      <c r="J184" s="8">
        <f>+Tabla1[[#This Row],[FECHA ENTRADA]]</f>
        <v>45399</v>
      </c>
      <c r="K184" s="22">
        <v>45541</v>
      </c>
      <c r="L184" s="13">
        <f>_xlfn.DAYS(Tabla1[[#This Row],[FECHA FIN ]],Tabla1[[#This Row],[FECHA INICIO]])</f>
        <v>142</v>
      </c>
      <c r="M184" s="12"/>
      <c r="N184" s="12">
        <v>300</v>
      </c>
      <c r="O184" s="12">
        <f>(Tabla1[[#This Row],[COSTO FIJO ]]/30)*Tabla1[[#This Row],[TOTAL DIAS PROYECTO]]+(Tabla1[[#This Row],[COSTO TEMPORAL]])</f>
        <v>1420</v>
      </c>
      <c r="P184" s="12"/>
      <c r="Q184" s="12">
        <f>+(Tabla1[[#This Row],[COSTO COCHE]]/30)*Tabla1[[#This Row],[TOTAL DIAS PROYECTO]]</f>
        <v>0</v>
      </c>
      <c r="R184" s="12">
        <f>+Tabla1[[#This Row],[COSTO TOTAL ALOJAMIENTO]]+Tabla1[[#This Row],[COSTO TOTAL COCHE]]</f>
        <v>1420</v>
      </c>
      <c r="S184" s="2"/>
      <c r="T184" s="2" t="s">
        <v>58</v>
      </c>
      <c r="U184" s="14">
        <v>45399</v>
      </c>
      <c r="V184" s="14"/>
      <c r="W184" s="62">
        <v>320</v>
      </c>
      <c r="X184" s="16"/>
      <c r="Y184" s="11" t="s">
        <v>643</v>
      </c>
      <c r="Z184" s="2" t="s">
        <v>36</v>
      </c>
      <c r="AA184" s="13">
        <v>-0.37739</v>
      </c>
      <c r="AB184" s="13" t="s">
        <v>10372</v>
      </c>
    </row>
    <row r="185" spans="1:28">
      <c r="A185" s="2" t="s">
        <v>8749</v>
      </c>
      <c r="B185" s="2" t="s">
        <v>28</v>
      </c>
      <c r="C185" s="11" t="s">
        <v>584</v>
      </c>
      <c r="D185" s="2" t="s">
        <v>30</v>
      </c>
      <c r="E185" s="2" t="s">
        <v>648</v>
      </c>
      <c r="F185" s="11" t="s">
        <v>649</v>
      </c>
      <c r="G185" s="46" t="s">
        <v>650</v>
      </c>
      <c r="H185" s="2" t="s">
        <v>651</v>
      </c>
      <c r="I185" s="12" t="s">
        <v>96</v>
      </c>
      <c r="J185" s="41">
        <f>+Tabla1[[#This Row],[FECHA ENTRADA]]</f>
        <v>45578</v>
      </c>
      <c r="K185" s="8">
        <v>45731</v>
      </c>
      <c r="L185" s="42">
        <f>_xlfn.DAYS(Tabla1[[#This Row],[FECHA FIN ]],Tabla1[[#This Row],[FECHA INICIO]])</f>
        <v>153</v>
      </c>
      <c r="M185" s="12"/>
      <c r="N185" s="12"/>
      <c r="O185" s="28">
        <f>(Tabla1[[#This Row],[COSTO FIJO ]]/30)*Tabla1[[#This Row],[TOTAL DIAS PROYECTO]]+(Tabla1[[#This Row],[COSTO TEMPORAL]])</f>
        <v>0</v>
      </c>
      <c r="P185" s="12"/>
      <c r="Q185" s="12">
        <f>+(Tabla1[[#This Row],[COSTO COCHE]]/30)*Tabla1[[#This Row],[TOTAL DIAS PROYECTO]]</f>
        <v>0</v>
      </c>
      <c r="R185" s="12">
        <f>+Tabla1[[#This Row],[COSTO TOTAL ALOJAMIENTO]]+Tabla1[[#This Row],[COSTO TOTAL COCHE]]</f>
        <v>0</v>
      </c>
      <c r="S185" s="2"/>
      <c r="T185" s="2" t="s">
        <v>35</v>
      </c>
      <c r="U185" s="14">
        <v>45578</v>
      </c>
      <c r="V185" s="43"/>
      <c r="W185" s="26"/>
      <c r="X185" s="2">
        <v>17</v>
      </c>
      <c r="Y185" s="11" t="s">
        <v>652</v>
      </c>
      <c r="Z185" s="2" t="s">
        <v>36</v>
      </c>
      <c r="AA185" s="13" t="s">
        <v>10387</v>
      </c>
      <c r="AB185" s="13" t="s">
        <v>10388</v>
      </c>
    </row>
    <row r="186" spans="1:28" ht="15" customHeight="1">
      <c r="A186" s="2" t="s">
        <v>8766</v>
      </c>
      <c r="B186" s="2" t="s">
        <v>28</v>
      </c>
      <c r="C186" s="11" t="s">
        <v>653</v>
      </c>
      <c r="D186" s="2" t="s">
        <v>30</v>
      </c>
      <c r="E186" s="2" t="s">
        <v>213</v>
      </c>
      <c r="F186" s="11" t="s">
        <v>557</v>
      </c>
      <c r="G186" s="11" t="s">
        <v>558</v>
      </c>
      <c r="H186" s="2" t="s">
        <v>654</v>
      </c>
      <c r="I186" s="12" t="s">
        <v>560</v>
      </c>
      <c r="J186" s="8">
        <f>+Tabla1[[#This Row],[FECHA ENTRADA]]</f>
        <v>45448</v>
      </c>
      <c r="K186" s="8">
        <v>45541</v>
      </c>
      <c r="L186" s="13">
        <f>_xlfn.DAYS(Tabla1[[#This Row],[FECHA FIN ]],Tabla1[[#This Row],[FECHA INICIO]])</f>
        <v>93</v>
      </c>
      <c r="M186" s="12"/>
      <c r="N186" s="12"/>
      <c r="O186" s="12">
        <f>(Tabla1[[#This Row],[COSTO FIJO ]]/30)*Tabla1[[#This Row],[TOTAL DIAS PROYECTO]]+(Tabla1[[#This Row],[COSTO TEMPORAL]])</f>
        <v>0</v>
      </c>
      <c r="P186" s="12"/>
      <c r="Q186" s="12">
        <f>+(Tabla1[[#This Row],[COSTO COCHE]]/30)*Tabla1[[#This Row],[TOTAL DIAS PROYECTO]]</f>
        <v>0</v>
      </c>
      <c r="R186" s="12">
        <f>+Tabla1[[#This Row],[COSTO TOTAL ALOJAMIENTO]]+Tabla1[[#This Row],[COSTO TOTAL COCHE]]</f>
        <v>0</v>
      </c>
      <c r="S186" s="2"/>
      <c r="T186" s="2" t="s">
        <v>35</v>
      </c>
      <c r="U186" s="14">
        <v>45448</v>
      </c>
      <c r="V186" s="14"/>
      <c r="W186" s="26"/>
      <c r="X186" s="2">
        <v>20</v>
      </c>
      <c r="Y186" s="31" t="s">
        <v>655</v>
      </c>
      <c r="Z186" s="2" t="s">
        <v>36</v>
      </c>
      <c r="AA186" s="13" t="s">
        <v>10349</v>
      </c>
      <c r="AB186" s="13" t="s">
        <v>10350</v>
      </c>
    </row>
    <row r="187" spans="1:28" ht="15" customHeight="1">
      <c r="A187" s="2" t="s">
        <v>8767</v>
      </c>
      <c r="B187" s="2" t="s">
        <v>28</v>
      </c>
      <c r="C187" s="11" t="s">
        <v>656</v>
      </c>
      <c r="D187" s="2" t="s">
        <v>30</v>
      </c>
      <c r="E187" s="2" t="s">
        <v>31</v>
      </c>
      <c r="F187" s="11"/>
      <c r="G187" s="11"/>
      <c r="H187" s="2">
        <v>2023</v>
      </c>
      <c r="I187" s="2" t="s">
        <v>385</v>
      </c>
      <c r="J187" s="8">
        <v>45122</v>
      </c>
      <c r="K187" s="8">
        <v>45543</v>
      </c>
      <c r="L187" s="13">
        <f>_xlfn.DAYS(Tabla1[[#This Row],[FECHA FIN ]],Tabla1[[#This Row],[FECHA INICIO]])</f>
        <v>421</v>
      </c>
      <c r="M187" s="12"/>
      <c r="N187" s="12"/>
      <c r="O187" s="12">
        <f>(Tabla1[[#This Row],[COSTO FIJO ]]/30)*Tabla1[[#This Row],[TOTAL DIAS PROYECTO]]+(Tabla1[[#This Row],[COSTO TEMPORAL]])</f>
        <v>0</v>
      </c>
      <c r="P187" s="12"/>
      <c r="Q187" s="12">
        <f>+(Tabla1[[#This Row],[COSTO COCHE]]/30)*Tabla1[[#This Row],[TOTAL DIAS PROYECTO]]</f>
        <v>0</v>
      </c>
      <c r="R187" s="12">
        <f>+Tabla1[[#This Row],[COSTO TOTAL ALOJAMIENTO]]+Tabla1[[#This Row],[COSTO TOTAL COCHE]]</f>
        <v>0</v>
      </c>
      <c r="S187" s="2"/>
      <c r="T187" s="2" t="s">
        <v>58</v>
      </c>
      <c r="U187" s="14"/>
      <c r="V187" s="14"/>
      <c r="W187" s="15"/>
      <c r="X187" s="16"/>
      <c r="Y187" s="18" t="s">
        <v>657</v>
      </c>
      <c r="Z187" s="2" t="s">
        <v>36</v>
      </c>
      <c r="AA187" s="13" t="s">
        <v>10323</v>
      </c>
      <c r="AB187" s="13" t="s">
        <v>10324</v>
      </c>
    </row>
    <row r="188" spans="1:28" ht="15" customHeight="1">
      <c r="A188" s="2" t="s">
        <v>8678</v>
      </c>
      <c r="B188" s="2" t="s">
        <v>28</v>
      </c>
      <c r="C188" s="11" t="s">
        <v>251</v>
      </c>
      <c r="D188" s="2" t="s">
        <v>30</v>
      </c>
      <c r="E188" s="2" t="s">
        <v>415</v>
      </c>
      <c r="F188" s="11" t="s">
        <v>487</v>
      </c>
      <c r="G188" s="11" t="s">
        <v>488</v>
      </c>
      <c r="H188" s="2" t="s">
        <v>489</v>
      </c>
      <c r="I188" s="12" t="s">
        <v>490</v>
      </c>
      <c r="J188" s="8">
        <f>+Tabla1[[#This Row],[FECHA ENTRADA]]</f>
        <v>45420</v>
      </c>
      <c r="K188" s="8">
        <v>45543</v>
      </c>
      <c r="L188" s="13">
        <f>_xlfn.DAYS(Tabla1[[#This Row],[FECHA FIN ]],Tabla1[[#This Row],[FECHA INICIO]])</f>
        <v>123</v>
      </c>
      <c r="M188" s="12"/>
      <c r="N188" s="12">
        <v>357.14</v>
      </c>
      <c r="O188" s="12">
        <f>(Tabla1[[#This Row],[COSTO FIJO ]]/30)*Tabla1[[#This Row],[TOTAL DIAS PROYECTO]]+(Tabla1[[#This Row],[COSTO TEMPORAL]])</f>
        <v>1464.2739999999999</v>
      </c>
      <c r="P188" s="12"/>
      <c r="Q188" s="12">
        <f>+(Tabla1[[#This Row],[COSTO COCHE]]/30)*Tabla1[[#This Row],[TOTAL DIAS PROYECTO]]</f>
        <v>0</v>
      </c>
      <c r="R188" s="12">
        <f>+Tabla1[[#This Row],[COSTO TOTAL ALOJAMIENTO]]+Tabla1[[#This Row],[COSTO TOTAL COCHE]]</f>
        <v>1464.2739999999999</v>
      </c>
      <c r="S188" s="2"/>
      <c r="T188" s="2" t="s">
        <v>35</v>
      </c>
      <c r="U188" s="14">
        <v>45420</v>
      </c>
      <c r="V188" s="14"/>
      <c r="W188" s="2"/>
      <c r="X188" s="2">
        <v>5</v>
      </c>
      <c r="Y188" s="11" t="s">
        <v>487</v>
      </c>
      <c r="Z188" s="2" t="s">
        <v>36</v>
      </c>
      <c r="AA188" s="13">
        <v>-0.37739</v>
      </c>
      <c r="AB188" s="13" t="s">
        <v>10372</v>
      </c>
    </row>
    <row r="189" spans="1:28">
      <c r="A189" s="2" t="s">
        <v>8768</v>
      </c>
      <c r="B189" s="2" t="s">
        <v>28</v>
      </c>
      <c r="C189" s="11" t="s">
        <v>658</v>
      </c>
      <c r="D189" s="2" t="s">
        <v>30</v>
      </c>
      <c r="E189" s="2" t="s">
        <v>253</v>
      </c>
      <c r="F189" s="11" t="s">
        <v>659</v>
      </c>
      <c r="G189" s="11" t="s">
        <v>660</v>
      </c>
      <c r="H189" s="2" t="s">
        <v>661</v>
      </c>
      <c r="I189" s="2" t="s">
        <v>256</v>
      </c>
      <c r="J189" s="8">
        <f>+Tabla1[[#This Row],[FECHA ENTRADA]]</f>
        <v>45340</v>
      </c>
      <c r="K189" s="8">
        <v>45544</v>
      </c>
      <c r="L189" s="13">
        <f>_xlfn.DAYS(Tabla1[[#This Row],[FECHA FIN ]],Tabla1[[#This Row],[FECHA INICIO]])</f>
        <v>204</v>
      </c>
      <c r="M189" s="12"/>
      <c r="N189" s="12"/>
      <c r="O189" s="12">
        <f>(Tabla1[[#This Row],[COSTO FIJO ]]/30)*Tabla1[[#This Row],[TOTAL DIAS PROYECTO]]+(Tabla1[[#This Row],[COSTO TEMPORAL]])</f>
        <v>0</v>
      </c>
      <c r="P189" s="12"/>
      <c r="Q189" s="12">
        <f>+(Tabla1[[#This Row],[COSTO COCHE]]/30)*Tabla1[[#This Row],[TOTAL DIAS PROYECTO]]</f>
        <v>0</v>
      </c>
      <c r="R189" s="12">
        <f>+Tabla1[[#This Row],[COSTO TOTAL ALOJAMIENTO]]+Tabla1[[#This Row],[COSTO TOTAL COCHE]]</f>
        <v>0</v>
      </c>
      <c r="S189" s="2"/>
      <c r="T189" s="2" t="s">
        <v>35</v>
      </c>
      <c r="U189" s="14">
        <v>45340</v>
      </c>
      <c r="V189" s="14"/>
      <c r="W189" s="15"/>
      <c r="X189" s="16">
        <v>27</v>
      </c>
      <c r="Y189" s="63" t="s">
        <v>662</v>
      </c>
      <c r="Z189" s="2" t="s">
        <v>36</v>
      </c>
      <c r="AA189" s="13" t="s">
        <v>10357</v>
      </c>
      <c r="AB189" s="13" t="s">
        <v>10358</v>
      </c>
    </row>
    <row r="190" spans="1:28">
      <c r="A190" s="2" t="s">
        <v>8769</v>
      </c>
      <c r="B190" s="2" t="s">
        <v>368</v>
      </c>
      <c r="C190" s="11" t="s">
        <v>663</v>
      </c>
      <c r="D190" s="2" t="s">
        <v>30</v>
      </c>
      <c r="E190" s="2" t="s">
        <v>664</v>
      </c>
      <c r="F190" s="11" t="s">
        <v>581</v>
      </c>
      <c r="G190" s="11" t="s">
        <v>255</v>
      </c>
      <c r="H190" s="2" t="s">
        <v>665</v>
      </c>
      <c r="I190" s="12" t="s">
        <v>666</v>
      </c>
      <c r="J190" s="8">
        <f>+Tabla1[[#This Row],[FECHA ENTRADA]]</f>
        <v>45544</v>
      </c>
      <c r="K190" s="8">
        <v>45546</v>
      </c>
      <c r="L190" s="13">
        <f>_xlfn.DAYS(Tabla1[[#This Row],[FECHA FIN ]],Tabla1[[#This Row],[FECHA INICIO]])</f>
        <v>2</v>
      </c>
      <c r="M190" s="12"/>
      <c r="N190" s="12"/>
      <c r="O190" s="12">
        <f>(Tabla1[[#This Row],[COSTO FIJO ]]/30)*Tabla1[[#This Row],[TOTAL DIAS PROYECTO]]+(Tabla1[[#This Row],[COSTO TEMPORAL]])</f>
        <v>0</v>
      </c>
      <c r="P190" s="12"/>
      <c r="Q190" s="12">
        <f>+(Tabla1[[#This Row],[COSTO COCHE]]/30)*Tabla1[[#This Row],[TOTAL DIAS PROYECTO]]</f>
        <v>0</v>
      </c>
      <c r="R190" s="12">
        <f>+Tabla1[[#This Row],[COSTO TOTAL ALOJAMIENTO]]+Tabla1[[#This Row],[COSTO TOTAL COCHE]]</f>
        <v>0</v>
      </c>
      <c r="S190" s="2"/>
      <c r="T190" s="2" t="s">
        <v>35</v>
      </c>
      <c r="U190" s="14">
        <v>45544</v>
      </c>
      <c r="V190" s="14"/>
      <c r="W190" s="26"/>
      <c r="X190" s="2">
        <v>1</v>
      </c>
      <c r="Y190" s="11"/>
      <c r="Z190" s="64" t="s">
        <v>36</v>
      </c>
      <c r="AA190" s="13" t="s">
        <v>10389</v>
      </c>
      <c r="AB190" s="13" t="s">
        <v>10390</v>
      </c>
    </row>
    <row r="191" spans="1:28" ht="15" customHeight="1">
      <c r="A191" s="2" t="s">
        <v>8702</v>
      </c>
      <c r="B191" s="2" t="s">
        <v>368</v>
      </c>
      <c r="C191" s="18" t="s">
        <v>354</v>
      </c>
      <c r="D191" s="2" t="s">
        <v>30</v>
      </c>
      <c r="E191" s="2" t="s">
        <v>422</v>
      </c>
      <c r="F191" s="11" t="s">
        <v>667</v>
      </c>
      <c r="G191" s="11" t="s">
        <v>668</v>
      </c>
      <c r="H191" s="2" t="s">
        <v>669</v>
      </c>
      <c r="I191" s="65" t="s">
        <v>670</v>
      </c>
      <c r="J191" s="8">
        <f>+Tabla1[[#This Row],[FECHA ENTRADA]]</f>
        <v>45487</v>
      </c>
      <c r="K191" s="66">
        <v>45534</v>
      </c>
      <c r="L191" s="13">
        <f>_xlfn.DAYS(Tabla1[[#This Row],[FECHA FIN ]],Tabla1[[#This Row],[FECHA INICIO]])</f>
        <v>47</v>
      </c>
      <c r="M191" s="12"/>
      <c r="N191" s="12">
        <v>325</v>
      </c>
      <c r="O191" s="12">
        <f>(Tabla1[[#This Row],[COSTO FIJO ]]/30)*Tabla1[[#This Row],[TOTAL DIAS PROYECTO]]+(Tabla1[[#This Row],[COSTO TEMPORAL]])</f>
        <v>509.16666666666669</v>
      </c>
      <c r="P191" s="12"/>
      <c r="Q191" s="12">
        <f>+(Tabla1[[#This Row],[COSTO COCHE]]/30)*Tabla1[[#This Row],[TOTAL DIAS PROYECTO]]</f>
        <v>0</v>
      </c>
      <c r="R191" s="12">
        <f>+Tabla1[[#This Row],[COSTO TOTAL ALOJAMIENTO]]+Tabla1[[#This Row],[COSTO TOTAL COCHE]]</f>
        <v>509.16666666666669</v>
      </c>
      <c r="S191" s="2"/>
      <c r="T191" s="2" t="s">
        <v>44</v>
      </c>
      <c r="U191" s="14">
        <v>45487</v>
      </c>
      <c r="V191" s="14"/>
      <c r="W191" s="26"/>
      <c r="X191" s="2">
        <v>5</v>
      </c>
      <c r="Y191" s="18" t="s">
        <v>671</v>
      </c>
      <c r="Z191" s="2" t="s">
        <v>36</v>
      </c>
      <c r="AA191" s="13">
        <v>-326.69799999999998</v>
      </c>
      <c r="AB191" s="13" t="s">
        <v>10373</v>
      </c>
    </row>
    <row r="192" spans="1:28" ht="15" customHeight="1">
      <c r="A192" s="2" t="s">
        <v>8770</v>
      </c>
      <c r="B192" s="2" t="s">
        <v>28</v>
      </c>
      <c r="C192" s="11" t="s">
        <v>672</v>
      </c>
      <c r="D192" s="2" t="s">
        <v>78</v>
      </c>
      <c r="E192" s="2" t="s">
        <v>673</v>
      </c>
      <c r="F192" s="11" t="s">
        <v>674</v>
      </c>
      <c r="G192" s="11" t="s">
        <v>675</v>
      </c>
      <c r="H192" s="2" t="s">
        <v>676</v>
      </c>
      <c r="I192" s="12" t="s">
        <v>677</v>
      </c>
      <c r="J192" s="8">
        <f>+Tabla1[[#This Row],[FECHA ENTRADA]]</f>
        <v>45449</v>
      </c>
      <c r="K192" s="8">
        <v>45548</v>
      </c>
      <c r="L192" s="13">
        <f>_xlfn.DAYS(Tabla1[[#This Row],[FECHA FIN ]],Tabla1[[#This Row],[FECHA INICIO]])</f>
        <v>99</v>
      </c>
      <c r="M192" s="12"/>
      <c r="N192" s="12"/>
      <c r="O192" s="12">
        <f>(Tabla1[[#This Row],[COSTO FIJO ]]/30)*Tabla1[[#This Row],[TOTAL DIAS PROYECTO]]+(Tabla1[[#This Row],[COSTO TEMPORAL]])</f>
        <v>0</v>
      </c>
      <c r="P192" s="12"/>
      <c r="Q192" s="12">
        <f>+(Tabla1[[#This Row],[COSTO COCHE]]/30)*Tabla1[[#This Row],[TOTAL DIAS PROYECTO]]</f>
        <v>0</v>
      </c>
      <c r="R192" s="12">
        <f>+Tabla1[[#This Row],[COSTO TOTAL ALOJAMIENTO]]+Tabla1[[#This Row],[COSTO TOTAL COCHE]]</f>
        <v>0</v>
      </c>
      <c r="S192" s="2" t="s">
        <v>84</v>
      </c>
      <c r="T192" s="2" t="s">
        <v>44</v>
      </c>
      <c r="U192" s="14">
        <v>45449</v>
      </c>
      <c r="V192" s="14">
        <v>45571</v>
      </c>
      <c r="W192" s="26"/>
      <c r="X192" s="2"/>
      <c r="Y192" s="31" t="s">
        <v>678</v>
      </c>
      <c r="Z192" s="2" t="s">
        <v>36</v>
      </c>
      <c r="AA192" s="13" t="s">
        <v>10391</v>
      </c>
      <c r="AB192" s="13" t="s">
        <v>10392</v>
      </c>
    </row>
    <row r="193" spans="1:28">
      <c r="A193" s="2" t="s">
        <v>8771</v>
      </c>
      <c r="B193" s="2" t="s">
        <v>28</v>
      </c>
      <c r="C193" s="18" t="s">
        <v>679</v>
      </c>
      <c r="D193" s="2" t="s">
        <v>161</v>
      </c>
      <c r="E193" s="2" t="s">
        <v>162</v>
      </c>
      <c r="F193" s="11" t="s">
        <v>163</v>
      </c>
      <c r="G193" s="11"/>
      <c r="H193" s="2" t="s">
        <v>164</v>
      </c>
      <c r="I193" s="2" t="s">
        <v>165</v>
      </c>
      <c r="J193" s="8">
        <f>+Tabla1[[#This Row],[FECHA ENTRADA]]</f>
        <v>45355</v>
      </c>
      <c r="K193" s="8">
        <v>45548</v>
      </c>
      <c r="L193" s="13">
        <f>_xlfn.DAYS(Tabla1[[#This Row],[FECHA FIN ]],Tabla1[[#This Row],[FECHA INICIO]])</f>
        <v>193</v>
      </c>
      <c r="M193" s="12"/>
      <c r="N193" s="12">
        <v>325</v>
      </c>
      <c r="O193" s="12">
        <f>(Tabla1[[#This Row],[COSTO FIJO ]]/30)*Tabla1[[#This Row],[TOTAL DIAS PROYECTO]]+(Tabla1[[#This Row],[COSTO TEMPORAL]])</f>
        <v>2090.8333333333335</v>
      </c>
      <c r="P193" s="12"/>
      <c r="Q193" s="12">
        <f>+(Tabla1[[#This Row],[COSTO COCHE]]/30)*Tabla1[[#This Row],[TOTAL DIAS PROYECTO]]</f>
        <v>0</v>
      </c>
      <c r="R193" s="12">
        <f>+Tabla1[[#This Row],[COSTO TOTAL ALOJAMIENTO]]+Tabla1[[#This Row],[COSTO TOTAL COCHE]]</f>
        <v>2090.8333333333335</v>
      </c>
      <c r="S193" s="2" t="s">
        <v>84</v>
      </c>
      <c r="T193" s="2" t="s">
        <v>35</v>
      </c>
      <c r="U193" s="14">
        <v>45355</v>
      </c>
      <c r="V193" s="14">
        <v>45364</v>
      </c>
      <c r="W193" s="15"/>
      <c r="X193" s="16">
        <v>3</v>
      </c>
      <c r="Y193" s="18" t="s">
        <v>680</v>
      </c>
      <c r="Z193" s="2" t="s">
        <v>36</v>
      </c>
      <c r="AA193" s="13" t="s">
        <v>10347</v>
      </c>
      <c r="AB193" s="13" t="s">
        <v>10348</v>
      </c>
    </row>
    <row r="194" spans="1:28" ht="15" customHeight="1">
      <c r="A194" s="2" t="s">
        <v>8772</v>
      </c>
      <c r="B194" s="2" t="s">
        <v>28</v>
      </c>
      <c r="C194" s="18" t="s">
        <v>681</v>
      </c>
      <c r="D194" s="2" t="s">
        <v>30</v>
      </c>
      <c r="E194" s="2" t="s">
        <v>127</v>
      </c>
      <c r="F194" s="11" t="s">
        <v>682</v>
      </c>
      <c r="G194" s="11" t="s">
        <v>683</v>
      </c>
      <c r="H194" s="2" t="s">
        <v>684</v>
      </c>
      <c r="I194" s="12" t="s">
        <v>377</v>
      </c>
      <c r="J194" s="8">
        <f>+Tabla1[[#This Row],[FECHA ENTRADA]]</f>
        <v>45479</v>
      </c>
      <c r="K194" s="8">
        <v>45548</v>
      </c>
      <c r="L194" s="13">
        <f>_xlfn.DAYS(Tabla1[[#This Row],[FECHA FIN ]],Tabla1[[#This Row],[FECHA INICIO]])</f>
        <v>69</v>
      </c>
      <c r="M194" s="12"/>
      <c r="N194" s="12">
        <v>440</v>
      </c>
      <c r="O194" s="12">
        <f>(Tabla1[[#This Row],[COSTO FIJO ]]/30)*Tabla1[[#This Row],[TOTAL DIAS PROYECTO]]+(Tabla1[[#This Row],[COSTO TEMPORAL]])</f>
        <v>1012</v>
      </c>
      <c r="P194" s="12"/>
      <c r="Q194" s="12">
        <f>+(Tabla1[[#This Row],[COSTO COCHE]]/30)*Tabla1[[#This Row],[TOTAL DIAS PROYECTO]]</f>
        <v>0</v>
      </c>
      <c r="R194" s="12">
        <f>+Tabla1[[#This Row],[COSTO TOTAL ALOJAMIENTO]]+Tabla1[[#This Row],[COSTO TOTAL COCHE]]</f>
        <v>1012</v>
      </c>
      <c r="S194" s="2"/>
      <c r="T194" s="2" t="s">
        <v>35</v>
      </c>
      <c r="U194" s="14">
        <v>45479</v>
      </c>
      <c r="V194" s="14"/>
      <c r="W194" s="26">
        <v>650</v>
      </c>
      <c r="X194" s="2">
        <v>5</v>
      </c>
      <c r="Y194" s="31" t="s">
        <v>685</v>
      </c>
      <c r="Z194" s="2" t="s">
        <v>36</v>
      </c>
      <c r="AA194" s="13" t="s">
        <v>10342</v>
      </c>
      <c r="AB194" s="13" t="s">
        <v>10343</v>
      </c>
    </row>
    <row r="195" spans="1:28" ht="15" customHeight="1">
      <c r="A195" s="2" t="s">
        <v>8749</v>
      </c>
      <c r="B195" s="2" t="s">
        <v>28</v>
      </c>
      <c r="C195" s="11" t="s">
        <v>584</v>
      </c>
      <c r="D195" s="2" t="s">
        <v>30</v>
      </c>
      <c r="E195" s="2" t="s">
        <v>686</v>
      </c>
      <c r="F195" s="11" t="s">
        <v>687</v>
      </c>
      <c r="G195" s="46" t="s">
        <v>688</v>
      </c>
      <c r="H195" s="2" t="s">
        <v>651</v>
      </c>
      <c r="I195" s="12" t="s">
        <v>96</v>
      </c>
      <c r="J195" s="41">
        <f>+Tabla1[[#This Row],[FECHA ENTRADA]]</f>
        <v>45872</v>
      </c>
      <c r="K195" s="41">
        <v>45892</v>
      </c>
      <c r="L195" s="42">
        <f>_xlfn.DAYS(Tabla1[[#This Row],[FECHA FIN ]],Tabla1[[#This Row],[FECHA INICIO]])</f>
        <v>20</v>
      </c>
      <c r="M195" s="12"/>
      <c r="N195" s="12">
        <f>1503.88/3+120/2</f>
        <v>561.29333333333329</v>
      </c>
      <c r="O195" s="28">
        <f>(Tabla1[[#This Row],[COSTO FIJO ]]/30)*Tabla1[[#This Row],[TOTAL DIAS PROYECTO]]+(Tabla1[[#This Row],[COSTO TEMPORAL]])</f>
        <v>374.19555555555553</v>
      </c>
      <c r="P195" s="12"/>
      <c r="Q195" s="12">
        <f>+(Tabla1[[#This Row],[COSTO COCHE]]/30)*Tabla1[[#This Row],[TOTAL DIAS PROYECTO]]</f>
        <v>0</v>
      </c>
      <c r="R195" s="12">
        <f>+Tabla1[[#This Row],[COSTO TOTAL ALOJAMIENTO]]+Tabla1[[#This Row],[COSTO TOTAL COCHE]]</f>
        <v>374.19555555555553</v>
      </c>
      <c r="S195" s="2" t="s">
        <v>84</v>
      </c>
      <c r="T195" s="14" t="s">
        <v>44</v>
      </c>
      <c r="U195" s="14">
        <v>45872</v>
      </c>
      <c r="V195" s="43">
        <v>45890</v>
      </c>
      <c r="W195" s="12"/>
      <c r="X195" s="2"/>
      <c r="Y195" s="67" t="s">
        <v>689</v>
      </c>
      <c r="Z195" s="2" t="s">
        <v>36</v>
      </c>
      <c r="AA195" s="13" t="s">
        <v>10393</v>
      </c>
      <c r="AB195" s="13">
        <v>3834517</v>
      </c>
    </row>
    <row r="196" spans="1:28" ht="15" customHeight="1">
      <c r="A196" s="2" t="s">
        <v>8773</v>
      </c>
      <c r="B196" s="2" t="s">
        <v>28</v>
      </c>
      <c r="C196" s="11" t="s">
        <v>690</v>
      </c>
      <c r="D196" s="2" t="s">
        <v>30</v>
      </c>
      <c r="E196" s="2" t="s">
        <v>259</v>
      </c>
      <c r="F196" s="11" t="s">
        <v>691</v>
      </c>
      <c r="G196" s="11" t="s">
        <v>692</v>
      </c>
      <c r="H196" s="2" t="s">
        <v>693</v>
      </c>
      <c r="I196" s="12" t="s">
        <v>292</v>
      </c>
      <c r="J196" s="8">
        <f>+Tabla1[[#This Row],[FECHA ENTRADA]]</f>
        <v>45458</v>
      </c>
      <c r="K196" s="8">
        <v>45548</v>
      </c>
      <c r="L196" s="13">
        <f>_xlfn.DAYS(Tabla1[[#This Row],[FECHA FIN ]],Tabla1[[#This Row],[FECHA INICIO]])</f>
        <v>90</v>
      </c>
      <c r="M196" s="12"/>
      <c r="N196" s="12">
        <v>425</v>
      </c>
      <c r="O196" s="12">
        <f>(Tabla1[[#This Row],[COSTO FIJO ]]/30)*Tabla1[[#This Row],[TOTAL DIAS PROYECTO]]+(Tabla1[[#This Row],[COSTO TEMPORAL]])</f>
        <v>1275</v>
      </c>
      <c r="P196" s="12"/>
      <c r="Q196" s="12">
        <f>+(Tabla1[[#This Row],[COSTO COCHE]]/30)*Tabla1[[#This Row],[TOTAL DIAS PROYECTO]]</f>
        <v>0</v>
      </c>
      <c r="R196" s="12">
        <f>+Tabla1[[#This Row],[COSTO TOTAL ALOJAMIENTO]]+Tabla1[[#This Row],[COSTO TOTAL COCHE]]</f>
        <v>1275</v>
      </c>
      <c r="S196" s="2"/>
      <c r="T196" s="2" t="s">
        <v>35</v>
      </c>
      <c r="U196" s="14">
        <v>45458</v>
      </c>
      <c r="V196" s="14"/>
      <c r="W196" s="26"/>
      <c r="X196" s="2">
        <v>15</v>
      </c>
      <c r="Y196" s="31" t="s">
        <v>685</v>
      </c>
      <c r="Z196" s="2" t="s">
        <v>36</v>
      </c>
      <c r="AA196" s="13">
        <v>-0.87734000000000001</v>
      </c>
      <c r="AB196" s="13" t="s">
        <v>10359</v>
      </c>
    </row>
    <row r="197" spans="1:28">
      <c r="A197" s="2" t="s">
        <v>8774</v>
      </c>
      <c r="B197" s="2" t="s">
        <v>28</v>
      </c>
      <c r="C197" s="11" t="s">
        <v>694</v>
      </c>
      <c r="D197" s="2" t="s">
        <v>30</v>
      </c>
      <c r="E197" s="2" t="s">
        <v>127</v>
      </c>
      <c r="F197" s="11" t="s">
        <v>682</v>
      </c>
      <c r="G197" s="11" t="s">
        <v>683</v>
      </c>
      <c r="H197" s="2" t="s">
        <v>376</v>
      </c>
      <c r="I197" s="12" t="s">
        <v>377</v>
      </c>
      <c r="J197" s="8">
        <f>+Tabla1[[#This Row],[FECHA ENTRADA]]</f>
        <v>45466</v>
      </c>
      <c r="K197" s="8">
        <v>45548</v>
      </c>
      <c r="L197" s="13">
        <f>_xlfn.DAYS(Tabla1[[#This Row],[FECHA FIN ]],Tabla1[[#This Row],[FECHA INICIO]])</f>
        <v>82</v>
      </c>
      <c r="M197" s="12"/>
      <c r="N197" s="12"/>
      <c r="O197" s="12">
        <f>(Tabla1[[#This Row],[COSTO FIJO ]]/30)*Tabla1[[#This Row],[TOTAL DIAS PROYECTO]]+(Tabla1[[#This Row],[COSTO TEMPORAL]])</f>
        <v>0</v>
      </c>
      <c r="P197" s="12"/>
      <c r="Q197" s="12">
        <f>+(Tabla1[[#This Row],[COSTO COCHE]]/30)*Tabla1[[#This Row],[TOTAL DIAS PROYECTO]]</f>
        <v>0</v>
      </c>
      <c r="R197" s="12">
        <f>+Tabla1[[#This Row],[COSTO TOTAL ALOJAMIENTO]]+Tabla1[[#This Row],[COSTO TOTAL COCHE]]</f>
        <v>0</v>
      </c>
      <c r="S197" s="2"/>
      <c r="T197" s="2" t="s">
        <v>35</v>
      </c>
      <c r="U197" s="14">
        <v>45466</v>
      </c>
      <c r="V197" s="14"/>
      <c r="W197" s="26">
        <v>600</v>
      </c>
      <c r="X197" s="2">
        <v>20</v>
      </c>
      <c r="Y197" s="11" t="s">
        <v>695</v>
      </c>
      <c r="Z197" s="2" t="s">
        <v>36</v>
      </c>
      <c r="AA197" s="13" t="s">
        <v>10342</v>
      </c>
      <c r="AB197" s="13" t="s">
        <v>10343</v>
      </c>
    </row>
    <row r="198" spans="1:28">
      <c r="A198" s="2" t="s">
        <v>8775</v>
      </c>
      <c r="B198" s="2" t="s">
        <v>606</v>
      </c>
      <c r="C198" s="31" t="s">
        <v>696</v>
      </c>
      <c r="D198" s="2" t="s">
        <v>99</v>
      </c>
      <c r="E198" s="2" t="s">
        <v>422</v>
      </c>
      <c r="F198" s="11" t="s">
        <v>697</v>
      </c>
      <c r="G198" s="68" t="s">
        <v>698</v>
      </c>
      <c r="H198" s="2" t="s">
        <v>699</v>
      </c>
      <c r="I198" s="12" t="s">
        <v>700</v>
      </c>
      <c r="J198" s="22">
        <f>+Tabla1[[#This Row],[FECHA ENTRADA]]</f>
        <v>45810</v>
      </c>
      <c r="K198" s="22">
        <v>46252</v>
      </c>
      <c r="L198" s="23">
        <f>_xlfn.DAYS(Tabla1[[#This Row],[FECHA FIN ]],Tabla1[[#This Row],[FECHA INICIO]])</f>
        <v>442</v>
      </c>
      <c r="M198" s="12"/>
      <c r="N198" s="12">
        <v>690</v>
      </c>
      <c r="O198" s="24">
        <f>(Tabla1[[#This Row],[COSTO FIJO ]]/30)*Tabla1[[#This Row],[TOTAL DIAS PROYECTO]]+(Tabla1[[#This Row],[COSTO TEMPORAL]])</f>
        <v>10166</v>
      </c>
      <c r="P198" s="12"/>
      <c r="Q198" s="12">
        <f>+(Tabla1[[#This Row],[COSTO COCHE]]/30)*Tabla1[[#This Row],[TOTAL DIAS PROYECTO]]</f>
        <v>0</v>
      </c>
      <c r="R198" s="12">
        <f>+Tabla1[[#This Row],[COSTO TOTAL ALOJAMIENTO]]+Tabla1[[#This Row],[COSTO TOTAL COCHE]]</f>
        <v>10166</v>
      </c>
      <c r="S198" s="2"/>
      <c r="T198" s="14" t="s">
        <v>613</v>
      </c>
      <c r="U198" s="14">
        <v>45810</v>
      </c>
      <c r="V198" s="25"/>
      <c r="W198" s="12">
        <v>2760</v>
      </c>
      <c r="X198" s="2">
        <v>1</v>
      </c>
      <c r="Y198" t="s">
        <v>701</v>
      </c>
      <c r="Z198" s="2" t="s">
        <v>702</v>
      </c>
      <c r="AA198" s="13">
        <v>-326.69799999999998</v>
      </c>
      <c r="AB198" s="13" t="s">
        <v>10373</v>
      </c>
    </row>
    <row r="199" spans="1:28" ht="15" customHeight="1">
      <c r="A199" s="2" t="s">
        <v>8776</v>
      </c>
      <c r="B199" s="2" t="s">
        <v>28</v>
      </c>
      <c r="C199" s="11" t="s">
        <v>703</v>
      </c>
      <c r="D199" s="2" t="s">
        <v>78</v>
      </c>
      <c r="E199" s="2" t="s">
        <v>79</v>
      </c>
      <c r="F199" s="11" t="s">
        <v>142</v>
      </c>
      <c r="G199" s="11" t="s">
        <v>143</v>
      </c>
      <c r="H199" s="2" t="s">
        <v>704</v>
      </c>
      <c r="I199" s="29" t="s">
        <v>145</v>
      </c>
      <c r="J199" s="8">
        <f>+Tabla1[[#This Row],[FECHA ENTRADA]]</f>
        <v>45427</v>
      </c>
      <c r="K199" s="8">
        <v>45550</v>
      </c>
      <c r="L199" s="13">
        <f>_xlfn.DAYS(Tabla1[[#This Row],[FECHA FIN ]],Tabla1[[#This Row],[FECHA INICIO]])</f>
        <v>123</v>
      </c>
      <c r="M199" s="12"/>
      <c r="N199" s="12">
        <v>584.5</v>
      </c>
      <c r="O199" s="12">
        <f>(Tabla1[[#This Row],[COSTO FIJO ]]/30)*Tabla1[[#This Row],[TOTAL DIAS PROYECTO]]+(Tabla1[[#This Row],[COSTO TEMPORAL]])</f>
        <v>2396.4500000000003</v>
      </c>
      <c r="P199" s="12"/>
      <c r="Q199" s="12">
        <f>+(Tabla1[[#This Row],[COSTO COCHE]]/30)*Tabla1[[#This Row],[TOTAL DIAS PROYECTO]]</f>
        <v>0</v>
      </c>
      <c r="R199" s="12">
        <f>+Tabla1[[#This Row],[COSTO TOTAL ALOJAMIENTO]]+Tabla1[[#This Row],[COSTO TOTAL COCHE]]</f>
        <v>2396.4500000000003</v>
      </c>
      <c r="S199" s="2"/>
      <c r="T199" s="2" t="s">
        <v>44</v>
      </c>
      <c r="U199" s="14">
        <v>45427</v>
      </c>
      <c r="V199" s="14">
        <v>45550</v>
      </c>
      <c r="W199" s="26"/>
      <c r="X199" s="2">
        <v>12</v>
      </c>
      <c r="Y199" s="11"/>
      <c r="Z199" s="2" t="s">
        <v>36</v>
      </c>
      <c r="AA199" s="13" t="s">
        <v>10333</v>
      </c>
      <c r="AB199" s="13" t="s">
        <v>10334</v>
      </c>
    </row>
    <row r="200" spans="1:28">
      <c r="A200" s="2" t="s">
        <v>8642</v>
      </c>
      <c r="B200" s="2" t="s">
        <v>28</v>
      </c>
      <c r="C200" s="11" t="s">
        <v>705</v>
      </c>
      <c r="D200" s="2" t="s">
        <v>30</v>
      </c>
      <c r="E200" s="2" t="s">
        <v>151</v>
      </c>
      <c r="F200" s="11" t="s">
        <v>706</v>
      </c>
      <c r="G200" s="11" t="s">
        <v>707</v>
      </c>
      <c r="H200" s="2">
        <v>2023</v>
      </c>
      <c r="I200" s="12" t="s">
        <v>152</v>
      </c>
      <c r="J200" s="8">
        <v>45088</v>
      </c>
      <c r="K200" s="8">
        <v>45550</v>
      </c>
      <c r="L200" s="13">
        <f>_xlfn.DAYS(Tabla1[[#This Row],[FECHA FIN ]],Tabla1[[#This Row],[FECHA INICIO]])</f>
        <v>462</v>
      </c>
      <c r="M200" s="12"/>
      <c r="N200" s="12">
        <v>290</v>
      </c>
      <c r="O200" s="12">
        <f>(Tabla1[[#This Row],[COSTO FIJO ]]/30)*Tabla1[[#This Row],[TOTAL DIAS PROYECTO]]+(Tabla1[[#This Row],[COSTO TEMPORAL]])</f>
        <v>4466</v>
      </c>
      <c r="P200" s="12"/>
      <c r="Q200" s="12">
        <f>+(Tabla1[[#This Row],[COSTO COCHE]]/30)*Tabla1[[#This Row],[TOTAL DIAS PROYECTO]]</f>
        <v>0</v>
      </c>
      <c r="R200" s="12">
        <f>+Tabla1[[#This Row],[COSTO TOTAL ALOJAMIENTO]]+Tabla1[[#This Row],[COSTO TOTAL COCHE]]</f>
        <v>4466</v>
      </c>
      <c r="S200" s="2"/>
      <c r="T200" s="2" t="s">
        <v>35</v>
      </c>
      <c r="U200" s="14"/>
      <c r="V200" s="14"/>
      <c r="W200" s="15"/>
      <c r="X200" s="16">
        <v>10</v>
      </c>
      <c r="Y200" s="11" t="s">
        <v>708</v>
      </c>
      <c r="Z200" s="2" t="s">
        <v>36</v>
      </c>
      <c r="AA200" s="13" t="s">
        <v>10345</v>
      </c>
      <c r="AB200" s="13" t="s">
        <v>10346</v>
      </c>
    </row>
    <row r="201" spans="1:28" ht="15" customHeight="1">
      <c r="A201" s="2" t="s">
        <v>8742</v>
      </c>
      <c r="B201" s="2" t="s">
        <v>28</v>
      </c>
      <c r="C201" s="11" t="s">
        <v>535</v>
      </c>
      <c r="D201" s="2" t="s">
        <v>30</v>
      </c>
      <c r="E201" s="2" t="s">
        <v>151</v>
      </c>
      <c r="F201" s="11"/>
      <c r="G201" s="11"/>
      <c r="H201" s="2" t="s">
        <v>709</v>
      </c>
      <c r="I201" s="12" t="s">
        <v>152</v>
      </c>
      <c r="J201" s="8">
        <f>+Tabla1[[#This Row],[FECHA ENTRADA]]</f>
        <v>45536</v>
      </c>
      <c r="K201" s="8">
        <v>45550</v>
      </c>
      <c r="L201" s="13">
        <f>_xlfn.DAYS(Tabla1[[#This Row],[FECHA FIN ]],Tabla1[[#This Row],[FECHA INICIO]])</f>
        <v>14</v>
      </c>
      <c r="M201" s="12"/>
      <c r="N201" s="12">
        <v>120</v>
      </c>
      <c r="O201" s="12">
        <f>(Tabla1[[#This Row],[COSTO FIJO ]]/30)*Tabla1[[#This Row],[TOTAL DIAS PROYECTO]]+(Tabla1[[#This Row],[COSTO TEMPORAL]])</f>
        <v>56</v>
      </c>
      <c r="P201" s="12"/>
      <c r="Q201" s="12">
        <f>+(Tabla1[[#This Row],[COSTO COCHE]]/30)*Tabla1[[#This Row],[TOTAL DIAS PROYECTO]]</f>
        <v>0</v>
      </c>
      <c r="R201" s="12">
        <f>+Tabla1[[#This Row],[COSTO TOTAL ALOJAMIENTO]]+Tabla1[[#This Row],[COSTO TOTAL COCHE]]</f>
        <v>56</v>
      </c>
      <c r="S201" s="2"/>
      <c r="T201" s="2" t="s">
        <v>44</v>
      </c>
      <c r="U201" s="14">
        <v>45536</v>
      </c>
      <c r="V201" s="14"/>
      <c r="W201" s="26"/>
      <c r="X201" s="2"/>
      <c r="Y201" s="11" t="s">
        <v>710</v>
      </c>
      <c r="Z201" s="2" t="s">
        <v>36</v>
      </c>
      <c r="AA201" s="13" t="s">
        <v>10345</v>
      </c>
      <c r="AB201" s="13" t="s">
        <v>10346</v>
      </c>
    </row>
    <row r="202" spans="1:28" ht="15" customHeight="1">
      <c r="A202" s="2" t="s">
        <v>8749</v>
      </c>
      <c r="B202" s="2" t="s">
        <v>711</v>
      </c>
      <c r="C202" s="69" t="s">
        <v>584</v>
      </c>
      <c r="D202" s="2" t="s">
        <v>30</v>
      </c>
      <c r="E202" s="2" t="s">
        <v>648</v>
      </c>
      <c r="F202" s="11" t="s">
        <v>712</v>
      </c>
      <c r="G202" s="70" t="s">
        <v>713</v>
      </c>
      <c r="H202" s="2" t="s">
        <v>651</v>
      </c>
      <c r="I202" s="12" t="s">
        <v>96</v>
      </c>
      <c r="J202" s="41">
        <f>+Tabla1[[#This Row],[FECHA ENTRADA]]</f>
        <v>45891</v>
      </c>
      <c r="K202" s="8">
        <v>46096</v>
      </c>
      <c r="L202" s="42">
        <f>_xlfn.DAYS(Tabla1[[#This Row],[FECHA FIN ]],Tabla1[[#This Row],[FECHA INICIO]])</f>
        <v>205</v>
      </c>
      <c r="M202" s="12"/>
      <c r="N202" s="24">
        <v>200</v>
      </c>
      <c r="O202" s="28">
        <f>(Tabla1[[#This Row],[COSTO FIJO ]]/30)*Tabla1[[#This Row],[TOTAL DIAS PROYECTO]]+(Tabla1[[#This Row],[COSTO TEMPORAL]])</f>
        <v>1366.6666666666667</v>
      </c>
      <c r="P202" s="12"/>
      <c r="Q202" s="12">
        <f>+(Tabla1[[#This Row],[COSTO COCHE]]/30)*Tabla1[[#This Row],[TOTAL DIAS PROYECTO]]</f>
        <v>0</v>
      </c>
      <c r="R202" s="12">
        <f>+Tabla1[[#This Row],[COSTO TOTAL ALOJAMIENTO]]+Tabla1[[#This Row],[COSTO TOTAL COCHE]]</f>
        <v>1366.6666666666667</v>
      </c>
      <c r="S202" s="2"/>
      <c r="T202" s="14" t="s">
        <v>35</v>
      </c>
      <c r="U202" s="14">
        <v>45891</v>
      </c>
      <c r="V202" s="43"/>
      <c r="W202" s="71"/>
      <c r="X202" s="2">
        <v>14</v>
      </c>
      <c r="Y202" s="11" t="s">
        <v>714</v>
      </c>
      <c r="Z202" s="2" t="s">
        <v>36</v>
      </c>
      <c r="AA202" s="13" t="s">
        <v>10387</v>
      </c>
      <c r="AB202" s="13" t="s">
        <v>10388</v>
      </c>
    </row>
    <row r="203" spans="1:28" ht="15" customHeight="1">
      <c r="A203" s="2" t="s">
        <v>8708</v>
      </c>
      <c r="B203" s="2" t="s">
        <v>28</v>
      </c>
      <c r="C203" s="18" t="s">
        <v>388</v>
      </c>
      <c r="D203" s="2" t="s">
        <v>99</v>
      </c>
      <c r="E203" s="2" t="s">
        <v>31</v>
      </c>
      <c r="F203" s="11" t="s">
        <v>715</v>
      </c>
      <c r="G203" s="11" t="s">
        <v>716</v>
      </c>
      <c r="H203" s="2" t="s">
        <v>717</v>
      </c>
      <c r="I203" s="12" t="s">
        <v>718</v>
      </c>
      <c r="J203" s="8">
        <v>45453</v>
      </c>
      <c r="K203" s="8">
        <v>45514</v>
      </c>
      <c r="L203" s="13">
        <f>_xlfn.DAYS(Tabla1[[#This Row],[FECHA FIN ]],Tabla1[[#This Row],[FECHA INICIO]])</f>
        <v>61</v>
      </c>
      <c r="M203" s="12"/>
      <c r="N203" s="12">
        <v>160</v>
      </c>
      <c r="O203" s="12">
        <f>(Tabla1[[#This Row],[COSTO FIJO ]]/30)*Tabla1[[#This Row],[TOTAL DIAS PROYECTO]]+(Tabla1[[#This Row],[COSTO TEMPORAL]])</f>
        <v>325.33333333333331</v>
      </c>
      <c r="P203" s="12"/>
      <c r="Q203" s="12">
        <f>+(Tabla1[[#This Row],[COSTO COCHE]]/30)*Tabla1[[#This Row],[TOTAL DIAS PROYECTO]]</f>
        <v>0</v>
      </c>
      <c r="R203" s="12">
        <f>+Tabla1[[#This Row],[COSTO TOTAL ALOJAMIENTO]]+Tabla1[[#This Row],[COSTO TOTAL COCHE]]</f>
        <v>325.33333333333331</v>
      </c>
      <c r="S203" s="2"/>
      <c r="T203" s="2" t="s">
        <v>35</v>
      </c>
      <c r="U203" s="14">
        <v>45299</v>
      </c>
      <c r="V203" s="14"/>
      <c r="W203" s="26"/>
      <c r="X203" s="2">
        <v>1</v>
      </c>
      <c r="Y203" s="11" t="s">
        <v>719</v>
      </c>
      <c r="Z203" s="2" t="s">
        <v>36</v>
      </c>
      <c r="AA203" s="13" t="s">
        <v>10323</v>
      </c>
      <c r="AB203" s="13" t="s">
        <v>10324</v>
      </c>
    </row>
    <row r="204" spans="1:28">
      <c r="A204" s="2" t="s">
        <v>8724</v>
      </c>
      <c r="B204" s="2" t="s">
        <v>28</v>
      </c>
      <c r="C204" s="11" t="s">
        <v>457</v>
      </c>
      <c r="D204" s="2" t="s">
        <v>30</v>
      </c>
      <c r="E204" s="2" t="s">
        <v>720</v>
      </c>
      <c r="F204" s="11" t="s">
        <v>721</v>
      </c>
      <c r="G204" s="11" t="s">
        <v>722</v>
      </c>
      <c r="H204" s="2" t="s">
        <v>723</v>
      </c>
      <c r="I204" s="12" t="s">
        <v>547</v>
      </c>
      <c r="J204" s="8">
        <f>+Tabla1[[#This Row],[FECHA ENTRADA]]</f>
        <v>45509</v>
      </c>
      <c r="K204" s="8">
        <v>45553</v>
      </c>
      <c r="L204" s="13">
        <f>_xlfn.DAYS(Tabla1[[#This Row],[FECHA FIN ]],Tabla1[[#This Row],[FECHA INICIO]])</f>
        <v>44</v>
      </c>
      <c r="M204" s="12"/>
      <c r="N204" s="12">
        <v>333.33333333333331</v>
      </c>
      <c r="O204" s="12">
        <f>(Tabla1[[#This Row],[COSTO FIJO ]]/30)*Tabla1[[#This Row],[TOTAL DIAS PROYECTO]]+(Tabla1[[#This Row],[COSTO TEMPORAL]])</f>
        <v>488.88888888888886</v>
      </c>
      <c r="P204" s="12">
        <f>+(576.73*50%)/2</f>
        <v>144.1825</v>
      </c>
      <c r="Q204" s="12">
        <f>+(Tabla1[[#This Row],[COSTO COCHE]]/30)*Tabla1[[#This Row],[TOTAL DIAS PROYECTO]]</f>
        <v>211.46766666666667</v>
      </c>
      <c r="R204" s="12">
        <f>+Tabla1[[#This Row],[COSTO TOTAL ALOJAMIENTO]]+Tabla1[[#This Row],[COSTO TOTAL COCHE]]</f>
        <v>700.35655555555559</v>
      </c>
      <c r="S204" s="2"/>
      <c r="T204" s="2" t="s">
        <v>35</v>
      </c>
      <c r="U204" s="14">
        <v>45509</v>
      </c>
      <c r="V204" s="14"/>
      <c r="W204" s="26">
        <v>250</v>
      </c>
      <c r="X204" s="2">
        <v>1</v>
      </c>
      <c r="Y204" s="11" t="s">
        <v>724</v>
      </c>
      <c r="Z204" s="2" t="s">
        <v>36</v>
      </c>
      <c r="AA204" s="13" t="s">
        <v>10394</v>
      </c>
      <c r="AB204" s="13" t="s">
        <v>10395</v>
      </c>
    </row>
    <row r="205" spans="1:28" ht="15" customHeight="1">
      <c r="A205" s="2" t="s">
        <v>8777</v>
      </c>
      <c r="B205" s="2" t="s">
        <v>368</v>
      </c>
      <c r="C205" s="11" t="s">
        <v>725</v>
      </c>
      <c r="D205" s="2" t="s">
        <v>99</v>
      </c>
      <c r="E205" s="2" t="s">
        <v>87</v>
      </c>
      <c r="F205" s="11"/>
      <c r="G205" s="49"/>
      <c r="H205" s="2" t="s">
        <v>726</v>
      </c>
      <c r="I205" s="12" t="s">
        <v>727</v>
      </c>
      <c r="J205" s="22">
        <v>45536</v>
      </c>
      <c r="K205" s="22">
        <v>45554</v>
      </c>
      <c r="L205" s="23">
        <f>_xlfn.DAYS(Tabla1[[#This Row],[FECHA FIN ]],Tabla1[[#This Row],[FECHA INICIO]])</f>
        <v>18</v>
      </c>
      <c r="M205" s="12"/>
      <c r="N205" s="12"/>
      <c r="O205" s="24">
        <f>(Tabla1[[#This Row],[COSTO FIJO ]]/30)*Tabla1[[#This Row],[TOTAL DIAS PROYECTO]]+(Tabla1[[#This Row],[COSTO TEMPORAL]])</f>
        <v>0</v>
      </c>
      <c r="P205" s="12"/>
      <c r="Q205" s="12">
        <f>+(Tabla1[[#This Row],[COSTO COCHE]]/30)*Tabla1[[#This Row],[TOTAL DIAS PROYECTO]]</f>
        <v>0</v>
      </c>
      <c r="R205" s="12">
        <f>+Tabla1[[#This Row],[COSTO TOTAL ALOJAMIENTO]]+Tabla1[[#This Row],[COSTO TOTAL COCHE]]</f>
        <v>0</v>
      </c>
      <c r="S205" s="2"/>
      <c r="T205" s="2" t="s">
        <v>44</v>
      </c>
      <c r="U205" s="14">
        <v>45536</v>
      </c>
      <c r="V205" s="25">
        <v>45554</v>
      </c>
      <c r="W205" s="26"/>
      <c r="X205" s="2"/>
      <c r="Y205" s="11"/>
      <c r="Z205" s="2" t="s">
        <v>36</v>
      </c>
      <c r="AA205" s="13" t="s">
        <v>10335</v>
      </c>
      <c r="AB205" s="13">
        <v>404.16500000000002</v>
      </c>
    </row>
    <row r="206" spans="1:28" ht="15" customHeight="1">
      <c r="A206" s="2" t="s">
        <v>8778</v>
      </c>
      <c r="B206" s="2" t="s">
        <v>28</v>
      </c>
      <c r="C206" s="11" t="s">
        <v>728</v>
      </c>
      <c r="D206" s="2" t="s">
        <v>30</v>
      </c>
      <c r="E206" s="2" t="s">
        <v>31</v>
      </c>
      <c r="F206" s="11" t="s">
        <v>715</v>
      </c>
      <c r="G206" s="11" t="s">
        <v>716</v>
      </c>
      <c r="H206" s="2" t="s">
        <v>729</v>
      </c>
      <c r="I206" s="12" t="s">
        <v>527</v>
      </c>
      <c r="J206" s="8">
        <f>+Tabla1[[#This Row],[FECHA ENTRADA]]</f>
        <v>45496</v>
      </c>
      <c r="K206" s="8">
        <v>45551</v>
      </c>
      <c r="L206" s="13">
        <f>_xlfn.DAYS(Tabla1[[#This Row],[FECHA FIN ]],Tabla1[[#This Row],[FECHA INICIO]])</f>
        <v>55</v>
      </c>
      <c r="M206" s="12"/>
      <c r="N206" s="12">
        <v>160</v>
      </c>
      <c r="O206" s="12">
        <f>(Tabla1[[#This Row],[COSTO FIJO ]]/30)*Tabla1[[#This Row],[TOTAL DIAS PROYECTO]]+(Tabla1[[#This Row],[COSTO TEMPORAL]])</f>
        <v>293.33333333333331</v>
      </c>
      <c r="P206" s="12">
        <f>+(((800*3)+520.54)*50%)/19</f>
        <v>76.856315789473683</v>
      </c>
      <c r="Q206" s="12">
        <f>+(Tabla1[[#This Row],[COSTO COCHE]]/30)*Tabla1[[#This Row],[TOTAL DIAS PROYECTO]]</f>
        <v>140.90324561403509</v>
      </c>
      <c r="R206" s="12">
        <f>+Tabla1[[#This Row],[COSTO TOTAL ALOJAMIENTO]]+Tabla1[[#This Row],[COSTO TOTAL COCHE]]</f>
        <v>434.2365789473684</v>
      </c>
      <c r="S206" s="2"/>
      <c r="T206" s="2" t="s">
        <v>35</v>
      </c>
      <c r="U206" s="14">
        <v>45496</v>
      </c>
      <c r="V206" s="14"/>
      <c r="W206" s="26"/>
      <c r="X206" s="2">
        <v>1</v>
      </c>
      <c r="Y206" s="11" t="s">
        <v>730</v>
      </c>
      <c r="Z206" s="2" t="s">
        <v>36</v>
      </c>
      <c r="AA206" s="13" t="s">
        <v>10323</v>
      </c>
      <c r="AB206" s="13" t="s">
        <v>10324</v>
      </c>
    </row>
    <row r="207" spans="1:28" ht="15" customHeight="1">
      <c r="A207" s="2" t="s">
        <v>8779</v>
      </c>
      <c r="B207" s="2" t="s">
        <v>28</v>
      </c>
      <c r="C207" s="18" t="s">
        <v>731</v>
      </c>
      <c r="D207" s="2" t="s">
        <v>30</v>
      </c>
      <c r="E207" s="2" t="s">
        <v>127</v>
      </c>
      <c r="F207" s="11" t="s">
        <v>544</v>
      </c>
      <c r="G207" s="11" t="s">
        <v>545</v>
      </c>
      <c r="H207" s="2" t="s">
        <v>732</v>
      </c>
      <c r="I207" s="12" t="s">
        <v>547</v>
      </c>
      <c r="J207" s="8">
        <f>+Tabla1[[#This Row],[FECHA ENTRADA]]</f>
        <v>45530</v>
      </c>
      <c r="K207" s="8">
        <v>45555</v>
      </c>
      <c r="L207" s="13">
        <f>_xlfn.DAYS(Tabla1[[#This Row],[FECHA FIN ]],Tabla1[[#This Row],[FECHA INICIO]])</f>
        <v>25</v>
      </c>
      <c r="M207" s="12"/>
      <c r="N207" s="28">
        <v>250</v>
      </c>
      <c r="O207" s="12">
        <f>(Tabla1[[#This Row],[COSTO FIJO ]]/30)*Tabla1[[#This Row],[TOTAL DIAS PROYECTO]]+(Tabla1[[#This Row],[COSTO TEMPORAL]])</f>
        <v>208.33333333333334</v>
      </c>
      <c r="P207" s="12"/>
      <c r="Q207" s="12">
        <f>+(Tabla1[[#This Row],[COSTO COCHE]]/30)*Tabla1[[#This Row],[TOTAL DIAS PROYECTO]]</f>
        <v>0</v>
      </c>
      <c r="R207" s="12">
        <f>+Tabla1[[#This Row],[COSTO TOTAL ALOJAMIENTO]]+Tabla1[[#This Row],[COSTO TOTAL COCHE]]</f>
        <v>208.33333333333334</v>
      </c>
      <c r="S207" s="2"/>
      <c r="T207" s="2" t="s">
        <v>35</v>
      </c>
      <c r="U207" s="14">
        <v>45530</v>
      </c>
      <c r="V207" s="14"/>
      <c r="W207" s="26"/>
      <c r="X207" s="2">
        <v>2</v>
      </c>
      <c r="Y207" s="31" t="s">
        <v>733</v>
      </c>
      <c r="Z207" s="2" t="s">
        <v>36</v>
      </c>
      <c r="AA207" s="13" t="s">
        <v>10342</v>
      </c>
      <c r="AB207" s="13" t="s">
        <v>10343</v>
      </c>
    </row>
    <row r="208" spans="1:28" ht="15" customHeight="1">
      <c r="A208" s="2" t="s">
        <v>8749</v>
      </c>
      <c r="B208" s="2" t="s">
        <v>711</v>
      </c>
      <c r="C208" s="11" t="s">
        <v>584</v>
      </c>
      <c r="D208" s="2" t="s">
        <v>30</v>
      </c>
      <c r="E208" s="2" t="s">
        <v>734</v>
      </c>
      <c r="F208" s="11" t="s">
        <v>735</v>
      </c>
      <c r="G208" s="11" t="s">
        <v>736</v>
      </c>
      <c r="H208" s="2" t="s">
        <v>737</v>
      </c>
      <c r="I208" s="12" t="s">
        <v>96</v>
      </c>
      <c r="J208" s="41">
        <f>+Tabla1[[#This Row],[FECHA ENTRADA]]</f>
        <v>46096</v>
      </c>
      <c r="K208" s="41">
        <v>46174</v>
      </c>
      <c r="L208" s="42">
        <f>_xlfn.DAYS(Tabla1[[#This Row],[FECHA FIN ]],Tabla1[[#This Row],[FECHA INICIO]])</f>
        <v>78</v>
      </c>
      <c r="M208" s="12"/>
      <c r="N208" s="28">
        <v>260</v>
      </c>
      <c r="O208" s="28">
        <f>(Tabla1[[#This Row],[COSTO FIJO ]]/30)*Tabla1[[#This Row],[TOTAL DIAS PROYECTO]]+(Tabla1[[#This Row],[COSTO TEMPORAL]])</f>
        <v>676</v>
      </c>
      <c r="P208" s="12"/>
      <c r="Q208" s="12">
        <f>+(Tabla1[[#This Row],[COSTO COCHE]]/30)*Tabla1[[#This Row],[TOTAL DIAS PROYECTO]]</f>
        <v>0</v>
      </c>
      <c r="R208" s="12">
        <f>+Tabla1[[#This Row],[COSTO TOTAL ALOJAMIENTO]]+Tabla1[[#This Row],[COSTO TOTAL COCHE]]</f>
        <v>676</v>
      </c>
      <c r="S208" s="2"/>
      <c r="T208" s="14" t="s">
        <v>35</v>
      </c>
      <c r="U208" s="14">
        <v>46096</v>
      </c>
      <c r="V208" s="43"/>
      <c r="W208" s="12">
        <v>400</v>
      </c>
      <c r="X208" s="2">
        <v>5</v>
      </c>
      <c r="Y208" s="11" t="s">
        <v>738</v>
      </c>
      <c r="Z208" s="2" t="s">
        <v>36</v>
      </c>
      <c r="AA208" s="13" t="s">
        <v>10396</v>
      </c>
      <c r="AB208" s="13" t="s">
        <v>10397</v>
      </c>
    </row>
    <row r="209" spans="1:28" ht="15" customHeight="1">
      <c r="A209" s="2" t="s">
        <v>8780</v>
      </c>
      <c r="B209" s="2" t="s">
        <v>28</v>
      </c>
      <c r="C209" s="18" t="s">
        <v>739</v>
      </c>
      <c r="D209" s="2" t="s">
        <v>30</v>
      </c>
      <c r="E209" s="2" t="s">
        <v>415</v>
      </c>
      <c r="F209" s="11" t="s">
        <v>487</v>
      </c>
      <c r="G209" s="11" t="s">
        <v>488</v>
      </c>
      <c r="H209" s="2" t="s">
        <v>418</v>
      </c>
      <c r="I209" s="12" t="s">
        <v>419</v>
      </c>
      <c r="J209" s="8">
        <f>+Tabla1[[#This Row],[FECHA ENTRADA]]</f>
        <v>45487</v>
      </c>
      <c r="K209" s="8">
        <v>45556</v>
      </c>
      <c r="L209" s="13">
        <f>_xlfn.DAYS(Tabla1[[#This Row],[FECHA FIN ]],Tabla1[[#This Row],[FECHA INICIO]])</f>
        <v>69</v>
      </c>
      <c r="M209" s="12"/>
      <c r="N209" s="12">
        <v>300</v>
      </c>
      <c r="O209" s="72">
        <f>(Tabla1[[#This Row],[COSTO FIJO ]]/30)*Tabla1[[#This Row],[TOTAL DIAS PROYECTO]]+(Tabla1[[#This Row],[COSTO TEMPORAL]])</f>
        <v>690</v>
      </c>
      <c r="P209" s="72"/>
      <c r="Q209" s="72">
        <f>+(Tabla1[[#This Row],[COSTO COCHE]]/30)*Tabla1[[#This Row],[TOTAL DIAS PROYECTO]]</f>
        <v>0</v>
      </c>
      <c r="R209" s="72">
        <f>+Tabla1[[#This Row],[COSTO TOTAL ALOJAMIENTO]]+Tabla1[[#This Row],[COSTO TOTAL COCHE]]</f>
        <v>690</v>
      </c>
      <c r="S209" s="2"/>
      <c r="T209" s="2" t="s">
        <v>35</v>
      </c>
      <c r="U209" s="14">
        <v>45487</v>
      </c>
      <c r="V209" s="14">
        <v>45535</v>
      </c>
      <c r="W209" s="26">
        <v>400</v>
      </c>
      <c r="X209" s="2">
        <v>5</v>
      </c>
      <c r="Y209" s="11" t="s">
        <v>740</v>
      </c>
      <c r="Z209" s="2" t="s">
        <v>36</v>
      </c>
      <c r="AA209" s="13">
        <v>-0.37739</v>
      </c>
      <c r="AB209" s="13" t="s">
        <v>10372</v>
      </c>
    </row>
    <row r="210" spans="1:28" ht="15" customHeight="1">
      <c r="A210" s="2" t="s">
        <v>8744</v>
      </c>
      <c r="B210" s="2" t="s">
        <v>28</v>
      </c>
      <c r="C210" s="11" t="s">
        <v>551</v>
      </c>
      <c r="D210" s="2" t="s">
        <v>741</v>
      </c>
      <c r="E210" s="2" t="s">
        <v>742</v>
      </c>
      <c r="F210" s="11" t="s">
        <v>743</v>
      </c>
      <c r="G210" s="11" t="s">
        <v>744</v>
      </c>
      <c r="H210" s="2" t="s">
        <v>745</v>
      </c>
      <c r="I210" s="12" t="s">
        <v>292</v>
      </c>
      <c r="J210" s="8">
        <f>+Tabla1[[#This Row],[FECHA ENTRADA]]</f>
        <v>45544</v>
      </c>
      <c r="K210" s="8">
        <v>45556</v>
      </c>
      <c r="L210" s="13">
        <f>_xlfn.DAYS(Tabla1[[#This Row],[FECHA FIN ]],Tabla1[[#This Row],[FECHA INICIO]])</f>
        <v>12</v>
      </c>
      <c r="M210" s="12"/>
      <c r="N210" s="12">
        <v>358.46</v>
      </c>
      <c r="O210" s="12">
        <f>(Tabla1[[#This Row],[COSTO FIJO ]]/30)*Tabla1[[#This Row],[TOTAL DIAS PROYECTO]]+(Tabla1[[#This Row],[COSTO TEMPORAL]])</f>
        <v>143.38399999999999</v>
      </c>
      <c r="P210" s="12">
        <v>100</v>
      </c>
      <c r="Q210" s="12">
        <f>+(Tabla1[[#This Row],[COSTO COCHE]]/30)*Tabla1[[#This Row],[TOTAL DIAS PROYECTO]]</f>
        <v>40</v>
      </c>
      <c r="R210" s="12">
        <f>+Tabla1[[#This Row],[COSTO TOTAL ALOJAMIENTO]]+Tabla1[[#This Row],[COSTO TOTAL COCHE]]</f>
        <v>183.38399999999999</v>
      </c>
      <c r="S210" s="2" t="s">
        <v>84</v>
      </c>
      <c r="T210" s="26" t="s">
        <v>44</v>
      </c>
      <c r="U210" s="14">
        <v>45544</v>
      </c>
      <c r="V210" s="14"/>
      <c r="W210" s="2"/>
      <c r="X210" s="73"/>
      <c r="Y210" s="74"/>
      <c r="Z210" s="64" t="s">
        <v>36</v>
      </c>
      <c r="AA210" s="13" t="s">
        <v>10398</v>
      </c>
      <c r="AB210" s="13">
        <v>4930623</v>
      </c>
    </row>
    <row r="211" spans="1:28" ht="15" customHeight="1">
      <c r="A211" s="2" t="s">
        <v>8750</v>
      </c>
      <c r="B211" s="2" t="s">
        <v>28</v>
      </c>
      <c r="C211" s="11" t="s">
        <v>587</v>
      </c>
      <c r="D211" s="2" t="s">
        <v>741</v>
      </c>
      <c r="E211" s="2" t="s">
        <v>742</v>
      </c>
      <c r="F211" s="11" t="s">
        <v>743</v>
      </c>
      <c r="G211" s="11" t="s">
        <v>744</v>
      </c>
      <c r="H211" s="2" t="s">
        <v>745</v>
      </c>
      <c r="I211" s="12" t="s">
        <v>292</v>
      </c>
      <c r="J211" s="8">
        <f>+Tabla1[[#This Row],[FECHA ENTRADA]]</f>
        <v>45544</v>
      </c>
      <c r="K211" s="8">
        <v>45556</v>
      </c>
      <c r="L211" s="13">
        <f>_xlfn.DAYS(Tabla1[[#This Row],[FECHA FIN ]],Tabla1[[#This Row],[FECHA INICIO]])</f>
        <v>12</v>
      </c>
      <c r="M211" s="12"/>
      <c r="N211" s="12">
        <v>358.46</v>
      </c>
      <c r="O211" s="12">
        <f>(Tabla1[[#This Row],[COSTO FIJO ]]/30)*Tabla1[[#This Row],[TOTAL DIAS PROYECTO]]+(Tabla1[[#This Row],[COSTO TEMPORAL]])</f>
        <v>143.38399999999999</v>
      </c>
      <c r="P211" s="12">
        <v>100</v>
      </c>
      <c r="Q211" s="12">
        <f>+(Tabla1[[#This Row],[COSTO COCHE]]/30)*Tabla1[[#This Row],[TOTAL DIAS PROYECTO]]</f>
        <v>40</v>
      </c>
      <c r="R211" s="12">
        <f>+Tabla1[[#This Row],[COSTO TOTAL ALOJAMIENTO]]+Tabla1[[#This Row],[COSTO TOTAL COCHE]]</f>
        <v>183.38399999999999</v>
      </c>
      <c r="S211" s="2" t="s">
        <v>84</v>
      </c>
      <c r="T211" s="26" t="s">
        <v>44</v>
      </c>
      <c r="U211" s="14">
        <v>45544</v>
      </c>
      <c r="V211" s="14"/>
      <c r="W211" s="2"/>
      <c r="X211" s="73"/>
      <c r="Y211" s="74"/>
      <c r="Z211" s="64" t="s">
        <v>36</v>
      </c>
      <c r="AA211" s="13" t="s">
        <v>10398</v>
      </c>
      <c r="AB211" s="13">
        <v>4930623</v>
      </c>
    </row>
    <row r="212" spans="1:28" ht="15" customHeight="1">
      <c r="A212" s="2" t="s">
        <v>8781</v>
      </c>
      <c r="B212" s="2" t="s">
        <v>28</v>
      </c>
      <c r="C212" s="11" t="s">
        <v>746</v>
      </c>
      <c r="D212" s="2" t="s">
        <v>741</v>
      </c>
      <c r="E212" s="2" t="s">
        <v>742</v>
      </c>
      <c r="F212" s="11" t="s">
        <v>743</v>
      </c>
      <c r="G212" s="11" t="s">
        <v>744</v>
      </c>
      <c r="H212" s="2" t="s">
        <v>745</v>
      </c>
      <c r="I212" s="12" t="s">
        <v>292</v>
      </c>
      <c r="J212" s="8">
        <f>+Tabla1[[#This Row],[FECHA ENTRADA]]</f>
        <v>45544</v>
      </c>
      <c r="K212" s="8">
        <v>45556</v>
      </c>
      <c r="L212" s="13">
        <f>_xlfn.DAYS(Tabla1[[#This Row],[FECHA FIN ]],Tabla1[[#This Row],[FECHA INICIO]])</f>
        <v>12</v>
      </c>
      <c r="M212" s="12">
        <v>358.46</v>
      </c>
      <c r="N212" s="12"/>
      <c r="O212" s="12">
        <f>(Tabla1[[#This Row],[COSTO FIJO ]]/30)*Tabla1[[#This Row],[TOTAL DIAS PROYECTO]]+(Tabla1[[#This Row],[COSTO TEMPORAL]])</f>
        <v>358.46</v>
      </c>
      <c r="P212" s="12">
        <v>100</v>
      </c>
      <c r="Q212" s="12">
        <f>+(Tabla1[[#This Row],[COSTO COCHE]]/30)*Tabla1[[#This Row],[TOTAL DIAS PROYECTO]]</f>
        <v>40</v>
      </c>
      <c r="R212" s="12">
        <f>+Tabla1[[#This Row],[COSTO TOTAL ALOJAMIENTO]]+Tabla1[[#This Row],[COSTO TOTAL COCHE]]</f>
        <v>398.46</v>
      </c>
      <c r="S212" s="2" t="s">
        <v>84</v>
      </c>
      <c r="T212" s="26" t="s">
        <v>44</v>
      </c>
      <c r="U212" s="14">
        <v>45544</v>
      </c>
      <c r="V212" s="14"/>
      <c r="W212" s="2"/>
      <c r="X212" s="73"/>
      <c r="Y212" s="74"/>
      <c r="Z212" s="64" t="s">
        <v>36</v>
      </c>
      <c r="AA212" s="13" t="s">
        <v>10398</v>
      </c>
      <c r="AB212" s="13">
        <v>4930623</v>
      </c>
    </row>
    <row r="213" spans="1:28" ht="15" customHeight="1">
      <c r="A213" s="2" t="s">
        <v>8782</v>
      </c>
      <c r="B213" s="2" t="s">
        <v>28</v>
      </c>
      <c r="C213" s="11" t="s">
        <v>747</v>
      </c>
      <c r="D213" s="2" t="s">
        <v>741</v>
      </c>
      <c r="E213" s="2" t="s">
        <v>742</v>
      </c>
      <c r="F213" s="11" t="s">
        <v>743</v>
      </c>
      <c r="G213" s="11" t="s">
        <v>744</v>
      </c>
      <c r="H213" s="2" t="s">
        <v>745</v>
      </c>
      <c r="I213" s="12" t="s">
        <v>292</v>
      </c>
      <c r="J213" s="8">
        <f>+Tabla1[[#This Row],[FECHA ENTRADA]]</f>
        <v>45544</v>
      </c>
      <c r="K213" s="8">
        <v>45556</v>
      </c>
      <c r="L213" s="13">
        <f>_xlfn.DAYS(Tabla1[[#This Row],[FECHA FIN ]],Tabla1[[#This Row],[FECHA INICIO]])</f>
        <v>12</v>
      </c>
      <c r="M213" s="12">
        <v>358.46</v>
      </c>
      <c r="N213" s="12"/>
      <c r="O213" s="12">
        <f>(Tabla1[[#This Row],[COSTO FIJO ]]/30)*Tabla1[[#This Row],[TOTAL DIAS PROYECTO]]+(Tabla1[[#This Row],[COSTO TEMPORAL]])</f>
        <v>358.46</v>
      </c>
      <c r="P213" s="12">
        <v>100</v>
      </c>
      <c r="Q213" s="12">
        <f>+(Tabla1[[#This Row],[COSTO COCHE]]/30)*Tabla1[[#This Row],[TOTAL DIAS PROYECTO]]</f>
        <v>40</v>
      </c>
      <c r="R213" s="12">
        <f>+Tabla1[[#This Row],[COSTO TOTAL ALOJAMIENTO]]+Tabla1[[#This Row],[COSTO TOTAL COCHE]]</f>
        <v>398.46</v>
      </c>
      <c r="S213" s="2" t="s">
        <v>84</v>
      </c>
      <c r="T213" s="26" t="s">
        <v>44</v>
      </c>
      <c r="U213" s="14">
        <v>45544</v>
      </c>
      <c r="V213" s="14"/>
      <c r="W213" s="2"/>
      <c r="X213" s="73"/>
      <c r="Y213" s="74"/>
      <c r="Z213" s="64" t="s">
        <v>36</v>
      </c>
      <c r="AA213" s="13" t="s">
        <v>10398</v>
      </c>
      <c r="AB213" s="13">
        <v>4930623</v>
      </c>
    </row>
    <row r="214" spans="1:28" ht="15" customHeight="1">
      <c r="A214" s="2" t="s">
        <v>8783</v>
      </c>
      <c r="B214" s="2" t="s">
        <v>28</v>
      </c>
      <c r="C214" s="11" t="s">
        <v>748</v>
      </c>
      <c r="D214" s="2" t="s">
        <v>749</v>
      </c>
      <c r="E214" s="2" t="s">
        <v>288</v>
      </c>
      <c r="F214" s="11" t="s">
        <v>750</v>
      </c>
      <c r="G214" s="30" t="s">
        <v>751</v>
      </c>
      <c r="H214" s="2" t="s">
        <v>752</v>
      </c>
      <c r="I214" s="29" t="s">
        <v>753</v>
      </c>
      <c r="J214" s="8">
        <f>+Tabla1[[#This Row],[FECHA ENTRADA]]</f>
        <v>45480</v>
      </c>
      <c r="K214" s="8">
        <v>45633</v>
      </c>
      <c r="L214" s="13">
        <f>_xlfn.DAYS(Tabla1[[#This Row],[FECHA FIN ]],Tabla1[[#This Row],[FECHA INICIO]])</f>
        <v>153</v>
      </c>
      <c r="M214" s="12"/>
      <c r="N214" s="12"/>
      <c r="O214" s="12">
        <f>(Tabla1[[#This Row],[COSTO FIJO ]]/30)*Tabla1[[#This Row],[TOTAL DIAS PROYECTO]]+(Tabla1[[#This Row],[COSTO TEMPORAL]])</f>
        <v>0</v>
      </c>
      <c r="P214" s="12">
        <f>8180.25/45</f>
        <v>181.78333333333333</v>
      </c>
      <c r="Q214" s="12">
        <f>+(Tabla1[[#This Row],[COSTO COCHE]]/30)*Tabla1[[#This Row],[TOTAL DIAS PROYECTO]]</f>
        <v>927.09499999999991</v>
      </c>
      <c r="R214" s="12">
        <f>+Tabla1[[#This Row],[COSTO TOTAL ALOJAMIENTO]]+Tabla1[[#This Row],[COSTO TOTAL COCHE]]</f>
        <v>927.09499999999991</v>
      </c>
      <c r="S214" s="2"/>
      <c r="T214" s="2" t="s">
        <v>44</v>
      </c>
      <c r="U214" s="14">
        <v>45480</v>
      </c>
      <c r="V214" s="14">
        <v>45636</v>
      </c>
      <c r="W214" s="26"/>
      <c r="X214" s="2">
        <v>10</v>
      </c>
      <c r="Y214" s="11" t="s">
        <v>754</v>
      </c>
      <c r="Z214" s="2" t="s">
        <v>36</v>
      </c>
      <c r="AA214" s="13" t="s">
        <v>10362</v>
      </c>
      <c r="AB214" s="13" t="s">
        <v>10363</v>
      </c>
    </row>
    <row r="215" spans="1:28" ht="15" customHeight="1">
      <c r="A215" s="2" t="s">
        <v>8784</v>
      </c>
      <c r="B215" s="2" t="s">
        <v>28</v>
      </c>
      <c r="C215" s="11" t="s">
        <v>755</v>
      </c>
      <c r="D215" s="2" t="s">
        <v>30</v>
      </c>
      <c r="E215" s="2" t="s">
        <v>31</v>
      </c>
      <c r="F215" s="11" t="s">
        <v>32</v>
      </c>
      <c r="G215" s="11" t="s">
        <v>33</v>
      </c>
      <c r="H215" s="2" t="s">
        <v>526</v>
      </c>
      <c r="I215" s="12" t="s">
        <v>527</v>
      </c>
      <c r="J215" s="8">
        <f>+Tabla1[[#This Row],[FECHA ENTRADA]]</f>
        <v>45502</v>
      </c>
      <c r="K215" s="8">
        <v>45558</v>
      </c>
      <c r="L215" s="13">
        <f>_xlfn.DAYS(Tabla1[[#This Row],[FECHA FIN ]],Tabla1[[#This Row],[FECHA INICIO]])</f>
        <v>56</v>
      </c>
      <c r="M215" s="12"/>
      <c r="N215" s="12">
        <v>173</v>
      </c>
      <c r="O215" s="12">
        <f>(Tabla1[[#This Row],[COSTO FIJO ]]/30)*Tabla1[[#This Row],[TOTAL DIAS PROYECTO]]+(Tabla1[[#This Row],[COSTO TEMPORAL]])</f>
        <v>322.93333333333334</v>
      </c>
      <c r="P215" s="12">
        <f>+(((800*3)+520.54)*50%)/19</f>
        <v>76.856315789473683</v>
      </c>
      <c r="Q215" s="12">
        <f>+(Tabla1[[#This Row],[COSTO COCHE]]/30)*Tabla1[[#This Row],[TOTAL DIAS PROYECTO]]</f>
        <v>143.46512280701754</v>
      </c>
      <c r="R215" s="12">
        <f>+Tabla1[[#This Row],[COSTO TOTAL ALOJAMIENTO]]+Tabla1[[#This Row],[COSTO TOTAL COCHE]]</f>
        <v>466.39845614035085</v>
      </c>
      <c r="S215" s="2"/>
      <c r="T215" s="2" t="s">
        <v>35</v>
      </c>
      <c r="U215" s="14">
        <v>45502</v>
      </c>
      <c r="V215" s="14"/>
      <c r="W215" s="26"/>
      <c r="X215" s="2">
        <v>1</v>
      </c>
      <c r="Y215" s="11" t="s">
        <v>756</v>
      </c>
      <c r="Z215" s="2" t="s">
        <v>36</v>
      </c>
      <c r="AA215" s="13" t="s">
        <v>10323</v>
      </c>
      <c r="AB215" s="13" t="s">
        <v>10324</v>
      </c>
    </row>
    <row r="216" spans="1:28" ht="15" customHeight="1">
      <c r="A216" s="2" t="s">
        <v>8785</v>
      </c>
      <c r="B216" s="2" t="s">
        <v>28</v>
      </c>
      <c r="C216" s="11" t="s">
        <v>757</v>
      </c>
      <c r="D216" s="2" t="s">
        <v>30</v>
      </c>
      <c r="E216" s="2" t="s">
        <v>31</v>
      </c>
      <c r="F216" s="11" t="s">
        <v>758</v>
      </c>
      <c r="G216" s="11" t="s">
        <v>759</v>
      </c>
      <c r="H216" s="2" t="s">
        <v>760</v>
      </c>
      <c r="I216" s="12" t="s">
        <v>347</v>
      </c>
      <c r="J216" s="8">
        <f>+Tabla1[[#This Row],[FECHA ENTRADA]]</f>
        <v>45460</v>
      </c>
      <c r="K216" s="8">
        <v>45558</v>
      </c>
      <c r="L216" s="13">
        <f>_xlfn.DAYS(Tabla1[[#This Row],[FECHA FIN ]],Tabla1[[#This Row],[FECHA INICIO]])</f>
        <v>98</v>
      </c>
      <c r="M216" s="12"/>
      <c r="N216" s="28"/>
      <c r="O216" s="12">
        <f>(Tabla1[[#This Row],[COSTO FIJO ]]/30)*Tabla1[[#This Row],[TOTAL DIAS PROYECTO]]+(Tabla1[[#This Row],[COSTO TEMPORAL]])</f>
        <v>0</v>
      </c>
      <c r="P216" s="12"/>
      <c r="Q216" s="12">
        <f>+(Tabla1[[#This Row],[COSTO COCHE]]/30)*Tabla1[[#This Row],[TOTAL DIAS PROYECTO]]</f>
        <v>0</v>
      </c>
      <c r="R216" s="12">
        <f>+Tabla1[[#This Row],[COSTO TOTAL ALOJAMIENTO]]+Tabla1[[#This Row],[COSTO TOTAL COCHE]]</f>
        <v>0</v>
      </c>
      <c r="S216" s="2"/>
      <c r="T216" s="2" t="s">
        <v>35</v>
      </c>
      <c r="U216" s="14">
        <v>45460</v>
      </c>
      <c r="V216" s="14"/>
      <c r="W216" s="26"/>
      <c r="X216" s="2">
        <v>1</v>
      </c>
      <c r="Y216" s="11" t="s">
        <v>761</v>
      </c>
      <c r="Z216" s="2" t="s">
        <v>36</v>
      </c>
      <c r="AA216" s="13" t="s">
        <v>10323</v>
      </c>
      <c r="AB216" s="13" t="s">
        <v>10324</v>
      </c>
    </row>
    <row r="217" spans="1:28" ht="15" customHeight="1">
      <c r="A217" s="2" t="s">
        <v>8786</v>
      </c>
      <c r="B217" s="2" t="s">
        <v>28</v>
      </c>
      <c r="C217" s="18" t="s">
        <v>762</v>
      </c>
      <c r="D217" s="2" t="s">
        <v>30</v>
      </c>
      <c r="E217" s="2" t="s">
        <v>31</v>
      </c>
      <c r="F217" s="11" t="s">
        <v>715</v>
      </c>
      <c r="G217" s="11" t="s">
        <v>716</v>
      </c>
      <c r="H217" s="2" t="s">
        <v>729</v>
      </c>
      <c r="I217" s="12" t="s">
        <v>527</v>
      </c>
      <c r="J217" s="8">
        <f>+Tabla1[[#This Row],[FECHA ENTRADA]]</f>
        <v>45496</v>
      </c>
      <c r="K217" s="8">
        <v>45554</v>
      </c>
      <c r="L217" s="13">
        <f>_xlfn.DAYS(Tabla1[[#This Row],[FECHA FIN ]],Tabla1[[#This Row],[FECHA INICIO]])</f>
        <v>58</v>
      </c>
      <c r="M217" s="12"/>
      <c r="N217" s="12">
        <v>160</v>
      </c>
      <c r="O217" s="12">
        <f>(Tabla1[[#This Row],[COSTO FIJO ]]/30)*Tabla1[[#This Row],[TOTAL DIAS PROYECTO]]+(Tabla1[[#This Row],[COSTO TEMPORAL]])</f>
        <v>309.33333333333331</v>
      </c>
      <c r="P217" s="12">
        <f>+(((800*3)+520.54)*50%)/19</f>
        <v>76.856315789473683</v>
      </c>
      <c r="Q217" s="12">
        <f>+(Tabla1[[#This Row],[COSTO COCHE]]/30)*Tabla1[[#This Row],[TOTAL DIAS PROYECTO]]</f>
        <v>148.58887719298247</v>
      </c>
      <c r="R217" s="12">
        <f>+Tabla1[[#This Row],[COSTO TOTAL ALOJAMIENTO]]+Tabla1[[#This Row],[COSTO TOTAL COCHE]]</f>
        <v>457.92221052631578</v>
      </c>
      <c r="S217" s="2"/>
      <c r="T217" s="2" t="s">
        <v>35</v>
      </c>
      <c r="U217" s="14">
        <v>45496</v>
      </c>
      <c r="V217" s="14"/>
      <c r="W217" s="26"/>
      <c r="X217" s="2">
        <v>1</v>
      </c>
      <c r="Y217" s="11" t="s">
        <v>763</v>
      </c>
      <c r="Z217" s="2" t="s">
        <v>36</v>
      </c>
      <c r="AA217" s="13" t="s">
        <v>10323</v>
      </c>
      <c r="AB217" s="13" t="s">
        <v>10324</v>
      </c>
    </row>
    <row r="218" spans="1:28" ht="15" customHeight="1">
      <c r="A218" s="2" t="s">
        <v>8787</v>
      </c>
      <c r="B218" s="2" t="s">
        <v>28</v>
      </c>
      <c r="C218" s="18" t="s">
        <v>764</v>
      </c>
      <c r="D218" s="2" t="s">
        <v>30</v>
      </c>
      <c r="E218" s="2" t="s">
        <v>31</v>
      </c>
      <c r="F218" s="11" t="s">
        <v>758</v>
      </c>
      <c r="G218" s="11" t="s">
        <v>759</v>
      </c>
      <c r="H218" s="2" t="s">
        <v>760</v>
      </c>
      <c r="I218" s="12" t="s">
        <v>347</v>
      </c>
      <c r="J218" s="8">
        <f>+Tabla1[[#This Row],[FECHA ENTRADA]]</f>
        <v>45461</v>
      </c>
      <c r="K218" s="8">
        <v>45558</v>
      </c>
      <c r="L218" s="13">
        <f>_xlfn.DAYS(Tabla1[[#This Row],[FECHA FIN ]],Tabla1[[#This Row],[FECHA INICIO]])</f>
        <v>97</v>
      </c>
      <c r="M218" s="12"/>
      <c r="N218" s="20">
        <v>212.5</v>
      </c>
      <c r="O218" s="12">
        <f>(Tabla1[[#This Row],[COSTO FIJO ]]/30)*Tabla1[[#This Row],[TOTAL DIAS PROYECTO]]+(Tabla1[[#This Row],[COSTO TEMPORAL]])</f>
        <v>687.08333333333326</v>
      </c>
      <c r="P218" s="12"/>
      <c r="Q218" s="12">
        <f>+(Tabla1[[#This Row],[COSTO COCHE]]/30)*Tabla1[[#This Row],[TOTAL DIAS PROYECTO]]</f>
        <v>0</v>
      </c>
      <c r="R218" s="12">
        <f>+Tabla1[[#This Row],[COSTO TOTAL ALOJAMIENTO]]+Tabla1[[#This Row],[COSTO TOTAL COCHE]]</f>
        <v>687.08333333333326</v>
      </c>
      <c r="S218" s="2"/>
      <c r="T218" s="2" t="s">
        <v>35</v>
      </c>
      <c r="U218" s="14">
        <v>45461</v>
      </c>
      <c r="V218" s="14"/>
      <c r="W218" s="26"/>
      <c r="X218" s="2">
        <v>1</v>
      </c>
      <c r="Y218" s="11"/>
      <c r="Z218" s="2" t="s">
        <v>36</v>
      </c>
      <c r="AA218" s="13" t="s">
        <v>10323</v>
      </c>
      <c r="AB218" s="13" t="s">
        <v>10324</v>
      </c>
    </row>
    <row r="219" spans="1:28">
      <c r="A219" s="2" t="s">
        <v>8788</v>
      </c>
      <c r="B219" s="2" t="s">
        <v>28</v>
      </c>
      <c r="C219" s="11" t="s">
        <v>765</v>
      </c>
      <c r="D219" s="2" t="s">
        <v>30</v>
      </c>
      <c r="E219" s="2" t="s">
        <v>380</v>
      </c>
      <c r="F219" s="11" t="s">
        <v>766</v>
      </c>
      <c r="G219" s="11" t="s">
        <v>767</v>
      </c>
      <c r="H219" s="2" t="s">
        <v>768</v>
      </c>
      <c r="I219" s="29" t="s">
        <v>145</v>
      </c>
      <c r="J219" s="8">
        <f>+Tabla1[[#This Row],[FECHA ENTRADA]]</f>
        <v>0</v>
      </c>
      <c r="K219" s="22">
        <v>45821</v>
      </c>
      <c r="L219" s="13">
        <f>_xlfn.DAYS(Tabla1[[#This Row],[FECHA FIN ]],Tabla1[[#This Row],[FECHA INICIO]])</f>
        <v>45821</v>
      </c>
      <c r="M219" s="12"/>
      <c r="N219" s="12"/>
      <c r="O219" s="12">
        <f>(Tabla1[[#This Row],[COSTO FIJO ]]/30)*Tabla1[[#This Row],[TOTAL DIAS PROYECTO]]+(Tabla1[[#This Row],[COSTO TEMPORAL]])</f>
        <v>0</v>
      </c>
      <c r="P219" s="12"/>
      <c r="Q219" s="12">
        <f>+(Tabla1[[#This Row],[COSTO COCHE]]/30)*Tabla1[[#This Row],[TOTAL DIAS PROYECTO]]</f>
        <v>0</v>
      </c>
      <c r="R219" s="12">
        <f>+Tabla1[[#This Row],[COSTO TOTAL ALOJAMIENTO]]+Tabla1[[#This Row],[COSTO TOTAL COCHE]]</f>
        <v>0</v>
      </c>
      <c r="S219" s="2"/>
      <c r="T219" s="2" t="s">
        <v>35</v>
      </c>
      <c r="U219" s="14"/>
      <c r="V219" s="14"/>
      <c r="W219" s="15"/>
      <c r="X219" s="16">
        <v>23</v>
      </c>
      <c r="Y219" s="18" t="s">
        <v>769</v>
      </c>
      <c r="Z219" s="2" t="s">
        <v>36</v>
      </c>
      <c r="AA219" s="13" t="s">
        <v>10370</v>
      </c>
      <c r="AB219" s="13" t="s">
        <v>10371</v>
      </c>
    </row>
    <row r="220" spans="1:28">
      <c r="A220" s="2" t="s">
        <v>8789</v>
      </c>
      <c r="B220" s="2" t="s">
        <v>28</v>
      </c>
      <c r="C220" s="18" t="s">
        <v>770</v>
      </c>
      <c r="D220" s="2" t="s">
        <v>30</v>
      </c>
      <c r="E220" s="2" t="s">
        <v>253</v>
      </c>
      <c r="F220" s="11" t="s">
        <v>771</v>
      </c>
      <c r="G220" s="11" t="s">
        <v>772</v>
      </c>
      <c r="H220" s="2" t="s">
        <v>773</v>
      </c>
      <c r="I220" s="12" t="s">
        <v>774</v>
      </c>
      <c r="J220" s="8">
        <f>+Tabla1[[#This Row],[FECHA ENTRADA]]</f>
        <v>45425</v>
      </c>
      <c r="K220" s="8">
        <v>45561</v>
      </c>
      <c r="L220" s="13">
        <f>_xlfn.DAYS(Tabla1[[#This Row],[FECHA FIN ]],Tabla1[[#This Row],[FECHA INICIO]])</f>
        <v>136</v>
      </c>
      <c r="M220" s="12"/>
      <c r="N220" s="12">
        <v>350</v>
      </c>
      <c r="O220" s="12">
        <f>(Tabla1[[#This Row],[COSTO FIJO ]]/30)*Tabla1[[#This Row],[TOTAL DIAS PROYECTO]]+(Tabla1[[#This Row],[COSTO TEMPORAL]])</f>
        <v>1586.6666666666665</v>
      </c>
      <c r="P220" s="12"/>
      <c r="Q220" s="12">
        <f>+(Tabla1[[#This Row],[COSTO COCHE]]/30)*Tabla1[[#This Row],[TOTAL DIAS PROYECTO]]</f>
        <v>0</v>
      </c>
      <c r="R220" s="12">
        <f>+Tabla1[[#This Row],[COSTO TOTAL ALOJAMIENTO]]+Tabla1[[#This Row],[COSTO TOTAL COCHE]]</f>
        <v>1586.6666666666665</v>
      </c>
      <c r="S220" s="2"/>
      <c r="T220" s="2" t="s">
        <v>35</v>
      </c>
      <c r="U220" s="14">
        <v>45425</v>
      </c>
      <c r="V220" s="14"/>
      <c r="W220" s="26"/>
      <c r="X220" s="2">
        <v>1</v>
      </c>
      <c r="Y220" s="11" t="s">
        <v>775</v>
      </c>
      <c r="Z220" s="2" t="s">
        <v>36</v>
      </c>
      <c r="AA220" s="13" t="s">
        <v>10357</v>
      </c>
      <c r="AB220" s="13" t="s">
        <v>10358</v>
      </c>
    </row>
    <row r="221" spans="1:28">
      <c r="A221" s="2" t="s">
        <v>8790</v>
      </c>
      <c r="B221" s="2" t="s">
        <v>28</v>
      </c>
      <c r="C221" s="11" t="s">
        <v>776</v>
      </c>
      <c r="D221" s="2" t="s">
        <v>30</v>
      </c>
      <c r="E221" s="2" t="s">
        <v>253</v>
      </c>
      <c r="F221" s="11" t="s">
        <v>777</v>
      </c>
      <c r="G221" s="11" t="s">
        <v>778</v>
      </c>
      <c r="H221" s="2">
        <v>2023</v>
      </c>
      <c r="I221" s="12" t="s">
        <v>774</v>
      </c>
      <c r="J221" s="8">
        <v>45246</v>
      </c>
      <c r="K221" s="22">
        <v>45561</v>
      </c>
      <c r="L221" s="13">
        <f>_xlfn.DAYS(Tabla1[[#This Row],[FECHA FIN ]],Tabla1[[#This Row],[FECHA INICIO]])</f>
        <v>315</v>
      </c>
      <c r="M221" s="12"/>
      <c r="N221" s="12">
        <f>1811.6/17</f>
        <v>106.56470588235294</v>
      </c>
      <c r="O221" s="12">
        <f>(Tabla1[[#This Row],[COSTO FIJO ]]/30)*Tabla1[[#This Row],[TOTAL DIAS PROYECTO]]+(Tabla1[[#This Row],[COSTO TEMPORAL]])</f>
        <v>1118.9294117647059</v>
      </c>
      <c r="P221" s="12"/>
      <c r="Q221" s="12">
        <f>+(Tabla1[[#This Row],[COSTO COCHE]]/30)*Tabla1[[#This Row],[TOTAL DIAS PROYECTO]]</f>
        <v>0</v>
      </c>
      <c r="R221" s="12">
        <f>+Tabla1[[#This Row],[COSTO TOTAL ALOJAMIENTO]]+Tabla1[[#This Row],[COSTO TOTAL COCHE]]</f>
        <v>1118.9294117647059</v>
      </c>
      <c r="S221" s="2"/>
      <c r="T221" s="2" t="s">
        <v>35</v>
      </c>
      <c r="U221" s="14"/>
      <c r="V221" s="14"/>
      <c r="W221" s="15"/>
      <c r="X221" s="16">
        <v>15</v>
      </c>
      <c r="Y221" s="11" t="s">
        <v>779</v>
      </c>
      <c r="Z221" s="2" t="s">
        <v>36</v>
      </c>
      <c r="AA221" s="13" t="s">
        <v>10357</v>
      </c>
      <c r="AB221" s="13" t="s">
        <v>10358</v>
      </c>
    </row>
    <row r="222" spans="1:28">
      <c r="A222" s="2" t="s">
        <v>8745</v>
      </c>
      <c r="B222" s="2" t="s">
        <v>28</v>
      </c>
      <c r="C222" s="11" t="s">
        <v>552</v>
      </c>
      <c r="D222" s="2" t="s">
        <v>30</v>
      </c>
      <c r="E222" s="2" t="s">
        <v>626</v>
      </c>
      <c r="F222" s="11" t="s">
        <v>627</v>
      </c>
      <c r="G222" s="11" t="s">
        <v>628</v>
      </c>
      <c r="H222" s="2" t="s">
        <v>780</v>
      </c>
      <c r="I222" s="12" t="s">
        <v>570</v>
      </c>
      <c r="J222" s="41">
        <v>45547</v>
      </c>
      <c r="K222" s="8">
        <v>45561</v>
      </c>
      <c r="L222" s="42">
        <f>_xlfn.DAYS(Tabla1[[#This Row],[FECHA FIN ]],Tabla1[[#This Row],[FECHA INICIO]])</f>
        <v>14</v>
      </c>
      <c r="M222" s="12"/>
      <c r="N222" s="28"/>
      <c r="O222" s="28">
        <f>(Tabla1[[#This Row],[COSTO FIJO ]]/30)*Tabla1[[#This Row],[TOTAL DIAS PROYECTO]]+(Tabla1[[#This Row],[COSTO TEMPORAL]])</f>
        <v>0</v>
      </c>
      <c r="P222" s="12"/>
      <c r="Q222" s="12">
        <f>+(Tabla1[[#This Row],[COSTO COCHE]]/30)*Tabla1[[#This Row],[TOTAL DIAS PROYECTO]]</f>
        <v>0</v>
      </c>
      <c r="R222" s="12">
        <f>+Tabla1[[#This Row],[COSTO TOTAL ALOJAMIENTO]]+Tabla1[[#This Row],[COSTO TOTAL COCHE]]</f>
        <v>0</v>
      </c>
      <c r="S222" s="2"/>
      <c r="T222" s="2" t="s">
        <v>35</v>
      </c>
      <c r="U222" s="14">
        <v>45484</v>
      </c>
      <c r="V222" s="75"/>
      <c r="W222" s="26"/>
      <c r="X222" s="2"/>
      <c r="Y222" s="31" t="s">
        <v>781</v>
      </c>
      <c r="Z222" s="2" t="s">
        <v>36</v>
      </c>
      <c r="AA222" s="13" t="s">
        <v>10385</v>
      </c>
      <c r="AB222" s="13" t="s">
        <v>10386</v>
      </c>
    </row>
    <row r="223" spans="1:28" ht="15" customHeight="1">
      <c r="A223" s="2" t="s">
        <v>8791</v>
      </c>
      <c r="B223" s="2" t="s">
        <v>28</v>
      </c>
      <c r="C223" s="11" t="s">
        <v>782</v>
      </c>
      <c r="D223" s="2" t="s">
        <v>749</v>
      </c>
      <c r="E223" s="2" t="s">
        <v>288</v>
      </c>
      <c r="F223" s="11" t="s">
        <v>750</v>
      </c>
      <c r="G223" s="30" t="s">
        <v>751</v>
      </c>
      <c r="H223" s="2" t="s">
        <v>752</v>
      </c>
      <c r="I223" s="29" t="s">
        <v>753</v>
      </c>
      <c r="J223" s="8">
        <f>+Tabla1[[#This Row],[FECHA ENTRADA]]</f>
        <v>45480</v>
      </c>
      <c r="K223" s="22">
        <v>45821</v>
      </c>
      <c r="L223" s="13">
        <f>_xlfn.DAYS(Tabla1[[#This Row],[FECHA FIN ]],Tabla1[[#This Row],[FECHA INICIO]])</f>
        <v>341</v>
      </c>
      <c r="M223" s="12"/>
      <c r="N223" s="12"/>
      <c r="O223" s="12">
        <f>(Tabla1[[#This Row],[COSTO FIJO ]]/30)*Tabla1[[#This Row],[TOTAL DIAS PROYECTO]]+(Tabla1[[#This Row],[COSTO TEMPORAL]])</f>
        <v>0</v>
      </c>
      <c r="P223" s="12">
        <f>8180.25/45</f>
        <v>181.78333333333333</v>
      </c>
      <c r="Q223" s="12">
        <f>+(Tabla1[[#This Row],[COSTO COCHE]]/30)*Tabla1[[#This Row],[TOTAL DIAS PROYECTO]]</f>
        <v>2066.2705555555553</v>
      </c>
      <c r="R223" s="12">
        <f>+Tabla1[[#This Row],[COSTO TOTAL ALOJAMIENTO]]+Tabla1[[#This Row],[COSTO TOTAL COCHE]]</f>
        <v>2066.2705555555553</v>
      </c>
      <c r="S223" s="2"/>
      <c r="T223" s="2" t="s">
        <v>44</v>
      </c>
      <c r="U223" s="14">
        <v>45480</v>
      </c>
      <c r="V223" s="14">
        <v>45636</v>
      </c>
      <c r="W223" s="26"/>
      <c r="X223" s="2">
        <v>10</v>
      </c>
      <c r="Y223" s="11" t="s">
        <v>754</v>
      </c>
      <c r="Z223" s="2" t="s">
        <v>36</v>
      </c>
      <c r="AA223" s="13" t="s">
        <v>10362</v>
      </c>
      <c r="AB223" s="13" t="s">
        <v>10363</v>
      </c>
    </row>
    <row r="224" spans="1:28" ht="15" customHeight="1">
      <c r="A224" s="2" t="s">
        <v>8749</v>
      </c>
      <c r="B224" s="2" t="s">
        <v>28</v>
      </c>
      <c r="C224" s="11" t="s">
        <v>584</v>
      </c>
      <c r="D224" s="2" t="s">
        <v>30</v>
      </c>
      <c r="E224" s="2" t="s">
        <v>648</v>
      </c>
      <c r="F224" s="11" t="s">
        <v>712</v>
      </c>
      <c r="G224" t="s">
        <v>713</v>
      </c>
      <c r="H224" s="2" t="s">
        <v>651</v>
      </c>
      <c r="I224" s="12" t="s">
        <v>96</v>
      </c>
      <c r="J224" s="22">
        <f>+Tabla1[[#This Row],[FECHA ENTRADA]]</f>
        <v>45731</v>
      </c>
      <c r="K224" s="22">
        <v>45872</v>
      </c>
      <c r="L224" s="23">
        <f>_xlfn.DAYS(Tabla1[[#This Row],[FECHA FIN ]],Tabla1[[#This Row],[FECHA INICIO]])</f>
        <v>141</v>
      </c>
      <c r="M224" s="12"/>
      <c r="N224" s="24">
        <v>133.33333333333334</v>
      </c>
      <c r="O224" s="24">
        <f>(Tabla1[[#This Row],[COSTO FIJO ]]/30)*Tabla1[[#This Row],[TOTAL DIAS PROYECTO]]+(Tabla1[[#This Row],[COSTO TEMPORAL]])</f>
        <v>626.66666666666674</v>
      </c>
      <c r="P224" s="12"/>
      <c r="Q224" s="12">
        <f>+(Tabla1[[#This Row],[COSTO COCHE]]/30)*Tabla1[[#This Row],[TOTAL DIAS PROYECTO]]</f>
        <v>0</v>
      </c>
      <c r="R224" s="12">
        <f>+Tabla1[[#This Row],[COSTO TOTAL ALOJAMIENTO]]+Tabla1[[#This Row],[COSTO TOTAL COCHE]]</f>
        <v>626.66666666666674</v>
      </c>
      <c r="S224" s="2"/>
      <c r="T224" s="2" t="s">
        <v>35</v>
      </c>
      <c r="U224" s="14">
        <v>45731</v>
      </c>
      <c r="V224" s="25"/>
      <c r="W224" s="26"/>
      <c r="X224" s="2">
        <v>14</v>
      </c>
      <c r="Y224" s="11" t="s">
        <v>783</v>
      </c>
      <c r="Z224" s="2" t="s">
        <v>36</v>
      </c>
      <c r="AA224" s="13" t="s">
        <v>10387</v>
      </c>
      <c r="AB224" s="13" t="s">
        <v>10388</v>
      </c>
    </row>
    <row r="225" spans="1:28" ht="15" customHeight="1">
      <c r="A225" s="2" t="s">
        <v>8792</v>
      </c>
      <c r="B225" s="2" t="s">
        <v>28</v>
      </c>
      <c r="C225" s="11" t="s">
        <v>784</v>
      </c>
      <c r="D225" s="2" t="s">
        <v>30</v>
      </c>
      <c r="E225" s="2" t="s">
        <v>415</v>
      </c>
      <c r="F225" s="11" t="s">
        <v>785</v>
      </c>
      <c r="G225" s="11"/>
      <c r="H225" s="2" t="s">
        <v>786</v>
      </c>
      <c r="I225" s="12" t="s">
        <v>787</v>
      </c>
      <c r="J225" s="8">
        <f>+Tabla1[[#This Row],[FECHA ENTRADA]]</f>
        <v>45546</v>
      </c>
      <c r="K225" s="8">
        <v>45562</v>
      </c>
      <c r="L225" s="13">
        <f>_xlfn.DAYS(Tabla1[[#This Row],[FECHA FIN ]],Tabla1[[#This Row],[FECHA INICIO]])</f>
        <v>16</v>
      </c>
      <c r="M225" s="12"/>
      <c r="N225" s="12">
        <f>156.72+153.43</f>
        <v>310.14999999999998</v>
      </c>
      <c r="O225" s="12">
        <f>(Tabla1[[#This Row],[COSTO FIJO ]]/30)*Tabla1[[#This Row],[TOTAL DIAS PROYECTO]]+(Tabla1[[#This Row],[COSTO TEMPORAL]])</f>
        <v>165.41333333333333</v>
      </c>
      <c r="P225" s="12"/>
      <c r="Q225" s="12">
        <f>+(Tabla1[[#This Row],[COSTO COCHE]]/30)*Tabla1[[#This Row],[TOTAL DIAS PROYECTO]]</f>
        <v>0</v>
      </c>
      <c r="R225" s="12">
        <f>+Tabla1[[#This Row],[COSTO TOTAL ALOJAMIENTO]]+Tabla1[[#This Row],[COSTO TOTAL COCHE]]</f>
        <v>165.41333333333333</v>
      </c>
      <c r="S225" s="2"/>
      <c r="T225" s="2" t="s">
        <v>528</v>
      </c>
      <c r="U225" s="14">
        <v>45546</v>
      </c>
      <c r="V225" s="14">
        <v>45589</v>
      </c>
      <c r="W225" s="26"/>
      <c r="X225" s="2"/>
      <c r="Y225" s="11"/>
      <c r="Z225" s="2" t="s">
        <v>36</v>
      </c>
      <c r="AA225" s="13">
        <v>-0.37739</v>
      </c>
      <c r="AB225" s="13" t="s">
        <v>10372</v>
      </c>
    </row>
    <row r="226" spans="1:28" ht="15.75" customHeight="1">
      <c r="A226" s="2" t="s">
        <v>8793</v>
      </c>
      <c r="B226" s="2" t="s">
        <v>368</v>
      </c>
      <c r="C226" s="18" t="s">
        <v>788</v>
      </c>
      <c r="D226" s="2" t="s">
        <v>30</v>
      </c>
      <c r="E226" s="2" t="s">
        <v>253</v>
      </c>
      <c r="F226" s="11" t="s">
        <v>581</v>
      </c>
      <c r="G226" s="11" t="s">
        <v>255</v>
      </c>
      <c r="H226" s="2" t="s">
        <v>789</v>
      </c>
      <c r="I226" s="12" t="s">
        <v>666</v>
      </c>
      <c r="J226" s="41">
        <v>45550</v>
      </c>
      <c r="K226" s="8">
        <v>45562</v>
      </c>
      <c r="L226" s="42">
        <f>_xlfn.DAYS(Tabla1[[#This Row],[FECHA FIN ]],Tabla1[[#This Row],[FECHA INICIO]])</f>
        <v>12</v>
      </c>
      <c r="M226" s="12"/>
      <c r="N226" s="28"/>
      <c r="O226" s="28">
        <f>(Tabla1[[#This Row],[COSTO FIJO ]]/30)*Tabla1[[#This Row],[TOTAL DIAS PROYECTO]]+(Tabla1[[#This Row],[COSTO TEMPORAL]])</f>
        <v>0</v>
      </c>
      <c r="P226" s="12">
        <f>+((651.96*50%)/5)</f>
        <v>65.195999999999998</v>
      </c>
      <c r="Q226" s="12">
        <f>+(Tabla1[[#This Row],[COSTO COCHE]]/30)*Tabla1[[#This Row],[TOTAL DIAS PROYECTO]]</f>
        <v>26.078400000000002</v>
      </c>
      <c r="R226" s="12">
        <f>+Tabla1[[#This Row],[COSTO TOTAL ALOJAMIENTO]]+Tabla1[[#This Row],[COSTO TOTAL COCHE]]</f>
        <v>26.078400000000002</v>
      </c>
      <c r="S226" s="2"/>
      <c r="T226" s="2" t="s">
        <v>35</v>
      </c>
      <c r="U226" s="14">
        <v>45550</v>
      </c>
      <c r="V226" s="75"/>
      <c r="W226" s="26"/>
      <c r="X226" s="2">
        <v>1</v>
      </c>
      <c r="Y226" s="11"/>
      <c r="Z226" s="64" t="s">
        <v>36</v>
      </c>
      <c r="AA226" s="13" t="s">
        <v>10357</v>
      </c>
      <c r="AB226" s="13" t="s">
        <v>10358</v>
      </c>
    </row>
    <row r="227" spans="1:28" ht="15" customHeight="1">
      <c r="A227" s="2" t="s">
        <v>8737</v>
      </c>
      <c r="B227" s="2" t="s">
        <v>28</v>
      </c>
      <c r="C227" s="18" t="s">
        <v>510</v>
      </c>
      <c r="D227" s="2" t="s">
        <v>30</v>
      </c>
      <c r="E227" s="2" t="s">
        <v>790</v>
      </c>
      <c r="F227" s="11" t="s">
        <v>791</v>
      </c>
      <c r="G227" s="11" t="s">
        <v>792</v>
      </c>
      <c r="H227" s="2" t="s">
        <v>793</v>
      </c>
      <c r="I227" s="33" t="s">
        <v>794</v>
      </c>
      <c r="J227" s="8">
        <f>+Tabla1[[#This Row],[FECHA ENTRADA]]</f>
        <v>45536</v>
      </c>
      <c r="K227" s="8">
        <v>45562</v>
      </c>
      <c r="L227" s="13">
        <f>_xlfn.DAYS(Tabla1[[#This Row],[FECHA FIN ]],Tabla1[[#This Row],[FECHA INICIO]])</f>
        <v>26</v>
      </c>
      <c r="M227" s="12"/>
      <c r="N227" s="12">
        <v>200</v>
      </c>
      <c r="O227" s="12">
        <f>(Tabla1[[#This Row],[COSTO FIJO ]]/30)*Tabla1[[#This Row],[TOTAL DIAS PROYECTO]]+(Tabla1[[#This Row],[COSTO TEMPORAL]])</f>
        <v>173.33333333333334</v>
      </c>
      <c r="P227" s="12"/>
      <c r="Q227" s="12">
        <f>+(Tabla1[[#This Row],[COSTO COCHE]]/30)*Tabla1[[#This Row],[TOTAL DIAS PROYECTO]]</f>
        <v>0</v>
      </c>
      <c r="R227" s="12">
        <f>+Tabla1[[#This Row],[COSTO TOTAL ALOJAMIENTO]]+Tabla1[[#This Row],[COSTO TOTAL COCHE]]</f>
        <v>173.33333333333334</v>
      </c>
      <c r="S227" s="2"/>
      <c r="T227" s="33" t="s">
        <v>35</v>
      </c>
      <c r="U227" s="14">
        <v>45536</v>
      </c>
      <c r="V227" s="14"/>
      <c r="W227" s="26"/>
      <c r="X227" s="2">
        <v>1</v>
      </c>
      <c r="Y227" s="31" t="s">
        <v>795</v>
      </c>
      <c r="Z227" s="2" t="s">
        <v>36</v>
      </c>
      <c r="AA227" s="13">
        <v>-574377</v>
      </c>
      <c r="AB227" s="13">
        <v>4150368</v>
      </c>
    </row>
    <row r="228" spans="1:28" ht="15" customHeight="1">
      <c r="A228" s="2" t="s">
        <v>8707</v>
      </c>
      <c r="B228" s="2" t="s">
        <v>368</v>
      </c>
      <c r="C228" s="18" t="s">
        <v>384</v>
      </c>
      <c r="D228" s="2" t="s">
        <v>30</v>
      </c>
      <c r="E228" s="2" t="s">
        <v>253</v>
      </c>
      <c r="F228" s="11" t="s">
        <v>581</v>
      </c>
      <c r="G228" s="11" t="s">
        <v>255</v>
      </c>
      <c r="H228" s="2" t="s">
        <v>665</v>
      </c>
      <c r="I228" s="12" t="s">
        <v>666</v>
      </c>
      <c r="J228" s="8">
        <f>+Tabla1[[#This Row],[FECHA ENTRADA]]</f>
        <v>45544</v>
      </c>
      <c r="K228" s="8">
        <v>45562</v>
      </c>
      <c r="L228" s="13">
        <f>_xlfn.DAYS(Tabla1[[#This Row],[FECHA FIN ]],Tabla1[[#This Row],[FECHA INICIO]])</f>
        <v>18</v>
      </c>
      <c r="M228" s="12"/>
      <c r="N228" s="12"/>
      <c r="O228" s="12">
        <f>(Tabla1[[#This Row],[COSTO FIJO ]]/30)*Tabla1[[#This Row],[TOTAL DIAS PROYECTO]]+(Tabla1[[#This Row],[COSTO TEMPORAL]])</f>
        <v>0</v>
      </c>
      <c r="P228" s="12">
        <f>+((651.96*50%)/5)</f>
        <v>65.195999999999998</v>
      </c>
      <c r="Q228" s="12">
        <f>+(Tabla1[[#This Row],[COSTO COCHE]]/30)*Tabla1[[#This Row],[TOTAL DIAS PROYECTO]]</f>
        <v>39.117600000000003</v>
      </c>
      <c r="R228" s="12">
        <f>+Tabla1[[#This Row],[COSTO TOTAL ALOJAMIENTO]]+Tabla1[[#This Row],[COSTO TOTAL COCHE]]</f>
        <v>39.117600000000003</v>
      </c>
      <c r="S228" s="2"/>
      <c r="T228" s="2" t="s">
        <v>35</v>
      </c>
      <c r="U228" s="14">
        <v>45544</v>
      </c>
      <c r="V228" s="14"/>
      <c r="W228" s="26"/>
      <c r="X228" s="2">
        <v>1</v>
      </c>
      <c r="Y228" s="11"/>
      <c r="Z228" s="64" t="s">
        <v>36</v>
      </c>
      <c r="AA228" s="13" t="s">
        <v>10357</v>
      </c>
      <c r="AB228" s="13" t="s">
        <v>10358</v>
      </c>
    </row>
    <row r="229" spans="1:28" ht="15" customHeight="1">
      <c r="A229" s="2" t="s">
        <v>8794</v>
      </c>
      <c r="B229" s="2" t="s">
        <v>28</v>
      </c>
      <c r="C229" s="18" t="s">
        <v>796</v>
      </c>
      <c r="D229" s="2" t="s">
        <v>30</v>
      </c>
      <c r="E229" s="2" t="s">
        <v>415</v>
      </c>
      <c r="F229" s="11" t="s">
        <v>797</v>
      </c>
      <c r="G229" s="11" t="s">
        <v>798</v>
      </c>
      <c r="H229" s="2" t="s">
        <v>799</v>
      </c>
      <c r="I229" s="12" t="s">
        <v>800</v>
      </c>
      <c r="J229" s="8">
        <f>+Tabla1[[#This Row],[FECHA ENTRADA]]</f>
        <v>45510</v>
      </c>
      <c r="K229" s="8">
        <v>45562</v>
      </c>
      <c r="L229" s="13">
        <f>_xlfn.DAYS(Tabla1[[#This Row],[FECHA FIN ]],Tabla1[[#This Row],[FECHA INICIO]])</f>
        <v>52</v>
      </c>
      <c r="M229" s="12">
        <f>60+150+60</f>
        <v>270</v>
      </c>
      <c r="N229" s="12">
        <v>400</v>
      </c>
      <c r="O229" s="12">
        <f>(Tabla1[[#This Row],[COSTO FIJO ]]/30)*Tabla1[[#This Row],[TOTAL DIAS PROYECTO]]+(Tabla1[[#This Row],[COSTO TEMPORAL]])</f>
        <v>963.33333333333337</v>
      </c>
      <c r="P229" s="12"/>
      <c r="Q229" s="12">
        <f>+(Tabla1[[#This Row],[COSTO COCHE]]/30)*Tabla1[[#This Row],[TOTAL DIAS PROYECTO]]</f>
        <v>0</v>
      </c>
      <c r="R229" s="12">
        <f>+Tabla1[[#This Row],[COSTO TOTAL ALOJAMIENTO]]+Tabla1[[#This Row],[COSTO TOTAL COCHE]]</f>
        <v>963.33333333333337</v>
      </c>
      <c r="S229" s="2"/>
      <c r="T229" s="2" t="s">
        <v>35</v>
      </c>
      <c r="U229" s="14">
        <v>45510</v>
      </c>
      <c r="V229" s="14"/>
      <c r="W229" s="26"/>
      <c r="X229" s="2">
        <v>4</v>
      </c>
      <c r="Y229" s="11" t="s">
        <v>801</v>
      </c>
      <c r="Z229" s="2" t="s">
        <v>36</v>
      </c>
      <c r="AA229" s="13">
        <v>-0.37739</v>
      </c>
      <c r="AB229" s="13" t="s">
        <v>10372</v>
      </c>
    </row>
    <row r="230" spans="1:28">
      <c r="A230" s="2" t="s">
        <v>8795</v>
      </c>
      <c r="B230" s="2" t="s">
        <v>368</v>
      </c>
      <c r="C230" s="11" t="s">
        <v>802</v>
      </c>
      <c r="D230" s="2" t="s">
        <v>30</v>
      </c>
      <c r="E230" s="2" t="s">
        <v>92</v>
      </c>
      <c r="F230" s="11" t="s">
        <v>803</v>
      </c>
      <c r="G230" s="11" t="s">
        <v>804</v>
      </c>
      <c r="H230" s="2" t="s">
        <v>805</v>
      </c>
      <c r="I230" s="12" t="s">
        <v>806</v>
      </c>
      <c r="J230" s="8">
        <f>+Tabla1[[#This Row],[FECHA ENTRADA]]</f>
        <v>45489</v>
      </c>
      <c r="K230" s="8">
        <v>45562</v>
      </c>
      <c r="L230" s="13">
        <f>_xlfn.DAYS(Tabla1[[#This Row],[FECHA FIN ]],Tabla1[[#This Row],[FECHA INICIO]])</f>
        <v>73</v>
      </c>
      <c r="M230" s="12"/>
      <c r="N230" s="12">
        <v>150</v>
      </c>
      <c r="O230" s="12">
        <f>(Tabla1[[#This Row],[COSTO FIJO ]]/30)*Tabla1[[#This Row],[TOTAL DIAS PROYECTO]]+(Tabla1[[#This Row],[COSTO TEMPORAL]])</f>
        <v>365</v>
      </c>
      <c r="P230" s="12"/>
      <c r="Q230" s="12">
        <f>+(Tabla1[[#This Row],[COSTO COCHE]]/30)*Tabla1[[#This Row],[TOTAL DIAS PROYECTO]]</f>
        <v>0</v>
      </c>
      <c r="R230" s="12">
        <f>+Tabla1[[#This Row],[COSTO TOTAL ALOJAMIENTO]]+Tabla1[[#This Row],[COSTO TOTAL COCHE]]</f>
        <v>365</v>
      </c>
      <c r="S230" s="2"/>
      <c r="T230" s="2" t="s">
        <v>35</v>
      </c>
      <c r="U230" s="14">
        <v>45489</v>
      </c>
      <c r="V230" s="14"/>
      <c r="W230" s="26"/>
      <c r="X230" s="2">
        <v>15</v>
      </c>
      <c r="Y230" s="11" t="s">
        <v>807</v>
      </c>
      <c r="Z230" s="2" t="s">
        <v>36</v>
      </c>
      <c r="AA230" s="13" t="s">
        <v>10336</v>
      </c>
      <c r="AB230" s="13" t="s">
        <v>10337</v>
      </c>
    </row>
    <row r="231" spans="1:28" ht="15" customHeight="1">
      <c r="A231" s="2" t="s">
        <v>8796</v>
      </c>
      <c r="B231" s="2" t="s">
        <v>28</v>
      </c>
      <c r="C231" s="18" t="s">
        <v>808</v>
      </c>
      <c r="D231" s="2" t="s">
        <v>78</v>
      </c>
      <c r="E231" s="2" t="s">
        <v>136</v>
      </c>
      <c r="F231" s="11" t="s">
        <v>809</v>
      </c>
      <c r="G231" s="11" t="s">
        <v>810</v>
      </c>
      <c r="H231" s="2" t="s">
        <v>139</v>
      </c>
      <c r="I231" s="12" t="s">
        <v>140</v>
      </c>
      <c r="J231" s="8">
        <f>+Tabla1[[#This Row],[FECHA ENTRADA]]</f>
        <v>45472</v>
      </c>
      <c r="K231" s="8">
        <v>45562</v>
      </c>
      <c r="L231" s="13">
        <f>_xlfn.DAYS(Tabla1[[#This Row],[FECHA FIN ]],Tabla1[[#This Row],[FECHA INICIO]])</f>
        <v>90</v>
      </c>
      <c r="M231" s="12">
        <v>216.13</v>
      </c>
      <c r="N231" s="20"/>
      <c r="O231" s="12">
        <f>(Tabla1[[#This Row],[COSTO FIJO ]]/30)*Tabla1[[#This Row],[TOTAL DIAS PROYECTO]]+(Tabla1[[#This Row],[COSTO TEMPORAL]])</f>
        <v>216.13</v>
      </c>
      <c r="P231" s="12">
        <f>542.6/3</f>
        <v>180.86666666666667</v>
      </c>
      <c r="Q231" s="12">
        <f>+(Tabla1[[#This Row],[COSTO COCHE]]/30)*Tabla1[[#This Row],[TOTAL DIAS PROYECTO]]</f>
        <v>542.6</v>
      </c>
      <c r="R231" s="12">
        <f>+Tabla1[[#This Row],[COSTO TOTAL ALOJAMIENTO]]+Tabla1[[#This Row],[COSTO TOTAL COCHE]]</f>
        <v>758.73</v>
      </c>
      <c r="S231" s="2" t="s">
        <v>84</v>
      </c>
      <c r="T231" s="2" t="s">
        <v>44</v>
      </c>
      <c r="U231" s="14">
        <v>45472</v>
      </c>
      <c r="V231" s="14"/>
      <c r="W231" s="26"/>
      <c r="X231" s="16"/>
      <c r="Y231" s="11" t="s">
        <v>811</v>
      </c>
      <c r="Z231" s="2" t="s">
        <v>36</v>
      </c>
      <c r="AA231" s="13" t="s">
        <v>10344</v>
      </c>
      <c r="AB231" s="13">
        <v>440.18799999999999</v>
      </c>
    </row>
    <row r="232" spans="1:28" ht="15" customHeight="1">
      <c r="A232" s="2" t="s">
        <v>8797</v>
      </c>
      <c r="B232" s="2" t="s">
        <v>28</v>
      </c>
      <c r="C232" s="11" t="s">
        <v>812</v>
      </c>
      <c r="D232" s="2" t="s">
        <v>78</v>
      </c>
      <c r="E232" s="2" t="s">
        <v>136</v>
      </c>
      <c r="F232" s="11" t="s">
        <v>809</v>
      </c>
      <c r="G232" s="11" t="s">
        <v>810</v>
      </c>
      <c r="H232" s="2" t="s">
        <v>139</v>
      </c>
      <c r="I232" s="12" t="s">
        <v>140</v>
      </c>
      <c r="J232" s="8">
        <f>+Tabla1[[#This Row],[FECHA ENTRADA]]</f>
        <v>45472</v>
      </c>
      <c r="K232" s="8">
        <v>45562</v>
      </c>
      <c r="L232" s="13">
        <f>_xlfn.DAYS(Tabla1[[#This Row],[FECHA FIN ]],Tabla1[[#This Row],[FECHA INICIO]])</f>
        <v>90</v>
      </c>
      <c r="M232" s="12"/>
      <c r="N232" s="12">
        <v>221.82</v>
      </c>
      <c r="O232" s="12">
        <f>(Tabla1[[#This Row],[COSTO FIJO ]]/30)*Tabla1[[#This Row],[TOTAL DIAS PROYECTO]]+(Tabla1[[#This Row],[COSTO TEMPORAL]])</f>
        <v>665.46</v>
      </c>
      <c r="P232" s="12">
        <f>542.6/3</f>
        <v>180.86666666666667</v>
      </c>
      <c r="Q232" s="12">
        <f>+(Tabla1[[#This Row],[COSTO COCHE]]/30)*Tabla1[[#This Row],[TOTAL DIAS PROYECTO]]</f>
        <v>542.6</v>
      </c>
      <c r="R232" s="12">
        <f>+Tabla1[[#This Row],[COSTO TOTAL ALOJAMIENTO]]+Tabla1[[#This Row],[COSTO TOTAL COCHE]]</f>
        <v>1208.06</v>
      </c>
      <c r="S232" s="2" t="s">
        <v>84</v>
      </c>
      <c r="T232" s="2" t="s">
        <v>44</v>
      </c>
      <c r="U232" s="14">
        <v>45472</v>
      </c>
      <c r="V232" s="14"/>
      <c r="W232" s="26"/>
      <c r="X232" s="16"/>
      <c r="Y232" s="11" t="s">
        <v>811</v>
      </c>
      <c r="Z232" s="2" t="s">
        <v>36</v>
      </c>
      <c r="AA232" s="13" t="s">
        <v>10344</v>
      </c>
      <c r="AB232" s="13">
        <v>440.18799999999999</v>
      </c>
    </row>
    <row r="233" spans="1:28">
      <c r="A233" s="2" t="s">
        <v>8798</v>
      </c>
      <c r="B233" s="2" t="s">
        <v>28</v>
      </c>
      <c r="C233" s="11" t="s">
        <v>813</v>
      </c>
      <c r="D233" s="2" t="s">
        <v>30</v>
      </c>
      <c r="E233" s="2" t="s">
        <v>253</v>
      </c>
      <c r="F233" s="11" t="s">
        <v>254</v>
      </c>
      <c r="G233" s="11" t="s">
        <v>255</v>
      </c>
      <c r="H233" s="2">
        <v>2023</v>
      </c>
      <c r="I233" s="2" t="s">
        <v>582</v>
      </c>
      <c r="J233" s="8">
        <v>45278</v>
      </c>
      <c r="K233" s="8">
        <v>45563</v>
      </c>
      <c r="L233" s="13">
        <f>_xlfn.DAYS(Tabla1[[#This Row],[FECHA FIN ]],Tabla1[[#This Row],[FECHA INICIO]])</f>
        <v>285</v>
      </c>
      <c r="M233" s="12"/>
      <c r="N233" s="2"/>
      <c r="O233" s="12">
        <f>(Tabla1[[#This Row],[COSTO FIJO ]]/30)*Tabla1[[#This Row],[TOTAL DIAS PROYECTO]]+(Tabla1[[#This Row],[COSTO TEMPORAL]])</f>
        <v>0</v>
      </c>
      <c r="P233" s="12"/>
      <c r="Q233" s="12">
        <f>+(Tabla1[[#This Row],[COSTO COCHE]]/30)*Tabla1[[#This Row],[TOTAL DIAS PROYECTO]]</f>
        <v>0</v>
      </c>
      <c r="R233" s="12">
        <f>+Tabla1[[#This Row],[COSTO TOTAL ALOJAMIENTO]]+Tabla1[[#This Row],[COSTO TOTAL COCHE]]</f>
        <v>0</v>
      </c>
      <c r="S233" s="2"/>
      <c r="T233" s="2" t="s">
        <v>35</v>
      </c>
      <c r="U233" s="14"/>
      <c r="V233" s="14"/>
      <c r="W233" s="15"/>
      <c r="X233" s="16">
        <v>1</v>
      </c>
      <c r="Y233" s="11" t="s">
        <v>814</v>
      </c>
      <c r="Z233" s="2" t="s">
        <v>36</v>
      </c>
      <c r="AA233" s="13" t="s">
        <v>10357</v>
      </c>
      <c r="AB233" s="13" t="s">
        <v>10358</v>
      </c>
    </row>
    <row r="234" spans="1:28" s="32" customFormat="1" ht="15" customHeight="1">
      <c r="A234" s="2" t="s">
        <v>8799</v>
      </c>
      <c r="B234" s="2" t="s">
        <v>28</v>
      </c>
      <c r="C234" s="18" t="s">
        <v>815</v>
      </c>
      <c r="D234" s="2" t="s">
        <v>30</v>
      </c>
      <c r="E234" s="2" t="s">
        <v>253</v>
      </c>
      <c r="F234" s="11"/>
      <c r="G234" s="11" t="s">
        <v>255</v>
      </c>
      <c r="H234" s="2">
        <v>2023</v>
      </c>
      <c r="I234" s="2" t="s">
        <v>582</v>
      </c>
      <c r="J234" s="8">
        <v>45278</v>
      </c>
      <c r="K234" s="22">
        <v>45563</v>
      </c>
      <c r="L234" s="13">
        <f>_xlfn.DAYS(Tabla1[[#This Row],[FECHA FIN ]],Tabla1[[#This Row],[FECHA INICIO]])</f>
        <v>285</v>
      </c>
      <c r="M234" s="12"/>
      <c r="N234" s="12">
        <v>300</v>
      </c>
      <c r="O234" s="12">
        <f>(Tabla1[[#This Row],[COSTO FIJO ]]/30)*Tabla1[[#This Row],[TOTAL DIAS PROYECTO]]+(Tabla1[[#This Row],[COSTO TEMPORAL]])</f>
        <v>2850</v>
      </c>
      <c r="P234" s="12"/>
      <c r="Q234" s="12">
        <f>+(Tabla1[[#This Row],[COSTO COCHE]]/30)*Tabla1[[#This Row],[TOTAL DIAS PROYECTO]]</f>
        <v>0</v>
      </c>
      <c r="R234" s="12">
        <f>+Tabla1[[#This Row],[COSTO TOTAL ALOJAMIENTO]]+Tabla1[[#This Row],[COSTO TOTAL COCHE]]</f>
        <v>2850</v>
      </c>
      <c r="S234" s="2"/>
      <c r="T234" s="2" t="s">
        <v>58</v>
      </c>
      <c r="U234" s="14"/>
      <c r="V234" s="14"/>
      <c r="W234" s="15"/>
      <c r="X234" s="16"/>
      <c r="Y234" s="11" t="s">
        <v>816</v>
      </c>
      <c r="Z234" s="2" t="s">
        <v>36</v>
      </c>
      <c r="AA234" s="13" t="s">
        <v>10357</v>
      </c>
      <c r="AB234" s="13" t="s">
        <v>10358</v>
      </c>
    </row>
    <row r="235" spans="1:28">
      <c r="A235" s="2" t="s">
        <v>8800</v>
      </c>
      <c r="B235" s="2" t="s">
        <v>368</v>
      </c>
      <c r="C235" s="11" t="s">
        <v>817</v>
      </c>
      <c r="D235" s="2" t="s">
        <v>30</v>
      </c>
      <c r="E235" s="2" t="s">
        <v>92</v>
      </c>
      <c r="F235" s="11" t="s">
        <v>803</v>
      </c>
      <c r="G235" s="11" t="s">
        <v>804</v>
      </c>
      <c r="H235" s="2" t="s">
        <v>805</v>
      </c>
      <c r="I235" s="12" t="s">
        <v>806</v>
      </c>
      <c r="J235" s="8">
        <f>+Tabla1[[#This Row],[FECHA ENTRADA]]</f>
        <v>45489</v>
      </c>
      <c r="K235" s="8">
        <v>45563</v>
      </c>
      <c r="L235" s="13">
        <f>_xlfn.DAYS(Tabla1[[#This Row],[FECHA FIN ]],Tabla1[[#This Row],[FECHA INICIO]])</f>
        <v>74</v>
      </c>
      <c r="M235" s="12"/>
      <c r="N235" s="12">
        <v>150</v>
      </c>
      <c r="O235" s="12">
        <f>(Tabla1[[#This Row],[COSTO FIJO ]]/30)*Tabla1[[#This Row],[TOTAL DIAS PROYECTO]]+(Tabla1[[#This Row],[COSTO TEMPORAL]])</f>
        <v>370</v>
      </c>
      <c r="P235" s="12"/>
      <c r="Q235" s="12">
        <f>+(Tabla1[[#This Row],[COSTO COCHE]]/30)*Tabla1[[#This Row],[TOTAL DIAS PROYECTO]]</f>
        <v>0</v>
      </c>
      <c r="R235" s="12">
        <f>+Tabla1[[#This Row],[COSTO TOTAL ALOJAMIENTO]]+Tabla1[[#This Row],[COSTO TOTAL COCHE]]</f>
        <v>370</v>
      </c>
      <c r="S235" s="2"/>
      <c r="T235" s="2" t="s">
        <v>35</v>
      </c>
      <c r="U235" s="14">
        <v>45489</v>
      </c>
      <c r="V235" s="14"/>
      <c r="W235" s="26"/>
      <c r="X235" s="2">
        <v>15</v>
      </c>
      <c r="Y235" s="11" t="s">
        <v>818</v>
      </c>
      <c r="Z235" s="2" t="s">
        <v>36</v>
      </c>
      <c r="AA235" s="13" t="s">
        <v>10336</v>
      </c>
      <c r="AB235" s="13" t="s">
        <v>10337</v>
      </c>
    </row>
    <row r="236" spans="1:28" ht="15" customHeight="1">
      <c r="A236" s="2" t="s">
        <v>8801</v>
      </c>
      <c r="B236" s="2" t="s">
        <v>711</v>
      </c>
      <c r="C236" s="31" t="s">
        <v>819</v>
      </c>
      <c r="D236" s="2" t="s">
        <v>30</v>
      </c>
      <c r="E236" s="2" t="s">
        <v>127</v>
      </c>
      <c r="F236" s="11" t="s">
        <v>820</v>
      </c>
      <c r="G236" s="21" t="s">
        <v>821</v>
      </c>
      <c r="H236" s="2" t="s">
        <v>822</v>
      </c>
      <c r="I236" s="12" t="s">
        <v>96</v>
      </c>
      <c r="J236" s="41">
        <f>+Tabla1[[#This Row],[FECHA ENTRADA]]</f>
        <v>45943</v>
      </c>
      <c r="K236" s="22">
        <v>45954</v>
      </c>
      <c r="L236" s="42">
        <f>_xlfn.DAYS(Tabla1[[#This Row],[FECHA FIN ]],Tabla1[[#This Row],[FECHA INICIO]])</f>
        <v>11</v>
      </c>
      <c r="M236" s="12"/>
      <c r="N236" s="12">
        <f>3150/9</f>
        <v>350</v>
      </c>
      <c r="O236" s="28">
        <f>(Tabla1[[#This Row],[COSTO FIJO ]]/30)*Tabla1[[#This Row],[TOTAL DIAS PROYECTO]]+(Tabla1[[#This Row],[COSTO TEMPORAL]])</f>
        <v>128.33333333333331</v>
      </c>
      <c r="P236" s="12"/>
      <c r="Q236" s="12">
        <f>+(Tabla1[[#This Row],[COSTO COCHE]]/30)*Tabla1[[#This Row],[TOTAL DIAS PROYECTO]]</f>
        <v>0</v>
      </c>
      <c r="R236" s="12">
        <f>+Tabla1[[#This Row],[COSTO TOTAL ALOJAMIENTO]]+Tabla1[[#This Row],[COSTO TOTAL COCHE]]</f>
        <v>128.33333333333331</v>
      </c>
      <c r="S236" s="2"/>
      <c r="T236" s="14" t="s">
        <v>44</v>
      </c>
      <c r="U236" s="14">
        <v>45943</v>
      </c>
      <c r="V236" s="25">
        <v>46009</v>
      </c>
      <c r="W236" s="71"/>
      <c r="X236" s="2"/>
      <c r="Y236" s="11" t="s">
        <v>823</v>
      </c>
      <c r="Z236" s="2" t="s">
        <v>36</v>
      </c>
      <c r="AA236" s="13" t="s">
        <v>10342</v>
      </c>
      <c r="AB236" s="13" t="s">
        <v>10343</v>
      </c>
    </row>
    <row r="237" spans="1:28">
      <c r="A237" s="2" t="s">
        <v>8689</v>
      </c>
      <c r="B237" s="2" t="s">
        <v>28</v>
      </c>
      <c r="C237" s="18" t="s">
        <v>300</v>
      </c>
      <c r="D237" s="2" t="s">
        <v>30</v>
      </c>
      <c r="E237" s="2" t="s">
        <v>31</v>
      </c>
      <c r="F237" s="11"/>
      <c r="G237" s="11"/>
      <c r="H237" s="2" t="s">
        <v>356</v>
      </c>
      <c r="I237" s="12" t="s">
        <v>357</v>
      </c>
      <c r="J237" s="8">
        <f>+Tabla1[[#This Row],[FECHA ENTRADA]]</f>
        <v>45447</v>
      </c>
      <c r="K237" s="8">
        <v>45565</v>
      </c>
      <c r="L237" s="13">
        <f>_xlfn.DAYS(Tabla1[[#This Row],[FECHA FIN ]],Tabla1[[#This Row],[FECHA INICIO]])</f>
        <v>118</v>
      </c>
      <c r="M237" s="76"/>
      <c r="N237" s="20"/>
      <c r="O237" s="76">
        <f>(Tabla1[[#This Row],[COSTO FIJO ]]/30)*Tabla1[[#This Row],[TOTAL DIAS PROYECTO]]+(Tabla1[[#This Row],[COSTO TEMPORAL]])</f>
        <v>0</v>
      </c>
      <c r="P237" s="76"/>
      <c r="Q237" s="76">
        <f>+(Tabla1[[#This Row],[COSTO COCHE]]/30)*Tabla1[[#This Row],[TOTAL DIAS PROYECTO]]</f>
        <v>0</v>
      </c>
      <c r="R237" s="76">
        <f>+Tabla1[[#This Row],[COSTO TOTAL ALOJAMIENTO]]+Tabla1[[#This Row],[COSTO TOTAL COCHE]]</f>
        <v>0</v>
      </c>
      <c r="S237" s="2"/>
      <c r="T237" s="2" t="s">
        <v>58</v>
      </c>
      <c r="U237" s="14">
        <v>45447</v>
      </c>
      <c r="V237" s="14"/>
      <c r="W237" s="26"/>
      <c r="X237" s="2"/>
      <c r="Y237" s="11" t="s">
        <v>824</v>
      </c>
      <c r="Z237" s="2" t="s">
        <v>36</v>
      </c>
      <c r="AA237" s="13" t="s">
        <v>10323</v>
      </c>
      <c r="AB237" s="13" t="s">
        <v>10324</v>
      </c>
    </row>
    <row r="238" spans="1:28" ht="15" customHeight="1">
      <c r="A238" s="2" t="s">
        <v>8802</v>
      </c>
      <c r="B238" s="2" t="s">
        <v>368</v>
      </c>
      <c r="C238" s="11" t="s">
        <v>825</v>
      </c>
      <c r="D238" s="2" t="s">
        <v>30</v>
      </c>
      <c r="E238" s="2" t="s">
        <v>826</v>
      </c>
      <c r="F238" s="11" t="s">
        <v>827</v>
      </c>
      <c r="G238" s="11" t="s">
        <v>828</v>
      </c>
      <c r="H238" s="2" t="s">
        <v>829</v>
      </c>
      <c r="I238" s="12" t="s">
        <v>152</v>
      </c>
      <c r="J238" s="8">
        <f>+Tabla1[[#This Row],[FECHA ENTRADA]]</f>
        <v>45510</v>
      </c>
      <c r="K238" s="8">
        <v>45565</v>
      </c>
      <c r="L238" s="13">
        <f>_xlfn.DAYS(Tabla1[[#This Row],[FECHA FIN ]],Tabla1[[#This Row],[FECHA INICIO]])</f>
        <v>55</v>
      </c>
      <c r="M238" s="12"/>
      <c r="N238" s="12"/>
      <c r="O238" s="12">
        <f>(Tabla1[[#This Row],[COSTO FIJO ]]/30)*Tabla1[[#This Row],[TOTAL DIAS PROYECTO]]+(Tabla1[[#This Row],[COSTO TEMPORAL]])</f>
        <v>0</v>
      </c>
      <c r="P238" s="12"/>
      <c r="Q238" s="12">
        <f>+(Tabla1[[#This Row],[COSTO COCHE]]/30)*Tabla1[[#This Row],[TOTAL DIAS PROYECTO]]</f>
        <v>0</v>
      </c>
      <c r="R238" s="12">
        <f>+Tabla1[[#This Row],[COSTO TOTAL ALOJAMIENTO]]+Tabla1[[#This Row],[COSTO TOTAL COCHE]]</f>
        <v>0</v>
      </c>
      <c r="S238" s="2"/>
      <c r="T238" s="2" t="s">
        <v>613</v>
      </c>
      <c r="U238" s="14">
        <v>45510</v>
      </c>
      <c r="V238" s="8">
        <v>45565</v>
      </c>
      <c r="W238" s="26"/>
      <c r="X238" s="2"/>
      <c r="Y238" s="11" t="s">
        <v>830</v>
      </c>
      <c r="Z238" s="2" t="s">
        <v>36</v>
      </c>
      <c r="AA238" s="13" t="s">
        <v>10399</v>
      </c>
      <c r="AB238" s="13" t="s">
        <v>10400</v>
      </c>
    </row>
    <row r="239" spans="1:28" ht="15" customHeight="1">
      <c r="A239" s="2" t="s">
        <v>8803</v>
      </c>
      <c r="B239" s="2" t="s">
        <v>368</v>
      </c>
      <c r="C239" s="18" t="s">
        <v>831</v>
      </c>
      <c r="D239" s="2" t="s">
        <v>30</v>
      </c>
      <c r="E239" s="2" t="s">
        <v>31</v>
      </c>
      <c r="F239" s="11" t="s">
        <v>832</v>
      </c>
      <c r="G239" s="11" t="s">
        <v>833</v>
      </c>
      <c r="H239" s="2" t="s">
        <v>834</v>
      </c>
      <c r="I239" s="29" t="s">
        <v>835</v>
      </c>
      <c r="J239" s="8">
        <f>+Tabla1[[#This Row],[FECHA ENTRADA]]</f>
        <v>45469</v>
      </c>
      <c r="K239" s="8">
        <v>45567</v>
      </c>
      <c r="L239" s="13">
        <f>_xlfn.DAYS(Tabla1[[#This Row],[FECHA FIN ]],Tabla1[[#This Row],[FECHA INICIO]])</f>
        <v>98</v>
      </c>
      <c r="M239" s="29"/>
      <c r="N239" s="12">
        <v>450</v>
      </c>
      <c r="O239" s="12">
        <f>(Tabla1[[#This Row],[COSTO FIJO ]]/30)*Tabla1[[#This Row],[TOTAL DIAS PROYECTO]]+(Tabla1[[#This Row],[COSTO TEMPORAL]])</f>
        <v>1470</v>
      </c>
      <c r="P239" s="12"/>
      <c r="Q239" s="12">
        <f>+(Tabla1[[#This Row],[COSTO COCHE]]/30)*Tabla1[[#This Row],[TOTAL DIAS PROYECTO]]</f>
        <v>0</v>
      </c>
      <c r="R239" s="12">
        <f>+Tabla1[[#This Row],[COSTO TOTAL ALOJAMIENTO]]+Tabla1[[#This Row],[COSTO TOTAL COCHE]]</f>
        <v>1470</v>
      </c>
      <c r="S239" s="2"/>
      <c r="T239" s="2" t="s">
        <v>35</v>
      </c>
      <c r="U239" s="14">
        <v>45469</v>
      </c>
      <c r="V239" s="14">
        <v>45479</v>
      </c>
      <c r="W239" s="26"/>
      <c r="X239" s="2">
        <v>8</v>
      </c>
      <c r="Y239" s="11" t="s">
        <v>836</v>
      </c>
      <c r="Z239" s="2" t="s">
        <v>36</v>
      </c>
      <c r="AA239" s="13" t="s">
        <v>10323</v>
      </c>
      <c r="AB239" s="13" t="s">
        <v>10324</v>
      </c>
    </row>
    <row r="240" spans="1:28" ht="15" customHeight="1">
      <c r="A240" s="2" t="s">
        <v>8782</v>
      </c>
      <c r="B240" s="2" t="s">
        <v>368</v>
      </c>
      <c r="C240" s="11" t="s">
        <v>747</v>
      </c>
      <c r="D240" s="2" t="s">
        <v>30</v>
      </c>
      <c r="E240" s="2" t="s">
        <v>422</v>
      </c>
      <c r="F240" s="11" t="s">
        <v>667</v>
      </c>
      <c r="G240" s="11" t="s">
        <v>668</v>
      </c>
      <c r="H240" s="2" t="s">
        <v>669</v>
      </c>
      <c r="I240" s="65" t="s">
        <v>670</v>
      </c>
      <c r="J240" s="8">
        <f>+Tabla1[[#This Row],[FECHA ENTRADA]]</f>
        <v>45487</v>
      </c>
      <c r="K240" s="66">
        <v>45534</v>
      </c>
      <c r="L240" s="13">
        <f>_xlfn.DAYS(Tabla1[[#This Row],[FECHA FIN ]],Tabla1[[#This Row],[FECHA INICIO]])</f>
        <v>47</v>
      </c>
      <c r="M240" s="12">
        <f>22+151+50.66+66+106.66</f>
        <v>396.31999999999994</v>
      </c>
      <c r="N240" s="12">
        <v>325</v>
      </c>
      <c r="O240" s="12">
        <f>(Tabla1[[#This Row],[COSTO FIJO ]]/30)*Tabla1[[#This Row],[TOTAL DIAS PROYECTO]]+(Tabla1[[#This Row],[COSTO TEMPORAL]])</f>
        <v>905.48666666666668</v>
      </c>
      <c r="P240" s="12"/>
      <c r="Q240" s="12">
        <f>+(Tabla1[[#This Row],[COSTO COCHE]]/30)*Tabla1[[#This Row],[TOTAL DIAS PROYECTO]]</f>
        <v>0</v>
      </c>
      <c r="R240" s="12">
        <f>+Tabla1[[#This Row],[COSTO TOTAL ALOJAMIENTO]]+Tabla1[[#This Row],[COSTO TOTAL COCHE]]</f>
        <v>905.48666666666668</v>
      </c>
      <c r="S240" s="2"/>
      <c r="T240" s="2" t="s">
        <v>44</v>
      </c>
      <c r="U240" s="14">
        <v>45487</v>
      </c>
      <c r="V240" s="14"/>
      <c r="W240" s="26">
        <v>1300</v>
      </c>
      <c r="X240" s="2">
        <v>5</v>
      </c>
      <c r="Y240" s="18" t="s">
        <v>837</v>
      </c>
      <c r="Z240" s="2" t="s">
        <v>36</v>
      </c>
      <c r="AA240" s="13">
        <v>-326.69799999999998</v>
      </c>
      <c r="AB240" s="13" t="s">
        <v>10373</v>
      </c>
    </row>
    <row r="241" spans="1:28" ht="15" customHeight="1">
      <c r="A241" s="2" t="s">
        <v>8804</v>
      </c>
      <c r="B241" s="2" t="s">
        <v>28</v>
      </c>
      <c r="C241" s="11" t="s">
        <v>838</v>
      </c>
      <c r="D241" s="2" t="s">
        <v>30</v>
      </c>
      <c r="E241" s="2" t="s">
        <v>253</v>
      </c>
      <c r="F241" s="11"/>
      <c r="G241" s="11"/>
      <c r="H241" s="2">
        <v>2023</v>
      </c>
      <c r="I241" s="2" t="s">
        <v>256</v>
      </c>
      <c r="J241" s="8">
        <v>45122</v>
      </c>
      <c r="K241" s="8">
        <v>45569</v>
      </c>
      <c r="L241" s="13">
        <f>_xlfn.DAYS(Tabla1[[#This Row],[FECHA FIN ]],Tabla1[[#This Row],[FECHA INICIO]])</f>
        <v>447</v>
      </c>
      <c r="M241" s="12"/>
      <c r="N241" s="12"/>
      <c r="O241" s="12">
        <f>(Tabla1[[#This Row],[COSTO FIJO ]]/30)*Tabla1[[#This Row],[TOTAL DIAS PROYECTO]]+(Tabla1[[#This Row],[COSTO TEMPORAL]])</f>
        <v>0</v>
      </c>
      <c r="P241" s="12"/>
      <c r="Q241" s="12">
        <f>+(Tabla1[[#This Row],[COSTO COCHE]]/30)*Tabla1[[#This Row],[TOTAL DIAS PROYECTO]]</f>
        <v>0</v>
      </c>
      <c r="R241" s="12">
        <f>+Tabla1[[#This Row],[COSTO TOTAL ALOJAMIENTO]]+Tabla1[[#This Row],[COSTO TOTAL COCHE]]</f>
        <v>0</v>
      </c>
      <c r="S241" s="2"/>
      <c r="T241" s="2" t="s">
        <v>58</v>
      </c>
      <c r="U241" s="14"/>
      <c r="V241" s="14"/>
      <c r="W241" s="2"/>
      <c r="X241" s="2"/>
      <c r="Y241" s="31" t="s">
        <v>839</v>
      </c>
      <c r="Z241" s="2" t="s">
        <v>36</v>
      </c>
      <c r="AA241" s="13" t="s">
        <v>10357</v>
      </c>
      <c r="AB241" s="13" t="s">
        <v>10358</v>
      </c>
    </row>
    <row r="242" spans="1:28" ht="15" customHeight="1">
      <c r="A242" s="2" t="s">
        <v>8780</v>
      </c>
      <c r="B242" s="2" t="s">
        <v>368</v>
      </c>
      <c r="C242" s="11" t="s">
        <v>739</v>
      </c>
      <c r="D242" s="2" t="s">
        <v>30</v>
      </c>
      <c r="E242" s="2" t="s">
        <v>447</v>
      </c>
      <c r="F242" s="11" t="s">
        <v>840</v>
      </c>
      <c r="G242" s="46" t="s">
        <v>841</v>
      </c>
      <c r="H242" s="2" t="s">
        <v>842</v>
      </c>
      <c r="I242" s="12" t="s">
        <v>843</v>
      </c>
      <c r="J242" s="41">
        <v>45566</v>
      </c>
      <c r="K242" s="8">
        <v>45569</v>
      </c>
      <c r="L242" s="42">
        <f>_xlfn.DAYS(Tabla1[[#This Row],[FECHA FIN ]],Tabla1[[#This Row],[FECHA INICIO]])</f>
        <v>3</v>
      </c>
      <c r="M242" s="12"/>
      <c r="N242" s="12">
        <v>160</v>
      </c>
      <c r="O242" s="28">
        <f>(Tabla1[[#This Row],[COSTO FIJO ]]/30)*Tabla1[[#This Row],[TOTAL DIAS PROYECTO]]+(Tabla1[[#This Row],[COSTO TEMPORAL]])</f>
        <v>16</v>
      </c>
      <c r="P242" s="12"/>
      <c r="Q242" s="12">
        <f>+(Tabla1[[#This Row],[COSTO COCHE]]/30)*Tabla1[[#This Row],[TOTAL DIAS PROYECTO]]</f>
        <v>0</v>
      </c>
      <c r="R242" s="12">
        <f>+Tabla1[[#This Row],[COSTO TOTAL ALOJAMIENTO]]+Tabla1[[#This Row],[COSTO TOTAL COCHE]]</f>
        <v>16</v>
      </c>
      <c r="S242" s="2"/>
      <c r="T242" s="2" t="s">
        <v>35</v>
      </c>
      <c r="U242" s="14"/>
      <c r="V242" s="43"/>
      <c r="W242" s="26"/>
      <c r="X242" s="2"/>
      <c r="Y242" s="11"/>
      <c r="Z242" s="2" t="s">
        <v>36</v>
      </c>
      <c r="AA242" s="13">
        <v>-697.06100000000004</v>
      </c>
      <c r="AB242" s="13" t="s">
        <v>10377</v>
      </c>
    </row>
    <row r="243" spans="1:28">
      <c r="A243" s="2" t="s">
        <v>8805</v>
      </c>
      <c r="B243" s="2" t="s">
        <v>28</v>
      </c>
      <c r="C243" s="11" t="s">
        <v>844</v>
      </c>
      <c r="D243" s="2" t="s">
        <v>30</v>
      </c>
      <c r="E243" s="2" t="s">
        <v>225</v>
      </c>
      <c r="F243" s="11" t="s">
        <v>310</v>
      </c>
      <c r="G243" s="11" t="s">
        <v>311</v>
      </c>
      <c r="H243" s="2" t="s">
        <v>492</v>
      </c>
      <c r="I243" s="2" t="s">
        <v>228</v>
      </c>
      <c r="J243" s="8">
        <f>+Tabla1[[#This Row],[FECHA ENTRADA]]</f>
        <v>45323</v>
      </c>
      <c r="K243" s="8">
        <f ca="1">TODAY()</f>
        <v>46260</v>
      </c>
      <c r="L243" s="13">
        <f ca="1">_xlfn.DAYS(Tabla1[[#This Row],[FECHA FIN ]],Tabla1[[#This Row],[FECHA INICIO]])</f>
        <v>937</v>
      </c>
      <c r="M243" s="12"/>
      <c r="N243" s="12">
        <v>300</v>
      </c>
      <c r="O243" s="12">
        <f ca="1">(Tabla1[[#This Row],[COSTO FIJO ]]/30)*Tabla1[[#This Row],[TOTAL DIAS PROYECTO]]+(Tabla1[[#This Row],[COSTO TEMPORAL]])</f>
        <v>9370</v>
      </c>
      <c r="P243" s="12"/>
      <c r="Q243" s="12">
        <f ca="1">+(Tabla1[[#This Row],[COSTO COCHE]]/30)*Tabla1[[#This Row],[TOTAL DIAS PROYECTO]]</f>
        <v>0</v>
      </c>
      <c r="R243" s="12">
        <f ca="1">+Tabla1[[#This Row],[COSTO TOTAL ALOJAMIENTO]]+Tabla1[[#This Row],[COSTO TOTAL COCHE]]</f>
        <v>9370</v>
      </c>
      <c r="S243" s="2"/>
      <c r="T243" s="2" t="s">
        <v>35</v>
      </c>
      <c r="U243" s="14">
        <v>45323</v>
      </c>
      <c r="V243" s="14"/>
      <c r="W243" s="15"/>
      <c r="X243" s="16">
        <v>1</v>
      </c>
      <c r="Y243" s="11" t="s">
        <v>845</v>
      </c>
      <c r="Z243" s="2" t="s">
        <v>36</v>
      </c>
      <c r="AA243" s="13" t="s">
        <v>10353</v>
      </c>
      <c r="AB243" s="13" t="s">
        <v>10354</v>
      </c>
    </row>
    <row r="244" spans="1:28" ht="15" customHeight="1">
      <c r="A244" s="2" t="s">
        <v>8806</v>
      </c>
      <c r="B244" s="2" t="s">
        <v>28</v>
      </c>
      <c r="C244" s="11" t="s">
        <v>846</v>
      </c>
      <c r="D244" s="2" t="s">
        <v>30</v>
      </c>
      <c r="E244" s="2" t="s">
        <v>225</v>
      </c>
      <c r="F244" s="11"/>
      <c r="G244" s="11"/>
      <c r="H244" s="2" t="s">
        <v>492</v>
      </c>
      <c r="I244" s="2" t="s">
        <v>228</v>
      </c>
      <c r="J244" s="8">
        <f>+Tabla1[[#This Row],[FECHA ENTRADA]]</f>
        <v>45323</v>
      </c>
      <c r="K244" s="8"/>
      <c r="L244" s="13">
        <f>_xlfn.DAYS(Tabla1[[#This Row],[FECHA FIN ]],Tabla1[[#This Row],[FECHA INICIO]])</f>
        <v>-45323</v>
      </c>
      <c r="M244" s="2"/>
      <c r="N244" s="28"/>
      <c r="O244" s="12">
        <f>(Tabla1[[#This Row],[COSTO FIJO ]]/30)*Tabla1[[#This Row],[TOTAL DIAS PROYECTO]]+(Tabla1[[#This Row],[COSTO TEMPORAL]])</f>
        <v>0</v>
      </c>
      <c r="P244" s="12"/>
      <c r="Q244" s="12">
        <f>+(Tabla1[[#This Row],[COSTO COCHE]]/30)*Tabla1[[#This Row],[TOTAL DIAS PROYECTO]]</f>
        <v>0</v>
      </c>
      <c r="R244" s="12">
        <f>+Tabla1[[#This Row],[COSTO TOTAL ALOJAMIENTO]]+Tabla1[[#This Row],[COSTO TOTAL COCHE]]</f>
        <v>0</v>
      </c>
      <c r="S244" s="2"/>
      <c r="T244" s="2" t="s">
        <v>58</v>
      </c>
      <c r="U244" s="14">
        <v>45323</v>
      </c>
      <c r="V244" s="14"/>
      <c r="W244" s="15"/>
      <c r="X244" s="16">
        <v>1</v>
      </c>
      <c r="Y244" s="18" t="s">
        <v>847</v>
      </c>
      <c r="Z244" s="2" t="s">
        <v>36</v>
      </c>
      <c r="AA244" s="13" t="s">
        <v>10353</v>
      </c>
      <c r="AB244" s="13" t="s">
        <v>10354</v>
      </c>
    </row>
    <row r="245" spans="1:28" ht="15" customHeight="1">
      <c r="A245" s="2" t="s">
        <v>8807</v>
      </c>
      <c r="B245" s="2" t="s">
        <v>28</v>
      </c>
      <c r="C245" s="11" t="s">
        <v>848</v>
      </c>
      <c r="D245" s="2" t="s">
        <v>30</v>
      </c>
      <c r="E245" s="2" t="s">
        <v>370</v>
      </c>
      <c r="F245" s="11" t="s">
        <v>849</v>
      </c>
      <c r="G245" s="46"/>
      <c r="H245" s="2" t="s">
        <v>850</v>
      </c>
      <c r="I245" s="12" t="s">
        <v>406</v>
      </c>
      <c r="J245" s="41">
        <f>+Tabla1[[#This Row],[FECHA ENTRADA]]</f>
        <v>45571</v>
      </c>
      <c r="K245" s="41">
        <v>45574</v>
      </c>
      <c r="L245" s="42">
        <f>_xlfn.DAYS(Tabla1[[#This Row],[FECHA FIN ]],Tabla1[[#This Row],[FECHA INICIO]])</f>
        <v>3</v>
      </c>
      <c r="M245" s="12"/>
      <c r="N245" s="12"/>
      <c r="O245" s="28">
        <f>(Tabla1[[#This Row],[COSTO FIJO ]]/30)*Tabla1[[#This Row],[TOTAL DIAS PROYECTO]]+(Tabla1[[#This Row],[COSTO TEMPORAL]])</f>
        <v>0</v>
      </c>
      <c r="P245" s="12"/>
      <c r="Q245" s="12">
        <f>+(Tabla1[[#This Row],[COSTO COCHE]]/30)*Tabla1[[#This Row],[TOTAL DIAS PROYECTO]]</f>
        <v>0</v>
      </c>
      <c r="R245" s="12">
        <f>+Tabla1[[#This Row],[COSTO TOTAL ALOJAMIENTO]]+Tabla1[[#This Row],[COSTO TOTAL COCHE]]</f>
        <v>0</v>
      </c>
      <c r="S245" s="2"/>
      <c r="T245" s="2" t="s">
        <v>44</v>
      </c>
      <c r="U245" s="14">
        <v>45571</v>
      </c>
      <c r="V245" s="43"/>
      <c r="W245" s="26"/>
      <c r="X245" s="2"/>
      <c r="Y245" s="18" t="s">
        <v>407</v>
      </c>
      <c r="Z245" s="2" t="s">
        <v>36</v>
      </c>
      <c r="AA245" s="13" t="s">
        <v>10368</v>
      </c>
      <c r="AB245" s="13" t="s">
        <v>10369</v>
      </c>
    </row>
    <row r="246" spans="1:28" ht="15" customHeight="1">
      <c r="A246" s="2" t="s">
        <v>8808</v>
      </c>
      <c r="B246" s="2" t="s">
        <v>28</v>
      </c>
      <c r="C246" s="11" t="s">
        <v>851</v>
      </c>
      <c r="D246" s="2" t="s">
        <v>30</v>
      </c>
      <c r="E246" s="2" t="s">
        <v>370</v>
      </c>
      <c r="F246" s="11" t="s">
        <v>849</v>
      </c>
      <c r="G246" s="46"/>
      <c r="H246" s="2" t="s">
        <v>850</v>
      </c>
      <c r="I246" s="12" t="s">
        <v>406</v>
      </c>
      <c r="J246" s="41">
        <f>+Tabla1[[#This Row],[FECHA ENTRADA]]</f>
        <v>45571</v>
      </c>
      <c r="K246" s="41">
        <v>45574</v>
      </c>
      <c r="L246" s="42">
        <f>_xlfn.DAYS(Tabla1[[#This Row],[FECHA FIN ]],Tabla1[[#This Row],[FECHA INICIO]])</f>
        <v>3</v>
      </c>
      <c r="M246" s="12"/>
      <c r="N246" s="12"/>
      <c r="O246" s="28">
        <f>(Tabla1[[#This Row],[COSTO FIJO ]]/30)*Tabla1[[#This Row],[TOTAL DIAS PROYECTO]]+(Tabla1[[#This Row],[COSTO TEMPORAL]])</f>
        <v>0</v>
      </c>
      <c r="P246" s="12"/>
      <c r="Q246" s="12">
        <f>+(Tabla1[[#This Row],[COSTO COCHE]]/30)*Tabla1[[#This Row],[TOTAL DIAS PROYECTO]]</f>
        <v>0</v>
      </c>
      <c r="R246" s="12">
        <f>+Tabla1[[#This Row],[COSTO TOTAL ALOJAMIENTO]]+Tabla1[[#This Row],[COSTO TOTAL COCHE]]</f>
        <v>0</v>
      </c>
      <c r="S246" s="2"/>
      <c r="T246" s="2" t="s">
        <v>44</v>
      </c>
      <c r="U246" s="14">
        <v>45571</v>
      </c>
      <c r="V246" s="43"/>
      <c r="W246" s="26"/>
      <c r="X246" s="2"/>
      <c r="Y246" s="11" t="s">
        <v>852</v>
      </c>
      <c r="Z246" s="2" t="s">
        <v>36</v>
      </c>
      <c r="AA246" s="13" t="s">
        <v>10368</v>
      </c>
      <c r="AB246" s="13" t="s">
        <v>10369</v>
      </c>
    </row>
    <row r="247" spans="1:28">
      <c r="A247" s="2" t="s">
        <v>8809</v>
      </c>
      <c r="B247" s="2" t="s">
        <v>28</v>
      </c>
      <c r="C247" s="11" t="s">
        <v>853</v>
      </c>
      <c r="D247" s="2" t="s">
        <v>30</v>
      </c>
      <c r="E247" s="2" t="s">
        <v>380</v>
      </c>
      <c r="F247" s="11" t="s">
        <v>766</v>
      </c>
      <c r="G247" s="11" t="s">
        <v>767</v>
      </c>
      <c r="H247" s="2" t="s">
        <v>768</v>
      </c>
      <c r="I247" s="29" t="s">
        <v>145</v>
      </c>
      <c r="J247" s="8">
        <f>+Tabla1[[#This Row],[FECHA ENTRADA]]</f>
        <v>0</v>
      </c>
      <c r="K247" s="22">
        <v>45821</v>
      </c>
      <c r="L247" s="13">
        <f>_xlfn.DAYS(Tabla1[[#This Row],[FECHA FIN ]],Tabla1[[#This Row],[FECHA INICIO]])</f>
        <v>45821</v>
      </c>
      <c r="M247" s="12"/>
      <c r="N247" s="12"/>
      <c r="O247" s="12">
        <f>(Tabla1[[#This Row],[COSTO FIJO ]]/30)*Tabla1[[#This Row],[TOTAL DIAS PROYECTO]]+(Tabla1[[#This Row],[COSTO TEMPORAL]])</f>
        <v>0</v>
      </c>
      <c r="P247" s="12"/>
      <c r="Q247" s="12">
        <f>+(Tabla1[[#This Row],[COSTO COCHE]]/30)*Tabla1[[#This Row],[TOTAL DIAS PROYECTO]]</f>
        <v>0</v>
      </c>
      <c r="R247" s="12">
        <f>+Tabla1[[#This Row],[COSTO TOTAL ALOJAMIENTO]]+Tabla1[[#This Row],[COSTO TOTAL COCHE]]</f>
        <v>0</v>
      </c>
      <c r="S247" s="2"/>
      <c r="T247" s="2" t="s">
        <v>35</v>
      </c>
      <c r="U247" s="14"/>
      <c r="V247" s="14"/>
      <c r="W247" s="15"/>
      <c r="X247" s="16">
        <v>23</v>
      </c>
      <c r="Y247" s="18" t="s">
        <v>769</v>
      </c>
      <c r="Z247" s="2" t="s">
        <v>36</v>
      </c>
      <c r="AA247" s="13" t="s">
        <v>10370</v>
      </c>
      <c r="AB247" s="13" t="s">
        <v>10371</v>
      </c>
    </row>
    <row r="248" spans="1:28">
      <c r="A248" s="2" t="s">
        <v>8810</v>
      </c>
      <c r="B248" s="2" t="s">
        <v>28</v>
      </c>
      <c r="C248" s="11" t="s">
        <v>854</v>
      </c>
      <c r="D248" s="2" t="s">
        <v>30</v>
      </c>
      <c r="E248" s="2" t="s">
        <v>855</v>
      </c>
      <c r="F248" s="11" t="s">
        <v>856</v>
      </c>
      <c r="G248" s="11" t="s">
        <v>857</v>
      </c>
      <c r="H248" s="2" t="s">
        <v>858</v>
      </c>
      <c r="I248" s="12" t="s">
        <v>859</v>
      </c>
      <c r="J248" s="8">
        <f>+Tabla1[[#This Row],[FECHA ENTRADA]]</f>
        <v>45536</v>
      </c>
      <c r="K248" s="8">
        <v>45576</v>
      </c>
      <c r="L248" s="13">
        <f>_xlfn.DAYS(Tabla1[[#This Row],[FECHA FIN ]],Tabla1[[#This Row],[FECHA INICIO]])</f>
        <v>40</v>
      </c>
      <c r="M248" s="12"/>
      <c r="N248" s="12"/>
      <c r="O248" s="12">
        <f>(Tabla1[[#This Row],[COSTO FIJO ]]/30)*Tabla1[[#This Row],[TOTAL DIAS PROYECTO]]+(Tabla1[[#This Row],[COSTO TEMPORAL]])</f>
        <v>0</v>
      </c>
      <c r="P248" s="12"/>
      <c r="Q248" s="12">
        <f>+(Tabla1[[#This Row],[COSTO COCHE]]/30)*Tabla1[[#This Row],[TOTAL DIAS PROYECTO]]</f>
        <v>0</v>
      </c>
      <c r="R248" s="12">
        <f>+Tabla1[[#This Row],[COSTO TOTAL ALOJAMIENTO]]+Tabla1[[#This Row],[COSTO TOTAL COCHE]]</f>
        <v>0</v>
      </c>
      <c r="S248" s="2"/>
      <c r="T248" s="2" t="s">
        <v>35</v>
      </c>
      <c r="U248" s="14">
        <v>45536</v>
      </c>
      <c r="V248" s="77"/>
      <c r="W248" s="26"/>
      <c r="X248" s="2">
        <v>1</v>
      </c>
      <c r="Y248" s="11" t="s">
        <v>860</v>
      </c>
      <c r="Z248" s="2" t="s">
        <v>36</v>
      </c>
      <c r="AA248" s="13" t="s">
        <v>10401</v>
      </c>
      <c r="AB248" s="13" t="s">
        <v>10402</v>
      </c>
    </row>
    <row r="249" spans="1:28">
      <c r="A249" s="2" t="s">
        <v>8811</v>
      </c>
      <c r="B249" s="2" t="s">
        <v>28</v>
      </c>
      <c r="C249" s="18" t="s">
        <v>861</v>
      </c>
      <c r="D249" s="2" t="s">
        <v>30</v>
      </c>
      <c r="E249" s="2" t="s">
        <v>855</v>
      </c>
      <c r="F249" s="11" t="s">
        <v>856</v>
      </c>
      <c r="G249" s="11" t="s">
        <v>857</v>
      </c>
      <c r="H249" s="2" t="s">
        <v>862</v>
      </c>
      <c r="I249" s="12" t="s">
        <v>859</v>
      </c>
      <c r="J249" s="8">
        <f>+Tabla1[[#This Row],[FECHA ENTRADA]]</f>
        <v>45536</v>
      </c>
      <c r="K249" s="8">
        <v>45576</v>
      </c>
      <c r="L249" s="13">
        <f>_xlfn.DAYS(Tabla1[[#This Row],[FECHA FIN ]],Tabla1[[#This Row],[FECHA INICIO]])</f>
        <v>40</v>
      </c>
      <c r="M249" s="12"/>
      <c r="N249" s="12">
        <v>333.33</v>
      </c>
      <c r="O249" s="12">
        <f>(Tabla1[[#This Row],[COSTO FIJO ]]/30)*Tabla1[[#This Row],[TOTAL DIAS PROYECTO]]+(Tabla1[[#This Row],[COSTO TEMPORAL]])</f>
        <v>444.43999999999994</v>
      </c>
      <c r="P249" s="12"/>
      <c r="Q249" s="12">
        <f>+(Tabla1[[#This Row],[COSTO COCHE]]/30)*Tabla1[[#This Row],[TOTAL DIAS PROYECTO]]</f>
        <v>0</v>
      </c>
      <c r="R249" s="12">
        <f>+Tabla1[[#This Row],[COSTO TOTAL ALOJAMIENTO]]+Tabla1[[#This Row],[COSTO TOTAL COCHE]]</f>
        <v>444.43999999999994</v>
      </c>
      <c r="S249" s="2"/>
      <c r="T249" s="2" t="s">
        <v>35</v>
      </c>
      <c r="U249" s="14">
        <v>45536</v>
      </c>
      <c r="V249" s="77"/>
      <c r="W249" s="26"/>
      <c r="X249" s="2">
        <v>1</v>
      </c>
      <c r="Y249" s="11" t="s">
        <v>860</v>
      </c>
      <c r="Z249" s="2" t="s">
        <v>36</v>
      </c>
      <c r="AA249" s="13" t="s">
        <v>10401</v>
      </c>
      <c r="AB249" s="13" t="s">
        <v>10402</v>
      </c>
    </row>
    <row r="250" spans="1:28">
      <c r="A250" s="2" t="s">
        <v>8812</v>
      </c>
      <c r="B250" s="2" t="s">
        <v>28</v>
      </c>
      <c r="C250" s="18" t="s">
        <v>863</v>
      </c>
      <c r="D250" s="2" t="s">
        <v>30</v>
      </c>
      <c r="E250" s="2" t="s">
        <v>855</v>
      </c>
      <c r="F250" s="11" t="s">
        <v>856</v>
      </c>
      <c r="G250" s="11" t="s">
        <v>857</v>
      </c>
      <c r="H250" s="2" t="s">
        <v>862</v>
      </c>
      <c r="I250" s="12" t="s">
        <v>859</v>
      </c>
      <c r="J250" s="8">
        <f>+Tabla1[[#This Row],[FECHA ENTRADA]]</f>
        <v>45536</v>
      </c>
      <c r="K250" s="8">
        <v>45576</v>
      </c>
      <c r="L250" s="13">
        <f>_xlfn.DAYS(Tabla1[[#This Row],[FECHA FIN ]],Tabla1[[#This Row],[FECHA INICIO]])</f>
        <v>40</v>
      </c>
      <c r="M250" s="12"/>
      <c r="N250" s="12">
        <v>333.33</v>
      </c>
      <c r="O250" s="12">
        <f>(Tabla1[[#This Row],[COSTO FIJO ]]/30)*Tabla1[[#This Row],[TOTAL DIAS PROYECTO]]+(Tabla1[[#This Row],[COSTO TEMPORAL]])</f>
        <v>444.43999999999994</v>
      </c>
      <c r="P250" s="12"/>
      <c r="Q250" s="12">
        <f>+(Tabla1[[#This Row],[COSTO COCHE]]/30)*Tabla1[[#This Row],[TOTAL DIAS PROYECTO]]</f>
        <v>0</v>
      </c>
      <c r="R250" s="12">
        <f>+Tabla1[[#This Row],[COSTO TOTAL ALOJAMIENTO]]+Tabla1[[#This Row],[COSTO TOTAL COCHE]]</f>
        <v>444.43999999999994</v>
      </c>
      <c r="S250" s="2"/>
      <c r="T250" s="2" t="s">
        <v>35</v>
      </c>
      <c r="U250" s="14">
        <v>45536</v>
      </c>
      <c r="V250" s="77"/>
      <c r="W250" s="26">
        <v>300</v>
      </c>
      <c r="X250" s="2">
        <v>1</v>
      </c>
      <c r="Y250" s="11" t="s">
        <v>860</v>
      </c>
      <c r="Z250" s="2" t="s">
        <v>36</v>
      </c>
      <c r="AA250" s="13" t="s">
        <v>10401</v>
      </c>
      <c r="AB250" s="13" t="s">
        <v>10402</v>
      </c>
    </row>
    <row r="251" spans="1:28" ht="15" customHeight="1">
      <c r="A251" s="2" t="s">
        <v>8813</v>
      </c>
      <c r="B251" s="2" t="s">
        <v>28</v>
      </c>
      <c r="C251" s="18" t="s">
        <v>864</v>
      </c>
      <c r="D251" s="2" t="s">
        <v>30</v>
      </c>
      <c r="E251" s="2" t="s">
        <v>855</v>
      </c>
      <c r="F251" s="11" t="s">
        <v>865</v>
      </c>
      <c r="G251" s="11" t="s">
        <v>866</v>
      </c>
      <c r="H251" s="2" t="s">
        <v>867</v>
      </c>
      <c r="I251" s="12" t="s">
        <v>859</v>
      </c>
      <c r="J251" s="8">
        <f>+Tabla1[[#This Row],[FECHA ENTRADA]]</f>
        <v>45522</v>
      </c>
      <c r="K251" s="8">
        <v>45576</v>
      </c>
      <c r="L251" s="13">
        <f>_xlfn.DAYS(Tabla1[[#This Row],[FECHA FIN ]],Tabla1[[#This Row],[FECHA INICIO]])</f>
        <v>54</v>
      </c>
      <c r="M251" s="12"/>
      <c r="N251" s="12">
        <v>350</v>
      </c>
      <c r="O251" s="12">
        <f>(Tabla1[[#This Row],[COSTO FIJO ]]/30)*Tabla1[[#This Row],[TOTAL DIAS PROYECTO]]+(Tabla1[[#This Row],[COSTO TEMPORAL]])</f>
        <v>630</v>
      </c>
      <c r="P251" s="12"/>
      <c r="Q251" s="12">
        <f>+(Tabla1[[#This Row],[COSTO COCHE]]/30)*Tabla1[[#This Row],[TOTAL DIAS PROYECTO]]</f>
        <v>0</v>
      </c>
      <c r="R251" s="12">
        <f>+Tabla1[[#This Row],[COSTO TOTAL ALOJAMIENTO]]+Tabla1[[#This Row],[COSTO TOTAL COCHE]]</f>
        <v>630</v>
      </c>
      <c r="S251" s="2"/>
      <c r="T251" s="2" t="s">
        <v>35</v>
      </c>
      <c r="U251" s="14">
        <v>45522</v>
      </c>
      <c r="V251" s="14"/>
      <c r="W251" s="26"/>
      <c r="X251" s="2">
        <v>1</v>
      </c>
      <c r="Y251" s="11"/>
      <c r="Z251" s="2" t="s">
        <v>36</v>
      </c>
      <c r="AA251" s="13" t="s">
        <v>10401</v>
      </c>
      <c r="AB251" s="13" t="s">
        <v>10402</v>
      </c>
    </row>
    <row r="252" spans="1:28">
      <c r="A252" s="2" t="s">
        <v>8688</v>
      </c>
      <c r="B252" s="2" t="s">
        <v>28</v>
      </c>
      <c r="C252" s="11" t="s">
        <v>294</v>
      </c>
      <c r="D252" s="2" t="s">
        <v>30</v>
      </c>
      <c r="E252" s="2" t="s">
        <v>626</v>
      </c>
      <c r="F252" s="11"/>
      <c r="G252" s="11"/>
      <c r="H252" s="2" t="s">
        <v>868</v>
      </c>
      <c r="I252" s="12" t="s">
        <v>570</v>
      </c>
      <c r="J252" s="8">
        <f>+Tabla1[[#This Row],[FECHA ENTRADA]]</f>
        <v>45488</v>
      </c>
      <c r="K252" s="8">
        <v>45579</v>
      </c>
      <c r="L252" s="13">
        <f>_xlfn.DAYS(Tabla1[[#This Row],[FECHA FIN ]],Tabla1[[#This Row],[FECHA INICIO]])</f>
        <v>91</v>
      </c>
      <c r="M252" s="12"/>
      <c r="N252" s="12">
        <f>1811.6/17</f>
        <v>106.56470588235294</v>
      </c>
      <c r="O252" s="12">
        <f>(Tabla1[[#This Row],[COSTO FIJO ]]/30)*Tabla1[[#This Row],[TOTAL DIAS PROYECTO]]+(Tabla1[[#This Row],[COSTO TEMPORAL]])</f>
        <v>323.24627450980392</v>
      </c>
      <c r="P252" s="12"/>
      <c r="Q252" s="12">
        <f>+(Tabla1[[#This Row],[COSTO COCHE]]/30)*Tabla1[[#This Row],[TOTAL DIAS PROYECTO]]</f>
        <v>0</v>
      </c>
      <c r="R252" s="12">
        <f>+Tabla1[[#This Row],[COSTO TOTAL ALOJAMIENTO]]+Tabla1[[#This Row],[COSTO TOTAL COCHE]]</f>
        <v>323.24627450980392</v>
      </c>
      <c r="S252" s="2"/>
      <c r="T252" s="2" t="s">
        <v>58</v>
      </c>
      <c r="U252" s="14">
        <v>45488</v>
      </c>
      <c r="V252" s="14"/>
      <c r="W252" s="26"/>
      <c r="X252" s="2"/>
      <c r="Y252" s="11" t="s">
        <v>869</v>
      </c>
      <c r="Z252" s="2" t="s">
        <v>36</v>
      </c>
      <c r="AA252" s="13" t="s">
        <v>10385</v>
      </c>
      <c r="AB252" s="13" t="s">
        <v>10386</v>
      </c>
    </row>
    <row r="253" spans="1:28" s="32" customFormat="1" ht="15" customHeight="1">
      <c r="A253" s="2" t="s">
        <v>8814</v>
      </c>
      <c r="B253" s="2" t="s">
        <v>28</v>
      </c>
      <c r="C253" s="11" t="s">
        <v>870</v>
      </c>
      <c r="D253" s="2" t="s">
        <v>30</v>
      </c>
      <c r="E253" s="2" t="s">
        <v>213</v>
      </c>
      <c r="F253" s="11" t="s">
        <v>871</v>
      </c>
      <c r="G253" s="11" t="s">
        <v>872</v>
      </c>
      <c r="H253" s="2" t="s">
        <v>873</v>
      </c>
      <c r="I253" s="12" t="s">
        <v>52</v>
      </c>
      <c r="J253" s="8">
        <f>+Tabla1[[#This Row],[FECHA ENTRADA]]</f>
        <v>45550</v>
      </c>
      <c r="K253" s="8">
        <v>45580</v>
      </c>
      <c r="L253" s="13">
        <f>_xlfn.DAYS(Tabla1[[#This Row],[FECHA FIN ]],Tabla1[[#This Row],[FECHA INICIO]])</f>
        <v>30</v>
      </c>
      <c r="M253" s="12"/>
      <c r="N253" s="12"/>
      <c r="O253" s="12">
        <f>(Tabla1[[#This Row],[COSTO FIJO ]]/30)*Tabla1[[#This Row],[TOTAL DIAS PROYECTO]]+(Tabla1[[#This Row],[COSTO TEMPORAL]])</f>
        <v>0</v>
      </c>
      <c r="P253" s="12"/>
      <c r="Q253" s="12">
        <f>+(Tabla1[[#This Row],[COSTO COCHE]]/30)*Tabla1[[#This Row],[TOTAL DIAS PROYECTO]]</f>
        <v>0</v>
      </c>
      <c r="R253" s="12">
        <f>+Tabla1[[#This Row],[COSTO TOTAL ALOJAMIENTO]]+Tabla1[[#This Row],[COSTO TOTAL COCHE]]</f>
        <v>0</v>
      </c>
      <c r="S253" s="2"/>
      <c r="T253" s="2" t="s">
        <v>35</v>
      </c>
      <c r="U253" s="14">
        <v>45550</v>
      </c>
      <c r="V253" s="14"/>
      <c r="W253" s="26"/>
      <c r="X253" s="2"/>
      <c r="Y253" s="11" t="s">
        <v>874</v>
      </c>
      <c r="Z253" s="64" t="s">
        <v>36</v>
      </c>
      <c r="AA253" s="13" t="s">
        <v>10349</v>
      </c>
      <c r="AB253" s="13" t="s">
        <v>10350</v>
      </c>
    </row>
    <row r="254" spans="1:28">
      <c r="A254" s="2" t="s">
        <v>8815</v>
      </c>
      <c r="B254" s="2" t="s">
        <v>28</v>
      </c>
      <c r="C254" s="11" t="s">
        <v>875</v>
      </c>
      <c r="D254" s="2" t="s">
        <v>30</v>
      </c>
      <c r="E254" s="2" t="s">
        <v>380</v>
      </c>
      <c r="F254" s="11" t="s">
        <v>766</v>
      </c>
      <c r="G254" s="11" t="s">
        <v>767</v>
      </c>
      <c r="H254" s="2" t="s">
        <v>768</v>
      </c>
      <c r="I254" s="29" t="s">
        <v>145</v>
      </c>
      <c r="J254" s="8">
        <f>+Tabla1[[#This Row],[FECHA ENTRADA]]</f>
        <v>0</v>
      </c>
      <c r="K254" s="22">
        <v>45821</v>
      </c>
      <c r="L254" s="13">
        <f>_xlfn.DAYS(Tabla1[[#This Row],[FECHA FIN ]],Tabla1[[#This Row],[FECHA INICIO]])</f>
        <v>45821</v>
      </c>
      <c r="M254" s="12"/>
      <c r="N254" s="12"/>
      <c r="O254" s="12">
        <f>(Tabla1[[#This Row],[COSTO FIJO ]]/30)*Tabla1[[#This Row],[TOTAL DIAS PROYECTO]]+(Tabla1[[#This Row],[COSTO TEMPORAL]])</f>
        <v>0</v>
      </c>
      <c r="P254" s="12"/>
      <c r="Q254" s="12">
        <f>+(Tabla1[[#This Row],[COSTO COCHE]]/30)*Tabla1[[#This Row],[TOTAL DIAS PROYECTO]]</f>
        <v>0</v>
      </c>
      <c r="R254" s="12">
        <f>+Tabla1[[#This Row],[COSTO TOTAL ALOJAMIENTO]]+Tabla1[[#This Row],[COSTO TOTAL COCHE]]</f>
        <v>0</v>
      </c>
      <c r="S254" s="2"/>
      <c r="T254" s="2" t="s">
        <v>35</v>
      </c>
      <c r="U254" s="14"/>
      <c r="V254" s="14"/>
      <c r="W254" s="15"/>
      <c r="X254" s="16">
        <v>23</v>
      </c>
      <c r="Y254" s="18" t="s">
        <v>769</v>
      </c>
      <c r="Z254" s="2" t="s">
        <v>36</v>
      </c>
      <c r="AA254" s="13" t="s">
        <v>10370</v>
      </c>
      <c r="AB254" s="13" t="s">
        <v>10371</v>
      </c>
    </row>
    <row r="255" spans="1:28" ht="15" customHeight="1">
      <c r="A255" s="2" t="s">
        <v>8816</v>
      </c>
      <c r="B255" s="2" t="s">
        <v>28</v>
      </c>
      <c r="C255" s="11" t="s">
        <v>876</v>
      </c>
      <c r="D255" s="2" t="s">
        <v>30</v>
      </c>
      <c r="E255" s="2" t="s">
        <v>877</v>
      </c>
      <c r="F255" s="11"/>
      <c r="G255" s="11"/>
      <c r="H255" s="2" t="s">
        <v>878</v>
      </c>
      <c r="I255" s="2" t="s">
        <v>879</v>
      </c>
      <c r="J255" s="8">
        <f>+Tabla1[[#This Row],[FECHA ENTRADA]]</f>
        <v>45345</v>
      </c>
      <c r="K255" s="8">
        <v>45582</v>
      </c>
      <c r="L255" s="13">
        <f>_xlfn.DAYS(Tabla1[[#This Row],[FECHA FIN ]],Tabla1[[#This Row],[FECHA INICIO]])</f>
        <v>237</v>
      </c>
      <c r="M255" s="12"/>
      <c r="N255" s="78">
        <v>320</v>
      </c>
      <c r="O255" s="12">
        <f>(Tabla1[[#This Row],[COSTO FIJO ]]/30)*Tabla1[[#This Row],[TOTAL DIAS PROYECTO]]+(Tabla1[[#This Row],[COSTO TEMPORAL]])</f>
        <v>2528</v>
      </c>
      <c r="P255" s="12"/>
      <c r="Q255" s="12">
        <f>+(Tabla1[[#This Row],[COSTO COCHE]]/30)*Tabla1[[#This Row],[TOTAL DIAS PROYECTO]]</f>
        <v>0</v>
      </c>
      <c r="R255" s="12">
        <f>+Tabla1[[#This Row],[COSTO TOTAL ALOJAMIENTO]]+Tabla1[[#This Row],[COSTO TOTAL COCHE]]</f>
        <v>2528</v>
      </c>
      <c r="S255" s="2"/>
      <c r="T255" s="2" t="s">
        <v>58</v>
      </c>
      <c r="U255" s="14">
        <v>45345</v>
      </c>
      <c r="V255" s="14"/>
      <c r="W255" s="12">
        <f>320*2</f>
        <v>640</v>
      </c>
      <c r="X255" s="16">
        <v>5</v>
      </c>
      <c r="Y255" s="11" t="s">
        <v>880</v>
      </c>
      <c r="Z255" s="2" t="s">
        <v>36</v>
      </c>
      <c r="AA255" s="13" t="s">
        <v>10403</v>
      </c>
      <c r="AB255" s="13" t="s">
        <v>10404</v>
      </c>
    </row>
    <row r="256" spans="1:28" ht="15" customHeight="1">
      <c r="A256" s="2" t="s">
        <v>8817</v>
      </c>
      <c r="B256" s="2" t="s">
        <v>28</v>
      </c>
      <c r="C256" s="11" t="s">
        <v>881</v>
      </c>
      <c r="D256" s="2" t="s">
        <v>30</v>
      </c>
      <c r="E256" s="2" t="s">
        <v>245</v>
      </c>
      <c r="F256" s="11" t="s">
        <v>246</v>
      </c>
      <c r="G256" s="11" t="s">
        <v>247</v>
      </c>
      <c r="H256" s="2" t="s">
        <v>248</v>
      </c>
      <c r="I256" s="12" t="s">
        <v>249</v>
      </c>
      <c r="J256" s="8">
        <f>+Tabla1[[#This Row],[FECHA ENTRADA]]</f>
        <v>45396</v>
      </c>
      <c r="K256" s="22">
        <v>45821</v>
      </c>
      <c r="L256" s="13">
        <f>_xlfn.DAYS(Tabla1[[#This Row],[FECHA FIN ]],Tabla1[[#This Row],[FECHA INICIO]])</f>
        <v>425</v>
      </c>
      <c r="M256" s="12"/>
      <c r="N256" s="12">
        <v>320</v>
      </c>
      <c r="O256" s="12">
        <f>(Tabla1[[#This Row],[COSTO FIJO ]]/30)*Tabla1[[#This Row],[TOTAL DIAS PROYECTO]]+(Tabla1[[#This Row],[COSTO TEMPORAL]])</f>
        <v>4533.333333333333</v>
      </c>
      <c r="P256" s="12"/>
      <c r="Q256" s="12">
        <f>+(Tabla1[[#This Row],[COSTO COCHE]]/30)*Tabla1[[#This Row],[TOTAL DIAS PROYECTO]]</f>
        <v>0</v>
      </c>
      <c r="R256" s="12">
        <f>+Tabla1[[#This Row],[COSTO TOTAL ALOJAMIENTO]]+Tabla1[[#This Row],[COSTO TOTAL COCHE]]</f>
        <v>4533.333333333333</v>
      </c>
      <c r="S256" s="2"/>
      <c r="T256" s="2" t="s">
        <v>35</v>
      </c>
      <c r="U256" s="14">
        <v>45396</v>
      </c>
      <c r="V256" s="14"/>
      <c r="W256" s="15">
        <v>150</v>
      </c>
      <c r="X256" s="16">
        <v>12</v>
      </c>
      <c r="Y256" s="18"/>
      <c r="Z256" s="2" t="s">
        <v>36</v>
      </c>
      <c r="AA256" s="13" t="s">
        <v>10355</v>
      </c>
      <c r="AB256" s="13" t="s">
        <v>10356</v>
      </c>
    </row>
    <row r="257" spans="1:28" ht="15" customHeight="1">
      <c r="A257" s="2" t="s">
        <v>8818</v>
      </c>
      <c r="B257" s="2" t="s">
        <v>28</v>
      </c>
      <c r="C257" s="18" t="s">
        <v>882</v>
      </c>
      <c r="D257" s="2" t="s">
        <v>30</v>
      </c>
      <c r="E257" s="2" t="s">
        <v>213</v>
      </c>
      <c r="F257" s="11"/>
      <c r="G257" s="11"/>
      <c r="H257" s="2">
        <v>2023</v>
      </c>
      <c r="I257" s="2" t="s">
        <v>883</v>
      </c>
      <c r="J257" s="8">
        <v>45363</v>
      </c>
      <c r="K257" s="22">
        <v>45584</v>
      </c>
      <c r="L257" s="13">
        <f>_xlfn.DAYS(Tabla1[[#This Row],[FECHA FIN ]],Tabla1[[#This Row],[FECHA INICIO]])</f>
        <v>221</v>
      </c>
      <c r="M257" s="12"/>
      <c r="N257" s="12">
        <v>300</v>
      </c>
      <c r="O257" s="12">
        <f>(Tabla1[[#This Row],[COSTO FIJO ]]/30)*Tabla1[[#This Row],[TOTAL DIAS PROYECTO]]+(Tabla1[[#This Row],[COSTO TEMPORAL]])</f>
        <v>2210</v>
      </c>
      <c r="P257" s="12"/>
      <c r="Q257" s="12">
        <f>+(Tabla1[[#This Row],[COSTO COCHE]]/30)*Tabla1[[#This Row],[TOTAL DIAS PROYECTO]]</f>
        <v>0</v>
      </c>
      <c r="R257" s="12">
        <f>+Tabla1[[#This Row],[COSTO TOTAL ALOJAMIENTO]]+Tabla1[[#This Row],[COSTO TOTAL COCHE]]</f>
        <v>2210</v>
      </c>
      <c r="S257" s="2"/>
      <c r="T257" s="2" t="s">
        <v>58</v>
      </c>
      <c r="U257" s="14"/>
      <c r="V257" s="14"/>
      <c r="W257" s="15"/>
      <c r="X257" s="16"/>
      <c r="Y257" s="31" t="s">
        <v>884</v>
      </c>
      <c r="Z257" s="2" t="s">
        <v>36</v>
      </c>
      <c r="AA257" s="13" t="s">
        <v>10349</v>
      </c>
      <c r="AB257" s="13" t="s">
        <v>10350</v>
      </c>
    </row>
    <row r="258" spans="1:28" ht="15" customHeight="1">
      <c r="A258" s="2" t="s">
        <v>8819</v>
      </c>
      <c r="B258" s="2" t="s">
        <v>28</v>
      </c>
      <c r="C258" s="18" t="s">
        <v>885</v>
      </c>
      <c r="D258" s="2" t="s">
        <v>30</v>
      </c>
      <c r="E258" s="2" t="s">
        <v>31</v>
      </c>
      <c r="F258" s="11"/>
      <c r="G258" s="11"/>
      <c r="H258" s="2" t="s">
        <v>886</v>
      </c>
      <c r="I258" s="12" t="s">
        <v>34</v>
      </c>
      <c r="J258" s="8">
        <f>+Tabla1[[#This Row],[FECHA ENTRADA]]</f>
        <v>45383</v>
      </c>
      <c r="K258" s="8">
        <v>45586</v>
      </c>
      <c r="L258" s="13">
        <f>_xlfn.DAYS(Tabla1[[#This Row],[FECHA FIN ]],Tabla1[[#This Row],[FECHA INICIO]])</f>
        <v>203</v>
      </c>
      <c r="M258" s="12">
        <f>1811.6/17</f>
        <v>106.56470588235294</v>
      </c>
      <c r="N258" s="12">
        <v>300</v>
      </c>
      <c r="O258" s="12">
        <f>(Tabla1[[#This Row],[COSTO FIJO ]]/30)*Tabla1[[#This Row],[TOTAL DIAS PROYECTO]]+(Tabla1[[#This Row],[COSTO TEMPORAL]])</f>
        <v>2136.5647058823529</v>
      </c>
      <c r="P258" s="12"/>
      <c r="Q258" s="12">
        <f>+(Tabla1[[#This Row],[COSTO COCHE]]/30)*Tabla1[[#This Row],[TOTAL DIAS PROYECTO]]</f>
        <v>0</v>
      </c>
      <c r="R258" s="12">
        <f>+Tabla1[[#This Row],[COSTO TOTAL ALOJAMIENTO]]+Tabla1[[#This Row],[COSTO TOTAL COCHE]]</f>
        <v>2136.5647058823529</v>
      </c>
      <c r="S258" s="2"/>
      <c r="T258" s="2" t="s">
        <v>58</v>
      </c>
      <c r="U258" s="14">
        <v>45383</v>
      </c>
      <c r="V258" s="14"/>
      <c r="W258" s="15"/>
      <c r="X258" s="16"/>
      <c r="Y258" s="31" t="s">
        <v>887</v>
      </c>
      <c r="Z258" s="2" t="s">
        <v>36</v>
      </c>
      <c r="AA258" s="13" t="s">
        <v>10323</v>
      </c>
      <c r="AB258" s="13" t="s">
        <v>10324</v>
      </c>
    </row>
    <row r="259" spans="1:28" ht="15" customHeight="1">
      <c r="A259" s="2" t="s">
        <v>8753</v>
      </c>
      <c r="B259" s="2" t="s">
        <v>28</v>
      </c>
      <c r="C259" s="11" t="s">
        <v>598</v>
      </c>
      <c r="D259" s="2" t="s">
        <v>30</v>
      </c>
      <c r="E259" s="2" t="s">
        <v>648</v>
      </c>
      <c r="F259" s="11" t="s">
        <v>888</v>
      </c>
      <c r="G259" s="46">
        <v>957852665</v>
      </c>
      <c r="H259" s="2" t="s">
        <v>889</v>
      </c>
      <c r="I259" s="12" t="s">
        <v>883</v>
      </c>
      <c r="J259" s="41">
        <f>+Tabla1[[#This Row],[FECHA ENTRADA]]</f>
        <v>45559</v>
      </c>
      <c r="K259" s="8">
        <v>45586</v>
      </c>
      <c r="L259" s="42">
        <f>_xlfn.DAYS(Tabla1[[#This Row],[FECHA FIN ]],Tabla1[[#This Row],[FECHA INICIO]])</f>
        <v>27</v>
      </c>
      <c r="M259" s="12"/>
      <c r="N259" s="12"/>
      <c r="O259" s="28">
        <f>(Tabla1[[#This Row],[COSTO FIJO ]]/30)*Tabla1[[#This Row],[TOTAL DIAS PROYECTO]]+(Tabla1[[#This Row],[COSTO TEMPORAL]])</f>
        <v>0</v>
      </c>
      <c r="P259" s="12"/>
      <c r="Q259" s="12">
        <f>+(Tabla1[[#This Row],[COSTO COCHE]]/30)*Tabla1[[#This Row],[TOTAL DIAS PROYECTO]]</f>
        <v>0</v>
      </c>
      <c r="R259" s="12">
        <f>+Tabla1[[#This Row],[COSTO TOTAL ALOJAMIENTO]]+Tabla1[[#This Row],[COSTO TOTAL COCHE]]</f>
        <v>0</v>
      </c>
      <c r="S259" s="2"/>
      <c r="T259" s="2" t="s">
        <v>35</v>
      </c>
      <c r="U259" s="14">
        <v>45559</v>
      </c>
      <c r="V259" s="43"/>
      <c r="W259" s="26"/>
      <c r="X259" s="2"/>
      <c r="Y259" s="11" t="s">
        <v>890</v>
      </c>
      <c r="Z259" s="2" t="s">
        <v>36</v>
      </c>
      <c r="AA259" s="13" t="s">
        <v>10387</v>
      </c>
      <c r="AB259" s="13" t="s">
        <v>10388</v>
      </c>
    </row>
    <row r="260" spans="1:28" ht="15" customHeight="1">
      <c r="A260" s="2" t="s">
        <v>8820</v>
      </c>
      <c r="B260" s="2" t="s">
        <v>28</v>
      </c>
      <c r="C260" s="11" t="s">
        <v>891</v>
      </c>
      <c r="D260" s="2" t="s">
        <v>30</v>
      </c>
      <c r="E260" s="2" t="s">
        <v>109</v>
      </c>
      <c r="F260" s="11" t="s">
        <v>110</v>
      </c>
      <c r="G260" s="11" t="s">
        <v>892</v>
      </c>
      <c r="H260" s="2" t="s">
        <v>41</v>
      </c>
      <c r="I260" s="2" t="s">
        <v>42</v>
      </c>
      <c r="J260" s="8">
        <f>+Tabla1[[#This Row],[FECHA ENTRADA]]</f>
        <v>45312</v>
      </c>
      <c r="K260" s="22">
        <v>45821</v>
      </c>
      <c r="L260" s="13">
        <f>_xlfn.DAYS(Tabla1[[#This Row],[FECHA FIN ]],Tabla1[[#This Row],[FECHA INICIO]])</f>
        <v>509</v>
      </c>
      <c r="M260" s="12"/>
      <c r="N260" s="12"/>
      <c r="O260" s="12">
        <f>(Tabla1[[#This Row],[COSTO FIJO ]]/30)*Tabla1[[#This Row],[TOTAL DIAS PROYECTO]]+(Tabla1[[#This Row],[COSTO TEMPORAL]])</f>
        <v>0</v>
      </c>
      <c r="P260" s="12"/>
      <c r="Q260" s="12">
        <f>+(Tabla1[[#This Row],[COSTO COCHE]]/30)*Tabla1[[#This Row],[TOTAL DIAS PROYECTO]]</f>
        <v>0</v>
      </c>
      <c r="R260" s="12">
        <f>+Tabla1[[#This Row],[COSTO TOTAL ALOJAMIENTO]]+Tabla1[[#This Row],[COSTO TOTAL COCHE]]</f>
        <v>0</v>
      </c>
      <c r="S260" s="2"/>
      <c r="T260" s="2" t="s">
        <v>35</v>
      </c>
      <c r="U260" s="14">
        <v>45312</v>
      </c>
      <c r="V260" s="14">
        <v>45373</v>
      </c>
      <c r="W260" s="15"/>
      <c r="X260" s="16"/>
      <c r="Y260" s="18" t="s">
        <v>112</v>
      </c>
      <c r="Z260" s="2" t="s">
        <v>36</v>
      </c>
      <c r="AA260" s="13">
        <v>0.62217999999999996</v>
      </c>
      <c r="AB260" s="13" t="s">
        <v>10339</v>
      </c>
    </row>
    <row r="261" spans="1:28">
      <c r="A261" s="2" t="s">
        <v>8821</v>
      </c>
      <c r="B261" s="2" t="s">
        <v>28</v>
      </c>
      <c r="C261" s="18" t="s">
        <v>893</v>
      </c>
      <c r="D261" s="2" t="s">
        <v>30</v>
      </c>
      <c r="E261" s="2" t="s">
        <v>109</v>
      </c>
      <c r="F261" s="11" t="s">
        <v>110</v>
      </c>
      <c r="G261" s="11" t="s">
        <v>894</v>
      </c>
      <c r="H261" s="2" t="s">
        <v>895</v>
      </c>
      <c r="I261" s="2" t="s">
        <v>42</v>
      </c>
      <c r="J261" s="8">
        <f>+Tabla1[[#This Row],[FECHA ENTRADA]]</f>
        <v>45333</v>
      </c>
      <c r="K261" s="22">
        <v>45821</v>
      </c>
      <c r="L261" s="13">
        <f>_xlfn.DAYS(Tabla1[[#This Row],[FECHA FIN ]],Tabla1[[#This Row],[FECHA INICIO]])</f>
        <v>488</v>
      </c>
      <c r="M261" s="12"/>
      <c r="N261" s="12">
        <v>333.33</v>
      </c>
      <c r="O261" s="12">
        <f>(Tabla1[[#This Row],[COSTO FIJO ]]/30)*Tabla1[[#This Row],[TOTAL DIAS PROYECTO]]+(Tabla1[[#This Row],[COSTO TEMPORAL]])</f>
        <v>5422.1679999999997</v>
      </c>
      <c r="P261" s="12"/>
      <c r="Q261" s="12">
        <f>+(Tabla1[[#This Row],[COSTO COCHE]]/30)*Tabla1[[#This Row],[TOTAL DIAS PROYECTO]]</f>
        <v>0</v>
      </c>
      <c r="R261" s="12">
        <f>+Tabla1[[#This Row],[COSTO TOTAL ALOJAMIENTO]]+Tabla1[[#This Row],[COSTO TOTAL COCHE]]</f>
        <v>5422.1679999999997</v>
      </c>
      <c r="S261" s="2"/>
      <c r="T261" s="2" t="s">
        <v>35</v>
      </c>
      <c r="U261" s="14">
        <v>45333</v>
      </c>
      <c r="V261" s="14">
        <v>45384</v>
      </c>
      <c r="W261" s="15"/>
      <c r="X261" s="16">
        <v>11</v>
      </c>
      <c r="Y261" s="18" t="s">
        <v>896</v>
      </c>
      <c r="Z261" s="2" t="s">
        <v>36</v>
      </c>
      <c r="AA261" s="13">
        <v>0.62217999999999996</v>
      </c>
      <c r="AB261" s="13" t="s">
        <v>10339</v>
      </c>
    </row>
    <row r="262" spans="1:28">
      <c r="A262" s="2" t="s">
        <v>8642</v>
      </c>
      <c r="B262" s="2" t="s">
        <v>28</v>
      </c>
      <c r="C262" s="18" t="s">
        <v>897</v>
      </c>
      <c r="D262" s="2" t="s">
        <v>30</v>
      </c>
      <c r="E262" s="2" t="s">
        <v>109</v>
      </c>
      <c r="F262" s="11" t="s">
        <v>898</v>
      </c>
      <c r="G262" s="30" t="s">
        <v>899</v>
      </c>
      <c r="H262" s="2" t="s">
        <v>900</v>
      </c>
      <c r="I262" s="2" t="s">
        <v>52</v>
      </c>
      <c r="J262" s="8">
        <f>+Tabla1[[#This Row],[FECHA ENTRADA]]</f>
        <v>45474</v>
      </c>
      <c r="K262" s="8">
        <v>45587</v>
      </c>
      <c r="L262" s="13">
        <f>_xlfn.DAYS(Tabla1[[#This Row],[FECHA FIN ]],Tabla1[[#This Row],[FECHA INICIO]])</f>
        <v>113</v>
      </c>
      <c r="M262" s="12"/>
      <c r="N262" s="12">
        <f>558.64+124.37+70</f>
        <v>753.01</v>
      </c>
      <c r="O262" s="12">
        <f>(Tabla1[[#This Row],[COSTO FIJO ]]/30)*Tabla1[[#This Row],[TOTAL DIAS PROYECTO]]+(Tabla1[[#This Row],[COSTO TEMPORAL]])</f>
        <v>2836.3376666666663</v>
      </c>
      <c r="P262" s="12"/>
      <c r="Q262" s="12">
        <f>+(Tabla1[[#This Row],[COSTO COCHE]]/30)*Tabla1[[#This Row],[TOTAL DIAS PROYECTO]]</f>
        <v>0</v>
      </c>
      <c r="R262" s="12">
        <f>+Tabla1[[#This Row],[COSTO TOTAL ALOJAMIENTO]]+Tabla1[[#This Row],[COSTO TOTAL COCHE]]</f>
        <v>2836.3376666666663</v>
      </c>
      <c r="S262" s="2"/>
      <c r="T262" s="2" t="s">
        <v>35</v>
      </c>
      <c r="U262" s="14">
        <v>45474</v>
      </c>
      <c r="V262" s="8"/>
      <c r="W262" s="26"/>
      <c r="X262" s="2">
        <v>1</v>
      </c>
      <c r="Y262" s="11" t="s">
        <v>901</v>
      </c>
      <c r="Z262" s="2" t="s">
        <v>36</v>
      </c>
      <c r="AA262" s="13">
        <v>0.62217999999999996</v>
      </c>
      <c r="AB262" s="13" t="s">
        <v>10339</v>
      </c>
    </row>
    <row r="263" spans="1:28" ht="15" customHeight="1">
      <c r="A263" s="2" t="s">
        <v>8642</v>
      </c>
      <c r="B263" s="2" t="s">
        <v>28</v>
      </c>
      <c r="C263" s="11" t="s">
        <v>897</v>
      </c>
      <c r="D263" s="2" t="s">
        <v>30</v>
      </c>
      <c r="E263" s="2" t="s">
        <v>259</v>
      </c>
      <c r="F263" s="11" t="s">
        <v>260</v>
      </c>
      <c r="G263" s="11" t="s">
        <v>261</v>
      </c>
      <c r="H263" s="2" t="s">
        <v>902</v>
      </c>
      <c r="I263" s="2" t="s">
        <v>52</v>
      </c>
      <c r="J263" s="8">
        <f>+Tabla1[[#This Row],[FECHA ENTRADA]]</f>
        <v>45580</v>
      </c>
      <c r="K263" s="8">
        <v>45587</v>
      </c>
      <c r="L263" s="42">
        <f>_xlfn.DAYS(Tabla1[[#This Row],[FECHA FIN ]],Tabla1[[#This Row],[FECHA INICIO]])</f>
        <v>7</v>
      </c>
      <c r="M263" s="12"/>
      <c r="N263" s="12"/>
      <c r="O263" s="28">
        <f>(Tabla1[[#This Row],[COSTO FIJO ]]/30)*Tabla1[[#This Row],[TOTAL DIAS PROYECTO]]+(Tabla1[[#This Row],[COSTO TEMPORAL]])</f>
        <v>0</v>
      </c>
      <c r="P263" s="12"/>
      <c r="Q263" s="12">
        <f>+(Tabla1[[#This Row],[COSTO COCHE]]/30)*Tabla1[[#This Row],[TOTAL DIAS PROYECTO]]</f>
        <v>0</v>
      </c>
      <c r="R263" s="12">
        <f>+Tabla1[[#This Row],[COSTO TOTAL ALOJAMIENTO]]+Tabla1[[#This Row],[COSTO TOTAL COCHE]]</f>
        <v>0</v>
      </c>
      <c r="S263" s="2"/>
      <c r="T263" s="2" t="s">
        <v>35</v>
      </c>
      <c r="U263" s="14">
        <v>45580</v>
      </c>
      <c r="V263" s="25"/>
      <c r="W263" s="26"/>
      <c r="X263" s="2">
        <v>15</v>
      </c>
      <c r="Y263" s="11"/>
      <c r="Z263" s="2" t="s">
        <v>36</v>
      </c>
      <c r="AA263" s="13">
        <v>-0.87734000000000001</v>
      </c>
      <c r="AB263" s="13" t="s">
        <v>10359</v>
      </c>
    </row>
    <row r="264" spans="1:28">
      <c r="A264" s="2" t="s">
        <v>8822</v>
      </c>
      <c r="B264" s="2" t="s">
        <v>28</v>
      </c>
      <c r="C264" s="11" t="s">
        <v>903</v>
      </c>
      <c r="D264" s="2" t="s">
        <v>30</v>
      </c>
      <c r="E264" s="2" t="s">
        <v>87</v>
      </c>
      <c r="F264" s="11" t="s">
        <v>88</v>
      </c>
      <c r="G264" s="11" t="s">
        <v>89</v>
      </c>
      <c r="H264" s="2" t="s">
        <v>569</v>
      </c>
      <c r="I264" s="12" t="s">
        <v>570</v>
      </c>
      <c r="J264" s="8">
        <f>+Tabla1[[#This Row],[FECHA ENTRADA]]</f>
        <v>45487</v>
      </c>
      <c r="K264" s="8">
        <v>45589</v>
      </c>
      <c r="L264" s="13">
        <f>_xlfn.DAYS(Tabla1[[#This Row],[FECHA FIN ]],Tabla1[[#This Row],[FECHA INICIO]])</f>
        <v>102</v>
      </c>
      <c r="M264" s="12"/>
      <c r="N264" s="12"/>
      <c r="O264" s="12">
        <f>(Tabla1[[#This Row],[COSTO FIJO ]]/30)*Tabla1[[#This Row],[TOTAL DIAS PROYECTO]]+(Tabla1[[#This Row],[COSTO TEMPORAL]])</f>
        <v>0</v>
      </c>
      <c r="P264" s="12"/>
      <c r="Q264" s="12">
        <f>+(Tabla1[[#This Row],[COSTO COCHE]]/30)*Tabla1[[#This Row],[TOTAL DIAS PROYECTO]]</f>
        <v>0</v>
      </c>
      <c r="R264" s="12">
        <f>+Tabla1[[#This Row],[COSTO TOTAL ALOJAMIENTO]]+Tabla1[[#This Row],[COSTO TOTAL COCHE]]</f>
        <v>0</v>
      </c>
      <c r="S264" s="2"/>
      <c r="T264" s="2" t="s">
        <v>35</v>
      </c>
      <c r="U264" s="14">
        <v>45487</v>
      </c>
      <c r="V264" s="14"/>
      <c r="W264" s="26"/>
      <c r="X264" s="2"/>
      <c r="Y264" s="11" t="s">
        <v>904</v>
      </c>
      <c r="Z264" s="2" t="s">
        <v>36</v>
      </c>
      <c r="AA264" s="13" t="s">
        <v>10335</v>
      </c>
      <c r="AB264" s="13">
        <v>404.16500000000002</v>
      </c>
    </row>
    <row r="265" spans="1:28">
      <c r="A265" s="2" t="s">
        <v>8653</v>
      </c>
      <c r="B265" s="2" t="s">
        <v>28</v>
      </c>
      <c r="C265" s="18" t="s">
        <v>147</v>
      </c>
      <c r="D265" s="2" t="s">
        <v>30</v>
      </c>
      <c r="E265" s="2" t="s">
        <v>734</v>
      </c>
      <c r="F265" s="11" t="s">
        <v>735</v>
      </c>
      <c r="G265" s="30" t="s">
        <v>736</v>
      </c>
      <c r="H265" s="2" t="s">
        <v>262</v>
      </c>
      <c r="I265" s="12" t="s">
        <v>152</v>
      </c>
      <c r="J265" s="8">
        <f>+Tabla1[[#This Row],[FECHA ENTRADA]]</f>
        <v>45427</v>
      </c>
      <c r="K265" s="8">
        <v>45590</v>
      </c>
      <c r="L265" s="13">
        <f>_xlfn.DAYS(Tabla1[[#This Row],[FECHA FIN ]],Tabla1[[#This Row],[FECHA INICIO]])</f>
        <v>163</v>
      </c>
      <c r="M265" s="12">
        <v>245</v>
      </c>
      <c r="N265" s="12">
        <v>200</v>
      </c>
      <c r="O265" s="12">
        <f>(Tabla1[[#This Row],[COSTO FIJO ]]/30)*Tabla1[[#This Row],[TOTAL DIAS PROYECTO]]+(Tabla1[[#This Row],[COSTO TEMPORAL]])</f>
        <v>1331.6666666666667</v>
      </c>
      <c r="P265" s="12">
        <f>+(622.04*50%)/2</f>
        <v>155.51</v>
      </c>
      <c r="Q265" s="12">
        <f>+(Tabla1[[#This Row],[COSTO COCHE]]/30)*Tabla1[[#This Row],[TOTAL DIAS PROYECTO]]</f>
        <v>844.93766666666659</v>
      </c>
      <c r="R265" s="12">
        <f>+Tabla1[[#This Row],[COSTO TOTAL ALOJAMIENTO]]+Tabla1[[#This Row],[COSTO TOTAL COCHE]]</f>
        <v>2176.6043333333332</v>
      </c>
      <c r="S265" s="2"/>
      <c r="T265" s="2" t="s">
        <v>35</v>
      </c>
      <c r="U265" s="14">
        <v>45427</v>
      </c>
      <c r="V265" s="14"/>
      <c r="W265" s="26"/>
      <c r="X265" s="2">
        <v>1</v>
      </c>
      <c r="Y265" s="11" t="s">
        <v>905</v>
      </c>
      <c r="Z265" s="2" t="s">
        <v>36</v>
      </c>
      <c r="AA265" s="13" t="s">
        <v>10396</v>
      </c>
      <c r="AB265" s="13" t="s">
        <v>10397</v>
      </c>
    </row>
    <row r="266" spans="1:28">
      <c r="A266" s="2" t="s">
        <v>8823</v>
      </c>
      <c r="B266" s="2" t="s">
        <v>28</v>
      </c>
      <c r="C266" s="18" t="s">
        <v>906</v>
      </c>
      <c r="D266" s="2" t="s">
        <v>30</v>
      </c>
      <c r="E266" s="2" t="s">
        <v>31</v>
      </c>
      <c r="F266" s="11" t="s">
        <v>907</v>
      </c>
      <c r="G266" s="11" t="s">
        <v>296</v>
      </c>
      <c r="H266" s="2" t="s">
        <v>908</v>
      </c>
      <c r="I266" s="29" t="s">
        <v>909</v>
      </c>
      <c r="J266" s="8">
        <f>+Tabla1[[#This Row],[FECHA ENTRADA]]</f>
        <v>45459</v>
      </c>
      <c r="K266" s="8">
        <v>45590</v>
      </c>
      <c r="L266" s="13">
        <f>_xlfn.DAYS(Tabla1[[#This Row],[FECHA FIN ]],Tabla1[[#This Row],[FECHA INICIO]])</f>
        <v>131</v>
      </c>
      <c r="M266" s="29"/>
      <c r="N266" s="12">
        <v>150</v>
      </c>
      <c r="O266" s="12">
        <f>(Tabla1[[#This Row],[COSTO FIJO ]]/30)*Tabla1[[#This Row],[TOTAL DIAS PROYECTO]]+(Tabla1[[#This Row],[COSTO TEMPORAL]])</f>
        <v>655</v>
      </c>
      <c r="P266" s="12"/>
      <c r="Q266" s="12">
        <f>+(Tabla1[[#This Row],[COSTO COCHE]]/30)*Tabla1[[#This Row],[TOTAL DIAS PROYECTO]]</f>
        <v>0</v>
      </c>
      <c r="R266" s="12">
        <f>+Tabla1[[#This Row],[COSTO TOTAL ALOJAMIENTO]]+Tabla1[[#This Row],[COSTO TOTAL COCHE]]</f>
        <v>655</v>
      </c>
      <c r="S266" s="2"/>
      <c r="T266" s="2" t="s">
        <v>35</v>
      </c>
      <c r="U266" s="14">
        <v>45459</v>
      </c>
      <c r="V266" s="14"/>
      <c r="W266" s="26"/>
      <c r="X266" s="2">
        <v>1</v>
      </c>
      <c r="Y266" s="11" t="s">
        <v>910</v>
      </c>
      <c r="Z266" s="2" t="s">
        <v>36</v>
      </c>
      <c r="AA266" s="13" t="s">
        <v>10323</v>
      </c>
      <c r="AB266" s="13" t="s">
        <v>10324</v>
      </c>
    </row>
    <row r="267" spans="1:28">
      <c r="A267" s="2" t="s">
        <v>8824</v>
      </c>
      <c r="B267" s="2" t="s">
        <v>368</v>
      </c>
      <c r="C267" s="11" t="s">
        <v>911</v>
      </c>
      <c r="D267" s="2" t="s">
        <v>30</v>
      </c>
      <c r="E267" s="2" t="s">
        <v>253</v>
      </c>
      <c r="F267" s="11" t="s">
        <v>581</v>
      </c>
      <c r="G267" s="11" t="s">
        <v>255</v>
      </c>
      <c r="H267" s="2" t="s">
        <v>912</v>
      </c>
      <c r="I267" s="12" t="s">
        <v>913</v>
      </c>
      <c r="J267" s="22">
        <f>+Tabla1[[#This Row],[FECHA ENTRADA]]</f>
        <v>45581</v>
      </c>
      <c r="K267" s="8">
        <v>45596</v>
      </c>
      <c r="L267" s="23">
        <f>_xlfn.DAYS(Tabla1[[#This Row],[FECHA FIN ]],Tabla1[[#This Row],[FECHA INICIO]])</f>
        <v>15</v>
      </c>
      <c r="M267" s="12"/>
      <c r="N267" s="12"/>
      <c r="O267" s="24">
        <f>(Tabla1[[#This Row],[COSTO FIJO ]]/30)*Tabla1[[#This Row],[TOTAL DIAS PROYECTO]]+(Tabla1[[#This Row],[COSTO TEMPORAL]])</f>
        <v>0</v>
      </c>
      <c r="P267" s="12"/>
      <c r="Q267" s="12">
        <f>+(Tabla1[[#This Row],[COSTO COCHE]]/30)*Tabla1[[#This Row],[TOTAL DIAS PROYECTO]]</f>
        <v>0</v>
      </c>
      <c r="R267" s="12">
        <f>+Tabla1[[#This Row],[COSTO TOTAL ALOJAMIENTO]]+Tabla1[[#This Row],[COSTO TOTAL COCHE]]</f>
        <v>0</v>
      </c>
      <c r="S267" s="2"/>
      <c r="T267" s="2" t="s">
        <v>35</v>
      </c>
      <c r="U267" s="14">
        <v>45581</v>
      </c>
      <c r="V267" s="79"/>
      <c r="W267" s="26"/>
      <c r="X267" s="2">
        <v>1</v>
      </c>
      <c r="Y267" s="11" t="s">
        <v>914</v>
      </c>
      <c r="Z267" s="2" t="s">
        <v>36</v>
      </c>
      <c r="AA267" s="13" t="s">
        <v>10357</v>
      </c>
      <c r="AB267" s="13" t="s">
        <v>10358</v>
      </c>
    </row>
    <row r="268" spans="1:28" ht="15" customHeight="1">
      <c r="A268" s="2" t="s">
        <v>8825</v>
      </c>
      <c r="B268" s="2" t="s">
        <v>28</v>
      </c>
      <c r="C268" s="11" t="s">
        <v>915</v>
      </c>
      <c r="D268" s="2" t="s">
        <v>30</v>
      </c>
      <c r="E268" s="2" t="s">
        <v>213</v>
      </c>
      <c r="F268" s="11" t="s">
        <v>916</v>
      </c>
      <c r="G268" s="11" t="s">
        <v>917</v>
      </c>
      <c r="H268" s="2">
        <v>2023</v>
      </c>
      <c r="I268" s="2" t="s">
        <v>918</v>
      </c>
      <c r="J268" s="8">
        <f>+Tabla1[[#This Row],[FECHA ENTRADA]]</f>
        <v>0</v>
      </c>
      <c r="K268" s="22">
        <v>45821</v>
      </c>
      <c r="L268" s="13">
        <f>_xlfn.DAYS(Tabla1[[#This Row],[FECHA FIN ]],Tabla1[[#This Row],[FECHA INICIO]])</f>
        <v>45821</v>
      </c>
      <c r="M268" s="12"/>
      <c r="N268" s="12"/>
      <c r="O268" s="12">
        <f>(Tabla1[[#This Row],[COSTO FIJO ]]/30)*Tabla1[[#This Row],[TOTAL DIAS PROYECTO]]+(Tabla1[[#This Row],[COSTO TEMPORAL]])</f>
        <v>0</v>
      </c>
      <c r="P268" s="12"/>
      <c r="Q268" s="12">
        <f>+(Tabla1[[#This Row],[COSTO COCHE]]/30)*Tabla1[[#This Row],[TOTAL DIAS PROYECTO]]</f>
        <v>0</v>
      </c>
      <c r="R268" s="12">
        <f>+Tabla1[[#This Row],[COSTO TOTAL ALOJAMIENTO]]+Tabla1[[#This Row],[COSTO TOTAL COCHE]]</f>
        <v>0</v>
      </c>
      <c r="S268" s="2"/>
      <c r="T268" s="2" t="s">
        <v>35</v>
      </c>
      <c r="U268" s="14"/>
      <c r="V268" s="14"/>
      <c r="W268" s="15"/>
      <c r="X268" s="16"/>
      <c r="Y268" s="18" t="s">
        <v>919</v>
      </c>
      <c r="Z268" s="2" t="s">
        <v>36</v>
      </c>
      <c r="AA268" s="13" t="s">
        <v>10349</v>
      </c>
      <c r="AB268" s="13" t="s">
        <v>10350</v>
      </c>
    </row>
    <row r="269" spans="1:28" ht="15" customHeight="1">
      <c r="A269" s="2" t="s">
        <v>8826</v>
      </c>
      <c r="B269" s="2" t="s">
        <v>28</v>
      </c>
      <c r="C269" s="18" t="s">
        <v>920</v>
      </c>
      <c r="D269" s="2" t="s">
        <v>749</v>
      </c>
      <c r="E269" s="2" t="s">
        <v>288</v>
      </c>
      <c r="F269" s="11" t="s">
        <v>750</v>
      </c>
      <c r="G269" s="30" t="s">
        <v>751</v>
      </c>
      <c r="H269" s="2" t="s">
        <v>752</v>
      </c>
      <c r="I269" s="29" t="s">
        <v>753</v>
      </c>
      <c r="J269" s="8">
        <f>+Tabla1[[#This Row],[FECHA ENTRADA]]</f>
        <v>45480</v>
      </c>
      <c r="K269" s="22">
        <v>45821</v>
      </c>
      <c r="L269" s="13">
        <f>_xlfn.DAYS(Tabla1[[#This Row],[FECHA FIN ]],Tabla1[[#This Row],[FECHA INICIO]])</f>
        <v>341</v>
      </c>
      <c r="M269" s="12"/>
      <c r="N269" s="24"/>
      <c r="O269" s="12">
        <f>(Tabla1[[#This Row],[COSTO FIJO ]]/30)*Tabla1[[#This Row],[TOTAL DIAS PROYECTO]]+(Tabla1[[#This Row],[COSTO TEMPORAL]])</f>
        <v>0</v>
      </c>
      <c r="P269" s="12">
        <f>8180.25/45</f>
        <v>181.78333333333333</v>
      </c>
      <c r="Q269" s="12">
        <f>+(Tabla1[[#This Row],[COSTO COCHE]]/30)*Tabla1[[#This Row],[TOTAL DIAS PROYECTO]]</f>
        <v>2066.2705555555553</v>
      </c>
      <c r="R269" s="12">
        <f>+Tabla1[[#This Row],[COSTO TOTAL ALOJAMIENTO]]+Tabla1[[#This Row],[COSTO TOTAL COCHE]]</f>
        <v>2066.2705555555553</v>
      </c>
      <c r="S269" s="2"/>
      <c r="T269" s="2" t="s">
        <v>44</v>
      </c>
      <c r="U269" s="14">
        <v>45480</v>
      </c>
      <c r="V269" s="14">
        <v>45636</v>
      </c>
      <c r="W269" s="26"/>
      <c r="X269" s="2">
        <v>10</v>
      </c>
      <c r="Y269" s="11" t="s">
        <v>921</v>
      </c>
      <c r="Z269" s="2" t="s">
        <v>36</v>
      </c>
      <c r="AA269" s="13" t="s">
        <v>10362</v>
      </c>
      <c r="AB269" s="13" t="s">
        <v>10363</v>
      </c>
    </row>
    <row r="270" spans="1:28">
      <c r="A270" s="2" t="s">
        <v>8827</v>
      </c>
      <c r="B270" s="2" t="s">
        <v>28</v>
      </c>
      <c r="C270" s="18" t="s">
        <v>922</v>
      </c>
      <c r="D270" s="2" t="s">
        <v>749</v>
      </c>
      <c r="E270" s="2" t="s">
        <v>288</v>
      </c>
      <c r="F270" s="11" t="s">
        <v>750</v>
      </c>
      <c r="G270" s="30" t="s">
        <v>156</v>
      </c>
      <c r="H270" s="2" t="s">
        <v>752</v>
      </c>
      <c r="I270" s="29" t="s">
        <v>753</v>
      </c>
      <c r="J270" s="8">
        <f>+Tabla1[[#This Row],[FECHA ENTRADA]]</f>
        <v>45480</v>
      </c>
      <c r="K270" s="22">
        <v>45821</v>
      </c>
      <c r="L270" s="13">
        <f>_xlfn.DAYS(Tabla1[[#This Row],[FECHA FIN ]],Tabla1[[#This Row],[FECHA INICIO]])</f>
        <v>341</v>
      </c>
      <c r="M270" s="12"/>
      <c r="N270" s="24"/>
      <c r="O270" s="12">
        <f>(Tabla1[[#This Row],[COSTO FIJO ]]/30)*Tabla1[[#This Row],[TOTAL DIAS PROYECTO]]+(Tabla1[[#This Row],[COSTO TEMPORAL]])</f>
        <v>0</v>
      </c>
      <c r="P270" s="12">
        <f>8180.25/45</f>
        <v>181.78333333333333</v>
      </c>
      <c r="Q270" s="12">
        <f>+(Tabla1[[#This Row],[COSTO COCHE]]/30)*Tabla1[[#This Row],[TOTAL DIAS PROYECTO]]</f>
        <v>2066.2705555555553</v>
      </c>
      <c r="R270" s="12">
        <f>+Tabla1[[#This Row],[COSTO TOTAL ALOJAMIENTO]]+Tabla1[[#This Row],[COSTO TOTAL COCHE]]</f>
        <v>2066.2705555555553</v>
      </c>
      <c r="S270" s="2"/>
      <c r="T270" s="2" t="s">
        <v>35</v>
      </c>
      <c r="U270" s="14">
        <v>45480</v>
      </c>
      <c r="V270" s="14">
        <v>45489</v>
      </c>
      <c r="W270" s="26"/>
      <c r="X270" s="2">
        <v>10</v>
      </c>
      <c r="Y270" s="11" t="s">
        <v>754</v>
      </c>
      <c r="Z270" s="2" t="s">
        <v>36</v>
      </c>
      <c r="AA270" s="13" t="s">
        <v>10362</v>
      </c>
      <c r="AB270" s="13" t="s">
        <v>10363</v>
      </c>
    </row>
    <row r="271" spans="1:28">
      <c r="A271" s="2" t="s">
        <v>8828</v>
      </c>
      <c r="B271" s="2" t="s">
        <v>28</v>
      </c>
      <c r="C271" s="11" t="s">
        <v>923</v>
      </c>
      <c r="D271" s="2" t="s">
        <v>749</v>
      </c>
      <c r="E271" s="2" t="s">
        <v>288</v>
      </c>
      <c r="F271" s="11" t="s">
        <v>924</v>
      </c>
      <c r="G271" s="11" t="s">
        <v>925</v>
      </c>
      <c r="H271" s="2" t="s">
        <v>752</v>
      </c>
      <c r="I271" s="29" t="s">
        <v>753</v>
      </c>
      <c r="J271" s="8">
        <f>+Tabla1[[#This Row],[FECHA ENTRADA]]</f>
        <v>45480</v>
      </c>
      <c r="K271" s="22">
        <v>45821</v>
      </c>
      <c r="L271" s="13">
        <f>_xlfn.DAYS(Tabla1[[#This Row],[FECHA FIN ]],Tabla1[[#This Row],[FECHA INICIO]])</f>
        <v>341</v>
      </c>
      <c r="M271" s="12"/>
      <c r="N271" s="12"/>
      <c r="O271" s="12">
        <f>(Tabla1[[#This Row],[COSTO FIJO ]]/30)*Tabla1[[#This Row],[TOTAL DIAS PROYECTO]]+(Tabla1[[#This Row],[COSTO TEMPORAL]])</f>
        <v>0</v>
      </c>
      <c r="P271" s="12">
        <f>8180.25/45</f>
        <v>181.78333333333333</v>
      </c>
      <c r="Q271" s="12">
        <f>+(Tabla1[[#This Row],[COSTO COCHE]]/30)*Tabla1[[#This Row],[TOTAL DIAS PROYECTO]]</f>
        <v>2066.2705555555553</v>
      </c>
      <c r="R271" s="12">
        <f>+Tabla1[[#This Row],[COSTO TOTAL ALOJAMIENTO]]+Tabla1[[#This Row],[COSTO TOTAL COCHE]]</f>
        <v>2066.2705555555553</v>
      </c>
      <c r="S271" s="2"/>
      <c r="T271" s="2" t="s">
        <v>35</v>
      </c>
      <c r="U271" s="14">
        <v>45480</v>
      </c>
      <c r="V271" s="14">
        <v>45560</v>
      </c>
      <c r="W271" s="26"/>
      <c r="X271" s="2">
        <v>20</v>
      </c>
      <c r="Y271" s="11" t="s">
        <v>926</v>
      </c>
      <c r="Z271" s="2" t="s">
        <v>36</v>
      </c>
      <c r="AA271" s="13" t="s">
        <v>10362</v>
      </c>
      <c r="AB271" s="13" t="s">
        <v>10363</v>
      </c>
    </row>
    <row r="272" spans="1:28" ht="15" customHeight="1">
      <c r="A272" s="2" t="s">
        <v>8829</v>
      </c>
      <c r="B272" s="2" t="s">
        <v>28</v>
      </c>
      <c r="C272" s="18" t="s">
        <v>927</v>
      </c>
      <c r="D272" s="2" t="s">
        <v>749</v>
      </c>
      <c r="E272" s="2" t="s">
        <v>288</v>
      </c>
      <c r="F272" s="11" t="s">
        <v>928</v>
      </c>
      <c r="G272" s="30" t="s">
        <v>156</v>
      </c>
      <c r="H272" s="2" t="s">
        <v>929</v>
      </c>
      <c r="I272" s="29" t="s">
        <v>753</v>
      </c>
      <c r="J272" s="8">
        <f>+Tabla1[[#This Row],[FECHA ENTRADA]]</f>
        <v>45487</v>
      </c>
      <c r="K272" s="8">
        <v>45596</v>
      </c>
      <c r="L272" s="13">
        <f>_xlfn.DAYS(Tabla1[[#This Row],[FECHA FIN ]],Tabla1[[#This Row],[FECHA INICIO]])</f>
        <v>109</v>
      </c>
      <c r="M272" s="12"/>
      <c r="N272" s="12">
        <v>436.43</v>
      </c>
      <c r="O272" s="12">
        <f>(Tabla1[[#This Row],[COSTO FIJO ]]/30)*Tabla1[[#This Row],[TOTAL DIAS PROYECTO]]+(Tabla1[[#This Row],[COSTO TEMPORAL]])</f>
        <v>1585.6956666666667</v>
      </c>
      <c r="P272" s="12">
        <f>8180.25/45</f>
        <v>181.78333333333333</v>
      </c>
      <c r="Q272" s="12">
        <f>+(Tabla1[[#This Row],[COSTO COCHE]]/30)*Tabla1[[#This Row],[TOTAL DIAS PROYECTO]]</f>
        <v>660.47944444444443</v>
      </c>
      <c r="R272" s="12">
        <f>+Tabla1[[#This Row],[COSTO TOTAL ALOJAMIENTO]]+Tabla1[[#This Row],[COSTO TOTAL COCHE]]</f>
        <v>2246.1751111111112</v>
      </c>
      <c r="S272" s="2"/>
      <c r="T272" s="2" t="s">
        <v>35</v>
      </c>
      <c r="U272" s="14">
        <v>45487</v>
      </c>
      <c r="V272" s="14"/>
      <c r="W272" s="26"/>
      <c r="X272" s="2">
        <v>1</v>
      </c>
      <c r="Y272" s="11"/>
      <c r="Z272" s="2" t="s">
        <v>36</v>
      </c>
      <c r="AA272" s="13" t="s">
        <v>10362</v>
      </c>
      <c r="AB272" s="13" t="s">
        <v>10363</v>
      </c>
    </row>
    <row r="273" spans="1:28">
      <c r="A273" s="2" t="s">
        <v>8830</v>
      </c>
      <c r="B273" s="2" t="s">
        <v>28</v>
      </c>
      <c r="C273" s="11" t="s">
        <v>930</v>
      </c>
      <c r="D273" s="2" t="s">
        <v>30</v>
      </c>
      <c r="E273" s="2" t="s">
        <v>55</v>
      </c>
      <c r="F273" s="11" t="s">
        <v>231</v>
      </c>
      <c r="G273" s="11" t="s">
        <v>106</v>
      </c>
      <c r="H273" s="2" t="s">
        <v>931</v>
      </c>
      <c r="I273" s="54" t="s">
        <v>589</v>
      </c>
      <c r="J273" s="8">
        <f>+Tabla1[[#This Row],[FECHA ENTRADA]]</f>
        <v>45389</v>
      </c>
      <c r="K273" s="8">
        <v>45596</v>
      </c>
      <c r="L273" s="13">
        <f>_xlfn.DAYS(Tabla1[[#This Row],[FECHA FIN ]],Tabla1[[#This Row],[FECHA INICIO]])</f>
        <v>207</v>
      </c>
      <c r="M273" s="12"/>
      <c r="N273" s="12">
        <v>500</v>
      </c>
      <c r="O273" s="12">
        <f>(Tabla1[[#This Row],[COSTO FIJO ]]/30)*Tabla1[[#This Row],[TOTAL DIAS PROYECTO]]+(Tabla1[[#This Row],[COSTO TEMPORAL]])</f>
        <v>3450.0000000000005</v>
      </c>
      <c r="P273" s="12">
        <f>(689.7*50%)/2</f>
        <v>172.42500000000001</v>
      </c>
      <c r="Q273" s="12">
        <f>+(Tabla1[[#This Row],[COSTO COCHE]]/30)*Tabla1[[#This Row],[TOTAL DIAS PROYECTO]]</f>
        <v>1189.7325000000001</v>
      </c>
      <c r="R273" s="12">
        <f>+Tabla1[[#This Row],[COSTO TOTAL ALOJAMIENTO]]+Tabla1[[#This Row],[COSTO TOTAL COCHE]]</f>
        <v>4639.7325000000001</v>
      </c>
      <c r="S273" s="2"/>
      <c r="T273" s="2" t="s">
        <v>35</v>
      </c>
      <c r="U273" s="14">
        <v>45389</v>
      </c>
      <c r="V273" s="14"/>
      <c r="W273" s="62">
        <v>430</v>
      </c>
      <c r="X273" s="16">
        <v>5</v>
      </c>
      <c r="Y273" s="11" t="s">
        <v>932</v>
      </c>
      <c r="Z273" s="2" t="s">
        <v>36</v>
      </c>
      <c r="AA273" s="13" t="s">
        <v>10327</v>
      </c>
      <c r="AB273" s="13" t="s">
        <v>10328</v>
      </c>
    </row>
    <row r="274" spans="1:28" ht="15" customHeight="1">
      <c r="A274" s="2" t="s">
        <v>8831</v>
      </c>
      <c r="B274" s="2" t="s">
        <v>28</v>
      </c>
      <c r="C274" s="18" t="s">
        <v>933</v>
      </c>
      <c r="D274" s="2" t="s">
        <v>30</v>
      </c>
      <c r="E274" s="2" t="s">
        <v>55</v>
      </c>
      <c r="F274" s="11" t="s">
        <v>231</v>
      </c>
      <c r="G274" s="11" t="s">
        <v>106</v>
      </c>
      <c r="H274" s="2" t="s">
        <v>931</v>
      </c>
      <c r="I274" s="54" t="s">
        <v>589</v>
      </c>
      <c r="J274" s="8">
        <f>+Tabla1[[#This Row],[FECHA ENTRADA]]</f>
        <v>45389</v>
      </c>
      <c r="K274" s="22">
        <v>45596</v>
      </c>
      <c r="L274" s="13">
        <f>_xlfn.DAYS(Tabla1[[#This Row],[FECHA FIN ]],Tabla1[[#This Row],[FECHA INICIO]])</f>
        <v>207</v>
      </c>
      <c r="M274" s="12"/>
      <c r="N274" s="12">
        <v>500</v>
      </c>
      <c r="O274" s="12">
        <f>(Tabla1[[#This Row],[COSTO FIJO ]]/30)*Tabla1[[#This Row],[TOTAL DIAS PROYECTO]]+(Tabla1[[#This Row],[COSTO TEMPORAL]])</f>
        <v>3450.0000000000005</v>
      </c>
      <c r="P274" s="12">
        <f>(689.7*50%)/2</f>
        <v>172.42500000000001</v>
      </c>
      <c r="Q274" s="12">
        <f>+(Tabla1[[#This Row],[COSTO COCHE]]/30)*Tabla1[[#This Row],[TOTAL DIAS PROYECTO]]</f>
        <v>1189.7325000000001</v>
      </c>
      <c r="R274" s="12">
        <f>+Tabla1[[#This Row],[COSTO TOTAL ALOJAMIENTO]]+Tabla1[[#This Row],[COSTO TOTAL COCHE]]</f>
        <v>4639.7325000000001</v>
      </c>
      <c r="S274" s="2"/>
      <c r="T274" s="2" t="s">
        <v>35</v>
      </c>
      <c r="U274" s="14">
        <v>45389</v>
      </c>
      <c r="V274" s="14"/>
      <c r="W274" s="62">
        <v>415</v>
      </c>
      <c r="X274" s="16">
        <v>5</v>
      </c>
      <c r="Y274" s="11" t="s">
        <v>934</v>
      </c>
      <c r="Z274" s="2" t="s">
        <v>36</v>
      </c>
      <c r="AA274" s="13" t="s">
        <v>10327</v>
      </c>
      <c r="AB274" s="13" t="s">
        <v>10328</v>
      </c>
    </row>
    <row r="275" spans="1:28">
      <c r="A275" s="2" t="s">
        <v>8678</v>
      </c>
      <c r="B275" s="2" t="s">
        <v>28</v>
      </c>
      <c r="C275" s="11" t="s">
        <v>251</v>
      </c>
      <c r="D275" s="2" t="s">
        <v>30</v>
      </c>
      <c r="E275" s="2" t="s">
        <v>720</v>
      </c>
      <c r="F275" s="11" t="s">
        <v>935</v>
      </c>
      <c r="G275" s="11" t="s">
        <v>936</v>
      </c>
      <c r="H275" s="2" t="s">
        <v>937</v>
      </c>
      <c r="I275" s="12" t="s">
        <v>279</v>
      </c>
      <c r="J275" s="8">
        <f>+Tabla1[[#This Row],[FECHA ENTRADA]]</f>
        <v>45529</v>
      </c>
      <c r="K275" s="8">
        <v>45596</v>
      </c>
      <c r="L275" s="13">
        <f>_xlfn.DAYS(Tabla1[[#This Row],[FECHA FIN ]],Tabla1[[#This Row],[FECHA INICIO]])</f>
        <v>67</v>
      </c>
      <c r="M275" s="12"/>
      <c r="N275" s="12">
        <v>325</v>
      </c>
      <c r="O275" s="12">
        <f>(Tabla1[[#This Row],[COSTO FIJO ]]/30)*Tabla1[[#This Row],[TOTAL DIAS PROYECTO]]+(Tabla1[[#This Row],[COSTO TEMPORAL]])</f>
        <v>725.83333333333337</v>
      </c>
      <c r="P275" s="12">
        <f>+(637.91*50%)/2</f>
        <v>159.47749999999999</v>
      </c>
      <c r="Q275" s="12">
        <f>+(Tabla1[[#This Row],[COSTO COCHE]]/30)*Tabla1[[#This Row],[TOTAL DIAS PROYECTO]]</f>
        <v>356.16641666666663</v>
      </c>
      <c r="R275" s="12">
        <f>+Tabla1[[#This Row],[COSTO TOTAL ALOJAMIENTO]]+Tabla1[[#This Row],[COSTO TOTAL COCHE]]</f>
        <v>1081.9997499999999</v>
      </c>
      <c r="S275" s="2"/>
      <c r="T275" s="2" t="s">
        <v>35</v>
      </c>
      <c r="U275" s="14">
        <v>45529</v>
      </c>
      <c r="V275" s="14"/>
      <c r="W275" s="26"/>
      <c r="X275" s="2">
        <v>25</v>
      </c>
      <c r="Y275" s="31"/>
      <c r="Z275" s="2" t="s">
        <v>36</v>
      </c>
      <c r="AA275" s="13" t="s">
        <v>10394</v>
      </c>
      <c r="AB275" s="13" t="s">
        <v>10395</v>
      </c>
    </row>
    <row r="276" spans="1:28">
      <c r="A276" s="2" t="s">
        <v>8832</v>
      </c>
      <c r="B276" s="2" t="s">
        <v>28</v>
      </c>
      <c r="C276" s="11" t="s">
        <v>938</v>
      </c>
      <c r="D276" s="2" t="s">
        <v>30</v>
      </c>
      <c r="E276" s="2" t="s">
        <v>939</v>
      </c>
      <c r="F276" s="11" t="s">
        <v>940</v>
      </c>
      <c r="G276" s="11" t="s">
        <v>941</v>
      </c>
      <c r="H276" s="2" t="s">
        <v>942</v>
      </c>
      <c r="I276" s="10" t="s">
        <v>943</v>
      </c>
      <c r="J276" s="8">
        <f>+Tabla1[[#This Row],[FECHA ENTRADA]]</f>
        <v>45501</v>
      </c>
      <c r="K276" s="8">
        <v>45596</v>
      </c>
      <c r="L276" s="13">
        <f>_xlfn.DAYS(Tabla1[[#This Row],[FECHA FIN ]],Tabla1[[#This Row],[FECHA INICIO]])</f>
        <v>95</v>
      </c>
      <c r="M276" s="12"/>
      <c r="N276" s="12"/>
      <c r="O276" s="12">
        <f>(Tabla1[[#This Row],[COSTO FIJO ]]/30)*Tabla1[[#This Row],[TOTAL DIAS PROYECTO]]+(Tabla1[[#This Row],[COSTO TEMPORAL]])</f>
        <v>0</v>
      </c>
      <c r="P276" s="12"/>
      <c r="Q276" s="12">
        <f>+(Tabla1[[#This Row],[COSTO COCHE]]/30)*Tabla1[[#This Row],[TOTAL DIAS PROYECTO]]</f>
        <v>0</v>
      </c>
      <c r="R276" s="12">
        <f>+Tabla1[[#This Row],[COSTO TOTAL ALOJAMIENTO]]+Tabla1[[#This Row],[COSTO TOTAL COCHE]]</f>
        <v>0</v>
      </c>
      <c r="S276" s="2"/>
      <c r="T276" s="2" t="s">
        <v>35</v>
      </c>
      <c r="U276" s="14">
        <v>45501</v>
      </c>
      <c r="V276" s="14"/>
      <c r="W276" s="80">
        <v>150</v>
      </c>
      <c r="X276" s="2">
        <v>28</v>
      </c>
      <c r="Y276" s="31" t="s">
        <v>944</v>
      </c>
      <c r="Z276" s="2" t="s">
        <v>36</v>
      </c>
      <c r="AA276" s="13" t="s">
        <v>10405</v>
      </c>
      <c r="AB276" s="13" t="s">
        <v>10406</v>
      </c>
    </row>
    <row r="277" spans="1:28">
      <c r="A277" s="2" t="s">
        <v>8833</v>
      </c>
      <c r="B277" s="2" t="s">
        <v>28</v>
      </c>
      <c r="C277" s="18" t="s">
        <v>945</v>
      </c>
      <c r="D277" s="2" t="s">
        <v>30</v>
      </c>
      <c r="E277" s="2" t="s">
        <v>301</v>
      </c>
      <c r="F277" s="11" t="s">
        <v>946</v>
      </c>
      <c r="G277" s="11" t="s">
        <v>947</v>
      </c>
      <c r="H277" s="2" t="s">
        <v>948</v>
      </c>
      <c r="I277" s="12" t="s">
        <v>949</v>
      </c>
      <c r="J277" s="8">
        <f>+Tabla1[[#This Row],[FECHA ENTRADA]]</f>
        <v>45508</v>
      </c>
      <c r="K277" s="8">
        <v>45598</v>
      </c>
      <c r="L277" s="13">
        <f>_xlfn.DAYS(Tabla1[[#This Row],[FECHA FIN ]],Tabla1[[#This Row],[FECHA INICIO]])</f>
        <v>90</v>
      </c>
      <c r="M277" s="2"/>
      <c r="N277" s="12">
        <v>280.5</v>
      </c>
      <c r="O277" s="12">
        <f>(Tabla1[[#This Row],[COSTO FIJO ]]/30)*Tabla1[[#This Row],[TOTAL DIAS PROYECTO]]+(Tabla1[[#This Row],[COSTO TEMPORAL]])</f>
        <v>841.5</v>
      </c>
      <c r="P277" s="12"/>
      <c r="Q277" s="12">
        <f>+(Tabla1[[#This Row],[COSTO COCHE]]/30)*Tabla1[[#This Row],[TOTAL DIAS PROYECTO]]</f>
        <v>0</v>
      </c>
      <c r="R277" s="12">
        <f>+Tabla1[[#This Row],[COSTO TOTAL ALOJAMIENTO]]+Tabla1[[#This Row],[COSTO TOTAL COCHE]]</f>
        <v>841.5</v>
      </c>
      <c r="S277" s="2"/>
      <c r="T277" s="2" t="s">
        <v>35</v>
      </c>
      <c r="U277" s="14">
        <v>45508</v>
      </c>
      <c r="V277" s="14"/>
      <c r="W277" s="26">
        <v>950</v>
      </c>
      <c r="X277" s="2">
        <v>4</v>
      </c>
      <c r="Y277" s="11" t="s">
        <v>950</v>
      </c>
      <c r="Z277" s="2" t="s">
        <v>36</v>
      </c>
      <c r="AA277" s="13" t="s">
        <v>10364</v>
      </c>
      <c r="AB277" s="13" t="s">
        <v>10365</v>
      </c>
    </row>
    <row r="278" spans="1:28" ht="15" customHeight="1">
      <c r="A278" s="2" t="s">
        <v>8834</v>
      </c>
      <c r="B278" s="2" t="s">
        <v>28</v>
      </c>
      <c r="C278" s="18" t="s">
        <v>951</v>
      </c>
      <c r="D278" s="2" t="s">
        <v>99</v>
      </c>
      <c r="E278" s="2" t="s">
        <v>301</v>
      </c>
      <c r="F278" s="11" t="s">
        <v>946</v>
      </c>
      <c r="G278" s="11" t="s">
        <v>947</v>
      </c>
      <c r="H278" s="2" t="s">
        <v>952</v>
      </c>
      <c r="I278" s="2" t="s">
        <v>124</v>
      </c>
      <c r="J278" s="8">
        <f>+Tabla1[[#This Row],[FECHA ENTRADA]]</f>
        <v>45536</v>
      </c>
      <c r="K278" s="8">
        <v>45598</v>
      </c>
      <c r="L278" s="13">
        <f>_xlfn.DAYS(Tabla1[[#This Row],[FECHA FIN ]],Tabla1[[#This Row],[FECHA INICIO]])</f>
        <v>62</v>
      </c>
      <c r="M278" s="12"/>
      <c r="N278" s="12">
        <v>280.5</v>
      </c>
      <c r="O278" s="12">
        <f>(Tabla1[[#This Row],[COSTO FIJO ]]/30)*Tabla1[[#This Row],[TOTAL DIAS PROYECTO]]+(Tabla1[[#This Row],[COSTO TEMPORAL]])</f>
        <v>579.69999999999993</v>
      </c>
      <c r="P278" s="12"/>
      <c r="Q278" s="12">
        <f>+(Tabla1[[#This Row],[COSTO COCHE]]/30)*Tabla1[[#This Row],[TOTAL DIAS PROYECTO]]</f>
        <v>0</v>
      </c>
      <c r="R278" s="12">
        <f>+Tabla1[[#This Row],[COSTO TOTAL ALOJAMIENTO]]+Tabla1[[#This Row],[COSTO TOTAL COCHE]]</f>
        <v>579.69999999999993</v>
      </c>
      <c r="S278" s="2"/>
      <c r="T278" s="2" t="s">
        <v>35</v>
      </c>
      <c r="U278" s="14">
        <v>45536</v>
      </c>
      <c r="V278" s="14"/>
      <c r="W278" s="26"/>
      <c r="X278" s="2">
        <v>4</v>
      </c>
      <c r="Y278" s="11" t="s">
        <v>953</v>
      </c>
      <c r="Z278" s="2" t="s">
        <v>36</v>
      </c>
      <c r="AA278" s="13" t="s">
        <v>10364</v>
      </c>
      <c r="AB278" s="13" t="s">
        <v>10365</v>
      </c>
    </row>
    <row r="279" spans="1:28">
      <c r="A279" s="2" t="s">
        <v>8835</v>
      </c>
      <c r="B279" s="2" t="s">
        <v>28</v>
      </c>
      <c r="C279" s="11" t="s">
        <v>954</v>
      </c>
      <c r="D279" s="2" t="s">
        <v>30</v>
      </c>
      <c r="E279" s="2" t="s">
        <v>259</v>
      </c>
      <c r="F279" s="11" t="s">
        <v>260</v>
      </c>
      <c r="G279" s="11" t="s">
        <v>261</v>
      </c>
      <c r="H279" s="2" t="s">
        <v>902</v>
      </c>
      <c r="I279" s="2" t="s">
        <v>52</v>
      </c>
      <c r="J279" s="8">
        <f>+Tabla1[[#This Row],[FECHA ENTRADA]]</f>
        <v>45588</v>
      </c>
      <c r="K279" s="8">
        <v>45598</v>
      </c>
      <c r="L279" s="42">
        <f>_xlfn.DAYS(Tabla1[[#This Row],[FECHA FIN ]],Tabla1[[#This Row],[FECHA INICIO]])</f>
        <v>10</v>
      </c>
      <c r="M279" s="12"/>
      <c r="N279" s="12"/>
      <c r="O279" s="28">
        <f>(Tabla1[[#This Row],[COSTO FIJO ]]/30)*Tabla1[[#This Row],[TOTAL DIAS PROYECTO]]+(Tabla1[[#This Row],[COSTO TEMPORAL]])</f>
        <v>0</v>
      </c>
      <c r="P279" s="12"/>
      <c r="Q279" s="12">
        <f>+(Tabla1[[#This Row],[COSTO COCHE]]/30)*Tabla1[[#This Row],[TOTAL DIAS PROYECTO]]</f>
        <v>0</v>
      </c>
      <c r="R279" s="12">
        <f>+Tabla1[[#This Row],[COSTO TOTAL ALOJAMIENTO]]+Tabla1[[#This Row],[COSTO TOTAL COCHE]]</f>
        <v>0</v>
      </c>
      <c r="S279" s="2"/>
      <c r="T279" s="2" t="s">
        <v>35</v>
      </c>
      <c r="U279" s="14">
        <v>45588</v>
      </c>
      <c r="V279" s="43"/>
      <c r="W279" s="26"/>
      <c r="X279" s="2">
        <v>15</v>
      </c>
      <c r="Y279" s="11"/>
      <c r="Z279" s="2" t="s">
        <v>36</v>
      </c>
      <c r="AA279" s="13">
        <v>-0.87734000000000001</v>
      </c>
      <c r="AB279" s="13" t="s">
        <v>10359</v>
      </c>
    </row>
    <row r="280" spans="1:28">
      <c r="A280" s="2" t="s">
        <v>8836</v>
      </c>
      <c r="B280" s="2" t="s">
        <v>368</v>
      </c>
      <c r="C280" s="11" t="s">
        <v>955</v>
      </c>
      <c r="D280" s="2" t="s">
        <v>30</v>
      </c>
      <c r="E280" s="2" t="s">
        <v>422</v>
      </c>
      <c r="F280" s="11" t="s">
        <v>956</v>
      </c>
      <c r="G280" s="11" t="s">
        <v>957</v>
      </c>
      <c r="H280" s="2" t="s">
        <v>958</v>
      </c>
      <c r="I280" s="12" t="s">
        <v>959</v>
      </c>
      <c r="J280" s="8">
        <f>+Tabla1[[#This Row],[FECHA ENTRADA]]</f>
        <v>45487</v>
      </c>
      <c r="K280" s="8">
        <v>45569</v>
      </c>
      <c r="L280" s="13">
        <f>_xlfn.DAYS(Tabla1[[#This Row],[FECHA FIN ]],Tabla1[[#This Row],[FECHA INICIO]])</f>
        <v>82</v>
      </c>
      <c r="M280" s="12"/>
      <c r="N280" s="12">
        <v>312.5</v>
      </c>
      <c r="O280" s="12">
        <f>(Tabla1[[#This Row],[COSTO FIJO ]]/30)*Tabla1[[#This Row],[TOTAL DIAS PROYECTO]]+(Tabla1[[#This Row],[COSTO TEMPORAL]])</f>
        <v>854.16666666666663</v>
      </c>
      <c r="P280" s="12"/>
      <c r="Q280" s="12">
        <f>+(Tabla1[[#This Row],[COSTO COCHE]]/30)*Tabla1[[#This Row],[TOTAL DIAS PROYECTO]]</f>
        <v>0</v>
      </c>
      <c r="R280" s="12">
        <f>+Tabla1[[#This Row],[COSTO TOTAL ALOJAMIENTO]]+Tabla1[[#This Row],[COSTO TOTAL COCHE]]</f>
        <v>854.16666666666663</v>
      </c>
      <c r="S280" s="2"/>
      <c r="T280" s="2" t="s">
        <v>35</v>
      </c>
      <c r="U280" s="14">
        <v>45487</v>
      </c>
      <c r="V280" s="14"/>
      <c r="W280" s="26"/>
      <c r="X280" s="2">
        <v>1</v>
      </c>
      <c r="Y280" s="11" t="s">
        <v>960</v>
      </c>
      <c r="Z280" s="2" t="s">
        <v>36</v>
      </c>
      <c r="AA280" s="13">
        <v>-326.69799999999998</v>
      </c>
      <c r="AB280" s="13" t="s">
        <v>10373</v>
      </c>
    </row>
    <row r="281" spans="1:28" ht="15" customHeight="1">
      <c r="A281" s="2" t="s">
        <v>8837</v>
      </c>
      <c r="B281" s="2" t="s">
        <v>28</v>
      </c>
      <c r="C281" s="18" t="s">
        <v>961</v>
      </c>
      <c r="D281" s="2" t="s">
        <v>78</v>
      </c>
      <c r="E281" s="2" t="s">
        <v>266</v>
      </c>
      <c r="F281" s="11" t="s">
        <v>962</v>
      </c>
      <c r="G281" s="30" t="s">
        <v>963</v>
      </c>
      <c r="H281" s="2" t="s">
        <v>269</v>
      </c>
      <c r="I281" s="12" t="s">
        <v>270</v>
      </c>
      <c r="J281" s="8">
        <f>+Tabla1[[#This Row],[FECHA ENTRADA]]</f>
        <v>45416</v>
      </c>
      <c r="K281" s="8">
        <v>45603</v>
      </c>
      <c r="L281" s="13">
        <f>_xlfn.DAYS(Tabla1[[#This Row],[FECHA FIN ]],Tabla1[[#This Row],[FECHA INICIO]])</f>
        <v>187</v>
      </c>
      <c r="M281" s="12"/>
      <c r="N281" s="12">
        <v>393.33333333333331</v>
      </c>
      <c r="O281" s="12">
        <f>(Tabla1[[#This Row],[COSTO FIJO ]]/30)*Tabla1[[#This Row],[TOTAL DIAS PROYECTO]]+(Tabla1[[#This Row],[COSTO TEMPORAL]])</f>
        <v>2451.7777777777778</v>
      </c>
      <c r="P281" s="12">
        <f>749.09/4</f>
        <v>187.27250000000001</v>
      </c>
      <c r="Q281" s="12">
        <f>+(Tabla1[[#This Row],[COSTO COCHE]]/30)*Tabla1[[#This Row],[TOTAL DIAS PROYECTO]]</f>
        <v>1167.3319166666668</v>
      </c>
      <c r="R281" s="12">
        <f>+Tabla1[[#This Row],[COSTO TOTAL ALOJAMIENTO]]+Tabla1[[#This Row],[COSTO TOTAL COCHE]]</f>
        <v>3619.1096944444444</v>
      </c>
      <c r="S281" s="2" t="s">
        <v>84</v>
      </c>
      <c r="T281" s="2" t="s">
        <v>35</v>
      </c>
      <c r="U281" s="14">
        <v>45416</v>
      </c>
      <c r="V281" s="14">
        <v>45481</v>
      </c>
      <c r="W281" s="26"/>
      <c r="X281" s="2">
        <v>4</v>
      </c>
      <c r="Y281" s="11" t="s">
        <v>964</v>
      </c>
      <c r="Z281" s="2" t="s">
        <v>36</v>
      </c>
      <c r="AA281" s="13" t="s">
        <v>10360</v>
      </c>
      <c r="AB281" s="13" t="s">
        <v>10361</v>
      </c>
    </row>
    <row r="282" spans="1:28">
      <c r="A282" s="2" t="s">
        <v>8838</v>
      </c>
      <c r="B282" s="2" t="s">
        <v>28</v>
      </c>
      <c r="C282" s="18" t="s">
        <v>965</v>
      </c>
      <c r="D282" s="2" t="s">
        <v>30</v>
      </c>
      <c r="E282" s="2" t="s">
        <v>55</v>
      </c>
      <c r="F282" s="11" t="s">
        <v>231</v>
      </c>
      <c r="G282" s="11" t="s">
        <v>106</v>
      </c>
      <c r="H282" s="2" t="s">
        <v>966</v>
      </c>
      <c r="I282" s="2" t="s">
        <v>236</v>
      </c>
      <c r="J282" s="41">
        <f>+Tabla1[[#This Row],[FECHA ENTRADA]]</f>
        <v>45592</v>
      </c>
      <c r="K282" s="22">
        <v>45603</v>
      </c>
      <c r="L282" s="42">
        <f>_xlfn.DAYS(Tabla1[[#This Row],[FECHA FIN ]],Tabla1[[#This Row],[FECHA INICIO]])</f>
        <v>11</v>
      </c>
      <c r="M282" s="12"/>
      <c r="N282" s="28">
        <f>1500/3</f>
        <v>500</v>
      </c>
      <c r="O282" s="28">
        <f>(Tabla1[[#This Row],[COSTO FIJO ]]/30)*Tabla1[[#This Row],[TOTAL DIAS PROYECTO]]+(Tabla1[[#This Row],[COSTO TEMPORAL]])</f>
        <v>183.33333333333334</v>
      </c>
      <c r="P282" s="12"/>
      <c r="Q282" s="12">
        <f>+(Tabla1[[#This Row],[COSTO COCHE]]/30)*Tabla1[[#This Row],[TOTAL DIAS PROYECTO]]</f>
        <v>0</v>
      </c>
      <c r="R282" s="12">
        <f>+Tabla1[[#This Row],[COSTO TOTAL ALOJAMIENTO]]+Tabla1[[#This Row],[COSTO TOTAL COCHE]]</f>
        <v>183.33333333333334</v>
      </c>
      <c r="S282" s="2"/>
      <c r="T282" s="2" t="s">
        <v>613</v>
      </c>
      <c r="U282" s="14">
        <v>45592</v>
      </c>
      <c r="V282" s="43"/>
      <c r="W282" s="26"/>
      <c r="X282" s="2">
        <v>5</v>
      </c>
      <c r="Y282" s="11" t="s">
        <v>967</v>
      </c>
      <c r="Z282" s="2" t="s">
        <v>36</v>
      </c>
      <c r="AA282" s="13" t="s">
        <v>10327</v>
      </c>
      <c r="AB282" s="13" t="s">
        <v>10328</v>
      </c>
    </row>
    <row r="283" spans="1:28" ht="15" customHeight="1">
      <c r="A283" s="2" t="s">
        <v>8839</v>
      </c>
      <c r="B283" s="2" t="s">
        <v>28</v>
      </c>
      <c r="C283" s="18" t="s">
        <v>968</v>
      </c>
      <c r="D283" s="2" t="s">
        <v>30</v>
      </c>
      <c r="E283" s="2" t="s">
        <v>55</v>
      </c>
      <c r="F283" s="11" t="s">
        <v>231</v>
      </c>
      <c r="G283" s="11" t="s">
        <v>106</v>
      </c>
      <c r="H283" s="2" t="s">
        <v>966</v>
      </c>
      <c r="I283" s="2" t="s">
        <v>236</v>
      </c>
      <c r="J283" s="41">
        <f>+Tabla1[[#This Row],[FECHA ENTRADA]]</f>
        <v>45592</v>
      </c>
      <c r="K283" s="22">
        <v>45603</v>
      </c>
      <c r="L283" s="42">
        <f>_xlfn.DAYS(Tabla1[[#This Row],[FECHA FIN ]],Tabla1[[#This Row],[FECHA INICIO]])</f>
        <v>11</v>
      </c>
      <c r="M283" s="12"/>
      <c r="N283" s="28">
        <f>1500/3</f>
        <v>500</v>
      </c>
      <c r="O283" s="28">
        <f>(Tabla1[[#This Row],[COSTO FIJO ]]/30)*Tabla1[[#This Row],[TOTAL DIAS PROYECTO]]+(Tabla1[[#This Row],[COSTO TEMPORAL]])</f>
        <v>183.33333333333334</v>
      </c>
      <c r="P283" s="12"/>
      <c r="Q283" s="12">
        <f>+(Tabla1[[#This Row],[COSTO COCHE]]/30)*Tabla1[[#This Row],[TOTAL DIAS PROYECTO]]</f>
        <v>0</v>
      </c>
      <c r="R283" s="12">
        <f>+Tabla1[[#This Row],[COSTO TOTAL ALOJAMIENTO]]+Tabla1[[#This Row],[COSTO TOTAL COCHE]]</f>
        <v>183.33333333333334</v>
      </c>
      <c r="S283" s="2"/>
      <c r="T283" s="2" t="s">
        <v>613</v>
      </c>
      <c r="U283" s="14">
        <v>45592</v>
      </c>
      <c r="V283" s="43"/>
      <c r="W283" s="26"/>
      <c r="X283" s="2">
        <v>5</v>
      </c>
      <c r="Y283" s="11" t="s">
        <v>967</v>
      </c>
      <c r="Z283" s="2" t="s">
        <v>36</v>
      </c>
      <c r="AA283" s="13" t="s">
        <v>10327</v>
      </c>
      <c r="AB283" s="13" t="s">
        <v>10328</v>
      </c>
    </row>
    <row r="284" spans="1:28" ht="15" customHeight="1">
      <c r="A284" s="2" t="s">
        <v>8705</v>
      </c>
      <c r="B284" s="29" t="s">
        <v>368</v>
      </c>
      <c r="C284" s="11" t="s">
        <v>369</v>
      </c>
      <c r="D284" s="2" t="s">
        <v>30</v>
      </c>
      <c r="E284" s="2" t="s">
        <v>259</v>
      </c>
      <c r="F284" s="11" t="s">
        <v>691</v>
      </c>
      <c r="G284" s="11" t="s">
        <v>692</v>
      </c>
      <c r="H284" s="2" t="s">
        <v>969</v>
      </c>
      <c r="I284" s="12" t="s">
        <v>970</v>
      </c>
      <c r="J284" s="8">
        <f>+Tabla1[[#This Row],[FECHA ENTRADA]]</f>
        <v>45490</v>
      </c>
      <c r="K284" s="8">
        <v>45603</v>
      </c>
      <c r="L284" s="13">
        <f>_xlfn.DAYS(Tabla1[[#This Row],[FECHA FIN ]],Tabla1[[#This Row],[FECHA INICIO]])</f>
        <v>113</v>
      </c>
      <c r="M284" s="12"/>
      <c r="N284" s="12">
        <v>297.5</v>
      </c>
      <c r="O284" s="12">
        <f>(Tabla1[[#This Row],[COSTO FIJO ]]/30)*Tabla1[[#This Row],[TOTAL DIAS PROYECTO]]+(Tabla1[[#This Row],[COSTO TEMPORAL]])</f>
        <v>1120.5833333333333</v>
      </c>
      <c r="P284" s="12"/>
      <c r="Q284" s="12">
        <f>+(Tabla1[[#This Row],[COSTO COCHE]]/30)*Tabla1[[#This Row],[TOTAL DIAS PROYECTO]]</f>
        <v>0</v>
      </c>
      <c r="R284" s="12">
        <f>+Tabla1[[#This Row],[COSTO TOTAL ALOJAMIENTO]]+Tabla1[[#This Row],[COSTO TOTAL COCHE]]</f>
        <v>1120.5833333333333</v>
      </c>
      <c r="S284" s="2"/>
      <c r="T284" s="2" t="s">
        <v>35</v>
      </c>
      <c r="U284" s="14">
        <v>45490</v>
      </c>
      <c r="V284" s="14"/>
      <c r="W284" s="26"/>
      <c r="X284" s="2">
        <v>20</v>
      </c>
      <c r="Y284" s="31" t="s">
        <v>971</v>
      </c>
      <c r="Z284" s="2" t="s">
        <v>36</v>
      </c>
      <c r="AA284" s="13">
        <v>-0.87734000000000001</v>
      </c>
      <c r="AB284" s="13" t="s">
        <v>10359</v>
      </c>
    </row>
    <row r="285" spans="1:28" ht="15" customHeight="1">
      <c r="A285" s="2" t="s">
        <v>8753</v>
      </c>
      <c r="B285" s="2" t="s">
        <v>28</v>
      </c>
      <c r="C285" s="11" t="s">
        <v>598</v>
      </c>
      <c r="D285" s="2" t="s">
        <v>30</v>
      </c>
      <c r="E285" s="2" t="s">
        <v>55</v>
      </c>
      <c r="F285" s="11" t="s">
        <v>972</v>
      </c>
      <c r="G285" s="46" t="s">
        <v>973</v>
      </c>
      <c r="H285" s="2" t="s">
        <v>966</v>
      </c>
      <c r="I285" s="2" t="s">
        <v>236</v>
      </c>
      <c r="J285" s="41">
        <f>+Tabla1[[#This Row],[FECHA ENTRADA]]</f>
        <v>45592</v>
      </c>
      <c r="K285" s="8">
        <v>45603</v>
      </c>
      <c r="L285" s="42">
        <f>_xlfn.DAYS(Tabla1[[#This Row],[FECHA FIN ]],Tabla1[[#This Row],[FECHA INICIO]])</f>
        <v>11</v>
      </c>
      <c r="M285" s="12"/>
      <c r="N285" s="12"/>
      <c r="O285" s="28">
        <f>(Tabla1[[#This Row],[COSTO FIJO ]]/30)*Tabla1[[#This Row],[TOTAL DIAS PROYECTO]]+(Tabla1[[#This Row],[COSTO TEMPORAL]])</f>
        <v>0</v>
      </c>
      <c r="P285" s="12"/>
      <c r="Q285" s="12">
        <f>+(Tabla1[[#This Row],[COSTO COCHE]]/30)*Tabla1[[#This Row],[TOTAL DIAS PROYECTO]]</f>
        <v>0</v>
      </c>
      <c r="R285" s="12">
        <f>+Tabla1[[#This Row],[COSTO TOTAL ALOJAMIENTO]]+Tabla1[[#This Row],[COSTO TOTAL COCHE]]</f>
        <v>0</v>
      </c>
      <c r="S285" s="2"/>
      <c r="T285" s="2" t="s">
        <v>35</v>
      </c>
      <c r="U285" s="14">
        <v>45592</v>
      </c>
      <c r="V285" s="43"/>
      <c r="W285" s="26"/>
      <c r="X285" s="2">
        <v>25</v>
      </c>
      <c r="Y285" s="11"/>
      <c r="Z285" s="2" t="s">
        <v>36</v>
      </c>
      <c r="AA285" s="13" t="s">
        <v>10327</v>
      </c>
      <c r="AB285" s="13" t="s">
        <v>10328</v>
      </c>
    </row>
    <row r="286" spans="1:28">
      <c r="A286" s="2" t="s">
        <v>8840</v>
      </c>
      <c r="B286" s="2" t="s">
        <v>28</v>
      </c>
      <c r="C286" s="18" t="s">
        <v>974</v>
      </c>
      <c r="D286" s="2" t="s">
        <v>30</v>
      </c>
      <c r="E286" s="2" t="s">
        <v>109</v>
      </c>
      <c r="F286" s="11" t="s">
        <v>898</v>
      </c>
      <c r="G286" s="30" t="s">
        <v>899</v>
      </c>
      <c r="H286" s="2" t="s">
        <v>900</v>
      </c>
      <c r="I286" s="2" t="s">
        <v>52</v>
      </c>
      <c r="J286" s="8">
        <f>+Tabla1[[#This Row],[FECHA ENTRADA]]</f>
        <v>45474</v>
      </c>
      <c r="K286" s="8">
        <v>45587</v>
      </c>
      <c r="L286" s="13">
        <f>_xlfn.DAYS(Tabla1[[#This Row],[FECHA FIN ]],Tabla1[[#This Row],[FECHA INICIO]])</f>
        <v>113</v>
      </c>
      <c r="M286" s="12">
        <f>558.64+124.37+70</f>
        <v>753.01</v>
      </c>
      <c r="N286" s="12">
        <v>357.14285714285717</v>
      </c>
      <c r="O286" s="12">
        <f>(Tabla1[[#This Row],[COSTO FIJO ]]/30)*Tabla1[[#This Row],[TOTAL DIAS PROYECTO]]+(Tabla1[[#This Row],[COSTO TEMPORAL]])</f>
        <v>2098.2480952380952</v>
      </c>
      <c r="P286" s="12"/>
      <c r="Q286" s="12">
        <f>+(Tabla1[[#This Row],[COSTO COCHE]]/30)*Tabla1[[#This Row],[TOTAL DIAS PROYECTO]]</f>
        <v>0</v>
      </c>
      <c r="R286" s="12">
        <f>+Tabla1[[#This Row],[COSTO TOTAL ALOJAMIENTO]]+Tabla1[[#This Row],[COSTO TOTAL COCHE]]</f>
        <v>2098.2480952380952</v>
      </c>
      <c r="S286" s="2"/>
      <c r="T286" s="2" t="s">
        <v>35</v>
      </c>
      <c r="U286" s="14">
        <v>45474</v>
      </c>
      <c r="V286" s="8"/>
      <c r="W286" s="26"/>
      <c r="X286" s="2">
        <v>1</v>
      </c>
      <c r="Y286" s="11" t="s">
        <v>901</v>
      </c>
      <c r="Z286" s="2" t="s">
        <v>36</v>
      </c>
      <c r="AA286" s="13">
        <v>0.62217999999999996</v>
      </c>
      <c r="AB286" s="13" t="s">
        <v>10339</v>
      </c>
    </row>
    <row r="287" spans="1:28">
      <c r="A287" s="2" t="s">
        <v>8841</v>
      </c>
      <c r="B287" s="2" t="s">
        <v>28</v>
      </c>
      <c r="C287" s="18" t="s">
        <v>975</v>
      </c>
      <c r="D287" s="2" t="s">
        <v>749</v>
      </c>
      <c r="E287" s="2" t="s">
        <v>288</v>
      </c>
      <c r="F287" s="11" t="s">
        <v>976</v>
      </c>
      <c r="G287" s="30" t="s">
        <v>156</v>
      </c>
      <c r="H287" s="2" t="s">
        <v>929</v>
      </c>
      <c r="I287" s="29" t="s">
        <v>753</v>
      </c>
      <c r="J287" s="8">
        <f>+Tabla1[[#This Row],[FECHA ENTRADA]]</f>
        <v>45487</v>
      </c>
      <c r="K287" s="8">
        <v>45596</v>
      </c>
      <c r="L287" s="13">
        <f>_xlfn.DAYS(Tabla1[[#This Row],[FECHA FIN ]],Tabla1[[#This Row],[FECHA INICIO]])</f>
        <v>109</v>
      </c>
      <c r="M287" s="12"/>
      <c r="N287" s="12">
        <v>400</v>
      </c>
      <c r="O287" s="12">
        <f>(Tabla1[[#This Row],[COSTO FIJO ]]/30)*Tabla1[[#This Row],[TOTAL DIAS PROYECTO]]+(Tabla1[[#This Row],[COSTO TEMPORAL]])</f>
        <v>1453.3333333333335</v>
      </c>
      <c r="P287" s="12">
        <f>8180.25/45</f>
        <v>181.78333333333333</v>
      </c>
      <c r="Q287" s="12">
        <f>+(Tabla1[[#This Row],[COSTO COCHE]]/30)*Tabla1[[#This Row],[TOTAL DIAS PROYECTO]]</f>
        <v>660.47944444444443</v>
      </c>
      <c r="R287" s="12">
        <f>+Tabla1[[#This Row],[COSTO TOTAL ALOJAMIENTO]]+Tabla1[[#This Row],[COSTO TOTAL COCHE]]</f>
        <v>2113.8127777777781</v>
      </c>
      <c r="S287" s="2"/>
      <c r="T287" s="2" t="s">
        <v>35</v>
      </c>
      <c r="U287" s="14">
        <v>45487</v>
      </c>
      <c r="V287" s="14"/>
      <c r="W287" s="26"/>
      <c r="X287" s="2">
        <v>1</v>
      </c>
      <c r="Y287" s="11"/>
      <c r="Z287" s="2" t="s">
        <v>36</v>
      </c>
      <c r="AA287" s="13" t="s">
        <v>10362</v>
      </c>
      <c r="AB287" s="13" t="s">
        <v>10363</v>
      </c>
    </row>
    <row r="288" spans="1:28">
      <c r="A288" s="2" t="s">
        <v>8842</v>
      </c>
      <c r="B288" s="2" t="s">
        <v>28</v>
      </c>
      <c r="C288" s="11" t="s">
        <v>977</v>
      </c>
      <c r="D288" s="2" t="s">
        <v>749</v>
      </c>
      <c r="E288" s="2" t="s">
        <v>288</v>
      </c>
      <c r="F288" s="11" t="s">
        <v>928</v>
      </c>
      <c r="G288" s="30" t="s">
        <v>156</v>
      </c>
      <c r="H288" s="2" t="s">
        <v>929</v>
      </c>
      <c r="I288" s="29" t="s">
        <v>753</v>
      </c>
      <c r="J288" s="8">
        <f>+Tabla1[[#This Row],[FECHA ENTRADA]]</f>
        <v>45487</v>
      </c>
      <c r="K288" s="8">
        <v>45596</v>
      </c>
      <c r="L288" s="13">
        <f>_xlfn.DAYS(Tabla1[[#This Row],[FECHA FIN ]],Tabla1[[#This Row],[FECHA INICIO]])</f>
        <v>109</v>
      </c>
      <c r="M288" s="12"/>
      <c r="N288" s="12">
        <v>436.43</v>
      </c>
      <c r="O288" s="12">
        <f>(Tabla1[[#This Row],[COSTO FIJO ]]/30)*Tabla1[[#This Row],[TOTAL DIAS PROYECTO]]+(Tabla1[[#This Row],[COSTO TEMPORAL]])</f>
        <v>1585.6956666666667</v>
      </c>
      <c r="P288" s="12">
        <f>8180.25/45</f>
        <v>181.78333333333333</v>
      </c>
      <c r="Q288" s="12">
        <f>+(Tabla1[[#This Row],[COSTO COCHE]]/30)*Tabla1[[#This Row],[TOTAL DIAS PROYECTO]]</f>
        <v>660.47944444444443</v>
      </c>
      <c r="R288" s="12">
        <f>+Tabla1[[#This Row],[COSTO TOTAL ALOJAMIENTO]]+Tabla1[[#This Row],[COSTO TOTAL COCHE]]</f>
        <v>2246.1751111111112</v>
      </c>
      <c r="S288" s="2"/>
      <c r="T288" s="2" t="s">
        <v>35</v>
      </c>
      <c r="U288" s="14">
        <v>45487</v>
      </c>
      <c r="V288" s="14"/>
      <c r="W288" s="26"/>
      <c r="X288" s="2">
        <v>1</v>
      </c>
      <c r="Y288" s="11"/>
      <c r="Z288" s="2" t="s">
        <v>36</v>
      </c>
      <c r="AA288" s="13" t="s">
        <v>10362</v>
      </c>
      <c r="AB288" s="13" t="s">
        <v>10363</v>
      </c>
    </row>
    <row r="289" spans="1:28">
      <c r="A289" s="2" t="s">
        <v>8843</v>
      </c>
      <c r="B289" s="29" t="s">
        <v>978</v>
      </c>
      <c r="C289" s="11" t="s">
        <v>979</v>
      </c>
      <c r="D289" s="2" t="s">
        <v>30</v>
      </c>
      <c r="E289" s="2" t="s">
        <v>253</v>
      </c>
      <c r="F289" s="11" t="s">
        <v>980</v>
      </c>
      <c r="G289" s="46" t="s">
        <v>981</v>
      </c>
      <c r="H289" s="2" t="s">
        <v>982</v>
      </c>
      <c r="I289" s="2" t="s">
        <v>256</v>
      </c>
      <c r="J289" s="41">
        <f>+Tabla1[[#This Row],[FECHA ENTRADA]]</f>
        <v>45585</v>
      </c>
      <c r="K289" s="8">
        <v>45604</v>
      </c>
      <c r="L289" s="42">
        <f>_xlfn.DAYS(Tabla1[[#This Row],[FECHA FIN ]],Tabla1[[#This Row],[FECHA INICIO]])</f>
        <v>19</v>
      </c>
      <c r="M289" s="12"/>
      <c r="N289" s="12"/>
      <c r="O289" s="28">
        <f>(Tabla1[[#This Row],[COSTO FIJO ]]/30)*Tabla1[[#This Row],[TOTAL DIAS PROYECTO]]+(Tabla1[[#This Row],[COSTO TEMPORAL]])</f>
        <v>0</v>
      </c>
      <c r="P289" s="12"/>
      <c r="Q289" s="12">
        <f>+(Tabla1[[#This Row],[COSTO COCHE]]/30)*Tabla1[[#This Row],[TOTAL DIAS PROYECTO]]</f>
        <v>0</v>
      </c>
      <c r="R289" s="12">
        <f>+Tabla1[[#This Row],[COSTO TOTAL ALOJAMIENTO]]+Tabla1[[#This Row],[COSTO TOTAL COCHE]]</f>
        <v>0</v>
      </c>
      <c r="S289" s="2"/>
      <c r="T289" s="2" t="s">
        <v>35</v>
      </c>
      <c r="U289" s="14">
        <v>45585</v>
      </c>
      <c r="V289" s="43"/>
      <c r="W289" s="26"/>
      <c r="X289" s="2">
        <v>24</v>
      </c>
      <c r="Y289" s="11" t="s">
        <v>983</v>
      </c>
      <c r="Z289" s="2" t="s">
        <v>36</v>
      </c>
      <c r="AA289" s="13" t="s">
        <v>10357</v>
      </c>
      <c r="AB289" s="13" t="s">
        <v>10358</v>
      </c>
    </row>
    <row r="290" spans="1:28">
      <c r="A290" s="2" t="s">
        <v>8844</v>
      </c>
      <c r="B290" s="2" t="s">
        <v>368</v>
      </c>
      <c r="C290" s="11" t="s">
        <v>984</v>
      </c>
      <c r="D290" s="2" t="s">
        <v>30</v>
      </c>
      <c r="E290" s="2" t="s">
        <v>985</v>
      </c>
      <c r="F290" s="11" t="s">
        <v>986</v>
      </c>
      <c r="G290" s="21" t="s">
        <v>987</v>
      </c>
      <c r="H290" s="2" t="s">
        <v>988</v>
      </c>
      <c r="I290" s="12" t="s">
        <v>989</v>
      </c>
      <c r="J290" s="22">
        <f>+Tabla1[[#This Row],[FECHA ENTRADA]]</f>
        <v>45578</v>
      </c>
      <c r="K290" s="22">
        <v>45604</v>
      </c>
      <c r="L290" s="23">
        <f>_xlfn.DAYS(Tabla1[[#This Row],[FECHA FIN ]],Tabla1[[#This Row],[FECHA INICIO]])</f>
        <v>26</v>
      </c>
      <c r="M290" s="12"/>
      <c r="N290" s="12"/>
      <c r="O290" s="24">
        <f>(Tabla1[[#This Row],[COSTO FIJO ]]/30)*Tabla1[[#This Row],[TOTAL DIAS PROYECTO]]+(Tabla1[[#This Row],[COSTO TEMPORAL]])</f>
        <v>0</v>
      </c>
      <c r="P290" s="12"/>
      <c r="Q290" s="12">
        <f>+(Tabla1[[#This Row],[COSTO COCHE]]/30)*Tabla1[[#This Row],[TOTAL DIAS PROYECTO]]</f>
        <v>0</v>
      </c>
      <c r="R290" s="12">
        <f>+Tabla1[[#This Row],[COSTO TOTAL ALOJAMIENTO]]+Tabla1[[#This Row],[COSTO TOTAL COCHE]]</f>
        <v>0</v>
      </c>
      <c r="S290" s="2"/>
      <c r="T290" s="2" t="s">
        <v>35</v>
      </c>
      <c r="U290" s="14">
        <v>45578</v>
      </c>
      <c r="V290" s="79"/>
      <c r="W290" s="26">
        <v>650</v>
      </c>
      <c r="X290" s="2">
        <v>30</v>
      </c>
      <c r="Y290" s="67" t="s">
        <v>990</v>
      </c>
      <c r="Z290" s="2" t="s">
        <v>36</v>
      </c>
      <c r="AA290" s="13" t="s">
        <v>10407</v>
      </c>
      <c r="AB290" s="13" t="s">
        <v>10408</v>
      </c>
    </row>
    <row r="291" spans="1:28" ht="15" customHeight="1">
      <c r="A291" s="2" t="s">
        <v>8638</v>
      </c>
      <c r="B291" s="2" t="s">
        <v>28</v>
      </c>
      <c r="C291" s="18" t="s">
        <v>352</v>
      </c>
      <c r="D291" s="2" t="s">
        <v>30</v>
      </c>
      <c r="E291" s="2" t="s">
        <v>109</v>
      </c>
      <c r="F291" s="11" t="s">
        <v>898</v>
      </c>
      <c r="G291" s="30" t="s">
        <v>899</v>
      </c>
      <c r="H291" s="2" t="s">
        <v>900</v>
      </c>
      <c r="I291" s="2" t="s">
        <v>52</v>
      </c>
      <c r="J291" s="8">
        <f>+Tabla1[[#This Row],[FECHA ENTRADA]]</f>
        <v>45474</v>
      </c>
      <c r="K291" s="8">
        <v>45587</v>
      </c>
      <c r="L291" s="13">
        <f>_xlfn.DAYS(Tabla1[[#This Row],[FECHA FIN ]],Tabla1[[#This Row],[FECHA INICIO]])</f>
        <v>113</v>
      </c>
      <c r="M291" s="12">
        <f>558.64+124.37+70</f>
        <v>753.01</v>
      </c>
      <c r="N291" s="12">
        <v>357.14285714285717</v>
      </c>
      <c r="O291" s="12">
        <f>(Tabla1[[#This Row],[COSTO FIJO ]]/30)*Tabla1[[#This Row],[TOTAL DIAS PROYECTO]]+(Tabla1[[#This Row],[COSTO TEMPORAL]])</f>
        <v>2098.2480952380952</v>
      </c>
      <c r="P291" s="12"/>
      <c r="Q291" s="12">
        <f>+(Tabla1[[#This Row],[COSTO COCHE]]/30)*Tabla1[[#This Row],[TOTAL DIAS PROYECTO]]</f>
        <v>0</v>
      </c>
      <c r="R291" s="12">
        <f>+Tabla1[[#This Row],[COSTO TOTAL ALOJAMIENTO]]+Tabla1[[#This Row],[COSTO TOTAL COCHE]]</f>
        <v>2098.2480952380952</v>
      </c>
      <c r="S291" s="2"/>
      <c r="T291" s="2" t="s">
        <v>35</v>
      </c>
      <c r="U291" s="14">
        <v>45474</v>
      </c>
      <c r="V291" s="8"/>
      <c r="W291" s="26"/>
      <c r="X291" s="2">
        <v>1</v>
      </c>
      <c r="Y291" s="11" t="s">
        <v>991</v>
      </c>
      <c r="Z291" s="2" t="s">
        <v>36</v>
      </c>
      <c r="AA291" s="13">
        <v>0.62217999999999996</v>
      </c>
      <c r="AB291" s="13" t="s">
        <v>10339</v>
      </c>
    </row>
    <row r="292" spans="1:28">
      <c r="A292" s="2" t="s">
        <v>8845</v>
      </c>
      <c r="B292" s="2" t="s">
        <v>28</v>
      </c>
      <c r="C292" s="11" t="s">
        <v>992</v>
      </c>
      <c r="D292" s="2" t="s">
        <v>30</v>
      </c>
      <c r="E292" s="2" t="s">
        <v>87</v>
      </c>
      <c r="F292" s="11"/>
      <c r="G292" s="11"/>
      <c r="H292" s="2" t="s">
        <v>993</v>
      </c>
      <c r="I292" s="12" t="s">
        <v>994</v>
      </c>
      <c r="J292" s="8">
        <f>+Tabla1[[#This Row],[FECHA ENTRADA]]</f>
        <v>45469</v>
      </c>
      <c r="K292" s="22">
        <v>45608</v>
      </c>
      <c r="L292" s="13">
        <f>_xlfn.DAYS(Tabla1[[#This Row],[FECHA FIN ]],Tabla1[[#This Row],[FECHA INICIO]])</f>
        <v>139</v>
      </c>
      <c r="M292" s="12"/>
      <c r="N292" s="12">
        <v>300</v>
      </c>
      <c r="O292" s="12">
        <f>(Tabla1[[#This Row],[COSTO FIJO ]]/30)*Tabla1[[#This Row],[TOTAL DIAS PROYECTO]]+(Tabla1[[#This Row],[COSTO TEMPORAL]])</f>
        <v>1390</v>
      </c>
      <c r="P292" s="12"/>
      <c r="Q292" s="12">
        <f>+(Tabla1[[#This Row],[COSTO COCHE]]/30)*Tabla1[[#This Row],[TOTAL DIAS PROYECTO]]</f>
        <v>0</v>
      </c>
      <c r="R292" s="12">
        <f>+Tabla1[[#This Row],[COSTO TOTAL ALOJAMIENTO]]+Tabla1[[#This Row],[COSTO TOTAL COCHE]]</f>
        <v>1390</v>
      </c>
      <c r="S292" s="2"/>
      <c r="T292" s="2" t="s">
        <v>58</v>
      </c>
      <c r="U292" s="14">
        <v>45469</v>
      </c>
      <c r="V292" s="14"/>
      <c r="W292" s="26"/>
      <c r="X292" s="2"/>
      <c r="Y292" s="11" t="s">
        <v>995</v>
      </c>
      <c r="Z292" s="2" t="s">
        <v>36</v>
      </c>
      <c r="AA292" s="13" t="s">
        <v>10335</v>
      </c>
      <c r="AB292" s="13">
        <v>404.16500000000002</v>
      </c>
    </row>
    <row r="293" spans="1:28">
      <c r="A293" s="2" t="s">
        <v>8710</v>
      </c>
      <c r="B293" s="2" t="s">
        <v>368</v>
      </c>
      <c r="C293" s="11" t="s">
        <v>399</v>
      </c>
      <c r="D293" s="2" t="s">
        <v>30</v>
      </c>
      <c r="E293" s="2" t="s">
        <v>213</v>
      </c>
      <c r="F293" s="11" t="s">
        <v>996</v>
      </c>
      <c r="G293" s="11" t="s">
        <v>997</v>
      </c>
      <c r="H293" s="2" t="s">
        <v>998</v>
      </c>
      <c r="I293" s="12" t="s">
        <v>514</v>
      </c>
      <c r="J293" s="8">
        <f>+Tabla1[[#This Row],[FECHA ENTRADA]]</f>
        <v>45529</v>
      </c>
      <c r="K293" s="8">
        <v>45609</v>
      </c>
      <c r="L293" s="13">
        <f>_xlfn.DAYS(Tabla1[[#This Row],[FECHA FIN ]],Tabla1[[#This Row],[FECHA INICIO]])</f>
        <v>80</v>
      </c>
      <c r="M293" s="12"/>
      <c r="N293" s="12"/>
      <c r="O293" s="12">
        <f>(Tabla1[[#This Row],[COSTO FIJO ]]/30)*Tabla1[[#This Row],[TOTAL DIAS PROYECTO]]+(Tabla1[[#This Row],[COSTO TEMPORAL]])</f>
        <v>0</v>
      </c>
      <c r="P293" s="12">
        <f>((800+651.96)*50%)/10</f>
        <v>72.597999999999999</v>
      </c>
      <c r="Q293" s="12">
        <f>+(Tabla1[[#This Row],[COSTO COCHE]]/30)*Tabla1[[#This Row],[TOTAL DIAS PROYECTO]]</f>
        <v>193.59466666666665</v>
      </c>
      <c r="R293" s="12">
        <f>+Tabla1[[#This Row],[COSTO TOTAL ALOJAMIENTO]]+Tabla1[[#This Row],[COSTO TOTAL COCHE]]</f>
        <v>193.59466666666665</v>
      </c>
      <c r="S293" s="2"/>
      <c r="T293" s="2" t="s">
        <v>35</v>
      </c>
      <c r="U293" s="14">
        <v>45529</v>
      </c>
      <c r="V293" s="8"/>
      <c r="W293" s="26"/>
      <c r="X293" s="2">
        <v>1</v>
      </c>
      <c r="Y293" s="11" t="s">
        <v>999</v>
      </c>
      <c r="Z293" s="2" t="s">
        <v>36</v>
      </c>
      <c r="AA293" s="13" t="s">
        <v>10349</v>
      </c>
      <c r="AB293" s="13" t="s">
        <v>10350</v>
      </c>
    </row>
    <row r="294" spans="1:28" ht="15" customHeight="1">
      <c r="A294" s="2" t="s">
        <v>8846</v>
      </c>
      <c r="B294" s="2" t="s">
        <v>28</v>
      </c>
      <c r="C294" s="18" t="s">
        <v>1000</v>
      </c>
      <c r="D294" s="2" t="s">
        <v>749</v>
      </c>
      <c r="E294" s="2" t="s">
        <v>288</v>
      </c>
      <c r="F294" s="11" t="s">
        <v>976</v>
      </c>
      <c r="G294" s="30" t="s">
        <v>156</v>
      </c>
      <c r="H294" s="2" t="s">
        <v>929</v>
      </c>
      <c r="I294" s="29" t="s">
        <v>753</v>
      </c>
      <c r="J294" s="8">
        <f>+Tabla1[[#This Row],[FECHA ENTRADA]]</f>
        <v>45487</v>
      </c>
      <c r="K294" s="8">
        <v>45604</v>
      </c>
      <c r="L294" s="13">
        <f>_xlfn.DAYS(Tabla1[[#This Row],[FECHA FIN ]],Tabla1[[#This Row],[FECHA INICIO]])</f>
        <v>117</v>
      </c>
      <c r="M294" s="12"/>
      <c r="N294" s="12">
        <v>400</v>
      </c>
      <c r="O294" s="12">
        <f>(Tabla1[[#This Row],[COSTO FIJO ]]/30)*Tabla1[[#This Row],[TOTAL DIAS PROYECTO]]+(Tabla1[[#This Row],[COSTO TEMPORAL]])</f>
        <v>1560</v>
      </c>
      <c r="P294" s="12">
        <f>8180.25/45</f>
        <v>181.78333333333333</v>
      </c>
      <c r="Q294" s="12">
        <f>+(Tabla1[[#This Row],[COSTO COCHE]]/30)*Tabla1[[#This Row],[TOTAL DIAS PROYECTO]]</f>
        <v>708.95499999999993</v>
      </c>
      <c r="R294" s="12">
        <f>+Tabla1[[#This Row],[COSTO TOTAL ALOJAMIENTO]]+Tabla1[[#This Row],[COSTO TOTAL COCHE]]</f>
        <v>2268.9549999999999</v>
      </c>
      <c r="S294" s="2"/>
      <c r="T294" s="2" t="s">
        <v>35</v>
      </c>
      <c r="U294" s="14">
        <v>45487</v>
      </c>
      <c r="V294" s="14"/>
      <c r="W294" s="26"/>
      <c r="X294" s="2">
        <v>1</v>
      </c>
      <c r="Y294" s="11"/>
      <c r="Z294" s="2" t="s">
        <v>36</v>
      </c>
      <c r="AA294" s="13" t="s">
        <v>10362</v>
      </c>
      <c r="AB294" s="13" t="s">
        <v>10363</v>
      </c>
    </row>
    <row r="295" spans="1:28" ht="15" customHeight="1">
      <c r="A295" s="2" t="s">
        <v>8847</v>
      </c>
      <c r="B295" s="2" t="s">
        <v>28</v>
      </c>
      <c r="C295" s="11" t="s">
        <v>1001</v>
      </c>
      <c r="D295" s="2" t="s">
        <v>30</v>
      </c>
      <c r="E295" s="2" t="s">
        <v>31</v>
      </c>
      <c r="F295" s="11" t="s">
        <v>715</v>
      </c>
      <c r="G295" s="11" t="s">
        <v>716</v>
      </c>
      <c r="H295" s="2" t="s">
        <v>729</v>
      </c>
      <c r="I295" s="12" t="s">
        <v>527</v>
      </c>
      <c r="J295" s="8">
        <f>+Tabla1[[#This Row],[FECHA ENTRADA]]</f>
        <v>45496</v>
      </c>
      <c r="K295" s="8">
        <v>45558</v>
      </c>
      <c r="L295" s="13">
        <f>_xlfn.DAYS(Tabla1[[#This Row],[FECHA FIN ]],Tabla1[[#This Row],[FECHA INICIO]])</f>
        <v>62</v>
      </c>
      <c r="M295" s="12"/>
      <c r="N295" s="12">
        <v>160</v>
      </c>
      <c r="O295" s="12">
        <f>(Tabla1[[#This Row],[COSTO FIJO ]]/30)*Tabla1[[#This Row],[TOTAL DIAS PROYECTO]]+(Tabla1[[#This Row],[COSTO TEMPORAL]])</f>
        <v>330.66666666666663</v>
      </c>
      <c r="P295" s="12">
        <f>+(((800*3)+520.54)*50%)/19</f>
        <v>76.856315789473683</v>
      </c>
      <c r="Q295" s="12">
        <f>+(Tabla1[[#This Row],[COSTO COCHE]]/30)*Tabla1[[#This Row],[TOTAL DIAS PROYECTO]]</f>
        <v>158.8363859649123</v>
      </c>
      <c r="R295" s="12">
        <f>+Tabla1[[#This Row],[COSTO TOTAL ALOJAMIENTO]]+Tabla1[[#This Row],[COSTO TOTAL COCHE]]</f>
        <v>489.50305263157895</v>
      </c>
      <c r="S295" s="2"/>
      <c r="T295" s="2" t="s">
        <v>35</v>
      </c>
      <c r="U295" s="14">
        <v>45496</v>
      </c>
      <c r="V295" s="14"/>
      <c r="W295" s="26"/>
      <c r="X295" s="2">
        <v>1</v>
      </c>
      <c r="Y295" s="11" t="s">
        <v>1002</v>
      </c>
      <c r="Z295" s="2" t="s">
        <v>36</v>
      </c>
      <c r="AA295" s="13" t="s">
        <v>10323</v>
      </c>
      <c r="AB295" s="13" t="s">
        <v>10324</v>
      </c>
    </row>
    <row r="296" spans="1:28" ht="15" customHeight="1">
      <c r="A296" s="2" t="s">
        <v>8848</v>
      </c>
      <c r="B296" s="2" t="s">
        <v>28</v>
      </c>
      <c r="C296" s="18" t="s">
        <v>1003</v>
      </c>
      <c r="D296" s="2" t="s">
        <v>30</v>
      </c>
      <c r="E296" s="2" t="s">
        <v>31</v>
      </c>
      <c r="F296" s="11" t="s">
        <v>1004</v>
      </c>
      <c r="G296" s="51" t="s">
        <v>1005</v>
      </c>
      <c r="H296" s="2" t="s">
        <v>526</v>
      </c>
      <c r="I296" s="12" t="s">
        <v>527</v>
      </c>
      <c r="J296" s="8">
        <f>+Tabla1[[#This Row],[FECHA ENTRADA]]</f>
        <v>45502</v>
      </c>
      <c r="K296" s="8">
        <v>45611</v>
      </c>
      <c r="L296" s="13">
        <f>_xlfn.DAYS(Tabla1[[#This Row],[FECHA FIN ]],Tabla1[[#This Row],[FECHA INICIO]])</f>
        <v>109</v>
      </c>
      <c r="M296" s="12">
        <v>173</v>
      </c>
      <c r="N296" s="12">
        <v>320</v>
      </c>
      <c r="O296" s="12">
        <f>(Tabla1[[#This Row],[COSTO FIJO ]]/30)*Tabla1[[#This Row],[TOTAL DIAS PROYECTO]]+(Tabla1[[#This Row],[COSTO TEMPORAL]])</f>
        <v>1335.6666666666665</v>
      </c>
      <c r="P296" s="12">
        <f>+(((800*3)+520.54)*50%)/19</f>
        <v>76.856315789473683</v>
      </c>
      <c r="Q296" s="12">
        <f>+(Tabla1[[#This Row],[COSTO COCHE]]/30)*Tabla1[[#This Row],[TOTAL DIAS PROYECTO]]</f>
        <v>279.24461403508775</v>
      </c>
      <c r="R296" s="12">
        <f>+Tabla1[[#This Row],[COSTO TOTAL ALOJAMIENTO]]+Tabla1[[#This Row],[COSTO TOTAL COCHE]]</f>
        <v>1614.9112807017543</v>
      </c>
      <c r="S296" s="2"/>
      <c r="T296" s="2" t="s">
        <v>35</v>
      </c>
      <c r="U296" s="14">
        <v>45502</v>
      </c>
      <c r="V296" s="14"/>
      <c r="W296" s="26"/>
      <c r="X296" s="2">
        <v>1</v>
      </c>
      <c r="Y296" s="11" t="s">
        <v>1006</v>
      </c>
      <c r="Z296" s="2" t="s">
        <v>36</v>
      </c>
      <c r="AA296" s="13" t="s">
        <v>10323</v>
      </c>
      <c r="AB296" s="13" t="s">
        <v>10324</v>
      </c>
    </row>
    <row r="297" spans="1:28">
      <c r="A297" s="2" t="s">
        <v>8750</v>
      </c>
      <c r="B297" s="2" t="s">
        <v>28</v>
      </c>
      <c r="C297" s="11" t="s">
        <v>587</v>
      </c>
      <c r="D297" s="2" t="s">
        <v>30</v>
      </c>
      <c r="E297" s="2" t="s">
        <v>608</v>
      </c>
      <c r="F297" s="11" t="s">
        <v>1007</v>
      </c>
      <c r="G297" s="11" t="s">
        <v>1008</v>
      </c>
      <c r="H297" s="2" t="s">
        <v>1009</v>
      </c>
      <c r="I297" s="36" t="s">
        <v>34</v>
      </c>
      <c r="J297" s="41">
        <v>45558</v>
      </c>
      <c r="K297" s="8">
        <v>45611</v>
      </c>
      <c r="L297" s="42">
        <f>_xlfn.DAYS(Tabla1[[#This Row],[FECHA FIN ]],Tabla1[[#This Row],[FECHA INICIO]])</f>
        <v>53</v>
      </c>
      <c r="M297" s="12"/>
      <c r="N297" s="12">
        <v>300</v>
      </c>
      <c r="O297" s="28">
        <f>(Tabla1[[#This Row],[COSTO FIJO ]]/30)*Tabla1[[#This Row],[TOTAL DIAS PROYECTO]]+(Tabla1[[#This Row],[COSTO TEMPORAL]])</f>
        <v>530</v>
      </c>
      <c r="P297" s="12"/>
      <c r="Q297" s="12">
        <f>+(Tabla1[[#This Row],[COSTO COCHE]]/30)*Tabla1[[#This Row],[TOTAL DIAS PROYECTO]]</f>
        <v>0</v>
      </c>
      <c r="R297" s="12">
        <f>+Tabla1[[#This Row],[COSTO TOTAL ALOJAMIENTO]]+Tabla1[[#This Row],[COSTO TOTAL COCHE]]</f>
        <v>530</v>
      </c>
      <c r="S297" s="2"/>
      <c r="T297" s="2" t="s">
        <v>35</v>
      </c>
      <c r="U297" s="14">
        <v>45558</v>
      </c>
      <c r="V297" s="75"/>
      <c r="W297" s="26">
        <v>300</v>
      </c>
      <c r="X297" s="2">
        <v>21</v>
      </c>
      <c r="Y297" s="11"/>
      <c r="Z297" s="2" t="s">
        <v>36</v>
      </c>
      <c r="AA297" s="13" t="s">
        <v>10383</v>
      </c>
      <c r="AB297" s="13" t="s">
        <v>10384</v>
      </c>
    </row>
    <row r="298" spans="1:28">
      <c r="A298" s="2" t="s">
        <v>8849</v>
      </c>
      <c r="B298" s="2" t="s">
        <v>368</v>
      </c>
      <c r="C298" s="11" t="s">
        <v>1010</v>
      </c>
      <c r="D298" s="2" t="s">
        <v>30</v>
      </c>
      <c r="E298" s="2" t="s">
        <v>259</v>
      </c>
      <c r="F298" s="11" t="s">
        <v>516</v>
      </c>
      <c r="G298" s="11" t="s">
        <v>517</v>
      </c>
      <c r="H298" s="2" t="s">
        <v>1011</v>
      </c>
      <c r="I298" s="12" t="s">
        <v>152</v>
      </c>
      <c r="J298" s="8">
        <f>+Tabla1[[#This Row],[FECHA ENTRADA]]</f>
        <v>45501</v>
      </c>
      <c r="K298" s="8">
        <v>45522</v>
      </c>
      <c r="L298" s="13">
        <f>_xlfn.DAYS(Tabla1[[#This Row],[FECHA FIN ]],Tabla1[[#This Row],[FECHA INICIO]])</f>
        <v>21</v>
      </c>
      <c r="M298" s="12"/>
      <c r="N298" s="20">
        <v>330</v>
      </c>
      <c r="O298" s="12">
        <f>(Tabla1[[#This Row],[COSTO FIJO ]]/30)*Tabla1[[#This Row],[TOTAL DIAS PROYECTO]]+(Tabla1[[#This Row],[COSTO TEMPORAL]])</f>
        <v>231</v>
      </c>
      <c r="P298" s="12">
        <f>+(520.54*50%)/4</f>
        <v>65.067499999999995</v>
      </c>
      <c r="Q298" s="12">
        <f>+(Tabla1[[#This Row],[COSTO COCHE]]/30)*Tabla1[[#This Row],[TOTAL DIAS PROYECTO]]</f>
        <v>45.547249999999998</v>
      </c>
      <c r="R298" s="12">
        <f>+Tabla1[[#This Row],[COSTO TOTAL ALOJAMIENTO]]+Tabla1[[#This Row],[COSTO TOTAL COCHE]]</f>
        <v>276.54725000000002</v>
      </c>
      <c r="S298" s="2"/>
      <c r="T298" s="2" t="s">
        <v>35</v>
      </c>
      <c r="U298" s="14">
        <v>45501</v>
      </c>
      <c r="V298" s="14"/>
      <c r="W298" s="26"/>
      <c r="X298" s="2">
        <v>25</v>
      </c>
      <c r="Y298" s="31"/>
      <c r="Z298" s="2" t="s">
        <v>36</v>
      </c>
      <c r="AA298" s="13">
        <v>-0.87734000000000001</v>
      </c>
      <c r="AB298" s="13" t="s">
        <v>10359</v>
      </c>
    </row>
    <row r="299" spans="1:28">
      <c r="A299" s="2" t="s">
        <v>8850</v>
      </c>
      <c r="B299" s="2" t="s">
        <v>28</v>
      </c>
      <c r="C299" s="11" t="s">
        <v>1012</v>
      </c>
      <c r="D299" s="2" t="s">
        <v>30</v>
      </c>
      <c r="E299" s="2" t="s">
        <v>245</v>
      </c>
      <c r="F299" s="11" t="s">
        <v>1013</v>
      </c>
      <c r="G299" s="11" t="s">
        <v>1014</v>
      </c>
      <c r="H299" s="2" t="s">
        <v>1015</v>
      </c>
      <c r="I299" s="12" t="s">
        <v>249</v>
      </c>
      <c r="J299" s="8">
        <f>+Tabla1[[#This Row],[FECHA ENTRADA]]</f>
        <v>45410</v>
      </c>
      <c r="K299" s="8">
        <v>45415</v>
      </c>
      <c r="L299" s="13">
        <f>_xlfn.DAYS(Tabla1[[#This Row],[FECHA FIN ]],Tabla1[[#This Row],[FECHA INICIO]])</f>
        <v>5</v>
      </c>
      <c r="M299" s="12"/>
      <c r="N299" s="12">
        <v>280</v>
      </c>
      <c r="O299" s="12">
        <f>(Tabla1[[#This Row],[COSTO FIJO ]]/30)*Tabla1[[#This Row],[TOTAL DIAS PROYECTO]]+(Tabla1[[#This Row],[COSTO TEMPORAL]])</f>
        <v>46.666666666666671</v>
      </c>
      <c r="P299" s="12"/>
      <c r="Q299" s="12">
        <f>+(Tabla1[[#This Row],[COSTO COCHE]]/30)*Tabla1[[#This Row],[TOTAL DIAS PROYECTO]]</f>
        <v>0</v>
      </c>
      <c r="R299" s="12">
        <f>+Tabla1[[#This Row],[COSTO TOTAL ALOJAMIENTO]]+Tabla1[[#This Row],[COSTO TOTAL COCHE]]</f>
        <v>46.666666666666671</v>
      </c>
      <c r="S299" s="2"/>
      <c r="T299" s="2" t="s">
        <v>35</v>
      </c>
      <c r="U299" s="14">
        <v>45410</v>
      </c>
      <c r="V299" s="14"/>
      <c r="W299" s="81">
        <v>280</v>
      </c>
      <c r="X299" s="2">
        <v>1</v>
      </c>
      <c r="Y299" s="18" t="s">
        <v>1016</v>
      </c>
      <c r="Z299" s="2" t="s">
        <v>36</v>
      </c>
      <c r="AA299" s="13" t="s">
        <v>10355</v>
      </c>
      <c r="AB299" s="13" t="s">
        <v>10356</v>
      </c>
    </row>
    <row r="300" spans="1:28" ht="15" customHeight="1">
      <c r="A300" s="2" t="s">
        <v>8851</v>
      </c>
      <c r="B300" s="2" t="s">
        <v>28</v>
      </c>
      <c r="C300" s="18" t="s">
        <v>1017</v>
      </c>
      <c r="D300" s="2" t="s">
        <v>30</v>
      </c>
      <c r="E300" s="2" t="s">
        <v>245</v>
      </c>
      <c r="F300" s="11" t="s">
        <v>1013</v>
      </c>
      <c r="G300" s="11" t="s">
        <v>1014</v>
      </c>
      <c r="H300" s="2" t="s">
        <v>1018</v>
      </c>
      <c r="I300" s="10" t="s">
        <v>1019</v>
      </c>
      <c r="J300" s="8">
        <f>+Tabla1[[#This Row],[FECHA ENTRADA]]</f>
        <v>45536</v>
      </c>
      <c r="K300" s="8">
        <v>45583</v>
      </c>
      <c r="L300" s="13">
        <f>_xlfn.DAYS(Tabla1[[#This Row],[FECHA FIN ]],Tabla1[[#This Row],[FECHA INICIO]])</f>
        <v>47</v>
      </c>
      <c r="M300" s="12"/>
      <c r="N300" s="12">
        <v>340</v>
      </c>
      <c r="O300" s="12">
        <f>(Tabla1[[#This Row],[COSTO FIJO ]]/30)*Tabla1[[#This Row],[TOTAL DIAS PROYECTO]]+(Tabla1[[#This Row],[COSTO TEMPORAL]])</f>
        <v>532.66666666666674</v>
      </c>
      <c r="P300" s="12"/>
      <c r="Q300" s="12">
        <f>+(Tabla1[[#This Row],[COSTO COCHE]]/30)*Tabla1[[#This Row],[TOTAL DIAS PROYECTO]]</f>
        <v>0</v>
      </c>
      <c r="R300" s="12">
        <f>+Tabla1[[#This Row],[COSTO TOTAL ALOJAMIENTO]]+Tabla1[[#This Row],[COSTO TOTAL COCHE]]</f>
        <v>532.66666666666674</v>
      </c>
      <c r="S300" s="2"/>
      <c r="T300" s="2" t="s">
        <v>35</v>
      </c>
      <c r="U300" s="14">
        <v>45536</v>
      </c>
      <c r="V300" s="14"/>
      <c r="W300" s="26">
        <v>280</v>
      </c>
      <c r="X300" s="2">
        <v>1</v>
      </c>
      <c r="Y300" s="11" t="s">
        <v>1020</v>
      </c>
      <c r="Z300" s="2" t="s">
        <v>36</v>
      </c>
      <c r="AA300" s="13" t="s">
        <v>10355</v>
      </c>
      <c r="AB300" s="13" t="s">
        <v>10356</v>
      </c>
    </row>
    <row r="301" spans="1:28" ht="15" customHeight="1">
      <c r="A301" s="2" t="s">
        <v>8785</v>
      </c>
      <c r="B301" s="2" t="s">
        <v>28</v>
      </c>
      <c r="C301" s="11" t="s">
        <v>757</v>
      </c>
      <c r="D301" s="2" t="s">
        <v>30</v>
      </c>
      <c r="E301" s="2" t="s">
        <v>245</v>
      </c>
      <c r="F301" s="11" t="s">
        <v>1021</v>
      </c>
      <c r="G301" s="46" t="s">
        <v>1022</v>
      </c>
      <c r="H301" s="2" t="s">
        <v>1023</v>
      </c>
      <c r="I301" s="12" t="s">
        <v>249</v>
      </c>
      <c r="J301" s="41">
        <v>45565</v>
      </c>
      <c r="K301" s="8">
        <v>45618</v>
      </c>
      <c r="L301" s="42">
        <f>_xlfn.DAYS(Tabla1[[#This Row],[FECHA FIN ]],Tabla1[[#This Row],[FECHA INICIO]])</f>
        <v>53</v>
      </c>
      <c r="M301" s="12">
        <f>69.68/2</f>
        <v>34.840000000000003</v>
      </c>
      <c r="N301" s="28"/>
      <c r="O301" s="28">
        <f>(Tabla1[[#This Row],[COSTO FIJO ]]/30)*Tabla1[[#This Row],[TOTAL DIAS PROYECTO]]+(Tabla1[[#This Row],[COSTO TEMPORAL]])</f>
        <v>34.840000000000003</v>
      </c>
      <c r="P301" s="12">
        <v>133.33333333333334</v>
      </c>
      <c r="Q301" s="12">
        <f>+(Tabla1[[#This Row],[COSTO COCHE]]/30)*Tabla1[[#This Row],[TOTAL DIAS PROYECTO]]</f>
        <v>235.55555555555557</v>
      </c>
      <c r="R301" s="12">
        <f>+Tabla1[[#This Row],[COSTO TOTAL ALOJAMIENTO]]+Tabla1[[#This Row],[COSTO TOTAL COCHE]]</f>
        <v>270.39555555555557</v>
      </c>
      <c r="S301" s="2"/>
      <c r="T301" s="2" t="s">
        <v>35</v>
      </c>
      <c r="U301" s="14">
        <v>45562</v>
      </c>
      <c r="V301" s="43">
        <v>45618</v>
      </c>
      <c r="W301" s="26">
        <v>1800</v>
      </c>
      <c r="X301" s="2">
        <v>1</v>
      </c>
      <c r="Y301" s="11" t="s">
        <v>1024</v>
      </c>
      <c r="Z301" s="2" t="s">
        <v>36</v>
      </c>
      <c r="AA301" s="13" t="s">
        <v>10355</v>
      </c>
      <c r="AB301" s="13" t="s">
        <v>10356</v>
      </c>
    </row>
    <row r="302" spans="1:28" ht="15" customHeight="1">
      <c r="A302" s="2" t="s">
        <v>8742</v>
      </c>
      <c r="B302" s="2" t="s">
        <v>28</v>
      </c>
      <c r="C302" s="11" t="s">
        <v>535</v>
      </c>
      <c r="D302" s="2" t="s">
        <v>741</v>
      </c>
      <c r="E302" s="30" t="s">
        <v>1025</v>
      </c>
      <c r="F302" s="11" t="s">
        <v>1026</v>
      </c>
      <c r="G302" s="11" t="s">
        <v>1027</v>
      </c>
      <c r="H302" s="2" t="s">
        <v>1028</v>
      </c>
      <c r="I302" s="12" t="s">
        <v>52</v>
      </c>
      <c r="J302" s="8">
        <f>+Tabla1[[#This Row],[FECHA ENTRADA]]</f>
        <v>45544</v>
      </c>
      <c r="K302" s="8">
        <v>45618</v>
      </c>
      <c r="L302" s="13">
        <f>_xlfn.DAYS(Tabla1[[#This Row],[FECHA FIN ]],Tabla1[[#This Row],[FECHA INICIO]])</f>
        <v>74</v>
      </c>
      <c r="M302" s="12">
        <f>4072.88/3</f>
        <v>1357.6266666666668</v>
      </c>
      <c r="N302" s="12"/>
      <c r="O302" s="12">
        <f>(Tabla1[[#This Row],[COSTO FIJO ]]/30)*Tabla1[[#This Row],[TOTAL DIAS PROYECTO]]+(Tabla1[[#This Row],[COSTO TEMPORAL]])</f>
        <v>1357.6266666666668</v>
      </c>
      <c r="P302" s="12"/>
      <c r="Q302" s="12">
        <f>+(Tabla1[[#This Row],[COSTO COCHE]]/30)*Tabla1[[#This Row],[TOTAL DIAS PROYECTO]]</f>
        <v>0</v>
      </c>
      <c r="R302" s="12">
        <f>+Tabla1[[#This Row],[COSTO TOTAL ALOJAMIENTO]]+Tabla1[[#This Row],[COSTO TOTAL COCHE]]</f>
        <v>1357.6266666666668</v>
      </c>
      <c r="S302" s="2" t="s">
        <v>84</v>
      </c>
      <c r="T302" s="2" t="s">
        <v>44</v>
      </c>
      <c r="U302" s="14">
        <v>45544</v>
      </c>
      <c r="V302" s="14">
        <v>45619</v>
      </c>
      <c r="W302" s="26"/>
      <c r="X302" s="2"/>
      <c r="Y302" s="31" t="s">
        <v>1029</v>
      </c>
      <c r="Z302" s="64" t="s">
        <v>36</v>
      </c>
      <c r="AA302" s="13" t="s">
        <v>10409</v>
      </c>
      <c r="AB302" s="13">
        <v>4320085</v>
      </c>
    </row>
    <row r="303" spans="1:28" ht="15" customHeight="1">
      <c r="A303" s="2" t="s">
        <v>8852</v>
      </c>
      <c r="B303" s="2" t="s">
        <v>28</v>
      </c>
      <c r="C303" s="11" t="s">
        <v>1030</v>
      </c>
      <c r="D303" s="2" t="s">
        <v>749</v>
      </c>
      <c r="E303" s="2" t="s">
        <v>288</v>
      </c>
      <c r="F303" s="11" t="s">
        <v>928</v>
      </c>
      <c r="G303" s="30" t="s">
        <v>1031</v>
      </c>
      <c r="H303" s="2" t="s">
        <v>1032</v>
      </c>
      <c r="I303" s="29" t="s">
        <v>753</v>
      </c>
      <c r="J303" s="8">
        <f>+Tabla1[[#This Row],[FECHA ENTRADA]]</f>
        <v>45487</v>
      </c>
      <c r="K303" s="8">
        <v>45619</v>
      </c>
      <c r="L303" s="13">
        <f>_xlfn.DAYS(Tabla1[[#This Row],[FECHA FIN ]],Tabla1[[#This Row],[FECHA INICIO]])</f>
        <v>132</v>
      </c>
      <c r="M303" s="12"/>
      <c r="N303" s="12">
        <v>436.43</v>
      </c>
      <c r="O303" s="12">
        <f>(Tabla1[[#This Row],[COSTO FIJO ]]/30)*Tabla1[[#This Row],[TOTAL DIAS PROYECTO]]+(Tabla1[[#This Row],[COSTO TEMPORAL]])</f>
        <v>1920.2919999999999</v>
      </c>
      <c r="P303" s="12">
        <f>8180.25/45</f>
        <v>181.78333333333333</v>
      </c>
      <c r="Q303" s="12">
        <f>+(Tabla1[[#This Row],[COSTO COCHE]]/30)*Tabla1[[#This Row],[TOTAL DIAS PROYECTO]]</f>
        <v>799.84666666666658</v>
      </c>
      <c r="R303" s="12">
        <f>+Tabla1[[#This Row],[COSTO TOTAL ALOJAMIENTO]]+Tabla1[[#This Row],[COSTO TOTAL COCHE]]</f>
        <v>2720.1386666666667</v>
      </c>
      <c r="S303" s="2"/>
      <c r="T303" s="2" t="s">
        <v>44</v>
      </c>
      <c r="U303" s="14">
        <v>45487</v>
      </c>
      <c r="V303" s="14">
        <v>45634</v>
      </c>
      <c r="W303" s="26"/>
      <c r="X303" s="2">
        <v>1</v>
      </c>
      <c r="Y303" s="11"/>
      <c r="Z303" s="2" t="s">
        <v>36</v>
      </c>
      <c r="AA303" s="13" t="s">
        <v>10362</v>
      </c>
      <c r="AB303" s="13" t="s">
        <v>10363</v>
      </c>
    </row>
    <row r="304" spans="1:28">
      <c r="A304" s="2" t="s">
        <v>8786</v>
      </c>
      <c r="B304" s="2" t="s">
        <v>28</v>
      </c>
      <c r="C304" s="18" t="s">
        <v>762</v>
      </c>
      <c r="D304" s="2" t="s">
        <v>30</v>
      </c>
      <c r="E304" s="2" t="s">
        <v>245</v>
      </c>
      <c r="F304" s="11" t="s">
        <v>1021</v>
      </c>
      <c r="G304" s="46" t="s">
        <v>1022</v>
      </c>
      <c r="H304" s="2" t="s">
        <v>1023</v>
      </c>
      <c r="I304" s="12" t="s">
        <v>249</v>
      </c>
      <c r="J304" s="41">
        <v>45565</v>
      </c>
      <c r="K304" s="8">
        <v>45618</v>
      </c>
      <c r="L304" s="42">
        <f>_xlfn.DAYS(Tabla1[[#This Row],[FECHA FIN ]],Tabla1[[#This Row],[FECHA INICIO]])</f>
        <v>53</v>
      </c>
      <c r="M304" s="12"/>
      <c r="N304" s="12">
        <f>69.68/2</f>
        <v>34.840000000000003</v>
      </c>
      <c r="O304" s="28">
        <f>(Tabla1[[#This Row],[COSTO FIJO ]]/30)*Tabla1[[#This Row],[TOTAL DIAS PROYECTO]]+(Tabla1[[#This Row],[COSTO TEMPORAL]])</f>
        <v>61.550666666666679</v>
      </c>
      <c r="P304" s="12">
        <v>133.33333333333334</v>
      </c>
      <c r="Q304" s="12">
        <f>+(Tabla1[[#This Row],[COSTO COCHE]]/30)*Tabla1[[#This Row],[TOTAL DIAS PROYECTO]]</f>
        <v>235.55555555555557</v>
      </c>
      <c r="R304" s="12">
        <f>+Tabla1[[#This Row],[COSTO TOTAL ALOJAMIENTO]]+Tabla1[[#This Row],[COSTO TOTAL COCHE]]</f>
        <v>297.10622222222224</v>
      </c>
      <c r="S304" s="2"/>
      <c r="T304" s="2" t="s">
        <v>35</v>
      </c>
      <c r="U304" s="14">
        <v>45562</v>
      </c>
      <c r="V304" s="43">
        <v>45618</v>
      </c>
      <c r="W304" s="26"/>
      <c r="X304" s="2">
        <v>1</v>
      </c>
      <c r="Y304" s="11" t="s">
        <v>1024</v>
      </c>
      <c r="Z304" s="2" t="s">
        <v>36</v>
      </c>
      <c r="AA304" s="13" t="s">
        <v>10355</v>
      </c>
      <c r="AB304" s="13" t="s">
        <v>10356</v>
      </c>
    </row>
    <row r="305" spans="1:28" ht="15" customHeight="1">
      <c r="A305" s="2" t="s">
        <v>8853</v>
      </c>
      <c r="B305" s="2" t="s">
        <v>28</v>
      </c>
      <c r="C305" s="18" t="s">
        <v>1033</v>
      </c>
      <c r="D305" s="2" t="s">
        <v>30</v>
      </c>
      <c r="E305" s="2" t="s">
        <v>245</v>
      </c>
      <c r="F305" s="11" t="s">
        <v>1021</v>
      </c>
      <c r="G305" s="46" t="s">
        <v>1022</v>
      </c>
      <c r="H305" s="2" t="s">
        <v>1034</v>
      </c>
      <c r="I305" s="12" t="s">
        <v>249</v>
      </c>
      <c r="J305" s="41">
        <v>45606</v>
      </c>
      <c r="K305" s="8">
        <v>45618</v>
      </c>
      <c r="L305" s="42">
        <f>_xlfn.DAYS(Tabla1[[#This Row],[FECHA FIN ]],Tabla1[[#This Row],[FECHA INICIO]])</f>
        <v>12</v>
      </c>
      <c r="M305" s="12"/>
      <c r="N305" s="28">
        <v>398.33333333333331</v>
      </c>
      <c r="O305" s="28">
        <f>(Tabla1[[#This Row],[COSTO FIJO ]]/30)*Tabla1[[#This Row],[TOTAL DIAS PROYECTO]]+(Tabla1[[#This Row],[COSTO TEMPORAL]])</f>
        <v>159.33333333333331</v>
      </c>
      <c r="P305" s="12">
        <v>133.33333333333334</v>
      </c>
      <c r="Q305" s="12">
        <f>+(Tabla1[[#This Row],[COSTO COCHE]]/30)*Tabla1[[#This Row],[TOTAL DIAS PROYECTO]]</f>
        <v>53.333333333333336</v>
      </c>
      <c r="R305" s="12">
        <f>+Tabla1[[#This Row],[COSTO TOTAL ALOJAMIENTO]]+Tabla1[[#This Row],[COSTO TOTAL COCHE]]</f>
        <v>212.66666666666666</v>
      </c>
      <c r="S305" s="2"/>
      <c r="T305" s="2" t="s">
        <v>35</v>
      </c>
      <c r="U305" s="14">
        <v>45606</v>
      </c>
      <c r="V305" s="43">
        <v>45618</v>
      </c>
      <c r="W305" s="26"/>
      <c r="X305" s="2">
        <v>1</v>
      </c>
      <c r="Y305" s="11" t="s">
        <v>1024</v>
      </c>
      <c r="Z305" s="2" t="s">
        <v>36</v>
      </c>
      <c r="AA305" s="13" t="s">
        <v>10355</v>
      </c>
      <c r="AB305" s="13" t="s">
        <v>10356</v>
      </c>
    </row>
    <row r="306" spans="1:28">
      <c r="A306" s="2" t="s">
        <v>8727</v>
      </c>
      <c r="B306" s="2" t="s">
        <v>368</v>
      </c>
      <c r="C306" s="18" t="s">
        <v>463</v>
      </c>
      <c r="D306" s="2" t="s">
        <v>30</v>
      </c>
      <c r="E306" s="2" t="s">
        <v>538</v>
      </c>
      <c r="F306" s="11"/>
      <c r="G306" s="11"/>
      <c r="H306" s="2" t="s">
        <v>541</v>
      </c>
      <c r="I306" s="29" t="s">
        <v>542</v>
      </c>
      <c r="J306" s="8">
        <f>+Tabla1[[#This Row],[FECHA ENTRADA]]</f>
        <v>45525</v>
      </c>
      <c r="K306" s="8">
        <v>45618</v>
      </c>
      <c r="L306" s="13">
        <f>_xlfn.DAYS(Tabla1[[#This Row],[FECHA FIN ]],Tabla1[[#This Row],[FECHA INICIO]])</f>
        <v>93</v>
      </c>
      <c r="M306" s="12"/>
      <c r="N306" s="12">
        <v>203.33</v>
      </c>
      <c r="O306" s="12">
        <f>(Tabla1[[#This Row],[COSTO FIJO ]]/30)*Tabla1[[#This Row],[TOTAL DIAS PROYECTO]]+(Tabla1[[#This Row],[COSTO TEMPORAL]])</f>
        <v>630.32299999999998</v>
      </c>
      <c r="P306" s="12">
        <f>+(613.83*50%)/4</f>
        <v>76.728750000000005</v>
      </c>
      <c r="Q306" s="12">
        <f>+(Tabla1[[#This Row],[COSTO COCHE]]/30)*Tabla1[[#This Row],[TOTAL DIAS PROYECTO]]</f>
        <v>237.85912500000003</v>
      </c>
      <c r="R306" s="12">
        <f>+Tabla1[[#This Row],[COSTO TOTAL ALOJAMIENTO]]+Tabla1[[#This Row],[COSTO TOTAL COCHE]]</f>
        <v>868.18212500000004</v>
      </c>
      <c r="S306" s="2"/>
      <c r="T306" s="2" t="s">
        <v>58</v>
      </c>
      <c r="U306" s="14">
        <v>45525</v>
      </c>
      <c r="V306" s="14"/>
      <c r="W306" s="26"/>
      <c r="X306" s="2">
        <v>1</v>
      </c>
      <c r="Y306" s="11" t="s">
        <v>1035</v>
      </c>
      <c r="Z306" s="2" t="s">
        <v>36</v>
      </c>
      <c r="AA306" s="13">
        <v>-378939</v>
      </c>
      <c r="AB306" s="13">
        <v>3776578</v>
      </c>
    </row>
    <row r="307" spans="1:28">
      <c r="A307" s="2" t="s">
        <v>8854</v>
      </c>
      <c r="B307" s="2" t="s">
        <v>711</v>
      </c>
      <c r="C307" s="31" t="s">
        <v>1036</v>
      </c>
      <c r="D307" s="2" t="s">
        <v>30</v>
      </c>
      <c r="E307" s="2" t="s">
        <v>626</v>
      </c>
      <c r="F307" s="11" t="s">
        <v>1037</v>
      </c>
      <c r="G307" s="11" t="s">
        <v>1038</v>
      </c>
      <c r="H307" s="2" t="s">
        <v>1039</v>
      </c>
      <c r="I307" s="2" t="s">
        <v>570</v>
      </c>
      <c r="J307" s="8">
        <f>+Tabla1[[#This Row],[FECHA ENTRADA]]</f>
        <v>45328</v>
      </c>
      <c r="K307" s="22">
        <v>46149</v>
      </c>
      <c r="L307" s="13">
        <f>_xlfn.DAYS(Tabla1[[#This Row],[FECHA FIN ]],Tabla1[[#This Row],[FECHA INICIO]])</f>
        <v>821</v>
      </c>
      <c r="M307" s="12"/>
      <c r="N307" s="12">
        <v>550</v>
      </c>
      <c r="O307" s="12">
        <f>(Tabla1[[#This Row],[COSTO FIJO ]]/30)*Tabla1[[#This Row],[TOTAL DIAS PROYECTO]]+(Tabla1[[#This Row],[COSTO TEMPORAL]])</f>
        <v>15051.666666666666</v>
      </c>
      <c r="P307" s="12"/>
      <c r="Q307" s="12">
        <f>+(Tabla1[[#This Row],[COSTO COCHE]]/30)*Tabla1[[#This Row],[TOTAL DIAS PROYECTO]]</f>
        <v>0</v>
      </c>
      <c r="R307" s="12">
        <f>+Tabla1[[#This Row],[COSTO TOTAL ALOJAMIENTO]]+Tabla1[[#This Row],[COSTO TOTAL COCHE]]</f>
        <v>15051.666666666666</v>
      </c>
      <c r="S307" s="2"/>
      <c r="T307" s="2" t="s">
        <v>35</v>
      </c>
      <c r="U307" s="14">
        <v>45328</v>
      </c>
      <c r="V307" s="14"/>
      <c r="W307" s="12">
        <v>200</v>
      </c>
      <c r="X307" s="16">
        <v>1</v>
      </c>
      <c r="Y307" s="11" t="s">
        <v>1040</v>
      </c>
      <c r="Z307" s="2" t="s">
        <v>36</v>
      </c>
      <c r="AA307" s="13" t="s">
        <v>10385</v>
      </c>
      <c r="AB307" s="13" t="s">
        <v>10386</v>
      </c>
    </row>
    <row r="308" spans="1:28">
      <c r="A308" s="2" t="s">
        <v>8847</v>
      </c>
      <c r="B308" s="2" t="s">
        <v>368</v>
      </c>
      <c r="C308" s="11" t="s">
        <v>1001</v>
      </c>
      <c r="D308" s="2" t="s">
        <v>30</v>
      </c>
      <c r="E308" s="2" t="s">
        <v>626</v>
      </c>
      <c r="F308" s="11" t="s">
        <v>1041</v>
      </c>
      <c r="G308" s="11" t="s">
        <v>628</v>
      </c>
      <c r="H308" s="2" t="s">
        <v>1042</v>
      </c>
      <c r="I308" s="12" t="s">
        <v>1043</v>
      </c>
      <c r="J308" s="22">
        <v>45572</v>
      </c>
      <c r="K308" s="8">
        <v>45618</v>
      </c>
      <c r="L308" s="23">
        <f>_xlfn.DAYS(Tabla1[[#This Row],[FECHA FIN ]],Tabla1[[#This Row],[FECHA INICIO]])</f>
        <v>46</v>
      </c>
      <c r="M308" s="12"/>
      <c r="N308" s="12"/>
      <c r="O308" s="24">
        <f>(Tabla1[[#This Row],[COSTO FIJO ]]/30)*Tabla1[[#This Row],[TOTAL DIAS PROYECTO]]+(Tabla1[[#This Row],[COSTO TEMPORAL]])</f>
        <v>0</v>
      </c>
      <c r="P308" s="12"/>
      <c r="Q308" s="12">
        <f>+(Tabla1[[#This Row],[COSTO COCHE]]/30)*Tabla1[[#This Row],[TOTAL DIAS PROYECTO]]</f>
        <v>0</v>
      </c>
      <c r="R308" s="12">
        <f>+Tabla1[[#This Row],[COSTO TOTAL ALOJAMIENTO]]+Tabla1[[#This Row],[COSTO TOTAL COCHE]]</f>
        <v>0</v>
      </c>
      <c r="S308" s="2"/>
      <c r="T308" s="2" t="s">
        <v>35</v>
      </c>
      <c r="U308" s="14">
        <v>45572</v>
      </c>
      <c r="V308" s="79"/>
      <c r="W308" s="26"/>
      <c r="X308" s="2">
        <v>24</v>
      </c>
      <c r="Y308" s="11"/>
      <c r="Z308" s="2" t="s">
        <v>36</v>
      </c>
      <c r="AA308" s="13" t="s">
        <v>10385</v>
      </c>
      <c r="AB308" s="13" t="s">
        <v>10386</v>
      </c>
    </row>
    <row r="309" spans="1:28" ht="15" customHeight="1">
      <c r="A309" s="2" t="s">
        <v>8855</v>
      </c>
      <c r="B309" s="2" t="s">
        <v>28</v>
      </c>
      <c r="C309" s="11" t="s">
        <v>1044</v>
      </c>
      <c r="D309" s="2" t="s">
        <v>749</v>
      </c>
      <c r="E309" s="2" t="s">
        <v>288</v>
      </c>
      <c r="F309" s="11" t="s">
        <v>928</v>
      </c>
      <c r="G309" s="30" t="s">
        <v>1031</v>
      </c>
      <c r="H309" s="2" t="s">
        <v>929</v>
      </c>
      <c r="I309" s="29" t="s">
        <v>753</v>
      </c>
      <c r="J309" s="8">
        <f>+Tabla1[[#This Row],[FECHA ENTRADA]]</f>
        <v>45487</v>
      </c>
      <c r="K309" s="8">
        <v>45622</v>
      </c>
      <c r="L309" s="13">
        <f>_xlfn.DAYS(Tabla1[[#This Row],[FECHA FIN ]],Tabla1[[#This Row],[FECHA INICIO]])</f>
        <v>135</v>
      </c>
      <c r="M309" s="12"/>
      <c r="N309" s="12"/>
      <c r="O309" s="12">
        <f>(Tabla1[[#This Row],[COSTO FIJO ]]/30)*Tabla1[[#This Row],[TOTAL DIAS PROYECTO]]+(Tabla1[[#This Row],[COSTO TEMPORAL]])</f>
        <v>0</v>
      </c>
      <c r="P309" s="12">
        <f>8180.25/45</f>
        <v>181.78333333333333</v>
      </c>
      <c r="Q309" s="12">
        <f>+(Tabla1[[#This Row],[COSTO COCHE]]/30)*Tabla1[[#This Row],[TOTAL DIAS PROYECTO]]</f>
        <v>818.02499999999998</v>
      </c>
      <c r="R309" s="12">
        <f>+Tabla1[[#This Row],[COSTO TOTAL ALOJAMIENTO]]+Tabla1[[#This Row],[COSTO TOTAL COCHE]]</f>
        <v>818.02499999999998</v>
      </c>
      <c r="S309" s="2"/>
      <c r="T309" s="2" t="s">
        <v>44</v>
      </c>
      <c r="U309" s="14">
        <v>45487</v>
      </c>
      <c r="V309" s="14">
        <v>45626</v>
      </c>
      <c r="W309" s="26"/>
      <c r="X309" s="2">
        <v>1</v>
      </c>
      <c r="Y309" s="11"/>
      <c r="Z309" s="2" t="s">
        <v>36</v>
      </c>
      <c r="AA309" s="13" t="s">
        <v>10362</v>
      </c>
      <c r="AB309" s="13" t="s">
        <v>10363</v>
      </c>
    </row>
    <row r="310" spans="1:28" ht="15" customHeight="1">
      <c r="A310" s="2" t="s">
        <v>8856</v>
      </c>
      <c r="B310" s="2" t="s">
        <v>28</v>
      </c>
      <c r="C310" s="52" t="s">
        <v>1045</v>
      </c>
      <c r="D310" s="2" t="s">
        <v>30</v>
      </c>
      <c r="E310" s="2" t="s">
        <v>380</v>
      </c>
      <c r="F310" s="11" t="s">
        <v>623</v>
      </c>
      <c r="G310" s="11" t="s">
        <v>622</v>
      </c>
      <c r="H310" s="82">
        <v>2023</v>
      </c>
      <c r="I310" s="2" t="s">
        <v>382</v>
      </c>
      <c r="J310" s="8">
        <f>+Tabla1[[#This Row],[FECHA ENTRADA]]</f>
        <v>0</v>
      </c>
      <c r="K310" s="8"/>
      <c r="L310" s="13">
        <f>_xlfn.DAYS(Tabla1[[#This Row],[FECHA FIN ]],Tabla1[[#This Row],[FECHA INICIO]])</f>
        <v>0</v>
      </c>
      <c r="M310" s="2"/>
      <c r="N310" s="12">
        <v>240</v>
      </c>
      <c r="O310" s="12">
        <f>(Tabla1[[#This Row],[COSTO FIJO ]]/30)*Tabla1[[#This Row],[TOTAL DIAS PROYECTO]]+(Tabla1[[#This Row],[COSTO TEMPORAL]])</f>
        <v>0</v>
      </c>
      <c r="P310" s="12"/>
      <c r="Q310" s="12">
        <f>+(Tabla1[[#This Row],[COSTO COCHE]]/30)*Tabla1[[#This Row],[TOTAL DIAS PROYECTO]]</f>
        <v>0</v>
      </c>
      <c r="R310" s="12">
        <f>+Tabla1[[#This Row],[COSTO TOTAL ALOJAMIENTO]]+Tabla1[[#This Row],[COSTO TOTAL COCHE]]</f>
        <v>0</v>
      </c>
      <c r="S310" s="2"/>
      <c r="T310" s="2" t="s">
        <v>35</v>
      </c>
      <c r="U310" s="14"/>
      <c r="V310" s="14">
        <v>45478</v>
      </c>
      <c r="W310" s="26"/>
      <c r="X310" s="16">
        <v>5</v>
      </c>
      <c r="Y310" s="18"/>
      <c r="Z310" s="2" t="s">
        <v>36</v>
      </c>
      <c r="AA310" s="13" t="s">
        <v>10370</v>
      </c>
      <c r="AB310" s="13" t="s">
        <v>10371</v>
      </c>
    </row>
    <row r="311" spans="1:28">
      <c r="A311" s="2" t="s">
        <v>8857</v>
      </c>
      <c r="B311" s="2" t="s">
        <v>28</v>
      </c>
      <c r="C311" s="11" t="s">
        <v>1046</v>
      </c>
      <c r="D311" s="2" t="s">
        <v>749</v>
      </c>
      <c r="E311" s="2" t="s">
        <v>288</v>
      </c>
      <c r="F311" s="11" t="s">
        <v>976</v>
      </c>
      <c r="G311" s="30" t="s">
        <v>156</v>
      </c>
      <c r="H311" s="2" t="s">
        <v>1032</v>
      </c>
      <c r="I311" s="29" t="s">
        <v>753</v>
      </c>
      <c r="J311" s="8">
        <f>+Tabla1[[#This Row],[FECHA ENTRADA]]</f>
        <v>45487</v>
      </c>
      <c r="K311" s="22">
        <v>45821</v>
      </c>
      <c r="L311" s="13">
        <f>_xlfn.DAYS(Tabla1[[#This Row],[FECHA FIN ]],Tabla1[[#This Row],[FECHA INICIO]])</f>
        <v>334</v>
      </c>
      <c r="M311" s="12"/>
      <c r="N311" s="12"/>
      <c r="O311" s="12">
        <f>(Tabla1[[#This Row],[COSTO FIJO ]]/30)*Tabla1[[#This Row],[TOTAL DIAS PROYECTO]]+(Tabla1[[#This Row],[COSTO TEMPORAL]])</f>
        <v>0</v>
      </c>
      <c r="P311" s="12">
        <f>8180.25/45</f>
        <v>181.78333333333333</v>
      </c>
      <c r="Q311" s="12">
        <f>+(Tabla1[[#This Row],[COSTO COCHE]]/30)*Tabla1[[#This Row],[TOTAL DIAS PROYECTO]]</f>
        <v>2023.8544444444442</v>
      </c>
      <c r="R311" s="12">
        <f>+Tabla1[[#This Row],[COSTO TOTAL ALOJAMIENTO]]+Tabla1[[#This Row],[COSTO TOTAL COCHE]]</f>
        <v>2023.8544444444442</v>
      </c>
      <c r="S311" s="2"/>
      <c r="T311" s="2" t="s">
        <v>35</v>
      </c>
      <c r="U311" s="14">
        <v>45487</v>
      </c>
      <c r="V311" s="14"/>
      <c r="W311" s="26"/>
      <c r="X311" s="2">
        <v>1</v>
      </c>
      <c r="Y311" s="11" t="s">
        <v>1047</v>
      </c>
      <c r="Z311" s="2" t="s">
        <v>36</v>
      </c>
      <c r="AA311" s="13" t="s">
        <v>10362</v>
      </c>
      <c r="AB311" s="13" t="s">
        <v>10363</v>
      </c>
    </row>
    <row r="312" spans="1:28" ht="15" customHeight="1">
      <c r="A312" s="2" t="s">
        <v>8858</v>
      </c>
      <c r="B312" s="2" t="s">
        <v>28</v>
      </c>
      <c r="C312" s="18" t="s">
        <v>1048</v>
      </c>
      <c r="D312" s="2" t="s">
        <v>30</v>
      </c>
      <c r="E312" s="2" t="s">
        <v>502</v>
      </c>
      <c r="F312" s="11" t="s">
        <v>1049</v>
      </c>
      <c r="G312" s="11" t="s">
        <v>1050</v>
      </c>
      <c r="H312" s="2" t="s">
        <v>505</v>
      </c>
      <c r="I312" s="12" t="s">
        <v>506</v>
      </c>
      <c r="J312" s="8">
        <f>+Tabla1[[#This Row],[FECHA ENTRADA]]</f>
        <v>45448</v>
      </c>
      <c r="K312" s="83">
        <v>45623</v>
      </c>
      <c r="L312" s="13">
        <f>_xlfn.DAYS(Tabla1[[#This Row],[FECHA FIN ]],Tabla1[[#This Row],[FECHA INICIO]])</f>
        <v>175</v>
      </c>
      <c r="M312" s="80">
        <v>97.5</v>
      </c>
      <c r="N312" s="12">
        <v>216.66666666666666</v>
      </c>
      <c r="O312" s="12">
        <f>(Tabla1[[#This Row],[COSTO FIJO ]]/30)*Tabla1[[#This Row],[TOTAL DIAS PROYECTO]]+(Tabla1[[#This Row],[COSTO TEMPORAL]])</f>
        <v>1361.3888888888889</v>
      </c>
      <c r="P312" s="12">
        <f>+((803.8+542.69)*50%)/9</f>
        <v>74.805000000000007</v>
      </c>
      <c r="Q312" s="12">
        <f>+(Tabla1[[#This Row],[COSTO COCHE]]/30)*Tabla1[[#This Row],[TOTAL DIAS PROYECTO]]</f>
        <v>436.36250000000001</v>
      </c>
      <c r="R312" s="12">
        <f>+Tabla1[[#This Row],[COSTO TOTAL ALOJAMIENTO]]+Tabla1[[#This Row],[COSTO TOTAL COCHE]]</f>
        <v>1797.7513888888889</v>
      </c>
      <c r="S312" s="2"/>
      <c r="T312" s="2" t="s">
        <v>35</v>
      </c>
      <c r="U312" s="14">
        <v>45448</v>
      </c>
      <c r="V312" s="14"/>
      <c r="W312" s="26">
        <v>400</v>
      </c>
      <c r="X312" s="2">
        <v>1</v>
      </c>
      <c r="Y312" s="11" t="s">
        <v>1051</v>
      </c>
      <c r="Z312" s="2" t="s">
        <v>36</v>
      </c>
      <c r="AA312" s="13" t="s">
        <v>10378</v>
      </c>
      <c r="AB312" s="13" t="s">
        <v>10379</v>
      </c>
    </row>
    <row r="313" spans="1:28" ht="15" customHeight="1">
      <c r="A313" s="2" t="s">
        <v>8859</v>
      </c>
      <c r="B313" s="2" t="s">
        <v>368</v>
      </c>
      <c r="C313" s="11" t="s">
        <v>1052</v>
      </c>
      <c r="D313" s="2" t="s">
        <v>30</v>
      </c>
      <c r="E313" s="2" t="s">
        <v>259</v>
      </c>
      <c r="F313" s="11" t="s">
        <v>516</v>
      </c>
      <c r="G313" s="11" t="s">
        <v>517</v>
      </c>
      <c r="H313" s="2" t="s">
        <v>1011</v>
      </c>
      <c r="I313" s="12" t="s">
        <v>152</v>
      </c>
      <c r="J313" s="8">
        <f>+Tabla1[[#This Row],[FECHA ENTRADA]]</f>
        <v>45501</v>
      </c>
      <c r="K313" s="22">
        <v>45623</v>
      </c>
      <c r="L313" s="13">
        <f>_xlfn.DAYS(Tabla1[[#This Row],[FECHA FIN ]],Tabla1[[#This Row],[FECHA INICIO]])</f>
        <v>122</v>
      </c>
      <c r="M313" s="12"/>
      <c r="N313" s="12">
        <v>330</v>
      </c>
      <c r="O313" s="12">
        <f>(Tabla1[[#This Row],[COSTO FIJO ]]/30)*Tabla1[[#This Row],[TOTAL DIAS PROYECTO]]+(Tabla1[[#This Row],[COSTO TEMPORAL]])</f>
        <v>1342</v>
      </c>
      <c r="P313" s="12">
        <f>+(520.54*50%)/4</f>
        <v>65.067499999999995</v>
      </c>
      <c r="Q313" s="12">
        <f>+(Tabla1[[#This Row],[COSTO COCHE]]/30)*Tabla1[[#This Row],[TOTAL DIAS PROYECTO]]</f>
        <v>264.6078333333333</v>
      </c>
      <c r="R313" s="12">
        <f>+Tabla1[[#This Row],[COSTO TOTAL ALOJAMIENTO]]+Tabla1[[#This Row],[COSTO TOTAL COCHE]]</f>
        <v>1606.6078333333332</v>
      </c>
      <c r="S313" s="2"/>
      <c r="T313" s="2" t="s">
        <v>35</v>
      </c>
      <c r="U313" s="14">
        <v>45501</v>
      </c>
      <c r="V313" s="14"/>
      <c r="W313" s="26"/>
      <c r="X313" s="2">
        <v>25</v>
      </c>
      <c r="Y313" s="84" t="s">
        <v>1053</v>
      </c>
      <c r="Z313" s="2" t="s">
        <v>36</v>
      </c>
      <c r="AA313" s="13">
        <v>-0.87734000000000001</v>
      </c>
      <c r="AB313" s="13" t="s">
        <v>10359</v>
      </c>
    </row>
    <row r="314" spans="1:28">
      <c r="A314" s="2" t="s">
        <v>8860</v>
      </c>
      <c r="B314" s="2" t="s">
        <v>28</v>
      </c>
      <c r="C314" s="11" t="s">
        <v>1054</v>
      </c>
      <c r="D314" s="2" t="s">
        <v>30</v>
      </c>
      <c r="E314" s="2" t="s">
        <v>31</v>
      </c>
      <c r="F314" s="11"/>
      <c r="G314" s="11"/>
      <c r="H314" s="2" t="s">
        <v>1055</v>
      </c>
      <c r="I314" s="12" t="s">
        <v>527</v>
      </c>
      <c r="J314" s="8">
        <f>+Tabla1[[#This Row],[FECHA ENTRADA]]</f>
        <v>45515</v>
      </c>
      <c r="K314" s="22">
        <v>45624</v>
      </c>
      <c r="L314" s="13">
        <f>_xlfn.DAYS(Tabla1[[#This Row],[FECHA FIN ]],Tabla1[[#This Row],[FECHA INICIO]])</f>
        <v>109</v>
      </c>
      <c r="M314" s="12"/>
      <c r="N314" s="12">
        <v>300</v>
      </c>
      <c r="O314" s="12">
        <f>(Tabla1[[#This Row],[COSTO FIJO ]]/30)*Tabla1[[#This Row],[TOTAL DIAS PROYECTO]]+(Tabla1[[#This Row],[COSTO TEMPORAL]])</f>
        <v>1090</v>
      </c>
      <c r="P314" s="12">
        <f>+(((800*3)+520.54)*50%)/19</f>
        <v>76.856315789473683</v>
      </c>
      <c r="Q314" s="12">
        <f>+(Tabla1[[#This Row],[COSTO COCHE]]/30)*Tabla1[[#This Row],[TOTAL DIAS PROYECTO]]</f>
        <v>279.24461403508775</v>
      </c>
      <c r="R314" s="12">
        <f>+Tabla1[[#This Row],[COSTO TOTAL ALOJAMIENTO]]+Tabla1[[#This Row],[COSTO TOTAL COCHE]]</f>
        <v>1369.2446140350878</v>
      </c>
      <c r="S314" s="2"/>
      <c r="T314" s="2" t="s">
        <v>58</v>
      </c>
      <c r="U314" s="14">
        <v>45515</v>
      </c>
      <c r="V314" s="14"/>
      <c r="W314" s="26"/>
      <c r="X314" s="2"/>
      <c r="Y314" s="11" t="s">
        <v>1056</v>
      </c>
      <c r="Z314" s="2" t="s">
        <v>36</v>
      </c>
      <c r="AA314" s="13" t="s">
        <v>10323</v>
      </c>
      <c r="AB314" s="13" t="s">
        <v>10324</v>
      </c>
    </row>
    <row r="315" spans="1:28">
      <c r="A315" s="2" t="s">
        <v>8861</v>
      </c>
      <c r="B315" s="2" t="s">
        <v>28</v>
      </c>
      <c r="C315" s="18" t="s">
        <v>1057</v>
      </c>
      <c r="D315" s="2" t="s">
        <v>30</v>
      </c>
      <c r="E315" s="2" t="s">
        <v>31</v>
      </c>
      <c r="F315" s="11"/>
      <c r="G315" s="11"/>
      <c r="H315" s="2" t="s">
        <v>1058</v>
      </c>
      <c r="I315" s="12" t="s">
        <v>527</v>
      </c>
      <c r="J315" s="8">
        <f>+Tabla1[[#This Row],[FECHA ENTRADA]]</f>
        <v>45496</v>
      </c>
      <c r="K315" s="22">
        <v>45624</v>
      </c>
      <c r="L315" s="13">
        <f>_xlfn.DAYS(Tabla1[[#This Row],[FECHA FIN ]],Tabla1[[#This Row],[FECHA INICIO]])</f>
        <v>128</v>
      </c>
      <c r="M315" s="12"/>
      <c r="N315" s="12">
        <v>300</v>
      </c>
      <c r="O315" s="28">
        <f>(Tabla1[[#This Row],[COSTO FIJO ]]/30)*Tabla1[[#This Row],[TOTAL DIAS PROYECTO]]+(Tabla1[[#This Row],[COSTO TEMPORAL]])</f>
        <v>1280</v>
      </c>
      <c r="P315" s="12">
        <f>+(((800*3)+520.54)*50%)/19</f>
        <v>76.856315789473683</v>
      </c>
      <c r="Q315" s="28">
        <f>+(Tabla1[[#This Row],[COSTO COCHE]]/30)*Tabla1[[#This Row],[TOTAL DIAS PROYECTO]]</f>
        <v>327.92028070175439</v>
      </c>
      <c r="R315" s="28">
        <f>+Tabla1[[#This Row],[COSTO TOTAL ALOJAMIENTO]]+Tabla1[[#This Row],[COSTO TOTAL COCHE]]</f>
        <v>1607.9202807017543</v>
      </c>
      <c r="S315" s="2"/>
      <c r="T315" s="2" t="s">
        <v>58</v>
      </c>
      <c r="U315" s="14">
        <v>45496</v>
      </c>
      <c r="V315" s="14"/>
      <c r="W315" s="26"/>
      <c r="X315" s="2"/>
      <c r="Y315" s="11" t="s">
        <v>1059</v>
      </c>
      <c r="Z315" s="2" t="s">
        <v>36</v>
      </c>
      <c r="AA315" s="13" t="s">
        <v>10323</v>
      </c>
      <c r="AB315" s="13" t="s">
        <v>10324</v>
      </c>
    </row>
    <row r="316" spans="1:28">
      <c r="A316" s="2" t="s">
        <v>8862</v>
      </c>
      <c r="B316" s="2" t="s">
        <v>28</v>
      </c>
      <c r="C316" s="18" t="s">
        <v>1060</v>
      </c>
      <c r="D316" s="2" t="s">
        <v>30</v>
      </c>
      <c r="E316" s="2" t="s">
        <v>31</v>
      </c>
      <c r="F316" s="11"/>
      <c r="G316" s="11"/>
      <c r="H316" s="2" t="s">
        <v>729</v>
      </c>
      <c r="I316" s="12" t="s">
        <v>527</v>
      </c>
      <c r="J316" s="8">
        <f>+Tabla1[[#This Row],[FECHA ENTRADA]]</f>
        <v>45496</v>
      </c>
      <c r="K316" s="22">
        <v>45624</v>
      </c>
      <c r="L316" s="13">
        <f>_xlfn.DAYS(Tabla1[[#This Row],[FECHA FIN ]],Tabla1[[#This Row],[FECHA INICIO]])</f>
        <v>128</v>
      </c>
      <c r="M316" s="12"/>
      <c r="N316" s="12">
        <v>300</v>
      </c>
      <c r="O316" s="12">
        <f>(Tabla1[[#This Row],[COSTO FIJO ]]/30)*Tabla1[[#This Row],[TOTAL DIAS PROYECTO]]+(Tabla1[[#This Row],[COSTO TEMPORAL]])</f>
        <v>1280</v>
      </c>
      <c r="P316" s="12">
        <f>+(((800*3)+520.54)*50%)/19</f>
        <v>76.856315789473683</v>
      </c>
      <c r="Q316" s="12">
        <f>+(Tabla1[[#This Row],[COSTO COCHE]]/30)*Tabla1[[#This Row],[TOTAL DIAS PROYECTO]]</f>
        <v>327.92028070175439</v>
      </c>
      <c r="R316" s="12">
        <f>+Tabla1[[#This Row],[COSTO TOTAL ALOJAMIENTO]]+Tabla1[[#This Row],[COSTO TOTAL COCHE]]</f>
        <v>1607.9202807017543</v>
      </c>
      <c r="S316" s="2"/>
      <c r="T316" s="2" t="s">
        <v>58</v>
      </c>
      <c r="U316" s="14">
        <v>45496</v>
      </c>
      <c r="V316" s="14"/>
      <c r="W316" s="26"/>
      <c r="X316" s="2">
        <v>1</v>
      </c>
      <c r="Y316" s="85" t="s">
        <v>1061</v>
      </c>
      <c r="Z316" s="2" t="s">
        <v>36</v>
      </c>
      <c r="AA316" s="13" t="s">
        <v>10323</v>
      </c>
      <c r="AB316" s="13" t="s">
        <v>10324</v>
      </c>
    </row>
    <row r="317" spans="1:28" ht="15" customHeight="1">
      <c r="A317" s="2" t="s">
        <v>8863</v>
      </c>
      <c r="B317" s="2" t="s">
        <v>368</v>
      </c>
      <c r="C317" s="11" t="s">
        <v>1062</v>
      </c>
      <c r="D317" s="2" t="s">
        <v>30</v>
      </c>
      <c r="E317" s="2" t="s">
        <v>422</v>
      </c>
      <c r="F317" s="11" t="s">
        <v>956</v>
      </c>
      <c r="G317" s="11" t="s">
        <v>957</v>
      </c>
      <c r="H317" s="2" t="s">
        <v>958</v>
      </c>
      <c r="I317" s="12" t="s">
        <v>959</v>
      </c>
      <c r="J317" s="8">
        <f>+Tabla1[[#This Row],[FECHA ENTRADA]]</f>
        <v>45487</v>
      </c>
      <c r="K317" s="8">
        <v>45625</v>
      </c>
      <c r="L317" s="13">
        <f>_xlfn.DAYS(Tabla1[[#This Row],[FECHA FIN ]],Tabla1[[#This Row],[FECHA INICIO]])</f>
        <v>138</v>
      </c>
      <c r="M317" s="12"/>
      <c r="N317" s="12">
        <v>312.5</v>
      </c>
      <c r="O317" s="12">
        <f>(Tabla1[[#This Row],[COSTO FIJO ]]/30)*Tabla1[[#This Row],[TOTAL DIAS PROYECTO]]+(Tabla1[[#This Row],[COSTO TEMPORAL]])</f>
        <v>1437.5</v>
      </c>
      <c r="P317" s="12"/>
      <c r="Q317" s="12">
        <f>+(Tabla1[[#This Row],[COSTO COCHE]]/30)*Tabla1[[#This Row],[TOTAL DIAS PROYECTO]]</f>
        <v>0</v>
      </c>
      <c r="R317" s="12">
        <f>+Tabla1[[#This Row],[COSTO TOTAL ALOJAMIENTO]]+Tabla1[[#This Row],[COSTO TOTAL COCHE]]</f>
        <v>1437.5</v>
      </c>
      <c r="S317" s="2"/>
      <c r="T317" s="2" t="s">
        <v>35</v>
      </c>
      <c r="U317" s="14">
        <v>45487</v>
      </c>
      <c r="V317" s="14"/>
      <c r="W317" s="26"/>
      <c r="X317" s="2">
        <v>1</v>
      </c>
      <c r="Y317" s="11" t="s">
        <v>1063</v>
      </c>
      <c r="Z317" s="2" t="s">
        <v>36</v>
      </c>
      <c r="AA317" s="13">
        <v>-326.69799999999998</v>
      </c>
      <c r="AB317" s="13" t="s">
        <v>10373</v>
      </c>
    </row>
    <row r="318" spans="1:28" ht="15" customHeight="1">
      <c r="A318" s="2" t="s">
        <v>8747</v>
      </c>
      <c r="B318" s="2" t="s">
        <v>28</v>
      </c>
      <c r="C318" s="11" t="s">
        <v>566</v>
      </c>
      <c r="D318" s="2" t="s">
        <v>30</v>
      </c>
      <c r="E318" s="2" t="s">
        <v>599</v>
      </c>
      <c r="F318" s="11" t="s">
        <v>1064</v>
      </c>
      <c r="G318" s="11" t="s">
        <v>1065</v>
      </c>
      <c r="H318" s="2" t="s">
        <v>1066</v>
      </c>
      <c r="I318" s="12" t="s">
        <v>1067</v>
      </c>
      <c r="J318" s="41">
        <f>+Tabla1[[#This Row],[FECHA ENTRADA]]</f>
        <v>45598</v>
      </c>
      <c r="K318" s="8">
        <v>45625</v>
      </c>
      <c r="L318" s="42">
        <f>_xlfn.DAYS(Tabla1[[#This Row],[FECHA FIN ]],Tabla1[[#This Row],[FECHA INICIO]])</f>
        <v>27</v>
      </c>
      <c r="M318" s="12"/>
      <c r="N318" s="12"/>
      <c r="O318" s="28">
        <f>(Tabla1[[#This Row],[COSTO FIJO ]]/30)*Tabla1[[#This Row],[TOTAL DIAS PROYECTO]]+(Tabla1[[#This Row],[COSTO TEMPORAL]])</f>
        <v>0</v>
      </c>
      <c r="P318" s="12"/>
      <c r="Q318" s="12">
        <f>+(Tabla1[[#This Row],[COSTO COCHE]]/30)*Tabla1[[#This Row],[TOTAL DIAS PROYECTO]]</f>
        <v>0</v>
      </c>
      <c r="R318" s="12">
        <f>+Tabla1[[#This Row],[COSTO TOTAL ALOJAMIENTO]]+Tabla1[[#This Row],[COSTO TOTAL COCHE]]</f>
        <v>0</v>
      </c>
      <c r="S318" s="2"/>
      <c r="T318" s="2" t="s">
        <v>528</v>
      </c>
      <c r="U318" s="14">
        <v>45598</v>
      </c>
      <c r="V318" s="43">
        <v>45638</v>
      </c>
      <c r="W318" s="26"/>
      <c r="X318" s="2"/>
      <c r="Y318" s="11" t="s">
        <v>1068</v>
      </c>
      <c r="Z318" s="2" t="s">
        <v>36</v>
      </c>
      <c r="AA318" s="13" t="s">
        <v>10382</v>
      </c>
      <c r="AB318" s="13">
        <v>4038884</v>
      </c>
    </row>
    <row r="319" spans="1:28" ht="15" customHeight="1">
      <c r="A319" s="2" t="s">
        <v>8678</v>
      </c>
      <c r="B319" s="2" t="s">
        <v>28</v>
      </c>
      <c r="C319" s="11" t="s">
        <v>251</v>
      </c>
      <c r="D319" s="2" t="s">
        <v>30</v>
      </c>
      <c r="E319" s="2" t="s">
        <v>599</v>
      </c>
      <c r="F319" s="11" t="s">
        <v>1064</v>
      </c>
      <c r="G319" s="11" t="s">
        <v>1065</v>
      </c>
      <c r="H319" s="2" t="s">
        <v>1069</v>
      </c>
      <c r="I319" s="12" t="s">
        <v>1067</v>
      </c>
      <c r="J319" s="41">
        <f>+Tabla1[[#This Row],[FECHA ENTRADA]]</f>
        <v>45601</v>
      </c>
      <c r="K319" s="8">
        <v>45625</v>
      </c>
      <c r="L319" s="42">
        <f>_xlfn.DAYS(Tabla1[[#This Row],[FECHA FIN ]],Tabla1[[#This Row],[FECHA INICIO]])</f>
        <v>24</v>
      </c>
      <c r="M319" s="12"/>
      <c r="N319" s="12">
        <v>603.97</v>
      </c>
      <c r="O319" s="28">
        <f>(Tabla1[[#This Row],[COSTO FIJO ]]/30)*Tabla1[[#This Row],[TOTAL DIAS PROYECTO]]+(Tabla1[[#This Row],[COSTO TEMPORAL]])</f>
        <v>483.17600000000004</v>
      </c>
      <c r="P319" s="12"/>
      <c r="Q319" s="12">
        <f>+(Tabla1[[#This Row],[COSTO COCHE]]/30)*Tabla1[[#This Row],[TOTAL DIAS PROYECTO]]</f>
        <v>0</v>
      </c>
      <c r="R319" s="12">
        <f>+Tabla1[[#This Row],[COSTO TOTAL ALOJAMIENTO]]+Tabla1[[#This Row],[COSTO TOTAL COCHE]]</f>
        <v>483.17600000000004</v>
      </c>
      <c r="S319" s="2"/>
      <c r="T319" s="2" t="s">
        <v>528</v>
      </c>
      <c r="U319" s="14">
        <v>45601</v>
      </c>
      <c r="V319" s="25">
        <v>45638</v>
      </c>
      <c r="W319" s="26"/>
      <c r="X319" s="2"/>
      <c r="Y319" s="11" t="s">
        <v>1068</v>
      </c>
      <c r="Z319" s="2" t="s">
        <v>36</v>
      </c>
      <c r="AA319" s="13" t="s">
        <v>10382</v>
      </c>
      <c r="AB319" s="13">
        <v>4038884</v>
      </c>
    </row>
    <row r="320" spans="1:28" ht="15" customHeight="1">
      <c r="A320" s="2" t="s">
        <v>8864</v>
      </c>
      <c r="B320" s="2" t="s">
        <v>368</v>
      </c>
      <c r="C320" s="18" t="s">
        <v>1070</v>
      </c>
      <c r="D320" s="2" t="s">
        <v>30</v>
      </c>
      <c r="E320" s="2" t="s">
        <v>422</v>
      </c>
      <c r="F320" s="11" t="s">
        <v>1071</v>
      </c>
      <c r="G320" s="11">
        <v>944105710</v>
      </c>
      <c r="H320" s="2" t="s">
        <v>958</v>
      </c>
      <c r="I320" s="12" t="s">
        <v>959</v>
      </c>
      <c r="J320" s="8">
        <f>+Tabla1[[#This Row],[FECHA ENTRADA]]</f>
        <v>45487</v>
      </c>
      <c r="K320" s="22">
        <v>45821</v>
      </c>
      <c r="L320" s="13">
        <f>_xlfn.DAYS(Tabla1[[#This Row],[FECHA FIN ]],Tabla1[[#This Row],[FECHA INICIO]])</f>
        <v>334</v>
      </c>
      <c r="M320" s="12"/>
      <c r="N320" s="12">
        <f>1811.6/17</f>
        <v>106.56470588235294</v>
      </c>
      <c r="O320" s="12">
        <f>(Tabla1[[#This Row],[COSTO FIJO ]]/30)*Tabla1[[#This Row],[TOTAL DIAS PROYECTO]]+(Tabla1[[#This Row],[COSTO TEMPORAL]])</f>
        <v>1186.4203921568628</v>
      </c>
      <c r="P320" s="12"/>
      <c r="Q320" s="12">
        <f>+(Tabla1[[#This Row],[COSTO COCHE]]/30)*Tabla1[[#This Row],[TOTAL DIAS PROYECTO]]</f>
        <v>0</v>
      </c>
      <c r="R320" s="12">
        <f>+Tabla1[[#This Row],[COSTO TOTAL ALOJAMIENTO]]+Tabla1[[#This Row],[COSTO TOTAL COCHE]]</f>
        <v>1186.4203921568628</v>
      </c>
      <c r="S320" s="2"/>
      <c r="T320" s="2" t="s">
        <v>44</v>
      </c>
      <c r="U320" s="14">
        <v>45487</v>
      </c>
      <c r="V320" s="14">
        <v>45506</v>
      </c>
      <c r="W320" s="26"/>
      <c r="X320" s="2"/>
      <c r="Y320" s="18" t="s">
        <v>1072</v>
      </c>
      <c r="Z320" s="2" t="s">
        <v>36</v>
      </c>
      <c r="AA320" s="13">
        <v>-326.69799999999998</v>
      </c>
      <c r="AB320" s="13" t="s">
        <v>10373</v>
      </c>
    </row>
    <row r="321" spans="1:28">
      <c r="A321" s="2" t="s">
        <v>8865</v>
      </c>
      <c r="B321" s="2" t="s">
        <v>368</v>
      </c>
      <c r="C321" s="11" t="s">
        <v>1073</v>
      </c>
      <c r="D321" s="2" t="s">
        <v>30</v>
      </c>
      <c r="E321" s="2" t="s">
        <v>422</v>
      </c>
      <c r="F321" s="11" t="s">
        <v>956</v>
      </c>
      <c r="G321" s="11" t="s">
        <v>957</v>
      </c>
      <c r="H321" s="2" t="s">
        <v>958</v>
      </c>
      <c r="I321" s="12" t="s">
        <v>959</v>
      </c>
      <c r="J321" s="8">
        <f>+Tabla1[[#This Row],[FECHA ENTRADA]]</f>
        <v>45487</v>
      </c>
      <c r="K321" s="22">
        <v>45821</v>
      </c>
      <c r="L321" s="13">
        <f>_xlfn.DAYS(Tabla1[[#This Row],[FECHA FIN ]],Tabla1[[#This Row],[FECHA INICIO]])</f>
        <v>334</v>
      </c>
      <c r="M321" s="12"/>
      <c r="N321" s="12">
        <f>187+44.86+151</f>
        <v>382.86</v>
      </c>
      <c r="O321" s="12">
        <f>(Tabla1[[#This Row],[COSTO FIJO ]]/30)*Tabla1[[#This Row],[TOTAL DIAS PROYECTO]]+(Tabla1[[#This Row],[COSTO TEMPORAL]])</f>
        <v>4262.5079999999998</v>
      </c>
      <c r="P321" s="12"/>
      <c r="Q321" s="12">
        <f>+(Tabla1[[#This Row],[COSTO COCHE]]/30)*Tabla1[[#This Row],[TOTAL DIAS PROYECTO]]</f>
        <v>0</v>
      </c>
      <c r="R321" s="12">
        <f>+Tabla1[[#This Row],[COSTO TOTAL ALOJAMIENTO]]+Tabla1[[#This Row],[COSTO TOTAL COCHE]]</f>
        <v>4262.5079999999998</v>
      </c>
      <c r="S321" s="2"/>
      <c r="T321" s="2" t="s">
        <v>35</v>
      </c>
      <c r="U321" s="14">
        <v>45487</v>
      </c>
      <c r="V321" s="14"/>
      <c r="W321" s="26"/>
      <c r="X321" s="2">
        <v>1</v>
      </c>
      <c r="Y321" s="11" t="s">
        <v>1074</v>
      </c>
      <c r="Z321" s="2" t="s">
        <v>36</v>
      </c>
      <c r="AA321" s="13">
        <v>-326.69799999999998</v>
      </c>
      <c r="AB321" s="13" t="s">
        <v>10373</v>
      </c>
    </row>
    <row r="322" spans="1:28">
      <c r="A322" s="2" t="s">
        <v>8642</v>
      </c>
      <c r="B322" s="2" t="s">
        <v>368</v>
      </c>
      <c r="C322" s="18" t="s">
        <v>1075</v>
      </c>
      <c r="D322" s="2" t="s">
        <v>30</v>
      </c>
      <c r="E322" s="2" t="s">
        <v>422</v>
      </c>
      <c r="F322" s="11" t="s">
        <v>956</v>
      </c>
      <c r="G322" s="11" t="s">
        <v>957</v>
      </c>
      <c r="H322" s="2" t="s">
        <v>958</v>
      </c>
      <c r="I322" s="12" t="s">
        <v>959</v>
      </c>
      <c r="J322" s="8">
        <f>+Tabla1[[#This Row],[FECHA ENTRADA]]</f>
        <v>45487</v>
      </c>
      <c r="K322" s="22">
        <v>45821</v>
      </c>
      <c r="L322" s="13">
        <f>_xlfn.DAYS(Tabla1[[#This Row],[FECHA FIN ]],Tabla1[[#This Row],[FECHA INICIO]])</f>
        <v>334</v>
      </c>
      <c r="M322" s="12"/>
      <c r="N322" s="12">
        <v>250</v>
      </c>
      <c r="O322" s="12">
        <f>(Tabla1[[#This Row],[COSTO FIJO ]]/30)*Tabla1[[#This Row],[TOTAL DIAS PROYECTO]]+(Tabla1[[#This Row],[COSTO TEMPORAL]])</f>
        <v>2783.3333333333335</v>
      </c>
      <c r="P322" s="12"/>
      <c r="Q322" s="12">
        <f>+(Tabla1[[#This Row],[COSTO COCHE]]/30)*Tabla1[[#This Row],[TOTAL DIAS PROYECTO]]</f>
        <v>0</v>
      </c>
      <c r="R322" s="12">
        <f>+Tabla1[[#This Row],[COSTO TOTAL ALOJAMIENTO]]+Tabla1[[#This Row],[COSTO TOTAL COCHE]]</f>
        <v>2783.3333333333335</v>
      </c>
      <c r="S322" s="2"/>
      <c r="T322" s="2" t="s">
        <v>35</v>
      </c>
      <c r="U322" s="14">
        <v>45487</v>
      </c>
      <c r="V322" s="14"/>
      <c r="W322" s="26"/>
      <c r="X322" s="2">
        <v>1</v>
      </c>
      <c r="Y322" s="11" t="s">
        <v>1076</v>
      </c>
      <c r="Z322" s="2" t="s">
        <v>36</v>
      </c>
      <c r="AA322" s="13">
        <v>-326.69799999999998</v>
      </c>
      <c r="AB322" s="13" t="s">
        <v>10373</v>
      </c>
    </row>
    <row r="323" spans="1:28">
      <c r="A323" s="2" t="s">
        <v>8635</v>
      </c>
      <c r="B323" s="2" t="s">
        <v>28</v>
      </c>
      <c r="C323" s="11" t="s">
        <v>45</v>
      </c>
      <c r="D323" s="2" t="s">
        <v>30</v>
      </c>
      <c r="E323" s="2" t="s">
        <v>87</v>
      </c>
      <c r="F323" s="11" t="s">
        <v>567</v>
      </c>
      <c r="G323" s="11" t="s">
        <v>947</v>
      </c>
      <c r="H323" s="2" t="s">
        <v>285</v>
      </c>
      <c r="I323" s="2" t="s">
        <v>124</v>
      </c>
      <c r="J323" s="8">
        <f>+Tabla1[[#This Row],[FECHA ENTRADA]]</f>
        <v>45361</v>
      </c>
      <c r="K323" s="8">
        <v>45625</v>
      </c>
      <c r="L323" s="13">
        <f>_xlfn.DAYS(Tabla1[[#This Row],[FECHA FIN ]],Tabla1[[#This Row],[FECHA INICIO]])</f>
        <v>264</v>
      </c>
      <c r="M323" s="2"/>
      <c r="N323" s="12"/>
      <c r="O323" s="12">
        <f>(Tabla1[[#This Row],[COSTO FIJO ]]/30)*Tabla1[[#This Row],[TOTAL DIAS PROYECTO]]+(Tabla1[[#This Row],[COSTO TEMPORAL]])</f>
        <v>0</v>
      </c>
      <c r="P323" s="12"/>
      <c r="Q323" s="12">
        <f>+(Tabla1[[#This Row],[COSTO COCHE]]/30)*Tabla1[[#This Row],[TOTAL DIAS PROYECTO]]</f>
        <v>0</v>
      </c>
      <c r="R323" s="12">
        <f>+Tabla1[[#This Row],[COSTO TOTAL ALOJAMIENTO]]+Tabla1[[#This Row],[COSTO TOTAL COCHE]]</f>
        <v>0</v>
      </c>
      <c r="S323" s="2"/>
      <c r="T323" s="2" t="s">
        <v>35</v>
      </c>
      <c r="U323" s="14">
        <v>45361</v>
      </c>
      <c r="V323" s="14"/>
      <c r="W323" s="15"/>
      <c r="X323" s="16">
        <v>9</v>
      </c>
      <c r="Y323" s="11" t="s">
        <v>1077</v>
      </c>
      <c r="Z323" s="2" t="s">
        <v>36</v>
      </c>
      <c r="AA323" s="13" t="s">
        <v>10335</v>
      </c>
      <c r="AB323" s="13">
        <v>404.16500000000002</v>
      </c>
    </row>
    <row r="324" spans="1:28">
      <c r="A324" s="2" t="s">
        <v>8866</v>
      </c>
      <c r="B324" s="2" t="s">
        <v>28</v>
      </c>
      <c r="C324" s="11" t="s">
        <v>1078</v>
      </c>
      <c r="D324" s="2" t="s">
        <v>30</v>
      </c>
      <c r="E324" s="2" t="s">
        <v>87</v>
      </c>
      <c r="F324" s="11" t="s">
        <v>567</v>
      </c>
      <c r="G324" s="11" t="s">
        <v>947</v>
      </c>
      <c r="H324" s="2" t="s">
        <v>302</v>
      </c>
      <c r="I324" s="2" t="s">
        <v>124</v>
      </c>
      <c r="J324" s="8">
        <f>+Tabla1[[#This Row],[FECHA ENTRADA]]</f>
        <v>45350</v>
      </c>
      <c r="K324" s="8">
        <v>45625</v>
      </c>
      <c r="L324" s="13">
        <f>_xlfn.DAYS(Tabla1[[#This Row],[FECHA FIN ]],Tabla1[[#This Row],[FECHA INICIO]])</f>
        <v>275</v>
      </c>
      <c r="M324" s="12"/>
      <c r="N324" s="2"/>
      <c r="O324" s="12">
        <f>(Tabla1[[#This Row],[COSTO FIJO ]]/30)*Tabla1[[#This Row],[TOTAL DIAS PROYECTO]]+(Tabla1[[#This Row],[COSTO TEMPORAL]])</f>
        <v>0</v>
      </c>
      <c r="P324" s="12"/>
      <c r="Q324" s="12">
        <f>+(Tabla1[[#This Row],[COSTO COCHE]]/30)*Tabla1[[#This Row],[TOTAL DIAS PROYECTO]]</f>
        <v>0</v>
      </c>
      <c r="R324" s="12">
        <f>+Tabla1[[#This Row],[COSTO TOTAL ALOJAMIENTO]]+Tabla1[[#This Row],[COSTO TOTAL COCHE]]</f>
        <v>0</v>
      </c>
      <c r="S324" s="2"/>
      <c r="T324" s="2" t="s">
        <v>35</v>
      </c>
      <c r="U324" s="14">
        <v>45350</v>
      </c>
      <c r="V324" s="14"/>
      <c r="W324" s="15"/>
      <c r="X324" s="16">
        <v>9</v>
      </c>
      <c r="Y324" s="31" t="s">
        <v>1079</v>
      </c>
      <c r="Z324" s="2" t="s">
        <v>36</v>
      </c>
      <c r="AA324" s="13" t="s">
        <v>10335</v>
      </c>
      <c r="AB324" s="13">
        <v>404.16500000000002</v>
      </c>
    </row>
    <row r="325" spans="1:28">
      <c r="A325" s="2" t="s">
        <v>8867</v>
      </c>
      <c r="B325" s="2" t="s">
        <v>368</v>
      </c>
      <c r="C325" s="11" t="s">
        <v>1080</v>
      </c>
      <c r="D325" s="2" t="s">
        <v>30</v>
      </c>
      <c r="E325" s="2" t="s">
        <v>538</v>
      </c>
      <c r="F325" s="11" t="s">
        <v>1081</v>
      </c>
      <c r="G325" s="46" t="s">
        <v>1082</v>
      </c>
      <c r="H325" s="2" t="s">
        <v>1083</v>
      </c>
      <c r="I325" s="12" t="s">
        <v>1084</v>
      </c>
      <c r="J325" s="8">
        <f>+Tabla1[[#This Row],[FECHA ENTRADA]]</f>
        <v>45550</v>
      </c>
      <c r="K325" s="8">
        <v>45625</v>
      </c>
      <c r="L325" s="42">
        <f>_xlfn.DAYS(Tabla1[[#This Row],[FECHA FIN ]],Tabla1[[#This Row],[FECHA INICIO]])</f>
        <v>75</v>
      </c>
      <c r="M325" s="12"/>
      <c r="N325" s="12"/>
      <c r="O325" s="28">
        <f>(Tabla1[[#This Row],[COSTO FIJO ]]/30)*Tabla1[[#This Row],[TOTAL DIAS PROYECTO]]+(Tabla1[[#This Row],[COSTO TEMPORAL]])</f>
        <v>0</v>
      </c>
      <c r="P325" s="12">
        <v>200</v>
      </c>
      <c r="Q325" s="12">
        <f>+(Tabla1[[#This Row],[COSTO COCHE]]/30)*Tabla1[[#This Row],[TOTAL DIAS PROYECTO]]</f>
        <v>500</v>
      </c>
      <c r="R325" s="12">
        <f>+Tabla1[[#This Row],[COSTO TOTAL ALOJAMIENTO]]+Tabla1[[#This Row],[COSTO TOTAL COCHE]]</f>
        <v>500</v>
      </c>
      <c r="S325" s="2"/>
      <c r="T325" s="2" t="s">
        <v>35</v>
      </c>
      <c r="U325" s="14">
        <v>45550</v>
      </c>
      <c r="V325" s="75"/>
      <c r="W325" s="26"/>
      <c r="X325" s="2">
        <v>17</v>
      </c>
      <c r="Y325" s="11" t="s">
        <v>1085</v>
      </c>
      <c r="Z325" s="2" t="s">
        <v>36</v>
      </c>
      <c r="AA325" s="13">
        <v>-378939</v>
      </c>
      <c r="AB325" s="13">
        <v>3776578</v>
      </c>
    </row>
    <row r="326" spans="1:28" ht="15" customHeight="1">
      <c r="A326" s="2" t="s">
        <v>8754</v>
      </c>
      <c r="B326" s="2" t="s">
        <v>28</v>
      </c>
      <c r="C326" s="11" t="s">
        <v>605</v>
      </c>
      <c r="D326" s="2" t="s">
        <v>30</v>
      </c>
      <c r="E326" s="2" t="s">
        <v>599</v>
      </c>
      <c r="F326" s="11" t="s">
        <v>600</v>
      </c>
      <c r="G326" s="11" t="s">
        <v>601</v>
      </c>
      <c r="H326" s="2" t="s">
        <v>1086</v>
      </c>
      <c r="I326" s="12" t="s">
        <v>603</v>
      </c>
      <c r="J326" s="41">
        <f>+Tabla1[[#This Row],[FECHA ENTRADA]]</f>
        <v>45560</v>
      </c>
      <c r="K326" s="8">
        <v>45626</v>
      </c>
      <c r="L326" s="42">
        <f>_xlfn.DAYS(Tabla1[[#This Row],[FECHA FIN ]],Tabla1[[#This Row],[FECHA INICIO]])</f>
        <v>66</v>
      </c>
      <c r="M326" s="12">
        <v>330</v>
      </c>
      <c r="N326" s="28"/>
      <c r="O326" s="28">
        <f>(Tabla1[[#This Row],[COSTO FIJO ]]/30)*Tabla1[[#This Row],[TOTAL DIAS PROYECTO]]+(Tabla1[[#This Row],[COSTO TEMPORAL]])</f>
        <v>330</v>
      </c>
      <c r="P326" s="12"/>
      <c r="Q326" s="12">
        <f>+(Tabla1[[#This Row],[COSTO COCHE]]/30)*Tabla1[[#This Row],[TOTAL DIAS PROYECTO]]</f>
        <v>0</v>
      </c>
      <c r="R326" s="12">
        <f>+Tabla1[[#This Row],[COSTO TOTAL ALOJAMIENTO]]+Tabla1[[#This Row],[COSTO TOTAL COCHE]]</f>
        <v>330</v>
      </c>
      <c r="S326" s="2"/>
      <c r="T326" s="2" t="s">
        <v>44</v>
      </c>
      <c r="U326" s="14">
        <v>45560</v>
      </c>
      <c r="V326" s="43">
        <v>45602</v>
      </c>
      <c r="W326" s="26"/>
      <c r="X326" s="2"/>
      <c r="Y326" s="31" t="s">
        <v>1087</v>
      </c>
      <c r="Z326" s="2" t="s">
        <v>36</v>
      </c>
      <c r="AA326" s="13" t="s">
        <v>10382</v>
      </c>
      <c r="AB326" s="13">
        <v>4038884</v>
      </c>
    </row>
    <row r="327" spans="1:28" ht="15" customHeight="1">
      <c r="A327" s="2" t="s">
        <v>8677</v>
      </c>
      <c r="B327" s="2" t="s">
        <v>28</v>
      </c>
      <c r="C327" s="11" t="s">
        <v>250</v>
      </c>
      <c r="D327" s="2" t="s">
        <v>78</v>
      </c>
      <c r="E327" s="2" t="s">
        <v>1088</v>
      </c>
      <c r="F327" s="11" t="s">
        <v>1089</v>
      </c>
      <c r="G327" s="46" t="s">
        <v>1090</v>
      </c>
      <c r="H327" s="2" t="s">
        <v>1091</v>
      </c>
      <c r="I327" s="12" t="s">
        <v>292</v>
      </c>
      <c r="J327" s="41">
        <f>+Tabla1[[#This Row],[FECHA ENTRADA]]</f>
        <v>45591</v>
      </c>
      <c r="K327" s="8">
        <v>45626</v>
      </c>
      <c r="L327" s="42">
        <f>_xlfn.DAYS(Tabla1[[#This Row],[FECHA FIN ]],Tabla1[[#This Row],[FECHA INICIO]])</f>
        <v>35</v>
      </c>
      <c r="M327" s="12"/>
      <c r="N327" s="12">
        <v>359.14</v>
      </c>
      <c r="O327" s="28">
        <f>(Tabla1[[#This Row],[COSTO FIJO ]]/30)*Tabla1[[#This Row],[TOTAL DIAS PROYECTO]]+(Tabla1[[#This Row],[COSTO TEMPORAL]])</f>
        <v>418.99666666666661</v>
      </c>
      <c r="P327" s="12"/>
      <c r="Q327" s="12">
        <f>+(Tabla1[[#This Row],[COSTO COCHE]]/30)*Tabla1[[#This Row],[TOTAL DIAS PROYECTO]]</f>
        <v>0</v>
      </c>
      <c r="R327" s="12">
        <f>+Tabla1[[#This Row],[COSTO TOTAL ALOJAMIENTO]]+Tabla1[[#This Row],[COSTO TOTAL COCHE]]</f>
        <v>418.99666666666661</v>
      </c>
      <c r="S327" s="2" t="s">
        <v>84</v>
      </c>
      <c r="T327" s="2" t="s">
        <v>44</v>
      </c>
      <c r="U327" s="14">
        <v>45591</v>
      </c>
      <c r="V327" s="25">
        <v>45625</v>
      </c>
      <c r="W327" s="26"/>
      <c r="X327" s="2"/>
      <c r="Y327" s="31" t="s">
        <v>1092</v>
      </c>
      <c r="Z327" s="2" t="s">
        <v>36</v>
      </c>
      <c r="AA327" s="13" t="s">
        <v>10410</v>
      </c>
      <c r="AB327" s="13">
        <v>4452809</v>
      </c>
    </row>
    <row r="328" spans="1:28" ht="15" customHeight="1">
      <c r="A328" s="2" t="s">
        <v>8868</v>
      </c>
      <c r="B328" s="2" t="s">
        <v>28</v>
      </c>
      <c r="C328" s="11" t="s">
        <v>1093</v>
      </c>
      <c r="D328" s="2" t="s">
        <v>749</v>
      </c>
      <c r="E328" s="2" t="s">
        <v>288</v>
      </c>
      <c r="F328" s="11" t="s">
        <v>976</v>
      </c>
      <c r="G328" s="30" t="s">
        <v>156</v>
      </c>
      <c r="H328" s="2" t="s">
        <v>929</v>
      </c>
      <c r="I328" s="29" t="s">
        <v>753</v>
      </c>
      <c r="J328" s="8">
        <f>+Tabla1[[#This Row],[FECHA ENTRADA]]</f>
        <v>45487</v>
      </c>
      <c r="K328" s="22">
        <v>45821</v>
      </c>
      <c r="L328" s="13">
        <f>_xlfn.DAYS(Tabla1[[#This Row],[FECHA FIN ]],Tabla1[[#This Row],[FECHA INICIO]])</f>
        <v>334</v>
      </c>
      <c r="M328" s="12"/>
      <c r="N328" s="12"/>
      <c r="O328" s="12">
        <f>(Tabla1[[#This Row],[COSTO FIJO ]]/30)*Tabla1[[#This Row],[TOTAL DIAS PROYECTO]]+(Tabla1[[#This Row],[COSTO TEMPORAL]])</f>
        <v>0</v>
      </c>
      <c r="P328" s="12"/>
      <c r="Q328" s="12">
        <f>+(Tabla1[[#This Row],[COSTO COCHE]]/30)*Tabla1[[#This Row],[TOTAL DIAS PROYECTO]]</f>
        <v>0</v>
      </c>
      <c r="R328" s="12">
        <f>+Tabla1[[#This Row],[COSTO TOTAL ALOJAMIENTO]]+Tabla1[[#This Row],[COSTO TOTAL COCHE]]</f>
        <v>0</v>
      </c>
      <c r="S328" s="2"/>
      <c r="T328" s="2" t="s">
        <v>35</v>
      </c>
      <c r="U328" s="14">
        <v>45487</v>
      </c>
      <c r="V328" s="14"/>
      <c r="W328" s="26"/>
      <c r="X328" s="2">
        <v>1</v>
      </c>
      <c r="Y328" s="18" t="s">
        <v>1094</v>
      </c>
      <c r="Z328" s="2" t="s">
        <v>36</v>
      </c>
      <c r="AA328" s="13" t="s">
        <v>10362</v>
      </c>
      <c r="AB328" s="13" t="s">
        <v>10363</v>
      </c>
    </row>
    <row r="329" spans="1:28">
      <c r="A329" s="2" t="s">
        <v>8673</v>
      </c>
      <c r="B329" s="2" t="s">
        <v>368</v>
      </c>
      <c r="C329" s="18" t="s">
        <v>235</v>
      </c>
      <c r="D329" s="2" t="s">
        <v>30</v>
      </c>
      <c r="E329" s="2" t="s">
        <v>447</v>
      </c>
      <c r="F329" s="11" t="s">
        <v>840</v>
      </c>
      <c r="G329" s="49" t="s">
        <v>1095</v>
      </c>
      <c r="H329" s="2" t="s">
        <v>842</v>
      </c>
      <c r="I329" s="12" t="s">
        <v>843</v>
      </c>
      <c r="J329" s="41">
        <v>45566</v>
      </c>
      <c r="K329" s="8">
        <v>45626</v>
      </c>
      <c r="L329" s="42">
        <f>_xlfn.DAYS(Tabla1[[#This Row],[FECHA FIN ]],Tabla1[[#This Row],[FECHA INICIO]])</f>
        <v>60</v>
      </c>
      <c r="M329" s="12"/>
      <c r="N329" s="12"/>
      <c r="O329" s="28">
        <f>(Tabla1[[#This Row],[COSTO FIJO ]]/30)*Tabla1[[#This Row],[TOTAL DIAS PROYECTO]]+(Tabla1[[#This Row],[COSTO TEMPORAL]])</f>
        <v>0</v>
      </c>
      <c r="P329" s="12"/>
      <c r="Q329" s="12">
        <f>+(Tabla1[[#This Row],[COSTO COCHE]]/30)*Tabla1[[#This Row],[TOTAL DIAS PROYECTO]]</f>
        <v>0</v>
      </c>
      <c r="R329" s="12">
        <f>+Tabla1[[#This Row],[COSTO TOTAL ALOJAMIENTO]]+Tabla1[[#This Row],[COSTO TOTAL COCHE]]</f>
        <v>0</v>
      </c>
      <c r="S329" s="2"/>
      <c r="T329" s="2" t="s">
        <v>35</v>
      </c>
      <c r="U329" s="14">
        <v>45566</v>
      </c>
      <c r="V329" s="43"/>
      <c r="W329" s="26">
        <v>300</v>
      </c>
      <c r="X329" s="2">
        <v>1</v>
      </c>
      <c r="Y329" s="11" t="s">
        <v>1096</v>
      </c>
      <c r="Z329" s="2" t="s">
        <v>36</v>
      </c>
      <c r="AA329" s="13">
        <v>-697.06100000000004</v>
      </c>
      <c r="AB329" s="13" t="s">
        <v>10377</v>
      </c>
    </row>
    <row r="330" spans="1:28">
      <c r="A330" s="2" t="s">
        <v>8869</v>
      </c>
      <c r="B330" s="2" t="s">
        <v>368</v>
      </c>
      <c r="C330" s="18" t="s">
        <v>1097</v>
      </c>
      <c r="D330" s="2" t="s">
        <v>30</v>
      </c>
      <c r="E330" s="2" t="s">
        <v>422</v>
      </c>
      <c r="F330" s="11" t="s">
        <v>697</v>
      </c>
      <c r="G330" s="11" t="s">
        <v>698</v>
      </c>
      <c r="H330" s="2" t="s">
        <v>958</v>
      </c>
      <c r="I330" s="12" t="s">
        <v>959</v>
      </c>
      <c r="J330" s="8">
        <f>+Tabla1[[#This Row],[FECHA ENTRADA]]</f>
        <v>45487</v>
      </c>
      <c r="K330" s="22">
        <v>45629</v>
      </c>
      <c r="L330" s="13">
        <f>_xlfn.DAYS(Tabla1[[#This Row],[FECHA FIN ]],Tabla1[[#This Row],[FECHA INICIO]])</f>
        <v>142</v>
      </c>
      <c r="M330" s="12"/>
      <c r="N330" s="12">
        <v>276</v>
      </c>
      <c r="O330" s="12">
        <f>(Tabla1[[#This Row],[COSTO FIJO ]]/30)*Tabla1[[#This Row],[TOTAL DIAS PROYECTO]]+(Tabla1[[#This Row],[COSTO TEMPORAL]])</f>
        <v>1306.3999999999999</v>
      </c>
      <c r="P330" s="12"/>
      <c r="Q330" s="12">
        <f>+(Tabla1[[#This Row],[COSTO COCHE]]/30)*Tabla1[[#This Row],[TOTAL DIAS PROYECTO]]</f>
        <v>0</v>
      </c>
      <c r="R330" s="12">
        <f>+Tabla1[[#This Row],[COSTO TOTAL ALOJAMIENTO]]+Tabla1[[#This Row],[COSTO TOTAL COCHE]]</f>
        <v>1306.3999999999999</v>
      </c>
      <c r="S330" s="2"/>
      <c r="T330" s="2" t="s">
        <v>35</v>
      </c>
      <c r="U330" s="14">
        <v>45487</v>
      </c>
      <c r="V330" s="14"/>
      <c r="W330" s="26"/>
      <c r="X330" s="2">
        <v>1</v>
      </c>
      <c r="Y330" s="11" t="s">
        <v>1098</v>
      </c>
      <c r="Z330" s="2" t="s">
        <v>36</v>
      </c>
      <c r="AA330" s="13">
        <v>-326.69799999999998</v>
      </c>
      <c r="AB330" s="13" t="s">
        <v>10373</v>
      </c>
    </row>
    <row r="331" spans="1:28">
      <c r="A331" s="2" t="s">
        <v>8870</v>
      </c>
      <c r="B331" s="2" t="s">
        <v>28</v>
      </c>
      <c r="C331" s="11" t="s">
        <v>1099</v>
      </c>
      <c r="D331" s="2" t="s">
        <v>30</v>
      </c>
      <c r="E331" s="2" t="s">
        <v>31</v>
      </c>
      <c r="F331" s="11" t="s">
        <v>409</v>
      </c>
      <c r="G331" s="11" t="s">
        <v>410</v>
      </c>
      <c r="H331" s="2" t="s">
        <v>1100</v>
      </c>
      <c r="I331" s="12" t="s">
        <v>1101</v>
      </c>
      <c r="J331" s="22">
        <f>+Tabla1[[#This Row],[FECHA ENTRADA]]</f>
        <v>45623</v>
      </c>
      <c r="K331" s="8">
        <v>45628</v>
      </c>
      <c r="L331" s="23">
        <f>_xlfn.DAYS(Tabla1[[#This Row],[FECHA FIN ]],Tabla1[[#This Row],[FECHA INICIO]])</f>
        <v>5</v>
      </c>
      <c r="M331" s="12"/>
      <c r="N331" s="12"/>
      <c r="O331" s="24">
        <f>(Tabla1[[#This Row],[COSTO FIJO ]]/30)*Tabla1[[#This Row],[TOTAL DIAS PROYECTO]]+(Tabla1[[#This Row],[COSTO TEMPORAL]])</f>
        <v>0</v>
      </c>
      <c r="P331" s="12"/>
      <c r="Q331" s="12">
        <f>+(Tabla1[[#This Row],[COSTO COCHE]]/30)*Tabla1[[#This Row],[TOTAL DIAS PROYECTO]]</f>
        <v>0</v>
      </c>
      <c r="R331" s="12">
        <f>+Tabla1[[#This Row],[COSTO TOTAL ALOJAMIENTO]]+Tabla1[[#This Row],[COSTO TOTAL COCHE]]</f>
        <v>0</v>
      </c>
      <c r="S331" s="2"/>
      <c r="T331" s="2" t="s">
        <v>35</v>
      </c>
      <c r="U331" s="14">
        <v>45623</v>
      </c>
      <c r="V331" s="25"/>
      <c r="W331" s="26"/>
      <c r="X331" s="2">
        <v>27</v>
      </c>
      <c r="Y331" s="11"/>
      <c r="Z331" s="2" t="s">
        <v>36</v>
      </c>
      <c r="AA331" s="13" t="s">
        <v>10323</v>
      </c>
      <c r="AB331" s="13" t="s">
        <v>10324</v>
      </c>
    </row>
    <row r="332" spans="1:28" ht="15" customHeight="1">
      <c r="A332" s="2" t="s">
        <v>8871</v>
      </c>
      <c r="B332" s="2" t="s">
        <v>368</v>
      </c>
      <c r="C332" s="18" t="s">
        <v>1102</v>
      </c>
      <c r="D332" s="2" t="s">
        <v>30</v>
      </c>
      <c r="E332" s="2" t="s">
        <v>31</v>
      </c>
      <c r="F332" s="11"/>
      <c r="G332" s="11"/>
      <c r="H332" s="2" t="s">
        <v>1103</v>
      </c>
      <c r="I332" s="12" t="s">
        <v>1104</v>
      </c>
      <c r="J332" s="41">
        <f>+Tabla1[[#This Row],[FECHA ENTRADA]]</f>
        <v>45587</v>
      </c>
      <c r="K332" s="8">
        <v>45629</v>
      </c>
      <c r="L332" s="42">
        <f>_xlfn.DAYS(Tabla1[[#This Row],[FECHA FIN ]],Tabla1[[#This Row],[FECHA INICIO]])</f>
        <v>42</v>
      </c>
      <c r="M332" s="12"/>
      <c r="N332" s="12">
        <v>300</v>
      </c>
      <c r="O332" s="28">
        <f>(Tabla1[[#This Row],[COSTO FIJO ]]/30)*Tabla1[[#This Row],[TOTAL DIAS PROYECTO]]+(Tabla1[[#This Row],[COSTO TEMPORAL]])</f>
        <v>420</v>
      </c>
      <c r="P332" s="12"/>
      <c r="Q332" s="12">
        <f>+(Tabla1[[#This Row],[COSTO COCHE]]/30)*Tabla1[[#This Row],[TOTAL DIAS PROYECTO]]</f>
        <v>0</v>
      </c>
      <c r="R332" s="12">
        <f>+Tabla1[[#This Row],[COSTO TOTAL ALOJAMIENTO]]+Tabla1[[#This Row],[COSTO TOTAL COCHE]]</f>
        <v>420</v>
      </c>
      <c r="S332" s="2"/>
      <c r="T332" s="2" t="s">
        <v>58</v>
      </c>
      <c r="U332" s="14">
        <v>45587</v>
      </c>
      <c r="V332" s="43"/>
      <c r="W332" s="26"/>
      <c r="X332" s="2"/>
      <c r="Y332" s="84" t="s">
        <v>1105</v>
      </c>
      <c r="Z332" s="2" t="s">
        <v>36</v>
      </c>
      <c r="AA332" s="13" t="s">
        <v>10323</v>
      </c>
      <c r="AB332" s="13" t="s">
        <v>10324</v>
      </c>
    </row>
    <row r="333" spans="1:28">
      <c r="A333" s="2" t="s">
        <v>8722</v>
      </c>
      <c r="B333" s="2" t="s">
        <v>28</v>
      </c>
      <c r="C333" s="11" t="s">
        <v>450</v>
      </c>
      <c r="D333" s="2" t="s">
        <v>30</v>
      </c>
      <c r="E333" s="2" t="s">
        <v>370</v>
      </c>
      <c r="F333" s="11" t="s">
        <v>1106</v>
      </c>
      <c r="G333" s="46"/>
      <c r="H333" s="2" t="s">
        <v>1107</v>
      </c>
      <c r="I333" s="12" t="s">
        <v>883</v>
      </c>
      <c r="J333" s="41">
        <f>+Tabla1[[#This Row],[FECHA ENTRADA]]</f>
        <v>45622</v>
      </c>
      <c r="K333" s="8">
        <v>45629</v>
      </c>
      <c r="L333" s="42">
        <f>_xlfn.DAYS(Tabla1[[#This Row],[FECHA FIN ]],Tabla1[[#This Row],[FECHA INICIO]])</f>
        <v>7</v>
      </c>
      <c r="M333" s="12"/>
      <c r="N333" s="12"/>
      <c r="O333" s="28">
        <f>(Tabla1[[#This Row],[COSTO FIJO ]]/30)*Tabla1[[#This Row],[TOTAL DIAS PROYECTO]]+(Tabla1[[#This Row],[COSTO TEMPORAL]])</f>
        <v>0</v>
      </c>
      <c r="P333" s="12"/>
      <c r="Q333" s="12">
        <f>+(Tabla1[[#This Row],[COSTO COCHE]]/30)*Tabla1[[#This Row],[TOTAL DIAS PROYECTO]]</f>
        <v>0</v>
      </c>
      <c r="R333" s="12">
        <f>+Tabla1[[#This Row],[COSTO TOTAL ALOJAMIENTO]]+Tabla1[[#This Row],[COSTO TOTAL COCHE]]</f>
        <v>0</v>
      </c>
      <c r="S333" s="2"/>
      <c r="T333" s="2" t="s">
        <v>8</v>
      </c>
      <c r="U333" s="14">
        <v>45622</v>
      </c>
      <c r="V333" s="43"/>
      <c r="W333" s="26"/>
      <c r="X333" s="2"/>
      <c r="Y333" s="11"/>
      <c r="Z333" s="2" t="s">
        <v>36</v>
      </c>
      <c r="AA333" s="13" t="s">
        <v>10368</v>
      </c>
      <c r="AB333" s="13" t="s">
        <v>10369</v>
      </c>
    </row>
    <row r="334" spans="1:28">
      <c r="A334" s="2" t="s">
        <v>8670</v>
      </c>
      <c r="B334" s="2" t="s">
        <v>28</v>
      </c>
      <c r="C334" s="11" t="s">
        <v>222</v>
      </c>
      <c r="D334" s="2" t="s">
        <v>30</v>
      </c>
      <c r="E334" s="2" t="s">
        <v>790</v>
      </c>
      <c r="F334" s="11" t="s">
        <v>791</v>
      </c>
      <c r="G334" s="11" t="s">
        <v>1108</v>
      </c>
      <c r="H334" s="2" t="s">
        <v>1109</v>
      </c>
      <c r="I334" s="12" t="s">
        <v>794</v>
      </c>
      <c r="J334" s="8">
        <f>+Tabla1[[#This Row],[FECHA ENTRADA]]</f>
        <v>45427</v>
      </c>
      <c r="K334" s="8">
        <v>45630</v>
      </c>
      <c r="L334" s="13">
        <f>_xlfn.DAYS(Tabla1[[#This Row],[FECHA FIN ]],Tabla1[[#This Row],[FECHA INICIO]])</f>
        <v>203</v>
      </c>
      <c r="M334" s="12"/>
      <c r="N334" s="12"/>
      <c r="O334" s="12">
        <f>(Tabla1[[#This Row],[COSTO FIJO ]]/30)*Tabla1[[#This Row],[TOTAL DIAS PROYECTO]]+(Tabla1[[#This Row],[COSTO TEMPORAL]])</f>
        <v>0</v>
      </c>
      <c r="P334" s="12"/>
      <c r="Q334" s="12">
        <f>+(Tabla1[[#This Row],[COSTO COCHE]]/30)*Tabla1[[#This Row],[TOTAL DIAS PROYECTO]]</f>
        <v>0</v>
      </c>
      <c r="R334" s="12">
        <f>+Tabla1[[#This Row],[COSTO TOTAL ALOJAMIENTO]]+Tabla1[[#This Row],[COSTO TOTAL COCHE]]</f>
        <v>0</v>
      </c>
      <c r="S334" s="2"/>
      <c r="T334" s="2" t="s">
        <v>35</v>
      </c>
      <c r="U334" s="14">
        <v>45427</v>
      </c>
      <c r="V334" s="14">
        <v>45447</v>
      </c>
      <c r="W334" s="26"/>
      <c r="X334" s="2">
        <v>10</v>
      </c>
      <c r="Y334" s="11" t="s">
        <v>1110</v>
      </c>
      <c r="Z334" s="2" t="s">
        <v>36</v>
      </c>
      <c r="AA334" s="13">
        <v>-574377</v>
      </c>
      <c r="AB334" s="13">
        <v>4150368</v>
      </c>
    </row>
    <row r="335" spans="1:28" ht="15" customHeight="1">
      <c r="A335" s="2" t="s">
        <v>8872</v>
      </c>
      <c r="B335" s="2" t="s">
        <v>368</v>
      </c>
      <c r="C335" s="11" t="s">
        <v>1111</v>
      </c>
      <c r="D335" s="2" t="s">
        <v>30</v>
      </c>
      <c r="E335" s="2" t="s">
        <v>213</v>
      </c>
      <c r="F335" s="11" t="s">
        <v>996</v>
      </c>
      <c r="G335" s="11" t="s">
        <v>997</v>
      </c>
      <c r="H335" s="2" t="s">
        <v>1112</v>
      </c>
      <c r="I335" s="12" t="s">
        <v>514</v>
      </c>
      <c r="J335" s="8">
        <f>+Tabla1[[#This Row],[FECHA ENTRADA]]</f>
        <v>45474</v>
      </c>
      <c r="K335" s="8">
        <v>45631</v>
      </c>
      <c r="L335" s="13">
        <f>_xlfn.DAYS(Tabla1[[#This Row],[FECHA FIN ]],Tabla1[[#This Row],[FECHA INICIO]])</f>
        <v>157</v>
      </c>
      <c r="M335" s="12"/>
      <c r="N335" s="12"/>
      <c r="O335" s="12">
        <f>(Tabla1[[#This Row],[COSTO FIJO ]]/30)*Tabla1[[#This Row],[TOTAL DIAS PROYECTO]]+(Tabla1[[#This Row],[COSTO TEMPORAL]])</f>
        <v>0</v>
      </c>
      <c r="P335" s="12">
        <f>((800+651.96)*50%)/10</f>
        <v>72.597999999999999</v>
      </c>
      <c r="Q335" s="12">
        <f>+(Tabla1[[#This Row],[COSTO COCHE]]/30)*Tabla1[[#This Row],[TOTAL DIAS PROYECTO]]</f>
        <v>379.92953333333332</v>
      </c>
      <c r="R335" s="12">
        <f>+Tabla1[[#This Row],[COSTO TOTAL ALOJAMIENTO]]+Tabla1[[#This Row],[COSTO TOTAL COCHE]]</f>
        <v>379.92953333333332</v>
      </c>
      <c r="S335" s="2"/>
      <c r="T335" s="2" t="s">
        <v>35</v>
      </c>
      <c r="U335" s="14">
        <v>45474</v>
      </c>
      <c r="V335" s="14"/>
      <c r="W335" s="26"/>
      <c r="X335" s="2">
        <v>1</v>
      </c>
      <c r="Y335" s="11" t="s">
        <v>1113</v>
      </c>
      <c r="Z335" s="2" t="s">
        <v>36</v>
      </c>
      <c r="AA335" s="13" t="s">
        <v>10349</v>
      </c>
      <c r="AB335" s="13" t="s">
        <v>10350</v>
      </c>
    </row>
    <row r="336" spans="1:28" ht="15" customHeight="1">
      <c r="A336" s="2" t="s">
        <v>8873</v>
      </c>
      <c r="B336" s="2" t="s">
        <v>368</v>
      </c>
      <c r="C336" s="11" t="s">
        <v>1114</v>
      </c>
      <c r="D336" s="2" t="s">
        <v>72</v>
      </c>
      <c r="E336" s="2" t="s">
        <v>1115</v>
      </c>
      <c r="F336" s="11" t="s">
        <v>1116</v>
      </c>
      <c r="G336" s="49" t="s">
        <v>1117</v>
      </c>
      <c r="H336" s="2" t="s">
        <v>1118</v>
      </c>
      <c r="I336" s="12" t="s">
        <v>1119</v>
      </c>
      <c r="J336" s="22">
        <f>+Tabla1[[#This Row],[FECHA ENTRADA]]</f>
        <v>45620</v>
      </c>
      <c r="K336" s="8">
        <v>45631</v>
      </c>
      <c r="L336" s="23">
        <f>_xlfn.DAYS(Tabla1[[#This Row],[FECHA FIN ]],Tabla1[[#This Row],[FECHA INICIO]])</f>
        <v>11</v>
      </c>
      <c r="M336" s="12"/>
      <c r="N336" s="12"/>
      <c r="O336" s="24">
        <f>(Tabla1[[#This Row],[COSTO FIJO ]]/30)*Tabla1[[#This Row],[TOTAL DIAS PROYECTO]]+(Tabla1[[#This Row],[COSTO TEMPORAL]])</f>
        <v>0</v>
      </c>
      <c r="P336" s="12">
        <v>400</v>
      </c>
      <c r="Q336" s="12">
        <f>+(Tabla1[[#This Row],[COSTO COCHE]]/30)*Tabla1[[#This Row],[TOTAL DIAS PROYECTO]]</f>
        <v>146.66666666666669</v>
      </c>
      <c r="R336" s="12">
        <f>+Tabla1[[#This Row],[COSTO TOTAL ALOJAMIENTO]]+Tabla1[[#This Row],[COSTO TOTAL COCHE]]</f>
        <v>146.66666666666669</v>
      </c>
      <c r="S336" s="2" t="s">
        <v>84</v>
      </c>
      <c r="T336" s="2" t="s">
        <v>44</v>
      </c>
      <c r="U336" s="14">
        <v>45620</v>
      </c>
      <c r="V336" s="25">
        <v>45631</v>
      </c>
      <c r="W336" s="26"/>
      <c r="X336" s="2"/>
      <c r="Y336" s="11" t="s">
        <v>1120</v>
      </c>
      <c r="Z336" s="2" t="s">
        <v>36</v>
      </c>
      <c r="AA336" s="13" t="s">
        <v>10411</v>
      </c>
      <c r="AB336" s="13">
        <v>50.656529999999997</v>
      </c>
    </row>
    <row r="337" spans="1:28">
      <c r="A337" s="2" t="s">
        <v>8874</v>
      </c>
      <c r="B337" s="2" t="s">
        <v>368</v>
      </c>
      <c r="C337" s="18" t="s">
        <v>1121</v>
      </c>
      <c r="D337" s="2" t="s">
        <v>30</v>
      </c>
      <c r="E337" s="2" t="s">
        <v>213</v>
      </c>
      <c r="F337" s="11" t="s">
        <v>996</v>
      </c>
      <c r="G337" s="11" t="s">
        <v>997</v>
      </c>
      <c r="H337" s="2" t="s">
        <v>513</v>
      </c>
      <c r="I337" s="12" t="s">
        <v>514</v>
      </c>
      <c r="J337" s="8">
        <f>+Tabla1[[#This Row],[FECHA ENTRADA]]</f>
        <v>45474</v>
      </c>
      <c r="K337" s="8">
        <v>45631</v>
      </c>
      <c r="L337" s="13">
        <f>_xlfn.DAYS(Tabla1[[#This Row],[FECHA FIN ]],Tabla1[[#This Row],[FECHA INICIO]])</f>
        <v>157</v>
      </c>
      <c r="M337" s="12">
        <v>341</v>
      </c>
      <c r="N337" s="28"/>
      <c r="O337" s="12">
        <f>(Tabla1[[#This Row],[COSTO FIJO ]]/30)*Tabla1[[#This Row],[TOTAL DIAS PROYECTO]]+(Tabla1[[#This Row],[COSTO TEMPORAL]])</f>
        <v>341</v>
      </c>
      <c r="P337" s="12">
        <f>((800+651.96)*50%)/10</f>
        <v>72.597999999999999</v>
      </c>
      <c r="Q337" s="12">
        <f>+(Tabla1[[#This Row],[COSTO COCHE]]/30)*Tabla1[[#This Row],[TOTAL DIAS PROYECTO]]</f>
        <v>379.92953333333332</v>
      </c>
      <c r="R337" s="12">
        <f>+Tabla1[[#This Row],[COSTO TOTAL ALOJAMIENTO]]+Tabla1[[#This Row],[COSTO TOTAL COCHE]]</f>
        <v>720.92953333333332</v>
      </c>
      <c r="S337" s="2"/>
      <c r="T337" s="2" t="s">
        <v>35</v>
      </c>
      <c r="U337" s="14">
        <v>45474</v>
      </c>
      <c r="V337" s="14"/>
      <c r="W337" s="26"/>
      <c r="X337" s="2">
        <v>1</v>
      </c>
      <c r="Y337" s="11"/>
      <c r="Z337" s="2" t="s">
        <v>36</v>
      </c>
      <c r="AA337" s="13" t="s">
        <v>10349</v>
      </c>
      <c r="AB337" s="13" t="s">
        <v>10350</v>
      </c>
    </row>
    <row r="338" spans="1:28" ht="15" customHeight="1">
      <c r="A338" s="2" t="s">
        <v>8841</v>
      </c>
      <c r="B338" s="2" t="s">
        <v>368</v>
      </c>
      <c r="C338" s="18" t="s">
        <v>975</v>
      </c>
      <c r="D338" s="2" t="s">
        <v>30</v>
      </c>
      <c r="E338" s="2" t="s">
        <v>213</v>
      </c>
      <c r="F338" s="11" t="s">
        <v>996</v>
      </c>
      <c r="G338" s="11" t="s">
        <v>997</v>
      </c>
      <c r="H338" s="2" t="s">
        <v>1122</v>
      </c>
      <c r="I338" s="12" t="s">
        <v>514</v>
      </c>
      <c r="J338" s="41">
        <f>+Tabla1[[#This Row],[FECHA ENTRADA]]</f>
        <v>45608</v>
      </c>
      <c r="K338" s="8">
        <v>45631</v>
      </c>
      <c r="L338" s="42">
        <f>_xlfn.DAYS(Tabla1[[#This Row],[FECHA FIN ]],Tabla1[[#This Row],[FECHA INICIO]])</f>
        <v>23</v>
      </c>
      <c r="M338" s="12"/>
      <c r="N338" s="12">
        <v>341</v>
      </c>
      <c r="O338" s="28">
        <f>(Tabla1[[#This Row],[COSTO FIJO ]]/30)*Tabla1[[#This Row],[TOTAL DIAS PROYECTO]]+(Tabla1[[#This Row],[COSTO TEMPORAL]])</f>
        <v>261.43333333333334</v>
      </c>
      <c r="P338" s="12"/>
      <c r="Q338" s="12">
        <f>+(Tabla1[[#This Row],[COSTO COCHE]]/30)*Tabla1[[#This Row],[TOTAL DIAS PROYECTO]]</f>
        <v>0</v>
      </c>
      <c r="R338" s="12">
        <f>+Tabla1[[#This Row],[COSTO TOTAL ALOJAMIENTO]]+Tabla1[[#This Row],[COSTO TOTAL COCHE]]</f>
        <v>261.43333333333334</v>
      </c>
      <c r="S338" s="2"/>
      <c r="T338" s="2" t="s">
        <v>35</v>
      </c>
      <c r="U338" s="14">
        <v>45608</v>
      </c>
      <c r="V338" s="43"/>
      <c r="W338" s="26"/>
      <c r="X338" s="2">
        <v>1</v>
      </c>
      <c r="Y338" s="11" t="s">
        <v>1123</v>
      </c>
      <c r="Z338" s="2" t="s">
        <v>36</v>
      </c>
      <c r="AA338" s="13" t="s">
        <v>10349</v>
      </c>
      <c r="AB338" s="13" t="s">
        <v>10350</v>
      </c>
    </row>
    <row r="339" spans="1:28">
      <c r="A339" s="2" t="s">
        <v>8776</v>
      </c>
      <c r="B339" s="2" t="s">
        <v>368</v>
      </c>
      <c r="C339" s="11" t="s">
        <v>703</v>
      </c>
      <c r="D339" s="2" t="s">
        <v>30</v>
      </c>
      <c r="E339" s="2" t="s">
        <v>213</v>
      </c>
      <c r="F339" s="11" t="s">
        <v>996</v>
      </c>
      <c r="G339" s="11" t="s">
        <v>997</v>
      </c>
      <c r="H339" s="2" t="s">
        <v>1124</v>
      </c>
      <c r="I339" s="12" t="s">
        <v>514</v>
      </c>
      <c r="J339" s="8">
        <f>+Tabla1[[#This Row],[FECHA ENTRADA]]</f>
        <v>45546</v>
      </c>
      <c r="K339" s="8">
        <v>45631</v>
      </c>
      <c r="L339" s="13">
        <f>_xlfn.DAYS(Tabla1[[#This Row],[FECHA FIN ]],Tabla1[[#This Row],[FECHA INICIO]])</f>
        <v>85</v>
      </c>
      <c r="M339" s="12"/>
      <c r="N339" s="12">
        <v>341</v>
      </c>
      <c r="O339" s="12">
        <f>(Tabla1[[#This Row],[COSTO FIJO ]]/30)*Tabla1[[#This Row],[TOTAL DIAS PROYECTO]]+(Tabla1[[#This Row],[COSTO TEMPORAL]])</f>
        <v>966.16666666666674</v>
      </c>
      <c r="P339" s="12">
        <f>((800+651.96)*50%)/10</f>
        <v>72.597999999999999</v>
      </c>
      <c r="Q339" s="12">
        <f>+(Tabla1[[#This Row],[COSTO COCHE]]/30)*Tabla1[[#This Row],[TOTAL DIAS PROYECTO]]</f>
        <v>205.69433333333333</v>
      </c>
      <c r="R339" s="12">
        <f>+Tabla1[[#This Row],[COSTO TOTAL ALOJAMIENTO]]+Tabla1[[#This Row],[COSTO TOTAL COCHE]]</f>
        <v>1171.8610000000001</v>
      </c>
      <c r="S339" s="2"/>
      <c r="T339" s="2" t="s">
        <v>35</v>
      </c>
      <c r="U339" s="14">
        <v>45546</v>
      </c>
      <c r="V339" s="14"/>
      <c r="W339" s="26"/>
      <c r="X339" s="2">
        <v>1</v>
      </c>
      <c r="Y339" s="11" t="s">
        <v>530</v>
      </c>
      <c r="Z339" s="2" t="s">
        <v>36</v>
      </c>
      <c r="AA339" s="13" t="s">
        <v>10349</v>
      </c>
      <c r="AB339" s="13" t="s">
        <v>10350</v>
      </c>
    </row>
    <row r="340" spans="1:28" ht="15" customHeight="1">
      <c r="A340" s="2" t="s">
        <v>8875</v>
      </c>
      <c r="B340" s="2" t="s">
        <v>368</v>
      </c>
      <c r="C340" s="86" t="s">
        <v>1125</v>
      </c>
      <c r="D340" s="2" t="s">
        <v>30</v>
      </c>
      <c r="E340" s="2" t="s">
        <v>985</v>
      </c>
      <c r="F340" s="11" t="s">
        <v>1126</v>
      </c>
      <c r="G340" s="30" t="s">
        <v>1127</v>
      </c>
      <c r="H340" s="2" t="s">
        <v>1128</v>
      </c>
      <c r="I340" s="12" t="s">
        <v>989</v>
      </c>
      <c r="J340" s="41">
        <f>+Tabla1[[#This Row],[FECHA ENTRADA]]</f>
        <v>45599</v>
      </c>
      <c r="K340" s="8">
        <v>45631</v>
      </c>
      <c r="L340" s="42">
        <f>_xlfn.DAYS(Tabla1[[#This Row],[FECHA FIN ]],Tabla1[[#This Row],[FECHA INICIO]])</f>
        <v>32</v>
      </c>
      <c r="M340" s="12">
        <v>113</v>
      </c>
      <c r="N340" s="28">
        <v>412.5</v>
      </c>
      <c r="O340" s="28">
        <f>(Tabla1[[#This Row],[COSTO FIJO ]]/30)*Tabla1[[#This Row],[TOTAL DIAS PROYECTO]]+(Tabla1[[#This Row],[COSTO TEMPORAL]])</f>
        <v>553</v>
      </c>
      <c r="P340" s="12"/>
      <c r="Q340" s="12">
        <f>+(Tabla1[[#This Row],[COSTO COCHE]]/30)*Tabla1[[#This Row],[TOTAL DIAS PROYECTO]]</f>
        <v>0</v>
      </c>
      <c r="R340" s="12">
        <f>+Tabla1[[#This Row],[COSTO TOTAL ALOJAMIENTO]]+Tabla1[[#This Row],[COSTO TOTAL COCHE]]</f>
        <v>553</v>
      </c>
      <c r="S340" s="2"/>
      <c r="T340" s="2" t="s">
        <v>35</v>
      </c>
      <c r="U340" s="14">
        <v>45599</v>
      </c>
      <c r="V340" s="43"/>
      <c r="W340" s="26"/>
      <c r="X340" s="2">
        <v>5</v>
      </c>
      <c r="Y340" s="11" t="s">
        <v>1129</v>
      </c>
      <c r="Z340" s="2" t="s">
        <v>36</v>
      </c>
      <c r="AA340" s="13" t="s">
        <v>10407</v>
      </c>
      <c r="AB340" s="13" t="s">
        <v>10408</v>
      </c>
    </row>
    <row r="341" spans="1:28" ht="15" customHeight="1">
      <c r="A341" s="2" t="s">
        <v>8762</v>
      </c>
      <c r="B341" s="2" t="s">
        <v>368</v>
      </c>
      <c r="C341" s="11" t="s">
        <v>639</v>
      </c>
      <c r="D341" s="2" t="s">
        <v>30</v>
      </c>
      <c r="E341" s="2" t="s">
        <v>1130</v>
      </c>
      <c r="F341" s="11" t="s">
        <v>1131</v>
      </c>
      <c r="G341" t="s">
        <v>1132</v>
      </c>
      <c r="H341" s="2" t="s">
        <v>1133</v>
      </c>
      <c r="I341" s="12" t="s">
        <v>1134</v>
      </c>
      <c r="J341" s="8">
        <v>45551</v>
      </c>
      <c r="K341" s="22">
        <v>45631</v>
      </c>
      <c r="L341" s="13">
        <f>_xlfn.DAYS(Tabla1[[#This Row],[FECHA FIN ]],Tabla1[[#This Row],[FECHA INICIO]])</f>
        <v>80</v>
      </c>
      <c r="M341" s="12"/>
      <c r="N341" s="12">
        <v>460</v>
      </c>
      <c r="O341" s="12">
        <f>(Tabla1[[#This Row],[COSTO FIJO ]]/30)*Tabla1[[#This Row],[TOTAL DIAS PROYECTO]]+(Tabla1[[#This Row],[COSTO TEMPORAL]])</f>
        <v>1226.6666666666667</v>
      </c>
      <c r="P341" s="12"/>
      <c r="Q341" s="12">
        <f>+(Tabla1[[#This Row],[COSTO COCHE]]/30)*Tabla1[[#This Row],[TOTAL DIAS PROYECTO]]</f>
        <v>0</v>
      </c>
      <c r="R341" s="12">
        <f>+Tabla1[[#This Row],[COSTO TOTAL ALOJAMIENTO]]+Tabla1[[#This Row],[COSTO TOTAL COCHE]]</f>
        <v>1226.6666666666667</v>
      </c>
      <c r="S341" s="2"/>
      <c r="T341" s="2" t="s">
        <v>35</v>
      </c>
      <c r="U341" s="14">
        <v>45488</v>
      </c>
      <c r="V341" s="14"/>
      <c r="W341" s="26"/>
      <c r="X341" s="2">
        <v>14</v>
      </c>
      <c r="Y341" s="67" t="s">
        <v>1135</v>
      </c>
      <c r="Z341" s="2" t="s">
        <v>36</v>
      </c>
      <c r="AA341" s="13" t="s">
        <v>10412</v>
      </c>
      <c r="AB341" s="13">
        <v>4200955</v>
      </c>
    </row>
    <row r="342" spans="1:28" s="30" customFormat="1" ht="15" customHeight="1">
      <c r="A342" s="2" t="s">
        <v>8835</v>
      </c>
      <c r="B342" s="2" t="s">
        <v>28</v>
      </c>
      <c r="C342" s="11" t="s">
        <v>954</v>
      </c>
      <c r="D342" s="2" t="s">
        <v>30</v>
      </c>
      <c r="E342" s="2" t="s">
        <v>213</v>
      </c>
      <c r="F342" s="11" t="s">
        <v>871</v>
      </c>
      <c r="G342" s="11" t="s">
        <v>872</v>
      </c>
      <c r="H342" s="2" t="s">
        <v>1136</v>
      </c>
      <c r="I342" s="12" t="s">
        <v>52</v>
      </c>
      <c r="J342" s="41">
        <f>+Tabla1[[#This Row],[FECHA ENTRADA]]</f>
        <v>45606</v>
      </c>
      <c r="K342" s="8">
        <v>45631</v>
      </c>
      <c r="L342" s="42">
        <f>_xlfn.DAYS(Tabla1[[#This Row],[FECHA FIN ]],Tabla1[[#This Row],[FECHA INICIO]])</f>
        <v>25</v>
      </c>
      <c r="M342" s="12"/>
      <c r="N342" s="12"/>
      <c r="O342" s="28">
        <f>(Tabla1[[#This Row],[COSTO FIJO ]]/30)*Tabla1[[#This Row],[TOTAL DIAS PROYECTO]]+(Tabla1[[#This Row],[COSTO TEMPORAL]])</f>
        <v>0</v>
      </c>
      <c r="P342" s="12"/>
      <c r="Q342" s="12">
        <f>+(Tabla1[[#This Row],[COSTO COCHE]]/30)*Tabla1[[#This Row],[TOTAL DIAS PROYECTO]]</f>
        <v>0</v>
      </c>
      <c r="R342" s="12">
        <f>+Tabla1[[#This Row],[COSTO TOTAL ALOJAMIENTO]]+Tabla1[[#This Row],[COSTO TOTAL COCHE]]</f>
        <v>0</v>
      </c>
      <c r="S342" s="2"/>
      <c r="T342" s="2" t="s">
        <v>35</v>
      </c>
      <c r="U342" s="14">
        <v>45606</v>
      </c>
      <c r="V342" s="43"/>
      <c r="W342" s="26"/>
      <c r="X342" s="2"/>
      <c r="Y342" s="11"/>
      <c r="Z342" s="2" t="s">
        <v>36</v>
      </c>
      <c r="AA342" s="13" t="s">
        <v>10349</v>
      </c>
      <c r="AB342" s="13" t="s">
        <v>10350</v>
      </c>
    </row>
    <row r="343" spans="1:28" s="30" customFormat="1" ht="15" customHeight="1">
      <c r="A343" s="2" t="s">
        <v>8876</v>
      </c>
      <c r="B343" s="2" t="s">
        <v>368</v>
      </c>
      <c r="C343" s="11" t="s">
        <v>1137</v>
      </c>
      <c r="D343" s="2" t="s">
        <v>30</v>
      </c>
      <c r="E343" s="2" t="s">
        <v>826</v>
      </c>
      <c r="F343" s="11" t="s">
        <v>827</v>
      </c>
      <c r="G343" s="11" t="s">
        <v>828</v>
      </c>
      <c r="H343" s="2" t="s">
        <v>1138</v>
      </c>
      <c r="I343" s="12" t="s">
        <v>152</v>
      </c>
      <c r="J343" s="8">
        <f>+Tabla1[[#This Row],[FECHA ENTRADA]]</f>
        <v>45501</v>
      </c>
      <c r="K343" s="8">
        <v>45633</v>
      </c>
      <c r="L343" s="13">
        <f>_xlfn.DAYS(Tabla1[[#This Row],[FECHA FIN ]],Tabla1[[#This Row],[FECHA INICIO]])</f>
        <v>132</v>
      </c>
      <c r="M343" s="12"/>
      <c r="N343" s="12">
        <v>372</v>
      </c>
      <c r="O343" s="12">
        <f>(Tabla1[[#This Row],[COSTO FIJO ]]/30)*Tabla1[[#This Row],[TOTAL DIAS PROYECTO]]+(Tabla1[[#This Row],[COSTO TEMPORAL]])</f>
        <v>1636.8</v>
      </c>
      <c r="P343" s="12">
        <f>651.96/5</f>
        <v>130.392</v>
      </c>
      <c r="Q343" s="12">
        <f>+(Tabla1[[#This Row],[COSTO COCHE]]/30)*Tabla1[[#This Row],[TOTAL DIAS PROYECTO]]</f>
        <v>573.72479999999996</v>
      </c>
      <c r="R343" s="12">
        <f>+Tabla1[[#This Row],[COSTO TOTAL ALOJAMIENTO]]+Tabla1[[#This Row],[COSTO TOTAL COCHE]]</f>
        <v>2210.5248000000001</v>
      </c>
      <c r="S343" s="2"/>
      <c r="T343" s="2" t="s">
        <v>35</v>
      </c>
      <c r="U343" s="14">
        <v>45501</v>
      </c>
      <c r="V343" s="8">
        <v>45565</v>
      </c>
      <c r="W343" s="26"/>
      <c r="X343" s="2">
        <v>1</v>
      </c>
      <c r="Y343" s="11" t="s">
        <v>1139</v>
      </c>
      <c r="Z343" s="2" t="s">
        <v>36</v>
      </c>
      <c r="AA343" s="13" t="s">
        <v>10399</v>
      </c>
      <c r="AB343" s="13" t="s">
        <v>10400</v>
      </c>
    </row>
    <row r="344" spans="1:28" s="30" customFormat="1" ht="15" customHeight="1">
      <c r="A344" s="2" t="s">
        <v>8877</v>
      </c>
      <c r="B344" s="2" t="s">
        <v>28</v>
      </c>
      <c r="C344" s="11" t="s">
        <v>1140</v>
      </c>
      <c r="D344" s="2" t="s">
        <v>749</v>
      </c>
      <c r="E344" s="2" t="s">
        <v>288</v>
      </c>
      <c r="F344" s="11" t="s">
        <v>1141</v>
      </c>
      <c r="G344" t="s">
        <v>1142</v>
      </c>
      <c r="H344" s="2" t="s">
        <v>929</v>
      </c>
      <c r="I344" s="29" t="s">
        <v>753</v>
      </c>
      <c r="J344" s="8">
        <f>+Tabla1[[#This Row],[FECHA ENTRADA]]</f>
        <v>45487</v>
      </c>
      <c r="K344" s="22">
        <v>45821</v>
      </c>
      <c r="L344" s="13">
        <f>_xlfn.DAYS(Tabla1[[#This Row],[FECHA FIN ]],Tabla1[[#This Row],[FECHA INICIO]])</f>
        <v>334</v>
      </c>
      <c r="M344" s="12"/>
      <c r="N344" s="12">
        <f>1811.6/17</f>
        <v>106.56470588235294</v>
      </c>
      <c r="O344" s="12">
        <f>(Tabla1[[#This Row],[COSTO FIJO ]]/30)*Tabla1[[#This Row],[TOTAL DIAS PROYECTO]]+(Tabla1[[#This Row],[COSTO TEMPORAL]])</f>
        <v>1186.4203921568628</v>
      </c>
      <c r="P344" s="12">
        <f>8180.25/45</f>
        <v>181.78333333333333</v>
      </c>
      <c r="Q344" s="12">
        <f>+(Tabla1[[#This Row],[COSTO COCHE]]/30)*Tabla1[[#This Row],[TOTAL DIAS PROYECTO]]</f>
        <v>2023.8544444444442</v>
      </c>
      <c r="R344" s="12">
        <f>+Tabla1[[#This Row],[COSTO TOTAL ALOJAMIENTO]]+Tabla1[[#This Row],[COSTO TOTAL COCHE]]</f>
        <v>3210.274836601307</v>
      </c>
      <c r="S344" s="2"/>
      <c r="T344" s="2" t="s">
        <v>44</v>
      </c>
      <c r="U344" s="14">
        <v>45487</v>
      </c>
      <c r="V344" s="14">
        <v>45619</v>
      </c>
      <c r="W344" s="26"/>
      <c r="X344" s="2">
        <v>23</v>
      </c>
      <c r="Y344" s="11"/>
      <c r="Z344" s="2" t="s">
        <v>36</v>
      </c>
      <c r="AA344" s="13" t="s">
        <v>10362</v>
      </c>
      <c r="AB344" s="13" t="s">
        <v>10363</v>
      </c>
    </row>
    <row r="345" spans="1:28" s="30" customFormat="1" ht="15" customHeight="1">
      <c r="A345" s="2" t="s">
        <v>8878</v>
      </c>
      <c r="B345" s="2" t="s">
        <v>28</v>
      </c>
      <c r="C345" s="11" t="s">
        <v>1143</v>
      </c>
      <c r="D345" s="2" t="s">
        <v>749</v>
      </c>
      <c r="E345" s="2" t="s">
        <v>288</v>
      </c>
      <c r="F345" s="11" t="s">
        <v>1144</v>
      </c>
      <c r="G345" t="s">
        <v>751</v>
      </c>
      <c r="H345" s="2" t="s">
        <v>929</v>
      </c>
      <c r="I345" s="29" t="s">
        <v>753</v>
      </c>
      <c r="J345" s="8">
        <f>+Tabla1[[#This Row],[FECHA ENTRADA]]</f>
        <v>45487</v>
      </c>
      <c r="K345" s="22">
        <v>45821</v>
      </c>
      <c r="L345" s="13">
        <f>_xlfn.DAYS(Tabla1[[#This Row],[FECHA FIN ]],Tabla1[[#This Row],[FECHA INICIO]])</f>
        <v>334</v>
      </c>
      <c r="M345" s="12"/>
      <c r="N345" s="12">
        <f>1811.6/17</f>
        <v>106.56470588235294</v>
      </c>
      <c r="O345" s="12">
        <f>(Tabla1[[#This Row],[COSTO FIJO ]]/30)*Tabla1[[#This Row],[TOTAL DIAS PROYECTO]]+(Tabla1[[#This Row],[COSTO TEMPORAL]])</f>
        <v>1186.4203921568628</v>
      </c>
      <c r="P345" s="12">
        <f>8180.25/45</f>
        <v>181.78333333333333</v>
      </c>
      <c r="Q345" s="12">
        <f>+(Tabla1[[#This Row],[COSTO COCHE]]/30)*Tabla1[[#This Row],[TOTAL DIAS PROYECTO]]</f>
        <v>2023.8544444444442</v>
      </c>
      <c r="R345" s="12">
        <f>+Tabla1[[#This Row],[COSTO TOTAL ALOJAMIENTO]]+Tabla1[[#This Row],[COSTO TOTAL COCHE]]</f>
        <v>3210.274836601307</v>
      </c>
      <c r="S345" s="2"/>
      <c r="T345" s="2" t="s">
        <v>44</v>
      </c>
      <c r="U345" s="14">
        <v>45487</v>
      </c>
      <c r="V345" s="14">
        <v>45626</v>
      </c>
      <c r="W345" s="26"/>
      <c r="X345" s="2">
        <v>1</v>
      </c>
      <c r="Y345" s="11"/>
      <c r="Z345" s="2" t="s">
        <v>36</v>
      </c>
      <c r="AA345" s="13" t="s">
        <v>10362</v>
      </c>
      <c r="AB345" s="13" t="s">
        <v>10363</v>
      </c>
    </row>
    <row r="346" spans="1:28" ht="15" customHeight="1">
      <c r="A346" s="2" t="s">
        <v>8879</v>
      </c>
      <c r="B346" s="2" t="s">
        <v>28</v>
      </c>
      <c r="C346" s="11" t="s">
        <v>1145</v>
      </c>
      <c r="D346" s="2" t="s">
        <v>749</v>
      </c>
      <c r="E346" s="2" t="s">
        <v>288</v>
      </c>
      <c r="F346" s="11" t="s">
        <v>928</v>
      </c>
      <c r="G346" s="30" t="s">
        <v>1031</v>
      </c>
      <c r="H346" s="2" t="s">
        <v>929</v>
      </c>
      <c r="I346" s="29" t="s">
        <v>753</v>
      </c>
      <c r="J346" s="8">
        <f>+Tabla1[[#This Row],[FECHA ENTRADA]]</f>
        <v>45487</v>
      </c>
      <c r="K346" s="22">
        <v>45821</v>
      </c>
      <c r="L346" s="13">
        <f>_xlfn.DAYS(Tabla1[[#This Row],[FECHA FIN ]],Tabla1[[#This Row],[FECHA INICIO]])</f>
        <v>334</v>
      </c>
      <c r="M346" s="12"/>
      <c r="N346" s="12"/>
      <c r="O346" s="12">
        <f>(Tabla1[[#This Row],[COSTO FIJO ]]/30)*Tabla1[[#This Row],[TOTAL DIAS PROYECTO]]+(Tabla1[[#This Row],[COSTO TEMPORAL]])</f>
        <v>0</v>
      </c>
      <c r="P346" s="12">
        <f>8180.25/45</f>
        <v>181.78333333333333</v>
      </c>
      <c r="Q346" s="12">
        <f>+(Tabla1[[#This Row],[COSTO COCHE]]/30)*Tabla1[[#This Row],[TOTAL DIAS PROYECTO]]</f>
        <v>2023.8544444444442</v>
      </c>
      <c r="R346" s="12">
        <f>+Tabla1[[#This Row],[COSTO TOTAL ALOJAMIENTO]]+Tabla1[[#This Row],[COSTO TOTAL COCHE]]</f>
        <v>2023.8544444444442</v>
      </c>
      <c r="S346" s="2"/>
      <c r="T346" s="2" t="s">
        <v>44</v>
      </c>
      <c r="U346" s="14">
        <v>45487</v>
      </c>
      <c r="V346" s="14">
        <v>45634</v>
      </c>
      <c r="W346" s="26"/>
      <c r="X346" s="2">
        <v>1</v>
      </c>
      <c r="Y346" s="11"/>
      <c r="Z346" s="2" t="s">
        <v>36</v>
      </c>
      <c r="AA346" s="13" t="s">
        <v>10362</v>
      </c>
      <c r="AB346" s="13" t="s">
        <v>10363</v>
      </c>
    </row>
    <row r="347" spans="1:28" ht="15" customHeight="1">
      <c r="A347" s="2" t="s">
        <v>8880</v>
      </c>
      <c r="B347" s="2" t="s">
        <v>28</v>
      </c>
      <c r="C347" s="11" t="s">
        <v>1146</v>
      </c>
      <c r="D347" s="2" t="s">
        <v>749</v>
      </c>
      <c r="E347" s="2" t="s">
        <v>288</v>
      </c>
      <c r="F347" s="11" t="s">
        <v>1144</v>
      </c>
      <c r="G347" t="s">
        <v>751</v>
      </c>
      <c r="H347" s="2" t="s">
        <v>929</v>
      </c>
      <c r="I347" s="29" t="s">
        <v>753</v>
      </c>
      <c r="J347" s="8">
        <f>+Tabla1[[#This Row],[FECHA ENTRADA]]</f>
        <v>45487</v>
      </c>
      <c r="K347" s="22">
        <v>45821</v>
      </c>
      <c r="L347" s="13">
        <f>_xlfn.DAYS(Tabla1[[#This Row],[FECHA FIN ]],Tabla1[[#This Row],[FECHA INICIO]])</f>
        <v>334</v>
      </c>
      <c r="M347" s="12"/>
      <c r="N347" s="12">
        <f>1811.6/17</f>
        <v>106.56470588235294</v>
      </c>
      <c r="O347" s="12">
        <f>(Tabla1[[#This Row],[COSTO FIJO ]]/30)*Tabla1[[#This Row],[TOTAL DIAS PROYECTO]]+(Tabla1[[#This Row],[COSTO TEMPORAL]])</f>
        <v>1186.4203921568628</v>
      </c>
      <c r="P347" s="12">
        <f>8180.25/45</f>
        <v>181.78333333333333</v>
      </c>
      <c r="Q347" s="12">
        <f>+(Tabla1[[#This Row],[COSTO COCHE]]/30)*Tabla1[[#This Row],[TOTAL DIAS PROYECTO]]</f>
        <v>2023.8544444444442</v>
      </c>
      <c r="R347" s="12">
        <f>+Tabla1[[#This Row],[COSTO TOTAL ALOJAMIENTO]]+Tabla1[[#This Row],[COSTO TOTAL COCHE]]</f>
        <v>3210.274836601307</v>
      </c>
      <c r="S347" s="2"/>
      <c r="T347" s="2" t="s">
        <v>44</v>
      </c>
      <c r="U347" s="14">
        <v>45487</v>
      </c>
      <c r="V347" s="14">
        <v>45634</v>
      </c>
      <c r="W347" s="26"/>
      <c r="X347" s="2">
        <v>1</v>
      </c>
      <c r="Y347" s="11"/>
      <c r="Z347" s="2" t="s">
        <v>36</v>
      </c>
      <c r="AA347" s="13" t="s">
        <v>10362</v>
      </c>
      <c r="AB347" s="13" t="s">
        <v>10363</v>
      </c>
    </row>
    <row r="348" spans="1:28" ht="15" customHeight="1">
      <c r="A348" s="2" t="s">
        <v>8881</v>
      </c>
      <c r="B348" s="2" t="s">
        <v>28</v>
      </c>
      <c r="C348" s="11" t="s">
        <v>1147</v>
      </c>
      <c r="D348" s="2" t="s">
        <v>749</v>
      </c>
      <c r="E348" s="2" t="s">
        <v>288</v>
      </c>
      <c r="F348" s="11" t="s">
        <v>928</v>
      </c>
      <c r="G348" s="30" t="s">
        <v>1031</v>
      </c>
      <c r="H348" s="2" t="s">
        <v>1032</v>
      </c>
      <c r="I348" s="29" t="s">
        <v>753</v>
      </c>
      <c r="J348" s="8">
        <f>+Tabla1[[#This Row],[FECHA ENTRADA]]</f>
        <v>45487</v>
      </c>
      <c r="K348" s="22">
        <v>45821</v>
      </c>
      <c r="L348" s="13">
        <f>_xlfn.DAYS(Tabla1[[#This Row],[FECHA FIN ]],Tabla1[[#This Row],[FECHA INICIO]])</f>
        <v>334</v>
      </c>
      <c r="M348" s="12"/>
      <c r="N348" s="12">
        <f>1811.6/17</f>
        <v>106.56470588235294</v>
      </c>
      <c r="O348" s="12">
        <f>(Tabla1[[#This Row],[COSTO FIJO ]]/30)*Tabla1[[#This Row],[TOTAL DIAS PROYECTO]]+(Tabla1[[#This Row],[COSTO TEMPORAL]])</f>
        <v>1186.4203921568628</v>
      </c>
      <c r="P348" s="12">
        <f>8180.25/45</f>
        <v>181.78333333333333</v>
      </c>
      <c r="Q348" s="12">
        <f>+(Tabla1[[#This Row],[COSTO COCHE]]/30)*Tabla1[[#This Row],[TOTAL DIAS PROYECTO]]</f>
        <v>2023.8544444444442</v>
      </c>
      <c r="R348" s="12">
        <f>+Tabla1[[#This Row],[COSTO TOTAL ALOJAMIENTO]]+Tabla1[[#This Row],[COSTO TOTAL COCHE]]</f>
        <v>3210.274836601307</v>
      </c>
      <c r="S348" s="2"/>
      <c r="T348" s="2" t="s">
        <v>44</v>
      </c>
      <c r="U348" s="14">
        <v>45487</v>
      </c>
      <c r="V348" s="14">
        <v>45634</v>
      </c>
      <c r="W348" s="26"/>
      <c r="X348" s="2">
        <v>1</v>
      </c>
      <c r="Y348" s="11"/>
      <c r="Z348" s="2" t="s">
        <v>36</v>
      </c>
      <c r="AA348" s="13" t="s">
        <v>10362</v>
      </c>
      <c r="AB348" s="13" t="s">
        <v>10363</v>
      </c>
    </row>
    <row r="349" spans="1:28" ht="15" customHeight="1">
      <c r="A349" s="2" t="s">
        <v>8867</v>
      </c>
      <c r="B349" s="2" t="s">
        <v>28</v>
      </c>
      <c r="C349" s="11" t="s">
        <v>1080</v>
      </c>
      <c r="D349" s="2" t="s">
        <v>30</v>
      </c>
      <c r="E349" s="2" t="s">
        <v>415</v>
      </c>
      <c r="F349" s="11" t="s">
        <v>1148</v>
      </c>
      <c r="G349" s="30" t="s">
        <v>1149</v>
      </c>
      <c r="H349" s="2" t="s">
        <v>1150</v>
      </c>
      <c r="I349" s="12" t="s">
        <v>800</v>
      </c>
      <c r="J349" s="41">
        <f>+Tabla1[[#This Row],[FECHA ENTRADA]]</f>
        <v>45629</v>
      </c>
      <c r="K349" s="22">
        <v>45635</v>
      </c>
      <c r="L349" s="42">
        <f>_xlfn.DAYS(Tabla1[[#This Row],[FECHA FIN ]],Tabla1[[#This Row],[FECHA INICIO]])</f>
        <v>6</v>
      </c>
      <c r="M349" s="12"/>
      <c r="N349" s="12">
        <f>+(60)+(60)</f>
        <v>120</v>
      </c>
      <c r="O349" s="28">
        <f>(Tabla1[[#This Row],[COSTO FIJO ]]/30)*Tabla1[[#This Row],[TOTAL DIAS PROYECTO]]+(Tabla1[[#This Row],[COSTO TEMPORAL]])</f>
        <v>24</v>
      </c>
      <c r="P349" s="12"/>
      <c r="Q349" s="12">
        <f>+(Tabla1[[#This Row],[COSTO COCHE]]/30)*Tabla1[[#This Row],[TOTAL DIAS PROYECTO]]</f>
        <v>0</v>
      </c>
      <c r="R349" s="12">
        <f>+Tabla1[[#This Row],[COSTO TOTAL ALOJAMIENTO]]+Tabla1[[#This Row],[COSTO TOTAL COCHE]]</f>
        <v>24</v>
      </c>
      <c r="S349" s="2"/>
      <c r="T349" s="2" t="s">
        <v>44</v>
      </c>
      <c r="U349" s="14">
        <v>45629</v>
      </c>
      <c r="V349" s="43">
        <v>45635</v>
      </c>
      <c r="W349" s="26"/>
      <c r="X349" s="2"/>
      <c r="Y349" s="11"/>
      <c r="Z349" s="2" t="s">
        <v>36</v>
      </c>
      <c r="AA349" s="13">
        <v>-0.37739</v>
      </c>
      <c r="AB349" s="13" t="s">
        <v>10372</v>
      </c>
    </row>
    <row r="350" spans="1:28" ht="15" customHeight="1">
      <c r="A350" s="2" t="s">
        <v>8882</v>
      </c>
      <c r="B350" s="2" t="s">
        <v>978</v>
      </c>
      <c r="C350" s="52" t="s">
        <v>1151</v>
      </c>
      <c r="D350" s="2" t="s">
        <v>30</v>
      </c>
      <c r="E350" s="2" t="s">
        <v>253</v>
      </c>
      <c r="F350" s="11" t="s">
        <v>1152</v>
      </c>
      <c r="G350" s="46" t="s">
        <v>1153</v>
      </c>
      <c r="H350" s="2" t="s">
        <v>1154</v>
      </c>
      <c r="I350" s="12" t="s">
        <v>1155</v>
      </c>
      <c r="J350" s="41">
        <f>+Tabla1[[#This Row],[FECHA ENTRADA]]</f>
        <v>45630</v>
      </c>
      <c r="K350" s="41">
        <v>45636</v>
      </c>
      <c r="L350" s="42">
        <f>_xlfn.DAYS(Tabla1[[#This Row],[FECHA FIN ]],Tabla1[[#This Row],[FECHA INICIO]])</f>
        <v>6</v>
      </c>
      <c r="M350" s="28"/>
      <c r="N350" s="20"/>
      <c r="O350" s="28">
        <f>(Tabla1[[#This Row],[COSTO FIJO ]]/30)*Tabla1[[#This Row],[TOTAL DIAS PROYECTO]]+(Tabla1[[#This Row],[COSTO TEMPORAL]])</f>
        <v>0</v>
      </c>
      <c r="P350" s="12"/>
      <c r="Q350" s="12">
        <f>+(Tabla1[[#This Row],[COSTO COCHE]]/30)*Tabla1[[#This Row],[TOTAL DIAS PROYECTO]]</f>
        <v>0</v>
      </c>
      <c r="R350" s="12">
        <f>+Tabla1[[#This Row],[COSTO TOTAL ALOJAMIENTO]]+Tabla1[[#This Row],[COSTO TOTAL COCHE]]</f>
        <v>0</v>
      </c>
      <c r="S350" s="2"/>
      <c r="T350" s="2" t="s">
        <v>44</v>
      </c>
      <c r="U350" s="14">
        <v>45630</v>
      </c>
      <c r="V350" s="43">
        <v>45636</v>
      </c>
      <c r="W350" s="26"/>
      <c r="X350" s="2"/>
      <c r="Y350" s="11"/>
      <c r="Z350" s="2" t="s">
        <v>36</v>
      </c>
      <c r="AA350" s="13" t="s">
        <v>10357</v>
      </c>
      <c r="AB350" s="13" t="s">
        <v>10358</v>
      </c>
    </row>
    <row r="351" spans="1:28">
      <c r="A351" s="2" t="s">
        <v>8883</v>
      </c>
      <c r="B351" s="2" t="s">
        <v>28</v>
      </c>
      <c r="C351" s="87" t="s">
        <v>1156</v>
      </c>
      <c r="D351" s="2" t="s">
        <v>30</v>
      </c>
      <c r="E351" s="2" t="s">
        <v>502</v>
      </c>
      <c r="F351" s="11" t="s">
        <v>503</v>
      </c>
      <c r="G351" s="11" t="s">
        <v>504</v>
      </c>
      <c r="H351" s="2" t="s">
        <v>592</v>
      </c>
      <c r="I351" s="12" t="s">
        <v>506</v>
      </c>
      <c r="J351" s="8">
        <f>+Tabla1[[#This Row],[FECHA ENTRADA]]</f>
        <v>45495</v>
      </c>
      <c r="K351" s="22">
        <v>45821</v>
      </c>
      <c r="L351" s="13">
        <f>_xlfn.DAYS(Tabla1[[#This Row],[FECHA FIN ]],Tabla1[[#This Row],[FECHA INICIO]])</f>
        <v>326</v>
      </c>
      <c r="M351" s="12"/>
      <c r="N351" s="12">
        <f>1811.6/17</f>
        <v>106.56470588235294</v>
      </c>
      <c r="O351" s="12">
        <f>(Tabla1[[#This Row],[COSTO FIJO ]]/30)*Tabla1[[#This Row],[TOTAL DIAS PROYECTO]]+(Tabla1[[#This Row],[COSTO TEMPORAL]])</f>
        <v>1158.003137254902</v>
      </c>
      <c r="P351" s="12">
        <f>+((803.8+542.69)*50%)/9</f>
        <v>74.805000000000007</v>
      </c>
      <c r="Q351" s="12">
        <f>+(Tabla1[[#This Row],[COSTO COCHE]]/30)*Tabla1[[#This Row],[TOTAL DIAS PROYECTO]]</f>
        <v>812.88099999999997</v>
      </c>
      <c r="R351" s="12">
        <f>+Tabla1[[#This Row],[COSTO TOTAL ALOJAMIENTO]]+Tabla1[[#This Row],[COSTO TOTAL COCHE]]</f>
        <v>1970.8841372549018</v>
      </c>
      <c r="S351" s="2"/>
      <c r="T351" s="2" t="s">
        <v>35</v>
      </c>
      <c r="U351" s="14">
        <v>45495</v>
      </c>
      <c r="V351" s="14"/>
      <c r="W351" s="26"/>
      <c r="X351" s="2">
        <v>1</v>
      </c>
      <c r="Y351" s="11" t="s">
        <v>1157</v>
      </c>
      <c r="Z351" s="2" t="s">
        <v>36</v>
      </c>
      <c r="AA351" s="13" t="s">
        <v>10378</v>
      </c>
      <c r="AB351" s="13" t="s">
        <v>10379</v>
      </c>
    </row>
    <row r="352" spans="1:28">
      <c r="A352" s="2" t="s">
        <v>8730</v>
      </c>
      <c r="B352" s="2" t="s">
        <v>28</v>
      </c>
      <c r="C352" s="86" t="s">
        <v>472</v>
      </c>
      <c r="D352" s="2" t="s">
        <v>30</v>
      </c>
      <c r="E352" s="2" t="s">
        <v>502</v>
      </c>
      <c r="F352" s="11" t="s">
        <v>1049</v>
      </c>
      <c r="G352" s="11" t="s">
        <v>1050</v>
      </c>
      <c r="H352" s="2" t="s">
        <v>505</v>
      </c>
      <c r="I352" s="12" t="s">
        <v>506</v>
      </c>
      <c r="J352" s="8">
        <f>+Tabla1[[#This Row],[FECHA ENTRADA]]</f>
        <v>45448</v>
      </c>
      <c r="K352" s="22">
        <v>45821</v>
      </c>
      <c r="L352" s="13">
        <f>_xlfn.DAYS(Tabla1[[#This Row],[FECHA FIN ]],Tabla1[[#This Row],[FECHA INICIO]])</f>
        <v>373</v>
      </c>
      <c r="M352" s="12"/>
      <c r="N352" s="12">
        <v>216.66666666666666</v>
      </c>
      <c r="O352" s="12">
        <f>(Tabla1[[#This Row],[COSTO FIJO ]]/30)*Tabla1[[#This Row],[TOTAL DIAS PROYECTO]]+(Tabla1[[#This Row],[COSTO TEMPORAL]])</f>
        <v>2693.8888888888891</v>
      </c>
      <c r="P352" s="12">
        <f>+((803.8+542.69)*50%)/9</f>
        <v>74.805000000000007</v>
      </c>
      <c r="Q352" s="12">
        <f>+(Tabla1[[#This Row],[COSTO COCHE]]/30)*Tabla1[[#This Row],[TOTAL DIAS PROYECTO]]</f>
        <v>930.07550000000003</v>
      </c>
      <c r="R352" s="12">
        <f>+Tabla1[[#This Row],[COSTO TOTAL ALOJAMIENTO]]+Tabla1[[#This Row],[COSTO TOTAL COCHE]]</f>
        <v>3623.9643888888891</v>
      </c>
      <c r="S352" s="2"/>
      <c r="T352" s="2" t="s">
        <v>35</v>
      </c>
      <c r="U352" s="14">
        <v>45448</v>
      </c>
      <c r="V352" s="14"/>
      <c r="W352" s="26"/>
      <c r="X352" s="2">
        <v>1</v>
      </c>
      <c r="Y352" s="11" t="s">
        <v>1051</v>
      </c>
      <c r="Z352" s="2" t="s">
        <v>36</v>
      </c>
      <c r="AA352" s="13" t="s">
        <v>10378</v>
      </c>
      <c r="AB352" s="13" t="s">
        <v>10379</v>
      </c>
    </row>
    <row r="353" spans="1:28">
      <c r="A353" s="2" t="s">
        <v>8638</v>
      </c>
      <c r="B353" s="2" t="s">
        <v>28</v>
      </c>
      <c r="C353" s="11" t="s">
        <v>1158</v>
      </c>
      <c r="D353" s="2" t="s">
        <v>30</v>
      </c>
      <c r="E353" s="2" t="s">
        <v>253</v>
      </c>
      <c r="F353" s="11"/>
      <c r="G353" s="11"/>
      <c r="H353" s="2">
        <v>2023</v>
      </c>
      <c r="I353" s="2" t="s">
        <v>582</v>
      </c>
      <c r="J353" s="8">
        <f>+Tabla1[[#This Row],[FECHA ENTRADA]]</f>
        <v>45329</v>
      </c>
      <c r="K353" s="8">
        <v>45637</v>
      </c>
      <c r="L353" s="13">
        <f>_xlfn.DAYS(Tabla1[[#This Row],[FECHA FIN ]],Tabla1[[#This Row],[FECHA INICIO]])</f>
        <v>308</v>
      </c>
      <c r="M353" s="12"/>
      <c r="N353" s="12">
        <f>1811.6/17</f>
        <v>106.56470588235294</v>
      </c>
      <c r="O353" s="12">
        <f>(Tabla1[[#This Row],[COSTO FIJO ]]/30)*Tabla1[[#This Row],[TOTAL DIAS PROYECTO]]+(Tabla1[[#This Row],[COSTO TEMPORAL]])</f>
        <v>1094.0643137254901</v>
      </c>
      <c r="P353" s="12"/>
      <c r="Q353" s="12">
        <f>+(Tabla1[[#This Row],[COSTO COCHE]]/30)*Tabla1[[#This Row],[TOTAL DIAS PROYECTO]]</f>
        <v>0</v>
      </c>
      <c r="R353" s="12">
        <f>+Tabla1[[#This Row],[COSTO TOTAL ALOJAMIENTO]]+Tabla1[[#This Row],[COSTO TOTAL COCHE]]</f>
        <v>1094.0643137254901</v>
      </c>
      <c r="S353" s="2"/>
      <c r="T353" s="2" t="s">
        <v>58</v>
      </c>
      <c r="U353" s="14">
        <v>45329</v>
      </c>
      <c r="V353" s="14">
        <v>45381</v>
      </c>
      <c r="W353" s="15"/>
      <c r="X353" s="16">
        <v>5</v>
      </c>
      <c r="Y353" s="11" t="s">
        <v>1159</v>
      </c>
      <c r="Z353" s="2" t="s">
        <v>36</v>
      </c>
      <c r="AA353" s="13" t="s">
        <v>10357</v>
      </c>
      <c r="AB353" s="13" t="s">
        <v>10358</v>
      </c>
    </row>
    <row r="354" spans="1:28" ht="15" customHeight="1">
      <c r="A354" s="2" t="s">
        <v>8884</v>
      </c>
      <c r="B354" s="2" t="s">
        <v>368</v>
      </c>
      <c r="C354" s="11" t="s">
        <v>1160</v>
      </c>
      <c r="D354" s="2" t="s">
        <v>30</v>
      </c>
      <c r="E354" s="2" t="s">
        <v>1161</v>
      </c>
      <c r="F354" s="11" t="s">
        <v>1162</v>
      </c>
      <c r="G354" s="49" t="s">
        <v>1163</v>
      </c>
      <c r="H354" s="2" t="s">
        <v>1164</v>
      </c>
      <c r="I354" s="12" t="s">
        <v>1165</v>
      </c>
      <c r="J354" s="22">
        <f>+Tabla1[[#This Row],[FECHA ENTRADA]]</f>
        <v>45636</v>
      </c>
      <c r="K354" s="22">
        <v>45639</v>
      </c>
      <c r="L354" s="23">
        <f>_xlfn.DAYS(Tabla1[[#This Row],[FECHA FIN ]],Tabla1[[#This Row],[FECHA INICIO]])</f>
        <v>3</v>
      </c>
      <c r="M354" s="12"/>
      <c r="N354" s="12">
        <f>1811.6/17</f>
        <v>106.56470588235294</v>
      </c>
      <c r="O354" s="24">
        <f>(Tabla1[[#This Row],[COSTO FIJO ]]/30)*Tabla1[[#This Row],[TOTAL DIAS PROYECTO]]+(Tabla1[[#This Row],[COSTO TEMPORAL]])</f>
        <v>10.656470588235294</v>
      </c>
      <c r="P354" s="12"/>
      <c r="Q354" s="12">
        <f>+(Tabla1[[#This Row],[COSTO COCHE]]/30)*Tabla1[[#This Row],[TOTAL DIAS PROYECTO]]</f>
        <v>0</v>
      </c>
      <c r="R354" s="12">
        <f>+Tabla1[[#This Row],[COSTO TOTAL ALOJAMIENTO]]+Tabla1[[#This Row],[COSTO TOTAL COCHE]]</f>
        <v>10.656470588235294</v>
      </c>
      <c r="S354" s="2"/>
      <c r="T354" s="2" t="s">
        <v>44</v>
      </c>
      <c r="U354" s="14">
        <v>45636</v>
      </c>
      <c r="V354" s="25">
        <v>45639</v>
      </c>
      <c r="W354" s="26"/>
      <c r="X354" s="2"/>
      <c r="Y354" s="11" t="s">
        <v>1166</v>
      </c>
      <c r="Z354" s="2" t="s">
        <v>36</v>
      </c>
      <c r="AA354" s="13" t="s">
        <v>10413</v>
      </c>
      <c r="AB354" s="13">
        <v>3652672</v>
      </c>
    </row>
    <row r="355" spans="1:28" ht="15" customHeight="1">
      <c r="A355" s="2" t="s">
        <v>8885</v>
      </c>
      <c r="B355" s="2" t="s">
        <v>368</v>
      </c>
      <c r="C355" s="11" t="s">
        <v>1167</v>
      </c>
      <c r="D355" s="2" t="s">
        <v>30</v>
      </c>
      <c r="E355" s="2" t="s">
        <v>1161</v>
      </c>
      <c r="F355" s="11" t="s">
        <v>1162</v>
      </c>
      <c r="G355" s="49" t="s">
        <v>1163</v>
      </c>
      <c r="H355" s="2" t="s">
        <v>1164</v>
      </c>
      <c r="I355" s="12" t="s">
        <v>1165</v>
      </c>
      <c r="J355" s="22">
        <f>+Tabla1[[#This Row],[FECHA ENTRADA]]</f>
        <v>45636</v>
      </c>
      <c r="K355" s="22">
        <v>45639</v>
      </c>
      <c r="L355" s="23">
        <f>_xlfn.DAYS(Tabla1[[#This Row],[FECHA FIN ]],Tabla1[[#This Row],[FECHA INICIO]])</f>
        <v>3</v>
      </c>
      <c r="M355" s="12"/>
      <c r="N355" s="12">
        <f>1811.6/17</f>
        <v>106.56470588235294</v>
      </c>
      <c r="O355" s="24">
        <f>(Tabla1[[#This Row],[COSTO FIJO ]]/30)*Tabla1[[#This Row],[TOTAL DIAS PROYECTO]]+(Tabla1[[#This Row],[COSTO TEMPORAL]])</f>
        <v>10.656470588235294</v>
      </c>
      <c r="P355" s="12"/>
      <c r="Q355" s="12">
        <f>+(Tabla1[[#This Row],[COSTO COCHE]]/30)*Tabla1[[#This Row],[TOTAL DIAS PROYECTO]]</f>
        <v>0</v>
      </c>
      <c r="R355" s="12">
        <f>+Tabla1[[#This Row],[COSTO TOTAL ALOJAMIENTO]]+Tabla1[[#This Row],[COSTO TOTAL COCHE]]</f>
        <v>10.656470588235294</v>
      </c>
      <c r="S355" s="2"/>
      <c r="T355" s="2" t="s">
        <v>44</v>
      </c>
      <c r="U355" s="14">
        <v>45636</v>
      </c>
      <c r="V355" s="25">
        <v>45639</v>
      </c>
      <c r="W355" s="26"/>
      <c r="X355" s="2"/>
      <c r="Y355" s="11" t="s">
        <v>1166</v>
      </c>
      <c r="Z355" s="2" t="s">
        <v>36</v>
      </c>
      <c r="AA355" s="13" t="s">
        <v>10413</v>
      </c>
      <c r="AB355" s="13">
        <v>3652672</v>
      </c>
    </row>
    <row r="356" spans="1:28" ht="15" customHeight="1">
      <c r="A356" s="2" t="s">
        <v>8886</v>
      </c>
      <c r="B356" s="2" t="s">
        <v>368</v>
      </c>
      <c r="C356" s="18" t="s">
        <v>1168</v>
      </c>
      <c r="D356" s="2" t="s">
        <v>30</v>
      </c>
      <c r="E356" s="2" t="s">
        <v>1161</v>
      </c>
      <c r="F356" s="11" t="s">
        <v>1162</v>
      </c>
      <c r="G356" s="49" t="s">
        <v>1163</v>
      </c>
      <c r="H356" s="2" t="s">
        <v>1164</v>
      </c>
      <c r="I356" s="12" t="s">
        <v>1165</v>
      </c>
      <c r="J356" s="22">
        <f>+Tabla1[[#This Row],[FECHA ENTRADA]]</f>
        <v>45636</v>
      </c>
      <c r="K356" s="22">
        <v>45639</v>
      </c>
      <c r="L356" s="23">
        <f>_xlfn.DAYS(Tabla1[[#This Row],[FECHA FIN ]],Tabla1[[#This Row],[FECHA INICIO]])</f>
        <v>3</v>
      </c>
      <c r="M356" s="12"/>
      <c r="N356" s="12">
        <f>1811.6/17</f>
        <v>106.56470588235294</v>
      </c>
      <c r="O356" s="24">
        <f>(Tabla1[[#This Row],[COSTO FIJO ]]/30)*Tabla1[[#This Row],[TOTAL DIAS PROYECTO]]+(Tabla1[[#This Row],[COSTO TEMPORAL]])</f>
        <v>10.656470588235294</v>
      </c>
      <c r="P356" s="12"/>
      <c r="Q356" s="12">
        <f>+(Tabla1[[#This Row],[COSTO COCHE]]/30)*Tabla1[[#This Row],[TOTAL DIAS PROYECTO]]</f>
        <v>0</v>
      </c>
      <c r="R356" s="12">
        <f>+Tabla1[[#This Row],[COSTO TOTAL ALOJAMIENTO]]+Tabla1[[#This Row],[COSTO TOTAL COCHE]]</f>
        <v>10.656470588235294</v>
      </c>
      <c r="S356" s="2"/>
      <c r="T356" s="2" t="s">
        <v>44</v>
      </c>
      <c r="U356" s="14">
        <v>45636</v>
      </c>
      <c r="V356" s="25">
        <v>45639</v>
      </c>
      <c r="W356" s="26"/>
      <c r="X356" s="2"/>
      <c r="Y356" s="11" t="s">
        <v>1166</v>
      </c>
      <c r="Z356" s="2" t="s">
        <v>36</v>
      </c>
      <c r="AA356" s="13" t="s">
        <v>10413</v>
      </c>
      <c r="AB356" s="13">
        <v>3652672</v>
      </c>
    </row>
    <row r="357" spans="1:28" ht="15" customHeight="1">
      <c r="A357" s="2" t="s">
        <v>8887</v>
      </c>
      <c r="B357" s="2" t="s">
        <v>368</v>
      </c>
      <c r="C357" s="18" t="s">
        <v>1169</v>
      </c>
      <c r="D357" s="2" t="s">
        <v>30</v>
      </c>
      <c r="E357" s="2" t="s">
        <v>1161</v>
      </c>
      <c r="F357" s="11" t="s">
        <v>1162</v>
      </c>
      <c r="G357" s="49" t="s">
        <v>1163</v>
      </c>
      <c r="H357" s="2" t="s">
        <v>1164</v>
      </c>
      <c r="I357" s="12" t="s">
        <v>1165</v>
      </c>
      <c r="J357" s="22">
        <f>+Tabla1[[#This Row],[FECHA ENTRADA]]</f>
        <v>45636</v>
      </c>
      <c r="K357" s="41">
        <v>45639</v>
      </c>
      <c r="L357" s="23">
        <f>_xlfn.DAYS(Tabla1[[#This Row],[FECHA FIN ]],Tabla1[[#This Row],[FECHA INICIO]])</f>
        <v>3</v>
      </c>
      <c r="N357" s="20"/>
      <c r="O357" s="24">
        <f>(Tabla1[[#This Row],[COSTO FIJO ]]/30)*Tabla1[[#This Row],[TOTAL DIAS PROYECTO]]+(Tabla1[[#This Row],[COSTO TEMPORAL]])</f>
        <v>0</v>
      </c>
      <c r="P357" s="12"/>
      <c r="Q357" s="12">
        <f>+(Tabla1[[#This Row],[COSTO COCHE]]/30)*Tabla1[[#This Row],[TOTAL DIAS PROYECTO]]</f>
        <v>0</v>
      </c>
      <c r="R357" s="12">
        <f>+Tabla1[[#This Row],[COSTO TOTAL ALOJAMIENTO]]+Tabla1[[#This Row],[COSTO TOTAL COCHE]]</f>
        <v>0</v>
      </c>
      <c r="S357" s="2"/>
      <c r="T357" s="2" t="s">
        <v>44</v>
      </c>
      <c r="U357" s="14">
        <v>45636</v>
      </c>
      <c r="V357" s="25">
        <v>45639</v>
      </c>
      <c r="W357" s="26"/>
      <c r="X357" s="2"/>
      <c r="Y357" s="11" t="s">
        <v>1166</v>
      </c>
      <c r="Z357" s="2" t="s">
        <v>36</v>
      </c>
      <c r="AA357" s="13" t="s">
        <v>10413</v>
      </c>
      <c r="AB357" s="13">
        <v>3652672</v>
      </c>
    </row>
    <row r="358" spans="1:28" ht="15" customHeight="1">
      <c r="A358" s="2" t="s">
        <v>8888</v>
      </c>
      <c r="B358" s="2" t="s">
        <v>368</v>
      </c>
      <c r="C358" s="18" t="s">
        <v>1170</v>
      </c>
      <c r="D358" s="2" t="s">
        <v>30</v>
      </c>
      <c r="E358" s="2" t="s">
        <v>1161</v>
      </c>
      <c r="F358" s="11" t="s">
        <v>1162</v>
      </c>
      <c r="G358" s="49" t="s">
        <v>1163</v>
      </c>
      <c r="H358" s="2" t="s">
        <v>1164</v>
      </c>
      <c r="I358" s="12" t="s">
        <v>1165</v>
      </c>
      <c r="J358" s="22">
        <f>+Tabla1[[#This Row],[FECHA ENTRADA]]</f>
        <v>45636</v>
      </c>
      <c r="K358" s="41">
        <v>45639</v>
      </c>
      <c r="L358" s="23">
        <f>_xlfn.DAYS(Tabla1[[#This Row],[FECHA FIN ]],Tabla1[[#This Row],[FECHA INICIO]])</f>
        <v>3</v>
      </c>
      <c r="M358" s="12"/>
      <c r="N358" s="24">
        <v>75</v>
      </c>
      <c r="O358" s="24">
        <f>(Tabla1[[#This Row],[COSTO FIJO ]]/30)*Tabla1[[#This Row],[TOTAL DIAS PROYECTO]]+(Tabla1[[#This Row],[COSTO TEMPORAL]])</f>
        <v>7.5</v>
      </c>
      <c r="P358" s="12"/>
      <c r="Q358" s="12">
        <f>+(Tabla1[[#This Row],[COSTO COCHE]]/30)*Tabla1[[#This Row],[TOTAL DIAS PROYECTO]]</f>
        <v>0</v>
      </c>
      <c r="R358" s="12">
        <f>+Tabla1[[#This Row],[COSTO TOTAL ALOJAMIENTO]]+Tabla1[[#This Row],[COSTO TOTAL COCHE]]</f>
        <v>7.5</v>
      </c>
      <c r="S358" s="2"/>
      <c r="T358" s="2" t="s">
        <v>44</v>
      </c>
      <c r="U358" s="14">
        <v>45636</v>
      </c>
      <c r="V358" s="25">
        <v>45639</v>
      </c>
      <c r="W358" s="26"/>
      <c r="X358" s="2"/>
      <c r="Y358" s="11" t="s">
        <v>1166</v>
      </c>
      <c r="Z358" s="2" t="s">
        <v>36</v>
      </c>
      <c r="AA358" s="13" t="s">
        <v>10413</v>
      </c>
      <c r="AB358" s="13">
        <v>3652672</v>
      </c>
    </row>
    <row r="359" spans="1:28" ht="15" customHeight="1">
      <c r="A359" s="2" t="s">
        <v>8889</v>
      </c>
      <c r="B359" s="2" t="s">
        <v>368</v>
      </c>
      <c r="C359" s="11" t="s">
        <v>1171</v>
      </c>
      <c r="D359" s="2" t="s">
        <v>30</v>
      </c>
      <c r="E359" s="2" t="s">
        <v>1161</v>
      </c>
      <c r="F359" s="11" t="s">
        <v>1162</v>
      </c>
      <c r="G359" s="49" t="s">
        <v>1163</v>
      </c>
      <c r="H359" s="2" t="s">
        <v>1164</v>
      </c>
      <c r="I359" s="12" t="s">
        <v>1165</v>
      </c>
      <c r="J359" s="22">
        <f>+Tabla1[[#This Row],[FECHA ENTRADA]]</f>
        <v>45636</v>
      </c>
      <c r="K359" s="41">
        <v>45639</v>
      </c>
      <c r="L359" s="23">
        <f>_xlfn.DAYS(Tabla1[[#This Row],[FECHA FIN ]],Tabla1[[#This Row],[FECHA INICIO]])</f>
        <v>3</v>
      </c>
      <c r="M359" s="12"/>
      <c r="N359" s="12">
        <v>75</v>
      </c>
      <c r="O359" s="24">
        <f>(Tabla1[[#This Row],[COSTO FIJO ]]/30)*Tabla1[[#This Row],[TOTAL DIAS PROYECTO]]+(Tabla1[[#This Row],[COSTO TEMPORAL]])</f>
        <v>7.5</v>
      </c>
      <c r="P359" s="12"/>
      <c r="Q359" s="12">
        <f>+(Tabla1[[#This Row],[COSTO COCHE]]/30)*Tabla1[[#This Row],[TOTAL DIAS PROYECTO]]</f>
        <v>0</v>
      </c>
      <c r="R359" s="12">
        <f>+Tabla1[[#This Row],[COSTO TOTAL ALOJAMIENTO]]+Tabla1[[#This Row],[COSTO TOTAL COCHE]]</f>
        <v>7.5</v>
      </c>
      <c r="S359" s="2"/>
      <c r="T359" s="2" t="s">
        <v>44</v>
      </c>
      <c r="U359" s="14">
        <v>45636</v>
      </c>
      <c r="V359" s="25">
        <v>45639</v>
      </c>
      <c r="W359" s="26"/>
      <c r="X359" s="2"/>
      <c r="Y359" s="11" t="s">
        <v>1166</v>
      </c>
      <c r="Z359" s="2" t="s">
        <v>36</v>
      </c>
      <c r="AA359" s="13" t="s">
        <v>10413</v>
      </c>
      <c r="AB359" s="13">
        <v>3652672</v>
      </c>
    </row>
    <row r="360" spans="1:28" ht="15" customHeight="1">
      <c r="A360" s="2" t="s">
        <v>8890</v>
      </c>
      <c r="B360" s="2" t="s">
        <v>28</v>
      </c>
      <c r="C360" s="11" t="s">
        <v>1172</v>
      </c>
      <c r="D360" s="2" t="s">
        <v>30</v>
      </c>
      <c r="E360" s="2" t="s">
        <v>380</v>
      </c>
      <c r="F360" s="11" t="s">
        <v>766</v>
      </c>
      <c r="G360" s="11" t="s">
        <v>767</v>
      </c>
      <c r="H360" s="2" t="s">
        <v>768</v>
      </c>
      <c r="I360" s="29" t="s">
        <v>145</v>
      </c>
      <c r="J360" s="8">
        <f>+Tabla1[[#This Row],[FECHA ENTRADA]]</f>
        <v>0</v>
      </c>
      <c r="K360" s="8"/>
      <c r="L360" s="13">
        <f>_xlfn.DAYS(Tabla1[[#This Row],[FECHA FIN ]],Tabla1[[#This Row],[FECHA INICIO]])</f>
        <v>0</v>
      </c>
      <c r="M360" s="12"/>
      <c r="N360" s="2"/>
      <c r="O360" s="12">
        <f>(Tabla1[[#This Row],[COSTO FIJO ]]/30)*Tabla1[[#This Row],[TOTAL DIAS PROYECTO]]+(Tabla1[[#This Row],[COSTO TEMPORAL]])</f>
        <v>0</v>
      </c>
      <c r="P360" s="12"/>
      <c r="Q360" s="12">
        <f>+(Tabla1[[#This Row],[COSTO COCHE]]/30)*Tabla1[[#This Row],[TOTAL DIAS PROYECTO]]</f>
        <v>0</v>
      </c>
      <c r="R360" s="12">
        <f>+Tabla1[[#This Row],[COSTO TOTAL ALOJAMIENTO]]+Tabla1[[#This Row],[COSTO TOTAL COCHE]]</f>
        <v>0</v>
      </c>
      <c r="S360" s="2"/>
      <c r="T360" s="2" t="s">
        <v>35</v>
      </c>
      <c r="U360" s="14"/>
      <c r="V360" s="14"/>
      <c r="W360" s="15"/>
      <c r="X360" s="16">
        <v>23</v>
      </c>
      <c r="Y360" s="18" t="s">
        <v>769</v>
      </c>
      <c r="Z360" s="2" t="s">
        <v>36</v>
      </c>
      <c r="AA360" s="13" t="s">
        <v>10370</v>
      </c>
      <c r="AB360" s="13" t="s">
        <v>10371</v>
      </c>
    </row>
    <row r="361" spans="1:28" ht="15" customHeight="1">
      <c r="A361" s="2" t="s">
        <v>8891</v>
      </c>
      <c r="B361" s="2" t="s">
        <v>368</v>
      </c>
      <c r="C361" s="11" t="s">
        <v>1173</v>
      </c>
      <c r="D361" s="2" t="s">
        <v>30</v>
      </c>
      <c r="E361" s="2" t="s">
        <v>422</v>
      </c>
      <c r="F361" s="11" t="s">
        <v>667</v>
      </c>
      <c r="G361" s="11" t="s">
        <v>668</v>
      </c>
      <c r="H361" s="2" t="s">
        <v>669</v>
      </c>
      <c r="I361" s="65" t="s">
        <v>670</v>
      </c>
      <c r="J361" s="8">
        <f>+Tabla1[[#This Row],[FECHA ENTRADA]]</f>
        <v>45487</v>
      </c>
      <c r="K361" s="22">
        <v>45821</v>
      </c>
      <c r="L361" s="13">
        <f>_xlfn.DAYS(Tabla1[[#This Row],[FECHA FIN ]],Tabla1[[#This Row],[FECHA INICIO]])</f>
        <v>334</v>
      </c>
      <c r="M361" s="12"/>
      <c r="N361" s="12">
        <f>1811.6/17</f>
        <v>106.56470588235294</v>
      </c>
      <c r="O361" s="12">
        <f>(Tabla1[[#This Row],[COSTO FIJO ]]/30)*Tabla1[[#This Row],[TOTAL DIAS PROYECTO]]+(Tabla1[[#This Row],[COSTO TEMPORAL]])</f>
        <v>1186.4203921568628</v>
      </c>
      <c r="P361" s="12"/>
      <c r="Q361" s="12">
        <f>+(Tabla1[[#This Row],[COSTO COCHE]]/30)*Tabla1[[#This Row],[TOTAL DIAS PROYECTO]]</f>
        <v>0</v>
      </c>
      <c r="R361" s="12">
        <f>+Tabla1[[#This Row],[COSTO TOTAL ALOJAMIENTO]]+Tabla1[[#This Row],[COSTO TOTAL COCHE]]</f>
        <v>1186.4203921568628</v>
      </c>
      <c r="S361" s="2"/>
      <c r="T361" s="2" t="s">
        <v>44</v>
      </c>
      <c r="U361" s="14">
        <v>45487</v>
      </c>
      <c r="V361" s="14"/>
      <c r="W361" s="26"/>
      <c r="X361" s="2">
        <v>5</v>
      </c>
      <c r="Y361" s="18" t="s">
        <v>671</v>
      </c>
      <c r="Z361" s="2" t="s">
        <v>36</v>
      </c>
      <c r="AA361" s="13">
        <v>-326.69799999999998</v>
      </c>
      <c r="AB361" s="13" t="s">
        <v>10373</v>
      </c>
    </row>
    <row r="362" spans="1:28" ht="15" customHeight="1">
      <c r="A362" s="2" t="s">
        <v>8892</v>
      </c>
      <c r="B362" s="2" t="s">
        <v>28</v>
      </c>
      <c r="C362" s="11" t="s">
        <v>1174</v>
      </c>
      <c r="D362" s="2" t="s">
        <v>30</v>
      </c>
      <c r="E362" s="2" t="s">
        <v>380</v>
      </c>
      <c r="F362" s="11" t="s">
        <v>766</v>
      </c>
      <c r="G362" s="11" t="s">
        <v>767</v>
      </c>
      <c r="H362" s="2"/>
      <c r="I362" s="2" t="s">
        <v>382</v>
      </c>
      <c r="J362" s="8">
        <f>+Tabla1[[#This Row],[FECHA ENTRADA]]</f>
        <v>0</v>
      </c>
      <c r="K362" s="8"/>
      <c r="L362" s="13">
        <f>_xlfn.DAYS(Tabla1[[#This Row],[FECHA FIN ]],Tabla1[[#This Row],[FECHA INICIO]])</f>
        <v>0</v>
      </c>
      <c r="M362" s="12"/>
      <c r="N362" s="2"/>
      <c r="O362" s="12">
        <f>(Tabla1[[#This Row],[COSTO FIJO ]]/30)*Tabla1[[#This Row],[TOTAL DIAS PROYECTO]]+(Tabla1[[#This Row],[COSTO TEMPORAL]])</f>
        <v>0</v>
      </c>
      <c r="P362" s="12"/>
      <c r="Q362" s="12">
        <f>+(Tabla1[[#This Row],[COSTO COCHE]]/30)*Tabla1[[#This Row],[TOTAL DIAS PROYECTO]]</f>
        <v>0</v>
      </c>
      <c r="R362" s="12">
        <f>+Tabla1[[#This Row],[COSTO TOTAL ALOJAMIENTO]]+Tabla1[[#This Row],[COSTO TOTAL COCHE]]</f>
        <v>0</v>
      </c>
      <c r="S362" s="2"/>
      <c r="T362" s="2" t="s">
        <v>35</v>
      </c>
      <c r="U362" s="14"/>
      <c r="V362" s="14"/>
      <c r="W362" s="15"/>
      <c r="X362" s="16">
        <v>23</v>
      </c>
      <c r="Y362" s="18" t="s">
        <v>1175</v>
      </c>
      <c r="Z362" s="2" t="s">
        <v>36</v>
      </c>
      <c r="AA362" s="13" t="s">
        <v>10370</v>
      </c>
      <c r="AB362" s="13" t="s">
        <v>10371</v>
      </c>
    </row>
    <row r="363" spans="1:28" ht="15" customHeight="1">
      <c r="A363" s="2" t="s">
        <v>8893</v>
      </c>
      <c r="B363" s="2" t="s">
        <v>28</v>
      </c>
      <c r="C363" s="11" t="s">
        <v>1176</v>
      </c>
      <c r="D363" s="2" t="s">
        <v>30</v>
      </c>
      <c r="E363" s="2" t="s">
        <v>127</v>
      </c>
      <c r="F363" s="11" t="s">
        <v>128</v>
      </c>
      <c r="G363" s="11" t="s">
        <v>129</v>
      </c>
      <c r="H363" s="2" t="s">
        <v>130</v>
      </c>
      <c r="I363" s="2" t="s">
        <v>124</v>
      </c>
      <c r="J363" s="8">
        <f>+Tabla1[[#This Row],[FECHA ENTRADA]]</f>
        <v>45366</v>
      </c>
      <c r="K363" s="22">
        <v>45821</v>
      </c>
      <c r="L363" s="13">
        <f>_xlfn.DAYS(Tabla1[[#This Row],[FECHA FIN ]],Tabla1[[#This Row],[FECHA INICIO]])</f>
        <v>455</v>
      </c>
      <c r="M363" s="12"/>
      <c r="N363" s="12">
        <f>1811.6/17</f>
        <v>106.56470588235294</v>
      </c>
      <c r="O363" s="12">
        <f>(Tabla1[[#This Row],[COSTO FIJO ]]/30)*Tabla1[[#This Row],[TOTAL DIAS PROYECTO]]+(Tabla1[[#This Row],[COSTO TEMPORAL]])</f>
        <v>1616.2313725490196</v>
      </c>
      <c r="P363" s="12"/>
      <c r="Q363" s="12">
        <f>+(Tabla1[[#This Row],[COSTO COCHE]]/30)*Tabla1[[#This Row],[TOTAL DIAS PROYECTO]]</f>
        <v>0</v>
      </c>
      <c r="R363" s="12">
        <f>+Tabla1[[#This Row],[COSTO TOTAL ALOJAMIENTO]]+Tabla1[[#This Row],[COSTO TOTAL COCHE]]</f>
        <v>1616.2313725490196</v>
      </c>
      <c r="S363" s="2"/>
      <c r="T363" s="2" t="s">
        <v>35</v>
      </c>
      <c r="U363" s="14">
        <v>45366</v>
      </c>
      <c r="V363" s="14"/>
      <c r="W363" s="15"/>
      <c r="X363" s="16">
        <v>15</v>
      </c>
      <c r="Y363" s="18"/>
      <c r="Z363" s="2" t="s">
        <v>36</v>
      </c>
      <c r="AA363" s="13" t="s">
        <v>10342</v>
      </c>
      <c r="AB363" s="13" t="s">
        <v>10343</v>
      </c>
    </row>
    <row r="364" spans="1:28" ht="15" customHeight="1">
      <c r="A364" s="2" t="s">
        <v>8894</v>
      </c>
      <c r="B364" s="2" t="s">
        <v>28</v>
      </c>
      <c r="C364" s="11" t="s">
        <v>1177</v>
      </c>
      <c r="D364" s="2" t="s">
        <v>30</v>
      </c>
      <c r="E364" s="2" t="s">
        <v>109</v>
      </c>
      <c r="F364" s="11" t="s">
        <v>1178</v>
      </c>
      <c r="G364" s="11">
        <v>973283107</v>
      </c>
      <c r="H364" s="2" t="s">
        <v>1179</v>
      </c>
      <c r="I364" s="2" t="s">
        <v>52</v>
      </c>
      <c r="J364" s="8">
        <f>+Tabla1[[#This Row],[FECHA ENTRADA]]</f>
        <v>45447</v>
      </c>
      <c r="K364" s="22">
        <v>45821</v>
      </c>
      <c r="L364" s="13">
        <f>_xlfn.DAYS(Tabla1[[#This Row],[FECHA FIN ]],Tabla1[[#This Row],[FECHA INICIO]])</f>
        <v>374</v>
      </c>
      <c r="M364" s="12"/>
      <c r="N364" s="12"/>
      <c r="O364" s="12">
        <f>(Tabla1[[#This Row],[COSTO FIJO ]]/30)*Tabla1[[#This Row],[TOTAL DIAS PROYECTO]]+(Tabla1[[#This Row],[COSTO TEMPORAL]])</f>
        <v>0</v>
      </c>
      <c r="P364" s="12"/>
      <c r="Q364" s="12">
        <f>+(Tabla1[[#This Row],[COSTO COCHE]]/30)*Tabla1[[#This Row],[TOTAL DIAS PROYECTO]]</f>
        <v>0</v>
      </c>
      <c r="R364" s="12">
        <f>+Tabla1[[#This Row],[COSTO TOTAL ALOJAMIENTO]]+Tabla1[[#This Row],[COSTO TOTAL COCHE]]</f>
        <v>0</v>
      </c>
      <c r="S364" s="2"/>
      <c r="T364" s="2" t="s">
        <v>35</v>
      </c>
      <c r="U364" s="14">
        <v>45447</v>
      </c>
      <c r="V364" s="14">
        <v>45580</v>
      </c>
      <c r="W364" s="26"/>
      <c r="X364" s="2"/>
      <c r="Y364" s="11" t="s">
        <v>1180</v>
      </c>
      <c r="Z364" s="2" t="s">
        <v>36</v>
      </c>
      <c r="AA364" s="13">
        <v>0.62217999999999996</v>
      </c>
      <c r="AB364" s="13" t="s">
        <v>10339</v>
      </c>
    </row>
    <row r="365" spans="1:28" ht="15" customHeight="1">
      <c r="A365" s="2" t="s">
        <v>8742</v>
      </c>
      <c r="B365" s="2" t="s">
        <v>28</v>
      </c>
      <c r="C365" s="11" t="s">
        <v>535</v>
      </c>
      <c r="D365" s="2" t="s">
        <v>30</v>
      </c>
      <c r="E365" s="2" t="s">
        <v>626</v>
      </c>
      <c r="F365" s="11" t="s">
        <v>1181</v>
      </c>
      <c r="G365" s="11" t="s">
        <v>1038</v>
      </c>
      <c r="H365" s="2" t="s">
        <v>1182</v>
      </c>
      <c r="I365" s="12" t="s">
        <v>1183</v>
      </c>
      <c r="J365" s="22">
        <f>+Tabla1[[#This Row],[FECHA ENTRADA]]</f>
        <v>45620</v>
      </c>
      <c r="K365" s="8">
        <v>45639</v>
      </c>
      <c r="L365" s="23">
        <f>_xlfn.DAYS(Tabla1[[#This Row],[FECHA FIN ]],Tabla1[[#This Row],[FECHA INICIO]])</f>
        <v>19</v>
      </c>
      <c r="M365" s="12"/>
      <c r="N365" s="12"/>
      <c r="O365" s="24">
        <f>(Tabla1[[#This Row],[COSTO FIJO ]]/30)*Tabla1[[#This Row],[TOTAL DIAS PROYECTO]]+(Tabla1[[#This Row],[COSTO TEMPORAL]])</f>
        <v>0</v>
      </c>
      <c r="P365" s="12"/>
      <c r="Q365" s="12">
        <f>+(Tabla1[[#This Row],[COSTO COCHE]]/30)*Tabla1[[#This Row],[TOTAL DIAS PROYECTO]]</f>
        <v>0</v>
      </c>
      <c r="R365" s="12">
        <f>+Tabla1[[#This Row],[COSTO TOTAL ALOJAMIENTO]]+Tabla1[[#This Row],[COSTO TOTAL COCHE]]</f>
        <v>0</v>
      </c>
      <c r="S365" s="2"/>
      <c r="T365" s="2" t="s">
        <v>35</v>
      </c>
      <c r="U365" s="14">
        <v>45620</v>
      </c>
      <c r="V365" s="25"/>
      <c r="W365" s="26"/>
      <c r="X365" s="2">
        <v>24</v>
      </c>
      <c r="Y365" s="11"/>
      <c r="Z365" s="2" t="s">
        <v>36</v>
      </c>
      <c r="AA365" s="13" t="s">
        <v>10385</v>
      </c>
      <c r="AB365" s="13" t="s">
        <v>10386</v>
      </c>
    </row>
    <row r="366" spans="1:28" ht="15" customHeight="1">
      <c r="A366" s="2" t="s">
        <v>8766</v>
      </c>
      <c r="B366" s="2" t="s">
        <v>368</v>
      </c>
      <c r="C366" s="18" t="s">
        <v>653</v>
      </c>
      <c r="D366" s="2" t="s">
        <v>30</v>
      </c>
      <c r="E366" s="2" t="s">
        <v>31</v>
      </c>
      <c r="F366" s="11" t="s">
        <v>451</v>
      </c>
      <c r="G366" s="50" t="s">
        <v>452</v>
      </c>
      <c r="H366" s="2" t="s">
        <v>1184</v>
      </c>
      <c r="I366" s="12" t="s">
        <v>1104</v>
      </c>
      <c r="J366" s="41">
        <v>45565</v>
      </c>
      <c r="K366" s="8">
        <v>45640</v>
      </c>
      <c r="L366" s="42">
        <f>_xlfn.DAYS(Tabla1[[#This Row],[FECHA FIN ]],Tabla1[[#This Row],[FECHA INICIO]])</f>
        <v>75</v>
      </c>
      <c r="M366" s="12"/>
      <c r="N366" s="20">
        <v>283.33333333333331</v>
      </c>
      <c r="O366" s="28">
        <f>(Tabla1[[#This Row],[COSTO FIJO ]]/30)*Tabla1[[#This Row],[TOTAL DIAS PROYECTO]]+(Tabla1[[#This Row],[COSTO TEMPORAL]])</f>
        <v>708.33333333333337</v>
      </c>
      <c r="P366" s="12"/>
      <c r="Q366" s="12">
        <f>+(Tabla1[[#This Row],[COSTO COCHE]]/30)*Tabla1[[#This Row],[TOTAL DIAS PROYECTO]]</f>
        <v>0</v>
      </c>
      <c r="R366" s="12">
        <f>+Tabla1[[#This Row],[COSTO TOTAL ALOJAMIENTO]]+Tabla1[[#This Row],[COSTO TOTAL COCHE]]</f>
        <v>708.33333333333337</v>
      </c>
      <c r="S366" s="2"/>
      <c r="T366" s="2" t="s">
        <v>35</v>
      </c>
      <c r="U366" s="14">
        <v>45565</v>
      </c>
      <c r="V366" s="79"/>
      <c r="W366" s="26"/>
      <c r="X366" s="2">
        <v>1</v>
      </c>
      <c r="Y366" s="11" t="s">
        <v>1185</v>
      </c>
      <c r="Z366" s="2" t="s">
        <v>36</v>
      </c>
      <c r="AA366" s="13" t="s">
        <v>10323</v>
      </c>
      <c r="AB366" s="13" t="s">
        <v>10324</v>
      </c>
    </row>
    <row r="367" spans="1:28" ht="15" customHeight="1">
      <c r="A367" s="2" t="s">
        <v>8700</v>
      </c>
      <c r="B367" s="2" t="s">
        <v>28</v>
      </c>
      <c r="C367" s="11" t="s">
        <v>343</v>
      </c>
      <c r="D367" s="2" t="s">
        <v>30</v>
      </c>
      <c r="E367" s="2" t="s">
        <v>127</v>
      </c>
      <c r="F367" s="11" t="s">
        <v>1186</v>
      </c>
      <c r="G367" s="46" t="s">
        <v>1187</v>
      </c>
      <c r="H367" s="2" t="s">
        <v>1188</v>
      </c>
      <c r="I367" s="12" t="s">
        <v>377</v>
      </c>
      <c r="J367" s="41">
        <f>+Tabla1[[#This Row],[FECHA ENTRADA]]</f>
        <v>45635</v>
      </c>
      <c r="K367" s="8">
        <v>45641</v>
      </c>
      <c r="L367" s="42">
        <f>_xlfn.DAYS(Tabla1[[#This Row],[FECHA FIN ]],Tabla1[[#This Row],[FECHA INICIO]])</f>
        <v>6</v>
      </c>
      <c r="M367" s="12"/>
      <c r="N367" s="12"/>
      <c r="O367" s="28">
        <f>(Tabla1[[#This Row],[COSTO FIJO ]]/30)*Tabla1[[#This Row],[TOTAL DIAS PROYECTO]]+(Tabla1[[#This Row],[COSTO TEMPORAL]])</f>
        <v>0</v>
      </c>
      <c r="P367" s="12"/>
      <c r="Q367" s="12">
        <f>+(Tabla1[[#This Row],[COSTO COCHE]]/30)*Tabla1[[#This Row],[TOTAL DIAS PROYECTO]]</f>
        <v>0</v>
      </c>
      <c r="R367" s="12">
        <f>+Tabla1[[#This Row],[COSTO TOTAL ALOJAMIENTO]]+Tabla1[[#This Row],[COSTO TOTAL COCHE]]</f>
        <v>0</v>
      </c>
      <c r="S367" s="2"/>
      <c r="T367" s="2" t="s">
        <v>44</v>
      </c>
      <c r="U367" s="14">
        <v>45635</v>
      </c>
      <c r="V367" s="43">
        <v>45640</v>
      </c>
      <c r="W367" s="26"/>
      <c r="X367" s="2"/>
      <c r="Y367" s="11"/>
      <c r="Z367" s="2" t="s">
        <v>36</v>
      </c>
      <c r="AA367" s="13" t="s">
        <v>10342</v>
      </c>
      <c r="AB367" s="13" t="s">
        <v>10343</v>
      </c>
    </row>
    <row r="368" spans="1:28" ht="15" customHeight="1">
      <c r="A368" s="2" t="s">
        <v>8847</v>
      </c>
      <c r="B368" s="2" t="s">
        <v>28</v>
      </c>
      <c r="C368" s="11" t="s">
        <v>1001</v>
      </c>
      <c r="D368" s="2" t="s">
        <v>30</v>
      </c>
      <c r="E368" s="2" t="s">
        <v>127</v>
      </c>
      <c r="F368" s="11" t="s">
        <v>1186</v>
      </c>
      <c r="G368" s="46" t="s">
        <v>1187</v>
      </c>
      <c r="H368" s="2" t="s">
        <v>1188</v>
      </c>
      <c r="I368" s="12" t="s">
        <v>377</v>
      </c>
      <c r="J368" s="41">
        <f>+Tabla1[[#This Row],[FECHA ENTRADA]]</f>
        <v>45635</v>
      </c>
      <c r="K368" s="8">
        <v>45641</v>
      </c>
      <c r="L368" s="42">
        <f>_xlfn.DAYS(Tabla1[[#This Row],[FECHA FIN ]],Tabla1[[#This Row],[FECHA INICIO]])</f>
        <v>6</v>
      </c>
      <c r="M368" s="12"/>
      <c r="N368" s="12"/>
      <c r="O368" s="28">
        <f>(Tabla1[[#This Row],[COSTO FIJO ]]/30)*Tabla1[[#This Row],[TOTAL DIAS PROYECTO]]+(Tabla1[[#This Row],[COSTO TEMPORAL]])</f>
        <v>0</v>
      </c>
      <c r="P368" s="12"/>
      <c r="Q368" s="12">
        <f>+(Tabla1[[#This Row],[COSTO COCHE]]/30)*Tabla1[[#This Row],[TOTAL DIAS PROYECTO]]</f>
        <v>0</v>
      </c>
      <c r="R368" s="12">
        <f>+Tabla1[[#This Row],[COSTO TOTAL ALOJAMIENTO]]+Tabla1[[#This Row],[COSTO TOTAL COCHE]]</f>
        <v>0</v>
      </c>
      <c r="S368" s="2"/>
      <c r="T368" s="2" t="s">
        <v>44</v>
      </c>
      <c r="U368" s="14">
        <v>45635</v>
      </c>
      <c r="V368" s="43">
        <v>45640</v>
      </c>
      <c r="W368" s="26"/>
      <c r="X368" s="2"/>
      <c r="Y368" s="11"/>
      <c r="Z368" s="2" t="s">
        <v>36</v>
      </c>
      <c r="AA368" s="13" t="s">
        <v>10342</v>
      </c>
      <c r="AB368" s="13" t="s">
        <v>10343</v>
      </c>
    </row>
    <row r="369" spans="1:28" ht="15" customHeight="1">
      <c r="A369" s="2" t="s">
        <v>8895</v>
      </c>
      <c r="B369" s="2" t="s">
        <v>28</v>
      </c>
      <c r="C369" s="11" t="s">
        <v>1189</v>
      </c>
      <c r="D369" s="2" t="s">
        <v>30</v>
      </c>
      <c r="E369" s="2" t="s">
        <v>127</v>
      </c>
      <c r="F369" s="11" t="s">
        <v>1186</v>
      </c>
      <c r="G369" s="46" t="s">
        <v>1187</v>
      </c>
      <c r="H369" s="2" t="s">
        <v>1188</v>
      </c>
      <c r="I369" s="12" t="s">
        <v>377</v>
      </c>
      <c r="J369" s="41">
        <f>+Tabla1[[#This Row],[FECHA ENTRADA]]</f>
        <v>45635</v>
      </c>
      <c r="K369" s="8">
        <v>45641</v>
      </c>
      <c r="L369" s="42">
        <f>_xlfn.DAYS(Tabla1[[#This Row],[FECHA FIN ]],Tabla1[[#This Row],[FECHA INICIO]])</f>
        <v>6</v>
      </c>
      <c r="M369" s="12"/>
      <c r="N369" s="12">
        <v>150</v>
      </c>
      <c r="O369" s="28">
        <f>(Tabla1[[#This Row],[COSTO FIJO ]]/30)*Tabla1[[#This Row],[TOTAL DIAS PROYECTO]]+(Tabla1[[#This Row],[COSTO TEMPORAL]])</f>
        <v>30</v>
      </c>
      <c r="P369" s="12"/>
      <c r="Q369" s="12">
        <f>+(Tabla1[[#This Row],[COSTO COCHE]]/30)*Tabla1[[#This Row],[TOTAL DIAS PROYECTO]]</f>
        <v>0</v>
      </c>
      <c r="R369" s="12">
        <f>+Tabla1[[#This Row],[COSTO TOTAL ALOJAMIENTO]]+Tabla1[[#This Row],[COSTO TOTAL COCHE]]</f>
        <v>30</v>
      </c>
      <c r="S369" s="2"/>
      <c r="T369" s="2" t="s">
        <v>44</v>
      </c>
      <c r="U369" s="14">
        <v>45635</v>
      </c>
      <c r="V369" s="43">
        <v>45640</v>
      </c>
      <c r="W369" s="26"/>
      <c r="X369" s="2"/>
      <c r="Y369" s="11"/>
      <c r="Z369" s="2" t="s">
        <v>36</v>
      </c>
      <c r="AA369" s="13" t="s">
        <v>10342</v>
      </c>
      <c r="AB369" s="13" t="s">
        <v>10343</v>
      </c>
    </row>
    <row r="370" spans="1:28" ht="15" customHeight="1">
      <c r="A370" s="2" t="s">
        <v>8727</v>
      </c>
      <c r="B370" s="2" t="s">
        <v>368</v>
      </c>
      <c r="C370" s="52" t="s">
        <v>463</v>
      </c>
      <c r="D370" s="2" t="s">
        <v>30</v>
      </c>
      <c r="E370" s="2" t="s">
        <v>127</v>
      </c>
      <c r="F370" s="11" t="s">
        <v>1190</v>
      </c>
      <c r="G370" s="49" t="s">
        <v>1191</v>
      </c>
      <c r="H370" s="2" t="s">
        <v>1192</v>
      </c>
      <c r="I370" s="12" t="s">
        <v>1193</v>
      </c>
      <c r="J370" s="22">
        <f>+Tabla1[[#This Row],[FECHA ENTRADA]]</f>
        <v>45628</v>
      </c>
      <c r="K370" s="22">
        <v>45641</v>
      </c>
      <c r="L370" s="23">
        <f>_xlfn.DAYS(Tabla1[[#This Row],[FECHA FIN ]],Tabla1[[#This Row],[FECHA INICIO]])</f>
        <v>13</v>
      </c>
      <c r="M370" s="12"/>
      <c r="N370" s="20"/>
      <c r="O370" s="24">
        <f>(Tabla1[[#This Row],[COSTO FIJO ]]/30)*Tabla1[[#This Row],[TOTAL DIAS PROYECTO]]+(Tabla1[[#This Row],[COSTO TEMPORAL]])</f>
        <v>0</v>
      </c>
      <c r="P370" s="12"/>
      <c r="Q370" s="12">
        <f>+(Tabla1[[#This Row],[COSTO COCHE]]/30)*Tabla1[[#This Row],[TOTAL DIAS PROYECTO]]</f>
        <v>0</v>
      </c>
      <c r="R370" s="12">
        <f>+Tabla1[[#This Row],[COSTO TOTAL ALOJAMIENTO]]+Tabla1[[#This Row],[COSTO TOTAL COCHE]]</f>
        <v>0</v>
      </c>
      <c r="S370" s="2"/>
      <c r="T370" s="2" t="s">
        <v>44</v>
      </c>
      <c r="U370" s="14">
        <v>45628</v>
      </c>
      <c r="V370" s="25">
        <v>45641</v>
      </c>
      <c r="W370" s="26"/>
      <c r="X370" s="2"/>
      <c r="Y370" s="11" t="s">
        <v>1166</v>
      </c>
      <c r="Z370" s="2" t="s">
        <v>36</v>
      </c>
      <c r="AA370" s="13" t="s">
        <v>10342</v>
      </c>
      <c r="AB370" s="13" t="s">
        <v>10343</v>
      </c>
    </row>
    <row r="371" spans="1:28" ht="15" customHeight="1">
      <c r="A371" s="2" t="s">
        <v>8896</v>
      </c>
      <c r="B371" s="2" t="s">
        <v>368</v>
      </c>
      <c r="C371" s="52" t="s">
        <v>1194</v>
      </c>
      <c r="D371" s="2" t="s">
        <v>30</v>
      </c>
      <c r="E371" s="2" t="s">
        <v>127</v>
      </c>
      <c r="F371" s="11" t="s">
        <v>1190</v>
      </c>
      <c r="G371" s="49" t="s">
        <v>1191</v>
      </c>
      <c r="H371" s="2" t="s">
        <v>1192</v>
      </c>
      <c r="I371" s="12" t="s">
        <v>1193</v>
      </c>
      <c r="J371" s="22">
        <f>+Tabla1[[#This Row],[FECHA ENTRADA]]</f>
        <v>45628</v>
      </c>
      <c r="K371" s="22">
        <v>45641</v>
      </c>
      <c r="L371" s="23">
        <f>_xlfn.DAYS(Tabla1[[#This Row],[FECHA FIN ]],Tabla1[[#This Row],[FECHA INICIO]])</f>
        <v>13</v>
      </c>
      <c r="N371" s="20"/>
      <c r="O371" s="24">
        <f>(Tabla1[[#This Row],[COSTO FIJO ]]/30)*Tabla1[[#This Row],[TOTAL DIAS PROYECTO]]+(Tabla1[[#This Row],[COSTO TEMPORAL]])</f>
        <v>0</v>
      </c>
      <c r="P371" s="12"/>
      <c r="Q371" s="12">
        <f>+(Tabla1[[#This Row],[COSTO COCHE]]/30)*Tabla1[[#This Row],[TOTAL DIAS PROYECTO]]</f>
        <v>0</v>
      </c>
      <c r="R371" s="12">
        <f>+Tabla1[[#This Row],[COSTO TOTAL ALOJAMIENTO]]+Tabla1[[#This Row],[COSTO TOTAL COCHE]]</f>
        <v>0</v>
      </c>
      <c r="S371" s="2"/>
      <c r="T371" s="2" t="s">
        <v>44</v>
      </c>
      <c r="U371" s="14">
        <v>45628</v>
      </c>
      <c r="V371" s="25">
        <v>45641</v>
      </c>
      <c r="W371" s="26"/>
      <c r="X371" s="2"/>
      <c r="Y371" s="11" t="s">
        <v>1166</v>
      </c>
      <c r="Z371" s="2" t="s">
        <v>36</v>
      </c>
      <c r="AA371" s="13" t="s">
        <v>10342</v>
      </c>
      <c r="AB371" s="13" t="s">
        <v>10343</v>
      </c>
    </row>
    <row r="372" spans="1:28" ht="15" customHeight="1">
      <c r="A372" s="2" t="s">
        <v>8897</v>
      </c>
      <c r="B372" s="2" t="s">
        <v>368</v>
      </c>
      <c r="C372" s="11" t="s">
        <v>1195</v>
      </c>
      <c r="D372" s="2" t="s">
        <v>30</v>
      </c>
      <c r="E372" s="2" t="s">
        <v>127</v>
      </c>
      <c r="F372" s="11" t="s">
        <v>1190</v>
      </c>
      <c r="G372" s="49" t="s">
        <v>1191</v>
      </c>
      <c r="H372" s="2" t="s">
        <v>1192</v>
      </c>
      <c r="I372" s="12" t="s">
        <v>1193</v>
      </c>
      <c r="J372" s="22">
        <f>+Tabla1[[#This Row],[FECHA ENTRADA]]</f>
        <v>45628</v>
      </c>
      <c r="K372" s="22">
        <v>45641</v>
      </c>
      <c r="L372" s="23">
        <f>_xlfn.DAYS(Tabla1[[#This Row],[FECHA FIN ]],Tabla1[[#This Row],[FECHA INICIO]])</f>
        <v>13</v>
      </c>
      <c r="M372" s="12"/>
      <c r="N372" s="12">
        <f>(550/3)+(240/3)</f>
        <v>263.33333333333337</v>
      </c>
      <c r="O372" s="24">
        <f>(Tabla1[[#This Row],[COSTO FIJO ]]/30)*Tabla1[[#This Row],[TOTAL DIAS PROYECTO]]+(Tabla1[[#This Row],[COSTO TEMPORAL]])</f>
        <v>114.11111111111111</v>
      </c>
      <c r="P372" s="12"/>
      <c r="Q372" s="12">
        <f>+(Tabla1[[#This Row],[COSTO COCHE]]/30)*Tabla1[[#This Row],[TOTAL DIAS PROYECTO]]</f>
        <v>0</v>
      </c>
      <c r="R372" s="12">
        <f>+Tabla1[[#This Row],[COSTO TOTAL ALOJAMIENTO]]+Tabla1[[#This Row],[COSTO TOTAL COCHE]]</f>
        <v>114.11111111111111</v>
      </c>
      <c r="S372" s="2"/>
      <c r="T372" s="2" t="s">
        <v>44</v>
      </c>
      <c r="U372" s="14">
        <v>45628</v>
      </c>
      <c r="V372" s="25">
        <v>45641</v>
      </c>
      <c r="W372" s="26"/>
      <c r="X372" s="2"/>
      <c r="Y372" s="11" t="s">
        <v>1166</v>
      </c>
      <c r="Z372" s="2" t="s">
        <v>36</v>
      </c>
      <c r="AA372" s="13" t="s">
        <v>10342</v>
      </c>
      <c r="AB372" s="13" t="s">
        <v>10343</v>
      </c>
    </row>
    <row r="373" spans="1:28" ht="15" customHeight="1">
      <c r="A373" s="2" t="s">
        <v>8638</v>
      </c>
      <c r="B373" s="2" t="s">
        <v>368</v>
      </c>
      <c r="C373" s="18" t="s">
        <v>352</v>
      </c>
      <c r="D373" s="2" t="s">
        <v>30</v>
      </c>
      <c r="E373" s="2" t="s">
        <v>213</v>
      </c>
      <c r="F373" s="11" t="s">
        <v>1196</v>
      </c>
      <c r="G373" s="21" t="s">
        <v>1197</v>
      </c>
      <c r="H373" s="2" t="s">
        <v>1198</v>
      </c>
      <c r="I373" s="12" t="s">
        <v>514</v>
      </c>
      <c r="J373" s="22">
        <f>+Tabla1[[#This Row],[FECHA ENTRADA]]</f>
        <v>45582</v>
      </c>
      <c r="K373" s="8">
        <v>45641</v>
      </c>
      <c r="L373" s="23">
        <f>_xlfn.DAYS(Tabla1[[#This Row],[FECHA FIN ]],Tabla1[[#This Row],[FECHA INICIO]])</f>
        <v>59</v>
      </c>
      <c r="M373" s="12"/>
      <c r="N373" s="24">
        <v>298.8</v>
      </c>
      <c r="O373" s="24">
        <f>(Tabla1[[#This Row],[COSTO FIJO ]]/30)*Tabla1[[#This Row],[TOTAL DIAS PROYECTO]]+(Tabla1[[#This Row],[COSTO TEMPORAL]])</f>
        <v>587.6400000000001</v>
      </c>
      <c r="P373" s="12"/>
      <c r="Q373" s="12">
        <f>+(Tabla1[[#This Row],[COSTO COCHE]]/30)*Tabla1[[#This Row],[TOTAL DIAS PROYECTO]]</f>
        <v>0</v>
      </c>
      <c r="R373" s="12">
        <f>+Tabla1[[#This Row],[COSTO TOTAL ALOJAMIENTO]]+Tabla1[[#This Row],[COSTO TOTAL COCHE]]</f>
        <v>587.6400000000001</v>
      </c>
      <c r="S373" s="2"/>
      <c r="T373" s="2" t="s">
        <v>35</v>
      </c>
      <c r="U373" s="14">
        <v>45582</v>
      </c>
      <c r="V373" s="25"/>
      <c r="W373" s="26"/>
      <c r="X373" s="2">
        <v>1</v>
      </c>
      <c r="Y373" s="11" t="s">
        <v>1199</v>
      </c>
      <c r="Z373" s="2" t="s">
        <v>36</v>
      </c>
      <c r="AA373" s="13" t="s">
        <v>10349</v>
      </c>
      <c r="AB373" s="13" t="s">
        <v>10350</v>
      </c>
    </row>
    <row r="374" spans="1:28">
      <c r="A374" s="2" t="s">
        <v>8774</v>
      </c>
      <c r="B374" s="2" t="s">
        <v>28</v>
      </c>
      <c r="C374" s="11" t="s">
        <v>694</v>
      </c>
      <c r="D374" s="2" t="s">
        <v>30</v>
      </c>
      <c r="E374" s="2" t="s">
        <v>855</v>
      </c>
      <c r="F374" s="11" t="s">
        <v>856</v>
      </c>
      <c r="G374" s="21" t="s">
        <v>857</v>
      </c>
      <c r="H374" s="2" t="s">
        <v>1200</v>
      </c>
      <c r="I374" s="12" t="s">
        <v>1201</v>
      </c>
      <c r="J374" s="41">
        <f>+Tabla1[[#This Row],[FECHA ENTRADA]]</f>
        <v>45550</v>
      </c>
      <c r="K374" s="8">
        <v>45641</v>
      </c>
      <c r="L374" s="42">
        <f>_xlfn.DAYS(Tabla1[[#This Row],[FECHA FIN ]],Tabla1[[#This Row],[FECHA INICIO]])</f>
        <v>91</v>
      </c>
      <c r="M374" s="12"/>
      <c r="N374" s="12"/>
      <c r="O374" s="28">
        <f>(Tabla1[[#This Row],[COSTO FIJO ]]/30)*Tabla1[[#This Row],[TOTAL DIAS PROYECTO]]+(Tabla1[[#This Row],[COSTO TEMPORAL]])</f>
        <v>0</v>
      </c>
      <c r="P374" s="12"/>
      <c r="Q374" s="12">
        <f>+(Tabla1[[#This Row],[COSTO COCHE]]/30)*Tabla1[[#This Row],[TOTAL DIAS PROYECTO]]</f>
        <v>0</v>
      </c>
      <c r="R374" s="12">
        <f>+Tabla1[[#This Row],[COSTO TOTAL ALOJAMIENTO]]+Tabla1[[#This Row],[COSTO TOTAL COCHE]]</f>
        <v>0</v>
      </c>
      <c r="S374" s="2"/>
      <c r="T374" s="2" t="s">
        <v>35</v>
      </c>
      <c r="U374" s="14">
        <v>45550</v>
      </c>
      <c r="V374" s="75"/>
      <c r="W374" s="26"/>
      <c r="X374" s="2">
        <v>15</v>
      </c>
      <c r="Y374" s="11" t="s">
        <v>1202</v>
      </c>
      <c r="Z374" s="2" t="s">
        <v>36</v>
      </c>
      <c r="AA374" s="13" t="s">
        <v>10401</v>
      </c>
      <c r="AB374" s="13" t="s">
        <v>10402</v>
      </c>
    </row>
    <row r="375" spans="1:28" ht="15" customHeight="1">
      <c r="A375" s="2" t="s">
        <v>8898</v>
      </c>
      <c r="B375" s="2" t="s">
        <v>28</v>
      </c>
      <c r="C375" s="11" t="s">
        <v>1203</v>
      </c>
      <c r="D375" s="2" t="s">
        <v>30</v>
      </c>
      <c r="E375" s="2" t="s">
        <v>127</v>
      </c>
      <c r="F375" s="11" t="s">
        <v>128</v>
      </c>
      <c r="G375" s="11" t="s">
        <v>129</v>
      </c>
      <c r="H375" s="2" t="s">
        <v>1204</v>
      </c>
      <c r="I375" s="2" t="s">
        <v>124</v>
      </c>
      <c r="J375" s="8">
        <f>+Tabla1[[#This Row],[FECHA ENTRADA]]</f>
        <v>45366</v>
      </c>
      <c r="K375" s="22">
        <v>45821</v>
      </c>
      <c r="L375" s="13">
        <f>_xlfn.DAYS(Tabla1[[#This Row],[FECHA FIN ]],Tabla1[[#This Row],[FECHA INICIO]])</f>
        <v>455</v>
      </c>
      <c r="M375" s="12"/>
      <c r="N375" s="12"/>
      <c r="O375" s="12">
        <f>(Tabla1[[#This Row],[COSTO FIJO ]]/30)*Tabla1[[#This Row],[TOTAL DIAS PROYECTO]]+(Tabla1[[#This Row],[COSTO TEMPORAL]])</f>
        <v>0</v>
      </c>
      <c r="P375" s="12"/>
      <c r="Q375" s="12">
        <f>+(Tabla1[[#This Row],[COSTO COCHE]]/30)*Tabla1[[#This Row],[TOTAL DIAS PROYECTO]]</f>
        <v>0</v>
      </c>
      <c r="R375" s="12">
        <f>+Tabla1[[#This Row],[COSTO TOTAL ALOJAMIENTO]]+Tabla1[[#This Row],[COSTO TOTAL COCHE]]</f>
        <v>0</v>
      </c>
      <c r="S375" s="2"/>
      <c r="T375" s="2" t="s">
        <v>35</v>
      </c>
      <c r="U375" s="14">
        <v>45366</v>
      </c>
      <c r="V375" s="14"/>
      <c r="W375" s="15"/>
      <c r="X375" s="16">
        <v>15</v>
      </c>
      <c r="Y375" s="18"/>
      <c r="Z375" s="2" t="s">
        <v>36</v>
      </c>
      <c r="AA375" s="13" t="s">
        <v>10342</v>
      </c>
      <c r="AB375" s="13" t="s">
        <v>10343</v>
      </c>
    </row>
    <row r="376" spans="1:28">
      <c r="A376" s="2" t="s">
        <v>8858</v>
      </c>
      <c r="B376" s="2" t="s">
        <v>28</v>
      </c>
      <c r="C376" s="11" t="s">
        <v>1048</v>
      </c>
      <c r="D376" s="2" t="s">
        <v>30</v>
      </c>
      <c r="E376" s="2" t="s">
        <v>127</v>
      </c>
      <c r="F376" s="11" t="s">
        <v>128</v>
      </c>
      <c r="G376" s="11" t="s">
        <v>129</v>
      </c>
      <c r="H376" s="2" t="s">
        <v>130</v>
      </c>
      <c r="I376" s="2" t="s">
        <v>124</v>
      </c>
      <c r="J376" s="8">
        <f>+Tabla1[[#This Row],[FECHA ENTRADA]]</f>
        <v>45383</v>
      </c>
      <c r="K376" s="8">
        <v>45414</v>
      </c>
      <c r="L376" s="13">
        <f>_xlfn.DAYS(Tabla1[[#This Row],[FECHA FIN ]],Tabla1[[#This Row],[FECHA INICIO]])</f>
        <v>31</v>
      </c>
      <c r="M376" s="12"/>
      <c r="N376" s="2"/>
      <c r="O376" s="12">
        <f>(Tabla1[[#This Row],[COSTO FIJO ]]/30)*Tabla1[[#This Row],[TOTAL DIAS PROYECTO]]+(Tabla1[[#This Row],[COSTO TEMPORAL]])</f>
        <v>0</v>
      </c>
      <c r="P376" s="12"/>
      <c r="Q376" s="12">
        <f>+(Tabla1[[#This Row],[COSTO COCHE]]/30)*Tabla1[[#This Row],[TOTAL DIAS PROYECTO]]</f>
        <v>0</v>
      </c>
      <c r="R376" s="12">
        <f>+Tabla1[[#This Row],[COSTO TOTAL ALOJAMIENTO]]+Tabla1[[#This Row],[COSTO TOTAL COCHE]]</f>
        <v>0</v>
      </c>
      <c r="S376" s="2"/>
      <c r="T376" s="2" t="s">
        <v>35</v>
      </c>
      <c r="U376" s="14">
        <v>45383</v>
      </c>
      <c r="V376" s="14"/>
      <c r="W376" s="15"/>
      <c r="X376" s="16">
        <v>15</v>
      </c>
      <c r="Y376" s="18"/>
      <c r="Z376" s="2" t="s">
        <v>36</v>
      </c>
      <c r="AA376" s="13" t="s">
        <v>10342</v>
      </c>
      <c r="AB376" s="13" t="s">
        <v>10343</v>
      </c>
    </row>
    <row r="377" spans="1:28">
      <c r="A377" s="2" t="s">
        <v>8899</v>
      </c>
      <c r="B377" s="2" t="s">
        <v>28</v>
      </c>
      <c r="C377" s="11" t="s">
        <v>1205</v>
      </c>
      <c r="D377" s="2" t="s">
        <v>30</v>
      </c>
      <c r="E377" s="2" t="s">
        <v>127</v>
      </c>
      <c r="F377" s="11" t="s">
        <v>128</v>
      </c>
      <c r="G377" s="11" t="s">
        <v>129</v>
      </c>
      <c r="H377" s="2" t="s">
        <v>130</v>
      </c>
      <c r="I377" s="2" t="s">
        <v>124</v>
      </c>
      <c r="J377" s="8">
        <f>+Tabla1[[#This Row],[FECHA ENTRADA]]</f>
        <v>45383</v>
      </c>
      <c r="K377" s="22">
        <v>45821</v>
      </c>
      <c r="L377" s="13">
        <f>_xlfn.DAYS(Tabla1[[#This Row],[FECHA FIN ]],Tabla1[[#This Row],[FECHA INICIO]])</f>
        <v>438</v>
      </c>
      <c r="M377" s="12"/>
      <c r="N377" s="12">
        <f>1811.6/17</f>
        <v>106.56470588235294</v>
      </c>
      <c r="O377" s="12">
        <f>(Tabla1[[#This Row],[COSTO FIJO ]]/30)*Tabla1[[#This Row],[TOTAL DIAS PROYECTO]]+(Tabla1[[#This Row],[COSTO TEMPORAL]])</f>
        <v>1555.8447058823531</v>
      </c>
      <c r="P377" s="12"/>
      <c r="Q377" s="12">
        <f>+(Tabla1[[#This Row],[COSTO COCHE]]/30)*Tabla1[[#This Row],[TOTAL DIAS PROYECTO]]</f>
        <v>0</v>
      </c>
      <c r="R377" s="12">
        <f>+Tabla1[[#This Row],[COSTO TOTAL ALOJAMIENTO]]+Tabla1[[#This Row],[COSTO TOTAL COCHE]]</f>
        <v>1555.8447058823531</v>
      </c>
      <c r="S377" s="2"/>
      <c r="T377" s="2" t="s">
        <v>35</v>
      </c>
      <c r="U377" s="14">
        <v>45383</v>
      </c>
      <c r="V377" s="14"/>
      <c r="W377" s="15"/>
      <c r="X377" s="16">
        <v>15</v>
      </c>
      <c r="Y377" s="18"/>
      <c r="Z377" s="2" t="s">
        <v>36</v>
      </c>
      <c r="AA377" s="13" t="s">
        <v>10342</v>
      </c>
      <c r="AB377" s="13" t="s">
        <v>10343</v>
      </c>
    </row>
    <row r="378" spans="1:28" ht="15" customHeight="1">
      <c r="A378" s="2" t="s">
        <v>8719</v>
      </c>
      <c r="B378" s="2" t="s">
        <v>28</v>
      </c>
      <c r="C378" s="11" t="s">
        <v>438</v>
      </c>
      <c r="D378" s="2" t="s">
        <v>30</v>
      </c>
      <c r="E378" s="2" t="s">
        <v>31</v>
      </c>
      <c r="F378" s="11" t="s">
        <v>1206</v>
      </c>
      <c r="G378" s="49" t="s">
        <v>1005</v>
      </c>
      <c r="H378" s="2" t="s">
        <v>1207</v>
      </c>
      <c r="I378" s="12" t="s">
        <v>1208</v>
      </c>
      <c r="J378" s="22">
        <f>+Tabla1[[#This Row],[FECHA ENTRADA]]</f>
        <v>45622</v>
      </c>
      <c r="K378" s="8">
        <v>45641</v>
      </c>
      <c r="L378" s="23">
        <f>_xlfn.DAYS(Tabla1[[#This Row],[FECHA FIN ]],Tabla1[[#This Row],[FECHA INICIO]])</f>
        <v>19</v>
      </c>
      <c r="M378" s="12"/>
      <c r="N378" s="12"/>
      <c r="O378" s="24">
        <f>(Tabla1[[#This Row],[COSTO FIJO ]]/30)*Tabla1[[#This Row],[TOTAL DIAS PROYECTO]]+(Tabla1[[#This Row],[COSTO TEMPORAL]])</f>
        <v>0</v>
      </c>
      <c r="P378" s="12"/>
      <c r="Q378" s="12">
        <f>+(Tabla1[[#This Row],[COSTO COCHE]]/30)*Tabla1[[#This Row],[TOTAL DIAS PROYECTO]]</f>
        <v>0</v>
      </c>
      <c r="R378" s="12">
        <f>+Tabla1[[#This Row],[COSTO TOTAL ALOJAMIENTO]]+Tabla1[[#This Row],[COSTO TOTAL COCHE]]</f>
        <v>0</v>
      </c>
      <c r="S378" s="2"/>
      <c r="T378" s="2" t="s">
        <v>35</v>
      </c>
      <c r="U378" s="14">
        <v>45622</v>
      </c>
      <c r="V378" s="25"/>
      <c r="W378" s="26"/>
      <c r="X378" s="2">
        <v>27</v>
      </c>
      <c r="Y378" s="11" t="s">
        <v>1166</v>
      </c>
      <c r="Z378" s="2" t="s">
        <v>36</v>
      </c>
      <c r="AA378" s="13" t="s">
        <v>10323</v>
      </c>
      <c r="AB378" s="13" t="s">
        <v>10324</v>
      </c>
    </row>
    <row r="379" spans="1:28" ht="15" customHeight="1">
      <c r="A379" s="2" t="s">
        <v>8900</v>
      </c>
      <c r="B379" s="2" t="s">
        <v>978</v>
      </c>
      <c r="C379" s="11" t="s">
        <v>1209</v>
      </c>
      <c r="D379" s="2" t="s">
        <v>30</v>
      </c>
      <c r="E379" s="2" t="s">
        <v>253</v>
      </c>
      <c r="F379" s="11" t="s">
        <v>1152</v>
      </c>
      <c r="G379" s="46" t="s">
        <v>1153</v>
      </c>
      <c r="H379" s="2" t="s">
        <v>1154</v>
      </c>
      <c r="I379" s="12" t="s">
        <v>1155</v>
      </c>
      <c r="J379" s="41">
        <f>+Tabla1[[#This Row],[FECHA ENTRADA]]</f>
        <v>45630</v>
      </c>
      <c r="K379" s="41">
        <v>45642</v>
      </c>
      <c r="L379" s="42">
        <f>_xlfn.DAYS(Tabla1[[#This Row],[FECHA FIN ]],Tabla1[[#This Row],[FECHA INICIO]])</f>
        <v>12</v>
      </c>
      <c r="M379" s="12"/>
      <c r="N379" s="12"/>
      <c r="O379" s="28">
        <f>(Tabla1[[#This Row],[COSTO FIJO ]]/30)*Tabla1[[#This Row],[TOTAL DIAS PROYECTO]]+(Tabla1[[#This Row],[COSTO TEMPORAL]])</f>
        <v>0</v>
      </c>
      <c r="P379" s="12"/>
      <c r="Q379" s="12">
        <f>+(Tabla1[[#This Row],[COSTO COCHE]]/30)*Tabla1[[#This Row],[TOTAL DIAS PROYECTO]]</f>
        <v>0</v>
      </c>
      <c r="R379" s="12">
        <f>+Tabla1[[#This Row],[COSTO TOTAL ALOJAMIENTO]]+Tabla1[[#This Row],[COSTO TOTAL COCHE]]</f>
        <v>0</v>
      </c>
      <c r="S379" s="2"/>
      <c r="T379" s="2" t="s">
        <v>44</v>
      </c>
      <c r="U379" s="14">
        <v>45630</v>
      </c>
      <c r="V379" s="43">
        <v>45642</v>
      </c>
      <c r="W379" s="26"/>
      <c r="X379" s="2"/>
      <c r="Y379" s="11"/>
      <c r="Z379" s="2" t="s">
        <v>36</v>
      </c>
      <c r="AA379" s="13" t="s">
        <v>10357</v>
      </c>
      <c r="AB379" s="13" t="s">
        <v>10358</v>
      </c>
    </row>
    <row r="380" spans="1:28" ht="15" customHeight="1">
      <c r="A380" s="2" t="s">
        <v>8901</v>
      </c>
      <c r="B380" s="2" t="s">
        <v>978</v>
      </c>
      <c r="C380" s="11" t="s">
        <v>1210</v>
      </c>
      <c r="D380" s="2" t="s">
        <v>30</v>
      </c>
      <c r="E380" s="2" t="s">
        <v>253</v>
      </c>
      <c r="F380" s="11" t="s">
        <v>1152</v>
      </c>
      <c r="G380" s="46" t="s">
        <v>1153</v>
      </c>
      <c r="H380" s="2" t="s">
        <v>1154</v>
      </c>
      <c r="I380" s="12" t="s">
        <v>1155</v>
      </c>
      <c r="J380" s="41">
        <f>+Tabla1[[#This Row],[FECHA ENTRADA]]</f>
        <v>45630</v>
      </c>
      <c r="K380" s="41">
        <v>45642</v>
      </c>
      <c r="L380" s="42">
        <f>_xlfn.DAYS(Tabla1[[#This Row],[FECHA FIN ]],Tabla1[[#This Row],[FECHA INICIO]])</f>
        <v>12</v>
      </c>
      <c r="M380" s="12">
        <f>+(60)+(915/6)+(660/5)</f>
        <v>344.5</v>
      </c>
      <c r="N380" s="28"/>
      <c r="O380" s="28">
        <f>(Tabla1[[#This Row],[COSTO FIJO ]]/30)*Tabla1[[#This Row],[TOTAL DIAS PROYECTO]]+(Tabla1[[#This Row],[COSTO TEMPORAL]])</f>
        <v>344.5</v>
      </c>
      <c r="P380" s="12"/>
      <c r="Q380" s="12">
        <f>+(Tabla1[[#This Row],[COSTO COCHE]]/30)*Tabla1[[#This Row],[TOTAL DIAS PROYECTO]]</f>
        <v>0</v>
      </c>
      <c r="R380" s="12">
        <f>+Tabla1[[#This Row],[COSTO TOTAL ALOJAMIENTO]]+Tabla1[[#This Row],[COSTO TOTAL COCHE]]</f>
        <v>344.5</v>
      </c>
      <c r="S380" s="2"/>
      <c r="T380" s="2" t="s">
        <v>44</v>
      </c>
      <c r="U380" s="14">
        <v>45630</v>
      </c>
      <c r="V380" s="43">
        <v>45642</v>
      </c>
      <c r="W380" s="26"/>
      <c r="X380" s="2"/>
      <c r="Y380" s="11"/>
      <c r="Z380" s="2" t="s">
        <v>36</v>
      </c>
      <c r="AA380" s="13" t="s">
        <v>10357</v>
      </c>
      <c r="AB380" s="13" t="s">
        <v>10358</v>
      </c>
    </row>
    <row r="381" spans="1:28" ht="15" customHeight="1">
      <c r="A381" s="2" t="s">
        <v>8902</v>
      </c>
      <c r="B381" s="2" t="s">
        <v>28</v>
      </c>
      <c r="C381" s="11" t="s">
        <v>1211</v>
      </c>
      <c r="D381" s="2" t="s">
        <v>30</v>
      </c>
      <c r="E381" s="2" t="s">
        <v>253</v>
      </c>
      <c r="F381" s="11"/>
      <c r="G381" s="11"/>
      <c r="H381" s="2">
        <v>2023</v>
      </c>
      <c r="I381" s="2" t="s">
        <v>256</v>
      </c>
      <c r="J381" s="8">
        <v>45122</v>
      </c>
      <c r="K381" s="8">
        <v>45643</v>
      </c>
      <c r="L381" s="13">
        <f>_xlfn.DAYS(Tabla1[[#This Row],[FECHA FIN ]],Tabla1[[#This Row],[FECHA INICIO]])</f>
        <v>521</v>
      </c>
      <c r="M381" s="12"/>
      <c r="N381" s="12">
        <f>1811.6/17</f>
        <v>106.56470588235294</v>
      </c>
      <c r="O381" s="12">
        <f>(Tabla1[[#This Row],[COSTO FIJO ]]/30)*Tabla1[[#This Row],[TOTAL DIAS PROYECTO]]+(Tabla1[[#This Row],[COSTO TEMPORAL]])</f>
        <v>1850.6737254901961</v>
      </c>
      <c r="P381" s="12"/>
      <c r="Q381" s="12">
        <f>+(Tabla1[[#This Row],[COSTO COCHE]]/30)*Tabla1[[#This Row],[TOTAL DIAS PROYECTO]]</f>
        <v>0</v>
      </c>
      <c r="R381" s="12">
        <f>+Tabla1[[#This Row],[COSTO TOTAL ALOJAMIENTO]]+Tabla1[[#This Row],[COSTO TOTAL COCHE]]</f>
        <v>1850.6737254901961</v>
      </c>
      <c r="S381" s="2"/>
      <c r="T381" s="2" t="s">
        <v>58</v>
      </c>
      <c r="U381" s="14"/>
      <c r="V381" s="14"/>
      <c r="W381" s="2"/>
      <c r="X381" s="2"/>
      <c r="Y381" s="11" t="s">
        <v>1212</v>
      </c>
      <c r="Z381" s="2" t="s">
        <v>36</v>
      </c>
      <c r="AA381" s="13" t="s">
        <v>10357</v>
      </c>
      <c r="AB381" s="13" t="s">
        <v>10358</v>
      </c>
    </row>
    <row r="382" spans="1:28">
      <c r="A382" s="2" t="s">
        <v>8903</v>
      </c>
      <c r="B382" s="2" t="s">
        <v>28</v>
      </c>
      <c r="C382" s="18" t="s">
        <v>1213</v>
      </c>
      <c r="D382" s="2" t="s">
        <v>30</v>
      </c>
      <c r="E382" s="2" t="s">
        <v>31</v>
      </c>
      <c r="F382" s="11" t="s">
        <v>1004</v>
      </c>
      <c r="G382" s="51" t="s">
        <v>1005</v>
      </c>
      <c r="H382" s="2" t="s">
        <v>526</v>
      </c>
      <c r="I382" s="12" t="s">
        <v>527</v>
      </c>
      <c r="J382" s="8">
        <f>+Tabla1[[#This Row],[FECHA ENTRADA]]</f>
        <v>45502</v>
      </c>
      <c r="K382" s="22">
        <v>45821</v>
      </c>
      <c r="L382" s="13">
        <f>_xlfn.DAYS(Tabla1[[#This Row],[FECHA FIN ]],Tabla1[[#This Row],[FECHA INICIO]])</f>
        <v>319</v>
      </c>
      <c r="M382" s="12"/>
      <c r="N382" s="12">
        <v>320</v>
      </c>
      <c r="O382" s="12">
        <f>(Tabla1[[#This Row],[COSTO FIJO ]]/30)*Tabla1[[#This Row],[TOTAL DIAS PROYECTO]]+(Tabla1[[#This Row],[COSTO TEMPORAL]])</f>
        <v>3402.6666666666665</v>
      </c>
      <c r="P382" s="12">
        <f>+(((800*3)+520.54)*50%)/19</f>
        <v>76.856315789473683</v>
      </c>
      <c r="Q382" s="12">
        <f>+(Tabla1[[#This Row],[COSTO COCHE]]/30)*Tabla1[[#This Row],[TOTAL DIAS PROYECTO]]</f>
        <v>817.23882456140348</v>
      </c>
      <c r="R382" s="12">
        <f>+Tabla1[[#This Row],[COSTO TOTAL ALOJAMIENTO]]+Tabla1[[#This Row],[COSTO TOTAL COCHE]]</f>
        <v>4219.9054912280699</v>
      </c>
      <c r="S382" s="2"/>
      <c r="T382" s="88" t="s">
        <v>35</v>
      </c>
      <c r="U382" s="14">
        <v>45502</v>
      </c>
      <c r="V382" s="14"/>
      <c r="W382" s="26"/>
      <c r="X382" s="2">
        <v>1</v>
      </c>
      <c r="Y382" s="11" t="s">
        <v>1006</v>
      </c>
      <c r="Z382" s="2" t="s">
        <v>36</v>
      </c>
      <c r="AA382" s="13" t="s">
        <v>10323</v>
      </c>
      <c r="AB382" s="13" t="s">
        <v>10324</v>
      </c>
    </row>
    <row r="383" spans="1:28" ht="15" customHeight="1">
      <c r="A383" s="2" t="s">
        <v>8851</v>
      </c>
      <c r="B383" s="2" t="s">
        <v>978</v>
      </c>
      <c r="C383" s="18" t="s">
        <v>1017</v>
      </c>
      <c r="D383" s="2" t="s">
        <v>30</v>
      </c>
      <c r="E383" s="2" t="s">
        <v>259</v>
      </c>
      <c r="F383" s="11" t="s">
        <v>1214</v>
      </c>
      <c r="G383" s="30" t="s">
        <v>1215</v>
      </c>
      <c r="H383" s="2" t="s">
        <v>1216</v>
      </c>
      <c r="I383" s="12" t="s">
        <v>1217</v>
      </c>
      <c r="J383" s="41">
        <f>+Tabla1[[#This Row],[FECHA ENTRADA]]</f>
        <v>45642</v>
      </c>
      <c r="K383" s="8">
        <v>45644</v>
      </c>
      <c r="L383" s="42">
        <f>_xlfn.DAYS(Tabla1[[#This Row],[FECHA FIN ]],Tabla1[[#This Row],[FECHA INICIO]])</f>
        <v>2</v>
      </c>
      <c r="M383" s="28"/>
      <c r="N383" s="20"/>
      <c r="O383" s="28">
        <f>(Tabla1[[#This Row],[COSTO FIJO ]]/30)*Tabla1[[#This Row],[TOTAL DIAS PROYECTO]]+(Tabla1[[#This Row],[COSTO TEMPORAL]])</f>
        <v>0</v>
      </c>
      <c r="P383" s="12"/>
      <c r="Q383" s="12">
        <f>+(Tabla1[[#This Row],[COSTO COCHE]]/30)*Tabla1[[#This Row],[TOTAL DIAS PROYECTO]]</f>
        <v>0</v>
      </c>
      <c r="R383" s="12">
        <f>+Tabla1[[#This Row],[COSTO TOTAL ALOJAMIENTO]]+Tabla1[[#This Row],[COSTO TOTAL COCHE]]</f>
        <v>0</v>
      </c>
      <c r="S383" s="2"/>
      <c r="T383" s="2" t="s">
        <v>44</v>
      </c>
      <c r="U383" s="14">
        <v>45642</v>
      </c>
      <c r="V383" s="43">
        <v>45644</v>
      </c>
      <c r="W383" s="26"/>
      <c r="X383" s="2"/>
      <c r="Y383" s="11"/>
      <c r="Z383" s="2" t="s">
        <v>36</v>
      </c>
      <c r="AA383" s="13">
        <v>-0.87734000000000001</v>
      </c>
      <c r="AB383" s="13" t="s">
        <v>10359</v>
      </c>
    </row>
    <row r="384" spans="1:28" ht="15" customHeight="1">
      <c r="A384" s="2" t="s">
        <v>8904</v>
      </c>
      <c r="B384" s="2" t="s">
        <v>978</v>
      </c>
      <c r="C384" s="11" t="s">
        <v>1218</v>
      </c>
      <c r="D384" s="2" t="s">
        <v>30</v>
      </c>
      <c r="E384" s="2" t="s">
        <v>259</v>
      </c>
      <c r="F384" s="11" t="s">
        <v>1214</v>
      </c>
      <c r="G384" s="30" t="s">
        <v>1215</v>
      </c>
      <c r="H384" s="2" t="s">
        <v>1216</v>
      </c>
      <c r="I384" s="12" t="s">
        <v>1217</v>
      </c>
      <c r="J384" s="41">
        <f>+Tabla1[[#This Row],[FECHA ENTRADA]]</f>
        <v>45642</v>
      </c>
      <c r="K384" s="8">
        <v>45644</v>
      </c>
      <c r="L384" s="42">
        <f>_xlfn.DAYS(Tabla1[[#This Row],[FECHA FIN ]],Tabla1[[#This Row],[FECHA INICIO]])</f>
        <v>2</v>
      </c>
      <c r="M384" s="12"/>
      <c r="N384" s="12">
        <f>125.99/2</f>
        <v>62.994999999999997</v>
      </c>
      <c r="O384" s="28">
        <f>(Tabla1[[#This Row],[COSTO FIJO ]]/30)*Tabla1[[#This Row],[TOTAL DIAS PROYECTO]]+(Tabla1[[#This Row],[COSTO TEMPORAL]])</f>
        <v>4.1996666666666664</v>
      </c>
      <c r="P384" s="12"/>
      <c r="Q384" s="12">
        <f>+(Tabla1[[#This Row],[COSTO COCHE]]/30)*Tabla1[[#This Row],[TOTAL DIAS PROYECTO]]</f>
        <v>0</v>
      </c>
      <c r="R384" s="12">
        <f>+Tabla1[[#This Row],[COSTO TOTAL ALOJAMIENTO]]+Tabla1[[#This Row],[COSTO TOTAL COCHE]]</f>
        <v>4.1996666666666664</v>
      </c>
      <c r="S384" s="2"/>
      <c r="T384" s="2" t="s">
        <v>44</v>
      </c>
      <c r="U384" s="14">
        <v>45642</v>
      </c>
      <c r="V384" s="43">
        <v>45644</v>
      </c>
      <c r="W384" s="26"/>
      <c r="X384" s="2"/>
      <c r="Y384" s="11"/>
      <c r="Z384" s="2" t="s">
        <v>36</v>
      </c>
      <c r="AA384" s="13">
        <v>-0.87734000000000001</v>
      </c>
      <c r="AB384" s="13" t="s">
        <v>10359</v>
      </c>
    </row>
    <row r="385" spans="1:28" ht="15" customHeight="1">
      <c r="A385" s="2" t="s">
        <v>8712</v>
      </c>
      <c r="B385" s="2" t="s">
        <v>28</v>
      </c>
      <c r="C385" s="18" t="s">
        <v>401</v>
      </c>
      <c r="D385" s="2" t="s">
        <v>30</v>
      </c>
      <c r="E385" s="2" t="s">
        <v>370</v>
      </c>
      <c r="F385" s="11"/>
      <c r="G385" s="11"/>
      <c r="H385" s="2" t="s">
        <v>405</v>
      </c>
      <c r="I385" s="12" t="s">
        <v>406</v>
      </c>
      <c r="J385" s="8">
        <f>+Tabla1[[#This Row],[FECHA ENTRADA]]</f>
        <v>45487</v>
      </c>
      <c r="K385" s="8">
        <v>45644</v>
      </c>
      <c r="L385" s="13">
        <f>_xlfn.DAYS(Tabla1[[#This Row],[FECHA FIN ]],Tabla1[[#This Row],[FECHA INICIO]])</f>
        <v>157</v>
      </c>
      <c r="M385" s="12"/>
      <c r="N385" s="12">
        <v>300</v>
      </c>
      <c r="O385" s="12">
        <f>(Tabla1[[#This Row],[COSTO FIJO ]]/30)*Tabla1[[#This Row],[TOTAL DIAS PROYECTO]]+(Tabla1[[#This Row],[COSTO TEMPORAL]])</f>
        <v>1570</v>
      </c>
      <c r="P385" s="12"/>
      <c r="Q385" s="12">
        <f>+(Tabla1[[#This Row],[COSTO COCHE]]/30)*Tabla1[[#This Row],[TOTAL DIAS PROYECTO]]</f>
        <v>0</v>
      </c>
      <c r="R385" s="12">
        <f>+Tabla1[[#This Row],[COSTO TOTAL ALOJAMIENTO]]+Tabla1[[#This Row],[COSTO TOTAL COCHE]]</f>
        <v>1570</v>
      </c>
      <c r="S385" s="2"/>
      <c r="T385" s="2" t="s">
        <v>58</v>
      </c>
      <c r="U385" s="14">
        <v>45487</v>
      </c>
      <c r="V385" s="14">
        <v>45490</v>
      </c>
      <c r="W385" s="26"/>
      <c r="X385" s="2">
        <v>13</v>
      </c>
      <c r="Y385" s="11" t="s">
        <v>1219</v>
      </c>
      <c r="Z385" s="2" t="s">
        <v>36</v>
      </c>
      <c r="AA385" s="13" t="s">
        <v>10368</v>
      </c>
      <c r="AB385" s="13" t="s">
        <v>10369</v>
      </c>
    </row>
    <row r="386" spans="1:28" ht="15" customHeight="1">
      <c r="A386" s="2" t="s">
        <v>8709</v>
      </c>
      <c r="B386" s="2" t="s">
        <v>28</v>
      </c>
      <c r="C386" s="11" t="s">
        <v>394</v>
      </c>
      <c r="D386" s="2" t="s">
        <v>30</v>
      </c>
      <c r="E386" s="2" t="s">
        <v>370</v>
      </c>
      <c r="F386" s="11"/>
      <c r="G386" s="11"/>
      <c r="H386" s="2" t="s">
        <v>619</v>
      </c>
      <c r="I386" s="12" t="s">
        <v>406</v>
      </c>
      <c r="J386" s="8">
        <f>+Tabla1[[#This Row],[FECHA ENTRADA]]</f>
        <v>45487</v>
      </c>
      <c r="K386" s="8">
        <v>45644</v>
      </c>
      <c r="L386" s="13">
        <f>_xlfn.DAYS(Tabla1[[#This Row],[FECHA FIN ]],Tabla1[[#This Row],[FECHA INICIO]])</f>
        <v>157</v>
      </c>
      <c r="M386" s="12"/>
      <c r="N386" s="12">
        <f>1811.6/17</f>
        <v>106.56470588235294</v>
      </c>
      <c r="O386" s="12">
        <f>(Tabla1[[#This Row],[COSTO FIJO ]]/30)*Tabla1[[#This Row],[TOTAL DIAS PROYECTO]]+(Tabla1[[#This Row],[COSTO TEMPORAL]])</f>
        <v>557.68862745098045</v>
      </c>
      <c r="P386" s="12"/>
      <c r="Q386" s="12">
        <f>+(Tabla1[[#This Row],[COSTO COCHE]]/30)*Tabla1[[#This Row],[TOTAL DIAS PROYECTO]]</f>
        <v>0</v>
      </c>
      <c r="R386" s="12">
        <f>+Tabla1[[#This Row],[COSTO TOTAL ALOJAMIENTO]]+Tabla1[[#This Row],[COSTO TOTAL COCHE]]</f>
        <v>557.68862745098045</v>
      </c>
      <c r="S386" s="2"/>
      <c r="T386" s="2" t="s">
        <v>58</v>
      </c>
      <c r="U386" s="14">
        <v>45487</v>
      </c>
      <c r="V386" s="14">
        <v>45490</v>
      </c>
      <c r="W386" s="26"/>
      <c r="X386" s="2">
        <v>13</v>
      </c>
      <c r="Y386" s="11" t="s">
        <v>1220</v>
      </c>
      <c r="Z386" s="2" t="s">
        <v>36</v>
      </c>
      <c r="AA386" s="13" t="s">
        <v>10368</v>
      </c>
      <c r="AB386" s="13" t="s">
        <v>10369</v>
      </c>
    </row>
    <row r="387" spans="1:28" ht="15" customHeight="1">
      <c r="A387" s="2" t="s">
        <v>8905</v>
      </c>
      <c r="B387" s="2" t="s">
        <v>368</v>
      </c>
      <c r="C387" s="11" t="s">
        <v>1221</v>
      </c>
      <c r="D387" s="2" t="s">
        <v>30</v>
      </c>
      <c r="E387" s="2" t="s">
        <v>31</v>
      </c>
      <c r="F387" s="11" t="s">
        <v>1222</v>
      </c>
      <c r="G387" s="46" t="s">
        <v>1223</v>
      </c>
      <c r="H387" s="2" t="s">
        <v>1224</v>
      </c>
      <c r="I387" s="12" t="s">
        <v>1225</v>
      </c>
      <c r="J387" s="41">
        <f>+Tabla1[[#This Row],[FECHA ENTRADA]]</f>
        <v>45625</v>
      </c>
      <c r="K387" s="22">
        <v>45641</v>
      </c>
      <c r="L387" s="42">
        <f>_xlfn.DAYS(Tabla1[[#This Row],[FECHA FIN ]],Tabla1[[#This Row],[FECHA INICIO]])</f>
        <v>16</v>
      </c>
      <c r="M387" s="12"/>
      <c r="N387" s="12"/>
      <c r="O387" s="28">
        <f>(Tabla1[[#This Row],[COSTO FIJO ]]/30)*Tabla1[[#This Row],[TOTAL DIAS PROYECTO]]+(Tabla1[[#This Row],[COSTO TEMPORAL]])</f>
        <v>0</v>
      </c>
      <c r="P387" s="12"/>
      <c r="Q387" s="12">
        <f>+(Tabla1[[#This Row],[COSTO COCHE]]/30)*Tabla1[[#This Row],[TOTAL DIAS PROYECTO]]</f>
        <v>0</v>
      </c>
      <c r="R387" s="12">
        <f>+Tabla1[[#This Row],[COSTO TOTAL ALOJAMIENTO]]+Tabla1[[#This Row],[COSTO TOTAL COCHE]]</f>
        <v>0</v>
      </c>
      <c r="S387" s="2"/>
      <c r="T387" s="2" t="s">
        <v>35</v>
      </c>
      <c r="U387" s="14">
        <v>45625</v>
      </c>
      <c r="V387" s="43"/>
      <c r="W387" s="26"/>
      <c r="X387" s="2">
        <v>28</v>
      </c>
      <c r="Y387" s="11"/>
      <c r="Z387" s="2" t="s">
        <v>36</v>
      </c>
      <c r="AA387" s="13" t="s">
        <v>10323</v>
      </c>
      <c r="AB387" s="13" t="s">
        <v>10324</v>
      </c>
    </row>
    <row r="388" spans="1:28" ht="15" customHeight="1">
      <c r="A388" s="2" t="s">
        <v>8900</v>
      </c>
      <c r="B388" s="2" t="s">
        <v>978</v>
      </c>
      <c r="C388" s="11" t="s">
        <v>1209</v>
      </c>
      <c r="D388" s="2" t="s">
        <v>30</v>
      </c>
      <c r="E388" s="2" t="s">
        <v>253</v>
      </c>
      <c r="F388" s="11" t="s">
        <v>1226</v>
      </c>
      <c r="G388" s="30" t="s">
        <v>1227</v>
      </c>
      <c r="H388" s="2" t="s">
        <v>1154</v>
      </c>
      <c r="I388" s="12" t="s">
        <v>1155</v>
      </c>
      <c r="J388" s="41">
        <f>+Tabla1[[#This Row],[FECHA ENTRADA]]</f>
        <v>45642</v>
      </c>
      <c r="K388" s="41">
        <v>45645</v>
      </c>
      <c r="L388" s="42">
        <f>_xlfn.DAYS(Tabla1[[#This Row],[FECHA FIN ]],Tabla1[[#This Row],[FECHA INICIO]])</f>
        <v>3</v>
      </c>
      <c r="M388" s="12"/>
      <c r="N388" s="12"/>
      <c r="O388" s="28">
        <f>(Tabla1[[#This Row],[COSTO FIJO ]]/30)*Tabla1[[#This Row],[TOTAL DIAS PROYECTO]]+(Tabla1[[#This Row],[COSTO TEMPORAL]])</f>
        <v>0</v>
      </c>
      <c r="P388" s="12"/>
      <c r="Q388" s="12">
        <f>+(Tabla1[[#This Row],[COSTO COCHE]]/30)*Tabla1[[#This Row],[TOTAL DIAS PROYECTO]]</f>
        <v>0</v>
      </c>
      <c r="R388" s="12">
        <f>+Tabla1[[#This Row],[COSTO TOTAL ALOJAMIENTO]]+Tabla1[[#This Row],[COSTO TOTAL COCHE]]</f>
        <v>0</v>
      </c>
      <c r="S388" s="2"/>
      <c r="T388" s="2" t="s">
        <v>44</v>
      </c>
      <c r="U388" s="14">
        <v>45642</v>
      </c>
      <c r="V388" s="43">
        <v>45645</v>
      </c>
      <c r="W388" s="26"/>
      <c r="X388" s="2"/>
      <c r="Y388" s="11" t="s">
        <v>1166</v>
      </c>
      <c r="Z388" s="2" t="s">
        <v>36</v>
      </c>
      <c r="AA388" s="13" t="s">
        <v>10357</v>
      </c>
      <c r="AB388" s="13" t="s">
        <v>10358</v>
      </c>
    </row>
    <row r="389" spans="1:28" ht="15" customHeight="1">
      <c r="A389" s="2" t="s">
        <v>8901</v>
      </c>
      <c r="B389" s="2" t="s">
        <v>978</v>
      </c>
      <c r="C389" s="11" t="s">
        <v>1210</v>
      </c>
      <c r="D389" s="2" t="s">
        <v>30</v>
      </c>
      <c r="E389" s="2" t="s">
        <v>253</v>
      </c>
      <c r="F389" s="11" t="s">
        <v>1226</v>
      </c>
      <c r="G389" s="30" t="s">
        <v>1227</v>
      </c>
      <c r="H389" s="2" t="s">
        <v>1154</v>
      </c>
      <c r="I389" s="12" t="s">
        <v>1155</v>
      </c>
      <c r="J389" s="41">
        <f>+Tabla1[[#This Row],[FECHA ENTRADA]]</f>
        <v>45642</v>
      </c>
      <c r="K389" s="41">
        <v>45645</v>
      </c>
      <c r="L389" s="42">
        <f>_xlfn.DAYS(Tabla1[[#This Row],[FECHA FIN ]],Tabla1[[#This Row],[FECHA INICIO]])</f>
        <v>3</v>
      </c>
      <c r="M389" s="12">
        <v>72</v>
      </c>
      <c r="N389" s="28"/>
      <c r="O389" s="28">
        <f>(Tabla1[[#This Row],[COSTO FIJO ]]/30)*Tabla1[[#This Row],[TOTAL DIAS PROYECTO]]+(Tabla1[[#This Row],[COSTO TEMPORAL]])</f>
        <v>72</v>
      </c>
      <c r="P389" s="12"/>
      <c r="Q389" s="12">
        <f>+(Tabla1[[#This Row],[COSTO COCHE]]/30)*Tabla1[[#This Row],[TOTAL DIAS PROYECTO]]</f>
        <v>0</v>
      </c>
      <c r="R389" s="12">
        <f>+Tabla1[[#This Row],[COSTO TOTAL ALOJAMIENTO]]+Tabla1[[#This Row],[COSTO TOTAL COCHE]]</f>
        <v>72</v>
      </c>
      <c r="S389" s="2"/>
      <c r="T389" s="2" t="s">
        <v>44</v>
      </c>
      <c r="U389" s="14">
        <v>45642</v>
      </c>
      <c r="V389" s="43">
        <v>45645</v>
      </c>
      <c r="W389" s="26"/>
      <c r="X389" s="2"/>
      <c r="Y389" s="11" t="s">
        <v>1166</v>
      </c>
      <c r="Z389" s="2" t="s">
        <v>36</v>
      </c>
      <c r="AA389" s="13" t="s">
        <v>10357</v>
      </c>
      <c r="AB389" s="13" t="s">
        <v>10358</v>
      </c>
    </row>
    <row r="390" spans="1:28">
      <c r="A390" s="2" t="s">
        <v>8906</v>
      </c>
      <c r="B390" s="2" t="s">
        <v>28</v>
      </c>
      <c r="C390" s="11" t="s">
        <v>1228</v>
      </c>
      <c r="D390" s="2" t="s">
        <v>30</v>
      </c>
      <c r="E390" s="2" t="s">
        <v>31</v>
      </c>
      <c r="F390" s="11" t="s">
        <v>715</v>
      </c>
      <c r="G390" s="11" t="s">
        <v>716</v>
      </c>
      <c r="H390" s="2" t="s">
        <v>526</v>
      </c>
      <c r="I390" s="12" t="s">
        <v>527</v>
      </c>
      <c r="J390" s="8">
        <f>+Tabla1[[#This Row],[FECHA ENTRADA]]</f>
        <v>45502</v>
      </c>
      <c r="K390" s="8">
        <v>45611</v>
      </c>
      <c r="L390" s="13">
        <f>_xlfn.DAYS(Tabla1[[#This Row],[FECHA FIN ]],Tabla1[[#This Row],[FECHA INICIO]])</f>
        <v>109</v>
      </c>
      <c r="M390" s="12"/>
      <c r="N390" s="12">
        <v>160</v>
      </c>
      <c r="O390" s="12">
        <f>(Tabla1[[#This Row],[COSTO FIJO ]]/30)*Tabla1[[#This Row],[TOTAL DIAS PROYECTO]]+(Tabla1[[#This Row],[COSTO TEMPORAL]])</f>
        <v>581.33333333333326</v>
      </c>
      <c r="P390" s="12">
        <f>+(((800*3)+520.54)*50%)/19</f>
        <v>76.856315789473683</v>
      </c>
      <c r="Q390" s="12">
        <f>+(Tabla1[[#This Row],[COSTO COCHE]]/30)*Tabla1[[#This Row],[TOTAL DIAS PROYECTO]]</f>
        <v>279.24461403508775</v>
      </c>
      <c r="R390" s="12">
        <f>+Tabla1[[#This Row],[COSTO TOTAL ALOJAMIENTO]]+Tabla1[[#This Row],[COSTO TOTAL COCHE]]</f>
        <v>860.57794736842106</v>
      </c>
      <c r="S390" s="2"/>
      <c r="T390" s="2" t="s">
        <v>35</v>
      </c>
      <c r="U390" s="14">
        <v>45502</v>
      </c>
      <c r="V390" s="14"/>
      <c r="W390" s="26"/>
      <c r="X390" s="2">
        <v>1</v>
      </c>
      <c r="Y390" s="11" t="s">
        <v>1229</v>
      </c>
      <c r="Z390" s="2" t="s">
        <v>36</v>
      </c>
      <c r="AA390" s="13" t="s">
        <v>10323</v>
      </c>
      <c r="AB390" s="13" t="s">
        <v>10324</v>
      </c>
    </row>
    <row r="391" spans="1:28">
      <c r="A391" s="2" t="s">
        <v>8702</v>
      </c>
      <c r="B391" s="2" t="s">
        <v>368</v>
      </c>
      <c r="C391" s="18" t="s">
        <v>354</v>
      </c>
      <c r="D391" s="2" t="s">
        <v>30</v>
      </c>
      <c r="E391" s="2" t="s">
        <v>253</v>
      </c>
      <c r="F391" s="11" t="s">
        <v>581</v>
      </c>
      <c r="G391" s="11" t="s">
        <v>255</v>
      </c>
      <c r="H391" s="2" t="s">
        <v>665</v>
      </c>
      <c r="I391" s="12" t="s">
        <v>666</v>
      </c>
      <c r="J391" s="8">
        <f>+Tabla1[[#This Row],[FECHA ENTRADA]]</f>
        <v>45544</v>
      </c>
      <c r="K391" s="8">
        <v>45645</v>
      </c>
      <c r="L391" s="13">
        <f>_xlfn.DAYS(Tabla1[[#This Row],[FECHA FIN ]],Tabla1[[#This Row],[FECHA INICIO]])</f>
        <v>101</v>
      </c>
      <c r="M391" s="12"/>
      <c r="N391" s="12"/>
      <c r="O391" s="12">
        <f>(Tabla1[[#This Row],[COSTO FIJO ]]/30)*Tabla1[[#This Row],[TOTAL DIAS PROYECTO]]+(Tabla1[[#This Row],[COSTO TEMPORAL]])</f>
        <v>0</v>
      </c>
      <c r="P391" s="12">
        <f>+((651.96*50%)/5)</f>
        <v>65.195999999999998</v>
      </c>
      <c r="Q391" s="12">
        <f>+(Tabla1[[#This Row],[COSTO COCHE]]/30)*Tabla1[[#This Row],[TOTAL DIAS PROYECTO]]</f>
        <v>219.4932</v>
      </c>
      <c r="R391" s="12">
        <f>+Tabla1[[#This Row],[COSTO TOTAL ALOJAMIENTO]]+Tabla1[[#This Row],[COSTO TOTAL COCHE]]</f>
        <v>219.4932</v>
      </c>
      <c r="S391" s="2"/>
      <c r="T391" s="2" t="s">
        <v>35</v>
      </c>
      <c r="U391" s="14">
        <v>45544</v>
      </c>
      <c r="V391" s="14"/>
      <c r="W391" s="26"/>
      <c r="X391" s="2">
        <v>1</v>
      </c>
      <c r="Y391" s="11" t="s">
        <v>1212</v>
      </c>
      <c r="Z391" s="64" t="s">
        <v>36</v>
      </c>
      <c r="AA391" s="13" t="s">
        <v>10357</v>
      </c>
      <c r="AB391" s="13" t="s">
        <v>10358</v>
      </c>
    </row>
    <row r="392" spans="1:28">
      <c r="A392" s="2" t="s">
        <v>8824</v>
      </c>
      <c r="B392" s="2" t="s">
        <v>28</v>
      </c>
      <c r="C392" s="11" t="s">
        <v>911</v>
      </c>
      <c r="D392" s="2" t="s">
        <v>30</v>
      </c>
      <c r="E392" s="2" t="s">
        <v>259</v>
      </c>
      <c r="F392" s="11" t="s">
        <v>1230</v>
      </c>
      <c r="G392" s="49"/>
      <c r="H392" s="2" t="s">
        <v>1231</v>
      </c>
      <c r="I392" s="12" t="s">
        <v>1232</v>
      </c>
      <c r="J392" s="22">
        <f>+Tabla1[[#This Row],[FECHA ENTRADA]]</f>
        <v>45620</v>
      </c>
      <c r="K392" s="8">
        <v>45645</v>
      </c>
      <c r="L392" s="23">
        <f>_xlfn.DAYS(Tabla1[[#This Row],[FECHA FIN ]],Tabla1[[#This Row],[FECHA INICIO]])</f>
        <v>25</v>
      </c>
      <c r="M392" s="12"/>
      <c r="N392" s="12"/>
      <c r="O392" s="24">
        <f>(Tabla1[[#This Row],[COSTO FIJO ]]/30)*Tabla1[[#This Row],[TOTAL DIAS PROYECTO]]+(Tabla1[[#This Row],[COSTO TEMPORAL]])</f>
        <v>0</v>
      </c>
      <c r="P392" s="12"/>
      <c r="Q392" s="12">
        <f>+(Tabla1[[#This Row],[COSTO COCHE]]/30)*Tabla1[[#This Row],[TOTAL DIAS PROYECTO]]</f>
        <v>0</v>
      </c>
      <c r="R392" s="12">
        <f>+Tabla1[[#This Row],[COSTO TOTAL ALOJAMIENTO]]+Tabla1[[#This Row],[COSTO TOTAL COCHE]]</f>
        <v>0</v>
      </c>
      <c r="S392" s="2"/>
      <c r="T392" s="2" t="s">
        <v>35</v>
      </c>
      <c r="U392" s="14">
        <v>45620</v>
      </c>
      <c r="V392" s="25">
        <v>45621</v>
      </c>
      <c r="W392" s="26"/>
      <c r="X392" s="2"/>
      <c r="Y392" s="11"/>
      <c r="Z392" s="2" t="s">
        <v>36</v>
      </c>
      <c r="AA392" s="13">
        <v>-0.87734000000000001</v>
      </c>
      <c r="AB392" s="13" t="s">
        <v>10359</v>
      </c>
    </row>
    <row r="393" spans="1:28" ht="15" customHeight="1">
      <c r="A393" s="2" t="s">
        <v>8907</v>
      </c>
      <c r="B393" s="2" t="s">
        <v>28</v>
      </c>
      <c r="C393" s="11" t="s">
        <v>1233</v>
      </c>
      <c r="D393" s="2" t="s">
        <v>99</v>
      </c>
      <c r="E393" s="2" t="s">
        <v>127</v>
      </c>
      <c r="F393" s="11" t="s">
        <v>820</v>
      </c>
      <c r="G393" s="21" t="s">
        <v>1234</v>
      </c>
      <c r="H393" s="2" t="s">
        <v>1235</v>
      </c>
      <c r="I393" s="12" t="s">
        <v>96</v>
      </c>
      <c r="J393" s="41">
        <f>+Tabla1[[#This Row],[FECHA ENTRADA]]</f>
        <v>45718</v>
      </c>
      <c r="K393" s="8">
        <v>45798</v>
      </c>
      <c r="L393" s="42">
        <f>_xlfn.DAYS(Tabla1[[#This Row],[FECHA FIN ]],Tabla1[[#This Row],[FECHA INICIO]])</f>
        <v>80</v>
      </c>
      <c r="M393" s="24">
        <v>496.5</v>
      </c>
      <c r="N393" s="20"/>
      <c r="O393" s="28">
        <f>(Tabla1[[#This Row],[COSTO FIJO ]]/30)*Tabla1[[#This Row],[TOTAL DIAS PROYECTO]]+(Tabla1[[#This Row],[COSTO TEMPORAL]])</f>
        <v>496.5</v>
      </c>
      <c r="P393" s="12"/>
      <c r="Q393" s="12">
        <f>+(Tabla1[[#This Row],[COSTO COCHE]]/30)*Tabla1[[#This Row],[TOTAL DIAS PROYECTO]]</f>
        <v>0</v>
      </c>
      <c r="R393" s="12">
        <f>+Tabla1[[#This Row],[COSTO TOTAL ALOJAMIENTO]]+Tabla1[[#This Row],[COSTO TOTAL COCHE]]</f>
        <v>496.5</v>
      </c>
      <c r="S393" s="2"/>
      <c r="T393" s="2" t="s">
        <v>44</v>
      </c>
      <c r="U393" s="14">
        <v>45718</v>
      </c>
      <c r="V393" s="25">
        <v>45798</v>
      </c>
      <c r="W393" s="26"/>
      <c r="X393" s="2"/>
      <c r="Y393" s="11"/>
      <c r="Z393" s="2" t="s">
        <v>36</v>
      </c>
      <c r="AA393" s="13" t="s">
        <v>10342</v>
      </c>
      <c r="AB393" s="13" t="s">
        <v>10343</v>
      </c>
    </row>
    <row r="394" spans="1:28" ht="15" customHeight="1">
      <c r="A394" s="2" t="s">
        <v>8908</v>
      </c>
      <c r="B394" s="2" t="s">
        <v>28</v>
      </c>
      <c r="C394" s="11" t="s">
        <v>1236</v>
      </c>
      <c r="D394" s="2" t="s">
        <v>78</v>
      </c>
      <c r="E394" s="2" t="s">
        <v>79</v>
      </c>
      <c r="F394" s="11" t="s">
        <v>142</v>
      </c>
      <c r="G394" s="11" t="s">
        <v>143</v>
      </c>
      <c r="H394" s="2" t="s">
        <v>144</v>
      </c>
      <c r="I394" s="29" t="s">
        <v>145</v>
      </c>
      <c r="J394" s="8">
        <f>+Tabla1[[#This Row],[FECHA ENTRADA]]</f>
        <v>45346</v>
      </c>
      <c r="K394" s="8">
        <v>45646</v>
      </c>
      <c r="L394" s="13">
        <f>_xlfn.DAYS(Tabla1[[#This Row],[FECHA FIN ]],Tabla1[[#This Row],[FECHA INICIO]])</f>
        <v>300</v>
      </c>
      <c r="M394" s="12"/>
      <c r="N394" s="2"/>
      <c r="O394" s="12">
        <f>(Tabla1[[#This Row],[COSTO FIJO ]]/30)*Tabla1[[#This Row],[TOTAL DIAS PROYECTO]]+(Tabla1[[#This Row],[COSTO TEMPORAL]])</f>
        <v>0</v>
      </c>
      <c r="P394" s="12"/>
      <c r="Q394" s="12">
        <f>+(Tabla1[[#This Row],[COSTO COCHE]]/30)*Tabla1[[#This Row],[TOTAL DIAS PROYECTO]]</f>
        <v>0</v>
      </c>
      <c r="R394" s="12">
        <f>+Tabla1[[#This Row],[COSTO TOTAL ALOJAMIENTO]]+Tabla1[[#This Row],[COSTO TOTAL COCHE]]</f>
        <v>0</v>
      </c>
      <c r="S394" s="2"/>
      <c r="T394" s="2" t="s">
        <v>44</v>
      </c>
      <c r="U394" s="14">
        <v>45346</v>
      </c>
      <c r="V394" s="14">
        <v>45658</v>
      </c>
      <c r="W394" s="15"/>
      <c r="X394" s="16">
        <v>23</v>
      </c>
      <c r="Y394" s="11"/>
      <c r="Z394" s="2" t="s">
        <v>36</v>
      </c>
      <c r="AA394" s="13" t="s">
        <v>10333</v>
      </c>
      <c r="AB394" s="13" t="s">
        <v>10334</v>
      </c>
    </row>
    <row r="395" spans="1:28" ht="15" customHeight="1">
      <c r="A395" s="2" t="s">
        <v>8890</v>
      </c>
      <c r="B395" s="2" t="s">
        <v>28</v>
      </c>
      <c r="C395" s="11" t="s">
        <v>1172</v>
      </c>
      <c r="D395" s="2" t="s">
        <v>78</v>
      </c>
      <c r="E395" s="2" t="s">
        <v>79</v>
      </c>
      <c r="F395" s="11" t="s">
        <v>142</v>
      </c>
      <c r="G395" s="30" t="s">
        <v>156</v>
      </c>
      <c r="H395" s="2" t="s">
        <v>144</v>
      </c>
      <c r="I395" s="29" t="s">
        <v>145</v>
      </c>
      <c r="J395" s="8">
        <f>+Tabla1[[#This Row],[FECHA ENTRADA]]</f>
        <v>45346</v>
      </c>
      <c r="K395" s="8">
        <v>45646</v>
      </c>
      <c r="L395" s="13">
        <f>_xlfn.DAYS(Tabla1[[#This Row],[FECHA FIN ]],Tabla1[[#This Row],[FECHA INICIO]])</f>
        <v>300</v>
      </c>
      <c r="M395" s="2"/>
      <c r="N395" s="12">
        <v>584.5</v>
      </c>
      <c r="O395" s="12">
        <f>(Tabla1[[#This Row],[COSTO FIJO ]]/30)*Tabla1[[#This Row],[TOTAL DIAS PROYECTO]]+(Tabla1[[#This Row],[COSTO TEMPORAL]])</f>
        <v>5845</v>
      </c>
      <c r="P395" s="12"/>
      <c r="Q395" s="12">
        <f>+(Tabla1[[#This Row],[COSTO COCHE]]/30)*Tabla1[[#This Row],[TOTAL DIAS PROYECTO]]</f>
        <v>0</v>
      </c>
      <c r="R395" s="12">
        <f>+Tabla1[[#This Row],[COSTO TOTAL ALOJAMIENTO]]+Tabla1[[#This Row],[COSTO TOTAL COCHE]]</f>
        <v>5845</v>
      </c>
      <c r="S395" s="2"/>
      <c r="T395" s="2" t="s">
        <v>44</v>
      </c>
      <c r="U395" s="14">
        <v>45346</v>
      </c>
      <c r="V395" s="14">
        <v>45658</v>
      </c>
      <c r="W395" s="15"/>
      <c r="X395" s="16">
        <v>23</v>
      </c>
      <c r="Y395" s="11"/>
      <c r="Z395" s="2" t="s">
        <v>36</v>
      </c>
      <c r="AA395" s="13" t="s">
        <v>10333</v>
      </c>
      <c r="AB395" s="13" t="s">
        <v>10334</v>
      </c>
    </row>
    <row r="396" spans="1:28" ht="15" customHeight="1">
      <c r="A396" s="2" t="s">
        <v>8909</v>
      </c>
      <c r="B396" s="2" t="s">
        <v>28</v>
      </c>
      <c r="C396" s="11" t="s">
        <v>1237</v>
      </c>
      <c r="D396" s="2" t="s">
        <v>78</v>
      </c>
      <c r="E396" s="2" t="s">
        <v>79</v>
      </c>
      <c r="F396" s="11" t="s">
        <v>142</v>
      </c>
      <c r="G396" s="11" t="s">
        <v>143</v>
      </c>
      <c r="H396" s="2" t="s">
        <v>144</v>
      </c>
      <c r="I396" s="29" t="s">
        <v>145</v>
      </c>
      <c r="J396" s="8">
        <f>+Tabla1[[#This Row],[FECHA ENTRADA]]</f>
        <v>45346</v>
      </c>
      <c r="K396" s="8">
        <v>45646</v>
      </c>
      <c r="L396" s="13">
        <f>_xlfn.DAYS(Tabla1[[#This Row],[FECHA FIN ]],Tabla1[[#This Row],[FECHA INICIO]])</f>
        <v>300</v>
      </c>
      <c r="M396" s="2"/>
      <c r="N396" s="12">
        <v>584.5</v>
      </c>
      <c r="O396" s="12">
        <f>(Tabla1[[#This Row],[COSTO FIJO ]]/30)*Tabla1[[#This Row],[TOTAL DIAS PROYECTO]]+(Tabla1[[#This Row],[COSTO TEMPORAL]])</f>
        <v>5845</v>
      </c>
      <c r="P396" s="12"/>
      <c r="Q396" s="12">
        <f>+(Tabla1[[#This Row],[COSTO COCHE]]/30)*Tabla1[[#This Row],[TOTAL DIAS PROYECTO]]</f>
        <v>0</v>
      </c>
      <c r="R396" s="12">
        <f>+Tabla1[[#This Row],[COSTO TOTAL ALOJAMIENTO]]+Tabla1[[#This Row],[COSTO TOTAL COCHE]]</f>
        <v>5845</v>
      </c>
      <c r="S396" s="2"/>
      <c r="T396" s="2" t="s">
        <v>44</v>
      </c>
      <c r="U396" s="14">
        <v>45346</v>
      </c>
      <c r="V396" s="14">
        <v>45658</v>
      </c>
      <c r="W396" s="15"/>
      <c r="X396" s="16">
        <v>23</v>
      </c>
      <c r="Y396" s="18" t="s">
        <v>1238</v>
      </c>
      <c r="Z396" s="2" t="s">
        <v>36</v>
      </c>
      <c r="AA396" s="13" t="s">
        <v>10333</v>
      </c>
      <c r="AB396" s="13" t="s">
        <v>10334</v>
      </c>
    </row>
    <row r="397" spans="1:28" ht="15" customHeight="1">
      <c r="A397" s="2" t="s">
        <v>8873</v>
      </c>
      <c r="B397" s="2" t="s">
        <v>368</v>
      </c>
      <c r="C397" s="11" t="s">
        <v>1114</v>
      </c>
      <c r="D397" s="2" t="s">
        <v>72</v>
      </c>
      <c r="E397" s="2" t="s">
        <v>1115</v>
      </c>
      <c r="F397" s="11" t="s">
        <v>1239</v>
      </c>
      <c r="G397" s="46" t="s">
        <v>1240</v>
      </c>
      <c r="H397" s="2" t="s">
        <v>1118</v>
      </c>
      <c r="I397" s="12" t="s">
        <v>1119</v>
      </c>
      <c r="J397" s="41">
        <f>+Tabla1[[#This Row],[FECHA ENTRADA]]</f>
        <v>45630</v>
      </c>
      <c r="K397" s="41">
        <v>45646</v>
      </c>
      <c r="L397" s="42">
        <f>_xlfn.DAYS(Tabla1[[#This Row],[FECHA FIN ]],Tabla1[[#This Row],[FECHA INICIO]])</f>
        <v>16</v>
      </c>
      <c r="M397" s="12"/>
      <c r="N397" s="12"/>
      <c r="O397" s="28">
        <f>(Tabla1[[#This Row],[COSTO FIJO ]]/30)*Tabla1[[#This Row],[TOTAL DIAS PROYECTO]]+(Tabla1[[#This Row],[COSTO TEMPORAL]])</f>
        <v>0</v>
      </c>
      <c r="P397" s="12"/>
      <c r="Q397" s="12">
        <f>+(Tabla1[[#This Row],[COSTO COCHE]]/30)*Tabla1[[#This Row],[TOTAL DIAS PROYECTO]]</f>
        <v>0</v>
      </c>
      <c r="R397" s="12">
        <f>+Tabla1[[#This Row],[COSTO TOTAL ALOJAMIENTO]]+Tabla1[[#This Row],[COSTO TOTAL COCHE]]</f>
        <v>0</v>
      </c>
      <c r="S397" s="2" t="s">
        <v>84</v>
      </c>
      <c r="T397" s="2" t="s">
        <v>44</v>
      </c>
      <c r="U397" s="14">
        <v>45630</v>
      </c>
      <c r="V397" s="43">
        <v>45661</v>
      </c>
      <c r="W397" s="26"/>
      <c r="X397" s="2"/>
      <c r="Y397" s="11" t="s">
        <v>1120</v>
      </c>
      <c r="Z397" s="2" t="s">
        <v>36</v>
      </c>
      <c r="AA397" s="13" t="s">
        <v>10411</v>
      </c>
      <c r="AB397" s="13">
        <v>50.656529999999997</v>
      </c>
    </row>
    <row r="398" spans="1:28">
      <c r="A398" s="2" t="s">
        <v>8722</v>
      </c>
      <c r="B398" s="2" t="s">
        <v>28</v>
      </c>
      <c r="C398" s="18" t="s">
        <v>450</v>
      </c>
      <c r="D398" s="2" t="s">
        <v>30</v>
      </c>
      <c r="E398" s="2" t="s">
        <v>31</v>
      </c>
      <c r="F398" s="11" t="s">
        <v>451</v>
      </c>
      <c r="G398" s="11" t="s">
        <v>452</v>
      </c>
      <c r="H398" s="2" t="s">
        <v>1241</v>
      </c>
      <c r="I398" s="12" t="s">
        <v>181</v>
      </c>
      <c r="J398" s="8">
        <f>+Tabla1[[#This Row],[FECHA ENTRADA]]</f>
        <v>45508</v>
      </c>
      <c r="K398" s="8">
        <v>45646</v>
      </c>
      <c r="L398" s="13">
        <f>_xlfn.DAYS(Tabla1[[#This Row],[FECHA FIN ]],Tabla1[[#This Row],[FECHA INICIO]])</f>
        <v>138</v>
      </c>
      <c r="M398" s="12"/>
      <c r="N398" s="12">
        <v>340</v>
      </c>
      <c r="O398" s="12">
        <f>(Tabla1[[#This Row],[COSTO FIJO ]]/30)*Tabla1[[#This Row],[TOTAL DIAS PROYECTO]]+(Tabla1[[#This Row],[COSTO TEMPORAL]])</f>
        <v>1564</v>
      </c>
      <c r="P398" s="12"/>
      <c r="Q398" s="12">
        <f>+(Tabla1[[#This Row],[COSTO COCHE]]/30)*Tabla1[[#This Row],[TOTAL DIAS PROYECTO]]</f>
        <v>0</v>
      </c>
      <c r="R398" s="12">
        <f>+Tabla1[[#This Row],[COSTO TOTAL ALOJAMIENTO]]+Tabla1[[#This Row],[COSTO TOTAL COCHE]]</f>
        <v>1564</v>
      </c>
      <c r="S398" s="2"/>
      <c r="T398" s="2" t="s">
        <v>35</v>
      </c>
      <c r="U398" s="14">
        <v>45508</v>
      </c>
      <c r="V398" s="14"/>
      <c r="W398" s="26"/>
      <c r="X398" s="2">
        <v>1</v>
      </c>
      <c r="Y398" s="18" t="s">
        <v>1242</v>
      </c>
      <c r="Z398" s="2" t="s">
        <v>36</v>
      </c>
      <c r="AA398" s="13" t="s">
        <v>10323</v>
      </c>
      <c r="AB398" s="13" t="s">
        <v>10324</v>
      </c>
    </row>
    <row r="399" spans="1:28" ht="15" customHeight="1">
      <c r="A399" s="2" t="s">
        <v>8910</v>
      </c>
      <c r="B399" s="2" t="s">
        <v>368</v>
      </c>
      <c r="C399" s="18" t="s">
        <v>1243</v>
      </c>
      <c r="D399" s="2" t="s">
        <v>30</v>
      </c>
      <c r="E399" s="2" t="s">
        <v>31</v>
      </c>
      <c r="F399" s="11" t="s">
        <v>451</v>
      </c>
      <c r="G399" s="50" t="s">
        <v>452</v>
      </c>
      <c r="H399" s="2" t="s">
        <v>1244</v>
      </c>
      <c r="I399" s="12" t="s">
        <v>1104</v>
      </c>
      <c r="J399" s="41">
        <f>+Tabla1[[#This Row],[FECHA ENTRADA]]</f>
        <v>45594</v>
      </c>
      <c r="K399" s="8">
        <v>45646</v>
      </c>
      <c r="L399" s="42">
        <f>_xlfn.DAYS(Tabla1[[#This Row],[FECHA FIN ]],Tabla1[[#This Row],[FECHA INICIO]])</f>
        <v>52</v>
      </c>
      <c r="M399" s="12"/>
      <c r="N399" s="20">
        <v>283.33333333333331</v>
      </c>
      <c r="O399" s="28">
        <f>(Tabla1[[#This Row],[COSTO FIJO ]]/30)*Tabla1[[#This Row],[TOTAL DIAS PROYECTO]]+(Tabla1[[#This Row],[COSTO TEMPORAL]])</f>
        <v>491.11111111111114</v>
      </c>
      <c r="P399" s="12"/>
      <c r="Q399" s="12">
        <f>+(Tabla1[[#This Row],[COSTO COCHE]]/30)*Tabla1[[#This Row],[TOTAL DIAS PROYECTO]]</f>
        <v>0</v>
      </c>
      <c r="R399" s="12">
        <f>+Tabla1[[#This Row],[COSTO TOTAL ALOJAMIENTO]]+Tabla1[[#This Row],[COSTO TOTAL COCHE]]</f>
        <v>491.11111111111114</v>
      </c>
      <c r="S399" s="2"/>
      <c r="T399" s="2" t="s">
        <v>35</v>
      </c>
      <c r="U399" s="14">
        <v>45594</v>
      </c>
      <c r="V399" s="43"/>
      <c r="W399" s="26"/>
      <c r="X399" s="2">
        <v>1</v>
      </c>
      <c r="Y399" s="11"/>
      <c r="Z399" s="2" t="s">
        <v>36</v>
      </c>
      <c r="AA399" s="13" t="s">
        <v>10323</v>
      </c>
      <c r="AB399" s="13" t="s">
        <v>10324</v>
      </c>
    </row>
    <row r="400" spans="1:28" ht="15" customHeight="1">
      <c r="A400" s="2" t="s">
        <v>8911</v>
      </c>
      <c r="B400" s="2" t="s">
        <v>368</v>
      </c>
      <c r="C400" s="11" t="s">
        <v>1245</v>
      </c>
      <c r="D400" s="2" t="s">
        <v>30</v>
      </c>
      <c r="E400" s="2" t="s">
        <v>31</v>
      </c>
      <c r="F400" s="11" t="s">
        <v>451</v>
      </c>
      <c r="G400" s="50" t="s">
        <v>452</v>
      </c>
      <c r="H400" s="2" t="s">
        <v>1184</v>
      </c>
      <c r="I400" s="12" t="s">
        <v>1104</v>
      </c>
      <c r="J400" s="41">
        <v>45565</v>
      </c>
      <c r="K400" s="8">
        <v>45646</v>
      </c>
      <c r="L400" s="42">
        <f>_xlfn.DAYS(Tabla1[[#This Row],[FECHA FIN ]],Tabla1[[#This Row],[FECHA INICIO]])</f>
        <v>81</v>
      </c>
      <c r="M400" s="12"/>
      <c r="N400" s="20">
        <v>283.33333333333331</v>
      </c>
      <c r="O400" s="28">
        <f>(Tabla1[[#This Row],[COSTO FIJO ]]/30)*Tabla1[[#This Row],[TOTAL DIAS PROYECTO]]+(Tabla1[[#This Row],[COSTO TEMPORAL]])</f>
        <v>765</v>
      </c>
      <c r="P400" s="12"/>
      <c r="Q400" s="12">
        <f>+(Tabla1[[#This Row],[COSTO COCHE]]/30)*Tabla1[[#This Row],[TOTAL DIAS PROYECTO]]</f>
        <v>0</v>
      </c>
      <c r="R400" s="12">
        <f>+Tabla1[[#This Row],[COSTO TOTAL ALOJAMIENTO]]+Tabla1[[#This Row],[COSTO TOTAL COCHE]]</f>
        <v>765</v>
      </c>
      <c r="S400" s="2"/>
      <c r="T400" s="2" t="s">
        <v>35</v>
      </c>
      <c r="U400" s="14">
        <v>45565</v>
      </c>
      <c r="V400" s="79"/>
      <c r="W400" s="26"/>
      <c r="X400" s="2">
        <v>1</v>
      </c>
      <c r="Y400" s="11"/>
      <c r="Z400" s="2" t="s">
        <v>36</v>
      </c>
      <c r="AA400" s="13" t="s">
        <v>10323</v>
      </c>
      <c r="AB400" s="13" t="s">
        <v>10324</v>
      </c>
    </row>
    <row r="401" spans="1:28" ht="15" customHeight="1">
      <c r="A401" s="2" t="s">
        <v>8723</v>
      </c>
      <c r="B401" s="2" t="s">
        <v>368</v>
      </c>
      <c r="C401" s="11" t="s">
        <v>456</v>
      </c>
      <c r="D401" s="2" t="s">
        <v>30</v>
      </c>
      <c r="E401" s="2" t="s">
        <v>31</v>
      </c>
      <c r="F401" s="11" t="s">
        <v>451</v>
      </c>
      <c r="G401" s="50" t="s">
        <v>452</v>
      </c>
      <c r="H401" s="2" t="s">
        <v>1246</v>
      </c>
      <c r="I401" s="12" t="s">
        <v>1104</v>
      </c>
      <c r="J401" s="8">
        <f>+Tabla1[[#This Row],[FECHA ENTRADA]]</f>
        <v>45511</v>
      </c>
      <c r="K401" s="8">
        <v>45646</v>
      </c>
      <c r="L401" s="13">
        <f>_xlfn.DAYS(Tabla1[[#This Row],[FECHA FIN ]],Tabla1[[#This Row],[FECHA INICIO]])</f>
        <v>135</v>
      </c>
      <c r="M401" s="12"/>
      <c r="N401" s="20">
        <v>283.33333333333331</v>
      </c>
      <c r="O401" s="47">
        <f>(Tabla1[[#This Row],[COSTO FIJO ]]/30)*Tabla1[[#This Row],[TOTAL DIAS PROYECTO]]+(Tabla1[[#This Row],[COSTO TEMPORAL]])</f>
        <v>1275</v>
      </c>
      <c r="P401" s="47"/>
      <c r="Q401" s="47">
        <f>+(Tabla1[[#This Row],[COSTO COCHE]]/30)*Tabla1[[#This Row],[TOTAL DIAS PROYECTO]]</f>
        <v>0</v>
      </c>
      <c r="R401" s="47">
        <f>+Tabla1[[#This Row],[COSTO TOTAL ALOJAMIENTO]]+Tabla1[[#This Row],[COSTO TOTAL COCHE]]</f>
        <v>1275</v>
      </c>
      <c r="S401" s="2"/>
      <c r="T401" s="2" t="s">
        <v>35</v>
      </c>
      <c r="U401" s="14">
        <v>45511</v>
      </c>
      <c r="V401" s="89"/>
      <c r="W401" s="26">
        <v>1700</v>
      </c>
      <c r="X401" s="2">
        <v>1</v>
      </c>
      <c r="Y401" s="11"/>
      <c r="Z401" s="2" t="s">
        <v>36</v>
      </c>
      <c r="AA401" s="13" t="s">
        <v>10323</v>
      </c>
      <c r="AB401" s="13" t="s">
        <v>10324</v>
      </c>
    </row>
    <row r="402" spans="1:28" ht="15" customHeight="1">
      <c r="A402" s="2" t="s">
        <v>8677</v>
      </c>
      <c r="B402" s="2" t="s">
        <v>28</v>
      </c>
      <c r="C402" s="18" t="s">
        <v>250</v>
      </c>
      <c r="D402" s="2" t="s">
        <v>30</v>
      </c>
      <c r="E402" s="2" t="s">
        <v>415</v>
      </c>
      <c r="F402" s="11" t="s">
        <v>487</v>
      </c>
      <c r="G402" s="11" t="s">
        <v>488</v>
      </c>
      <c r="H402" s="2" t="s">
        <v>489</v>
      </c>
      <c r="I402" s="12" t="s">
        <v>490</v>
      </c>
      <c r="J402" s="8">
        <f>+Tabla1[[#This Row],[FECHA ENTRADA]]</f>
        <v>45420</v>
      </c>
      <c r="K402" s="8">
        <v>45587</v>
      </c>
      <c r="L402" s="13">
        <f>_xlfn.DAYS(Tabla1[[#This Row],[FECHA FIN ]],Tabla1[[#This Row],[FECHA INICIO]])</f>
        <v>167</v>
      </c>
      <c r="M402" s="12"/>
      <c r="N402" s="12">
        <v>416.66666666666669</v>
      </c>
      <c r="O402" s="12">
        <f>(Tabla1[[#This Row],[COSTO FIJO ]]/30)*Tabla1[[#This Row],[TOTAL DIAS PROYECTO]]+(Tabla1[[#This Row],[COSTO TEMPORAL]])</f>
        <v>2319.4444444444443</v>
      </c>
      <c r="P402" s="12">
        <f>+(588.42*50%)/4</f>
        <v>73.552499999999995</v>
      </c>
      <c r="Q402" s="12">
        <f>+(Tabla1[[#This Row],[COSTO COCHE]]/30)*Tabla1[[#This Row],[TOTAL DIAS PROYECTO]]</f>
        <v>409.44224999999994</v>
      </c>
      <c r="R402" s="12">
        <f>+Tabla1[[#This Row],[COSTO TOTAL ALOJAMIENTO]]+Tabla1[[#This Row],[COSTO TOTAL COCHE]]</f>
        <v>2728.8866944444444</v>
      </c>
      <c r="S402" s="2"/>
      <c r="T402" s="2" t="s">
        <v>35</v>
      </c>
      <c r="U402" s="14">
        <v>45420</v>
      </c>
      <c r="V402" s="14"/>
      <c r="W402" s="2"/>
      <c r="X402" s="2">
        <v>5</v>
      </c>
      <c r="Y402" s="31" t="s">
        <v>1247</v>
      </c>
      <c r="Z402" s="2" t="s">
        <v>36</v>
      </c>
      <c r="AA402" s="13">
        <v>-0.37739</v>
      </c>
      <c r="AB402" s="13" t="s">
        <v>10372</v>
      </c>
    </row>
    <row r="403" spans="1:28" ht="15" customHeight="1">
      <c r="A403" s="2" t="s">
        <v>8912</v>
      </c>
      <c r="B403" s="2" t="s">
        <v>28</v>
      </c>
      <c r="C403" s="11" t="s">
        <v>1248</v>
      </c>
      <c r="D403" s="2" t="s">
        <v>30</v>
      </c>
      <c r="E403" s="2" t="s">
        <v>415</v>
      </c>
      <c r="F403" s="11" t="s">
        <v>1249</v>
      </c>
      <c r="G403" t="s">
        <v>1250</v>
      </c>
      <c r="H403" s="2" t="s">
        <v>1251</v>
      </c>
      <c r="I403" s="12" t="s">
        <v>800</v>
      </c>
      <c r="J403" s="41">
        <f>+Tabla1[[#This Row],[FECHA ENTRADA]]</f>
        <v>45580</v>
      </c>
      <c r="K403" s="8">
        <v>45646</v>
      </c>
      <c r="L403" s="42">
        <f>_xlfn.DAYS(Tabla1[[#This Row],[FECHA FIN ]],Tabla1[[#This Row],[FECHA INICIO]])</f>
        <v>66</v>
      </c>
      <c r="M403" s="12"/>
      <c r="N403" s="12"/>
      <c r="O403" s="28">
        <f>(Tabla1[[#This Row],[COSTO FIJO ]]/30)*Tabla1[[#This Row],[TOTAL DIAS PROYECTO]]+(Tabla1[[#This Row],[COSTO TEMPORAL]])</f>
        <v>0</v>
      </c>
      <c r="P403" s="12"/>
      <c r="Q403" s="12">
        <f>+(Tabla1[[#This Row],[COSTO COCHE]]/30)*Tabla1[[#This Row],[TOTAL DIAS PROYECTO]]</f>
        <v>0</v>
      </c>
      <c r="R403" s="12">
        <f>+Tabla1[[#This Row],[COSTO TOTAL ALOJAMIENTO]]+Tabla1[[#This Row],[COSTO TOTAL COCHE]]</f>
        <v>0</v>
      </c>
      <c r="S403" s="2"/>
      <c r="T403" s="2" t="s">
        <v>35</v>
      </c>
      <c r="U403" s="14">
        <v>45580</v>
      </c>
      <c r="V403" s="43"/>
      <c r="W403" s="26">
        <v>350</v>
      </c>
      <c r="X403" s="2">
        <v>15</v>
      </c>
      <c r="Y403" s="90">
        <v>45646</v>
      </c>
      <c r="Z403" s="2" t="s">
        <v>36</v>
      </c>
      <c r="AA403" s="13">
        <v>-0.37739</v>
      </c>
      <c r="AB403" s="13" t="s">
        <v>10372</v>
      </c>
    </row>
    <row r="404" spans="1:28" ht="15" customHeight="1">
      <c r="A404" s="2" t="s">
        <v>8638</v>
      </c>
      <c r="B404" s="2" t="s">
        <v>28</v>
      </c>
      <c r="C404" s="11" t="s">
        <v>1252</v>
      </c>
      <c r="D404" s="2" t="s">
        <v>30</v>
      </c>
      <c r="E404" s="2" t="s">
        <v>939</v>
      </c>
      <c r="F404" s="11" t="s">
        <v>1253</v>
      </c>
      <c r="G404" s="11" t="s">
        <v>941</v>
      </c>
      <c r="H404" s="2" t="s">
        <v>1254</v>
      </c>
      <c r="I404" s="2" t="s">
        <v>1255</v>
      </c>
      <c r="J404" s="8">
        <f>+Tabla1[[#This Row],[FECHA ENTRADA]]</f>
        <v>45314</v>
      </c>
      <c r="K404" s="8">
        <v>45646</v>
      </c>
      <c r="L404" s="13">
        <f>_xlfn.DAYS(Tabla1[[#This Row],[FECHA FIN ]],Tabla1[[#This Row],[FECHA INICIO]])</f>
        <v>332</v>
      </c>
      <c r="M404" s="12"/>
      <c r="N404" s="2"/>
      <c r="O404" s="12">
        <f>(Tabla1[[#This Row],[COSTO FIJO ]]/30)*Tabla1[[#This Row],[TOTAL DIAS PROYECTO]]+(Tabla1[[#This Row],[COSTO TEMPORAL]])</f>
        <v>0</v>
      </c>
      <c r="P404" s="12"/>
      <c r="Q404" s="12">
        <f>+(Tabla1[[#This Row],[COSTO COCHE]]/30)*Tabla1[[#This Row],[TOTAL DIAS PROYECTO]]</f>
        <v>0</v>
      </c>
      <c r="R404" s="12">
        <f>+Tabla1[[#This Row],[COSTO TOTAL ALOJAMIENTO]]+Tabla1[[#This Row],[COSTO TOTAL COCHE]]</f>
        <v>0</v>
      </c>
      <c r="S404" s="2"/>
      <c r="T404" s="2" t="s">
        <v>35</v>
      </c>
      <c r="U404" s="14">
        <v>45314</v>
      </c>
      <c r="V404" s="14"/>
      <c r="W404" s="80">
        <v>150</v>
      </c>
      <c r="X404" s="16">
        <v>22</v>
      </c>
      <c r="Y404" s="11" t="s">
        <v>1256</v>
      </c>
      <c r="Z404" s="2" t="s">
        <v>36</v>
      </c>
      <c r="AA404" s="13" t="s">
        <v>10405</v>
      </c>
      <c r="AB404" s="13" t="s">
        <v>10406</v>
      </c>
    </row>
    <row r="405" spans="1:28" ht="15" customHeight="1">
      <c r="A405" s="2" t="s">
        <v>8913</v>
      </c>
      <c r="B405" s="2" t="s">
        <v>28</v>
      </c>
      <c r="C405" s="11" t="s">
        <v>1257</v>
      </c>
      <c r="D405" s="2" t="s">
        <v>30</v>
      </c>
      <c r="E405" s="2" t="s">
        <v>127</v>
      </c>
      <c r="F405" s="11" t="s">
        <v>865</v>
      </c>
      <c r="G405" s="46" t="s">
        <v>866</v>
      </c>
      <c r="H405" s="2" t="s">
        <v>1188</v>
      </c>
      <c r="I405" s="12" t="s">
        <v>377</v>
      </c>
      <c r="J405" s="41">
        <f>+Tabla1[[#This Row],[FECHA ENTRADA]]</f>
        <v>45635</v>
      </c>
      <c r="K405" s="41">
        <v>45646</v>
      </c>
      <c r="L405" s="42">
        <f>_xlfn.DAYS(Tabla1[[#This Row],[FECHA FIN ]],Tabla1[[#This Row],[FECHA INICIO]])</f>
        <v>11</v>
      </c>
      <c r="M405" s="12"/>
      <c r="N405" s="12"/>
      <c r="O405" s="28">
        <f>(Tabla1[[#This Row],[COSTO FIJO ]]/30)*Tabla1[[#This Row],[TOTAL DIAS PROYECTO]]+(Tabla1[[#This Row],[COSTO TEMPORAL]])</f>
        <v>0</v>
      </c>
      <c r="P405" s="12"/>
      <c r="Q405" s="12">
        <f>+(Tabla1[[#This Row],[COSTO COCHE]]/30)*Tabla1[[#This Row],[TOTAL DIAS PROYECTO]]</f>
        <v>0</v>
      </c>
      <c r="R405" s="12">
        <f>+Tabla1[[#This Row],[COSTO TOTAL ALOJAMIENTO]]+Tabla1[[#This Row],[COSTO TOTAL COCHE]]</f>
        <v>0</v>
      </c>
      <c r="S405" s="2"/>
      <c r="T405" s="2" t="s">
        <v>35</v>
      </c>
      <c r="U405" s="14">
        <v>45635</v>
      </c>
      <c r="V405" s="43">
        <v>45640</v>
      </c>
      <c r="W405" s="26"/>
      <c r="X405" s="2"/>
      <c r="Y405" s="11" t="s">
        <v>1258</v>
      </c>
      <c r="Z405" s="2" t="s">
        <v>36</v>
      </c>
      <c r="AA405" s="13" t="s">
        <v>10342</v>
      </c>
      <c r="AB405" s="13" t="s">
        <v>10343</v>
      </c>
    </row>
    <row r="406" spans="1:28" ht="15" customHeight="1">
      <c r="A406" s="2" t="s">
        <v>8846</v>
      </c>
      <c r="B406" s="2" t="s">
        <v>368</v>
      </c>
      <c r="C406" s="11" t="s">
        <v>1000</v>
      </c>
      <c r="D406" s="2" t="s">
        <v>30</v>
      </c>
      <c r="E406" s="2" t="s">
        <v>151</v>
      </c>
      <c r="F406" s="11" t="s">
        <v>1259</v>
      </c>
      <c r="G406" s="46"/>
      <c r="H406" s="2" t="s">
        <v>1260</v>
      </c>
      <c r="I406" s="12" t="s">
        <v>152</v>
      </c>
      <c r="J406" s="41">
        <f>+Tabla1[[#This Row],[FECHA ENTRADA]]</f>
        <v>45613</v>
      </c>
      <c r="K406" s="8">
        <v>45649</v>
      </c>
      <c r="L406" s="42">
        <f>_xlfn.DAYS(Tabla1[[#This Row],[FECHA FIN ]],Tabla1[[#This Row],[FECHA INICIO]])</f>
        <v>36</v>
      </c>
      <c r="M406" s="12"/>
      <c r="N406" s="12">
        <f>36.6+ (72.5)</f>
        <v>109.1</v>
      </c>
      <c r="O406" s="28">
        <f>(Tabla1[[#This Row],[COSTO FIJO ]]/30)*Tabla1[[#This Row],[TOTAL DIAS PROYECTO]]+(Tabla1[[#This Row],[COSTO TEMPORAL]])</f>
        <v>130.91999999999999</v>
      </c>
      <c r="P406" s="12"/>
      <c r="Q406" s="12">
        <f>+(Tabla1[[#This Row],[COSTO COCHE]]/30)*Tabla1[[#This Row],[TOTAL DIAS PROYECTO]]</f>
        <v>0</v>
      </c>
      <c r="R406" s="12">
        <f>+Tabla1[[#This Row],[COSTO TOTAL ALOJAMIENTO]]+Tabla1[[#This Row],[COSTO TOTAL COCHE]]</f>
        <v>130.91999999999999</v>
      </c>
      <c r="S406" s="2"/>
      <c r="T406" s="2" t="s">
        <v>44</v>
      </c>
      <c r="U406" s="14">
        <v>45613</v>
      </c>
      <c r="V406" s="43">
        <v>45649</v>
      </c>
      <c r="W406" s="26"/>
      <c r="X406" s="2"/>
      <c r="Y406" s="11" t="s">
        <v>1166</v>
      </c>
      <c r="Z406" s="2" t="s">
        <v>36</v>
      </c>
      <c r="AA406" s="13" t="s">
        <v>10345</v>
      </c>
      <c r="AB406" s="13" t="s">
        <v>10346</v>
      </c>
    </row>
    <row r="407" spans="1:28" ht="15" customHeight="1">
      <c r="A407" s="2" t="s">
        <v>8906</v>
      </c>
      <c r="B407" s="2" t="s">
        <v>28</v>
      </c>
      <c r="C407" s="11" t="s">
        <v>1228</v>
      </c>
      <c r="D407" s="2" t="s">
        <v>30</v>
      </c>
      <c r="E407" s="2" t="s">
        <v>253</v>
      </c>
      <c r="F407" s="11" t="s">
        <v>1261</v>
      </c>
      <c r="G407" s="11" t="s">
        <v>772</v>
      </c>
      <c r="H407" s="2" t="s">
        <v>1262</v>
      </c>
      <c r="I407" s="12" t="s">
        <v>1263</v>
      </c>
      <c r="J407" s="22">
        <f>+Tabla1[[#This Row],[FECHA ENTRADA]]</f>
        <v>45621</v>
      </c>
      <c r="K407" s="8">
        <v>45649</v>
      </c>
      <c r="L407" s="23">
        <f>_xlfn.DAYS(Tabla1[[#This Row],[FECHA FIN ]],Tabla1[[#This Row],[FECHA INICIO]])</f>
        <v>28</v>
      </c>
      <c r="M407" s="12"/>
      <c r="N407" s="12">
        <v>350</v>
      </c>
      <c r="O407" s="24">
        <f>(Tabla1[[#This Row],[COSTO FIJO ]]/30)*Tabla1[[#This Row],[TOTAL DIAS PROYECTO]]+(Tabla1[[#This Row],[COSTO TEMPORAL]])</f>
        <v>326.66666666666663</v>
      </c>
      <c r="P407" s="12"/>
      <c r="Q407" s="12">
        <f>+(Tabla1[[#This Row],[COSTO COCHE]]/30)*Tabla1[[#This Row],[TOTAL DIAS PROYECTO]]</f>
        <v>0</v>
      </c>
      <c r="R407" s="12">
        <f>+Tabla1[[#This Row],[COSTO TOTAL ALOJAMIENTO]]+Tabla1[[#This Row],[COSTO TOTAL COCHE]]</f>
        <v>326.66666666666663</v>
      </c>
      <c r="S407" s="2"/>
      <c r="T407" s="2" t="s">
        <v>35</v>
      </c>
      <c r="U407" s="14">
        <v>45621</v>
      </c>
      <c r="V407" s="25">
        <v>45648</v>
      </c>
      <c r="W407" s="26"/>
      <c r="X407" s="2">
        <v>25</v>
      </c>
      <c r="Y407" s="11"/>
      <c r="Z407" s="2" t="s">
        <v>36</v>
      </c>
      <c r="AA407" s="13" t="s">
        <v>10357</v>
      </c>
      <c r="AB407" s="13" t="s">
        <v>10358</v>
      </c>
    </row>
    <row r="408" spans="1:28" ht="15" customHeight="1">
      <c r="A408" s="2" t="s">
        <v>8914</v>
      </c>
      <c r="B408" s="2" t="s">
        <v>368</v>
      </c>
      <c r="C408" s="11" t="s">
        <v>1264</v>
      </c>
      <c r="D408" s="2" t="s">
        <v>30</v>
      </c>
      <c r="E408" s="2" t="s">
        <v>259</v>
      </c>
      <c r="F408" s="11" t="s">
        <v>516</v>
      </c>
      <c r="G408" s="11" t="s">
        <v>517</v>
      </c>
      <c r="H408" s="2" t="s">
        <v>1011</v>
      </c>
      <c r="I408" s="12" t="s">
        <v>152</v>
      </c>
      <c r="J408" s="8">
        <f>+Tabla1[[#This Row],[FECHA ENTRADA]]</f>
        <v>45501</v>
      </c>
      <c r="K408" s="8">
        <v>45719</v>
      </c>
      <c r="L408" s="13">
        <f>_xlfn.DAYS(Tabla1[[#This Row],[FECHA FIN ]],Tabla1[[#This Row],[FECHA INICIO]])</f>
        <v>218</v>
      </c>
      <c r="M408" s="12"/>
      <c r="N408" s="12"/>
      <c r="O408" s="12">
        <f>(Tabla1[[#This Row],[COSTO FIJO ]]/30)*Tabla1[[#This Row],[TOTAL DIAS PROYECTO]]+(Tabla1[[#This Row],[COSTO TEMPORAL]])</f>
        <v>0</v>
      </c>
      <c r="P408" s="12"/>
      <c r="Q408" s="12">
        <f>+(Tabla1[[#This Row],[COSTO COCHE]]/30)*Tabla1[[#This Row],[TOTAL DIAS PROYECTO]]</f>
        <v>0</v>
      </c>
      <c r="R408" s="12">
        <f>+Tabla1[[#This Row],[COSTO TOTAL ALOJAMIENTO]]+Tabla1[[#This Row],[COSTO TOTAL COCHE]]</f>
        <v>0</v>
      </c>
      <c r="S408" s="2"/>
      <c r="T408" s="2" t="s">
        <v>35</v>
      </c>
      <c r="U408" s="14">
        <v>45501</v>
      </c>
      <c r="V408" s="14"/>
      <c r="W408" s="91"/>
      <c r="X408" s="39">
        <v>25</v>
      </c>
      <c r="Y408" s="11"/>
      <c r="Z408" s="2" t="s">
        <v>36</v>
      </c>
      <c r="AA408" s="13">
        <v>-0.87734000000000001</v>
      </c>
      <c r="AB408" s="13" t="s">
        <v>10359</v>
      </c>
    </row>
    <row r="409" spans="1:28" ht="15" customHeight="1">
      <c r="A409" s="2" t="s">
        <v>8915</v>
      </c>
      <c r="B409" s="2" t="s">
        <v>28</v>
      </c>
      <c r="C409" s="11" t="s">
        <v>1265</v>
      </c>
      <c r="D409" s="2" t="s">
        <v>30</v>
      </c>
      <c r="E409" s="2" t="s">
        <v>855</v>
      </c>
      <c r="F409" s="11" t="s">
        <v>865</v>
      </c>
      <c r="G409" s="11" t="s">
        <v>866</v>
      </c>
      <c r="H409" s="2" t="s">
        <v>867</v>
      </c>
      <c r="I409" s="12" t="s">
        <v>859</v>
      </c>
      <c r="J409" s="8">
        <f>+Tabla1[[#This Row],[FECHA ENTRADA]]</f>
        <v>45522</v>
      </c>
      <c r="K409" s="22">
        <v>45821</v>
      </c>
      <c r="L409" s="13">
        <f>_xlfn.DAYS(Tabla1[[#This Row],[FECHA FIN ]],Tabla1[[#This Row],[FECHA INICIO]])</f>
        <v>299</v>
      </c>
      <c r="M409" s="12"/>
      <c r="N409" s="12">
        <f>1811.6/17</f>
        <v>106.56470588235294</v>
      </c>
      <c r="O409" s="12">
        <f>(Tabla1[[#This Row],[COSTO FIJO ]]/30)*Tabla1[[#This Row],[TOTAL DIAS PROYECTO]]+(Tabla1[[#This Row],[COSTO TEMPORAL]])</f>
        <v>1062.0949019607842</v>
      </c>
      <c r="P409" s="12"/>
      <c r="Q409" s="12">
        <f>+(Tabla1[[#This Row],[COSTO COCHE]]/30)*Tabla1[[#This Row],[TOTAL DIAS PROYECTO]]</f>
        <v>0</v>
      </c>
      <c r="R409" s="12">
        <f>+Tabla1[[#This Row],[COSTO TOTAL ALOJAMIENTO]]+Tabla1[[#This Row],[COSTO TOTAL COCHE]]</f>
        <v>1062.0949019607842</v>
      </c>
      <c r="S409" s="2"/>
      <c r="T409" s="2" t="s">
        <v>35</v>
      </c>
      <c r="U409" s="14">
        <v>45522</v>
      </c>
      <c r="V409" s="14"/>
      <c r="W409" s="26">
        <v>700</v>
      </c>
      <c r="X409" s="2">
        <v>1</v>
      </c>
      <c r="Y409" s="11"/>
      <c r="Z409" s="2" t="s">
        <v>36</v>
      </c>
      <c r="AA409" s="13" t="s">
        <v>10401</v>
      </c>
      <c r="AB409" s="13" t="s">
        <v>10402</v>
      </c>
    </row>
    <row r="410" spans="1:28">
      <c r="A410" s="2" t="s">
        <v>8916</v>
      </c>
      <c r="B410" s="2" t="s">
        <v>28</v>
      </c>
      <c r="C410" s="11" t="s">
        <v>1266</v>
      </c>
      <c r="D410" s="2" t="s">
        <v>30</v>
      </c>
      <c r="E410" s="2" t="s">
        <v>213</v>
      </c>
      <c r="F410" s="11" t="s">
        <v>557</v>
      </c>
      <c r="G410" s="11" t="s">
        <v>558</v>
      </c>
      <c r="H410" s="2" t="s">
        <v>559</v>
      </c>
      <c r="I410" s="12" t="s">
        <v>560</v>
      </c>
      <c r="J410" s="8">
        <f>+Tabla1[[#This Row],[FECHA ENTRADA]]</f>
        <v>45404</v>
      </c>
      <c r="K410" s="8">
        <v>45650</v>
      </c>
      <c r="L410" s="13">
        <f>_xlfn.DAYS(Tabla1[[#This Row],[FECHA FIN ]],Tabla1[[#This Row],[FECHA INICIO]])</f>
        <v>246</v>
      </c>
      <c r="M410" s="12"/>
      <c r="N410" s="12"/>
      <c r="O410" s="12">
        <f>(Tabla1[[#This Row],[COSTO FIJO ]]/30)*Tabla1[[#This Row],[TOTAL DIAS PROYECTO]]+(Tabla1[[#This Row],[COSTO TEMPORAL]])</f>
        <v>0</v>
      </c>
      <c r="P410" s="12"/>
      <c r="Q410" s="12">
        <f>+(Tabla1[[#This Row],[COSTO COCHE]]/30)*Tabla1[[#This Row],[TOTAL DIAS PROYECTO]]</f>
        <v>0</v>
      </c>
      <c r="R410" s="12">
        <f>+Tabla1[[#This Row],[COSTO TOTAL ALOJAMIENTO]]+Tabla1[[#This Row],[COSTO TOTAL COCHE]]</f>
        <v>0</v>
      </c>
      <c r="S410" s="2"/>
      <c r="T410" s="2" t="s">
        <v>35</v>
      </c>
      <c r="U410" s="14">
        <v>45404</v>
      </c>
      <c r="V410" s="14"/>
      <c r="W410" s="15"/>
      <c r="X410" s="16">
        <v>20</v>
      </c>
      <c r="Y410" s="11" t="s">
        <v>1267</v>
      </c>
      <c r="Z410" s="2" t="s">
        <v>36</v>
      </c>
      <c r="AA410" s="13" t="s">
        <v>10349</v>
      </c>
      <c r="AB410" s="13" t="s">
        <v>10350</v>
      </c>
    </row>
    <row r="411" spans="1:28" ht="15" customHeight="1">
      <c r="A411" s="2" t="s">
        <v>8787</v>
      </c>
      <c r="B411" s="2" t="s">
        <v>28</v>
      </c>
      <c r="C411" s="18" t="s">
        <v>764</v>
      </c>
      <c r="D411" s="2" t="s">
        <v>78</v>
      </c>
      <c r="E411" s="2" t="s">
        <v>1088</v>
      </c>
      <c r="F411" s="11" t="s">
        <v>1089</v>
      </c>
      <c r="G411" s="46" t="s">
        <v>1090</v>
      </c>
      <c r="H411" s="2" t="s">
        <v>1091</v>
      </c>
      <c r="I411" s="12" t="s">
        <v>292</v>
      </c>
      <c r="J411" s="41">
        <f>+Tabla1[[#This Row],[FECHA ENTRADA]]</f>
        <v>45591</v>
      </c>
      <c r="K411" s="8">
        <v>45652</v>
      </c>
      <c r="L411" s="42">
        <f>_xlfn.DAYS(Tabla1[[#This Row],[FECHA FIN ]],Tabla1[[#This Row],[FECHA INICIO]])</f>
        <v>61</v>
      </c>
      <c r="M411" s="12"/>
      <c r="N411" s="20"/>
      <c r="O411" s="28">
        <f>(Tabla1[[#This Row],[COSTO FIJO ]]/30)*Tabla1[[#This Row],[TOTAL DIAS PROYECTO]]+(Tabla1[[#This Row],[COSTO TEMPORAL]])</f>
        <v>0</v>
      </c>
      <c r="P411" s="12"/>
      <c r="Q411" s="12">
        <f>+(Tabla1[[#This Row],[COSTO COCHE]]/30)*Tabla1[[#This Row],[TOTAL DIAS PROYECTO]]</f>
        <v>0</v>
      </c>
      <c r="R411" s="12">
        <f>+Tabla1[[#This Row],[COSTO TOTAL ALOJAMIENTO]]+Tabla1[[#This Row],[COSTO TOTAL COCHE]]</f>
        <v>0</v>
      </c>
      <c r="S411" s="2" t="s">
        <v>84</v>
      </c>
      <c r="T411" s="2" t="s">
        <v>44</v>
      </c>
      <c r="U411" s="14">
        <v>45591</v>
      </c>
      <c r="V411" s="43">
        <v>45622</v>
      </c>
      <c r="W411" s="26"/>
      <c r="X411" s="2"/>
      <c r="Y411" s="11"/>
      <c r="Z411" s="64" t="s">
        <v>36</v>
      </c>
      <c r="AA411" s="13" t="s">
        <v>10410</v>
      </c>
      <c r="AB411" s="13">
        <v>4452809</v>
      </c>
    </row>
    <row r="412" spans="1:28" ht="15" customHeight="1">
      <c r="A412" s="2" t="s">
        <v>8917</v>
      </c>
      <c r="B412" s="2" t="s">
        <v>28</v>
      </c>
      <c r="C412" s="11" t="s">
        <v>1268</v>
      </c>
      <c r="D412" s="2" t="s">
        <v>30</v>
      </c>
      <c r="E412" s="2" t="s">
        <v>985</v>
      </c>
      <c r="F412" s="11" t="s">
        <v>1269</v>
      </c>
      <c r="G412" s="11" t="s">
        <v>1270</v>
      </c>
      <c r="H412" s="2" t="s">
        <v>1271</v>
      </c>
      <c r="I412" s="12" t="s">
        <v>1272</v>
      </c>
      <c r="J412" s="8">
        <f>+Tabla1[[#This Row],[FECHA ENTRADA]]</f>
        <v>45433</v>
      </c>
      <c r="K412" s="8">
        <v>45652</v>
      </c>
      <c r="L412" s="13">
        <f>_xlfn.DAYS(Tabla1[[#This Row],[FECHA FIN ]],Tabla1[[#This Row],[FECHA INICIO]])</f>
        <v>219</v>
      </c>
      <c r="M412" s="12"/>
      <c r="N412" s="12"/>
      <c r="O412" s="12">
        <f>(Tabla1[[#This Row],[COSTO FIJO ]]/30)*Tabla1[[#This Row],[TOTAL DIAS PROYECTO]]+(Tabla1[[#This Row],[COSTO TEMPORAL]])</f>
        <v>0</v>
      </c>
      <c r="P412" s="12"/>
      <c r="Q412" s="12">
        <f>+(Tabla1[[#This Row],[COSTO COCHE]]/30)*Tabla1[[#This Row],[TOTAL DIAS PROYECTO]]</f>
        <v>0</v>
      </c>
      <c r="R412" s="12">
        <f>+Tabla1[[#This Row],[COSTO TOTAL ALOJAMIENTO]]+Tabla1[[#This Row],[COSTO TOTAL COCHE]]</f>
        <v>0</v>
      </c>
      <c r="S412" s="2"/>
      <c r="T412" s="2" t="s">
        <v>35</v>
      </c>
      <c r="U412" s="14">
        <v>45433</v>
      </c>
      <c r="V412" s="14">
        <v>45438</v>
      </c>
      <c r="W412" s="26"/>
      <c r="X412" s="2">
        <v>25</v>
      </c>
      <c r="Y412" s="11" t="s">
        <v>1273</v>
      </c>
      <c r="Z412" s="2" t="s">
        <v>36</v>
      </c>
      <c r="AA412" s="13" t="s">
        <v>10407</v>
      </c>
      <c r="AB412" s="13" t="s">
        <v>10408</v>
      </c>
    </row>
    <row r="413" spans="1:28" ht="15" customHeight="1">
      <c r="A413" s="2" t="s">
        <v>8918</v>
      </c>
      <c r="B413" s="2" t="s">
        <v>28</v>
      </c>
      <c r="C413" s="11" t="s">
        <v>1274</v>
      </c>
      <c r="D413" s="2" t="s">
        <v>30</v>
      </c>
      <c r="E413" s="2" t="s">
        <v>985</v>
      </c>
      <c r="F413" s="11" t="s">
        <v>1269</v>
      </c>
      <c r="G413" s="11" t="s">
        <v>1270</v>
      </c>
      <c r="H413" s="2" t="s">
        <v>1271</v>
      </c>
      <c r="I413" s="12" t="s">
        <v>1272</v>
      </c>
      <c r="J413" s="8">
        <f>+Tabla1[[#This Row],[FECHA ENTRADA]]</f>
        <v>45433</v>
      </c>
      <c r="K413" s="8">
        <v>45652</v>
      </c>
      <c r="L413" s="13">
        <f>_xlfn.DAYS(Tabla1[[#This Row],[FECHA FIN ]],Tabla1[[#This Row],[FECHA INICIO]])</f>
        <v>219</v>
      </c>
      <c r="M413" s="12"/>
      <c r="N413" s="12"/>
      <c r="O413" s="12">
        <f>(Tabla1[[#This Row],[COSTO FIJO ]]/30)*Tabla1[[#This Row],[TOTAL DIAS PROYECTO]]+(Tabla1[[#This Row],[COSTO TEMPORAL]])</f>
        <v>0</v>
      </c>
      <c r="P413" s="12"/>
      <c r="Q413" s="12">
        <f>+(Tabla1[[#This Row],[COSTO COCHE]]/30)*Tabla1[[#This Row],[TOTAL DIAS PROYECTO]]</f>
        <v>0</v>
      </c>
      <c r="R413" s="12">
        <f>+Tabla1[[#This Row],[COSTO TOTAL ALOJAMIENTO]]+Tabla1[[#This Row],[COSTO TOTAL COCHE]]</f>
        <v>0</v>
      </c>
      <c r="S413" s="2"/>
      <c r="T413" s="2" t="s">
        <v>35</v>
      </c>
      <c r="U413" s="14">
        <v>45433</v>
      </c>
      <c r="V413" s="14">
        <v>45438</v>
      </c>
      <c r="W413" s="26"/>
      <c r="X413" s="2">
        <v>25</v>
      </c>
      <c r="Y413" s="11" t="s">
        <v>1275</v>
      </c>
      <c r="Z413" s="2" t="s">
        <v>36</v>
      </c>
      <c r="AA413" s="13" t="s">
        <v>10407</v>
      </c>
      <c r="AB413" s="13" t="s">
        <v>10408</v>
      </c>
    </row>
    <row r="414" spans="1:28" ht="15" customHeight="1">
      <c r="A414" s="2" t="s">
        <v>8919</v>
      </c>
      <c r="B414" s="2" t="s">
        <v>28</v>
      </c>
      <c r="C414" s="11" t="s">
        <v>1276</v>
      </c>
      <c r="D414" s="2" t="s">
        <v>30</v>
      </c>
      <c r="E414" s="2" t="s">
        <v>985</v>
      </c>
      <c r="F414" s="11" t="s">
        <v>1269</v>
      </c>
      <c r="G414" s="11" t="s">
        <v>1270</v>
      </c>
      <c r="H414" s="2" t="s">
        <v>1277</v>
      </c>
      <c r="I414" s="12" t="s">
        <v>1272</v>
      </c>
      <c r="J414" s="8">
        <f>+Tabla1[[#This Row],[FECHA ENTRADA]]</f>
        <v>45469</v>
      </c>
      <c r="K414" s="8">
        <v>45652</v>
      </c>
      <c r="L414" s="13">
        <f>_xlfn.DAYS(Tabla1[[#This Row],[FECHA FIN ]],Tabla1[[#This Row],[FECHA INICIO]])</f>
        <v>183</v>
      </c>
      <c r="M414" s="12"/>
      <c r="N414" s="12"/>
      <c r="O414" s="12">
        <f>(Tabla1[[#This Row],[COSTO FIJO ]]/30)*Tabla1[[#This Row],[TOTAL DIAS PROYECTO]]+(Tabla1[[#This Row],[COSTO TEMPORAL]])</f>
        <v>0</v>
      </c>
      <c r="P414" s="12"/>
      <c r="Q414" s="12">
        <f>+(Tabla1[[#This Row],[COSTO COCHE]]/30)*Tabla1[[#This Row],[TOTAL DIAS PROYECTO]]</f>
        <v>0</v>
      </c>
      <c r="R414" s="12">
        <f>+Tabla1[[#This Row],[COSTO TOTAL ALOJAMIENTO]]+Tabla1[[#This Row],[COSTO TOTAL COCHE]]</f>
        <v>0</v>
      </c>
      <c r="S414" s="2"/>
      <c r="T414" s="2" t="s">
        <v>35</v>
      </c>
      <c r="U414" s="14">
        <v>45469</v>
      </c>
      <c r="V414" s="14">
        <v>45479</v>
      </c>
      <c r="W414" s="26"/>
      <c r="X414" s="2">
        <v>25</v>
      </c>
      <c r="Y414" s="11" t="s">
        <v>1273</v>
      </c>
      <c r="Z414" s="2" t="s">
        <v>36</v>
      </c>
      <c r="AA414" s="13" t="s">
        <v>10407</v>
      </c>
      <c r="AB414" s="13" t="s">
        <v>10408</v>
      </c>
    </row>
    <row r="415" spans="1:28">
      <c r="A415" s="2" t="s">
        <v>8746</v>
      </c>
      <c r="B415" s="2" t="s">
        <v>28</v>
      </c>
      <c r="C415" s="18" t="s">
        <v>556</v>
      </c>
      <c r="D415" s="2" t="s">
        <v>99</v>
      </c>
      <c r="E415" s="2" t="s">
        <v>31</v>
      </c>
      <c r="F415" s="11" t="s">
        <v>32</v>
      </c>
      <c r="G415" s="11" t="s">
        <v>33</v>
      </c>
      <c r="H415" s="2" t="s">
        <v>717</v>
      </c>
      <c r="I415" s="12" t="s">
        <v>718</v>
      </c>
      <c r="J415" s="8">
        <f>+Tabla1[[#This Row],[FECHA ENTRADA]]</f>
        <v>45537</v>
      </c>
      <c r="K415" s="8">
        <v>45653</v>
      </c>
      <c r="L415" s="13">
        <f>_xlfn.DAYS(Tabla1[[#This Row],[FECHA FIN ]],Tabla1[[#This Row],[FECHA INICIO]])</f>
        <v>116</v>
      </c>
      <c r="M415" s="12"/>
      <c r="N415" s="12">
        <v>450</v>
      </c>
      <c r="O415" s="12">
        <f>(Tabla1[[#This Row],[COSTO FIJO ]]/30)*Tabla1[[#This Row],[TOTAL DIAS PROYECTO]]+(Tabla1[[#This Row],[COSTO TEMPORAL]])</f>
        <v>1740</v>
      </c>
      <c r="P415" s="12"/>
      <c r="Q415" s="12">
        <f>+(Tabla1[[#This Row],[COSTO COCHE]]/30)*Tabla1[[#This Row],[TOTAL DIAS PROYECTO]]</f>
        <v>0</v>
      </c>
      <c r="R415" s="12">
        <f>+Tabla1[[#This Row],[COSTO TOTAL ALOJAMIENTO]]+Tabla1[[#This Row],[COSTO TOTAL COCHE]]</f>
        <v>1740</v>
      </c>
      <c r="S415" s="2"/>
      <c r="T415" s="2" t="s">
        <v>35</v>
      </c>
      <c r="U415" s="14">
        <v>45537</v>
      </c>
      <c r="V415" s="14"/>
      <c r="W415" s="26"/>
      <c r="X415" s="2">
        <v>1</v>
      </c>
      <c r="Y415" s="11" t="s">
        <v>1278</v>
      </c>
      <c r="Z415" s="2" t="s">
        <v>36</v>
      </c>
      <c r="AA415" s="13" t="s">
        <v>10323</v>
      </c>
      <c r="AB415" s="13" t="s">
        <v>10324</v>
      </c>
    </row>
    <row r="416" spans="1:28">
      <c r="A416" s="2" t="s">
        <v>8920</v>
      </c>
      <c r="B416" s="2" t="s">
        <v>368</v>
      </c>
      <c r="C416" s="11" t="s">
        <v>1279</v>
      </c>
      <c r="D416" s="2" t="s">
        <v>30</v>
      </c>
      <c r="E416" s="2" t="s">
        <v>985</v>
      </c>
      <c r="F416" s="11" t="s">
        <v>1126</v>
      </c>
      <c r="G416" t="s">
        <v>1127</v>
      </c>
      <c r="H416" s="2" t="s">
        <v>1128</v>
      </c>
      <c r="I416" s="12" t="s">
        <v>989</v>
      </c>
      <c r="J416" s="41">
        <f>+Tabla1[[#This Row],[FECHA ENTRADA]]</f>
        <v>45599</v>
      </c>
      <c r="K416" s="8">
        <v>45653</v>
      </c>
      <c r="L416" s="42">
        <f>_xlfn.DAYS(Tabla1[[#This Row],[FECHA FIN ]],Tabla1[[#This Row],[FECHA INICIO]])</f>
        <v>54</v>
      </c>
      <c r="M416" s="12"/>
      <c r="N416" s="12"/>
      <c r="O416" s="28">
        <f>(Tabla1[[#This Row],[COSTO FIJO ]]/30)*Tabla1[[#This Row],[TOTAL DIAS PROYECTO]]+(Tabla1[[#This Row],[COSTO TEMPORAL]])</f>
        <v>0</v>
      </c>
      <c r="P416" s="12"/>
      <c r="Q416" s="12">
        <f>+(Tabla1[[#This Row],[COSTO COCHE]]/30)*Tabla1[[#This Row],[TOTAL DIAS PROYECTO]]</f>
        <v>0</v>
      </c>
      <c r="R416" s="12">
        <f>+Tabla1[[#This Row],[COSTO TOTAL ALOJAMIENTO]]+Tabla1[[#This Row],[COSTO TOTAL COCHE]]</f>
        <v>0</v>
      </c>
      <c r="S416" s="2"/>
      <c r="T416" s="2" t="s">
        <v>35</v>
      </c>
      <c r="U416" s="14">
        <v>45599</v>
      </c>
      <c r="V416" s="43"/>
      <c r="W416" s="26" t="s">
        <v>1280</v>
      </c>
      <c r="X416" s="2">
        <v>5</v>
      </c>
      <c r="Y416" s="11" t="s">
        <v>1281</v>
      </c>
      <c r="Z416" s="2" t="s">
        <v>36</v>
      </c>
      <c r="AA416" s="13" t="s">
        <v>10407</v>
      </c>
      <c r="AB416" s="13" t="s">
        <v>10408</v>
      </c>
    </row>
    <row r="417" spans="1:28" ht="15" customHeight="1">
      <c r="A417" s="2" t="s">
        <v>8921</v>
      </c>
      <c r="B417" s="2" t="s">
        <v>368</v>
      </c>
      <c r="C417" s="11" t="s">
        <v>1282</v>
      </c>
      <c r="D417" s="2" t="s">
        <v>30</v>
      </c>
      <c r="E417" s="2" t="s">
        <v>259</v>
      </c>
      <c r="F417" s="11" t="s">
        <v>516</v>
      </c>
      <c r="G417" s="11" t="s">
        <v>517</v>
      </c>
      <c r="H417" s="2" t="s">
        <v>1011</v>
      </c>
      <c r="I417" s="12" t="s">
        <v>152</v>
      </c>
      <c r="J417" s="8">
        <f>+Tabla1[[#This Row],[FECHA ENTRADA]]</f>
        <v>45501</v>
      </c>
      <c r="K417" s="22">
        <v>45817</v>
      </c>
      <c r="L417" s="13">
        <f>_xlfn.DAYS(Tabla1[[#This Row],[FECHA FIN ]],Tabla1[[#This Row],[FECHA INICIO]])</f>
        <v>316</v>
      </c>
      <c r="M417" s="12"/>
      <c r="N417" s="12"/>
      <c r="O417" s="12">
        <f>(Tabla1[[#This Row],[COSTO FIJO ]]/30)*Tabla1[[#This Row],[TOTAL DIAS PROYECTO]]+(Tabla1[[#This Row],[COSTO TEMPORAL]])</f>
        <v>0</v>
      </c>
      <c r="P417" s="12"/>
      <c r="Q417" s="12">
        <f>+(Tabla1[[#This Row],[COSTO COCHE]]/30)*Tabla1[[#This Row],[TOTAL DIAS PROYECTO]]</f>
        <v>0</v>
      </c>
      <c r="R417" s="12">
        <f>+Tabla1[[#This Row],[COSTO TOTAL ALOJAMIENTO]]+Tabla1[[#This Row],[COSTO TOTAL COCHE]]</f>
        <v>0</v>
      </c>
      <c r="S417" s="2"/>
      <c r="T417" s="2" t="s">
        <v>35</v>
      </c>
      <c r="U417" s="14">
        <v>45501</v>
      </c>
      <c r="V417" s="14"/>
      <c r="W417" s="26"/>
      <c r="X417" s="2">
        <v>25</v>
      </c>
      <c r="Y417" s="11"/>
      <c r="Z417" s="2" t="s">
        <v>36</v>
      </c>
      <c r="AA417" s="13">
        <v>-0.87734000000000001</v>
      </c>
      <c r="AB417" s="13" t="s">
        <v>10359</v>
      </c>
    </row>
    <row r="418" spans="1:28" ht="15" customHeight="1">
      <c r="A418" s="2" t="s">
        <v>8922</v>
      </c>
      <c r="B418" s="2" t="s">
        <v>368</v>
      </c>
      <c r="C418" s="11" t="s">
        <v>1283</v>
      </c>
      <c r="D418" s="2" t="s">
        <v>30</v>
      </c>
      <c r="E418" s="2" t="s">
        <v>826</v>
      </c>
      <c r="F418" s="11"/>
      <c r="G418" s="11"/>
      <c r="H418" s="2" t="s">
        <v>1138</v>
      </c>
      <c r="I418" s="12" t="s">
        <v>152</v>
      </c>
      <c r="J418" s="8">
        <f>+Tabla1[[#This Row],[FECHA ENTRADA]]</f>
        <v>45501</v>
      </c>
      <c r="K418" s="22">
        <v>45657</v>
      </c>
      <c r="L418" s="13">
        <f>_xlfn.DAYS(Tabla1[[#This Row],[FECHA FIN ]],Tabla1[[#This Row],[FECHA INICIO]])</f>
        <v>156</v>
      </c>
      <c r="M418" s="12"/>
      <c r="N418" s="12">
        <v>300</v>
      </c>
      <c r="O418" s="12">
        <f>(Tabla1[[#This Row],[COSTO FIJO ]]/30)*Tabla1[[#This Row],[TOTAL DIAS PROYECTO]]+(Tabla1[[#This Row],[COSTO TEMPORAL]])</f>
        <v>1560</v>
      </c>
      <c r="P418" s="12">
        <f>(601.49*50%)/5</f>
        <v>60.149000000000001</v>
      </c>
      <c r="Q418" s="12">
        <f>+(Tabla1[[#This Row],[COSTO COCHE]]/30)*Tabla1[[#This Row],[TOTAL DIAS PROYECTO]]</f>
        <v>312.77480000000003</v>
      </c>
      <c r="R418" s="12">
        <f>+Tabla1[[#This Row],[COSTO TOTAL ALOJAMIENTO]]+Tabla1[[#This Row],[COSTO TOTAL COCHE]]</f>
        <v>1872.7748000000001</v>
      </c>
      <c r="S418" s="2"/>
      <c r="T418" s="2" t="s">
        <v>58</v>
      </c>
      <c r="U418" s="14">
        <v>45501</v>
      </c>
      <c r="V418" s="8"/>
      <c r="W418" s="26"/>
      <c r="X418" s="2"/>
      <c r="Y418" s="11" t="s">
        <v>1284</v>
      </c>
      <c r="Z418" s="2" t="s">
        <v>36</v>
      </c>
      <c r="AA418" s="13" t="s">
        <v>10399</v>
      </c>
      <c r="AB418" s="13" t="s">
        <v>10400</v>
      </c>
    </row>
    <row r="419" spans="1:28" ht="15" customHeight="1">
      <c r="A419" s="2" t="s">
        <v>8783</v>
      </c>
      <c r="B419" s="2" t="s">
        <v>368</v>
      </c>
      <c r="C419" s="11" t="s">
        <v>748</v>
      </c>
      <c r="D419" s="2" t="s">
        <v>30</v>
      </c>
      <c r="E419" s="2" t="s">
        <v>855</v>
      </c>
      <c r="F419" s="11" t="s">
        <v>1285</v>
      </c>
      <c r="G419" s="46" t="s">
        <v>1286</v>
      </c>
      <c r="H419" s="2" t="s">
        <v>1287</v>
      </c>
      <c r="I419" s="12" t="s">
        <v>1288</v>
      </c>
      <c r="J419" s="41">
        <f>+Tabla1[[#This Row],[FECHA ENTRADA]]</f>
        <v>45636</v>
      </c>
      <c r="K419" s="8">
        <v>45659</v>
      </c>
      <c r="L419" s="42">
        <f>_xlfn.DAYS(Tabla1[[#This Row],[FECHA FIN ]],Tabla1[[#This Row],[FECHA INICIO]])</f>
        <v>23</v>
      </c>
      <c r="M419" s="12"/>
      <c r="N419" s="12"/>
      <c r="O419" s="28">
        <f>(Tabla1[[#This Row],[COSTO FIJO ]]/30)*Tabla1[[#This Row],[TOTAL DIAS PROYECTO]]+(Tabla1[[#This Row],[COSTO TEMPORAL]])</f>
        <v>0</v>
      </c>
      <c r="P419" s="12"/>
      <c r="Q419" s="12">
        <f>+(Tabla1[[#This Row],[COSTO COCHE]]/30)*Tabla1[[#This Row],[TOTAL DIAS PROYECTO]]</f>
        <v>0</v>
      </c>
      <c r="R419" s="12">
        <f>+Tabla1[[#This Row],[COSTO TOTAL ALOJAMIENTO]]+Tabla1[[#This Row],[COSTO TOTAL COCHE]]</f>
        <v>0</v>
      </c>
      <c r="S419" s="2"/>
      <c r="T419" s="2" t="s">
        <v>44</v>
      </c>
      <c r="U419" s="14">
        <v>45636</v>
      </c>
      <c r="V419" s="43">
        <v>45659</v>
      </c>
      <c r="W419" s="26"/>
      <c r="X419" s="2"/>
      <c r="Y419" s="11"/>
      <c r="Z419" s="2" t="s">
        <v>36</v>
      </c>
      <c r="AA419" s="13" t="s">
        <v>10401</v>
      </c>
      <c r="AB419" s="13" t="s">
        <v>10402</v>
      </c>
    </row>
    <row r="420" spans="1:28" ht="15" customHeight="1">
      <c r="A420" s="2" t="s">
        <v>8923</v>
      </c>
      <c r="B420" s="2" t="s">
        <v>368</v>
      </c>
      <c r="C420" s="18" t="s">
        <v>1289</v>
      </c>
      <c r="D420" s="2" t="s">
        <v>30</v>
      </c>
      <c r="E420" s="2" t="s">
        <v>855</v>
      </c>
      <c r="F420" s="11" t="s">
        <v>1285</v>
      </c>
      <c r="G420" s="46" t="s">
        <v>1286</v>
      </c>
      <c r="H420" s="2" t="s">
        <v>1287</v>
      </c>
      <c r="I420" s="12" t="s">
        <v>1288</v>
      </c>
      <c r="J420" s="41">
        <f>+Tabla1[[#This Row],[FECHA ENTRADA]]</f>
        <v>45636</v>
      </c>
      <c r="K420" s="8">
        <v>45659</v>
      </c>
      <c r="L420" s="42">
        <f>_xlfn.DAYS(Tabla1[[#This Row],[FECHA FIN ]],Tabla1[[#This Row],[FECHA INICIO]])</f>
        <v>23</v>
      </c>
      <c r="M420" s="28">
        <v>372.5</v>
      </c>
      <c r="N420" s="20"/>
      <c r="O420" s="28">
        <f>(Tabla1[[#This Row],[COSTO FIJO ]]/30)*Tabla1[[#This Row],[TOTAL DIAS PROYECTO]]+(Tabla1[[#This Row],[COSTO TEMPORAL]])</f>
        <v>372.5</v>
      </c>
      <c r="P420" s="12"/>
      <c r="Q420" s="12">
        <f>+(Tabla1[[#This Row],[COSTO COCHE]]/30)*Tabla1[[#This Row],[TOTAL DIAS PROYECTO]]</f>
        <v>0</v>
      </c>
      <c r="R420" s="12">
        <f>+Tabla1[[#This Row],[COSTO TOTAL ALOJAMIENTO]]+Tabla1[[#This Row],[COSTO TOTAL COCHE]]</f>
        <v>372.5</v>
      </c>
      <c r="S420" s="2"/>
      <c r="T420" s="2" t="s">
        <v>44</v>
      </c>
      <c r="U420" s="14">
        <v>45636</v>
      </c>
      <c r="V420" s="43">
        <v>45659</v>
      </c>
      <c r="W420" s="26"/>
      <c r="X420" s="2"/>
      <c r="Y420" s="11"/>
      <c r="Z420" s="2" t="s">
        <v>36</v>
      </c>
      <c r="AA420" s="13" t="s">
        <v>10401</v>
      </c>
      <c r="AB420" s="13" t="s">
        <v>10402</v>
      </c>
    </row>
    <row r="421" spans="1:28">
      <c r="A421" s="2" t="s">
        <v>8867</v>
      </c>
      <c r="B421" s="2" t="s">
        <v>28</v>
      </c>
      <c r="C421" s="52" t="s">
        <v>1080</v>
      </c>
      <c r="D421" s="2" t="s">
        <v>30</v>
      </c>
      <c r="E421" s="2" t="s">
        <v>415</v>
      </c>
      <c r="F421" s="11" t="s">
        <v>1290</v>
      </c>
      <c r="G421" s="30" t="s">
        <v>1291</v>
      </c>
      <c r="H421" s="2" t="s">
        <v>1150</v>
      </c>
      <c r="I421" s="12" t="s">
        <v>800</v>
      </c>
      <c r="J421" s="41">
        <f>+Tabla1[[#This Row],[FECHA ENTRADA]]</f>
        <v>45635</v>
      </c>
      <c r="K421" s="22">
        <v>45660</v>
      </c>
      <c r="L421" s="42">
        <f>_xlfn.DAYS(Tabla1[[#This Row],[FECHA FIN ]],Tabla1[[#This Row],[FECHA INICIO]])</f>
        <v>25</v>
      </c>
      <c r="M421" s="12"/>
      <c r="N421" s="28">
        <v>145</v>
      </c>
      <c r="O421" s="28">
        <f>(Tabla1[[#This Row],[COSTO FIJO ]]/30)*Tabla1[[#This Row],[TOTAL DIAS PROYECTO]]+(Tabla1[[#This Row],[COSTO TEMPORAL]])</f>
        <v>120.83333333333333</v>
      </c>
      <c r="P421" s="12"/>
      <c r="Q421" s="12">
        <f>+(Tabla1[[#This Row],[COSTO COCHE]]/30)*Tabla1[[#This Row],[TOTAL DIAS PROYECTO]]</f>
        <v>0</v>
      </c>
      <c r="R421" s="12">
        <f>+Tabla1[[#This Row],[COSTO TOTAL ALOJAMIENTO]]+Tabla1[[#This Row],[COSTO TOTAL COCHE]]</f>
        <v>120.83333333333333</v>
      </c>
      <c r="S421" s="2"/>
      <c r="T421" s="2" t="s">
        <v>35</v>
      </c>
      <c r="U421" s="14">
        <v>45635</v>
      </c>
      <c r="V421" s="43"/>
      <c r="W421" s="26"/>
      <c r="X421" s="2">
        <v>1</v>
      </c>
      <c r="Y421" s="31" t="s">
        <v>1292</v>
      </c>
      <c r="Z421" s="2" t="s">
        <v>36</v>
      </c>
      <c r="AA421" s="13">
        <v>-0.37739</v>
      </c>
      <c r="AB421" s="13" t="s">
        <v>10372</v>
      </c>
    </row>
    <row r="422" spans="1:28" ht="15" customHeight="1">
      <c r="A422" s="2" t="s">
        <v>8761</v>
      </c>
      <c r="B422" s="2" t="s">
        <v>368</v>
      </c>
      <c r="C422" s="11" t="s">
        <v>633</v>
      </c>
      <c r="D422" s="2" t="s">
        <v>30</v>
      </c>
      <c r="E422" s="2" t="s">
        <v>31</v>
      </c>
      <c r="F422" s="11"/>
      <c r="G422" s="46"/>
      <c r="H422" s="2" t="s">
        <v>1293</v>
      </c>
      <c r="I422" s="12" t="s">
        <v>637</v>
      </c>
      <c r="J422" s="41">
        <f>+Tabla1[[#This Row],[FECHA ENTRADA]]</f>
        <v>45641</v>
      </c>
      <c r="K422" s="41">
        <v>45660</v>
      </c>
      <c r="L422" s="42">
        <f>_xlfn.DAYS(Tabla1[[#This Row],[FECHA FIN ]],Tabla1[[#This Row],[FECHA INICIO]])</f>
        <v>19</v>
      </c>
      <c r="M422" s="12"/>
      <c r="N422" s="12"/>
      <c r="O422" s="28">
        <f>(Tabla1[[#This Row],[COSTO FIJO ]]/30)*Tabla1[[#This Row],[TOTAL DIAS PROYECTO]]+(Tabla1[[#This Row],[COSTO TEMPORAL]])</f>
        <v>0</v>
      </c>
      <c r="P422" s="12"/>
      <c r="Q422" s="12">
        <f>+(Tabla1[[#This Row],[COSTO COCHE]]/30)*Tabla1[[#This Row],[TOTAL DIAS PROYECTO]]</f>
        <v>0</v>
      </c>
      <c r="R422" s="12">
        <f>+Tabla1[[#This Row],[COSTO TOTAL ALOJAMIENTO]]+Tabla1[[#This Row],[COSTO TOTAL COCHE]]</f>
        <v>0</v>
      </c>
      <c r="S422" s="2"/>
      <c r="T422" s="2" t="s">
        <v>58</v>
      </c>
      <c r="U422" s="14">
        <v>45641</v>
      </c>
      <c r="V422" s="43"/>
      <c r="W422" s="26"/>
      <c r="X422" s="2">
        <v>28</v>
      </c>
      <c r="Y422" s="11" t="s">
        <v>1294</v>
      </c>
      <c r="Z422" s="2" t="s">
        <v>36</v>
      </c>
      <c r="AA422" s="13" t="s">
        <v>10323</v>
      </c>
      <c r="AB422" s="13" t="s">
        <v>10324</v>
      </c>
    </row>
    <row r="423" spans="1:28" ht="15" customHeight="1">
      <c r="A423" s="2" t="s">
        <v>8811</v>
      </c>
      <c r="B423" s="2" t="s">
        <v>28</v>
      </c>
      <c r="C423" s="11" t="s">
        <v>861</v>
      </c>
      <c r="D423" s="56" t="s">
        <v>30</v>
      </c>
      <c r="E423" s="56" t="s">
        <v>259</v>
      </c>
      <c r="F423" s="11" t="s">
        <v>516</v>
      </c>
      <c r="G423" s="18" t="s">
        <v>517</v>
      </c>
      <c r="H423" s="56" t="s">
        <v>1295</v>
      </c>
      <c r="I423" s="57" t="s">
        <v>57</v>
      </c>
      <c r="J423" s="92">
        <f>+Tabla1[[#This Row],[FECHA ENTRADA]]</f>
        <v>45592</v>
      </c>
      <c r="K423" s="58">
        <v>45649</v>
      </c>
      <c r="L423" s="93">
        <f>_xlfn.DAYS(Tabla1[[#This Row],[FECHA FIN ]],Tabla1[[#This Row],[FECHA INICIO]])</f>
        <v>57</v>
      </c>
      <c r="M423" s="12"/>
      <c r="N423" s="24">
        <v>330</v>
      </c>
      <c r="O423" s="94">
        <f>(Tabla1[[#This Row],[COSTO FIJO ]]/30)*Tabla1[[#This Row],[TOTAL DIAS PROYECTO]]+(Tabla1[[#This Row],[COSTO TEMPORAL]])</f>
        <v>627</v>
      </c>
      <c r="P423" s="57"/>
      <c r="Q423" s="57">
        <f>+(Tabla1[[#This Row],[COSTO COCHE]]/30)*Tabla1[[#This Row],[TOTAL DIAS PROYECTO]]</f>
        <v>0</v>
      </c>
      <c r="R423" s="57">
        <f>+Tabla1[[#This Row],[COSTO TOTAL ALOJAMIENTO]]+Tabla1[[#This Row],[COSTO TOTAL COCHE]]</f>
        <v>627</v>
      </c>
      <c r="S423" s="56"/>
      <c r="T423" s="56" t="s">
        <v>35</v>
      </c>
      <c r="U423" s="60">
        <v>45592</v>
      </c>
      <c r="V423" s="95"/>
      <c r="W423" s="61"/>
      <c r="X423" s="56">
        <v>25</v>
      </c>
      <c r="Y423" s="18" t="s">
        <v>1296</v>
      </c>
      <c r="Z423" s="56" t="s">
        <v>36</v>
      </c>
      <c r="AA423" s="13">
        <v>-0.87734000000000001</v>
      </c>
      <c r="AB423" s="13" t="s">
        <v>10359</v>
      </c>
    </row>
    <row r="424" spans="1:28" ht="15" customHeight="1">
      <c r="A424" s="2" t="s">
        <v>8870</v>
      </c>
      <c r="B424" s="2" t="s">
        <v>368</v>
      </c>
      <c r="C424" s="11" t="s">
        <v>1099</v>
      </c>
      <c r="D424" s="2" t="s">
        <v>78</v>
      </c>
      <c r="E424" s="2" t="s">
        <v>1297</v>
      </c>
      <c r="F424" s="11" t="s">
        <v>1298</v>
      </c>
      <c r="G424" s="46" t="s">
        <v>1299</v>
      </c>
      <c r="H424" s="2" t="s">
        <v>1300</v>
      </c>
      <c r="I424" s="29" t="s">
        <v>1301</v>
      </c>
      <c r="J424" s="41">
        <f>+Tabla1[[#This Row],[FECHA ENTRADA]]</f>
        <v>45633</v>
      </c>
      <c r="K424" s="41">
        <v>45662</v>
      </c>
      <c r="L424" s="42">
        <f>_xlfn.DAYS(Tabla1[[#This Row],[FECHA FIN ]],Tabla1[[#This Row],[FECHA INICIO]])</f>
        <v>29</v>
      </c>
      <c r="M424" s="12"/>
      <c r="N424" s="12"/>
      <c r="O424" s="28">
        <f>(Tabla1[[#This Row],[COSTO FIJO ]]/30)*Tabla1[[#This Row],[TOTAL DIAS PROYECTO]]+(Tabla1[[#This Row],[COSTO TEMPORAL]])</f>
        <v>0</v>
      </c>
      <c r="P424" s="12">
        <v>80</v>
      </c>
      <c r="Q424" s="12">
        <f>+(Tabla1[[#This Row],[COSTO COCHE]]/30)*Tabla1[[#This Row],[TOTAL DIAS PROYECTO]]</f>
        <v>77.333333333333329</v>
      </c>
      <c r="R424" s="12">
        <f>+Tabla1[[#This Row],[COSTO TOTAL ALOJAMIENTO]]+Tabla1[[#This Row],[COSTO TOTAL COCHE]]</f>
        <v>77.333333333333329</v>
      </c>
      <c r="S424" s="2" t="s">
        <v>84</v>
      </c>
      <c r="T424" s="2" t="s">
        <v>44</v>
      </c>
      <c r="U424" s="14">
        <v>45633</v>
      </c>
      <c r="V424" s="43">
        <v>45662</v>
      </c>
      <c r="W424" s="26"/>
      <c r="X424" s="2"/>
      <c r="Y424" s="11"/>
      <c r="Z424" s="2" t="s">
        <v>36</v>
      </c>
      <c r="AA424" s="13" t="s">
        <v>10414</v>
      </c>
      <c r="AB424" s="13">
        <v>5094783</v>
      </c>
    </row>
    <row r="425" spans="1:28" ht="15" customHeight="1">
      <c r="A425" s="2" t="s">
        <v>8924</v>
      </c>
      <c r="B425" s="2" t="s">
        <v>368</v>
      </c>
      <c r="C425" s="11" t="s">
        <v>1302</v>
      </c>
      <c r="D425" s="2" t="s">
        <v>78</v>
      </c>
      <c r="E425" s="2" t="s">
        <v>1297</v>
      </c>
      <c r="F425" s="11" t="s">
        <v>1298</v>
      </c>
      <c r="G425" s="46" t="s">
        <v>1299</v>
      </c>
      <c r="H425" s="2" t="s">
        <v>1300</v>
      </c>
      <c r="I425" s="29" t="s">
        <v>1301</v>
      </c>
      <c r="J425" s="41">
        <f>+Tabla1[[#This Row],[FECHA ENTRADA]]</f>
        <v>45633</v>
      </c>
      <c r="K425" s="41">
        <v>45662</v>
      </c>
      <c r="L425" s="42">
        <f>_xlfn.DAYS(Tabla1[[#This Row],[FECHA FIN ]],Tabla1[[#This Row],[FECHA INICIO]])</f>
        <v>29</v>
      </c>
      <c r="M425" s="12"/>
      <c r="N425" s="12"/>
      <c r="O425" s="28">
        <f>(Tabla1[[#This Row],[COSTO FIJO ]]/30)*Tabla1[[#This Row],[TOTAL DIAS PROYECTO]]+(Tabla1[[#This Row],[COSTO TEMPORAL]])</f>
        <v>0</v>
      </c>
      <c r="P425" s="12">
        <v>80</v>
      </c>
      <c r="Q425" s="12">
        <f>+(Tabla1[[#This Row],[COSTO COCHE]]/30)*Tabla1[[#This Row],[TOTAL DIAS PROYECTO]]</f>
        <v>77.333333333333329</v>
      </c>
      <c r="R425" s="12">
        <f>+Tabla1[[#This Row],[COSTO TOTAL ALOJAMIENTO]]+Tabla1[[#This Row],[COSTO TOTAL COCHE]]</f>
        <v>77.333333333333329</v>
      </c>
      <c r="S425" s="2" t="s">
        <v>84</v>
      </c>
      <c r="T425" s="2" t="s">
        <v>44</v>
      </c>
      <c r="U425" s="14">
        <v>45633</v>
      </c>
      <c r="V425" s="43">
        <v>45662</v>
      </c>
      <c r="W425" s="26"/>
      <c r="X425" s="2"/>
      <c r="Y425" s="11"/>
      <c r="Z425" s="2" t="s">
        <v>36</v>
      </c>
      <c r="AA425" s="13" t="s">
        <v>10414</v>
      </c>
      <c r="AB425" s="13">
        <v>5094783</v>
      </c>
    </row>
    <row r="426" spans="1:28" ht="15" customHeight="1">
      <c r="A426" s="2" t="s">
        <v>8642</v>
      </c>
      <c r="B426" s="2" t="s">
        <v>368</v>
      </c>
      <c r="C426" s="11" t="s">
        <v>1303</v>
      </c>
      <c r="D426" s="2" t="s">
        <v>78</v>
      </c>
      <c r="E426" s="2" t="s">
        <v>1297</v>
      </c>
      <c r="F426" s="11" t="s">
        <v>1298</v>
      </c>
      <c r="G426" s="46" t="s">
        <v>1299</v>
      </c>
      <c r="H426" s="2" t="s">
        <v>1300</v>
      </c>
      <c r="I426" s="29" t="s">
        <v>1301</v>
      </c>
      <c r="J426" s="41">
        <f>+Tabla1[[#This Row],[FECHA ENTRADA]]</f>
        <v>45633</v>
      </c>
      <c r="K426" s="41">
        <v>45662</v>
      </c>
      <c r="L426" s="42">
        <f>_xlfn.DAYS(Tabla1[[#This Row],[FECHA FIN ]],Tabla1[[#This Row],[FECHA INICIO]])</f>
        <v>29</v>
      </c>
      <c r="M426" s="12"/>
      <c r="N426" s="12"/>
      <c r="O426" s="28">
        <f>(Tabla1[[#This Row],[COSTO FIJO ]]/30)*Tabla1[[#This Row],[TOTAL DIAS PROYECTO]]+(Tabla1[[#This Row],[COSTO TEMPORAL]])</f>
        <v>0</v>
      </c>
      <c r="P426" s="12">
        <v>80</v>
      </c>
      <c r="Q426" s="12">
        <f>+(Tabla1[[#This Row],[COSTO COCHE]]/30)*Tabla1[[#This Row],[TOTAL DIAS PROYECTO]]</f>
        <v>77.333333333333329</v>
      </c>
      <c r="R426" s="12">
        <f>+Tabla1[[#This Row],[COSTO TOTAL ALOJAMIENTO]]+Tabla1[[#This Row],[COSTO TOTAL COCHE]]</f>
        <v>77.333333333333329</v>
      </c>
      <c r="S426" s="2" t="s">
        <v>84</v>
      </c>
      <c r="T426" s="2" t="s">
        <v>44</v>
      </c>
      <c r="U426" s="14">
        <v>45633</v>
      </c>
      <c r="V426" s="43">
        <v>45662</v>
      </c>
      <c r="W426" s="26"/>
      <c r="X426" s="2"/>
      <c r="Y426" s="11"/>
      <c r="Z426" s="2" t="s">
        <v>36</v>
      </c>
      <c r="AA426" s="13" t="s">
        <v>10414</v>
      </c>
      <c r="AB426" s="13">
        <v>5094783</v>
      </c>
    </row>
    <row r="427" spans="1:28">
      <c r="A427" s="2" t="s">
        <v>8925</v>
      </c>
      <c r="B427" s="2" t="s">
        <v>368</v>
      </c>
      <c r="C427" s="11" t="s">
        <v>1304</v>
      </c>
      <c r="D427" s="2" t="s">
        <v>30</v>
      </c>
      <c r="E427" s="2" t="s">
        <v>31</v>
      </c>
      <c r="F427" s="11" t="s">
        <v>1305</v>
      </c>
      <c r="G427" s="11" t="s">
        <v>1306</v>
      </c>
      <c r="H427" s="2" t="s">
        <v>1307</v>
      </c>
      <c r="I427" s="12" t="s">
        <v>1308</v>
      </c>
      <c r="J427" s="8">
        <f>+Tabla1[[#This Row],[FECHA ENTRADA]]</f>
        <v>45504</v>
      </c>
      <c r="K427" s="22">
        <v>45567</v>
      </c>
      <c r="L427" s="13">
        <f>_xlfn.DAYS(Tabla1[[#This Row],[FECHA FIN ]],Tabla1[[#This Row],[FECHA INICIO]])</f>
        <v>63</v>
      </c>
      <c r="M427" s="12"/>
      <c r="N427" s="12">
        <v>400</v>
      </c>
      <c r="O427" s="12">
        <f>(Tabla1[[#This Row],[COSTO FIJO ]]/30)*Tabla1[[#This Row],[TOTAL DIAS PROYECTO]]+(Tabla1[[#This Row],[COSTO TEMPORAL]])</f>
        <v>840</v>
      </c>
      <c r="P427" s="12"/>
      <c r="Q427" s="12">
        <f>+(Tabla1[[#This Row],[COSTO COCHE]]/30)*Tabla1[[#This Row],[TOTAL DIAS PROYECTO]]</f>
        <v>0</v>
      </c>
      <c r="R427" s="12">
        <f>+Tabla1[[#This Row],[COSTO TOTAL ALOJAMIENTO]]+Tabla1[[#This Row],[COSTO TOTAL COCHE]]</f>
        <v>840</v>
      </c>
      <c r="S427" s="2"/>
      <c r="T427" s="2" t="s">
        <v>35</v>
      </c>
      <c r="U427" s="14">
        <v>45504</v>
      </c>
      <c r="V427" s="14"/>
      <c r="W427" s="26">
        <v>200</v>
      </c>
      <c r="X427" s="2">
        <v>20</v>
      </c>
      <c r="Y427" s="11" t="s">
        <v>1309</v>
      </c>
      <c r="Z427" s="2" t="s">
        <v>36</v>
      </c>
      <c r="AA427" s="13" t="s">
        <v>10323</v>
      </c>
      <c r="AB427" s="13" t="s">
        <v>10324</v>
      </c>
    </row>
    <row r="428" spans="1:28">
      <c r="A428" s="2" t="s">
        <v>8926</v>
      </c>
      <c r="B428" s="2" t="s">
        <v>978</v>
      </c>
      <c r="C428" s="87" t="s">
        <v>1310</v>
      </c>
      <c r="D428" s="2" t="s">
        <v>30</v>
      </c>
      <c r="E428" s="2" t="s">
        <v>826</v>
      </c>
      <c r="F428" s="11" t="s">
        <v>827</v>
      </c>
      <c r="G428" s="11" t="s">
        <v>828</v>
      </c>
      <c r="H428" s="2" t="s">
        <v>1311</v>
      </c>
      <c r="I428" s="12" t="s">
        <v>1217</v>
      </c>
      <c r="J428" s="41">
        <f>+Tabla1[[#This Row],[FECHA ENTRADA]]</f>
        <v>45664</v>
      </c>
      <c r="K428" s="41">
        <v>45664</v>
      </c>
      <c r="L428" s="42">
        <f>_xlfn.DAYS(Tabla1[[#This Row],[FECHA FIN ]],Tabla1[[#This Row],[FECHA INICIO]])</f>
        <v>0</v>
      </c>
      <c r="M428" s="12">
        <v>300</v>
      </c>
      <c r="N428" s="12"/>
      <c r="O428" s="28">
        <f>(Tabla1[[#This Row],[COSTO FIJO ]]/30)*Tabla1[[#This Row],[TOTAL DIAS PROYECTO]]+(Tabla1[[#This Row],[COSTO TEMPORAL]])</f>
        <v>300</v>
      </c>
      <c r="P428" s="12"/>
      <c r="Q428" s="12">
        <f>+(Tabla1[[#This Row],[COSTO COCHE]]/30)*Tabla1[[#This Row],[TOTAL DIAS PROYECTO]]</f>
        <v>0</v>
      </c>
      <c r="R428" s="12">
        <f>+Tabla1[[#This Row],[COSTO TOTAL ALOJAMIENTO]]+Tabla1[[#This Row],[COSTO TOTAL COCHE]]</f>
        <v>300</v>
      </c>
      <c r="S428" s="2"/>
      <c r="T428" s="2" t="s">
        <v>35</v>
      </c>
      <c r="U428" s="14">
        <v>45664</v>
      </c>
      <c r="V428" s="43"/>
      <c r="W428" s="26"/>
      <c r="X428" s="2">
        <v>1</v>
      </c>
      <c r="Y428" s="11" t="s">
        <v>455</v>
      </c>
      <c r="Z428" s="2" t="s">
        <v>36</v>
      </c>
      <c r="AA428" s="13" t="s">
        <v>10399</v>
      </c>
      <c r="AB428" s="13" t="s">
        <v>10400</v>
      </c>
    </row>
    <row r="429" spans="1:28" ht="15" customHeight="1">
      <c r="A429" s="2" t="s">
        <v>8846</v>
      </c>
      <c r="B429" s="2" t="s">
        <v>368</v>
      </c>
      <c r="C429" s="11" t="s">
        <v>1000</v>
      </c>
      <c r="D429" s="2" t="s">
        <v>30</v>
      </c>
      <c r="E429" s="2" t="s">
        <v>259</v>
      </c>
      <c r="F429" s="11" t="s">
        <v>260</v>
      </c>
      <c r="G429" s="11" t="s">
        <v>261</v>
      </c>
      <c r="H429" s="2" t="s">
        <v>1260</v>
      </c>
      <c r="I429" s="12" t="s">
        <v>152</v>
      </c>
      <c r="J429" s="41">
        <f>+Tabla1[[#This Row],[FECHA ENTRADA]]</f>
        <v>45649</v>
      </c>
      <c r="K429" s="8">
        <v>45664</v>
      </c>
      <c r="L429" s="42">
        <f>_xlfn.DAYS(Tabla1[[#This Row],[FECHA FIN ]],Tabla1[[#This Row],[FECHA INICIO]])</f>
        <v>15</v>
      </c>
      <c r="M429" s="12"/>
      <c r="N429" s="12"/>
      <c r="O429" s="28">
        <f>(Tabla1[[#This Row],[COSTO FIJO ]]/30)*Tabla1[[#This Row],[TOTAL DIAS PROYECTO]]+(Tabla1[[#This Row],[COSTO TEMPORAL]])</f>
        <v>0</v>
      </c>
      <c r="P429" s="12"/>
      <c r="Q429" s="12">
        <f>+(Tabla1[[#This Row],[COSTO COCHE]]/30)*Tabla1[[#This Row],[TOTAL DIAS PROYECTO]]</f>
        <v>0</v>
      </c>
      <c r="R429" s="12">
        <f>+Tabla1[[#This Row],[COSTO TOTAL ALOJAMIENTO]]+Tabla1[[#This Row],[COSTO TOTAL COCHE]]</f>
        <v>0</v>
      </c>
      <c r="S429" s="2"/>
      <c r="T429" s="2" t="s">
        <v>44</v>
      </c>
      <c r="U429" s="14">
        <v>45649</v>
      </c>
      <c r="V429" s="43">
        <v>45663</v>
      </c>
      <c r="W429" s="26"/>
      <c r="X429" s="2"/>
      <c r="Y429" s="11"/>
      <c r="Z429" s="2" t="s">
        <v>36</v>
      </c>
      <c r="AA429" s="13">
        <v>-0.87734000000000001</v>
      </c>
      <c r="AB429" s="13" t="s">
        <v>10359</v>
      </c>
    </row>
    <row r="430" spans="1:28" ht="15" customHeight="1">
      <c r="A430" s="2" t="s">
        <v>8783</v>
      </c>
      <c r="B430" s="2" t="s">
        <v>368</v>
      </c>
      <c r="C430" s="11" t="s">
        <v>748</v>
      </c>
      <c r="D430" s="2" t="s">
        <v>30</v>
      </c>
      <c r="E430" s="2" t="s">
        <v>855</v>
      </c>
      <c r="F430" s="11" t="s">
        <v>1312</v>
      </c>
      <c r="G430" s="46" t="s">
        <v>1313</v>
      </c>
      <c r="H430" s="2" t="s">
        <v>1287</v>
      </c>
      <c r="I430" s="12" t="s">
        <v>1288</v>
      </c>
      <c r="J430" s="41">
        <f>+Tabla1[[#This Row],[FECHA ENTRADA]]</f>
        <v>45659</v>
      </c>
      <c r="K430" s="8">
        <v>45664</v>
      </c>
      <c r="L430" s="42">
        <f>_xlfn.DAYS(Tabla1[[#This Row],[FECHA FIN ]],Tabla1[[#This Row],[FECHA INICIO]])</f>
        <v>5</v>
      </c>
      <c r="M430" s="12"/>
      <c r="N430" s="12"/>
      <c r="O430" s="28">
        <f>(Tabla1[[#This Row],[COSTO FIJO ]]/30)*Tabla1[[#This Row],[TOTAL DIAS PROYECTO]]+(Tabla1[[#This Row],[COSTO TEMPORAL]])</f>
        <v>0</v>
      </c>
      <c r="P430" s="12"/>
      <c r="Q430" s="12">
        <f>+(Tabla1[[#This Row],[COSTO COCHE]]/30)*Tabla1[[#This Row],[TOTAL DIAS PROYECTO]]</f>
        <v>0</v>
      </c>
      <c r="R430" s="12">
        <f>+Tabla1[[#This Row],[COSTO TOTAL ALOJAMIENTO]]+Tabla1[[#This Row],[COSTO TOTAL COCHE]]</f>
        <v>0</v>
      </c>
      <c r="S430" s="2"/>
      <c r="T430" s="2" t="s">
        <v>44</v>
      </c>
      <c r="U430" s="14">
        <v>45659</v>
      </c>
      <c r="V430" s="43">
        <v>45664</v>
      </c>
      <c r="W430" s="26"/>
      <c r="X430" s="2"/>
      <c r="Y430" s="11"/>
      <c r="Z430" s="2" t="s">
        <v>36</v>
      </c>
      <c r="AA430" s="13" t="s">
        <v>10401</v>
      </c>
      <c r="AB430" s="13" t="s">
        <v>10402</v>
      </c>
    </row>
    <row r="431" spans="1:28" ht="15" customHeight="1">
      <c r="A431" s="2" t="s">
        <v>8923</v>
      </c>
      <c r="B431" s="2" t="s">
        <v>368</v>
      </c>
      <c r="C431" s="18" t="s">
        <v>1289</v>
      </c>
      <c r="D431" s="2" t="s">
        <v>30</v>
      </c>
      <c r="E431" s="2" t="s">
        <v>855</v>
      </c>
      <c r="F431" s="11" t="s">
        <v>1312</v>
      </c>
      <c r="G431" s="46" t="s">
        <v>1313</v>
      </c>
      <c r="H431" s="2" t="s">
        <v>1287</v>
      </c>
      <c r="I431" s="12" t="s">
        <v>1288</v>
      </c>
      <c r="J431" s="41">
        <f>+Tabla1[[#This Row],[FECHA ENTRADA]]</f>
        <v>45659</v>
      </c>
      <c r="K431" s="8">
        <v>45664</v>
      </c>
      <c r="L431" s="42">
        <f>_xlfn.DAYS(Tabla1[[#This Row],[FECHA FIN ]],Tabla1[[#This Row],[FECHA INICIO]])</f>
        <v>5</v>
      </c>
      <c r="M431" s="28"/>
      <c r="N431" s="20"/>
      <c r="O431" s="28">
        <f>(Tabla1[[#This Row],[COSTO FIJO ]]/30)*Tabla1[[#This Row],[TOTAL DIAS PROYECTO]]+(Tabla1[[#This Row],[COSTO TEMPORAL]])</f>
        <v>0</v>
      </c>
      <c r="P431" s="12"/>
      <c r="Q431" s="12">
        <f>+(Tabla1[[#This Row],[COSTO COCHE]]/30)*Tabla1[[#This Row],[TOTAL DIAS PROYECTO]]</f>
        <v>0</v>
      </c>
      <c r="R431" s="12">
        <f>+Tabla1[[#This Row],[COSTO TOTAL ALOJAMIENTO]]+Tabla1[[#This Row],[COSTO TOTAL COCHE]]</f>
        <v>0</v>
      </c>
      <c r="S431" s="2"/>
      <c r="T431" s="2" t="s">
        <v>44</v>
      </c>
      <c r="U431" s="14">
        <v>45659</v>
      </c>
      <c r="V431" s="43">
        <v>45664</v>
      </c>
      <c r="W431" s="26"/>
      <c r="X431" s="2"/>
      <c r="Y431" s="11"/>
      <c r="Z431" s="2" t="s">
        <v>36</v>
      </c>
      <c r="AA431" s="13" t="s">
        <v>10401</v>
      </c>
      <c r="AB431" s="13" t="s">
        <v>10402</v>
      </c>
    </row>
    <row r="432" spans="1:28" ht="15" customHeight="1">
      <c r="A432" s="2" t="s">
        <v>8927</v>
      </c>
      <c r="B432" s="2" t="s">
        <v>368</v>
      </c>
      <c r="C432" s="52" t="s">
        <v>1314</v>
      </c>
      <c r="D432" s="2" t="s">
        <v>30</v>
      </c>
      <c r="E432" s="2" t="s">
        <v>31</v>
      </c>
      <c r="F432" s="11" t="s">
        <v>530</v>
      </c>
      <c r="G432" s="11" t="s">
        <v>531</v>
      </c>
      <c r="H432" s="2" t="s">
        <v>1315</v>
      </c>
      <c r="I432" s="29" t="s">
        <v>1316</v>
      </c>
      <c r="J432" s="41">
        <f>+Tabla1[[#This Row],[FECHA ENTRADA]]</f>
        <v>45627</v>
      </c>
      <c r="K432" s="8">
        <v>45664</v>
      </c>
      <c r="L432" s="42">
        <f>_xlfn.DAYS(Tabla1[[#This Row],[FECHA FIN ]],Tabla1[[#This Row],[FECHA INICIO]])</f>
        <v>37</v>
      </c>
      <c r="M432" s="12"/>
      <c r="N432" s="24">
        <v>150</v>
      </c>
      <c r="O432" s="28">
        <f>(Tabla1[[#This Row],[COSTO FIJO ]]/30)*Tabla1[[#This Row],[TOTAL DIAS PROYECTO]]+(Tabla1[[#This Row],[COSTO TEMPORAL]])</f>
        <v>185</v>
      </c>
      <c r="P432" s="12"/>
      <c r="Q432" s="12">
        <f>+(Tabla1[[#This Row],[COSTO COCHE]]/30)*Tabla1[[#This Row],[TOTAL DIAS PROYECTO]]</f>
        <v>0</v>
      </c>
      <c r="R432" s="12">
        <f>+Tabla1[[#This Row],[COSTO TOTAL ALOJAMIENTO]]+Tabla1[[#This Row],[COSTO TOTAL COCHE]]</f>
        <v>185</v>
      </c>
      <c r="S432" s="2"/>
      <c r="T432" s="2" t="s">
        <v>35</v>
      </c>
      <c r="U432" s="14">
        <v>45627</v>
      </c>
      <c r="V432" s="43"/>
      <c r="W432" s="26"/>
      <c r="X432" s="2">
        <v>1</v>
      </c>
      <c r="Y432" s="11" t="s">
        <v>1317</v>
      </c>
      <c r="Z432" s="2" t="s">
        <v>36</v>
      </c>
      <c r="AA432" s="13" t="s">
        <v>10323</v>
      </c>
      <c r="AB432" s="13" t="s">
        <v>10324</v>
      </c>
    </row>
    <row r="433" spans="1:28" ht="15" customHeight="1">
      <c r="A433" s="2" t="s">
        <v>8928</v>
      </c>
      <c r="B433" s="2" t="s">
        <v>978</v>
      </c>
      <c r="C433" s="52" t="s">
        <v>1318</v>
      </c>
      <c r="D433" s="2" t="s">
        <v>30</v>
      </c>
      <c r="E433" s="2" t="s">
        <v>55</v>
      </c>
      <c r="F433" s="11" t="s">
        <v>1319</v>
      </c>
      <c r="G433" s="46" t="s">
        <v>1320</v>
      </c>
      <c r="H433" s="2" t="s">
        <v>1321</v>
      </c>
      <c r="I433" s="30" t="s">
        <v>1322</v>
      </c>
      <c r="J433" s="41">
        <f>+Tabla1[[#This Row],[FECHA ENTRADA]]</f>
        <v>45644</v>
      </c>
      <c r="K433" s="41">
        <v>45664</v>
      </c>
      <c r="L433" s="42">
        <f>_xlfn.DAYS(Tabla1[[#This Row],[FECHA FIN ]],Tabla1[[#This Row],[FECHA INICIO]])</f>
        <v>20</v>
      </c>
      <c r="M433" s="28"/>
      <c r="N433" s="20"/>
      <c r="O433" s="28">
        <f>(Tabla1[[#This Row],[COSTO FIJO ]]/30)*Tabla1[[#This Row],[TOTAL DIAS PROYECTO]]+(Tabla1[[#This Row],[COSTO TEMPORAL]])</f>
        <v>0</v>
      </c>
      <c r="P433" s="12">
        <f>1600/17</f>
        <v>94.117647058823536</v>
      </c>
      <c r="Q433" s="12">
        <f>+(Tabla1[[#This Row],[COSTO COCHE]]/30)*Tabla1[[#This Row],[TOTAL DIAS PROYECTO]]</f>
        <v>62.745098039215691</v>
      </c>
      <c r="R433" s="12">
        <f>+Tabla1[[#This Row],[COSTO TOTAL ALOJAMIENTO]]+Tabla1[[#This Row],[COSTO TOTAL COCHE]]</f>
        <v>62.745098039215691</v>
      </c>
      <c r="S433" s="2"/>
      <c r="T433" s="2" t="s">
        <v>44</v>
      </c>
      <c r="U433" s="14">
        <v>45644</v>
      </c>
      <c r="V433" s="43">
        <v>45675</v>
      </c>
      <c r="W433" s="26"/>
      <c r="X433" s="2"/>
      <c r="Y433" s="11"/>
      <c r="Z433" s="2" t="s">
        <v>36</v>
      </c>
      <c r="AA433" s="13" t="s">
        <v>10327</v>
      </c>
      <c r="AB433" s="13" t="s">
        <v>10328</v>
      </c>
    </row>
    <row r="434" spans="1:28" ht="15" customHeight="1">
      <c r="A434" s="2" t="s">
        <v>8684</v>
      </c>
      <c r="B434" s="2" t="s">
        <v>978</v>
      </c>
      <c r="C434" s="11" t="s">
        <v>282</v>
      </c>
      <c r="D434" s="2" t="s">
        <v>30</v>
      </c>
      <c r="E434" s="2" t="s">
        <v>55</v>
      </c>
      <c r="F434" s="11" t="s">
        <v>1319</v>
      </c>
      <c r="G434" s="46" t="s">
        <v>1320</v>
      </c>
      <c r="H434" s="2" t="s">
        <v>1321</v>
      </c>
      <c r="I434" s="30" t="s">
        <v>1322</v>
      </c>
      <c r="J434" s="41">
        <f>+Tabla1[[#This Row],[FECHA ENTRADA]]</f>
        <v>45644</v>
      </c>
      <c r="K434" s="41">
        <v>45664</v>
      </c>
      <c r="L434" s="42">
        <f>_xlfn.DAYS(Tabla1[[#This Row],[FECHA FIN ]],Tabla1[[#This Row],[FECHA INICIO]])</f>
        <v>20</v>
      </c>
      <c r="M434" s="12"/>
      <c r="N434" s="12">
        <v>600</v>
      </c>
      <c r="O434" s="28">
        <f>(Tabla1[[#This Row],[COSTO FIJO ]]/30)*Tabla1[[#This Row],[TOTAL DIAS PROYECTO]]+(Tabla1[[#This Row],[COSTO TEMPORAL]])</f>
        <v>400</v>
      </c>
      <c r="P434" s="12"/>
      <c r="Q434" s="12">
        <f>+(Tabla1[[#This Row],[COSTO COCHE]]/30)*Tabla1[[#This Row],[TOTAL DIAS PROYECTO]]</f>
        <v>0</v>
      </c>
      <c r="R434" s="12">
        <f>+Tabla1[[#This Row],[COSTO TOTAL ALOJAMIENTO]]+Tabla1[[#This Row],[COSTO TOTAL COCHE]]</f>
        <v>400</v>
      </c>
      <c r="S434" s="2"/>
      <c r="T434" s="2" t="s">
        <v>44</v>
      </c>
      <c r="U434" s="14">
        <v>45644</v>
      </c>
      <c r="V434" s="43">
        <v>45675</v>
      </c>
      <c r="W434" s="26"/>
      <c r="X434" s="2"/>
      <c r="Y434" s="11"/>
      <c r="Z434" s="2" t="s">
        <v>36</v>
      </c>
      <c r="AA434" s="13" t="s">
        <v>10327</v>
      </c>
      <c r="AB434" s="13" t="s">
        <v>10328</v>
      </c>
    </row>
    <row r="435" spans="1:28" ht="15" customHeight="1">
      <c r="A435" s="2" t="s">
        <v>8929</v>
      </c>
      <c r="B435" s="2" t="s">
        <v>978</v>
      </c>
      <c r="C435" s="11" t="s">
        <v>1323</v>
      </c>
      <c r="D435" s="2" t="s">
        <v>30</v>
      </c>
      <c r="E435" s="2" t="s">
        <v>55</v>
      </c>
      <c r="F435" s="11" t="s">
        <v>1319</v>
      </c>
      <c r="G435" s="46" t="s">
        <v>1320</v>
      </c>
      <c r="H435" s="2" t="s">
        <v>1321</v>
      </c>
      <c r="I435" s="30" t="s">
        <v>1322</v>
      </c>
      <c r="J435" s="41">
        <f>+Tabla1[[#This Row],[FECHA ENTRADA]]</f>
        <v>45644</v>
      </c>
      <c r="K435" s="41">
        <v>45664</v>
      </c>
      <c r="L435" s="42">
        <f>_xlfn.DAYS(Tabla1[[#This Row],[FECHA FIN ]],Tabla1[[#This Row],[FECHA INICIO]])</f>
        <v>20</v>
      </c>
      <c r="M435" s="12">
        <v>600</v>
      </c>
      <c r="N435" s="28"/>
      <c r="O435" s="28">
        <f>(Tabla1[[#This Row],[COSTO FIJO ]]/30)*Tabla1[[#This Row],[TOTAL DIAS PROYECTO]]+(Tabla1[[#This Row],[COSTO TEMPORAL]])</f>
        <v>600</v>
      </c>
      <c r="P435" s="12"/>
      <c r="Q435" s="12">
        <f>+(Tabla1[[#This Row],[COSTO COCHE]]/30)*Tabla1[[#This Row],[TOTAL DIAS PROYECTO]]</f>
        <v>0</v>
      </c>
      <c r="R435" s="12">
        <f>+Tabla1[[#This Row],[COSTO TOTAL ALOJAMIENTO]]+Tabla1[[#This Row],[COSTO TOTAL COCHE]]</f>
        <v>600</v>
      </c>
      <c r="S435" s="2"/>
      <c r="T435" s="2" t="s">
        <v>44</v>
      </c>
      <c r="U435" s="14">
        <v>45644</v>
      </c>
      <c r="V435" s="43">
        <v>45675</v>
      </c>
      <c r="W435" s="26"/>
      <c r="X435" s="2"/>
      <c r="Y435" s="11"/>
      <c r="Z435" s="2" t="s">
        <v>36</v>
      </c>
      <c r="AA435" s="13" t="s">
        <v>10327</v>
      </c>
      <c r="AB435" s="13" t="s">
        <v>10328</v>
      </c>
    </row>
    <row r="436" spans="1:28" ht="15" customHeight="1">
      <c r="A436" s="2" t="s">
        <v>8930</v>
      </c>
      <c r="B436" s="2" t="s">
        <v>28</v>
      </c>
      <c r="C436" s="11" t="s">
        <v>1324</v>
      </c>
      <c r="D436" s="2" t="s">
        <v>30</v>
      </c>
      <c r="E436" s="2" t="s">
        <v>31</v>
      </c>
      <c r="F436" s="11" t="s">
        <v>1325</v>
      </c>
      <c r="G436" s="49" t="s">
        <v>1326</v>
      </c>
      <c r="H436" s="2" t="s">
        <v>1327</v>
      </c>
      <c r="I436" s="12" t="s">
        <v>1328</v>
      </c>
      <c r="J436" s="41">
        <f>+Tabla1[[#This Row],[FECHA ENTRADA]]</f>
        <v>45588</v>
      </c>
      <c r="K436" s="8">
        <v>45664</v>
      </c>
      <c r="L436" s="42">
        <f>_xlfn.DAYS(Tabla1[[#This Row],[FECHA FIN ]],Tabla1[[#This Row],[FECHA INICIO]])</f>
        <v>76</v>
      </c>
      <c r="M436" s="12"/>
      <c r="N436" s="12"/>
      <c r="O436" s="28">
        <f>(Tabla1[[#This Row],[COSTO FIJO ]]/30)*Tabla1[[#This Row],[TOTAL DIAS PROYECTO]]+(Tabla1[[#This Row],[COSTO TEMPORAL]])</f>
        <v>0</v>
      </c>
      <c r="P436" s="12"/>
      <c r="Q436" s="12">
        <f>+(Tabla1[[#This Row],[COSTO COCHE]]/30)*Tabla1[[#This Row],[TOTAL DIAS PROYECTO]]</f>
        <v>0</v>
      </c>
      <c r="R436" s="12">
        <f>+Tabla1[[#This Row],[COSTO TOTAL ALOJAMIENTO]]+Tabla1[[#This Row],[COSTO TOTAL COCHE]]</f>
        <v>0</v>
      </c>
      <c r="S436" s="2"/>
      <c r="T436" s="2" t="s">
        <v>613</v>
      </c>
      <c r="U436" s="14">
        <v>45588</v>
      </c>
      <c r="V436" s="43"/>
      <c r="W436" s="26">
        <v>175</v>
      </c>
      <c r="X436" s="2">
        <v>19</v>
      </c>
      <c r="Y436" s="11" t="s">
        <v>1329</v>
      </c>
      <c r="Z436" s="2" t="s">
        <v>36</v>
      </c>
      <c r="AA436" s="13" t="s">
        <v>10323</v>
      </c>
      <c r="AB436" s="13" t="s">
        <v>10324</v>
      </c>
    </row>
    <row r="437" spans="1:28" ht="15" customHeight="1">
      <c r="A437" s="2" t="s">
        <v>8931</v>
      </c>
      <c r="B437" s="2" t="s">
        <v>28</v>
      </c>
      <c r="C437" s="18" t="s">
        <v>1330</v>
      </c>
      <c r="D437" s="2" t="s">
        <v>749</v>
      </c>
      <c r="E437" s="2" t="s">
        <v>288</v>
      </c>
      <c r="F437" s="11" t="s">
        <v>928</v>
      </c>
      <c r="G437" s="30" t="s">
        <v>1031</v>
      </c>
      <c r="H437" s="2" t="s">
        <v>1032</v>
      </c>
      <c r="I437" s="29" t="s">
        <v>753</v>
      </c>
      <c r="J437" s="8">
        <f>+Tabla1[[#This Row],[FECHA ENTRADA]]</f>
        <v>45487</v>
      </c>
      <c r="K437" s="22">
        <v>45821</v>
      </c>
      <c r="L437" s="13">
        <f>_xlfn.DAYS(Tabla1[[#This Row],[FECHA FIN ]],Tabla1[[#This Row],[FECHA INICIO]])</f>
        <v>334</v>
      </c>
      <c r="M437" s="12"/>
      <c r="N437" s="12">
        <v>472.33</v>
      </c>
      <c r="O437" s="12">
        <f>(Tabla1[[#This Row],[COSTO FIJO ]]/30)*Tabla1[[#This Row],[TOTAL DIAS PROYECTO]]+(Tabla1[[#This Row],[COSTO TEMPORAL]])</f>
        <v>5258.6073333333334</v>
      </c>
      <c r="P437" s="12">
        <f>8180.25/45</f>
        <v>181.78333333333333</v>
      </c>
      <c r="Q437" s="12">
        <f>+(Tabla1[[#This Row],[COSTO COCHE]]/30)*Tabla1[[#This Row],[TOTAL DIAS PROYECTO]]</f>
        <v>2023.8544444444442</v>
      </c>
      <c r="R437" s="12">
        <f>+Tabla1[[#This Row],[COSTO TOTAL ALOJAMIENTO]]+Tabla1[[#This Row],[COSTO TOTAL COCHE]]</f>
        <v>7282.4617777777776</v>
      </c>
      <c r="S437" s="2"/>
      <c r="T437" s="2" t="s">
        <v>44</v>
      </c>
      <c r="U437" s="14">
        <v>45487</v>
      </c>
      <c r="V437" s="14">
        <v>45634</v>
      </c>
      <c r="W437" s="26"/>
      <c r="X437" s="2">
        <v>1</v>
      </c>
      <c r="Y437" s="11"/>
      <c r="Z437" s="2" t="s">
        <v>36</v>
      </c>
      <c r="AA437" s="13" t="s">
        <v>10362</v>
      </c>
      <c r="AB437" s="13" t="s">
        <v>10363</v>
      </c>
    </row>
    <row r="438" spans="1:28" ht="15" customHeight="1">
      <c r="A438" s="2" t="s">
        <v>8932</v>
      </c>
      <c r="B438" s="2" t="s">
        <v>368</v>
      </c>
      <c r="C438" s="11" t="s">
        <v>1331</v>
      </c>
      <c r="D438" s="2" t="s">
        <v>1332</v>
      </c>
      <c r="E438" s="2" t="s">
        <v>1333</v>
      </c>
      <c r="F438" s="11" t="s">
        <v>1334</v>
      </c>
      <c r="G438" s="46" t="s">
        <v>1335</v>
      </c>
      <c r="H438" s="2" t="s">
        <v>1336</v>
      </c>
      <c r="I438" s="12" t="s">
        <v>1337</v>
      </c>
      <c r="J438" s="41">
        <f>+Tabla1[[#This Row],[FECHA ENTRADA]]</f>
        <v>45659</v>
      </c>
      <c r="K438" s="8">
        <v>45665</v>
      </c>
      <c r="L438" s="42">
        <f>_xlfn.DAYS(Tabla1[[#This Row],[FECHA FIN ]],Tabla1[[#This Row],[FECHA INICIO]])</f>
        <v>6</v>
      </c>
      <c r="M438" s="12"/>
      <c r="N438" s="12"/>
      <c r="O438" s="28">
        <f>(Tabla1[[#This Row],[COSTO FIJO ]]/30)*Tabla1[[#This Row],[TOTAL DIAS PROYECTO]]+(Tabla1[[#This Row],[COSTO TEMPORAL]])</f>
        <v>0</v>
      </c>
      <c r="P438" s="12"/>
      <c r="Q438" s="12">
        <f>+(Tabla1[[#This Row],[COSTO COCHE]]/30)*Tabla1[[#This Row],[TOTAL DIAS PROYECTO]]</f>
        <v>0</v>
      </c>
      <c r="R438" s="12">
        <f>+Tabla1[[#This Row],[COSTO TOTAL ALOJAMIENTO]]+Tabla1[[#This Row],[COSTO TOTAL COCHE]]</f>
        <v>0</v>
      </c>
      <c r="S438" s="2" t="s">
        <v>84</v>
      </c>
      <c r="T438" s="2" t="s">
        <v>44</v>
      </c>
      <c r="U438" s="14">
        <v>45659</v>
      </c>
      <c r="V438" s="43">
        <v>45666</v>
      </c>
      <c r="W438" s="26"/>
      <c r="X438" s="2"/>
      <c r="Y438" s="11"/>
      <c r="Z438" s="2" t="s">
        <v>36</v>
      </c>
      <c r="AA438" s="13" t="s">
        <v>10415</v>
      </c>
      <c r="AB438" s="13">
        <v>5017058</v>
      </c>
    </row>
    <row r="439" spans="1:28" ht="15" customHeight="1">
      <c r="A439" s="2" t="s">
        <v>8907</v>
      </c>
      <c r="B439" s="2" t="s">
        <v>28</v>
      </c>
      <c r="C439" s="31" t="s">
        <v>1233</v>
      </c>
      <c r="D439" s="2" t="s">
        <v>99</v>
      </c>
      <c r="E439" s="2" t="s">
        <v>127</v>
      </c>
      <c r="F439" s="11" t="s">
        <v>820</v>
      </c>
      <c r="G439" s="21" t="s">
        <v>821</v>
      </c>
      <c r="H439" s="2" t="s">
        <v>1235</v>
      </c>
      <c r="I439" s="12" t="s">
        <v>96</v>
      </c>
      <c r="J439" s="22">
        <f>+Tabla1[[#This Row],[FECHA ENTRADA]]</f>
        <v>45798</v>
      </c>
      <c r="K439" s="8">
        <v>46022</v>
      </c>
      <c r="L439" s="23">
        <f>_xlfn.DAYS(Tabla1[[#This Row],[FECHA FIN ]],Tabla1[[#This Row],[FECHA INICIO]])</f>
        <v>224</v>
      </c>
      <c r="M439" s="12"/>
      <c r="N439" s="12">
        <f>3150/9</f>
        <v>350</v>
      </c>
      <c r="O439" s="24">
        <f>(Tabla1[[#This Row],[COSTO FIJO ]]/30)*Tabla1[[#This Row],[TOTAL DIAS PROYECTO]]+(Tabla1[[#This Row],[COSTO TEMPORAL]])</f>
        <v>2613.333333333333</v>
      </c>
      <c r="P439" s="12"/>
      <c r="Q439" s="12">
        <f>+(Tabla1[[#This Row],[COSTO COCHE]]/30)*Tabla1[[#This Row],[TOTAL DIAS PROYECTO]]</f>
        <v>0</v>
      </c>
      <c r="R439" s="12">
        <f>+Tabla1[[#This Row],[COSTO TOTAL ALOJAMIENTO]]+Tabla1[[#This Row],[COSTO TOTAL COCHE]]</f>
        <v>2613.333333333333</v>
      </c>
      <c r="S439" s="2"/>
      <c r="T439" s="2" t="s">
        <v>44</v>
      </c>
      <c r="U439" s="14">
        <v>45798</v>
      </c>
      <c r="V439" s="79">
        <v>46038</v>
      </c>
      <c r="W439" s="26"/>
      <c r="X439" s="2"/>
      <c r="Y439" s="11" t="s">
        <v>1338</v>
      </c>
      <c r="Z439" s="2" t="s">
        <v>36</v>
      </c>
      <c r="AA439" s="13" t="s">
        <v>10342</v>
      </c>
      <c r="AB439" s="13" t="s">
        <v>10343</v>
      </c>
    </row>
    <row r="440" spans="1:28" ht="15" customHeight="1">
      <c r="A440" s="2" t="s">
        <v>8933</v>
      </c>
      <c r="B440" s="2" t="s">
        <v>368</v>
      </c>
      <c r="C440" s="52" t="s">
        <v>1339</v>
      </c>
      <c r="D440" s="2" t="s">
        <v>30</v>
      </c>
      <c r="E440" s="2" t="s">
        <v>253</v>
      </c>
      <c r="F440" s="11" t="s">
        <v>581</v>
      </c>
      <c r="G440" s="11" t="s">
        <v>255</v>
      </c>
      <c r="H440" s="2" t="s">
        <v>1340</v>
      </c>
      <c r="I440" s="12" t="s">
        <v>666</v>
      </c>
      <c r="J440" s="41">
        <f>+Tabla1[[#This Row],[FECHA ENTRADA]]</f>
        <v>45658</v>
      </c>
      <c r="K440" s="22">
        <v>45666</v>
      </c>
      <c r="L440" s="42">
        <f>_xlfn.DAYS(Tabla1[[#This Row],[FECHA FIN ]],Tabla1[[#This Row],[FECHA INICIO]])</f>
        <v>8</v>
      </c>
      <c r="M440" s="12"/>
      <c r="N440" s="28"/>
      <c r="O440" s="28">
        <f>(Tabla1[[#This Row],[COSTO FIJO ]]/30)*Tabla1[[#This Row],[TOTAL DIAS PROYECTO]]+(Tabla1[[#This Row],[COSTO TEMPORAL]])</f>
        <v>0</v>
      </c>
      <c r="P440" s="12"/>
      <c r="Q440" s="12">
        <f>+(Tabla1[[#This Row],[COSTO COCHE]]/30)*Tabla1[[#This Row],[TOTAL DIAS PROYECTO]]</f>
        <v>0</v>
      </c>
      <c r="R440" s="12">
        <f>+Tabla1[[#This Row],[COSTO TOTAL ALOJAMIENTO]]+Tabla1[[#This Row],[COSTO TOTAL COCHE]]</f>
        <v>0</v>
      </c>
      <c r="S440" s="2"/>
      <c r="T440" s="2" t="s">
        <v>35</v>
      </c>
      <c r="U440" s="14">
        <v>45658</v>
      </c>
      <c r="V440" s="43"/>
      <c r="W440" s="26"/>
      <c r="X440" s="2">
        <v>1</v>
      </c>
      <c r="Y440" s="11"/>
      <c r="Z440" s="2" t="s">
        <v>36</v>
      </c>
      <c r="AA440" s="13" t="s">
        <v>10357</v>
      </c>
      <c r="AB440" s="13" t="s">
        <v>10358</v>
      </c>
    </row>
    <row r="441" spans="1:28">
      <c r="A441" s="2" t="s">
        <v>8742</v>
      </c>
      <c r="B441" s="2" t="s">
        <v>368</v>
      </c>
      <c r="C441" s="18" t="s">
        <v>535</v>
      </c>
      <c r="D441" s="2" t="s">
        <v>30</v>
      </c>
      <c r="E441" s="2" t="s">
        <v>253</v>
      </c>
      <c r="F441" s="11" t="s">
        <v>581</v>
      </c>
      <c r="G441" s="11" t="s">
        <v>255</v>
      </c>
      <c r="H441" s="2" t="s">
        <v>1340</v>
      </c>
      <c r="I441" s="12" t="s">
        <v>666</v>
      </c>
      <c r="J441" s="41">
        <f>+Tabla1[[#This Row],[FECHA ENTRADA]]</f>
        <v>45658</v>
      </c>
      <c r="K441" s="22">
        <v>45666</v>
      </c>
      <c r="L441" s="42">
        <f>_xlfn.DAYS(Tabla1[[#This Row],[FECHA FIN ]],Tabla1[[#This Row],[FECHA INICIO]])</f>
        <v>8</v>
      </c>
      <c r="M441" s="12"/>
      <c r="N441" s="28"/>
      <c r="O441" s="28">
        <f>(Tabla1[[#This Row],[COSTO FIJO ]]/30)*Tabla1[[#This Row],[TOTAL DIAS PROYECTO]]+(Tabla1[[#This Row],[COSTO TEMPORAL]])</f>
        <v>0</v>
      </c>
      <c r="P441" s="12"/>
      <c r="Q441" s="12">
        <f>+(Tabla1[[#This Row],[COSTO COCHE]]/30)*Tabla1[[#This Row],[TOTAL DIAS PROYECTO]]</f>
        <v>0</v>
      </c>
      <c r="R441" s="12">
        <f>+Tabla1[[#This Row],[COSTO TOTAL ALOJAMIENTO]]+Tabla1[[#This Row],[COSTO TOTAL COCHE]]</f>
        <v>0</v>
      </c>
      <c r="S441" s="2"/>
      <c r="T441" s="2" t="s">
        <v>35</v>
      </c>
      <c r="U441" s="14">
        <v>45658</v>
      </c>
      <c r="V441" s="43"/>
      <c r="W441" s="26"/>
      <c r="X441" s="2">
        <v>1</v>
      </c>
      <c r="Y441" s="11"/>
      <c r="Z441" s="2" t="s">
        <v>36</v>
      </c>
      <c r="AA441" s="13" t="s">
        <v>10357</v>
      </c>
      <c r="AB441" s="13" t="s">
        <v>10358</v>
      </c>
    </row>
    <row r="442" spans="1:28">
      <c r="A442" s="2" t="s">
        <v>8781</v>
      </c>
      <c r="B442" s="2" t="s">
        <v>368</v>
      </c>
      <c r="C442" s="18" t="s">
        <v>746</v>
      </c>
      <c r="D442" s="2" t="s">
        <v>30</v>
      </c>
      <c r="E442" s="2" t="s">
        <v>253</v>
      </c>
      <c r="F442" s="11" t="s">
        <v>581</v>
      </c>
      <c r="G442" s="11" t="s">
        <v>255</v>
      </c>
      <c r="H442" s="2" t="s">
        <v>1341</v>
      </c>
      <c r="I442" s="12" t="s">
        <v>666</v>
      </c>
      <c r="J442" s="41">
        <v>45565</v>
      </c>
      <c r="K442" s="8">
        <v>45666</v>
      </c>
      <c r="L442" s="42">
        <f>_xlfn.DAYS(Tabla1[[#This Row],[FECHA FIN ]],Tabla1[[#This Row],[FECHA INICIO]])</f>
        <v>101</v>
      </c>
      <c r="M442" s="12"/>
      <c r="N442" s="28"/>
      <c r="O442" s="28">
        <f>(Tabla1[[#This Row],[COSTO FIJO ]]/30)*Tabla1[[#This Row],[TOTAL DIAS PROYECTO]]+(Tabla1[[#This Row],[COSTO TEMPORAL]])</f>
        <v>0</v>
      </c>
      <c r="P442" s="12">
        <f>+((651.96*50%)/5)</f>
        <v>65.195999999999998</v>
      </c>
      <c r="Q442" s="12">
        <f>+(Tabla1[[#This Row],[COSTO COCHE]]/30)*Tabla1[[#This Row],[TOTAL DIAS PROYECTO]]</f>
        <v>219.4932</v>
      </c>
      <c r="R442" s="12">
        <f>+Tabla1[[#This Row],[COSTO TOTAL ALOJAMIENTO]]+Tabla1[[#This Row],[COSTO TOTAL COCHE]]</f>
        <v>219.4932</v>
      </c>
      <c r="S442" s="2"/>
      <c r="T442" s="2" t="s">
        <v>35</v>
      </c>
      <c r="U442" s="14">
        <v>45565</v>
      </c>
      <c r="V442" s="75"/>
      <c r="W442" s="26"/>
      <c r="X442" s="2">
        <v>1</v>
      </c>
      <c r="Y442" s="11" t="s">
        <v>1166</v>
      </c>
      <c r="Z442" s="2" t="s">
        <v>36</v>
      </c>
      <c r="AA442" s="13" t="s">
        <v>10357</v>
      </c>
      <c r="AB442" s="13" t="s">
        <v>10358</v>
      </c>
    </row>
    <row r="443" spans="1:28" ht="15" customHeight="1">
      <c r="A443" s="2" t="s">
        <v>8840</v>
      </c>
      <c r="B443" s="2" t="s">
        <v>368</v>
      </c>
      <c r="C443" s="18" t="s">
        <v>974</v>
      </c>
      <c r="D443" s="2" t="s">
        <v>30</v>
      </c>
      <c r="E443" s="2" t="s">
        <v>213</v>
      </c>
      <c r="F443" s="11" t="s">
        <v>1196</v>
      </c>
      <c r="G443" s="21" t="s">
        <v>1197</v>
      </c>
      <c r="H443" s="2" t="s">
        <v>1198</v>
      </c>
      <c r="I443" s="12" t="s">
        <v>514</v>
      </c>
      <c r="J443" s="22">
        <f>+Tabla1[[#This Row],[FECHA ENTRADA]]</f>
        <v>45582</v>
      </c>
      <c r="K443" s="8">
        <v>45667</v>
      </c>
      <c r="L443" s="23">
        <f>_xlfn.DAYS(Tabla1[[#This Row],[FECHA FIN ]],Tabla1[[#This Row],[FECHA INICIO]])</f>
        <v>85</v>
      </c>
      <c r="M443" s="12"/>
      <c r="N443" s="24">
        <v>298.8</v>
      </c>
      <c r="O443" s="24">
        <f>(Tabla1[[#This Row],[COSTO FIJO ]]/30)*Tabla1[[#This Row],[TOTAL DIAS PROYECTO]]+(Tabla1[[#This Row],[COSTO TEMPORAL]])</f>
        <v>846.6</v>
      </c>
      <c r="P443" s="12"/>
      <c r="Q443" s="12">
        <f>+(Tabla1[[#This Row],[COSTO COCHE]]/30)*Tabla1[[#This Row],[TOTAL DIAS PROYECTO]]</f>
        <v>0</v>
      </c>
      <c r="R443" s="12">
        <f>+Tabla1[[#This Row],[COSTO TOTAL ALOJAMIENTO]]+Tabla1[[#This Row],[COSTO TOTAL COCHE]]</f>
        <v>846.6</v>
      </c>
      <c r="S443" s="2"/>
      <c r="T443" s="2" t="s">
        <v>35</v>
      </c>
      <c r="U443" s="14">
        <v>45582</v>
      </c>
      <c r="V443" s="25"/>
      <c r="W443" s="26"/>
      <c r="X443" s="2">
        <v>1</v>
      </c>
      <c r="Y443" s="11" t="s">
        <v>1342</v>
      </c>
      <c r="Z443" s="2" t="s">
        <v>36</v>
      </c>
      <c r="AA443" s="13" t="s">
        <v>10349</v>
      </c>
      <c r="AB443" s="13" t="s">
        <v>10350</v>
      </c>
    </row>
    <row r="444" spans="1:28">
      <c r="A444" s="2" t="s">
        <v>8860</v>
      </c>
      <c r="B444" s="2" t="s">
        <v>978</v>
      </c>
      <c r="C444" s="11" t="s">
        <v>1054</v>
      </c>
      <c r="D444" s="2" t="s">
        <v>30</v>
      </c>
      <c r="E444" s="2" t="s">
        <v>55</v>
      </c>
      <c r="F444" s="11"/>
      <c r="G444" s="49"/>
      <c r="H444" s="2" t="s">
        <v>1321</v>
      </c>
      <c r="I444" s="30" t="s">
        <v>1322</v>
      </c>
      <c r="J444" s="22">
        <f>+Tabla1[[#This Row],[FECHA ENTRADA]]</f>
        <v>45675</v>
      </c>
      <c r="K444" s="22">
        <v>45667</v>
      </c>
      <c r="L444" s="23">
        <f>_xlfn.DAYS(Tabla1[[#This Row],[FECHA FIN ]],Tabla1[[#This Row],[FECHA INICIO]])</f>
        <v>-8</v>
      </c>
      <c r="M444" s="12"/>
      <c r="N444" s="12">
        <v>300</v>
      </c>
      <c r="O444" s="24">
        <f>(Tabla1[[#This Row],[COSTO FIJO ]]/30)*Tabla1[[#This Row],[TOTAL DIAS PROYECTO]]+(Tabla1[[#This Row],[COSTO TEMPORAL]])</f>
        <v>-80</v>
      </c>
      <c r="P444" s="12"/>
      <c r="Q444" s="12">
        <f>+(Tabla1[[#This Row],[COSTO COCHE]]/30)*Tabla1[[#This Row],[TOTAL DIAS PROYECTO]]</f>
        <v>0</v>
      </c>
      <c r="R444" s="12">
        <f>+Tabla1[[#This Row],[COSTO TOTAL ALOJAMIENTO]]+Tabla1[[#This Row],[COSTO TOTAL COCHE]]</f>
        <v>-80</v>
      </c>
      <c r="S444" s="2"/>
      <c r="T444" s="2" t="s">
        <v>58</v>
      </c>
      <c r="U444" s="14">
        <v>45675</v>
      </c>
      <c r="V444" s="25"/>
      <c r="W444" s="26"/>
      <c r="X444" s="2"/>
      <c r="Y444" s="11" t="s">
        <v>1343</v>
      </c>
      <c r="Z444" s="2" t="s">
        <v>36</v>
      </c>
      <c r="AA444" s="13" t="s">
        <v>10327</v>
      </c>
      <c r="AB444" s="13" t="s">
        <v>10328</v>
      </c>
    </row>
    <row r="445" spans="1:28" ht="15" customHeight="1">
      <c r="A445" s="2" t="s">
        <v>8884</v>
      </c>
      <c r="B445" s="2" t="s">
        <v>368</v>
      </c>
      <c r="C445" s="11" t="s">
        <v>1160</v>
      </c>
      <c r="D445" s="2" t="s">
        <v>30</v>
      </c>
      <c r="E445" s="2" t="s">
        <v>1161</v>
      </c>
      <c r="F445" s="11" t="s">
        <v>1344</v>
      </c>
      <c r="G445" s="30" t="s">
        <v>1345</v>
      </c>
      <c r="H445" s="2" t="s">
        <v>1164</v>
      </c>
      <c r="I445" s="12" t="s">
        <v>1165</v>
      </c>
      <c r="J445" s="41">
        <v>45639</v>
      </c>
      <c r="K445" s="22">
        <v>45667</v>
      </c>
      <c r="L445" s="42">
        <f>_xlfn.DAYS(Tabla1[[#This Row],[FECHA FIN ]],Tabla1[[#This Row],[FECHA INICIO]])</f>
        <v>28</v>
      </c>
      <c r="M445" s="12"/>
      <c r="N445" s="12">
        <f>1811.6/17</f>
        <v>106.56470588235294</v>
      </c>
      <c r="O445" s="28">
        <f>(Tabla1[[#This Row],[COSTO FIJO ]]/30)*Tabla1[[#This Row],[TOTAL DIAS PROYECTO]]+(Tabla1[[#This Row],[COSTO TEMPORAL]])</f>
        <v>99.460392156862753</v>
      </c>
      <c r="P445" s="12"/>
      <c r="Q445" s="12">
        <f>+(Tabla1[[#This Row],[COSTO COCHE]]/30)*Tabla1[[#This Row],[TOTAL DIAS PROYECTO]]</f>
        <v>0</v>
      </c>
      <c r="R445" s="12">
        <f>+Tabla1[[#This Row],[COSTO TOTAL ALOJAMIENTO]]+Tabla1[[#This Row],[COSTO TOTAL COCHE]]</f>
        <v>99.460392156862753</v>
      </c>
      <c r="S445" s="2"/>
      <c r="T445" s="2" t="s">
        <v>35</v>
      </c>
      <c r="U445" s="14"/>
      <c r="V445" s="43"/>
      <c r="W445" s="26"/>
      <c r="X445" s="2">
        <v>12</v>
      </c>
      <c r="Y445" s="11" t="s">
        <v>1346</v>
      </c>
      <c r="Z445" s="2" t="s">
        <v>36</v>
      </c>
      <c r="AA445" s="13" t="s">
        <v>10413</v>
      </c>
      <c r="AB445" s="13">
        <v>3652672</v>
      </c>
    </row>
    <row r="446" spans="1:28">
      <c r="A446" s="2" t="s">
        <v>8885</v>
      </c>
      <c r="B446" s="2" t="s">
        <v>368</v>
      </c>
      <c r="C446" s="11" t="s">
        <v>1167</v>
      </c>
      <c r="D446" s="2" t="s">
        <v>30</v>
      </c>
      <c r="E446" s="2" t="s">
        <v>1161</v>
      </c>
      <c r="F446" s="11" t="s">
        <v>1344</v>
      </c>
      <c r="G446" s="30" t="s">
        <v>1345</v>
      </c>
      <c r="H446" s="2" t="s">
        <v>1164</v>
      </c>
      <c r="I446" s="12" t="s">
        <v>1165</v>
      </c>
      <c r="J446" s="41">
        <v>45639</v>
      </c>
      <c r="K446" s="22">
        <v>45667</v>
      </c>
      <c r="L446" s="42">
        <f>_xlfn.DAYS(Tabla1[[#This Row],[FECHA FIN ]],Tabla1[[#This Row],[FECHA INICIO]])</f>
        <v>28</v>
      </c>
      <c r="M446" s="12"/>
      <c r="N446" s="12">
        <f>1811.6/17</f>
        <v>106.56470588235294</v>
      </c>
      <c r="O446" s="28">
        <f>(Tabla1[[#This Row],[COSTO FIJO ]]/30)*Tabla1[[#This Row],[TOTAL DIAS PROYECTO]]+(Tabla1[[#This Row],[COSTO TEMPORAL]])</f>
        <v>99.460392156862753</v>
      </c>
      <c r="P446" s="12"/>
      <c r="Q446" s="12">
        <f>+(Tabla1[[#This Row],[COSTO COCHE]]/30)*Tabla1[[#This Row],[TOTAL DIAS PROYECTO]]</f>
        <v>0</v>
      </c>
      <c r="R446" s="12">
        <f>+Tabla1[[#This Row],[COSTO TOTAL ALOJAMIENTO]]+Tabla1[[#This Row],[COSTO TOTAL COCHE]]</f>
        <v>99.460392156862753</v>
      </c>
      <c r="S446" s="2"/>
      <c r="T446" s="2" t="s">
        <v>35</v>
      </c>
      <c r="U446" s="14"/>
      <c r="V446" s="43"/>
      <c r="W446" s="26"/>
      <c r="X446" s="2">
        <v>12</v>
      </c>
      <c r="Y446" s="11" t="s">
        <v>1346</v>
      </c>
      <c r="Z446" s="2" t="s">
        <v>36</v>
      </c>
      <c r="AA446" s="13" t="s">
        <v>10413</v>
      </c>
      <c r="AB446" s="13">
        <v>3652672</v>
      </c>
    </row>
    <row r="447" spans="1:28" s="30" customFormat="1" ht="15" customHeight="1">
      <c r="A447" s="2" t="s">
        <v>8886</v>
      </c>
      <c r="B447" s="2" t="s">
        <v>368</v>
      </c>
      <c r="C447" s="11" t="s">
        <v>1168</v>
      </c>
      <c r="D447" s="2" t="s">
        <v>30</v>
      </c>
      <c r="E447" s="2" t="s">
        <v>1161</v>
      </c>
      <c r="F447" s="11" t="s">
        <v>1344</v>
      </c>
      <c r="G447" s="30" t="s">
        <v>1345</v>
      </c>
      <c r="H447" s="2" t="s">
        <v>1164</v>
      </c>
      <c r="I447" s="12" t="s">
        <v>1165</v>
      </c>
      <c r="J447" s="41">
        <v>45639</v>
      </c>
      <c r="K447" s="22">
        <v>45667</v>
      </c>
      <c r="L447" s="42">
        <f>_xlfn.DAYS(Tabla1[[#This Row],[FECHA FIN ]],Tabla1[[#This Row],[FECHA INICIO]])</f>
        <v>28</v>
      </c>
      <c r="M447" s="12"/>
      <c r="N447" s="12">
        <f>1811.6/17</f>
        <v>106.56470588235294</v>
      </c>
      <c r="O447" s="28">
        <f>(Tabla1[[#This Row],[COSTO FIJO ]]/30)*Tabla1[[#This Row],[TOTAL DIAS PROYECTO]]+(Tabla1[[#This Row],[COSTO TEMPORAL]])</f>
        <v>99.460392156862753</v>
      </c>
      <c r="P447" s="12"/>
      <c r="Q447" s="12">
        <f>+(Tabla1[[#This Row],[COSTO COCHE]]/30)*Tabla1[[#This Row],[TOTAL DIAS PROYECTO]]</f>
        <v>0</v>
      </c>
      <c r="R447" s="12">
        <f>+Tabla1[[#This Row],[COSTO TOTAL ALOJAMIENTO]]+Tabla1[[#This Row],[COSTO TOTAL COCHE]]</f>
        <v>99.460392156862753</v>
      </c>
      <c r="S447" s="2"/>
      <c r="T447" s="2" t="s">
        <v>35</v>
      </c>
      <c r="U447" s="14"/>
      <c r="V447" s="43"/>
      <c r="W447" s="26"/>
      <c r="X447" s="2">
        <v>12</v>
      </c>
      <c r="Y447" s="11" t="s">
        <v>1346</v>
      </c>
      <c r="Z447" s="2" t="s">
        <v>36</v>
      </c>
      <c r="AA447" s="13" t="s">
        <v>10413</v>
      </c>
      <c r="AB447" s="13">
        <v>3652672</v>
      </c>
    </row>
    <row r="448" spans="1:28" ht="15" customHeight="1">
      <c r="A448" s="2" t="s">
        <v>8934</v>
      </c>
      <c r="B448" s="2" t="s">
        <v>28</v>
      </c>
      <c r="C448" s="11" t="s">
        <v>1347</v>
      </c>
      <c r="D448" s="2" t="s">
        <v>30</v>
      </c>
      <c r="E448" s="2" t="s">
        <v>939</v>
      </c>
      <c r="F448" s="11" t="s">
        <v>1253</v>
      </c>
      <c r="G448" s="11" t="s">
        <v>941</v>
      </c>
      <c r="H448" s="2" t="s">
        <v>1348</v>
      </c>
      <c r="I448" s="10" t="s">
        <v>943</v>
      </c>
      <c r="J448" s="8">
        <f>+Tabla1[[#This Row],[FECHA ENTRADA]]</f>
        <v>45396</v>
      </c>
      <c r="K448" s="8">
        <v>45667</v>
      </c>
      <c r="L448" s="13">
        <f>_xlfn.DAYS(Tabla1[[#This Row],[FECHA FIN ]],Tabla1[[#This Row],[FECHA INICIO]])</f>
        <v>271</v>
      </c>
      <c r="M448" s="12"/>
      <c r="N448" s="12">
        <v>370</v>
      </c>
      <c r="O448" s="12">
        <f>(Tabla1[[#This Row],[COSTO FIJO ]]/30)*Tabla1[[#This Row],[TOTAL DIAS PROYECTO]]+(Tabla1[[#This Row],[COSTO TEMPORAL]])</f>
        <v>3342.3333333333335</v>
      </c>
      <c r="P448" s="12"/>
      <c r="Q448" s="12">
        <f>+(Tabla1[[#This Row],[COSTO COCHE]]/30)*Tabla1[[#This Row],[TOTAL DIAS PROYECTO]]</f>
        <v>0</v>
      </c>
      <c r="R448" s="12">
        <f>+Tabla1[[#This Row],[COSTO TOTAL ALOJAMIENTO]]+Tabla1[[#This Row],[COSTO TOTAL COCHE]]</f>
        <v>3342.3333333333335</v>
      </c>
      <c r="S448" s="2"/>
      <c r="T448" s="2" t="s">
        <v>35</v>
      </c>
      <c r="U448" s="14">
        <v>45396</v>
      </c>
      <c r="V448" s="14"/>
      <c r="W448" s="80">
        <v>150</v>
      </c>
      <c r="X448" s="16">
        <v>12</v>
      </c>
      <c r="Y448" s="96">
        <v>45667</v>
      </c>
      <c r="Z448" s="2" t="s">
        <v>36</v>
      </c>
      <c r="AA448" s="13" t="s">
        <v>10405</v>
      </c>
      <c r="AB448" s="13" t="s">
        <v>10406</v>
      </c>
    </row>
    <row r="449" spans="1:28" ht="15" customHeight="1">
      <c r="A449" s="2" t="s">
        <v>8887</v>
      </c>
      <c r="B449" s="2" t="s">
        <v>368</v>
      </c>
      <c r="C449" s="11" t="s">
        <v>1169</v>
      </c>
      <c r="D449" s="2" t="s">
        <v>30</v>
      </c>
      <c r="E449" s="2" t="s">
        <v>1161</v>
      </c>
      <c r="F449" s="11" t="s">
        <v>1344</v>
      </c>
      <c r="G449" s="30" t="s">
        <v>1345</v>
      </c>
      <c r="H449" s="2" t="s">
        <v>1164</v>
      </c>
      <c r="I449" s="12" t="s">
        <v>1165</v>
      </c>
      <c r="J449" s="41">
        <v>45639</v>
      </c>
      <c r="K449" s="41">
        <v>45667</v>
      </c>
      <c r="L449" s="42">
        <f>_xlfn.DAYS(Tabla1[[#This Row],[FECHA FIN ]],Tabla1[[#This Row],[FECHA INICIO]])</f>
        <v>28</v>
      </c>
      <c r="M449" s="12"/>
      <c r="N449" s="28">
        <v>333.33333333333331</v>
      </c>
      <c r="O449" s="28">
        <f>(Tabla1[[#This Row],[COSTO FIJO ]]/30)*Tabla1[[#This Row],[TOTAL DIAS PROYECTO]]+(Tabla1[[#This Row],[COSTO TEMPORAL]])</f>
        <v>311.11111111111109</v>
      </c>
      <c r="P449" s="12"/>
      <c r="Q449" s="12">
        <f>+(Tabla1[[#This Row],[COSTO COCHE]]/30)*Tabla1[[#This Row],[TOTAL DIAS PROYECTO]]</f>
        <v>0</v>
      </c>
      <c r="R449" s="12">
        <f>+Tabla1[[#This Row],[COSTO TOTAL ALOJAMIENTO]]+Tabla1[[#This Row],[COSTO TOTAL COCHE]]</f>
        <v>311.11111111111109</v>
      </c>
      <c r="S449" s="2"/>
      <c r="T449" s="2" t="s">
        <v>35</v>
      </c>
      <c r="U449" s="14"/>
      <c r="V449" s="43"/>
      <c r="W449" s="26"/>
      <c r="X449" s="2">
        <v>12</v>
      </c>
      <c r="Y449" s="11" t="s">
        <v>1346</v>
      </c>
      <c r="Z449" s="2" t="s">
        <v>36</v>
      </c>
      <c r="AA449" s="13" t="s">
        <v>10413</v>
      </c>
      <c r="AB449" s="13">
        <v>3652672</v>
      </c>
    </row>
    <row r="450" spans="1:28">
      <c r="A450" s="2" t="s">
        <v>8888</v>
      </c>
      <c r="B450" s="2" t="s">
        <v>368</v>
      </c>
      <c r="C450" s="11" t="s">
        <v>1170</v>
      </c>
      <c r="D450" s="2" t="s">
        <v>30</v>
      </c>
      <c r="E450" s="2" t="s">
        <v>1161</v>
      </c>
      <c r="F450" s="11" t="s">
        <v>1344</v>
      </c>
      <c r="G450" s="30" t="s">
        <v>1345</v>
      </c>
      <c r="H450" s="2" t="s">
        <v>1164</v>
      </c>
      <c r="I450" s="12" t="s">
        <v>1165</v>
      </c>
      <c r="J450" s="41">
        <v>45639</v>
      </c>
      <c r="K450" s="41">
        <v>45667</v>
      </c>
      <c r="L450" s="42">
        <f>_xlfn.DAYS(Tabla1[[#This Row],[FECHA FIN ]],Tabla1[[#This Row],[FECHA INICIO]])</f>
        <v>28</v>
      </c>
      <c r="M450" s="12"/>
      <c r="N450" s="28">
        <v>333.33333333333331</v>
      </c>
      <c r="O450" s="28">
        <f>(Tabla1[[#This Row],[COSTO FIJO ]]/30)*Tabla1[[#This Row],[TOTAL DIAS PROYECTO]]+(Tabla1[[#This Row],[COSTO TEMPORAL]])</f>
        <v>311.11111111111109</v>
      </c>
      <c r="P450" s="12"/>
      <c r="Q450" s="12">
        <f>+(Tabla1[[#This Row],[COSTO COCHE]]/30)*Tabla1[[#This Row],[TOTAL DIAS PROYECTO]]</f>
        <v>0</v>
      </c>
      <c r="R450" s="12">
        <f>+Tabla1[[#This Row],[COSTO TOTAL ALOJAMIENTO]]+Tabla1[[#This Row],[COSTO TOTAL COCHE]]</f>
        <v>311.11111111111109</v>
      </c>
      <c r="S450" s="2"/>
      <c r="T450" s="2" t="s">
        <v>35</v>
      </c>
      <c r="U450" s="14"/>
      <c r="V450" s="43"/>
      <c r="W450" s="26"/>
      <c r="X450" s="2">
        <v>12</v>
      </c>
      <c r="Y450" s="11" t="s">
        <v>1346</v>
      </c>
      <c r="Z450" s="2" t="s">
        <v>36</v>
      </c>
      <c r="AA450" s="13" t="s">
        <v>10413</v>
      </c>
      <c r="AB450" s="13">
        <v>3652672</v>
      </c>
    </row>
    <row r="451" spans="1:28" ht="15" customHeight="1">
      <c r="A451" s="2" t="s">
        <v>8889</v>
      </c>
      <c r="B451" s="2" t="s">
        <v>368</v>
      </c>
      <c r="C451" s="11" t="s">
        <v>1171</v>
      </c>
      <c r="D451" s="2" t="s">
        <v>30</v>
      </c>
      <c r="E451" s="2" t="s">
        <v>1161</v>
      </c>
      <c r="F451" s="11" t="s">
        <v>1344</v>
      </c>
      <c r="G451" s="30" t="s">
        <v>1345</v>
      </c>
      <c r="H451" s="2" t="s">
        <v>1164</v>
      </c>
      <c r="I451" s="12" t="s">
        <v>1165</v>
      </c>
      <c r="J451" s="41">
        <v>45639</v>
      </c>
      <c r="K451" s="41">
        <v>45667</v>
      </c>
      <c r="L451" s="42">
        <f>_xlfn.DAYS(Tabla1[[#This Row],[FECHA FIN ]],Tabla1[[#This Row],[FECHA INICIO]])</f>
        <v>28</v>
      </c>
      <c r="M451" s="12"/>
      <c r="N451" s="28">
        <v>333.33333333333331</v>
      </c>
      <c r="O451" s="28">
        <f>(Tabla1[[#This Row],[COSTO FIJO ]]/30)*Tabla1[[#This Row],[TOTAL DIAS PROYECTO]]+(Tabla1[[#This Row],[COSTO TEMPORAL]])</f>
        <v>311.11111111111109</v>
      </c>
      <c r="P451" s="12"/>
      <c r="Q451" s="12">
        <f>+(Tabla1[[#This Row],[COSTO COCHE]]/30)*Tabla1[[#This Row],[TOTAL DIAS PROYECTO]]</f>
        <v>0</v>
      </c>
      <c r="R451" s="12">
        <f>+Tabla1[[#This Row],[COSTO TOTAL ALOJAMIENTO]]+Tabla1[[#This Row],[COSTO TOTAL COCHE]]</f>
        <v>311.11111111111109</v>
      </c>
      <c r="S451" s="2"/>
      <c r="T451" s="2" t="s">
        <v>35</v>
      </c>
      <c r="U451" s="14"/>
      <c r="V451" s="43"/>
      <c r="W451" s="26"/>
      <c r="X451" s="2">
        <v>12</v>
      </c>
      <c r="Y451" s="11" t="s">
        <v>1346</v>
      </c>
      <c r="Z451" s="2" t="s">
        <v>36</v>
      </c>
      <c r="AA451" s="13" t="s">
        <v>10413</v>
      </c>
      <c r="AB451" s="13">
        <v>3652672</v>
      </c>
    </row>
    <row r="452" spans="1:28" ht="15" customHeight="1">
      <c r="A452" s="2" t="s">
        <v>8909</v>
      </c>
      <c r="B452" s="2" t="s">
        <v>28</v>
      </c>
      <c r="C452" s="11" t="s">
        <v>1237</v>
      </c>
      <c r="D452" s="2" t="s">
        <v>30</v>
      </c>
      <c r="E452" s="2" t="s">
        <v>380</v>
      </c>
      <c r="F452" s="11" t="s">
        <v>766</v>
      </c>
      <c r="G452" s="11" t="s">
        <v>767</v>
      </c>
      <c r="H452" s="2" t="s">
        <v>768</v>
      </c>
      <c r="I452" s="29" t="s">
        <v>145</v>
      </c>
      <c r="J452" s="8">
        <f>+Tabla1[[#This Row],[FECHA ENTRADA]]</f>
        <v>0</v>
      </c>
      <c r="K452" s="8"/>
      <c r="L452" s="13">
        <f>_xlfn.DAYS(Tabla1[[#This Row],[FECHA FIN ]],Tabla1[[#This Row],[FECHA INICIO]])</f>
        <v>0</v>
      </c>
      <c r="M452" s="12"/>
      <c r="N452" s="2"/>
      <c r="O452" s="12">
        <f>(Tabla1[[#This Row],[COSTO FIJO ]]/30)*Tabla1[[#This Row],[TOTAL DIAS PROYECTO]]+(Tabla1[[#This Row],[COSTO TEMPORAL]])</f>
        <v>0</v>
      </c>
      <c r="P452" s="12"/>
      <c r="Q452" s="12">
        <f>+(Tabla1[[#This Row],[COSTO COCHE]]/30)*Tabla1[[#This Row],[TOTAL DIAS PROYECTO]]</f>
        <v>0</v>
      </c>
      <c r="R452" s="12">
        <f>+Tabla1[[#This Row],[COSTO TOTAL ALOJAMIENTO]]+Tabla1[[#This Row],[COSTO TOTAL COCHE]]</f>
        <v>0</v>
      </c>
      <c r="S452" s="2"/>
      <c r="T452" s="2" t="s">
        <v>35</v>
      </c>
      <c r="U452" s="14"/>
      <c r="V452" s="14"/>
      <c r="W452" s="15"/>
      <c r="X452" s="16">
        <v>23</v>
      </c>
      <c r="Y452" s="18" t="s">
        <v>769</v>
      </c>
      <c r="Z452" s="2" t="s">
        <v>36</v>
      </c>
      <c r="AA452" s="13" t="s">
        <v>10370</v>
      </c>
      <c r="AB452" s="13" t="s">
        <v>10371</v>
      </c>
    </row>
    <row r="453" spans="1:28" ht="15" customHeight="1">
      <c r="A453" s="2" t="s">
        <v>8935</v>
      </c>
      <c r="B453" s="2" t="s">
        <v>28</v>
      </c>
      <c r="C453" s="11" t="s">
        <v>1349</v>
      </c>
      <c r="D453" s="2" t="s">
        <v>30</v>
      </c>
      <c r="E453" s="2" t="s">
        <v>380</v>
      </c>
      <c r="F453" s="11" t="s">
        <v>383</v>
      </c>
      <c r="G453" s="30" t="s">
        <v>381</v>
      </c>
      <c r="H453" s="2">
        <v>2023</v>
      </c>
      <c r="I453" s="2" t="s">
        <v>382</v>
      </c>
      <c r="J453" s="8">
        <v>44933</v>
      </c>
      <c r="K453" s="22">
        <v>45821</v>
      </c>
      <c r="L453" s="13">
        <f>_xlfn.DAYS(Tabla1[[#This Row],[FECHA FIN ]],Tabla1[[#This Row],[FECHA INICIO]])</f>
        <v>888</v>
      </c>
      <c r="M453" s="12"/>
      <c r="N453" s="12">
        <f>1811.6/17</f>
        <v>106.56470588235294</v>
      </c>
      <c r="O453" s="12">
        <f>(Tabla1[[#This Row],[COSTO FIJO ]]/30)*Tabla1[[#This Row],[TOTAL DIAS PROYECTO]]+(Tabla1[[#This Row],[COSTO TEMPORAL]])</f>
        <v>3154.3152941176472</v>
      </c>
      <c r="P453" s="12"/>
      <c r="Q453" s="12">
        <f>+(Tabla1[[#This Row],[COSTO COCHE]]/30)*Tabla1[[#This Row],[TOTAL DIAS PROYECTO]]</f>
        <v>0</v>
      </c>
      <c r="R453" s="12">
        <f>+Tabla1[[#This Row],[COSTO TOTAL ALOJAMIENTO]]+Tabla1[[#This Row],[COSTO TOTAL COCHE]]</f>
        <v>3154.3152941176472</v>
      </c>
      <c r="S453" s="2"/>
      <c r="T453" s="2" t="s">
        <v>35</v>
      </c>
      <c r="U453" s="14">
        <v>45481</v>
      </c>
      <c r="V453" s="14"/>
      <c r="W453" s="26"/>
      <c r="X453" s="16">
        <v>5</v>
      </c>
      <c r="Y453" s="11" t="s">
        <v>1350</v>
      </c>
      <c r="Z453" s="2" t="s">
        <v>36</v>
      </c>
      <c r="AA453" s="13" t="s">
        <v>10370</v>
      </c>
      <c r="AB453" s="13" t="s">
        <v>10371</v>
      </c>
    </row>
    <row r="454" spans="1:28">
      <c r="A454" s="56" t="s">
        <v>8936</v>
      </c>
      <c r="B454" s="56" t="s">
        <v>606</v>
      </c>
      <c r="C454" s="11" t="s">
        <v>1351</v>
      </c>
      <c r="D454" s="56" t="s">
        <v>30</v>
      </c>
      <c r="E454" s="56" t="s">
        <v>608</v>
      </c>
      <c r="F454" s="11" t="s">
        <v>609</v>
      </c>
      <c r="G454" s="18" t="s">
        <v>610</v>
      </c>
      <c r="H454" s="56" t="s">
        <v>611</v>
      </c>
      <c r="I454" s="57" t="s">
        <v>612</v>
      </c>
      <c r="J454" s="58">
        <f>+Tabla1[[#This Row],[FECHA ENTRADA]]</f>
        <v>45487</v>
      </c>
      <c r="K454" s="58">
        <v>45669</v>
      </c>
      <c r="L454" s="59">
        <f>_xlfn.DAYS(Tabla1[[#This Row],[FECHA FIN ]],Tabla1[[#This Row],[FECHA INICIO]])</f>
        <v>182</v>
      </c>
      <c r="M454" s="57">
        <f>220+82.5+44</f>
        <v>346.5</v>
      </c>
      <c r="N454" s="57">
        <v>260</v>
      </c>
      <c r="O454" s="57">
        <f>(Tabla1[[#This Row],[COSTO FIJO ]]/30)*Tabla1[[#This Row],[TOTAL DIAS PROYECTO]]+(Tabla1[[#This Row],[COSTO TEMPORAL]])</f>
        <v>1923.8333333333333</v>
      </c>
      <c r="P454" s="57"/>
      <c r="Q454" s="57">
        <f>+(Tabla1[[#This Row],[COSTO COCHE]]/30)*Tabla1[[#This Row],[TOTAL DIAS PROYECTO]]</f>
        <v>0</v>
      </c>
      <c r="R454" s="57">
        <f>+Tabla1[[#This Row],[COSTO TOTAL ALOJAMIENTO]]+Tabla1[[#This Row],[COSTO TOTAL COCHE]]</f>
        <v>1923.8333333333333</v>
      </c>
      <c r="S454" s="56"/>
      <c r="T454" s="56" t="s">
        <v>35</v>
      </c>
      <c r="U454" s="60">
        <v>45487</v>
      </c>
      <c r="V454" s="58">
        <v>45609</v>
      </c>
      <c r="W454" s="61">
        <v>390</v>
      </c>
      <c r="X454" s="56">
        <v>12</v>
      </c>
      <c r="Y454" s="18" t="s">
        <v>1352</v>
      </c>
      <c r="Z454" s="56" t="s">
        <v>36</v>
      </c>
      <c r="AA454" s="59" t="s">
        <v>10383</v>
      </c>
      <c r="AB454" s="59" t="s">
        <v>10384</v>
      </c>
    </row>
    <row r="455" spans="1:28" ht="15" customHeight="1">
      <c r="A455" s="56" t="s">
        <v>8937</v>
      </c>
      <c r="B455" s="56" t="s">
        <v>606</v>
      </c>
      <c r="C455" s="11" t="s">
        <v>1353</v>
      </c>
      <c r="D455" s="56" t="s">
        <v>30</v>
      </c>
      <c r="E455" s="56" t="s">
        <v>608</v>
      </c>
      <c r="F455" s="11" t="s">
        <v>609</v>
      </c>
      <c r="G455" s="18" t="s">
        <v>610</v>
      </c>
      <c r="H455" s="56" t="s">
        <v>611</v>
      </c>
      <c r="I455" s="57" t="s">
        <v>612</v>
      </c>
      <c r="J455" s="58">
        <f>+Tabla1[[#This Row],[FECHA ENTRADA]]</f>
        <v>45487</v>
      </c>
      <c r="K455" s="58">
        <v>45669</v>
      </c>
      <c r="L455" s="59">
        <f>_xlfn.DAYS(Tabla1[[#This Row],[FECHA FIN ]],Tabla1[[#This Row],[FECHA INICIO]])</f>
        <v>182</v>
      </c>
      <c r="M455" s="57">
        <f>220+82.5+44</f>
        <v>346.5</v>
      </c>
      <c r="N455" s="57">
        <v>260</v>
      </c>
      <c r="O455" s="57">
        <f>(Tabla1[[#This Row],[COSTO FIJO ]]/30)*Tabla1[[#This Row],[TOTAL DIAS PROYECTO]]+(Tabla1[[#This Row],[COSTO TEMPORAL]])</f>
        <v>1923.8333333333333</v>
      </c>
      <c r="P455" s="57"/>
      <c r="Q455" s="57">
        <f>+(Tabla1[[#This Row],[COSTO COCHE]]/30)*Tabla1[[#This Row],[TOTAL DIAS PROYECTO]]</f>
        <v>0</v>
      </c>
      <c r="R455" s="57">
        <f>+Tabla1[[#This Row],[COSTO TOTAL ALOJAMIENTO]]+Tabla1[[#This Row],[COSTO TOTAL COCHE]]</f>
        <v>1923.8333333333333</v>
      </c>
      <c r="S455" s="56"/>
      <c r="T455" s="56" t="s">
        <v>613</v>
      </c>
      <c r="U455" s="60">
        <v>45487</v>
      </c>
      <c r="V455" s="58">
        <v>45609</v>
      </c>
      <c r="W455" s="61">
        <v>390</v>
      </c>
      <c r="X455" s="56">
        <v>12</v>
      </c>
      <c r="Y455" s="18" t="s">
        <v>1354</v>
      </c>
      <c r="Z455" s="56" t="s">
        <v>36</v>
      </c>
      <c r="AA455" s="59" t="s">
        <v>10383</v>
      </c>
      <c r="AB455" s="59" t="s">
        <v>10384</v>
      </c>
    </row>
    <row r="456" spans="1:28" ht="15" customHeight="1">
      <c r="A456" s="2" t="s">
        <v>8750</v>
      </c>
      <c r="B456" s="2" t="s">
        <v>368</v>
      </c>
      <c r="C456" s="11" t="s">
        <v>587</v>
      </c>
      <c r="D456" s="2" t="s">
        <v>30</v>
      </c>
      <c r="E456" s="2" t="s">
        <v>213</v>
      </c>
      <c r="F456" s="11" t="s">
        <v>871</v>
      </c>
      <c r="G456" s="11" t="s">
        <v>872</v>
      </c>
      <c r="H456" s="2" t="s">
        <v>1355</v>
      </c>
      <c r="I456" s="12" t="s">
        <v>1043</v>
      </c>
      <c r="J456" s="22">
        <f>+Tabla1[[#This Row],[FECHA ENTRADA]]</f>
        <v>45615</v>
      </c>
      <c r="K456" s="8">
        <v>45669</v>
      </c>
      <c r="L456" s="23">
        <f>_xlfn.DAYS(Tabla1[[#This Row],[FECHA FIN ]],Tabla1[[#This Row],[FECHA INICIO]])</f>
        <v>54</v>
      </c>
      <c r="M456" s="12"/>
      <c r="N456" s="12"/>
      <c r="O456" s="24">
        <f>(Tabla1[[#This Row],[COSTO FIJO ]]/30)*Tabla1[[#This Row],[TOTAL DIAS PROYECTO]]+(Tabla1[[#This Row],[COSTO TEMPORAL]])</f>
        <v>0</v>
      </c>
      <c r="P456" s="12"/>
      <c r="Q456" s="12">
        <f>+(Tabla1[[#This Row],[COSTO COCHE]]/30)*Tabla1[[#This Row],[TOTAL DIAS PROYECTO]]</f>
        <v>0</v>
      </c>
      <c r="R456" s="12">
        <f>+Tabla1[[#This Row],[COSTO TOTAL ALOJAMIENTO]]+Tabla1[[#This Row],[COSTO TOTAL COCHE]]</f>
        <v>0</v>
      </c>
      <c r="S456" s="2"/>
      <c r="T456" s="2" t="s">
        <v>35</v>
      </c>
      <c r="U456" s="14">
        <v>45615</v>
      </c>
      <c r="V456" s="79"/>
      <c r="W456" s="26"/>
      <c r="X456" s="2"/>
      <c r="Y456" s="96">
        <v>45669</v>
      </c>
      <c r="Z456" s="2" t="s">
        <v>36</v>
      </c>
      <c r="AA456" s="13" t="s">
        <v>10349</v>
      </c>
      <c r="AB456" s="13" t="s">
        <v>10350</v>
      </c>
    </row>
    <row r="457" spans="1:28">
      <c r="A457" s="2" t="s">
        <v>8710</v>
      </c>
      <c r="B457" s="2" t="s">
        <v>28</v>
      </c>
      <c r="C457" s="11" t="s">
        <v>399</v>
      </c>
      <c r="D457" s="2" t="s">
        <v>30</v>
      </c>
      <c r="E457" s="2" t="s">
        <v>31</v>
      </c>
      <c r="F457" s="11" t="s">
        <v>530</v>
      </c>
      <c r="G457" s="11" t="s">
        <v>531</v>
      </c>
      <c r="H457" s="2" t="s">
        <v>1356</v>
      </c>
      <c r="I457" s="12" t="s">
        <v>1357</v>
      </c>
      <c r="J457" s="41">
        <f>+Tabla1[[#This Row],[FECHA ENTRADA]]</f>
        <v>45613</v>
      </c>
      <c r="K457" s="8">
        <v>45670</v>
      </c>
      <c r="L457" s="42">
        <f>_xlfn.DAYS(Tabla1[[#This Row],[FECHA FIN ]],Tabla1[[#This Row],[FECHA INICIO]])</f>
        <v>57</v>
      </c>
      <c r="M457" s="12"/>
      <c r="N457" s="12"/>
      <c r="O457" s="28">
        <f>(Tabla1[[#This Row],[COSTO FIJO ]]/30)*Tabla1[[#This Row],[TOTAL DIAS PROYECTO]]+(Tabla1[[#This Row],[COSTO TEMPORAL]])</f>
        <v>0</v>
      </c>
      <c r="P457" s="12"/>
      <c r="Q457" s="12">
        <f>+(Tabla1[[#This Row],[COSTO COCHE]]/30)*Tabla1[[#This Row],[TOTAL DIAS PROYECTO]]</f>
        <v>0</v>
      </c>
      <c r="R457" s="12">
        <f>+Tabla1[[#This Row],[COSTO TOTAL ALOJAMIENTO]]+Tabla1[[#This Row],[COSTO TOTAL COCHE]]</f>
        <v>0</v>
      </c>
      <c r="S457" s="2"/>
      <c r="T457" s="2" t="s">
        <v>35</v>
      </c>
      <c r="U457" s="14">
        <v>45613</v>
      </c>
      <c r="V457" s="43"/>
      <c r="W457" s="26">
        <v>3000</v>
      </c>
      <c r="X457" s="2">
        <v>1</v>
      </c>
      <c r="Y457" s="11"/>
      <c r="Z457" s="2" t="s">
        <v>36</v>
      </c>
      <c r="AA457" s="13" t="s">
        <v>10323</v>
      </c>
      <c r="AB457" s="13" t="s">
        <v>10324</v>
      </c>
    </row>
    <row r="458" spans="1:28" ht="15" customHeight="1">
      <c r="A458" s="2" t="s">
        <v>8926</v>
      </c>
      <c r="B458" s="2" t="s">
        <v>978</v>
      </c>
      <c r="C458" s="11" t="s">
        <v>1310</v>
      </c>
      <c r="D458" s="2" t="s">
        <v>30</v>
      </c>
      <c r="E458" s="2" t="s">
        <v>259</v>
      </c>
      <c r="F458" s="11" t="s">
        <v>1358</v>
      </c>
      <c r="G458" s="46" t="s">
        <v>1359</v>
      </c>
      <c r="H458" s="2" t="s">
        <v>1360</v>
      </c>
      <c r="I458" s="12" t="s">
        <v>1217</v>
      </c>
      <c r="J458" s="41">
        <f>+Tabla1[[#This Row],[FECHA ENTRADA]]</f>
        <v>45665</v>
      </c>
      <c r="K458" s="41">
        <v>45670</v>
      </c>
      <c r="L458" s="42">
        <f>_xlfn.DAYS(Tabla1[[#This Row],[FECHA FIN ]],Tabla1[[#This Row],[FECHA INICIO]])</f>
        <v>5</v>
      </c>
      <c r="M458" s="12"/>
      <c r="N458" s="12">
        <f>96+98+50</f>
        <v>244</v>
      </c>
      <c r="O458" s="28">
        <f>(Tabla1[[#This Row],[COSTO FIJO ]]/30)*Tabla1[[#This Row],[TOTAL DIAS PROYECTO]]+(Tabla1[[#This Row],[COSTO TEMPORAL]])</f>
        <v>40.666666666666664</v>
      </c>
      <c r="P458" s="12"/>
      <c r="Q458" s="12">
        <f>+(Tabla1[[#This Row],[COSTO COCHE]]/30)*Tabla1[[#This Row],[TOTAL DIAS PROYECTO]]</f>
        <v>0</v>
      </c>
      <c r="R458" s="12">
        <f>+Tabla1[[#This Row],[COSTO TOTAL ALOJAMIENTO]]+Tabla1[[#This Row],[COSTO TOTAL COCHE]]</f>
        <v>40.666666666666664</v>
      </c>
      <c r="S458" s="2"/>
      <c r="T458" s="2" t="s">
        <v>44</v>
      </c>
      <c r="U458" s="14">
        <v>45665</v>
      </c>
      <c r="V458" s="43">
        <v>45670</v>
      </c>
      <c r="W458" s="26"/>
      <c r="X458" s="2"/>
      <c r="Y458" s="11" t="s">
        <v>1361</v>
      </c>
      <c r="Z458" s="2" t="s">
        <v>36</v>
      </c>
      <c r="AA458" s="13">
        <v>-0.87734000000000001</v>
      </c>
      <c r="AB458" s="13" t="s">
        <v>10359</v>
      </c>
    </row>
    <row r="459" spans="1:28">
      <c r="A459" s="2" t="s">
        <v>8938</v>
      </c>
      <c r="B459" s="2" t="s">
        <v>606</v>
      </c>
      <c r="C459" s="97" t="s">
        <v>1362</v>
      </c>
      <c r="D459" s="2" t="s">
        <v>99</v>
      </c>
      <c r="E459" s="2" t="s">
        <v>422</v>
      </c>
      <c r="F459" s="11" t="s">
        <v>697</v>
      </c>
      <c r="G459" s="68" t="s">
        <v>698</v>
      </c>
      <c r="H459" s="2" t="s">
        <v>699</v>
      </c>
      <c r="I459" s="12" t="s">
        <v>700</v>
      </c>
      <c r="J459" s="22">
        <f>+Tabla1[[#This Row],[FECHA ENTRADA]]</f>
        <v>45810</v>
      </c>
      <c r="K459" s="8">
        <v>46252</v>
      </c>
      <c r="L459" s="23">
        <f>_xlfn.DAYS(Tabla1[[#This Row],[FECHA FIN ]],Tabla1[[#This Row],[FECHA INICIO]])</f>
        <v>442</v>
      </c>
      <c r="M459" s="12"/>
      <c r="N459" s="12">
        <v>690</v>
      </c>
      <c r="O459" s="24">
        <f>(Tabla1[[#This Row],[COSTO FIJO ]]/30)*Tabla1[[#This Row],[TOTAL DIAS PROYECTO]]+(Tabla1[[#This Row],[COSTO TEMPORAL]])</f>
        <v>10166</v>
      </c>
      <c r="P459" s="12"/>
      <c r="Q459" s="12">
        <f>+(Tabla1[[#This Row],[COSTO COCHE]]/30)*Tabla1[[#This Row],[TOTAL DIAS PROYECTO]]</f>
        <v>0</v>
      </c>
      <c r="R459" s="12">
        <f>+Tabla1[[#This Row],[COSTO TOTAL ALOJAMIENTO]]+Tabla1[[#This Row],[COSTO TOTAL COCHE]]</f>
        <v>10166</v>
      </c>
      <c r="S459" s="2"/>
      <c r="T459" s="14" t="s">
        <v>613</v>
      </c>
      <c r="U459" s="14">
        <v>45810</v>
      </c>
      <c r="V459" s="25"/>
      <c r="W459" s="12"/>
      <c r="X459" s="2">
        <v>1</v>
      </c>
      <c r="Y459" s="11" t="s">
        <v>701</v>
      </c>
      <c r="Z459" s="2" t="s">
        <v>702</v>
      </c>
      <c r="AA459" s="13">
        <v>-326.69799999999998</v>
      </c>
      <c r="AB459" s="13" t="s">
        <v>10373</v>
      </c>
    </row>
    <row r="460" spans="1:28">
      <c r="A460" s="2" t="s">
        <v>8725</v>
      </c>
      <c r="B460" s="2" t="s">
        <v>711</v>
      </c>
      <c r="C460" s="11" t="s">
        <v>458</v>
      </c>
      <c r="D460" s="2" t="s">
        <v>30</v>
      </c>
      <c r="E460" s="2" t="s">
        <v>648</v>
      </c>
      <c r="F460" s="11" t="s">
        <v>712</v>
      </c>
      <c r="G460" t="s">
        <v>713</v>
      </c>
      <c r="H460" s="2" t="s">
        <v>1363</v>
      </c>
      <c r="I460" s="12" t="s">
        <v>96</v>
      </c>
      <c r="J460" s="41">
        <f>+Tabla1[[#This Row],[FECHA ENTRADA]]</f>
        <v>45807</v>
      </c>
      <c r="K460" s="41">
        <v>46174</v>
      </c>
      <c r="L460" s="23">
        <f>_xlfn.DAYS(Tabla1[[#This Row],[FECHA FIN ]],Tabla1[[#This Row],[FECHA INICIO]])</f>
        <v>367</v>
      </c>
      <c r="M460" s="12"/>
      <c r="N460" s="24">
        <v>133.33333333333334</v>
      </c>
      <c r="O460" s="24">
        <f>(Tabla1[[#This Row],[COSTO FIJO ]]/30)*Tabla1[[#This Row],[TOTAL DIAS PROYECTO]]+(Tabla1[[#This Row],[COSTO TEMPORAL]])</f>
        <v>1631.1111111111111</v>
      </c>
      <c r="P460" s="12"/>
      <c r="Q460" s="12">
        <f>+(Tabla1[[#This Row],[COSTO COCHE]]/30)*Tabla1[[#This Row],[TOTAL DIAS PROYECTO]]</f>
        <v>0</v>
      </c>
      <c r="R460" s="12">
        <f>+Tabla1[[#This Row],[COSTO TOTAL ALOJAMIENTO]]+Tabla1[[#This Row],[COSTO TOTAL COCHE]]</f>
        <v>1631.1111111111111</v>
      </c>
      <c r="S460" s="2"/>
      <c r="T460" s="14" t="s">
        <v>35</v>
      </c>
      <c r="U460" s="14">
        <v>45807</v>
      </c>
      <c r="V460" s="98"/>
      <c r="W460" s="12">
        <v>400</v>
      </c>
      <c r="X460" s="2">
        <v>14</v>
      </c>
      <c r="Y460" s="11" t="s">
        <v>1364</v>
      </c>
      <c r="Z460" s="2" t="s">
        <v>36</v>
      </c>
      <c r="AA460" s="13" t="s">
        <v>10387</v>
      </c>
      <c r="AB460" s="13" t="s">
        <v>10388</v>
      </c>
    </row>
    <row r="461" spans="1:28">
      <c r="A461" s="2" t="s">
        <v>8939</v>
      </c>
      <c r="B461" s="2" t="s">
        <v>28</v>
      </c>
      <c r="C461" s="11" t="s">
        <v>1365</v>
      </c>
      <c r="D461" s="2" t="s">
        <v>30</v>
      </c>
      <c r="E461" s="2" t="s">
        <v>87</v>
      </c>
      <c r="F461" s="11" t="s">
        <v>567</v>
      </c>
      <c r="G461" s="11" t="s">
        <v>947</v>
      </c>
      <c r="H461" s="2" t="s">
        <v>1366</v>
      </c>
      <c r="I461" s="12" t="s">
        <v>1367</v>
      </c>
      <c r="J461" s="41">
        <f>+Tabla1[[#This Row],[FECHA ENTRADA]]</f>
        <v>45669</v>
      </c>
      <c r="K461" s="8">
        <v>45671</v>
      </c>
      <c r="L461" s="42">
        <f>_xlfn.DAYS(Tabla1[[#This Row],[FECHA FIN ]],Tabla1[[#This Row],[FECHA INICIO]])</f>
        <v>2</v>
      </c>
      <c r="M461" s="12"/>
      <c r="N461" s="12"/>
      <c r="O461" s="28">
        <f>(Tabla1[[#This Row],[COSTO FIJO ]]/30)*Tabla1[[#This Row],[TOTAL DIAS PROYECTO]]+(Tabla1[[#This Row],[COSTO TEMPORAL]])</f>
        <v>0</v>
      </c>
      <c r="P461" s="12"/>
      <c r="Q461" s="12">
        <f>+(Tabla1[[#This Row],[COSTO COCHE]]/30)*Tabla1[[#This Row],[TOTAL DIAS PROYECTO]]</f>
        <v>0</v>
      </c>
      <c r="R461" s="12">
        <f>+Tabla1[[#This Row],[COSTO TOTAL ALOJAMIENTO]]+Tabla1[[#This Row],[COSTO TOTAL COCHE]]</f>
        <v>0</v>
      </c>
      <c r="S461" s="2"/>
      <c r="T461" s="2" t="s">
        <v>35</v>
      </c>
      <c r="U461" s="14">
        <v>45669</v>
      </c>
      <c r="V461" s="43"/>
      <c r="W461" s="26"/>
      <c r="X461" s="16">
        <v>9</v>
      </c>
      <c r="Y461" s="11"/>
      <c r="Z461" s="2" t="s">
        <v>36</v>
      </c>
      <c r="AA461" s="13" t="s">
        <v>10335</v>
      </c>
      <c r="AB461" s="13">
        <v>404.16500000000002</v>
      </c>
    </row>
    <row r="462" spans="1:28">
      <c r="A462" s="2" t="s">
        <v>8863</v>
      </c>
      <c r="B462" s="2" t="s">
        <v>28</v>
      </c>
      <c r="C462" s="11" t="s">
        <v>1062</v>
      </c>
      <c r="D462" s="2" t="s">
        <v>30</v>
      </c>
      <c r="E462" s="2" t="s">
        <v>415</v>
      </c>
      <c r="F462" s="11" t="s">
        <v>1290</v>
      </c>
      <c r="G462" s="30" t="s">
        <v>1291</v>
      </c>
      <c r="H462" s="2" t="s">
        <v>1150</v>
      </c>
      <c r="I462" s="12" t="s">
        <v>800</v>
      </c>
      <c r="J462" s="41">
        <f>+Tabla1[[#This Row],[FECHA ENTRADA]]</f>
        <v>45635</v>
      </c>
      <c r="K462" s="22">
        <v>45672</v>
      </c>
      <c r="L462" s="42">
        <f>_xlfn.DAYS(Tabla1[[#This Row],[FECHA FIN ]],Tabla1[[#This Row],[FECHA INICIO]])</f>
        <v>37</v>
      </c>
      <c r="M462" s="12"/>
      <c r="N462" s="12"/>
      <c r="O462" s="28">
        <f>(Tabla1[[#This Row],[COSTO FIJO ]]/30)*Tabla1[[#This Row],[TOTAL DIAS PROYECTO]]+(Tabla1[[#This Row],[COSTO TEMPORAL]])</f>
        <v>0</v>
      </c>
      <c r="P462" s="12">
        <f>732.9/12</f>
        <v>61.074999999999996</v>
      </c>
      <c r="Q462" s="12">
        <f>+(Tabla1[[#This Row],[COSTO COCHE]]/30)*Tabla1[[#This Row],[TOTAL DIAS PROYECTO]]</f>
        <v>75.325833333333321</v>
      </c>
      <c r="R462" s="12">
        <f>+Tabla1[[#This Row],[COSTO TOTAL ALOJAMIENTO]]+Tabla1[[#This Row],[COSTO TOTAL COCHE]]</f>
        <v>75.325833333333321</v>
      </c>
      <c r="S462" s="2"/>
      <c r="T462" s="2" t="s">
        <v>35</v>
      </c>
      <c r="U462" s="14">
        <v>45635</v>
      </c>
      <c r="V462" s="43"/>
      <c r="W462" s="26">
        <v>580</v>
      </c>
      <c r="X462" s="2">
        <v>1</v>
      </c>
      <c r="Y462" s="31" t="s">
        <v>1368</v>
      </c>
      <c r="Z462" s="2" t="s">
        <v>36</v>
      </c>
      <c r="AA462" s="13">
        <v>-0.37739</v>
      </c>
      <c r="AB462" s="13" t="s">
        <v>10372</v>
      </c>
    </row>
    <row r="463" spans="1:28" ht="15" customHeight="1">
      <c r="A463" s="2" t="s">
        <v>8823</v>
      </c>
      <c r="B463" s="2" t="s">
        <v>368</v>
      </c>
      <c r="C463" s="11" t="s">
        <v>906</v>
      </c>
      <c r="D463" s="2" t="s">
        <v>30</v>
      </c>
      <c r="E463" s="2" t="s">
        <v>447</v>
      </c>
      <c r="F463" s="11" t="s">
        <v>840</v>
      </c>
      <c r="G463" s="21" t="s">
        <v>1095</v>
      </c>
      <c r="H463" s="2" t="s">
        <v>1369</v>
      </c>
      <c r="I463" s="12" t="s">
        <v>843</v>
      </c>
      <c r="J463" s="22">
        <f>+Tabla1[[#This Row],[FECHA ENTRADA]]</f>
        <v>45644</v>
      </c>
      <c r="K463" s="8">
        <v>45672</v>
      </c>
      <c r="L463" s="23">
        <f>_xlfn.DAYS(Tabla1[[#This Row],[FECHA FIN ]],Tabla1[[#This Row],[FECHA INICIO]])</f>
        <v>28</v>
      </c>
      <c r="M463" s="12"/>
      <c r="N463" s="12">
        <f>+(2500+450)/7</f>
        <v>421.42857142857144</v>
      </c>
      <c r="O463" s="24">
        <f>(Tabla1[[#This Row],[COSTO FIJO ]]/30)*Tabla1[[#This Row],[TOTAL DIAS PROYECTO]]+(Tabla1[[#This Row],[COSTO TEMPORAL]])</f>
        <v>393.33333333333331</v>
      </c>
      <c r="P463" s="12"/>
      <c r="Q463" s="12">
        <f>+(Tabla1[[#This Row],[COSTO COCHE]]/30)*Tabla1[[#This Row],[TOTAL DIAS PROYECTO]]</f>
        <v>0</v>
      </c>
      <c r="R463" s="12">
        <f>+Tabla1[[#This Row],[COSTO TOTAL ALOJAMIENTO]]+Tabla1[[#This Row],[COSTO TOTAL COCHE]]</f>
        <v>393.33333333333331</v>
      </c>
      <c r="S463" s="2"/>
      <c r="T463" s="2" t="s">
        <v>44</v>
      </c>
      <c r="U463" s="14">
        <v>45644</v>
      </c>
      <c r="V463" s="43">
        <v>45672</v>
      </c>
      <c r="W463" s="26"/>
      <c r="X463" s="2">
        <v>1</v>
      </c>
      <c r="Y463" s="11" t="s">
        <v>1370</v>
      </c>
      <c r="Z463" s="2" t="s">
        <v>36</v>
      </c>
      <c r="AA463" s="13">
        <v>-697.06100000000004</v>
      </c>
      <c r="AB463" s="13" t="s">
        <v>10377</v>
      </c>
    </row>
    <row r="464" spans="1:28" ht="15" customHeight="1">
      <c r="A464" s="2" t="s">
        <v>8940</v>
      </c>
      <c r="B464" s="2" t="s">
        <v>368</v>
      </c>
      <c r="C464" s="11" t="s">
        <v>1371</v>
      </c>
      <c r="D464" s="2" t="s">
        <v>30</v>
      </c>
      <c r="E464" s="2" t="s">
        <v>447</v>
      </c>
      <c r="F464" s="11" t="s">
        <v>840</v>
      </c>
      <c r="G464" s="49" t="s">
        <v>1095</v>
      </c>
      <c r="H464" s="2" t="s">
        <v>842</v>
      </c>
      <c r="I464" s="12" t="s">
        <v>843</v>
      </c>
      <c r="J464" s="41">
        <v>45566</v>
      </c>
      <c r="K464" s="8">
        <v>45672</v>
      </c>
      <c r="L464" s="42">
        <f>_xlfn.DAYS(Tabla1[[#This Row],[FECHA FIN ]],Tabla1[[#This Row],[FECHA INICIO]])</f>
        <v>106</v>
      </c>
      <c r="M464" s="12"/>
      <c r="N464" s="12">
        <f>+(2500+450)/7</f>
        <v>421.42857142857144</v>
      </c>
      <c r="O464" s="28">
        <f>(Tabla1[[#This Row],[COSTO FIJO ]]/30)*Tabla1[[#This Row],[TOTAL DIAS PROYECTO]]+(Tabla1[[#This Row],[COSTO TEMPORAL]])</f>
        <v>1489.047619047619</v>
      </c>
      <c r="P464" s="12"/>
      <c r="Q464" s="12">
        <f>+(Tabla1[[#This Row],[COSTO COCHE]]/30)*Tabla1[[#This Row],[TOTAL DIAS PROYECTO]]</f>
        <v>0</v>
      </c>
      <c r="R464" s="12">
        <f>+Tabla1[[#This Row],[COSTO TOTAL ALOJAMIENTO]]+Tabla1[[#This Row],[COSTO TOTAL COCHE]]</f>
        <v>1489.047619047619</v>
      </c>
      <c r="S464" s="2"/>
      <c r="T464" s="2" t="s">
        <v>44</v>
      </c>
      <c r="U464" s="14">
        <v>45566</v>
      </c>
      <c r="V464" s="43">
        <v>45672</v>
      </c>
      <c r="W464" s="26"/>
      <c r="X464" s="2">
        <v>1</v>
      </c>
      <c r="Y464" s="11" t="s">
        <v>1370</v>
      </c>
      <c r="Z464" s="2" t="s">
        <v>36</v>
      </c>
      <c r="AA464" s="13">
        <v>-697.06100000000004</v>
      </c>
      <c r="AB464" s="13" t="s">
        <v>10377</v>
      </c>
    </row>
    <row r="465" spans="1:28">
      <c r="A465" s="2" t="s">
        <v>8941</v>
      </c>
      <c r="B465" s="2" t="s">
        <v>28</v>
      </c>
      <c r="C465" s="52" t="s">
        <v>1372</v>
      </c>
      <c r="D465" s="2" t="s">
        <v>30</v>
      </c>
      <c r="E465" s="2" t="s">
        <v>415</v>
      </c>
      <c r="F465" s="11" t="s">
        <v>1290</v>
      </c>
      <c r="G465" s="30" t="s">
        <v>1291</v>
      </c>
      <c r="H465" s="2" t="s">
        <v>1373</v>
      </c>
      <c r="I465" s="12" t="s">
        <v>800</v>
      </c>
      <c r="J465" s="41">
        <f>+Tabla1[[#This Row],[FECHA ENTRADA]]</f>
        <v>45669</v>
      </c>
      <c r="K465" s="8">
        <v>45672</v>
      </c>
      <c r="L465" s="42">
        <f>_xlfn.DAYS(Tabla1[[#This Row],[FECHA FIN ]],Tabla1[[#This Row],[FECHA INICIO]])</f>
        <v>3</v>
      </c>
      <c r="M465" s="12"/>
      <c r="N465" s="12">
        <v>145</v>
      </c>
      <c r="O465" s="28">
        <f>(Tabla1[[#This Row],[COSTO FIJO ]]/30)*Tabla1[[#This Row],[TOTAL DIAS PROYECTO]]+(Tabla1[[#This Row],[COSTO TEMPORAL]])</f>
        <v>14.5</v>
      </c>
      <c r="P465" s="12">
        <f>732.9/12</f>
        <v>61.074999999999996</v>
      </c>
      <c r="Q465" s="12">
        <f>+(Tabla1[[#This Row],[COSTO COCHE]]/30)*Tabla1[[#This Row],[TOTAL DIAS PROYECTO]]</f>
        <v>6.1074999999999999</v>
      </c>
      <c r="R465" s="12">
        <f>+Tabla1[[#This Row],[COSTO TOTAL ALOJAMIENTO]]+Tabla1[[#This Row],[COSTO TOTAL COCHE]]</f>
        <v>20.607500000000002</v>
      </c>
      <c r="S465" s="2"/>
      <c r="T465" s="2" t="s">
        <v>35</v>
      </c>
      <c r="U465" s="14">
        <v>45669</v>
      </c>
      <c r="V465" s="43"/>
      <c r="W465" s="26"/>
      <c r="X465" s="2">
        <v>1</v>
      </c>
      <c r="Y465" s="31" t="s">
        <v>1368</v>
      </c>
      <c r="Z465" s="2" t="s">
        <v>36</v>
      </c>
      <c r="AA465" s="13">
        <v>-0.37739</v>
      </c>
      <c r="AB465" s="13" t="s">
        <v>10372</v>
      </c>
    </row>
    <row r="466" spans="1:28" ht="15" customHeight="1">
      <c r="A466" s="2" t="s">
        <v>8942</v>
      </c>
      <c r="B466" s="2" t="s">
        <v>28</v>
      </c>
      <c r="C466" s="11" t="s">
        <v>1374</v>
      </c>
      <c r="D466" s="2" t="s">
        <v>30</v>
      </c>
      <c r="E466" s="2" t="s">
        <v>87</v>
      </c>
      <c r="F466" s="11" t="s">
        <v>946</v>
      </c>
      <c r="G466" s="11" t="s">
        <v>947</v>
      </c>
      <c r="H466" s="2" t="s">
        <v>1366</v>
      </c>
      <c r="I466" s="12" t="s">
        <v>1367</v>
      </c>
      <c r="J466" s="41">
        <f>+Tabla1[[#This Row],[FECHA ENTRADA]]</f>
        <v>45669</v>
      </c>
      <c r="K466" s="8">
        <v>45672</v>
      </c>
      <c r="L466" s="42">
        <f>_xlfn.DAYS(Tabla1[[#This Row],[FECHA FIN ]],Tabla1[[#This Row],[FECHA INICIO]])</f>
        <v>3</v>
      </c>
      <c r="M466" s="12"/>
      <c r="N466" s="12"/>
      <c r="O466" s="28">
        <f>(Tabla1[[#This Row],[COSTO FIJO ]]/30)*Tabla1[[#This Row],[TOTAL DIAS PROYECTO]]+(Tabla1[[#This Row],[COSTO TEMPORAL]])</f>
        <v>0</v>
      </c>
      <c r="P466" s="12"/>
      <c r="Q466" s="12">
        <f>+(Tabla1[[#This Row],[COSTO COCHE]]/30)*Tabla1[[#This Row],[TOTAL DIAS PROYECTO]]</f>
        <v>0</v>
      </c>
      <c r="R466" s="12">
        <f>+Tabla1[[#This Row],[COSTO TOTAL ALOJAMIENTO]]+Tabla1[[#This Row],[COSTO TOTAL COCHE]]</f>
        <v>0</v>
      </c>
      <c r="S466" s="2"/>
      <c r="T466" s="2" t="s">
        <v>35</v>
      </c>
      <c r="U466" s="14">
        <v>45669</v>
      </c>
      <c r="V466" s="43"/>
      <c r="W466" s="26"/>
      <c r="X466" s="2">
        <v>4</v>
      </c>
      <c r="Y466" s="11"/>
      <c r="Z466" s="2" t="s">
        <v>36</v>
      </c>
      <c r="AA466" s="13" t="s">
        <v>10335</v>
      </c>
      <c r="AB466" s="13">
        <v>404.16500000000002</v>
      </c>
    </row>
    <row r="467" spans="1:28">
      <c r="A467" s="2" t="s">
        <v>8742</v>
      </c>
      <c r="B467" s="2" t="s">
        <v>368</v>
      </c>
      <c r="C467" s="86" t="s">
        <v>535</v>
      </c>
      <c r="D467" s="2" t="s">
        <v>30</v>
      </c>
      <c r="E467" s="2" t="s">
        <v>253</v>
      </c>
      <c r="F467" s="11" t="s">
        <v>1375</v>
      </c>
      <c r="G467" t="s">
        <v>1376</v>
      </c>
      <c r="H467" s="2" t="s">
        <v>1340</v>
      </c>
      <c r="I467" s="12" t="s">
        <v>666</v>
      </c>
      <c r="J467" s="41">
        <f>+Tabla1[[#This Row],[FECHA ENTRADA]]</f>
        <v>45666</v>
      </c>
      <c r="K467" s="41">
        <v>45672</v>
      </c>
      <c r="L467" s="42">
        <f>_xlfn.DAYS(Tabla1[[#This Row],[FECHA FIN ]],Tabla1[[#This Row],[FECHA INICIO]])</f>
        <v>6</v>
      </c>
      <c r="M467" s="12"/>
      <c r="N467" s="28">
        <v>577.5</v>
      </c>
      <c r="O467" s="28">
        <f>(Tabla1[[#This Row],[COSTO FIJO ]]/30)*Tabla1[[#This Row],[TOTAL DIAS PROYECTO]]+(Tabla1[[#This Row],[COSTO TEMPORAL]])</f>
        <v>115.5</v>
      </c>
      <c r="P467" s="12"/>
      <c r="Q467" s="12">
        <f>+(Tabla1[[#This Row],[COSTO COCHE]]/30)*Tabla1[[#This Row],[TOTAL DIAS PROYECTO]]</f>
        <v>0</v>
      </c>
      <c r="R467" s="12">
        <f>+Tabla1[[#This Row],[COSTO TOTAL ALOJAMIENTO]]+Tabla1[[#This Row],[COSTO TOTAL COCHE]]</f>
        <v>115.5</v>
      </c>
      <c r="S467" s="2"/>
      <c r="T467" s="2" t="s">
        <v>35</v>
      </c>
      <c r="U467" s="14">
        <v>45666</v>
      </c>
      <c r="V467" s="43"/>
      <c r="W467" s="26"/>
      <c r="X467" s="2">
        <v>5</v>
      </c>
      <c r="Y467" s="11"/>
      <c r="Z467" s="2" t="s">
        <v>36</v>
      </c>
      <c r="AA467" s="13" t="s">
        <v>10357</v>
      </c>
      <c r="AB467" s="13" t="s">
        <v>10358</v>
      </c>
    </row>
    <row r="468" spans="1:28" ht="15" customHeight="1">
      <c r="A468" s="2" t="s">
        <v>8927</v>
      </c>
      <c r="B468" s="2" t="s">
        <v>28</v>
      </c>
      <c r="C468" s="11" t="s">
        <v>1314</v>
      </c>
      <c r="D468" s="2" t="s">
        <v>30</v>
      </c>
      <c r="E468" s="2" t="s">
        <v>87</v>
      </c>
      <c r="F468" s="11" t="s">
        <v>567</v>
      </c>
      <c r="G468" s="11" t="s">
        <v>947</v>
      </c>
      <c r="H468" s="2" t="s">
        <v>1366</v>
      </c>
      <c r="I468" s="12" t="s">
        <v>1367</v>
      </c>
      <c r="J468" s="41">
        <f>+Tabla1[[#This Row],[FECHA ENTRADA]]</f>
        <v>45669</v>
      </c>
      <c r="K468" s="8">
        <v>45672</v>
      </c>
      <c r="L468" s="42">
        <f>_xlfn.DAYS(Tabla1[[#This Row],[FECHA FIN ]],Tabla1[[#This Row],[FECHA INICIO]])</f>
        <v>3</v>
      </c>
      <c r="M468" s="12"/>
      <c r="N468" s="28"/>
      <c r="O468" s="28">
        <f>(Tabla1[[#This Row],[COSTO FIJO ]]/30)*Tabla1[[#This Row],[TOTAL DIAS PROYECTO]]+(Tabla1[[#This Row],[COSTO TEMPORAL]])</f>
        <v>0</v>
      </c>
      <c r="P468" s="12"/>
      <c r="Q468" s="12">
        <f>+(Tabla1[[#This Row],[COSTO COCHE]]/30)*Tabla1[[#This Row],[TOTAL DIAS PROYECTO]]</f>
        <v>0</v>
      </c>
      <c r="R468" s="12">
        <f>+Tabla1[[#This Row],[COSTO TOTAL ALOJAMIENTO]]+Tabla1[[#This Row],[COSTO TOTAL COCHE]]</f>
        <v>0</v>
      </c>
      <c r="S468" s="2"/>
      <c r="T468" s="2" t="s">
        <v>35</v>
      </c>
      <c r="U468" s="14">
        <v>45669</v>
      </c>
      <c r="V468" s="43"/>
      <c r="W468" s="26"/>
      <c r="X468" s="16">
        <v>9</v>
      </c>
      <c r="Y468" s="11"/>
      <c r="Z468" s="2" t="s">
        <v>36</v>
      </c>
      <c r="AA468" s="13" t="s">
        <v>10335</v>
      </c>
      <c r="AB468" s="13">
        <v>404.16500000000002</v>
      </c>
    </row>
    <row r="469" spans="1:28" ht="15" customHeight="1">
      <c r="A469" s="2" t="s">
        <v>8943</v>
      </c>
      <c r="B469" s="2" t="s">
        <v>28</v>
      </c>
      <c r="C469" s="18" t="s">
        <v>1377</v>
      </c>
      <c r="D469" s="2" t="s">
        <v>30</v>
      </c>
      <c r="E469" s="2" t="s">
        <v>225</v>
      </c>
      <c r="F469" s="11" t="s">
        <v>1378</v>
      </c>
      <c r="G469" s="11" t="s">
        <v>707</v>
      </c>
      <c r="H469" s="2" t="s">
        <v>492</v>
      </c>
      <c r="I469" s="2" t="s">
        <v>228</v>
      </c>
      <c r="J469" s="8">
        <f>+Tabla1[[#This Row],[FECHA ENTRADA]]</f>
        <v>45337</v>
      </c>
      <c r="K469" s="8">
        <v>45443</v>
      </c>
      <c r="L469" s="13">
        <f>_xlfn.DAYS(Tabla1[[#This Row],[FECHA FIN ]],Tabla1[[#This Row],[FECHA INICIO]])</f>
        <v>106</v>
      </c>
      <c r="M469" s="12"/>
      <c r="N469" s="12">
        <v>260</v>
      </c>
      <c r="O469" s="12">
        <f>(Tabla1[[#This Row],[COSTO FIJO ]]/30)*Tabla1[[#This Row],[TOTAL DIAS PROYECTO]]+(Tabla1[[#This Row],[COSTO TEMPORAL]])</f>
        <v>918.66666666666663</v>
      </c>
      <c r="P469" s="12"/>
      <c r="Q469" s="12">
        <f>+(Tabla1[[#This Row],[COSTO COCHE]]/30)*Tabla1[[#This Row],[TOTAL DIAS PROYECTO]]</f>
        <v>0</v>
      </c>
      <c r="R469" s="12">
        <f>+Tabla1[[#This Row],[COSTO TOTAL ALOJAMIENTO]]+Tabla1[[#This Row],[COSTO TOTAL COCHE]]</f>
        <v>918.66666666666663</v>
      </c>
      <c r="S469" s="2"/>
      <c r="T469" s="2" t="s">
        <v>35</v>
      </c>
      <c r="U469" s="14">
        <v>45337</v>
      </c>
      <c r="V469" s="14"/>
      <c r="W469" s="15"/>
      <c r="X469" s="16">
        <v>10</v>
      </c>
      <c r="Y469" s="18" t="s">
        <v>1379</v>
      </c>
      <c r="Z469" s="2" t="s">
        <v>36</v>
      </c>
      <c r="AA469" s="13" t="s">
        <v>10353</v>
      </c>
      <c r="AB469" s="13" t="s">
        <v>10354</v>
      </c>
    </row>
    <row r="470" spans="1:28" ht="15" customHeight="1">
      <c r="A470" s="2" t="s">
        <v>8943</v>
      </c>
      <c r="B470" s="2" t="s">
        <v>28</v>
      </c>
      <c r="C470" s="99" t="s">
        <v>1377</v>
      </c>
      <c r="D470" s="2" t="s">
        <v>30</v>
      </c>
      <c r="E470" s="2" t="s">
        <v>939</v>
      </c>
      <c r="F470" s="11" t="s">
        <v>1253</v>
      </c>
      <c r="G470" s="11" t="s">
        <v>941</v>
      </c>
      <c r="H470" s="2" t="s">
        <v>1380</v>
      </c>
      <c r="I470" s="10" t="s">
        <v>943</v>
      </c>
      <c r="J470" s="8">
        <f>+Tabla1[[#This Row],[FECHA ENTRADA]]</f>
        <v>45444</v>
      </c>
      <c r="K470" s="8">
        <v>45674</v>
      </c>
      <c r="L470" s="13">
        <f>_xlfn.DAYS(Tabla1[[#This Row],[FECHA FIN ]],Tabla1[[#This Row],[FECHA INICIO]])</f>
        <v>230</v>
      </c>
      <c r="M470" s="12"/>
      <c r="N470" s="12"/>
      <c r="O470" s="12">
        <f>(Tabla1[[#This Row],[COSTO FIJO ]]/30)*Tabla1[[#This Row],[TOTAL DIAS PROYECTO]]+(Tabla1[[#This Row],[COSTO TEMPORAL]])</f>
        <v>0</v>
      </c>
      <c r="P470" s="12"/>
      <c r="Q470" s="12">
        <f>+(Tabla1[[#This Row],[COSTO COCHE]]/30)*Tabla1[[#This Row],[TOTAL DIAS PROYECTO]]</f>
        <v>0</v>
      </c>
      <c r="R470" s="12">
        <f>+Tabla1[[#This Row],[COSTO TOTAL ALOJAMIENTO]]+Tabla1[[#This Row],[COSTO TOTAL COCHE]]</f>
        <v>0</v>
      </c>
      <c r="S470" s="2"/>
      <c r="T470" s="2" t="s">
        <v>35</v>
      </c>
      <c r="U470" s="14">
        <v>45444</v>
      </c>
      <c r="V470" s="14"/>
      <c r="W470" s="80">
        <v>150</v>
      </c>
      <c r="X470" s="2">
        <v>1</v>
      </c>
      <c r="Y470" s="11" t="s">
        <v>1381</v>
      </c>
      <c r="Z470" s="2" t="s">
        <v>36</v>
      </c>
      <c r="AA470" s="13" t="s">
        <v>10405</v>
      </c>
      <c r="AB470" s="13" t="s">
        <v>10406</v>
      </c>
    </row>
    <row r="471" spans="1:28" ht="15" customHeight="1">
      <c r="A471" s="2" t="s">
        <v>8944</v>
      </c>
      <c r="B471" s="2" t="s">
        <v>28</v>
      </c>
      <c r="C471" s="18" t="s">
        <v>1382</v>
      </c>
      <c r="D471" s="2" t="s">
        <v>30</v>
      </c>
      <c r="E471" s="2" t="s">
        <v>109</v>
      </c>
      <c r="F471" s="11" t="s">
        <v>1383</v>
      </c>
      <c r="G471" s="11">
        <v>973283107</v>
      </c>
      <c r="H471" s="2" t="s">
        <v>1384</v>
      </c>
      <c r="I471" s="2" t="s">
        <v>52</v>
      </c>
      <c r="J471" s="8">
        <f>+Tabla1[[#This Row],[FECHA ENTRADA]]</f>
        <v>45468</v>
      </c>
      <c r="K471" s="22">
        <v>45821</v>
      </c>
      <c r="L471" s="13">
        <f>_xlfn.DAYS(Tabla1[[#This Row],[FECHA FIN ]],Tabla1[[#This Row],[FECHA INICIO]])</f>
        <v>353</v>
      </c>
      <c r="M471" s="12"/>
      <c r="N471" s="12"/>
      <c r="O471" s="12">
        <f>(Tabla1[[#This Row],[COSTO FIJO ]]/30)*Tabla1[[#This Row],[TOTAL DIAS PROYECTO]]+(Tabla1[[#This Row],[COSTO TEMPORAL]])</f>
        <v>0</v>
      </c>
      <c r="P471" s="12"/>
      <c r="Q471" s="12">
        <f>+(Tabla1[[#This Row],[COSTO COCHE]]/30)*Tabla1[[#This Row],[TOTAL DIAS PROYECTO]]</f>
        <v>0</v>
      </c>
      <c r="R471" s="12">
        <f>+Tabla1[[#This Row],[COSTO TOTAL ALOJAMIENTO]]+Tabla1[[#This Row],[COSTO TOTAL COCHE]]</f>
        <v>0</v>
      </c>
      <c r="S471" s="2"/>
      <c r="T471" s="2" t="s">
        <v>35</v>
      </c>
      <c r="U471" s="14">
        <v>45468</v>
      </c>
      <c r="V471" s="14"/>
      <c r="W471" s="26"/>
      <c r="X471" s="2">
        <v>15</v>
      </c>
      <c r="Y471" s="11" t="s">
        <v>1385</v>
      </c>
      <c r="Z471" s="2" t="s">
        <v>36</v>
      </c>
      <c r="AA471" s="13">
        <v>0.62217999999999996</v>
      </c>
      <c r="AB471" s="13" t="s">
        <v>10339</v>
      </c>
    </row>
    <row r="472" spans="1:28" ht="15" customHeight="1">
      <c r="A472" s="2" t="s">
        <v>8725</v>
      </c>
      <c r="B472" s="2" t="s">
        <v>28</v>
      </c>
      <c r="C472" s="18" t="s">
        <v>458</v>
      </c>
      <c r="D472" s="2" t="s">
        <v>30</v>
      </c>
      <c r="E472" s="2" t="s">
        <v>648</v>
      </c>
      <c r="F472" s="11" t="s">
        <v>1386</v>
      </c>
      <c r="G472" t="s">
        <v>1387</v>
      </c>
      <c r="H472" s="2" t="s">
        <v>1363</v>
      </c>
      <c r="I472" s="12" t="s">
        <v>96</v>
      </c>
      <c r="J472" s="41">
        <f>+Tabla1[[#This Row],[FECHA ENTRADA]]</f>
        <v>45683</v>
      </c>
      <c r="K472" s="8">
        <v>45807</v>
      </c>
      <c r="L472" s="42">
        <f>_xlfn.DAYS(Tabla1[[#This Row],[FECHA FIN ]],Tabla1[[#This Row],[FECHA INICIO]])</f>
        <v>124</v>
      </c>
      <c r="M472" s="12"/>
      <c r="N472" s="20">
        <f>700/2</f>
        <v>350</v>
      </c>
      <c r="O472" s="28">
        <f>(Tabla1[[#This Row],[COSTO FIJO ]]/30)*Tabla1[[#This Row],[TOTAL DIAS PROYECTO]]+(Tabla1[[#This Row],[COSTO TEMPORAL]])</f>
        <v>1446.6666666666665</v>
      </c>
      <c r="P472" s="12"/>
      <c r="Q472" s="12">
        <f>+(Tabla1[[#This Row],[COSTO COCHE]]/30)*Tabla1[[#This Row],[TOTAL DIAS PROYECTO]]</f>
        <v>0</v>
      </c>
      <c r="R472" s="12">
        <f>+Tabla1[[#This Row],[COSTO TOTAL ALOJAMIENTO]]+Tabla1[[#This Row],[COSTO TOTAL COCHE]]</f>
        <v>1446.6666666666665</v>
      </c>
      <c r="S472" s="2"/>
      <c r="T472" s="2" t="s">
        <v>35</v>
      </c>
      <c r="U472" s="14">
        <v>45683</v>
      </c>
      <c r="V472" s="79"/>
      <c r="W472" s="26">
        <v>500</v>
      </c>
      <c r="X472" s="2">
        <v>10</v>
      </c>
      <c r="Y472" s="11" t="s">
        <v>1361</v>
      </c>
      <c r="Z472" s="2" t="s">
        <v>36</v>
      </c>
      <c r="AA472" s="13" t="s">
        <v>10387</v>
      </c>
      <c r="AB472" s="13" t="s">
        <v>10388</v>
      </c>
    </row>
    <row r="473" spans="1:28">
      <c r="A473" s="2" t="s">
        <v>8684</v>
      </c>
      <c r="B473" s="2" t="s">
        <v>28</v>
      </c>
      <c r="C473" s="18" t="s">
        <v>282</v>
      </c>
      <c r="D473" s="2" t="s">
        <v>30</v>
      </c>
      <c r="E473" s="2" t="s">
        <v>415</v>
      </c>
      <c r="F473" s="11" t="s">
        <v>487</v>
      </c>
      <c r="G473" s="11" t="s">
        <v>488</v>
      </c>
      <c r="H473" s="2" t="s">
        <v>1388</v>
      </c>
      <c r="I473" s="12" t="s">
        <v>490</v>
      </c>
      <c r="J473" s="8">
        <f>+Tabla1[[#This Row],[FECHA ENTRADA]]</f>
        <v>45447</v>
      </c>
      <c r="K473" s="8">
        <v>45587</v>
      </c>
      <c r="L473" s="13">
        <f>_xlfn.DAYS(Tabla1[[#This Row],[FECHA FIN ]],Tabla1[[#This Row],[FECHA INICIO]])</f>
        <v>140</v>
      </c>
      <c r="M473" s="12"/>
      <c r="N473" s="12">
        <v>416.66666666666669</v>
      </c>
      <c r="O473" s="12">
        <f>(Tabla1[[#This Row],[COSTO FIJO ]]/30)*Tabla1[[#This Row],[TOTAL DIAS PROYECTO]]+(Tabla1[[#This Row],[COSTO TEMPORAL]])</f>
        <v>1944.4444444444446</v>
      </c>
      <c r="P473" s="12">
        <f>+(588.42*50%)/4</f>
        <v>73.552499999999995</v>
      </c>
      <c r="Q473" s="12">
        <f>+(Tabla1[[#This Row],[COSTO COCHE]]/30)*Tabla1[[#This Row],[TOTAL DIAS PROYECTO]]</f>
        <v>343.24499999999995</v>
      </c>
      <c r="R473" s="12">
        <f>+Tabla1[[#This Row],[COSTO TOTAL ALOJAMIENTO]]+Tabla1[[#This Row],[COSTO TOTAL COCHE]]</f>
        <v>2287.6894444444447</v>
      </c>
      <c r="S473" s="2"/>
      <c r="T473" s="2" t="s">
        <v>35</v>
      </c>
      <c r="U473" s="14">
        <v>45447</v>
      </c>
      <c r="V473" s="14"/>
      <c r="W473" s="26"/>
      <c r="X473" s="2">
        <v>5</v>
      </c>
      <c r="Y473" s="31" t="s">
        <v>1247</v>
      </c>
      <c r="Z473" s="2" t="s">
        <v>36</v>
      </c>
      <c r="AA473" s="13">
        <v>-0.37739</v>
      </c>
      <c r="AB473" s="13" t="s">
        <v>10372</v>
      </c>
    </row>
    <row r="474" spans="1:28">
      <c r="A474" s="2" t="s">
        <v>8888</v>
      </c>
      <c r="B474" s="2" t="s">
        <v>368</v>
      </c>
      <c r="C474" s="11" t="s">
        <v>1170</v>
      </c>
      <c r="D474" s="2" t="s">
        <v>30</v>
      </c>
      <c r="E474" s="2" t="s">
        <v>415</v>
      </c>
      <c r="F474" s="11" t="s">
        <v>1389</v>
      </c>
      <c r="G474" s="46" t="s">
        <v>1390</v>
      </c>
      <c r="H474" s="2" t="s">
        <v>1391</v>
      </c>
      <c r="I474" s="12" t="s">
        <v>1392</v>
      </c>
      <c r="J474" s="41">
        <f>+Tabla1[[#This Row],[FECHA ENTRADA]]</f>
        <v>45675</v>
      </c>
      <c r="K474" s="8">
        <v>45675</v>
      </c>
      <c r="L474" s="42">
        <f>_xlfn.DAYS(Tabla1[[#This Row],[FECHA FIN ]],Tabla1[[#This Row],[FECHA INICIO]])</f>
        <v>0</v>
      </c>
      <c r="M474" s="12"/>
      <c r="N474" s="12">
        <v>275</v>
      </c>
      <c r="O474" s="28">
        <f>(Tabla1[[#This Row],[COSTO FIJO ]]/30)*Tabla1[[#This Row],[TOTAL DIAS PROYECTO]]+(Tabla1[[#This Row],[COSTO TEMPORAL]])</f>
        <v>0</v>
      </c>
      <c r="P474" s="12">
        <v>100</v>
      </c>
      <c r="Q474" s="12">
        <f>+(Tabla1[[#This Row],[COSTO COCHE]]/30)*Tabla1[[#This Row],[TOTAL DIAS PROYECTO]]</f>
        <v>0</v>
      </c>
      <c r="R474" s="12">
        <f>+Tabla1[[#This Row],[COSTO TOTAL ALOJAMIENTO]]+Tabla1[[#This Row],[COSTO TOTAL COCHE]]</f>
        <v>0</v>
      </c>
      <c r="S474" s="2"/>
      <c r="T474" s="2" t="s">
        <v>35</v>
      </c>
      <c r="U474" s="14">
        <v>45675</v>
      </c>
      <c r="V474" s="43"/>
      <c r="W474" s="26"/>
      <c r="X474" s="2">
        <v>16</v>
      </c>
      <c r="Y474" s="11"/>
      <c r="Z474" s="2" t="s">
        <v>36</v>
      </c>
      <c r="AA474" s="13">
        <v>-0.37739</v>
      </c>
      <c r="AB474" s="13" t="s">
        <v>10372</v>
      </c>
    </row>
    <row r="475" spans="1:28" ht="15" customHeight="1">
      <c r="A475" s="2" t="s">
        <v>8889</v>
      </c>
      <c r="B475" s="2" t="s">
        <v>28</v>
      </c>
      <c r="C475" s="11" t="s">
        <v>1171</v>
      </c>
      <c r="D475" s="2" t="s">
        <v>30</v>
      </c>
      <c r="E475" s="2" t="s">
        <v>1393</v>
      </c>
      <c r="F475" s="11" t="s">
        <v>1394</v>
      </c>
      <c r="G475" s="46" t="s">
        <v>1395</v>
      </c>
      <c r="H475" s="2" t="s">
        <v>1396</v>
      </c>
      <c r="I475" s="12" t="s">
        <v>1067</v>
      </c>
      <c r="J475" s="41">
        <f>+Tabla1[[#This Row],[FECHA ENTRADA]]</f>
        <v>45671</v>
      </c>
      <c r="K475" s="8">
        <v>45677</v>
      </c>
      <c r="L475" s="42">
        <f>_xlfn.DAYS(Tabla1[[#This Row],[FECHA FIN ]],Tabla1[[#This Row],[FECHA INICIO]])</f>
        <v>6</v>
      </c>
      <c r="M475" s="12"/>
      <c r="N475" s="12">
        <v>73.599999999999994</v>
      </c>
      <c r="O475" s="28">
        <f>(Tabla1[[#This Row],[COSTO FIJO ]]/30)*Tabla1[[#This Row],[TOTAL DIAS PROYECTO]]+(Tabla1[[#This Row],[COSTO TEMPORAL]])</f>
        <v>14.719999999999999</v>
      </c>
      <c r="P475" s="12"/>
      <c r="Q475" s="12">
        <f>+(Tabla1[[#This Row],[COSTO COCHE]]/30)*Tabla1[[#This Row],[TOTAL DIAS PROYECTO]]</f>
        <v>0</v>
      </c>
      <c r="R475" s="12">
        <f>+Tabla1[[#This Row],[COSTO TOTAL ALOJAMIENTO]]+Tabla1[[#This Row],[COSTO TOTAL COCHE]]</f>
        <v>14.719999999999999</v>
      </c>
      <c r="S475" s="2"/>
      <c r="T475" s="2" t="s">
        <v>44</v>
      </c>
      <c r="U475" s="14">
        <v>45671</v>
      </c>
      <c r="V475" s="43">
        <v>45677</v>
      </c>
      <c r="W475" s="26"/>
      <c r="X475" s="2"/>
      <c r="Y475" s="11" t="s">
        <v>1166</v>
      </c>
      <c r="Z475" s="2" t="s">
        <v>36</v>
      </c>
      <c r="AA475" s="13" t="s">
        <v>10416</v>
      </c>
      <c r="AB475" s="13" t="s">
        <v>10417</v>
      </c>
    </row>
    <row r="476" spans="1:28" ht="15" customHeight="1">
      <c r="A476" s="2" t="s">
        <v>8945</v>
      </c>
      <c r="B476" s="2" t="s">
        <v>368</v>
      </c>
      <c r="C476" s="11" t="s">
        <v>1397</v>
      </c>
      <c r="D476" s="2" t="s">
        <v>1398</v>
      </c>
      <c r="E476" s="2" t="s">
        <v>288</v>
      </c>
      <c r="F476" s="11" t="s">
        <v>1399</v>
      </c>
      <c r="G476" s="49" t="s">
        <v>1400</v>
      </c>
      <c r="H476" s="2" t="s">
        <v>1401</v>
      </c>
      <c r="I476" s="29" t="s">
        <v>1402</v>
      </c>
      <c r="J476" s="22">
        <f>+Tabla1[[#This Row],[FECHA ENTRADA]]</f>
        <v>45670</v>
      </c>
      <c r="K476" s="41">
        <v>45677</v>
      </c>
      <c r="L476" s="23">
        <f>_xlfn.DAYS(Tabla1[[#This Row],[FECHA FIN ]],Tabla1[[#This Row],[FECHA INICIO]])</f>
        <v>7</v>
      </c>
      <c r="M476" s="12">
        <f>546.45/2</f>
        <v>273.22500000000002</v>
      </c>
      <c r="N476" s="24"/>
      <c r="O476" s="24">
        <f>(Tabla1[[#This Row],[COSTO FIJO ]]/30)*Tabla1[[#This Row],[TOTAL DIAS PROYECTO]]+(Tabla1[[#This Row],[COSTO TEMPORAL]])</f>
        <v>273.22500000000002</v>
      </c>
      <c r="P476" s="12"/>
      <c r="Q476" s="12">
        <f>+(Tabla1[[#This Row],[COSTO COCHE]]/30)*Tabla1[[#This Row],[TOTAL DIAS PROYECTO]]</f>
        <v>0</v>
      </c>
      <c r="R476" s="12">
        <f>+Tabla1[[#This Row],[COSTO TOTAL ALOJAMIENTO]]+Tabla1[[#This Row],[COSTO TOTAL COCHE]]</f>
        <v>273.22500000000002</v>
      </c>
      <c r="S476" s="2" t="s">
        <v>84</v>
      </c>
      <c r="T476" s="2" t="s">
        <v>44</v>
      </c>
      <c r="U476" s="14">
        <v>45670</v>
      </c>
      <c r="V476" s="25">
        <v>45679</v>
      </c>
      <c r="W476" s="26"/>
      <c r="X476" s="2"/>
      <c r="Y476" s="11"/>
      <c r="Z476" s="2" t="s">
        <v>36</v>
      </c>
      <c r="AA476" s="13" t="s">
        <v>10362</v>
      </c>
      <c r="AB476" s="13" t="s">
        <v>10363</v>
      </c>
    </row>
    <row r="477" spans="1:28" ht="15" customHeight="1">
      <c r="A477" s="2" t="s">
        <v>8946</v>
      </c>
      <c r="B477" s="2" t="s">
        <v>28</v>
      </c>
      <c r="C477" s="11" t="s">
        <v>1403</v>
      </c>
      <c r="D477" s="2" t="s">
        <v>30</v>
      </c>
      <c r="E477" s="2" t="s">
        <v>1404</v>
      </c>
      <c r="F477" s="11" t="s">
        <v>1405</v>
      </c>
      <c r="G477" s="46" t="s">
        <v>1406</v>
      </c>
      <c r="H477" s="2" t="s">
        <v>1407</v>
      </c>
      <c r="I477" s="12" t="s">
        <v>377</v>
      </c>
      <c r="J477" s="41">
        <f>+Tabla1[[#This Row],[FECHA ENTRADA]]</f>
        <v>45641</v>
      </c>
      <c r="K477" s="41">
        <v>45677</v>
      </c>
      <c r="L477" s="42">
        <f>_xlfn.DAYS(Tabla1[[#This Row],[FECHA FIN ]],Tabla1[[#This Row],[FECHA INICIO]])</f>
        <v>36</v>
      </c>
      <c r="M477" s="12"/>
      <c r="N477" s="12">
        <v>290.39999999999998</v>
      </c>
      <c r="O477" s="28">
        <f>(Tabla1[[#This Row],[COSTO FIJO ]]/30)*Tabla1[[#This Row],[TOTAL DIAS PROYECTO]]+(Tabla1[[#This Row],[COSTO TEMPORAL]])</f>
        <v>348.48</v>
      </c>
      <c r="P477" s="12"/>
      <c r="Q477" s="12">
        <f>+(Tabla1[[#This Row],[COSTO COCHE]]/30)*Tabla1[[#This Row],[TOTAL DIAS PROYECTO]]</f>
        <v>0</v>
      </c>
      <c r="R477" s="12">
        <f>+Tabla1[[#This Row],[COSTO TOTAL ALOJAMIENTO]]+Tabla1[[#This Row],[COSTO TOTAL COCHE]]</f>
        <v>348.48</v>
      </c>
      <c r="S477" s="2"/>
      <c r="T477" s="2" t="s">
        <v>44</v>
      </c>
      <c r="U477" s="14">
        <v>45641</v>
      </c>
      <c r="V477" s="43">
        <v>45687</v>
      </c>
      <c r="W477" s="26"/>
      <c r="X477" s="2"/>
      <c r="Y477" s="11"/>
      <c r="Z477" s="2" t="s">
        <v>36</v>
      </c>
      <c r="AA477" s="13" t="s">
        <v>10418</v>
      </c>
      <c r="AB477" s="13" t="s">
        <v>10419</v>
      </c>
    </row>
    <row r="478" spans="1:28" ht="15" customHeight="1">
      <c r="A478" s="2" t="s">
        <v>8930</v>
      </c>
      <c r="B478" s="2" t="s">
        <v>28</v>
      </c>
      <c r="C478" s="52" t="s">
        <v>1324</v>
      </c>
      <c r="D478" s="2" t="s">
        <v>30</v>
      </c>
      <c r="E478" s="2" t="s">
        <v>626</v>
      </c>
      <c r="F478" s="11" t="s">
        <v>1408</v>
      </c>
      <c r="G478" s="100" t="s">
        <v>1409</v>
      </c>
      <c r="H478" s="2" t="s">
        <v>1410</v>
      </c>
      <c r="I478" s="12" t="s">
        <v>794</v>
      </c>
      <c r="J478" s="41">
        <f>+Tabla1[[#This Row],[FECHA ENTRADA]]</f>
        <v>45759</v>
      </c>
      <c r="K478" s="41">
        <v>45677</v>
      </c>
      <c r="L478" s="42">
        <f>_xlfn.DAYS(Tabla1[[#This Row],[FECHA FIN ]],Tabla1[[#This Row],[FECHA INICIO]])</f>
        <v>-82</v>
      </c>
      <c r="M478" s="12"/>
      <c r="N478" s="24"/>
      <c r="O478" s="28">
        <f>(Tabla1[[#This Row],[COSTO FIJO ]]/30)*Tabla1[[#This Row],[TOTAL DIAS PROYECTO]]+(Tabla1[[#This Row],[COSTO TEMPORAL]])</f>
        <v>0</v>
      </c>
      <c r="P478" s="12"/>
      <c r="Q478" s="12">
        <f>+(Tabla1[[#This Row],[COSTO COCHE]]/30)*Tabla1[[#This Row],[TOTAL DIAS PROYECTO]]</f>
        <v>0</v>
      </c>
      <c r="R478" s="12">
        <f>+Tabla1[[#This Row],[COSTO TOTAL ALOJAMIENTO]]+Tabla1[[#This Row],[COSTO TOTAL COCHE]]</f>
        <v>0</v>
      </c>
      <c r="S478" s="2"/>
      <c r="T478" s="2" t="s">
        <v>35</v>
      </c>
      <c r="U478" s="14">
        <v>45759</v>
      </c>
      <c r="V478" s="75"/>
      <c r="W478" s="2"/>
      <c r="X478" s="2">
        <v>5</v>
      </c>
      <c r="Y478" s="11"/>
      <c r="Z478" s="2" t="s">
        <v>36</v>
      </c>
      <c r="AA478" s="13" t="s">
        <v>10385</v>
      </c>
      <c r="AB478" s="13" t="s">
        <v>10386</v>
      </c>
    </row>
    <row r="479" spans="1:28" ht="15" customHeight="1">
      <c r="A479" s="2" t="s">
        <v>8930</v>
      </c>
      <c r="B479" s="2" t="s">
        <v>28</v>
      </c>
      <c r="C479" s="11" t="s">
        <v>1324</v>
      </c>
      <c r="D479" s="2" t="s">
        <v>30</v>
      </c>
      <c r="E479" s="2" t="s">
        <v>626</v>
      </c>
      <c r="F479" s="11" t="s">
        <v>1041</v>
      </c>
      <c r="G479" s="46" t="s">
        <v>628</v>
      </c>
      <c r="H479" s="2" t="s">
        <v>1410</v>
      </c>
      <c r="I479" s="12" t="s">
        <v>794</v>
      </c>
      <c r="J479" s="41">
        <f>+Tabla1[[#This Row],[FECHA ENTRADA]]</f>
        <v>45671</v>
      </c>
      <c r="K479" s="8">
        <v>45677</v>
      </c>
      <c r="L479" s="42">
        <f>_xlfn.DAYS(Tabla1[[#This Row],[FECHA FIN ]],Tabla1[[#This Row],[FECHA INICIO]])</f>
        <v>6</v>
      </c>
      <c r="M479" s="12"/>
      <c r="N479" s="12"/>
      <c r="O479" s="28">
        <f>(Tabla1[[#This Row],[COSTO FIJO ]]/30)*Tabla1[[#This Row],[TOTAL DIAS PROYECTO]]+(Tabla1[[#This Row],[COSTO TEMPORAL]])</f>
        <v>0</v>
      </c>
      <c r="P479" s="12"/>
      <c r="Q479" s="12">
        <f>+(Tabla1[[#This Row],[COSTO COCHE]]/30)*Tabla1[[#This Row],[TOTAL DIAS PROYECTO]]</f>
        <v>0</v>
      </c>
      <c r="R479" s="12">
        <f>+Tabla1[[#This Row],[COSTO TOTAL ALOJAMIENTO]]+Tabla1[[#This Row],[COSTO TOTAL COCHE]]</f>
        <v>0</v>
      </c>
      <c r="S479" s="2"/>
      <c r="T479" s="2" t="s">
        <v>35</v>
      </c>
      <c r="U479" s="14">
        <v>45671</v>
      </c>
      <c r="V479" s="43"/>
      <c r="W479" s="26"/>
      <c r="X479" s="2">
        <v>23</v>
      </c>
      <c r="Y479" s="11"/>
      <c r="Z479" s="2" t="s">
        <v>36</v>
      </c>
      <c r="AA479" s="13" t="s">
        <v>10385</v>
      </c>
      <c r="AB479" s="13" t="s">
        <v>10386</v>
      </c>
    </row>
    <row r="480" spans="1:28" s="30" customFormat="1" ht="15" customHeight="1">
      <c r="A480" s="2" t="s">
        <v>8947</v>
      </c>
      <c r="B480" s="2" t="s">
        <v>606</v>
      </c>
      <c r="C480" s="101" t="s">
        <v>1411</v>
      </c>
      <c r="D480" s="2" t="s">
        <v>99</v>
      </c>
      <c r="E480" s="2" t="s">
        <v>415</v>
      </c>
      <c r="F480" s="11" t="s">
        <v>1412</v>
      </c>
      <c r="G480" s="49" t="s">
        <v>1413</v>
      </c>
      <c r="H480" s="2" t="s">
        <v>1414</v>
      </c>
      <c r="I480" s="12" t="s">
        <v>1415</v>
      </c>
      <c r="J480" s="102">
        <f>+Tabla1[[#This Row],[FECHA ENTRADA]]</f>
        <v>46204</v>
      </c>
      <c r="K480" s="22">
        <v>46242</v>
      </c>
      <c r="L480" s="42">
        <f>_xlfn.DAYS(Tabla1[[#This Row],[FECHA FIN ]],Tabla1[[#This Row],[FECHA INICIO]])</f>
        <v>38</v>
      </c>
      <c r="M480" s="12"/>
      <c r="N480" s="28">
        <v>500</v>
      </c>
      <c r="O480" s="28">
        <f>(Tabla1[[#This Row],[COSTO FIJO ]]/30)*Tabla1[[#This Row],[TOTAL DIAS PROYECTO]]+(Tabla1[[#This Row],[COSTO TEMPORAL]])</f>
        <v>633.33333333333337</v>
      </c>
      <c r="P480" s="12"/>
      <c r="Q480" s="12">
        <f>+(Tabla1[[#This Row],[COSTO COCHE]]/30)*Tabla1[[#This Row],[TOTAL DIAS PROYECTO]]</f>
        <v>0</v>
      </c>
      <c r="R480" s="12">
        <f>+Tabla1[[#This Row],[COSTO TOTAL ALOJAMIENTO]]+Tabla1[[#This Row],[COSTO TOTAL COCHE]]</f>
        <v>633.33333333333337</v>
      </c>
      <c r="S480" s="2"/>
      <c r="T480" s="14" t="s">
        <v>35</v>
      </c>
      <c r="U480" s="14">
        <v>46204</v>
      </c>
      <c r="V480" s="43"/>
      <c r="W480" s="12">
        <v>2000</v>
      </c>
      <c r="X480" s="2">
        <v>1</v>
      </c>
      <c r="Y480" s="11" t="s">
        <v>1416</v>
      </c>
      <c r="Z480" s="2" t="s">
        <v>702</v>
      </c>
      <c r="AA480" s="13">
        <v>-0.37739</v>
      </c>
      <c r="AB480" s="13" t="s">
        <v>10372</v>
      </c>
    </row>
    <row r="481" spans="1:28" ht="15" customHeight="1">
      <c r="A481" s="2" t="s">
        <v>8948</v>
      </c>
      <c r="B481" s="2" t="s">
        <v>28</v>
      </c>
      <c r="C481" s="11" t="s">
        <v>1417</v>
      </c>
      <c r="D481" s="2" t="s">
        <v>30</v>
      </c>
      <c r="E481" s="2" t="s">
        <v>985</v>
      </c>
      <c r="F481" s="11"/>
      <c r="G481" s="11"/>
      <c r="H481" s="2" t="s">
        <v>1418</v>
      </c>
      <c r="I481" s="12" t="s">
        <v>1272</v>
      </c>
      <c r="J481" s="8">
        <f>+Tabla1[[#This Row],[FECHA ENTRADA]]</f>
        <v>45496</v>
      </c>
      <c r="K481" s="8">
        <v>45678</v>
      </c>
      <c r="L481" s="13">
        <f>_xlfn.DAYS(Tabla1[[#This Row],[FECHA FIN ]],Tabla1[[#This Row],[FECHA INICIO]])</f>
        <v>182</v>
      </c>
      <c r="M481" s="12"/>
      <c r="N481" s="12">
        <f>186.66+112.5+78+46.75+55+86+250</f>
        <v>814.91</v>
      </c>
      <c r="O481" s="12">
        <f>(Tabla1[[#This Row],[COSTO FIJO ]]/30)*Tabla1[[#This Row],[TOTAL DIAS PROYECTO]]+(Tabla1[[#This Row],[COSTO TEMPORAL]])</f>
        <v>4943.7873333333328</v>
      </c>
      <c r="P481" s="12"/>
      <c r="Q481" s="12">
        <f>+(Tabla1[[#This Row],[COSTO COCHE]]/30)*Tabla1[[#This Row],[TOTAL DIAS PROYECTO]]</f>
        <v>0</v>
      </c>
      <c r="R481" s="12">
        <f>+Tabla1[[#This Row],[COSTO TOTAL ALOJAMIENTO]]+Tabla1[[#This Row],[COSTO TOTAL COCHE]]</f>
        <v>4943.7873333333328</v>
      </c>
      <c r="S481" s="2"/>
      <c r="T481" s="2" t="s">
        <v>58</v>
      </c>
      <c r="U481" s="14">
        <v>45496</v>
      </c>
      <c r="V481" s="14"/>
      <c r="W481" s="26"/>
      <c r="X481" s="2">
        <v>1</v>
      </c>
      <c r="Y481" s="11" t="s">
        <v>1419</v>
      </c>
      <c r="Z481" s="2" t="s">
        <v>36</v>
      </c>
      <c r="AA481" s="13" t="s">
        <v>10407</v>
      </c>
      <c r="AB481" s="13" t="s">
        <v>10408</v>
      </c>
    </row>
    <row r="482" spans="1:28">
      <c r="A482" s="2" t="s">
        <v>8808</v>
      </c>
      <c r="B482" s="2" t="s">
        <v>368</v>
      </c>
      <c r="C482" s="11" t="s">
        <v>851</v>
      </c>
      <c r="D482" s="2" t="s">
        <v>30</v>
      </c>
      <c r="E482" s="2" t="s">
        <v>31</v>
      </c>
      <c r="F482" s="11" t="s">
        <v>1305</v>
      </c>
      <c r="G482" s="11" t="s">
        <v>1306</v>
      </c>
      <c r="H482" s="2" t="s">
        <v>1420</v>
      </c>
      <c r="I482" s="12" t="s">
        <v>1421</v>
      </c>
      <c r="J482" s="41">
        <f>+Tabla1[[#This Row],[FECHA ENTRADA]]</f>
        <v>45574</v>
      </c>
      <c r="K482" s="8">
        <v>45678</v>
      </c>
      <c r="L482" s="42">
        <f>_xlfn.DAYS(Tabla1[[#This Row],[FECHA FIN ]],Tabla1[[#This Row],[FECHA INICIO]])</f>
        <v>104</v>
      </c>
      <c r="M482" s="12"/>
      <c r="N482" s="12">
        <v>400</v>
      </c>
      <c r="O482" s="28">
        <f>(Tabla1[[#This Row],[COSTO FIJO ]]/30)*Tabla1[[#This Row],[TOTAL DIAS PROYECTO]]+(Tabla1[[#This Row],[COSTO TEMPORAL]])</f>
        <v>1386.6666666666667</v>
      </c>
      <c r="P482" s="12"/>
      <c r="Q482" s="12">
        <f>+(Tabla1[[#This Row],[COSTO COCHE]]/30)*Tabla1[[#This Row],[TOTAL DIAS PROYECTO]]</f>
        <v>0</v>
      </c>
      <c r="R482" s="12">
        <f>+Tabla1[[#This Row],[COSTO TOTAL ALOJAMIENTO]]+Tabla1[[#This Row],[COSTO TOTAL COCHE]]</f>
        <v>1386.6666666666667</v>
      </c>
      <c r="S482" s="2"/>
      <c r="T482" s="2" t="s">
        <v>35</v>
      </c>
      <c r="U482" s="14">
        <v>45574</v>
      </c>
      <c r="V482" s="43"/>
      <c r="W482" s="26">
        <v>200</v>
      </c>
      <c r="X482" s="2">
        <v>23</v>
      </c>
      <c r="Y482" s="67" t="s">
        <v>1422</v>
      </c>
      <c r="Z482" s="2" t="s">
        <v>36</v>
      </c>
      <c r="AA482" s="13" t="s">
        <v>10323</v>
      </c>
      <c r="AB482" s="13" t="s">
        <v>10324</v>
      </c>
    </row>
    <row r="483" spans="1:28" ht="15" customHeight="1">
      <c r="A483" s="2" t="s">
        <v>8725</v>
      </c>
      <c r="B483" s="2" t="s">
        <v>28</v>
      </c>
      <c r="C483" s="11" t="s">
        <v>458</v>
      </c>
      <c r="D483" s="2" t="s">
        <v>30</v>
      </c>
      <c r="E483" s="2" t="s">
        <v>538</v>
      </c>
      <c r="F483" s="11" t="s">
        <v>1106</v>
      </c>
      <c r="G483" s="46"/>
      <c r="H483" s="2" t="s">
        <v>1423</v>
      </c>
      <c r="I483" s="12" t="s">
        <v>883</v>
      </c>
      <c r="J483" s="41">
        <f>+Tabla1[[#This Row],[FECHA ENTRADA]]</f>
        <v>45622</v>
      </c>
      <c r="K483" s="22">
        <v>45679</v>
      </c>
      <c r="L483" s="42">
        <f>_xlfn.DAYS(Tabla1[[#This Row],[FECHA FIN ]],Tabla1[[#This Row],[FECHA INICIO]])</f>
        <v>57</v>
      </c>
      <c r="M483" s="12"/>
      <c r="N483" s="12"/>
      <c r="O483" s="28">
        <f>(Tabla1[[#This Row],[COSTO FIJO ]]/30)*Tabla1[[#This Row],[TOTAL DIAS PROYECTO]]+(Tabla1[[#This Row],[COSTO TEMPORAL]])</f>
        <v>0</v>
      </c>
      <c r="P483" s="12"/>
      <c r="Q483" s="12">
        <f>+(Tabla1[[#This Row],[COSTO COCHE]]/30)*Tabla1[[#This Row],[TOTAL DIAS PROYECTO]]</f>
        <v>0</v>
      </c>
      <c r="R483" s="12">
        <f>+Tabla1[[#This Row],[COSTO TOTAL ALOJAMIENTO]]+Tabla1[[#This Row],[COSTO TOTAL COCHE]]</f>
        <v>0</v>
      </c>
      <c r="S483" s="2"/>
      <c r="T483" s="2" t="s">
        <v>8</v>
      </c>
      <c r="U483" s="14">
        <v>45622</v>
      </c>
      <c r="V483" s="43"/>
      <c r="W483" s="26"/>
      <c r="X483" s="2"/>
      <c r="Y483" s="11"/>
      <c r="Z483" s="2" t="s">
        <v>36</v>
      </c>
      <c r="AA483" s="13">
        <v>-378939</v>
      </c>
      <c r="AB483" s="13">
        <v>3776578</v>
      </c>
    </row>
    <row r="484" spans="1:28">
      <c r="A484" s="2" t="s">
        <v>8675</v>
      </c>
      <c r="B484" s="2" t="s">
        <v>28</v>
      </c>
      <c r="C484" s="11" t="s">
        <v>240</v>
      </c>
      <c r="D484" s="2" t="s">
        <v>30</v>
      </c>
      <c r="E484" s="2" t="s">
        <v>55</v>
      </c>
      <c r="F484" s="11"/>
      <c r="G484" s="46"/>
      <c r="H484" s="2" t="s">
        <v>1424</v>
      </c>
      <c r="I484" s="2" t="s">
        <v>236</v>
      </c>
      <c r="J484" s="41">
        <f>+Tabla1[[#This Row],[FECHA ENTRADA]]</f>
        <v>45564</v>
      </c>
      <c r="K484" s="8">
        <v>45680</v>
      </c>
      <c r="L484" s="42">
        <f>_xlfn.DAYS(Tabla1[[#This Row],[FECHA FIN ]],Tabla1[[#This Row],[FECHA INICIO]])</f>
        <v>116</v>
      </c>
      <c r="M484" s="12"/>
      <c r="N484" s="12">
        <f>1811.6/17</f>
        <v>106.56470588235294</v>
      </c>
      <c r="O484" s="28">
        <f>(Tabla1[[#This Row],[COSTO FIJO ]]/30)*Tabla1[[#This Row],[TOTAL DIAS PROYECTO]]+(Tabla1[[#This Row],[COSTO TEMPORAL]])</f>
        <v>412.05019607843138</v>
      </c>
      <c r="P484" s="12"/>
      <c r="Q484" s="12">
        <f>+(Tabla1[[#This Row],[COSTO COCHE]]/30)*Tabla1[[#This Row],[TOTAL DIAS PROYECTO]]</f>
        <v>0</v>
      </c>
      <c r="R484" s="12">
        <f>+Tabla1[[#This Row],[COSTO TOTAL ALOJAMIENTO]]+Tabla1[[#This Row],[COSTO TOTAL COCHE]]</f>
        <v>412.05019607843138</v>
      </c>
      <c r="S484" s="2"/>
      <c r="T484" s="2" t="s">
        <v>58</v>
      </c>
      <c r="U484" s="14">
        <v>45564</v>
      </c>
      <c r="V484" s="43"/>
      <c r="W484" s="26"/>
      <c r="X484" s="2"/>
      <c r="Y484" s="11" t="s">
        <v>1425</v>
      </c>
      <c r="Z484" s="2" t="s">
        <v>36</v>
      </c>
      <c r="AA484" s="13" t="s">
        <v>10327</v>
      </c>
      <c r="AB484" s="13" t="s">
        <v>10328</v>
      </c>
    </row>
    <row r="485" spans="1:28" ht="15" customHeight="1">
      <c r="A485" s="2" t="s">
        <v>8949</v>
      </c>
      <c r="B485" s="2" t="s">
        <v>28</v>
      </c>
      <c r="C485" s="18" t="s">
        <v>1426</v>
      </c>
      <c r="D485" s="2" t="s">
        <v>30</v>
      </c>
      <c r="E485" s="2" t="s">
        <v>109</v>
      </c>
      <c r="F485" s="11" t="s">
        <v>898</v>
      </c>
      <c r="G485" s="30" t="s">
        <v>899</v>
      </c>
      <c r="H485" s="2" t="s">
        <v>1179</v>
      </c>
      <c r="I485" s="2" t="s">
        <v>52</v>
      </c>
      <c r="J485" s="8">
        <f>+Tabla1[[#This Row],[FECHA ENTRADA]]</f>
        <v>45447</v>
      </c>
      <c r="K485" s="22">
        <v>45594</v>
      </c>
      <c r="L485" s="13">
        <f>_xlfn.DAYS(Tabla1[[#This Row],[FECHA FIN ]],Tabla1[[#This Row],[FECHA INICIO]])</f>
        <v>147</v>
      </c>
      <c r="M485" s="12"/>
      <c r="N485" s="12">
        <v>466.66</v>
      </c>
      <c r="O485" s="12">
        <f>(Tabla1[[#This Row],[COSTO FIJO ]]/30)*Tabla1[[#This Row],[TOTAL DIAS PROYECTO]]+(Tabla1[[#This Row],[COSTO TEMPORAL]])</f>
        <v>2286.634</v>
      </c>
      <c r="P485" s="12"/>
      <c r="Q485" s="12">
        <f>+(Tabla1[[#This Row],[COSTO COCHE]]/30)*Tabla1[[#This Row],[TOTAL DIAS PROYECTO]]</f>
        <v>0</v>
      </c>
      <c r="R485" s="12">
        <f>+Tabla1[[#This Row],[COSTO TOTAL ALOJAMIENTO]]+Tabla1[[#This Row],[COSTO TOTAL COCHE]]</f>
        <v>2286.634</v>
      </c>
      <c r="S485" s="2"/>
      <c r="T485" s="2" t="s">
        <v>35</v>
      </c>
      <c r="U485" s="14">
        <v>45447</v>
      </c>
      <c r="V485" s="8"/>
      <c r="W485" s="26"/>
      <c r="X485" s="2">
        <v>1</v>
      </c>
      <c r="Y485" s="11" t="s">
        <v>1427</v>
      </c>
      <c r="Z485" s="2" t="s">
        <v>36</v>
      </c>
      <c r="AA485" s="13">
        <v>0.62217999999999996</v>
      </c>
      <c r="AB485" s="13" t="s">
        <v>10339</v>
      </c>
    </row>
    <row r="486" spans="1:28" ht="15" customHeight="1">
      <c r="A486" s="2" t="s">
        <v>8835</v>
      </c>
      <c r="B486" s="2" t="s">
        <v>28</v>
      </c>
      <c r="C486" s="11" t="s">
        <v>954</v>
      </c>
      <c r="D486" s="2" t="s">
        <v>30</v>
      </c>
      <c r="E486" s="2" t="s">
        <v>109</v>
      </c>
      <c r="F486" s="11" t="s">
        <v>898</v>
      </c>
      <c r="G486" s="30" t="s">
        <v>899</v>
      </c>
      <c r="H486" s="2" t="s">
        <v>1179</v>
      </c>
      <c r="I486" s="2" t="s">
        <v>52</v>
      </c>
      <c r="J486" s="8">
        <f>+Tabla1[[#This Row],[FECHA ENTRADA]]</f>
        <v>45447</v>
      </c>
      <c r="K486" s="8">
        <v>45604</v>
      </c>
      <c r="L486" s="13">
        <f>_xlfn.DAYS(Tabla1[[#This Row],[FECHA FIN ]],Tabla1[[#This Row],[FECHA INICIO]])</f>
        <v>157</v>
      </c>
      <c r="M486" s="12"/>
      <c r="N486" s="12"/>
      <c r="O486" s="12">
        <f>(Tabla1[[#This Row],[COSTO FIJO ]]/30)*Tabla1[[#This Row],[TOTAL DIAS PROYECTO]]+(Tabla1[[#This Row],[COSTO TEMPORAL]])</f>
        <v>0</v>
      </c>
      <c r="P486" s="12"/>
      <c r="Q486" s="12">
        <f>+(Tabla1[[#This Row],[COSTO COCHE]]/30)*Tabla1[[#This Row],[TOTAL DIAS PROYECTO]]</f>
        <v>0</v>
      </c>
      <c r="R486" s="12">
        <f>+Tabla1[[#This Row],[COSTO TOTAL ALOJAMIENTO]]+Tabla1[[#This Row],[COSTO TOTAL COCHE]]</f>
        <v>0</v>
      </c>
      <c r="S486" s="2"/>
      <c r="T486" s="2" t="s">
        <v>35</v>
      </c>
      <c r="U486" s="14">
        <v>45447</v>
      </c>
      <c r="V486" s="8"/>
      <c r="W486" s="26">
        <v>1500</v>
      </c>
      <c r="X486" s="2">
        <v>1</v>
      </c>
      <c r="Y486" s="11" t="s">
        <v>1428</v>
      </c>
      <c r="Z486" s="2" t="s">
        <v>36</v>
      </c>
      <c r="AA486" s="13">
        <v>0.62217999999999996</v>
      </c>
      <c r="AB486" s="13" t="s">
        <v>10339</v>
      </c>
    </row>
    <row r="487" spans="1:28" ht="15" customHeight="1">
      <c r="A487" s="2" t="s">
        <v>8700</v>
      </c>
      <c r="B487" s="2" t="s">
        <v>28</v>
      </c>
      <c r="C487" s="11" t="s">
        <v>343</v>
      </c>
      <c r="D487" s="2" t="s">
        <v>30</v>
      </c>
      <c r="E487" s="2" t="s">
        <v>1404</v>
      </c>
      <c r="F487" s="11" t="s">
        <v>1405</v>
      </c>
      <c r="G487" s="46" t="s">
        <v>1406</v>
      </c>
      <c r="H487" s="2" t="s">
        <v>1407</v>
      </c>
      <c r="I487" s="12" t="s">
        <v>377</v>
      </c>
      <c r="J487" s="41">
        <f>+Tabla1[[#This Row],[FECHA ENTRADA]]</f>
        <v>45641</v>
      </c>
      <c r="K487" s="41">
        <v>45681</v>
      </c>
      <c r="L487" s="42">
        <f>_xlfn.DAYS(Tabla1[[#This Row],[FECHA FIN ]],Tabla1[[#This Row],[FECHA INICIO]])</f>
        <v>40</v>
      </c>
      <c r="M487" s="12"/>
      <c r="N487" s="12"/>
      <c r="O487" s="28">
        <f>(Tabla1[[#This Row],[COSTO FIJO ]]/30)*Tabla1[[#This Row],[TOTAL DIAS PROYECTO]]+(Tabla1[[#This Row],[COSTO TEMPORAL]])</f>
        <v>0</v>
      </c>
      <c r="P487" s="12"/>
      <c r="Q487" s="12">
        <f>+(Tabla1[[#This Row],[COSTO COCHE]]/30)*Tabla1[[#This Row],[TOTAL DIAS PROYECTO]]</f>
        <v>0</v>
      </c>
      <c r="R487" s="12">
        <f>+Tabla1[[#This Row],[COSTO TOTAL ALOJAMIENTO]]+Tabla1[[#This Row],[COSTO TOTAL COCHE]]</f>
        <v>0</v>
      </c>
      <c r="S487" s="2"/>
      <c r="T487" s="2" t="s">
        <v>44</v>
      </c>
      <c r="U487" s="14">
        <v>45641</v>
      </c>
      <c r="V487" s="43">
        <v>45687</v>
      </c>
      <c r="W487" s="26"/>
      <c r="X487" s="2"/>
      <c r="Y487" s="11"/>
      <c r="Z487" s="2" t="s">
        <v>36</v>
      </c>
      <c r="AA487" s="13" t="s">
        <v>10418</v>
      </c>
      <c r="AB487" s="13" t="s">
        <v>10419</v>
      </c>
    </row>
    <row r="488" spans="1:28" ht="15" customHeight="1">
      <c r="A488" s="2" t="s">
        <v>8847</v>
      </c>
      <c r="B488" s="2" t="s">
        <v>28</v>
      </c>
      <c r="C488" s="11" t="s">
        <v>1001</v>
      </c>
      <c r="D488" s="2" t="s">
        <v>30</v>
      </c>
      <c r="E488" s="2" t="s">
        <v>1404</v>
      </c>
      <c r="F488" s="11" t="s">
        <v>1405</v>
      </c>
      <c r="G488" s="46" t="s">
        <v>1406</v>
      </c>
      <c r="H488" s="2" t="s">
        <v>1407</v>
      </c>
      <c r="I488" s="12" t="s">
        <v>377</v>
      </c>
      <c r="J488" s="41">
        <f>+Tabla1[[#This Row],[FECHA ENTRADA]]</f>
        <v>45641</v>
      </c>
      <c r="K488" s="41">
        <v>45681</v>
      </c>
      <c r="L488" s="42">
        <f>_xlfn.DAYS(Tabla1[[#This Row],[FECHA FIN ]],Tabla1[[#This Row],[FECHA INICIO]])</f>
        <v>40</v>
      </c>
      <c r="M488" s="12"/>
      <c r="N488" s="12"/>
      <c r="O488" s="28">
        <f>(Tabla1[[#This Row],[COSTO FIJO ]]/30)*Tabla1[[#This Row],[TOTAL DIAS PROYECTO]]+(Tabla1[[#This Row],[COSTO TEMPORAL]])</f>
        <v>0</v>
      </c>
      <c r="P488" s="12"/>
      <c r="Q488" s="12">
        <f>+(Tabla1[[#This Row],[COSTO COCHE]]/30)*Tabla1[[#This Row],[TOTAL DIAS PROYECTO]]</f>
        <v>0</v>
      </c>
      <c r="R488" s="12">
        <f>+Tabla1[[#This Row],[COSTO TOTAL ALOJAMIENTO]]+Tabla1[[#This Row],[COSTO TOTAL COCHE]]</f>
        <v>0</v>
      </c>
      <c r="S488" s="2"/>
      <c r="T488" s="2" t="s">
        <v>44</v>
      </c>
      <c r="U488" s="14">
        <v>45641</v>
      </c>
      <c r="V488" s="43">
        <v>45687</v>
      </c>
      <c r="W488" s="26"/>
      <c r="X488" s="2"/>
      <c r="Y488" s="11"/>
      <c r="Z488" s="2" t="s">
        <v>36</v>
      </c>
      <c r="AA488" s="13" t="s">
        <v>10418</v>
      </c>
      <c r="AB488" s="13" t="s">
        <v>10419</v>
      </c>
    </row>
    <row r="489" spans="1:28" ht="15" customHeight="1">
      <c r="A489" s="2" t="s">
        <v>8641</v>
      </c>
      <c r="B489" s="2" t="s">
        <v>28</v>
      </c>
      <c r="C489" s="86" t="s">
        <v>86</v>
      </c>
      <c r="D489" s="2" t="s">
        <v>30</v>
      </c>
      <c r="E489" s="2" t="s">
        <v>1404</v>
      </c>
      <c r="F489" s="11" t="s">
        <v>1405</v>
      </c>
      <c r="G489" s="46" t="s">
        <v>1406</v>
      </c>
      <c r="H489" s="2" t="s">
        <v>1407</v>
      </c>
      <c r="I489" s="12" t="s">
        <v>377</v>
      </c>
      <c r="J489" s="41">
        <f>+Tabla1[[#This Row],[FECHA ENTRADA]]</f>
        <v>45641</v>
      </c>
      <c r="K489" s="41">
        <v>45681</v>
      </c>
      <c r="L489" s="42">
        <f>_xlfn.DAYS(Tabla1[[#This Row],[FECHA FIN ]],Tabla1[[#This Row],[FECHA INICIO]])</f>
        <v>40</v>
      </c>
      <c r="M489" s="12"/>
      <c r="N489" s="20">
        <v>544.5</v>
      </c>
      <c r="O489" s="28">
        <f>(Tabla1[[#This Row],[COSTO FIJO ]]/30)*Tabla1[[#This Row],[TOTAL DIAS PROYECTO]]+(Tabla1[[#This Row],[COSTO TEMPORAL]])</f>
        <v>726</v>
      </c>
      <c r="P489" s="12"/>
      <c r="Q489" s="12">
        <f>+(Tabla1[[#This Row],[COSTO COCHE]]/30)*Tabla1[[#This Row],[TOTAL DIAS PROYECTO]]</f>
        <v>0</v>
      </c>
      <c r="R489" s="12">
        <f>+Tabla1[[#This Row],[COSTO TOTAL ALOJAMIENTO]]+Tabla1[[#This Row],[COSTO TOTAL COCHE]]</f>
        <v>726</v>
      </c>
      <c r="S489" s="2"/>
      <c r="T489" s="2" t="s">
        <v>44</v>
      </c>
      <c r="U489" s="14">
        <v>45641</v>
      </c>
      <c r="V489" s="43">
        <v>45687</v>
      </c>
      <c r="W489" s="26"/>
      <c r="X489" s="2"/>
      <c r="Y489" s="11"/>
      <c r="Z489" s="2" t="s">
        <v>36</v>
      </c>
      <c r="AA489" s="13" t="s">
        <v>10418</v>
      </c>
      <c r="AB489" s="13" t="s">
        <v>10419</v>
      </c>
    </row>
    <row r="490" spans="1:28" ht="15" customHeight="1">
      <c r="A490" s="2" t="s">
        <v>8895</v>
      </c>
      <c r="B490" s="2" t="s">
        <v>28</v>
      </c>
      <c r="C490" s="11" t="s">
        <v>1189</v>
      </c>
      <c r="D490" s="2" t="s">
        <v>30</v>
      </c>
      <c r="E490" s="2" t="s">
        <v>1404</v>
      </c>
      <c r="F490" s="11" t="s">
        <v>1405</v>
      </c>
      <c r="G490" s="46" t="s">
        <v>1406</v>
      </c>
      <c r="H490" s="2" t="s">
        <v>1407</v>
      </c>
      <c r="I490" s="12" t="s">
        <v>377</v>
      </c>
      <c r="J490" s="41">
        <f>+Tabla1[[#This Row],[FECHA ENTRADA]]</f>
        <v>45641</v>
      </c>
      <c r="K490" s="41">
        <v>45681</v>
      </c>
      <c r="L490" s="42">
        <f>_xlfn.DAYS(Tabla1[[#This Row],[FECHA FIN ]],Tabla1[[#This Row],[FECHA INICIO]])</f>
        <v>40</v>
      </c>
      <c r="M490" s="12"/>
      <c r="N490" s="12">
        <v>290.39999999999998</v>
      </c>
      <c r="O490" s="28">
        <f>(Tabla1[[#This Row],[COSTO FIJO ]]/30)*Tabla1[[#This Row],[TOTAL DIAS PROYECTO]]+(Tabla1[[#This Row],[COSTO TEMPORAL]])</f>
        <v>387.2</v>
      </c>
      <c r="P490" s="12"/>
      <c r="Q490" s="12">
        <f>+(Tabla1[[#This Row],[COSTO COCHE]]/30)*Tabla1[[#This Row],[TOTAL DIAS PROYECTO]]</f>
        <v>0</v>
      </c>
      <c r="R490" s="12">
        <f>+Tabla1[[#This Row],[COSTO TOTAL ALOJAMIENTO]]+Tabla1[[#This Row],[COSTO TOTAL COCHE]]</f>
        <v>387.2</v>
      </c>
      <c r="S490" s="2"/>
      <c r="T490" s="2" t="s">
        <v>44</v>
      </c>
      <c r="U490" s="14">
        <v>45641</v>
      </c>
      <c r="V490" s="43">
        <v>45687</v>
      </c>
      <c r="W490" s="26"/>
      <c r="X490" s="2"/>
      <c r="Y490" s="11"/>
      <c r="Z490" s="2" t="s">
        <v>36</v>
      </c>
      <c r="AA490" s="13" t="s">
        <v>10418</v>
      </c>
      <c r="AB490" s="13" t="s">
        <v>10419</v>
      </c>
    </row>
    <row r="491" spans="1:28" ht="15" customHeight="1">
      <c r="A491" s="2" t="s">
        <v>8774</v>
      </c>
      <c r="B491" s="2" t="s">
        <v>28</v>
      </c>
      <c r="C491" s="11" t="s">
        <v>694</v>
      </c>
      <c r="D491" s="2" t="s">
        <v>30</v>
      </c>
      <c r="E491" s="2" t="s">
        <v>1404</v>
      </c>
      <c r="F491" s="11" t="s">
        <v>1405</v>
      </c>
      <c r="G491" s="46" t="s">
        <v>1406</v>
      </c>
      <c r="H491" s="2" t="s">
        <v>1407</v>
      </c>
      <c r="I491" s="12" t="s">
        <v>377</v>
      </c>
      <c r="J491" s="41">
        <f>+Tabla1[[#This Row],[FECHA ENTRADA]]</f>
        <v>45641</v>
      </c>
      <c r="K491" s="41">
        <v>45681</v>
      </c>
      <c r="L491" s="42">
        <f>_xlfn.DAYS(Tabla1[[#This Row],[FECHA FIN ]],Tabla1[[#This Row],[FECHA INICIO]])</f>
        <v>40</v>
      </c>
      <c r="M491" s="12"/>
      <c r="N491" s="28">
        <v>544.5</v>
      </c>
      <c r="O491" s="28">
        <f>(Tabla1[[#This Row],[COSTO FIJO ]]/30)*Tabla1[[#This Row],[TOTAL DIAS PROYECTO]]+(Tabla1[[#This Row],[COSTO TEMPORAL]])</f>
        <v>726</v>
      </c>
      <c r="P491" s="12"/>
      <c r="Q491" s="12">
        <f>+(Tabla1[[#This Row],[COSTO COCHE]]/30)*Tabla1[[#This Row],[TOTAL DIAS PROYECTO]]</f>
        <v>0</v>
      </c>
      <c r="R491" s="12">
        <f>+Tabla1[[#This Row],[COSTO TOTAL ALOJAMIENTO]]+Tabla1[[#This Row],[COSTO TOTAL COCHE]]</f>
        <v>726</v>
      </c>
      <c r="S491" s="2"/>
      <c r="T491" s="2" t="s">
        <v>44</v>
      </c>
      <c r="U491" s="14">
        <v>45641</v>
      </c>
      <c r="V491" s="43">
        <v>45687</v>
      </c>
      <c r="W491" s="26"/>
      <c r="X491" s="2"/>
      <c r="Y491" s="11"/>
      <c r="Z491" s="2" t="s">
        <v>36</v>
      </c>
      <c r="AA491" s="13" t="s">
        <v>10418</v>
      </c>
      <c r="AB491" s="13" t="s">
        <v>10419</v>
      </c>
    </row>
    <row r="492" spans="1:28" ht="15" customHeight="1">
      <c r="A492" s="2" t="s">
        <v>8840</v>
      </c>
      <c r="B492" s="2" t="s">
        <v>368</v>
      </c>
      <c r="C492" s="11" t="s">
        <v>974</v>
      </c>
      <c r="D492" s="2" t="s">
        <v>30</v>
      </c>
      <c r="E492" s="2" t="s">
        <v>855</v>
      </c>
      <c r="F492" s="11" t="s">
        <v>1429</v>
      </c>
      <c r="G492" s="46" t="s">
        <v>1430</v>
      </c>
      <c r="H492" s="2" t="s">
        <v>1431</v>
      </c>
      <c r="I492" s="12" t="s">
        <v>843</v>
      </c>
      <c r="J492" s="41">
        <f>+Tabla1[[#This Row],[FECHA ENTRADA]]</f>
        <v>45671</v>
      </c>
      <c r="K492" s="8">
        <v>45681</v>
      </c>
      <c r="L492" s="42">
        <f>_xlfn.DAYS(Tabla1[[#This Row],[FECHA FIN ]],Tabla1[[#This Row],[FECHA INICIO]])</f>
        <v>10</v>
      </c>
      <c r="M492" s="12"/>
      <c r="N492" s="12">
        <f>1001.98/4</f>
        <v>250.495</v>
      </c>
      <c r="O492" s="28">
        <f>(Tabla1[[#This Row],[COSTO FIJO ]]/30)*Tabla1[[#This Row],[TOTAL DIAS PROYECTO]]+(Tabla1[[#This Row],[COSTO TEMPORAL]])</f>
        <v>83.498333333333335</v>
      </c>
      <c r="P492" s="12"/>
      <c r="Q492" s="12">
        <f>+(Tabla1[[#This Row],[COSTO COCHE]]/30)*Tabla1[[#This Row],[TOTAL DIAS PROYECTO]]</f>
        <v>0</v>
      </c>
      <c r="R492" s="12">
        <f>+Tabla1[[#This Row],[COSTO TOTAL ALOJAMIENTO]]+Tabla1[[#This Row],[COSTO TOTAL COCHE]]</f>
        <v>83.498333333333335</v>
      </c>
      <c r="S492" s="2" t="s">
        <v>84</v>
      </c>
      <c r="T492" s="2" t="s">
        <v>44</v>
      </c>
      <c r="U492" s="14">
        <v>45671</v>
      </c>
      <c r="V492" s="43">
        <v>45689</v>
      </c>
      <c r="W492" s="26"/>
      <c r="X492" s="2"/>
      <c r="Y492" s="11"/>
      <c r="Z492" s="2" t="s">
        <v>36</v>
      </c>
      <c r="AA492" s="13" t="s">
        <v>10401</v>
      </c>
      <c r="AB492" s="13" t="s">
        <v>10402</v>
      </c>
    </row>
    <row r="493" spans="1:28" ht="15" customHeight="1">
      <c r="A493" s="2" t="s">
        <v>8950</v>
      </c>
      <c r="B493" s="30" t="s">
        <v>368</v>
      </c>
      <c r="C493" s="103" t="s">
        <v>1432</v>
      </c>
      <c r="D493" s="2" t="s">
        <v>30</v>
      </c>
      <c r="E493" s="2" t="s">
        <v>422</v>
      </c>
      <c r="F493" s="11" t="s">
        <v>1433</v>
      </c>
      <c r="G493" s="11">
        <v>944186216</v>
      </c>
      <c r="H493" s="2" t="s">
        <v>1434</v>
      </c>
      <c r="I493" s="12" t="s">
        <v>1435</v>
      </c>
      <c r="J493" s="8">
        <f>+Tabla1[[#This Row],[FECHA ENTRADA]]</f>
        <v>45491</v>
      </c>
      <c r="K493" s="8">
        <v>45492</v>
      </c>
      <c r="L493" s="13">
        <f>_xlfn.DAYS(Tabla1[[#This Row],[FECHA FIN ]],Tabla1[[#This Row],[FECHA INICIO]])</f>
        <v>1</v>
      </c>
      <c r="M493" s="12">
        <f>40.05+33.33</f>
        <v>73.38</v>
      </c>
      <c r="N493" s="20"/>
      <c r="O493" s="12">
        <f>(Tabla1[[#This Row],[COSTO FIJO ]]/30)*Tabla1[[#This Row],[TOTAL DIAS PROYECTO]]+(Tabla1[[#This Row],[COSTO TEMPORAL]])</f>
        <v>73.38</v>
      </c>
      <c r="P493" s="12"/>
      <c r="Q493" s="12">
        <f>+(Tabla1[[#This Row],[COSTO COCHE]]/30)*Tabla1[[#This Row],[TOTAL DIAS PROYECTO]]</f>
        <v>0</v>
      </c>
      <c r="R493" s="12">
        <f>+Tabla1[[#This Row],[COSTO TOTAL ALOJAMIENTO]]+Tabla1[[#This Row],[COSTO TOTAL COCHE]]</f>
        <v>73.38</v>
      </c>
      <c r="S493" s="2"/>
      <c r="T493" s="2" t="s">
        <v>44</v>
      </c>
      <c r="U493" s="14">
        <v>45491</v>
      </c>
      <c r="V493" s="14">
        <v>45496</v>
      </c>
      <c r="W493" s="26"/>
      <c r="X493" s="2"/>
      <c r="Y493" s="18" t="s">
        <v>407</v>
      </c>
      <c r="Z493" s="2" t="s">
        <v>36</v>
      </c>
      <c r="AA493" s="13">
        <v>-326.69799999999998</v>
      </c>
      <c r="AB493" s="13" t="s">
        <v>10373</v>
      </c>
    </row>
    <row r="494" spans="1:28" ht="15" customHeight="1">
      <c r="A494" s="2" t="s">
        <v>8798</v>
      </c>
      <c r="B494" s="2" t="s">
        <v>28</v>
      </c>
      <c r="C494" s="104" t="s">
        <v>813</v>
      </c>
      <c r="D494" s="2" t="s">
        <v>30</v>
      </c>
      <c r="E494" s="2" t="s">
        <v>55</v>
      </c>
      <c r="F494" s="11" t="s">
        <v>231</v>
      </c>
      <c r="G494" s="11" t="s">
        <v>106</v>
      </c>
      <c r="H494" s="2" t="s">
        <v>966</v>
      </c>
      <c r="I494" s="2" t="s">
        <v>236</v>
      </c>
      <c r="J494" s="41">
        <f>+Tabla1[[#This Row],[FECHA ENTRADA]]</f>
        <v>45592</v>
      </c>
      <c r="K494" s="8">
        <v>45681</v>
      </c>
      <c r="L494" s="42">
        <f>_xlfn.DAYS(Tabla1[[#This Row],[FECHA FIN ]],Tabla1[[#This Row],[FECHA INICIO]])</f>
        <v>89</v>
      </c>
      <c r="M494" s="12"/>
      <c r="N494" s="12"/>
      <c r="O494" s="28">
        <f>(Tabla1[[#This Row],[COSTO FIJO ]]/30)*Tabla1[[#This Row],[TOTAL DIAS PROYECTO]]+(Tabla1[[#This Row],[COSTO TEMPORAL]])</f>
        <v>0</v>
      </c>
      <c r="P494" s="12"/>
      <c r="Q494" s="12">
        <f>+(Tabla1[[#This Row],[COSTO COCHE]]/30)*Tabla1[[#This Row],[TOTAL DIAS PROYECTO]]</f>
        <v>0</v>
      </c>
      <c r="R494" s="12">
        <f>+Tabla1[[#This Row],[COSTO TOTAL ALOJAMIENTO]]+Tabla1[[#This Row],[COSTO TOTAL COCHE]]</f>
        <v>0</v>
      </c>
      <c r="S494" s="2"/>
      <c r="T494" s="2" t="s">
        <v>35</v>
      </c>
      <c r="U494" s="14">
        <v>45592</v>
      </c>
      <c r="V494" s="43"/>
      <c r="W494" s="26"/>
      <c r="X494" s="2">
        <v>5</v>
      </c>
      <c r="Y494" s="11" t="s">
        <v>1436</v>
      </c>
      <c r="Z494" s="2" t="s">
        <v>36</v>
      </c>
      <c r="AA494" s="13" t="s">
        <v>10327</v>
      </c>
      <c r="AB494" s="13" t="s">
        <v>10328</v>
      </c>
    </row>
    <row r="495" spans="1:28" ht="15" customHeight="1">
      <c r="A495" s="2" t="s">
        <v>8951</v>
      </c>
      <c r="B495" s="2" t="s">
        <v>28</v>
      </c>
      <c r="C495" s="11" t="s">
        <v>1437</v>
      </c>
      <c r="D495" s="2" t="s">
        <v>30</v>
      </c>
      <c r="E495" s="2" t="s">
        <v>55</v>
      </c>
      <c r="F495" s="11" t="s">
        <v>231</v>
      </c>
      <c r="G495" s="11" t="s">
        <v>106</v>
      </c>
      <c r="H495" s="2" t="s">
        <v>1438</v>
      </c>
      <c r="I495" s="12" t="s">
        <v>233</v>
      </c>
      <c r="J495" s="41">
        <f>+Tabla1[[#This Row],[FECHA ENTRADA]]</f>
        <v>45641</v>
      </c>
      <c r="K495" s="8">
        <v>45681</v>
      </c>
      <c r="L495" s="42">
        <f>_xlfn.DAYS(Tabla1[[#This Row],[FECHA FIN ]],Tabla1[[#This Row],[FECHA INICIO]])</f>
        <v>40</v>
      </c>
      <c r="M495" s="12"/>
      <c r="N495" s="12"/>
      <c r="O495" s="28">
        <f>(Tabla1[[#This Row],[COSTO FIJO ]]/30)*Tabla1[[#This Row],[TOTAL DIAS PROYECTO]]+(Tabla1[[#This Row],[COSTO TEMPORAL]])</f>
        <v>0</v>
      </c>
      <c r="P495" s="12"/>
      <c r="Q495" s="12">
        <f>+(Tabla1[[#This Row],[COSTO COCHE]]/30)*Tabla1[[#This Row],[TOTAL DIAS PROYECTO]]</f>
        <v>0</v>
      </c>
      <c r="R495" s="12">
        <f>+Tabla1[[#This Row],[COSTO TOTAL ALOJAMIENTO]]+Tabla1[[#This Row],[COSTO TOTAL COCHE]]</f>
        <v>0</v>
      </c>
      <c r="S495" s="2"/>
      <c r="T495" s="2" t="s">
        <v>35</v>
      </c>
      <c r="U495" s="14">
        <v>45641</v>
      </c>
      <c r="V495" s="43"/>
      <c r="W495" s="26"/>
      <c r="X495" s="2">
        <v>5</v>
      </c>
      <c r="Y495" s="11"/>
      <c r="Z495" s="2" t="s">
        <v>36</v>
      </c>
      <c r="AA495" s="13" t="s">
        <v>10327</v>
      </c>
      <c r="AB495" s="13" t="s">
        <v>10328</v>
      </c>
    </row>
    <row r="496" spans="1:28">
      <c r="A496" s="2" t="s">
        <v>8908</v>
      </c>
      <c r="B496" s="2" t="s">
        <v>368</v>
      </c>
      <c r="C496" s="11" t="s">
        <v>1236</v>
      </c>
      <c r="D496" s="2" t="s">
        <v>30</v>
      </c>
      <c r="E496" s="2" t="s">
        <v>55</v>
      </c>
      <c r="F496" s="11" t="s">
        <v>1439</v>
      </c>
      <c r="G496" s="46" t="s">
        <v>1440</v>
      </c>
      <c r="H496" s="2" t="s">
        <v>1441</v>
      </c>
      <c r="I496" s="12" t="s">
        <v>233</v>
      </c>
      <c r="J496" s="41">
        <f>+Tabla1[[#This Row],[FECHA ENTRADA]]</f>
        <v>45678</v>
      </c>
      <c r="K496" s="41">
        <v>45681</v>
      </c>
      <c r="L496" s="42">
        <f>_xlfn.DAYS(Tabla1[[#This Row],[FECHA FIN ]],Tabla1[[#This Row],[FECHA INICIO]])</f>
        <v>3</v>
      </c>
      <c r="M496" s="12"/>
      <c r="N496" s="12"/>
      <c r="O496" s="28">
        <f>(Tabla1[[#This Row],[COSTO FIJO ]]/30)*Tabla1[[#This Row],[TOTAL DIAS PROYECTO]]+(Tabla1[[#This Row],[COSTO TEMPORAL]])</f>
        <v>0</v>
      </c>
      <c r="P496" s="12"/>
      <c r="Q496" s="12">
        <f>+(Tabla1[[#This Row],[COSTO COCHE]]/30)*Tabla1[[#This Row],[TOTAL DIAS PROYECTO]]</f>
        <v>0</v>
      </c>
      <c r="R496" s="12">
        <f>+Tabla1[[#This Row],[COSTO TOTAL ALOJAMIENTO]]+Tabla1[[#This Row],[COSTO TOTAL COCHE]]</f>
        <v>0</v>
      </c>
      <c r="S496" s="2"/>
      <c r="T496" s="2" t="s">
        <v>35</v>
      </c>
      <c r="U496" s="14">
        <v>45678</v>
      </c>
      <c r="V496" s="43"/>
      <c r="W496" s="26"/>
      <c r="X496" s="2">
        <v>19</v>
      </c>
      <c r="Y496" s="11"/>
      <c r="Z496" s="2" t="s">
        <v>36</v>
      </c>
      <c r="AA496" s="13" t="s">
        <v>10327</v>
      </c>
      <c r="AB496" s="13" t="s">
        <v>10328</v>
      </c>
    </row>
    <row r="497" spans="1:28" ht="15" customHeight="1">
      <c r="A497" s="2" t="s">
        <v>8952</v>
      </c>
      <c r="B497" s="2" t="s">
        <v>368</v>
      </c>
      <c r="C497" s="11" t="s">
        <v>1442</v>
      </c>
      <c r="D497" s="10" t="s">
        <v>30</v>
      </c>
      <c r="E497" s="10" t="s">
        <v>1443</v>
      </c>
      <c r="F497" s="11" t="s">
        <v>1444</v>
      </c>
      <c r="G497" s="105" t="s">
        <v>1445</v>
      </c>
      <c r="H497" s="2" t="s">
        <v>1446</v>
      </c>
      <c r="I497" s="12" t="s">
        <v>1447</v>
      </c>
      <c r="J497" s="22">
        <f>+Tabla1[[#This Row],[FECHA ENTRADA]]</f>
        <v>45676</v>
      </c>
      <c r="K497" s="8">
        <v>45682</v>
      </c>
      <c r="L497" s="23">
        <f>_xlfn.DAYS(Tabla1[[#This Row],[FECHA FIN ]],Tabla1[[#This Row],[FECHA INICIO]])</f>
        <v>6</v>
      </c>
      <c r="M497" s="12"/>
      <c r="N497" s="12"/>
      <c r="O497" s="24">
        <f>(Tabla1[[#This Row],[COSTO FIJO ]]/30)*Tabla1[[#This Row],[TOTAL DIAS PROYECTO]]+(Tabla1[[#This Row],[COSTO TEMPORAL]])</f>
        <v>0</v>
      </c>
      <c r="P497" s="12"/>
      <c r="Q497" s="12">
        <f>+(Tabla1[[#This Row],[COSTO COCHE]]/30)*Tabla1[[#This Row],[TOTAL DIAS PROYECTO]]</f>
        <v>0</v>
      </c>
      <c r="R497" s="12">
        <f>+Tabla1[[#This Row],[COSTO TOTAL ALOJAMIENTO]]+Tabla1[[#This Row],[COSTO TOTAL COCHE]]</f>
        <v>0</v>
      </c>
      <c r="S497" s="2"/>
      <c r="T497" s="2" t="s">
        <v>528</v>
      </c>
      <c r="U497" s="14">
        <v>45676</v>
      </c>
      <c r="V497" s="79">
        <v>45688</v>
      </c>
      <c r="W497" s="2"/>
      <c r="X497" s="2"/>
      <c r="Y497" s="11"/>
      <c r="Z497" s="2" t="s">
        <v>36</v>
      </c>
      <c r="AA497" s="13" t="s">
        <v>10420</v>
      </c>
      <c r="AB497" s="13">
        <v>3907741</v>
      </c>
    </row>
    <row r="498" spans="1:28" ht="15" customHeight="1">
      <c r="A498" s="2" t="s">
        <v>8953</v>
      </c>
      <c r="B498" s="2" t="s">
        <v>28</v>
      </c>
      <c r="C498" s="86" t="s">
        <v>1448</v>
      </c>
      <c r="D498" s="2" t="s">
        <v>30</v>
      </c>
      <c r="E498" s="2" t="s">
        <v>31</v>
      </c>
      <c r="F498" s="11"/>
      <c r="G498" s="49"/>
      <c r="H498" s="2" t="s">
        <v>1449</v>
      </c>
      <c r="I498" s="2" t="s">
        <v>718</v>
      </c>
      <c r="J498" s="22">
        <f>+Tabla1[[#This Row],[FECHA ENTRADA]]</f>
        <v>45608</v>
      </c>
      <c r="K498" s="8">
        <v>45683</v>
      </c>
      <c r="L498" s="23">
        <f>_xlfn.DAYS(Tabla1[[#This Row],[FECHA FIN ]],Tabla1[[#This Row],[FECHA INICIO]])</f>
        <v>75</v>
      </c>
      <c r="M498" s="12">
        <f>1811.6/17</f>
        <v>106.56470588235294</v>
      </c>
      <c r="N498" s="12"/>
      <c r="O498" s="24">
        <f>(Tabla1[[#This Row],[COSTO FIJO ]]/30)*Tabla1[[#This Row],[TOTAL DIAS PROYECTO]]+(Tabla1[[#This Row],[COSTO TEMPORAL]])</f>
        <v>106.56470588235294</v>
      </c>
      <c r="P498" s="12"/>
      <c r="Q498" s="12">
        <f>+(Tabla1[[#This Row],[COSTO COCHE]]/30)*Tabla1[[#This Row],[TOTAL DIAS PROYECTO]]</f>
        <v>0</v>
      </c>
      <c r="R498" s="12">
        <f>+Tabla1[[#This Row],[COSTO TOTAL ALOJAMIENTO]]+Tabla1[[#This Row],[COSTO TOTAL COCHE]]</f>
        <v>106.56470588235294</v>
      </c>
      <c r="S498" s="2"/>
      <c r="T498" s="2" t="s">
        <v>58</v>
      </c>
      <c r="U498" s="14">
        <v>45608</v>
      </c>
      <c r="V498" s="25"/>
      <c r="W498" s="26"/>
      <c r="X498" s="2"/>
      <c r="Y498" s="11"/>
      <c r="Z498" s="2" t="s">
        <v>36</v>
      </c>
      <c r="AA498" s="13" t="s">
        <v>10323</v>
      </c>
      <c r="AB498" s="13" t="s">
        <v>10324</v>
      </c>
    </row>
    <row r="499" spans="1:28" ht="15" customHeight="1">
      <c r="A499" s="2" t="s">
        <v>8770</v>
      </c>
      <c r="B499" s="2" t="s">
        <v>28</v>
      </c>
      <c r="C499" s="11" t="s">
        <v>672</v>
      </c>
      <c r="D499" s="2" t="s">
        <v>30</v>
      </c>
      <c r="E499" s="2" t="s">
        <v>31</v>
      </c>
      <c r="F499" s="11" t="s">
        <v>1450</v>
      </c>
      <c r="G499" s="11" t="s">
        <v>1451</v>
      </c>
      <c r="H499" s="2" t="s">
        <v>1452</v>
      </c>
      <c r="I499" s="12" t="s">
        <v>1453</v>
      </c>
      <c r="J499" s="22">
        <f>+Tabla1[[#This Row],[FECHA ENTRADA]]</f>
        <v>45585</v>
      </c>
      <c r="K499" s="22">
        <v>45683</v>
      </c>
      <c r="L499" s="23">
        <f>_xlfn.DAYS(Tabla1[[#This Row],[FECHA FIN ]],Tabla1[[#This Row],[FECHA INICIO]])</f>
        <v>98</v>
      </c>
      <c r="M499" s="12"/>
      <c r="N499" s="20">
        <f>978.63/4</f>
        <v>244.6575</v>
      </c>
      <c r="O499" s="24">
        <f>(Tabla1[[#This Row],[COSTO FIJO ]]/30)*Tabla1[[#This Row],[TOTAL DIAS PROYECTO]]+(Tabla1[[#This Row],[COSTO TEMPORAL]])</f>
        <v>799.21450000000004</v>
      </c>
      <c r="P499" s="12"/>
      <c r="Q499" s="12">
        <f>+(Tabla1[[#This Row],[COSTO COCHE]]/30)*Tabla1[[#This Row],[TOTAL DIAS PROYECTO]]</f>
        <v>0</v>
      </c>
      <c r="R499" s="12">
        <f>+Tabla1[[#This Row],[COSTO TOTAL ALOJAMIENTO]]+Tabla1[[#This Row],[COSTO TOTAL COCHE]]</f>
        <v>799.21450000000004</v>
      </c>
      <c r="S499" s="2"/>
      <c r="T499" s="2" t="s">
        <v>35</v>
      </c>
      <c r="U499" s="14">
        <v>45585</v>
      </c>
      <c r="V499" s="25"/>
      <c r="W499" s="26"/>
      <c r="X499" s="2"/>
      <c r="Y499" s="11" t="s">
        <v>1454</v>
      </c>
      <c r="Z499" s="2" t="s">
        <v>36</v>
      </c>
      <c r="AA499" s="13" t="s">
        <v>10323</v>
      </c>
      <c r="AB499" s="13" t="s">
        <v>10324</v>
      </c>
    </row>
    <row r="500" spans="1:28">
      <c r="A500" s="2" t="s">
        <v>8954</v>
      </c>
      <c r="B500" s="2" t="s">
        <v>28</v>
      </c>
      <c r="C500" s="86" t="s">
        <v>1455</v>
      </c>
      <c r="D500" s="2" t="s">
        <v>30</v>
      </c>
      <c r="E500" s="2" t="s">
        <v>855</v>
      </c>
      <c r="F500" s="11" t="s">
        <v>856</v>
      </c>
      <c r="G500" s="21" t="s">
        <v>857</v>
      </c>
      <c r="H500" s="2" t="s">
        <v>1456</v>
      </c>
      <c r="I500" s="12" t="s">
        <v>1201</v>
      </c>
      <c r="J500" s="41">
        <f>+Tabla1[[#This Row],[FECHA ENTRADA]]</f>
        <v>45651</v>
      </c>
      <c r="K500" s="8">
        <v>45684</v>
      </c>
      <c r="L500" s="42">
        <f>_xlfn.DAYS(Tabla1[[#This Row],[FECHA FIN ]],Tabla1[[#This Row],[FECHA INICIO]])</f>
        <v>33</v>
      </c>
      <c r="M500" s="12"/>
      <c r="N500" s="28">
        <v>300</v>
      </c>
      <c r="O500" s="28">
        <f>(Tabla1[[#This Row],[COSTO FIJO ]]/30)*Tabla1[[#This Row],[TOTAL DIAS PROYECTO]]+(Tabla1[[#This Row],[COSTO TEMPORAL]])</f>
        <v>330</v>
      </c>
      <c r="P500" s="12"/>
      <c r="Q500" s="12">
        <f>+(Tabla1[[#This Row],[COSTO COCHE]]/30)*Tabla1[[#This Row],[TOTAL DIAS PROYECTO]]</f>
        <v>0</v>
      </c>
      <c r="R500" s="12">
        <f>+Tabla1[[#This Row],[COSTO TOTAL ALOJAMIENTO]]+Tabla1[[#This Row],[COSTO TOTAL COCHE]]</f>
        <v>330</v>
      </c>
      <c r="S500" s="2"/>
      <c r="T500" s="2" t="s">
        <v>35</v>
      </c>
      <c r="U500" s="14">
        <v>45651</v>
      </c>
      <c r="V500" s="43"/>
      <c r="W500" s="26"/>
      <c r="X500" s="2">
        <v>1</v>
      </c>
      <c r="Y500" s="11"/>
      <c r="Z500" s="2" t="s">
        <v>36</v>
      </c>
      <c r="AA500" s="13" t="s">
        <v>10401</v>
      </c>
      <c r="AB500" s="13" t="s">
        <v>10402</v>
      </c>
    </row>
    <row r="501" spans="1:28" ht="15" customHeight="1">
      <c r="A501" s="2" t="s">
        <v>8928</v>
      </c>
      <c r="B501" s="2" t="s">
        <v>1457</v>
      </c>
      <c r="C501" s="87" t="s">
        <v>1318</v>
      </c>
      <c r="D501" s="2" t="s">
        <v>72</v>
      </c>
      <c r="E501" s="10" t="s">
        <v>1458</v>
      </c>
      <c r="F501" s="11" t="s">
        <v>1459</v>
      </c>
      <c r="G501" s="46" t="s">
        <v>1460</v>
      </c>
      <c r="H501" s="2" t="s">
        <v>1461</v>
      </c>
      <c r="I501" s="12" t="s">
        <v>1288</v>
      </c>
      <c r="J501" s="41">
        <f>+Tabla1[[#This Row],[FECHA ENTRADA]]</f>
        <v>45672</v>
      </c>
      <c r="K501" s="41">
        <v>45684</v>
      </c>
      <c r="L501" s="42">
        <f>_xlfn.DAYS(Tabla1[[#This Row],[FECHA FIN ]],Tabla1[[#This Row],[FECHA INICIO]])</f>
        <v>12</v>
      </c>
      <c r="M501" s="12">
        <f>348.1/5+(1170/7)+(3500/7)</f>
        <v>736.76285714285711</v>
      </c>
      <c r="N501" s="20"/>
      <c r="O501" s="28">
        <f>(Tabla1[[#This Row],[COSTO FIJO ]]/30)*Tabla1[[#This Row],[TOTAL DIAS PROYECTO]]+(Tabla1[[#This Row],[COSTO TEMPORAL]])</f>
        <v>736.76285714285711</v>
      </c>
      <c r="P501" s="12">
        <f>1600/17</f>
        <v>94.117647058823536</v>
      </c>
      <c r="Q501" s="12">
        <f>+(Tabla1[[#This Row],[COSTO COCHE]]/30)*Tabla1[[#This Row],[TOTAL DIAS PROYECTO]]</f>
        <v>37.64705882352942</v>
      </c>
      <c r="R501" s="12">
        <f>+Tabla1[[#This Row],[COSTO TOTAL ALOJAMIENTO]]+Tabla1[[#This Row],[COSTO TOTAL COCHE]]</f>
        <v>774.40991596638651</v>
      </c>
      <c r="S501" s="2" t="s">
        <v>84</v>
      </c>
      <c r="T501" s="2" t="s">
        <v>44</v>
      </c>
      <c r="U501" s="14">
        <v>45672</v>
      </c>
      <c r="V501" s="43">
        <v>45715</v>
      </c>
      <c r="W501" s="26"/>
      <c r="X501" s="2"/>
      <c r="Y501" s="11"/>
      <c r="Z501" s="2" t="s">
        <v>36</v>
      </c>
      <c r="AA501" s="13" t="s">
        <v>10421</v>
      </c>
      <c r="AB501" s="13">
        <v>5113412</v>
      </c>
    </row>
    <row r="502" spans="1:28" ht="15" customHeight="1">
      <c r="A502" s="2" t="s">
        <v>8955</v>
      </c>
      <c r="B502" s="2" t="s">
        <v>28</v>
      </c>
      <c r="C502" s="31" t="s">
        <v>1462</v>
      </c>
      <c r="D502" s="2" t="s">
        <v>99</v>
      </c>
      <c r="E502" s="2" t="s">
        <v>253</v>
      </c>
      <c r="F502" s="11"/>
      <c r="G502" s="46"/>
      <c r="H502" s="2" t="s">
        <v>1463</v>
      </c>
      <c r="I502" s="2" t="s">
        <v>256</v>
      </c>
      <c r="J502" s="41">
        <f>+Tabla1[[#This Row],[FECHA ENTRADA]]</f>
        <v>45606</v>
      </c>
      <c r="K502" s="8">
        <v>45684</v>
      </c>
      <c r="L502" s="42">
        <f>_xlfn.DAYS(Tabla1[[#This Row],[FECHA FIN ]],Tabla1[[#This Row],[FECHA INICIO]])</f>
        <v>78</v>
      </c>
      <c r="M502" s="12"/>
      <c r="N502" s="12">
        <v>300</v>
      </c>
      <c r="O502" s="28">
        <f>(Tabla1[[#This Row],[COSTO FIJO ]]/30)*Tabla1[[#This Row],[TOTAL DIAS PROYECTO]]+(Tabla1[[#This Row],[COSTO TEMPORAL]])</f>
        <v>780</v>
      </c>
      <c r="P502" s="12"/>
      <c r="Q502" s="12">
        <f>+(Tabla1[[#This Row],[COSTO COCHE]]/30)*Tabla1[[#This Row],[TOTAL DIAS PROYECTO]]</f>
        <v>0</v>
      </c>
      <c r="R502" s="12">
        <f>+Tabla1[[#This Row],[COSTO TOTAL ALOJAMIENTO]]+Tabla1[[#This Row],[COSTO TOTAL COCHE]]</f>
        <v>780</v>
      </c>
      <c r="S502" s="2"/>
      <c r="T502" s="2" t="s">
        <v>58</v>
      </c>
      <c r="U502" s="14">
        <v>45606</v>
      </c>
      <c r="V502" s="43"/>
      <c r="W502" s="26"/>
      <c r="X502" s="2"/>
      <c r="Y502" s="11" t="s">
        <v>1464</v>
      </c>
      <c r="Z502" s="2" t="s">
        <v>36</v>
      </c>
      <c r="AA502" s="13" t="s">
        <v>10357</v>
      </c>
      <c r="AB502" s="13" t="s">
        <v>10358</v>
      </c>
    </row>
    <row r="503" spans="1:28" ht="15" customHeight="1">
      <c r="A503" s="2" t="s">
        <v>8835</v>
      </c>
      <c r="B503" s="2" t="s">
        <v>368</v>
      </c>
      <c r="C503" s="11" t="s">
        <v>954</v>
      </c>
      <c r="D503" s="2" t="s">
        <v>30</v>
      </c>
      <c r="E503" s="2" t="s">
        <v>213</v>
      </c>
      <c r="F503" s="11" t="s">
        <v>1196</v>
      </c>
      <c r="G503" s="21" t="s">
        <v>1197</v>
      </c>
      <c r="H503" s="2" t="s">
        <v>1465</v>
      </c>
      <c r="I503" s="12" t="s">
        <v>1208</v>
      </c>
      <c r="J503" s="41">
        <f>+Tabla1[[#This Row],[FECHA ENTRADA]]</f>
        <v>45669</v>
      </c>
      <c r="K503" s="41">
        <v>45685</v>
      </c>
      <c r="L503" s="42">
        <f>_xlfn.DAYS(Tabla1[[#This Row],[FECHA FIN ]],Tabla1[[#This Row],[FECHA INICIO]])</f>
        <v>16</v>
      </c>
      <c r="M503" s="12"/>
      <c r="N503" s="12"/>
      <c r="O503" s="28">
        <f>(Tabla1[[#This Row],[COSTO FIJO ]]/30)*Tabla1[[#This Row],[TOTAL DIAS PROYECTO]]+(Tabla1[[#This Row],[COSTO TEMPORAL]])</f>
        <v>0</v>
      </c>
      <c r="P503" s="12"/>
      <c r="Q503" s="12">
        <f>+(Tabla1[[#This Row],[COSTO COCHE]]/30)*Tabla1[[#This Row],[TOTAL DIAS PROYECTO]]</f>
        <v>0</v>
      </c>
      <c r="R503" s="12">
        <f>+Tabla1[[#This Row],[COSTO TOTAL ALOJAMIENTO]]+Tabla1[[#This Row],[COSTO TOTAL COCHE]]</f>
        <v>0</v>
      </c>
      <c r="S503" s="2"/>
      <c r="T503" s="2" t="s">
        <v>35</v>
      </c>
      <c r="U503" s="14">
        <v>45669</v>
      </c>
      <c r="V503" s="43"/>
      <c r="W503" s="26"/>
      <c r="X503" s="2">
        <v>1</v>
      </c>
      <c r="Y503" s="11"/>
      <c r="Z503" s="2" t="s">
        <v>36</v>
      </c>
      <c r="AA503" s="13" t="s">
        <v>10349</v>
      </c>
      <c r="AB503" s="13" t="s">
        <v>10350</v>
      </c>
    </row>
    <row r="504" spans="1:28" ht="15" customHeight="1">
      <c r="A504" s="2" t="s">
        <v>8642</v>
      </c>
      <c r="B504" s="2" t="s">
        <v>28</v>
      </c>
      <c r="C504" s="11" t="s">
        <v>1466</v>
      </c>
      <c r="D504" s="2" t="s">
        <v>30</v>
      </c>
      <c r="E504" s="2" t="s">
        <v>1404</v>
      </c>
      <c r="F504" s="11" t="s">
        <v>1405</v>
      </c>
      <c r="G504" s="46" t="s">
        <v>1406</v>
      </c>
      <c r="H504" s="2" t="s">
        <v>1407</v>
      </c>
      <c r="I504" s="12" t="s">
        <v>377</v>
      </c>
      <c r="J504" s="41">
        <f>+Tabla1[[#This Row],[FECHA ENTRADA]]</f>
        <v>45641</v>
      </c>
      <c r="K504" s="41">
        <v>45685</v>
      </c>
      <c r="L504" s="42">
        <f>_xlfn.DAYS(Tabla1[[#This Row],[FECHA FIN ]],Tabla1[[#This Row],[FECHA INICIO]])</f>
        <v>44</v>
      </c>
      <c r="M504" s="12"/>
      <c r="N504" s="12">
        <v>290.39999999999998</v>
      </c>
      <c r="O504" s="28">
        <f>(Tabla1[[#This Row],[COSTO FIJO ]]/30)*Tabla1[[#This Row],[TOTAL DIAS PROYECTO]]+(Tabla1[[#This Row],[COSTO TEMPORAL]])</f>
        <v>425.91999999999996</v>
      </c>
      <c r="P504" s="12"/>
      <c r="Q504" s="12">
        <f>+(Tabla1[[#This Row],[COSTO COCHE]]/30)*Tabla1[[#This Row],[TOTAL DIAS PROYECTO]]</f>
        <v>0</v>
      </c>
      <c r="R504" s="12">
        <f>+Tabla1[[#This Row],[COSTO TOTAL ALOJAMIENTO]]+Tabla1[[#This Row],[COSTO TOTAL COCHE]]</f>
        <v>425.91999999999996</v>
      </c>
      <c r="S504" s="2"/>
      <c r="T504" s="2" t="s">
        <v>44</v>
      </c>
      <c r="U504" s="14">
        <v>45641</v>
      </c>
      <c r="V504" s="43">
        <v>45687</v>
      </c>
      <c r="W504" s="26"/>
      <c r="X504" s="2"/>
      <c r="Y504" s="11"/>
      <c r="Z504" s="2" t="s">
        <v>36</v>
      </c>
      <c r="AA504" s="13" t="s">
        <v>10418</v>
      </c>
      <c r="AB504" s="13" t="s">
        <v>10419</v>
      </c>
    </row>
    <row r="505" spans="1:28" ht="15" customHeight="1">
      <c r="A505" s="2" t="s">
        <v>8719</v>
      </c>
      <c r="B505" s="2" t="s">
        <v>368</v>
      </c>
      <c r="C505" s="86" t="s">
        <v>438</v>
      </c>
      <c r="D505" s="2" t="s">
        <v>30</v>
      </c>
      <c r="E505" s="2" t="s">
        <v>213</v>
      </c>
      <c r="F505" s="11" t="s">
        <v>1196</v>
      </c>
      <c r="G505" s="21" t="s">
        <v>1197</v>
      </c>
      <c r="H505" s="2" t="s">
        <v>1465</v>
      </c>
      <c r="I505" s="12" t="s">
        <v>1208</v>
      </c>
      <c r="J505" s="41">
        <f>+Tabla1[[#This Row],[FECHA ENTRADA]]</f>
        <v>45669</v>
      </c>
      <c r="K505" s="41">
        <v>45685</v>
      </c>
      <c r="L505" s="42">
        <f>_xlfn.DAYS(Tabla1[[#This Row],[FECHA FIN ]],Tabla1[[#This Row],[FECHA INICIO]])</f>
        <v>16</v>
      </c>
      <c r="M505" s="12"/>
      <c r="N505" s="24">
        <v>358.75</v>
      </c>
      <c r="O505" s="28">
        <f>(Tabla1[[#This Row],[COSTO FIJO ]]/30)*Tabla1[[#This Row],[TOTAL DIAS PROYECTO]]+(Tabla1[[#This Row],[COSTO TEMPORAL]])</f>
        <v>191.33333333333334</v>
      </c>
      <c r="P505" s="12"/>
      <c r="Q505" s="12">
        <f>+(Tabla1[[#This Row],[COSTO COCHE]]/30)*Tabla1[[#This Row],[TOTAL DIAS PROYECTO]]</f>
        <v>0</v>
      </c>
      <c r="R505" s="12">
        <f>+Tabla1[[#This Row],[COSTO TOTAL ALOJAMIENTO]]+Tabla1[[#This Row],[COSTO TOTAL COCHE]]</f>
        <v>191.33333333333334</v>
      </c>
      <c r="S505" s="2"/>
      <c r="T505" s="2" t="s">
        <v>35</v>
      </c>
      <c r="U505" s="14">
        <v>45669</v>
      </c>
      <c r="V505" s="43"/>
      <c r="W505" s="26"/>
      <c r="X505" s="2">
        <v>1</v>
      </c>
      <c r="Y505" s="11"/>
      <c r="Z505" s="2" t="s">
        <v>36</v>
      </c>
      <c r="AA505" s="13" t="s">
        <v>10349</v>
      </c>
      <c r="AB505" s="13" t="s">
        <v>10350</v>
      </c>
    </row>
    <row r="506" spans="1:28">
      <c r="A506" s="2" t="s">
        <v>8956</v>
      </c>
      <c r="B506" s="2" t="s">
        <v>28</v>
      </c>
      <c r="C506" s="11" t="s">
        <v>1467</v>
      </c>
      <c r="D506" s="2" t="s">
        <v>30</v>
      </c>
      <c r="E506" s="2" t="s">
        <v>31</v>
      </c>
      <c r="F506" s="11" t="s">
        <v>530</v>
      </c>
      <c r="G506" s="49" t="s">
        <v>531</v>
      </c>
      <c r="H506" s="2" t="s">
        <v>1468</v>
      </c>
      <c r="I506" s="12" t="s">
        <v>34</v>
      </c>
      <c r="J506" s="41">
        <f>+Tabla1[[#This Row],[FECHA ENTRADA]]</f>
        <v>45686</v>
      </c>
      <c r="K506" s="22">
        <v>45686</v>
      </c>
      <c r="L506" s="42">
        <f>_xlfn.DAYS(Tabla1[[#This Row],[FECHA FIN ]],Tabla1[[#This Row],[FECHA INICIO]])</f>
        <v>0</v>
      </c>
      <c r="M506" s="12"/>
      <c r="N506" s="12"/>
      <c r="O506" s="28">
        <f>(Tabla1[[#This Row],[COSTO FIJO ]]/30)*Tabla1[[#This Row],[TOTAL DIAS PROYECTO]]+(Tabla1[[#This Row],[COSTO TEMPORAL]])</f>
        <v>0</v>
      </c>
      <c r="P506" s="12">
        <f>942.69/16</f>
        <v>58.918125000000003</v>
      </c>
      <c r="Q506" s="12">
        <f>+(Tabla1[[#This Row],[COSTO COCHE]]/30)*Tabla1[[#This Row],[TOTAL DIAS PROYECTO]]</f>
        <v>0</v>
      </c>
      <c r="R506" s="12">
        <f>+Tabla1[[#This Row],[COSTO TOTAL ALOJAMIENTO]]+Tabla1[[#This Row],[COSTO TOTAL COCHE]]</f>
        <v>0</v>
      </c>
      <c r="S506" s="2"/>
      <c r="T506" s="2" t="s">
        <v>35</v>
      </c>
      <c r="U506" s="14">
        <v>45686</v>
      </c>
      <c r="V506" s="43"/>
      <c r="W506" s="26"/>
      <c r="X506" s="2">
        <v>1</v>
      </c>
      <c r="Y506" s="11" t="s">
        <v>1469</v>
      </c>
      <c r="Z506" s="2" t="s">
        <v>36</v>
      </c>
      <c r="AA506" s="13" t="s">
        <v>10323</v>
      </c>
      <c r="AB506" s="13" t="s">
        <v>10324</v>
      </c>
    </row>
    <row r="507" spans="1:28" ht="15" customHeight="1">
      <c r="A507" s="2" t="s">
        <v>8835</v>
      </c>
      <c r="B507" s="2" t="s">
        <v>28</v>
      </c>
      <c r="C507" s="11" t="s">
        <v>954</v>
      </c>
      <c r="D507" s="2" t="s">
        <v>30</v>
      </c>
      <c r="E507" s="2" t="s">
        <v>109</v>
      </c>
      <c r="F507" s="11" t="s">
        <v>898</v>
      </c>
      <c r="G507" t="s">
        <v>899</v>
      </c>
      <c r="H507" s="2" t="s">
        <v>1470</v>
      </c>
      <c r="I507" s="2" t="s">
        <v>52</v>
      </c>
      <c r="J507" s="41">
        <f>+Tabla1[[#This Row],[FECHA ENTRADA]]</f>
        <v>45599</v>
      </c>
      <c r="K507" s="8">
        <v>45607</v>
      </c>
      <c r="L507" s="42">
        <f>_xlfn.DAYS(Tabla1[[#This Row],[FECHA FIN ]],Tabla1[[#This Row],[FECHA INICIO]])</f>
        <v>8</v>
      </c>
      <c r="M507" s="12"/>
      <c r="N507" s="12"/>
      <c r="O507" s="28">
        <f>(Tabla1[[#This Row],[COSTO FIJO ]]/30)*Tabla1[[#This Row],[TOTAL DIAS PROYECTO]]+(Tabla1[[#This Row],[COSTO TEMPORAL]])</f>
        <v>0</v>
      </c>
      <c r="P507" s="12"/>
      <c r="Q507" s="12">
        <f>+(Tabla1[[#This Row],[COSTO COCHE]]/30)*Tabla1[[#This Row],[TOTAL DIAS PROYECTO]]</f>
        <v>0</v>
      </c>
      <c r="R507" s="12">
        <f>+Tabla1[[#This Row],[COSTO TOTAL ALOJAMIENTO]]+Tabla1[[#This Row],[COSTO TOTAL COCHE]]</f>
        <v>0</v>
      </c>
      <c r="S507" s="2"/>
      <c r="T507" s="2" t="s">
        <v>35</v>
      </c>
      <c r="U507" s="14">
        <v>45599</v>
      </c>
      <c r="V507" s="43"/>
      <c r="W507" s="26"/>
      <c r="X507" s="2">
        <v>1</v>
      </c>
      <c r="Y507" s="11" t="s">
        <v>1471</v>
      </c>
      <c r="Z507" s="2" t="s">
        <v>36</v>
      </c>
      <c r="AA507" s="13">
        <v>0.62217999999999996</v>
      </c>
      <c r="AB507" s="13" t="s">
        <v>10339</v>
      </c>
    </row>
    <row r="508" spans="1:28" ht="15" customHeight="1">
      <c r="A508" s="2" t="s">
        <v>8843</v>
      </c>
      <c r="B508" t="s">
        <v>368</v>
      </c>
      <c r="C508" s="86" t="s">
        <v>979</v>
      </c>
      <c r="D508" s="2" t="s">
        <v>30</v>
      </c>
      <c r="E508" s="2" t="s">
        <v>109</v>
      </c>
      <c r="F508" s="11" t="s">
        <v>898</v>
      </c>
      <c r="G508" s="21" t="s">
        <v>899</v>
      </c>
      <c r="H508" s="2" t="s">
        <v>1472</v>
      </c>
      <c r="I508" s="12" t="s">
        <v>42</v>
      </c>
      <c r="J508" s="41">
        <f>+Tabla1[[#This Row],[FECHA ENTRADA]]</f>
        <v>45642</v>
      </c>
      <c r="K508" s="8">
        <v>45674</v>
      </c>
      <c r="L508" s="42">
        <f>_xlfn.DAYS(Tabla1[[#This Row],[FECHA FIN ]],Tabla1[[#This Row],[FECHA INICIO]])</f>
        <v>32</v>
      </c>
      <c r="M508" s="12"/>
      <c r="N508" s="24">
        <v>233.33333333333334</v>
      </c>
      <c r="O508" s="28">
        <f>(Tabla1[[#This Row],[COSTO FIJO ]]/30)*Tabla1[[#This Row],[TOTAL DIAS PROYECTO]]+(Tabla1[[#This Row],[COSTO TEMPORAL]])</f>
        <v>248.88888888888889</v>
      </c>
      <c r="P508" s="12"/>
      <c r="Q508" s="12">
        <f>+(Tabla1[[#This Row],[COSTO COCHE]]/30)*Tabla1[[#This Row],[TOTAL DIAS PROYECTO]]</f>
        <v>0</v>
      </c>
      <c r="R508" s="12">
        <f>+Tabla1[[#This Row],[COSTO TOTAL ALOJAMIENTO]]+Tabla1[[#This Row],[COSTO TOTAL COCHE]]</f>
        <v>248.88888888888889</v>
      </c>
      <c r="S508" s="2"/>
      <c r="T508" s="2" t="s">
        <v>35</v>
      </c>
      <c r="U508" s="14">
        <v>45642</v>
      </c>
      <c r="V508" s="43"/>
      <c r="W508" s="26"/>
      <c r="X508" s="2">
        <v>1</v>
      </c>
      <c r="Y508" s="11"/>
      <c r="Z508" s="2" t="s">
        <v>36</v>
      </c>
      <c r="AA508" s="13">
        <v>0.62217999999999996</v>
      </c>
      <c r="AB508" s="13" t="s">
        <v>10339</v>
      </c>
    </row>
    <row r="509" spans="1:28" ht="15" customHeight="1">
      <c r="A509" s="2" t="s">
        <v>8641</v>
      </c>
      <c r="B509" s="2" t="s">
        <v>28</v>
      </c>
      <c r="C509" s="11" t="s">
        <v>86</v>
      </c>
      <c r="D509" s="2" t="s">
        <v>30</v>
      </c>
      <c r="E509" s="2" t="s">
        <v>855</v>
      </c>
      <c r="F509" s="11" t="s">
        <v>1473</v>
      </c>
      <c r="G509" s="21" t="s">
        <v>1474</v>
      </c>
      <c r="H509" s="2" t="s">
        <v>1475</v>
      </c>
      <c r="I509" s="12" t="s">
        <v>377</v>
      </c>
      <c r="J509" s="41">
        <f>+Tabla1[[#This Row],[FECHA ENTRADA]]</f>
        <v>45316</v>
      </c>
      <c r="K509" s="41">
        <v>45686</v>
      </c>
      <c r="L509" s="42">
        <f>_xlfn.DAYS(Tabla1[[#This Row],[FECHA FIN ]],Tabla1[[#This Row],[FECHA INICIO]])</f>
        <v>370</v>
      </c>
      <c r="M509" s="12"/>
      <c r="N509" s="20"/>
      <c r="O509" s="28">
        <f>(Tabla1[[#This Row],[COSTO FIJO ]]/30)*Tabla1[[#This Row],[TOTAL DIAS PROYECTO]]+(Tabla1[[#This Row],[COSTO TEMPORAL]])</f>
        <v>0</v>
      </c>
      <c r="P509" s="12"/>
      <c r="Q509" s="12">
        <f>+(Tabla1[[#This Row],[COSTO COCHE]]/30)*Tabla1[[#This Row],[TOTAL DIAS PROYECTO]]</f>
        <v>0</v>
      </c>
      <c r="R509" s="12">
        <f>+Tabla1[[#This Row],[COSTO TOTAL ALOJAMIENTO]]+Tabla1[[#This Row],[COSTO TOTAL COCHE]]</f>
        <v>0</v>
      </c>
      <c r="S509" s="2"/>
      <c r="T509" s="2" t="s">
        <v>44</v>
      </c>
      <c r="U509" s="14">
        <v>45316</v>
      </c>
      <c r="V509" s="43">
        <v>45688</v>
      </c>
      <c r="W509" s="26"/>
      <c r="X509" s="2"/>
      <c r="Y509" s="11"/>
      <c r="Z509" s="2" t="s">
        <v>36</v>
      </c>
      <c r="AA509" s="13" t="s">
        <v>10401</v>
      </c>
      <c r="AB509" s="13" t="s">
        <v>10402</v>
      </c>
    </row>
    <row r="510" spans="1:28" ht="15" customHeight="1">
      <c r="A510" s="2" t="s">
        <v>8642</v>
      </c>
      <c r="B510" s="2" t="s">
        <v>28</v>
      </c>
      <c r="C510" s="99" t="s">
        <v>1476</v>
      </c>
      <c r="D510" s="2" t="s">
        <v>30</v>
      </c>
      <c r="E510" s="2" t="s">
        <v>31</v>
      </c>
      <c r="F510" s="11" t="s">
        <v>1477</v>
      </c>
      <c r="G510" s="30" t="s">
        <v>1478</v>
      </c>
      <c r="H510" s="2" t="s">
        <v>1479</v>
      </c>
      <c r="I510" s="12" t="s">
        <v>1480</v>
      </c>
      <c r="J510" s="8">
        <f>+Tabla1[[#This Row],[FECHA ENTRADA]]</f>
        <v>45480</v>
      </c>
      <c r="K510" s="8">
        <v>45687</v>
      </c>
      <c r="L510" s="13">
        <f>_xlfn.DAYS(Tabla1[[#This Row],[FECHA FIN ]],Tabla1[[#This Row],[FECHA INICIO]])</f>
        <v>207</v>
      </c>
      <c r="M510" s="12"/>
      <c r="N510" s="12">
        <v>500</v>
      </c>
      <c r="O510" s="12">
        <f>(Tabla1[[#This Row],[COSTO FIJO ]]/30)*Tabla1[[#This Row],[TOTAL DIAS PROYECTO]]+(Tabla1[[#This Row],[COSTO TEMPORAL]])</f>
        <v>3450.0000000000005</v>
      </c>
      <c r="P510" s="12"/>
      <c r="Q510" s="12">
        <f>+(Tabla1[[#This Row],[COSTO COCHE]]/30)*Tabla1[[#This Row],[TOTAL DIAS PROYECTO]]</f>
        <v>0</v>
      </c>
      <c r="R510" s="12">
        <f>+Tabla1[[#This Row],[COSTO TOTAL ALOJAMIENTO]]+Tabla1[[#This Row],[COSTO TOTAL COCHE]]</f>
        <v>3450.0000000000005</v>
      </c>
      <c r="S510" s="2"/>
      <c r="T510" s="2" t="s">
        <v>35</v>
      </c>
      <c r="U510" s="14">
        <v>45480</v>
      </c>
      <c r="V510" s="14">
        <v>45483</v>
      </c>
      <c r="W510" s="26">
        <v>500</v>
      </c>
      <c r="X510" s="2">
        <v>1</v>
      </c>
      <c r="Y510" s="11" t="s">
        <v>1481</v>
      </c>
      <c r="Z510" s="2" t="s">
        <v>36</v>
      </c>
      <c r="AA510" s="13" t="s">
        <v>10323</v>
      </c>
      <c r="AB510" s="13" t="s">
        <v>10324</v>
      </c>
    </row>
    <row r="511" spans="1:28" ht="15.75" customHeight="1">
      <c r="A511" s="2" t="s">
        <v>8700</v>
      </c>
      <c r="B511" s="2" t="s">
        <v>28</v>
      </c>
      <c r="C511" s="11" t="s">
        <v>343</v>
      </c>
      <c r="D511" s="2" t="s">
        <v>30</v>
      </c>
      <c r="E511" s="2" t="s">
        <v>855</v>
      </c>
      <c r="F511" s="11" t="s">
        <v>1473</v>
      </c>
      <c r="G511" s="21" t="s">
        <v>1474</v>
      </c>
      <c r="H511" s="2" t="s">
        <v>1475</v>
      </c>
      <c r="I511" s="12" t="s">
        <v>377</v>
      </c>
      <c r="J511" s="41">
        <f>+Tabla1[[#This Row],[FECHA ENTRADA]]</f>
        <v>45316</v>
      </c>
      <c r="K511" s="41">
        <v>45688</v>
      </c>
      <c r="L511" s="42">
        <f>_xlfn.DAYS(Tabla1[[#This Row],[FECHA FIN ]],Tabla1[[#This Row],[FECHA INICIO]])</f>
        <v>372</v>
      </c>
      <c r="M511" s="12"/>
      <c r="N511" s="12"/>
      <c r="O511" s="28">
        <f>(Tabla1[[#This Row],[COSTO FIJO ]]/30)*Tabla1[[#This Row],[TOTAL DIAS PROYECTO]]+(Tabla1[[#This Row],[COSTO TEMPORAL]])</f>
        <v>0</v>
      </c>
      <c r="P511" s="12"/>
      <c r="Q511" s="12">
        <f>+(Tabla1[[#This Row],[COSTO COCHE]]/30)*Tabla1[[#This Row],[TOTAL DIAS PROYECTO]]</f>
        <v>0</v>
      </c>
      <c r="R511" s="12">
        <f>+Tabla1[[#This Row],[COSTO TOTAL ALOJAMIENTO]]+Tabla1[[#This Row],[COSTO TOTAL COCHE]]</f>
        <v>0</v>
      </c>
      <c r="S511" s="2"/>
      <c r="T511" s="2" t="s">
        <v>44</v>
      </c>
      <c r="U511" s="14">
        <v>45316</v>
      </c>
      <c r="V511" s="43">
        <v>45688</v>
      </c>
      <c r="W511" s="26"/>
      <c r="X511" s="2"/>
      <c r="Y511" s="11"/>
      <c r="Z511" s="2" t="s">
        <v>36</v>
      </c>
      <c r="AA511" s="13" t="s">
        <v>10401</v>
      </c>
      <c r="AB511" s="13" t="s">
        <v>10402</v>
      </c>
    </row>
    <row r="512" spans="1:28" ht="15" customHeight="1">
      <c r="A512" s="2" t="s">
        <v>8774</v>
      </c>
      <c r="B512" s="2" t="s">
        <v>28</v>
      </c>
      <c r="C512" s="11" t="s">
        <v>694</v>
      </c>
      <c r="D512" s="2" t="s">
        <v>30</v>
      </c>
      <c r="E512" s="2" t="s">
        <v>855</v>
      </c>
      <c r="F512" s="11" t="s">
        <v>1473</v>
      </c>
      <c r="G512" s="21" t="s">
        <v>1474</v>
      </c>
      <c r="H512" s="2" t="s">
        <v>1475</v>
      </c>
      <c r="I512" s="12" t="s">
        <v>377</v>
      </c>
      <c r="J512" s="41">
        <f>+Tabla1[[#This Row],[FECHA ENTRADA]]</f>
        <v>45316</v>
      </c>
      <c r="K512" s="41">
        <v>45688</v>
      </c>
      <c r="L512" s="42">
        <f>_xlfn.DAYS(Tabla1[[#This Row],[FECHA FIN ]],Tabla1[[#This Row],[FECHA INICIO]])</f>
        <v>372</v>
      </c>
      <c r="M512" s="12"/>
      <c r="N512" s="28"/>
      <c r="O512" s="28">
        <f>(Tabla1[[#This Row],[COSTO FIJO ]]/30)*Tabla1[[#This Row],[TOTAL DIAS PROYECTO]]+(Tabla1[[#This Row],[COSTO TEMPORAL]])</f>
        <v>0</v>
      </c>
      <c r="P512" s="12"/>
      <c r="Q512" s="12">
        <f>+(Tabla1[[#This Row],[COSTO COCHE]]/30)*Tabla1[[#This Row],[TOTAL DIAS PROYECTO]]</f>
        <v>0</v>
      </c>
      <c r="R512" s="12">
        <f>+Tabla1[[#This Row],[COSTO TOTAL ALOJAMIENTO]]+Tabla1[[#This Row],[COSTO TOTAL COCHE]]</f>
        <v>0</v>
      </c>
      <c r="S512" s="2"/>
      <c r="T512" s="2" t="s">
        <v>44</v>
      </c>
      <c r="U512" s="14">
        <v>45316</v>
      </c>
      <c r="V512" s="43">
        <v>45688</v>
      </c>
      <c r="W512" s="26"/>
      <c r="X512" s="2"/>
      <c r="Y512" s="11"/>
      <c r="Z512" s="2" t="s">
        <v>36</v>
      </c>
      <c r="AA512" s="13" t="s">
        <v>10401</v>
      </c>
      <c r="AB512" s="13" t="s">
        <v>10402</v>
      </c>
    </row>
    <row r="513" spans="1:28" ht="15" customHeight="1">
      <c r="A513" s="2" t="s">
        <v>8957</v>
      </c>
      <c r="B513" s="2" t="s">
        <v>368</v>
      </c>
      <c r="C513" s="87" t="s">
        <v>1482</v>
      </c>
      <c r="D513" s="2" t="s">
        <v>78</v>
      </c>
      <c r="E513" s="2" t="s">
        <v>1483</v>
      </c>
      <c r="F513" s="11" t="s">
        <v>1484</v>
      </c>
      <c r="G513" s="46" t="s">
        <v>1485</v>
      </c>
      <c r="H513" s="2" t="s">
        <v>1486</v>
      </c>
      <c r="I513" s="29" t="s">
        <v>1487</v>
      </c>
      <c r="J513" s="41">
        <f>+Tabla1[[#This Row],[FECHA ENTRADA]]</f>
        <v>45659</v>
      </c>
      <c r="K513" s="22">
        <v>45688</v>
      </c>
      <c r="L513" s="42">
        <f>_xlfn.DAYS(Tabla1[[#This Row],[FECHA FIN ]],Tabla1[[#This Row],[FECHA INICIO]])</f>
        <v>29</v>
      </c>
      <c r="M513" s="12">
        <f>1815.34/4</f>
        <v>453.83499999999998</v>
      </c>
      <c r="N513" s="20"/>
      <c r="O513" s="28">
        <f>(Tabla1[[#This Row],[COSTO FIJO ]]/30)*Tabla1[[#This Row],[TOTAL DIAS PROYECTO]]+(Tabla1[[#This Row],[COSTO TEMPORAL]])</f>
        <v>453.83499999999998</v>
      </c>
      <c r="P513" s="12">
        <v>100</v>
      </c>
      <c r="Q513" s="12">
        <f>+(Tabla1[[#This Row],[COSTO COCHE]]/30)*Tabla1[[#This Row],[TOTAL DIAS PROYECTO]]</f>
        <v>96.666666666666671</v>
      </c>
      <c r="R513" s="12">
        <f>+Tabla1[[#This Row],[COSTO TOTAL ALOJAMIENTO]]+Tabla1[[#This Row],[COSTO TOTAL COCHE]]</f>
        <v>550.50166666666667</v>
      </c>
      <c r="S513" s="2" t="s">
        <v>84</v>
      </c>
      <c r="T513" s="2" t="s">
        <v>44</v>
      </c>
      <c r="U513" s="14">
        <v>45659</v>
      </c>
      <c r="V513" s="43">
        <v>45690</v>
      </c>
      <c r="W513" s="26"/>
      <c r="X513" s="2"/>
      <c r="Y513" s="11"/>
      <c r="Z513" s="2" t="s">
        <v>36</v>
      </c>
      <c r="AA513" s="13" t="s">
        <v>10422</v>
      </c>
      <c r="AB513" s="13" t="s">
        <v>10423</v>
      </c>
    </row>
    <row r="514" spans="1:28" ht="15" customHeight="1">
      <c r="A514" s="2" t="s">
        <v>8642</v>
      </c>
      <c r="B514" s="2" t="s">
        <v>28</v>
      </c>
      <c r="C514" s="18" t="s">
        <v>160</v>
      </c>
      <c r="D514" s="2" t="s">
        <v>30</v>
      </c>
      <c r="E514" s="2" t="s">
        <v>476</v>
      </c>
      <c r="F514" s="11" t="s">
        <v>1488</v>
      </c>
      <c r="G514" s="11" t="s">
        <v>483</v>
      </c>
      <c r="H514" s="2" t="s">
        <v>1489</v>
      </c>
      <c r="I514" s="12" t="s">
        <v>165</v>
      </c>
      <c r="J514" s="8">
        <f>+Tabla1[[#This Row],[FECHA ENTRADA]]</f>
        <v>45386</v>
      </c>
      <c r="K514" s="8">
        <v>45688</v>
      </c>
      <c r="L514" s="13">
        <f>_xlfn.DAYS(Tabla1[[#This Row],[FECHA FIN ]],Tabla1[[#This Row],[FECHA INICIO]])</f>
        <v>302</v>
      </c>
      <c r="M514" s="12"/>
      <c r="N514" s="20">
        <v>340</v>
      </c>
      <c r="O514" s="12">
        <f>(Tabla1[[#This Row],[COSTO FIJO ]]/30)*Tabla1[[#This Row],[TOTAL DIAS PROYECTO]]+(Tabla1[[#This Row],[COSTO TEMPORAL]])</f>
        <v>3422.666666666667</v>
      </c>
      <c r="P514" s="12"/>
      <c r="Q514" s="12">
        <f>+(Tabla1[[#This Row],[COSTO COCHE]]/30)*Tabla1[[#This Row],[TOTAL DIAS PROYECTO]]</f>
        <v>0</v>
      </c>
      <c r="R514" s="12">
        <f>+Tabla1[[#This Row],[COSTO TOTAL ALOJAMIENTO]]+Tabla1[[#This Row],[COSTO TOTAL COCHE]]</f>
        <v>3422.666666666667</v>
      </c>
      <c r="S514" s="2"/>
      <c r="T514" s="2" t="s">
        <v>35</v>
      </c>
      <c r="U514" s="14">
        <v>45386</v>
      </c>
      <c r="V514" s="14"/>
      <c r="W514" s="15"/>
      <c r="X514" s="16">
        <v>1</v>
      </c>
      <c r="Y514" s="11" t="s">
        <v>1490</v>
      </c>
      <c r="Z514" s="2" t="s">
        <v>36</v>
      </c>
      <c r="AA514" s="13">
        <v>-7.8640699999999999</v>
      </c>
      <c r="AB514" s="13">
        <v>42.336689999999997</v>
      </c>
    </row>
    <row r="515" spans="1:28">
      <c r="A515" s="2" t="s">
        <v>8958</v>
      </c>
      <c r="B515" s="2" t="s">
        <v>28</v>
      </c>
      <c r="C515" s="11" t="s">
        <v>1491</v>
      </c>
      <c r="D515" s="2" t="s">
        <v>78</v>
      </c>
      <c r="E515" s="2" t="s">
        <v>266</v>
      </c>
      <c r="F515" s="11" t="s">
        <v>962</v>
      </c>
      <c r="G515" s="30" t="s">
        <v>963</v>
      </c>
      <c r="H515" s="2" t="s">
        <v>269</v>
      </c>
      <c r="I515" s="12" t="s">
        <v>270</v>
      </c>
      <c r="J515" s="8">
        <f>+Tabla1[[#This Row],[FECHA ENTRADA]]</f>
        <v>45416</v>
      </c>
      <c r="K515" s="8">
        <v>45688</v>
      </c>
      <c r="L515" s="13">
        <f>_xlfn.DAYS(Tabla1[[#This Row],[FECHA FIN ]],Tabla1[[#This Row],[FECHA INICIO]])</f>
        <v>272</v>
      </c>
      <c r="M515" s="12"/>
      <c r="N515" s="12"/>
      <c r="O515" s="12">
        <f>(Tabla1[[#This Row],[COSTO FIJO ]]/30)*Tabla1[[#This Row],[TOTAL DIAS PROYECTO]]+(Tabla1[[#This Row],[COSTO TEMPORAL]])</f>
        <v>0</v>
      </c>
      <c r="P515" s="12">
        <f>749.09/3</f>
        <v>249.69666666666669</v>
      </c>
      <c r="Q515" s="12">
        <f>+(Tabla1[[#This Row],[COSTO COCHE]]/30)*Tabla1[[#This Row],[TOTAL DIAS PROYECTO]]</f>
        <v>2263.9164444444446</v>
      </c>
      <c r="R515" s="12">
        <f>+Tabla1[[#This Row],[COSTO TOTAL ALOJAMIENTO]]+Tabla1[[#This Row],[COSTO TOTAL COCHE]]</f>
        <v>2263.9164444444446</v>
      </c>
      <c r="S515" s="2" t="s">
        <v>84</v>
      </c>
      <c r="T515" s="2" t="s">
        <v>35</v>
      </c>
      <c r="U515" s="14">
        <v>45416</v>
      </c>
      <c r="V515" s="14">
        <v>45481</v>
      </c>
      <c r="W515" s="26"/>
      <c r="X515" s="2">
        <v>3</v>
      </c>
      <c r="Y515" s="11" t="s">
        <v>964</v>
      </c>
      <c r="Z515" s="2" t="s">
        <v>36</v>
      </c>
      <c r="AA515" s="13" t="s">
        <v>10360</v>
      </c>
      <c r="AB515" s="13" t="s">
        <v>10361</v>
      </c>
    </row>
    <row r="516" spans="1:28">
      <c r="A516" s="2" t="s">
        <v>8872</v>
      </c>
      <c r="B516" s="2" t="s">
        <v>368</v>
      </c>
      <c r="C516" s="11" t="s">
        <v>1111</v>
      </c>
      <c r="D516" s="2" t="s">
        <v>30</v>
      </c>
      <c r="E516" s="2" t="s">
        <v>213</v>
      </c>
      <c r="F516" s="11" t="s">
        <v>1492</v>
      </c>
      <c r="G516" s="30" t="s">
        <v>1493</v>
      </c>
      <c r="H516" s="2" t="s">
        <v>1112</v>
      </c>
      <c r="I516" s="12" t="s">
        <v>514</v>
      </c>
      <c r="J516" s="41">
        <v>45631</v>
      </c>
      <c r="K516" s="41">
        <v>45688</v>
      </c>
      <c r="L516" s="42">
        <f>_xlfn.DAYS(Tabla1[[#This Row],[FECHA FIN ]],Tabla1[[#This Row],[FECHA INICIO]])</f>
        <v>57</v>
      </c>
      <c r="M516" s="12"/>
      <c r="N516" s="12"/>
      <c r="O516" s="28">
        <f>(Tabla1[[#This Row],[COSTO FIJO ]]/30)*Tabla1[[#This Row],[TOTAL DIAS PROYECTO]]+(Tabla1[[#This Row],[COSTO TEMPORAL]])</f>
        <v>0</v>
      </c>
      <c r="P516" s="12">
        <f>2586.33/18</f>
        <v>143.685</v>
      </c>
      <c r="Q516" s="12">
        <f>+(Tabla1[[#This Row],[COSTO COCHE]]/30)*Tabla1[[#This Row],[TOTAL DIAS PROYECTO]]</f>
        <v>273.00150000000002</v>
      </c>
      <c r="R516" s="12">
        <f>+Tabla1[[#This Row],[COSTO TOTAL ALOJAMIENTO]]+Tabla1[[#This Row],[COSTO TOTAL COCHE]]</f>
        <v>273.00150000000002</v>
      </c>
      <c r="S516" s="2"/>
      <c r="T516" s="2" t="s">
        <v>35</v>
      </c>
      <c r="U516" s="14"/>
      <c r="V516" s="43"/>
      <c r="W516" s="26"/>
      <c r="X516" s="2">
        <v>5</v>
      </c>
      <c r="Y516" s="11"/>
      <c r="Z516" s="2" t="s">
        <v>36</v>
      </c>
      <c r="AA516" s="13" t="s">
        <v>10349</v>
      </c>
      <c r="AB516" s="13" t="s">
        <v>10350</v>
      </c>
    </row>
    <row r="517" spans="1:28">
      <c r="A517" s="2" t="s">
        <v>8959</v>
      </c>
      <c r="B517" s="2" t="s">
        <v>28</v>
      </c>
      <c r="C517" s="86" t="s">
        <v>1494</v>
      </c>
      <c r="D517" s="2" t="s">
        <v>72</v>
      </c>
      <c r="E517" s="2" t="s">
        <v>73</v>
      </c>
      <c r="F517" s="11"/>
      <c r="G517" s="11"/>
      <c r="H517" s="2" t="s">
        <v>1495</v>
      </c>
      <c r="I517" s="2" t="s">
        <v>332</v>
      </c>
      <c r="J517" s="8">
        <f>+Tabla1[[#This Row],[FECHA ENTRADA]]</f>
        <v>45403</v>
      </c>
      <c r="K517" s="8">
        <v>45688</v>
      </c>
      <c r="L517" s="13">
        <f>_xlfn.DAYS(Tabla1[[#This Row],[FECHA FIN ]],Tabla1[[#This Row],[FECHA INICIO]])</f>
        <v>285</v>
      </c>
      <c r="M517" s="12">
        <f>1811.6/17</f>
        <v>106.56470588235294</v>
      </c>
      <c r="N517" s="12"/>
      <c r="O517" s="12">
        <f>(Tabla1[[#This Row],[COSTO FIJO ]]/30)*Tabla1[[#This Row],[TOTAL DIAS PROYECTO]]+(Tabla1[[#This Row],[COSTO TEMPORAL]])</f>
        <v>106.56470588235294</v>
      </c>
      <c r="P517" s="12"/>
      <c r="Q517" s="12">
        <f>+(Tabla1[[#This Row],[COSTO COCHE]]/30)*Tabla1[[#This Row],[TOTAL DIAS PROYECTO]]</f>
        <v>0</v>
      </c>
      <c r="R517" s="12">
        <f>+Tabla1[[#This Row],[COSTO TOTAL ALOJAMIENTO]]+Tabla1[[#This Row],[COSTO TOTAL COCHE]]</f>
        <v>106.56470588235294</v>
      </c>
      <c r="S517" s="2"/>
      <c r="T517" s="2" t="s">
        <v>58</v>
      </c>
      <c r="U517" s="14">
        <v>45403</v>
      </c>
      <c r="V517" s="14"/>
      <c r="W517" s="2"/>
      <c r="X517" s="2"/>
      <c r="Y517" s="11"/>
      <c r="Z517" s="2" t="s">
        <v>36</v>
      </c>
      <c r="AA517" s="13" t="s">
        <v>10331</v>
      </c>
      <c r="AB517" s="13" t="s">
        <v>10332</v>
      </c>
    </row>
    <row r="518" spans="1:28" ht="15" customHeight="1">
      <c r="A518" s="2" t="s">
        <v>8960</v>
      </c>
      <c r="B518" s="2" t="s">
        <v>28</v>
      </c>
      <c r="C518" s="18" t="s">
        <v>1496</v>
      </c>
      <c r="D518" s="2" t="s">
        <v>30</v>
      </c>
      <c r="E518" s="2" t="s">
        <v>380</v>
      </c>
      <c r="F518" s="11"/>
      <c r="G518" s="11" t="s">
        <v>622</v>
      </c>
      <c r="H518" s="2">
        <v>2023</v>
      </c>
      <c r="I518" s="2" t="s">
        <v>382</v>
      </c>
      <c r="J518" s="8">
        <v>44933</v>
      </c>
      <c r="K518" s="22">
        <v>45821</v>
      </c>
      <c r="L518" s="13">
        <f>_xlfn.DAYS(Tabla1[[#This Row],[FECHA FIN ]],Tabla1[[#This Row],[FECHA INICIO]])</f>
        <v>888</v>
      </c>
      <c r="M518" s="12"/>
      <c r="N518" s="12">
        <v>240</v>
      </c>
      <c r="O518" s="12">
        <f>(Tabla1[[#This Row],[COSTO FIJO ]]/30)*Tabla1[[#This Row],[TOTAL DIAS PROYECTO]]+(Tabla1[[#This Row],[COSTO TEMPORAL]])</f>
        <v>7104</v>
      </c>
      <c r="P518" s="12"/>
      <c r="Q518" s="12">
        <f>+(Tabla1[[#This Row],[COSTO COCHE]]/30)*Tabla1[[#This Row],[TOTAL DIAS PROYECTO]]</f>
        <v>0</v>
      </c>
      <c r="R518" s="12">
        <f>+Tabla1[[#This Row],[COSTO TOTAL ALOJAMIENTO]]+Tabla1[[#This Row],[COSTO TOTAL COCHE]]</f>
        <v>7104</v>
      </c>
      <c r="S518" s="2"/>
      <c r="T518" s="2" t="s">
        <v>35</v>
      </c>
      <c r="U518" s="14"/>
      <c r="V518" s="14">
        <v>45481</v>
      </c>
      <c r="W518" s="26"/>
      <c r="X518" s="16">
        <v>5</v>
      </c>
      <c r="Y518" s="11" t="s">
        <v>623</v>
      </c>
      <c r="Z518" s="2" t="s">
        <v>36</v>
      </c>
      <c r="AA518" s="13" t="s">
        <v>10370</v>
      </c>
      <c r="AB518" s="13" t="s">
        <v>10371</v>
      </c>
    </row>
    <row r="519" spans="1:28">
      <c r="A519" s="2" t="s">
        <v>8789</v>
      </c>
      <c r="B519" s="2" t="s">
        <v>28</v>
      </c>
      <c r="C519" s="86" t="s">
        <v>770</v>
      </c>
      <c r="D519" s="2" t="s">
        <v>30</v>
      </c>
      <c r="E519" s="2" t="s">
        <v>626</v>
      </c>
      <c r="F519" s="11" t="s">
        <v>1181</v>
      </c>
      <c r="G519" s="11" t="s">
        <v>1038</v>
      </c>
      <c r="H519" s="2" t="s">
        <v>1497</v>
      </c>
      <c r="I519" s="2" t="s">
        <v>1183</v>
      </c>
      <c r="J519" s="41">
        <f>+Tabla1[[#This Row],[FECHA ENTRADA]]</f>
        <v>45665</v>
      </c>
      <c r="K519" s="8">
        <v>45688</v>
      </c>
      <c r="L519" s="42">
        <f>_xlfn.DAYS(Tabla1[[#This Row],[FECHA FIN ]],Tabla1[[#This Row],[FECHA INICIO]])</f>
        <v>23</v>
      </c>
      <c r="M519" s="12"/>
      <c r="N519" s="28">
        <v>350</v>
      </c>
      <c r="O519" s="28">
        <f>(Tabla1[[#This Row],[COSTO FIJO ]]/30)*Tabla1[[#This Row],[TOTAL DIAS PROYECTO]]+(Tabla1[[#This Row],[COSTO TEMPORAL]])</f>
        <v>268.33333333333331</v>
      </c>
      <c r="P519" s="12"/>
      <c r="Q519" s="12">
        <f>+(Tabla1[[#This Row],[COSTO COCHE]]/30)*Tabla1[[#This Row],[TOTAL DIAS PROYECTO]]</f>
        <v>0</v>
      </c>
      <c r="R519" s="12">
        <f>+Tabla1[[#This Row],[COSTO TOTAL ALOJAMIENTO]]+Tabla1[[#This Row],[COSTO TOTAL COCHE]]</f>
        <v>268.33333333333331</v>
      </c>
      <c r="S519" s="2"/>
      <c r="T519" s="2" t="s">
        <v>35</v>
      </c>
      <c r="U519" s="14">
        <v>45665</v>
      </c>
      <c r="V519" s="43"/>
      <c r="W519" s="26"/>
      <c r="X519" s="2">
        <v>5</v>
      </c>
      <c r="Y519" s="11"/>
      <c r="Z519" s="2" t="s">
        <v>36</v>
      </c>
      <c r="AA519" s="13" t="s">
        <v>10385</v>
      </c>
      <c r="AB519" s="13" t="s">
        <v>10386</v>
      </c>
    </row>
    <row r="520" spans="1:28" ht="15" customHeight="1">
      <c r="A520" s="2" t="s">
        <v>8852</v>
      </c>
      <c r="B520" s="2" t="s">
        <v>28</v>
      </c>
      <c r="C520" s="86" t="s">
        <v>1030</v>
      </c>
      <c r="D520" s="2" t="s">
        <v>30</v>
      </c>
      <c r="E520" s="2" t="s">
        <v>626</v>
      </c>
      <c r="F520" s="11" t="s">
        <v>1181</v>
      </c>
      <c r="G520" s="11" t="s">
        <v>1038</v>
      </c>
      <c r="H520" s="2" t="s">
        <v>1182</v>
      </c>
      <c r="I520" s="12" t="s">
        <v>1183</v>
      </c>
      <c r="J520" s="22">
        <f>+Tabla1[[#This Row],[FECHA ENTRADA]]</f>
        <v>45620</v>
      </c>
      <c r="K520" s="8">
        <v>45688</v>
      </c>
      <c r="L520" s="23">
        <f>_xlfn.DAYS(Tabla1[[#This Row],[FECHA FIN ]],Tabla1[[#This Row],[FECHA INICIO]])</f>
        <v>68</v>
      </c>
      <c r="M520" s="12"/>
      <c r="N520" s="12">
        <v>350</v>
      </c>
      <c r="O520" s="24">
        <f>(Tabla1[[#This Row],[COSTO FIJO ]]/30)*Tabla1[[#This Row],[TOTAL DIAS PROYECTO]]+(Tabla1[[#This Row],[COSTO TEMPORAL]])</f>
        <v>793.33333333333326</v>
      </c>
      <c r="P520" s="12"/>
      <c r="Q520" s="12">
        <f>+(Tabla1[[#This Row],[COSTO COCHE]]/30)*Tabla1[[#This Row],[TOTAL DIAS PROYECTO]]</f>
        <v>0</v>
      </c>
      <c r="R520" s="12">
        <f>+Tabla1[[#This Row],[COSTO TOTAL ALOJAMIENTO]]+Tabla1[[#This Row],[COSTO TOTAL COCHE]]</f>
        <v>793.33333333333326</v>
      </c>
      <c r="S520" s="2"/>
      <c r="T520" s="2" t="s">
        <v>35</v>
      </c>
      <c r="U520" s="14">
        <v>45620</v>
      </c>
      <c r="V520" s="25"/>
      <c r="W520" s="26"/>
      <c r="X520" s="2">
        <v>5</v>
      </c>
      <c r="Y520" s="11"/>
      <c r="Z520" s="2" t="s">
        <v>36</v>
      </c>
      <c r="AA520" s="13" t="s">
        <v>10385</v>
      </c>
      <c r="AB520" s="13" t="s">
        <v>10386</v>
      </c>
    </row>
    <row r="521" spans="1:28">
      <c r="A521" s="2" t="s">
        <v>8961</v>
      </c>
      <c r="B521" s="2" t="s">
        <v>28</v>
      </c>
      <c r="C521" s="11" t="s">
        <v>1498</v>
      </c>
      <c r="D521" s="2" t="s">
        <v>30</v>
      </c>
      <c r="E521" s="2" t="s">
        <v>151</v>
      </c>
      <c r="F521" s="11" t="s">
        <v>1499</v>
      </c>
      <c r="G521" s="11" t="s">
        <v>1500</v>
      </c>
      <c r="H521" s="2" t="s">
        <v>1501</v>
      </c>
      <c r="I521" s="12" t="s">
        <v>152</v>
      </c>
      <c r="J521" s="41">
        <f>+Tabla1[[#This Row],[FECHA ENTRADA]]</f>
        <v>45550</v>
      </c>
      <c r="K521" s="8">
        <v>45688</v>
      </c>
      <c r="L521" s="42">
        <f>_xlfn.DAYS(Tabla1[[#This Row],[FECHA FIN ]],Tabla1[[#This Row],[FECHA INICIO]])</f>
        <v>138</v>
      </c>
      <c r="M521" s="12"/>
      <c r="N521" s="28">
        <v>350</v>
      </c>
      <c r="O521" s="28">
        <f>(Tabla1[[#This Row],[COSTO FIJO ]]/30)*Tabla1[[#This Row],[TOTAL DIAS PROYECTO]]+(Tabla1[[#This Row],[COSTO TEMPORAL]])</f>
        <v>1610</v>
      </c>
      <c r="P521" s="12"/>
      <c r="Q521" s="12">
        <f>+(Tabla1[[#This Row],[COSTO COCHE]]/30)*Tabla1[[#This Row],[TOTAL DIAS PROYECTO]]</f>
        <v>0</v>
      </c>
      <c r="R521" s="12">
        <f>+Tabla1[[#This Row],[COSTO TOTAL ALOJAMIENTO]]+Tabla1[[#This Row],[COSTO TOTAL COCHE]]</f>
        <v>1610</v>
      </c>
      <c r="S521" s="2"/>
      <c r="T521" s="2" t="s">
        <v>35</v>
      </c>
      <c r="U521" s="14">
        <v>45550</v>
      </c>
      <c r="V521" s="75"/>
      <c r="W521" s="26"/>
      <c r="X521" s="2">
        <v>11</v>
      </c>
      <c r="Y521" s="11" t="s">
        <v>1502</v>
      </c>
      <c r="Z521" s="2" t="s">
        <v>36</v>
      </c>
      <c r="AA521" s="13" t="s">
        <v>10345</v>
      </c>
      <c r="AB521" s="13" t="s">
        <v>10346</v>
      </c>
    </row>
    <row r="522" spans="1:28">
      <c r="A522" s="2" t="s">
        <v>8962</v>
      </c>
      <c r="B522" s="2" t="s">
        <v>28</v>
      </c>
      <c r="C522" s="11" t="s">
        <v>1503</v>
      </c>
      <c r="D522" s="2" t="s">
        <v>30</v>
      </c>
      <c r="E522" s="2" t="s">
        <v>31</v>
      </c>
      <c r="F522" s="11" t="s">
        <v>1325</v>
      </c>
      <c r="G522" s="46" t="s">
        <v>1326</v>
      </c>
      <c r="H522" s="2" t="s">
        <v>1504</v>
      </c>
      <c r="I522" s="12" t="s">
        <v>1328</v>
      </c>
      <c r="J522" s="41">
        <f>+Tabla1[[#This Row],[FECHA ENTRADA]]</f>
        <v>45588</v>
      </c>
      <c r="K522" s="22">
        <v>45821</v>
      </c>
      <c r="L522" s="42">
        <f>_xlfn.DAYS(Tabla1[[#This Row],[FECHA FIN ]],Tabla1[[#This Row],[FECHA INICIO]])</f>
        <v>233</v>
      </c>
      <c r="M522" s="12"/>
      <c r="N522" s="12"/>
      <c r="O522" s="28">
        <f>(Tabla1[[#This Row],[COSTO FIJO ]]/30)*Tabla1[[#This Row],[TOTAL DIAS PROYECTO]]+(Tabla1[[#This Row],[COSTO TEMPORAL]])</f>
        <v>0</v>
      </c>
      <c r="P522" s="12"/>
      <c r="Q522" s="12">
        <f>+(Tabla1[[#This Row],[COSTO COCHE]]/30)*Tabla1[[#This Row],[TOTAL DIAS PROYECTO]]</f>
        <v>0</v>
      </c>
      <c r="R522" s="12">
        <f>+Tabla1[[#This Row],[COSTO TOTAL ALOJAMIENTO]]+Tabla1[[#This Row],[COSTO TOTAL COCHE]]</f>
        <v>0</v>
      </c>
      <c r="S522" s="2"/>
      <c r="T522" s="2" t="s">
        <v>35</v>
      </c>
      <c r="U522" s="14">
        <v>45588</v>
      </c>
      <c r="V522" s="43"/>
      <c r="W522" s="26"/>
      <c r="X522" s="2"/>
      <c r="Y522" s="11"/>
      <c r="Z522" s="2" t="s">
        <v>36</v>
      </c>
      <c r="AA522" s="13" t="s">
        <v>10323</v>
      </c>
      <c r="AB522" s="13" t="s">
        <v>10324</v>
      </c>
    </row>
    <row r="523" spans="1:28" ht="15" customHeight="1">
      <c r="A523" s="2" t="s">
        <v>8811</v>
      </c>
      <c r="B523" s="2" t="s">
        <v>28</v>
      </c>
      <c r="C523" s="11" t="s">
        <v>861</v>
      </c>
      <c r="D523" s="33" t="s">
        <v>30</v>
      </c>
      <c r="E523" s="33" t="s">
        <v>225</v>
      </c>
      <c r="F523" s="11" t="s">
        <v>1502</v>
      </c>
      <c r="G523" s="34" t="s">
        <v>1505</v>
      </c>
      <c r="H523" s="33" t="s">
        <v>1506</v>
      </c>
      <c r="I523" s="33" t="s">
        <v>228</v>
      </c>
      <c r="J523" s="8">
        <f>+Tabla1[[#This Row],[FECHA ENTRADA]]</f>
        <v>45340</v>
      </c>
      <c r="K523" s="35">
        <v>45443</v>
      </c>
      <c r="L523" s="13">
        <f>_xlfn.DAYS(Tabla1[[#This Row],[FECHA FIN ]],Tabla1[[#This Row],[FECHA INICIO]])</f>
        <v>103</v>
      </c>
      <c r="M523" s="12"/>
      <c r="N523" s="33"/>
      <c r="O523" s="36">
        <f>(Tabla1[[#This Row],[COSTO FIJO ]]/30)*Tabla1[[#This Row],[TOTAL DIAS PROYECTO]]+(Tabla1[[#This Row],[COSTO TEMPORAL]])</f>
        <v>0</v>
      </c>
      <c r="P523" s="36"/>
      <c r="Q523" s="36">
        <f>+(Tabla1[[#This Row],[COSTO COCHE]]/30)*Tabla1[[#This Row],[TOTAL DIAS PROYECTO]]</f>
        <v>0</v>
      </c>
      <c r="R523" s="36">
        <f>+Tabla1[[#This Row],[COSTO TOTAL ALOJAMIENTO]]+Tabla1[[#This Row],[COSTO TOTAL COCHE]]</f>
        <v>0</v>
      </c>
      <c r="S523" s="33"/>
      <c r="T523" s="33" t="s">
        <v>35</v>
      </c>
      <c r="U523" s="37">
        <v>45340</v>
      </c>
      <c r="V523" s="14"/>
      <c r="W523" s="38">
        <v>1500</v>
      </c>
      <c r="X523" s="39">
        <v>20</v>
      </c>
      <c r="Y523" s="18" t="s">
        <v>1507</v>
      </c>
      <c r="Z523" s="33" t="s">
        <v>36</v>
      </c>
      <c r="AA523" s="13" t="s">
        <v>10353</v>
      </c>
      <c r="AB523" s="13" t="s">
        <v>10354</v>
      </c>
    </row>
    <row r="524" spans="1:28" ht="15" customHeight="1">
      <c r="A524" s="2" t="s">
        <v>8963</v>
      </c>
      <c r="B524" s="2" t="s">
        <v>28</v>
      </c>
      <c r="C524" s="11" t="s">
        <v>1508</v>
      </c>
      <c r="D524" s="2" t="s">
        <v>30</v>
      </c>
      <c r="E524" s="2" t="s">
        <v>127</v>
      </c>
      <c r="F524" s="11" t="s">
        <v>820</v>
      </c>
      <c r="G524" s="21" t="s">
        <v>1234</v>
      </c>
      <c r="H524" s="2" t="s">
        <v>1509</v>
      </c>
      <c r="I524" s="12" t="s">
        <v>96</v>
      </c>
      <c r="J524" s="22">
        <f>+Tabla1[[#This Row],[FECHA ENTRADA]]</f>
        <v>45700</v>
      </c>
      <c r="K524" s="8">
        <v>45775</v>
      </c>
      <c r="L524" s="23">
        <f>_xlfn.DAYS(Tabla1[[#This Row],[FECHA FIN ]],Tabla1[[#This Row],[FECHA INICIO]])</f>
        <v>75</v>
      </c>
      <c r="M524" s="24">
        <v>496.5</v>
      </c>
      <c r="N524" s="20"/>
      <c r="O524" s="24">
        <f>(Tabla1[[#This Row],[COSTO FIJO ]]/30)*Tabla1[[#This Row],[TOTAL DIAS PROYECTO]]+(Tabla1[[#This Row],[COSTO TEMPORAL]])</f>
        <v>496.5</v>
      </c>
      <c r="P524" s="12"/>
      <c r="Q524" s="12">
        <f>+(Tabla1[[#This Row],[COSTO COCHE]]/30)*Tabla1[[#This Row],[TOTAL DIAS PROYECTO]]</f>
        <v>0</v>
      </c>
      <c r="R524" s="12">
        <f>+Tabla1[[#This Row],[COSTO TOTAL ALOJAMIENTO]]+Tabla1[[#This Row],[COSTO TOTAL COCHE]]</f>
        <v>496.5</v>
      </c>
      <c r="S524" s="2"/>
      <c r="T524" s="2" t="s">
        <v>44</v>
      </c>
      <c r="U524" s="14">
        <v>45700</v>
      </c>
      <c r="V524" s="25">
        <v>45798</v>
      </c>
      <c r="W524" s="26"/>
      <c r="X524" s="2"/>
      <c r="Y524" s="106" t="s">
        <v>1510</v>
      </c>
      <c r="Z524" s="2" t="s">
        <v>36</v>
      </c>
      <c r="AA524" s="13" t="s">
        <v>10342</v>
      </c>
      <c r="AB524" s="13" t="s">
        <v>10343</v>
      </c>
    </row>
    <row r="525" spans="1:28">
      <c r="A525" s="2" t="s">
        <v>8807</v>
      </c>
      <c r="B525" s="2" t="s">
        <v>28</v>
      </c>
      <c r="C525" s="11" t="s">
        <v>848</v>
      </c>
      <c r="D525" s="2" t="s">
        <v>78</v>
      </c>
      <c r="E525" s="2" t="s">
        <v>266</v>
      </c>
      <c r="F525" s="11" t="s">
        <v>1511</v>
      </c>
      <c r="G525" s="46" t="s">
        <v>1512</v>
      </c>
      <c r="H525" s="2" t="s">
        <v>1513</v>
      </c>
      <c r="I525" s="12" t="s">
        <v>270</v>
      </c>
      <c r="J525" s="22">
        <f>+Tabla1[[#This Row],[FECHA ENTRADA]]</f>
        <v>45578</v>
      </c>
      <c r="K525" s="8">
        <v>45689</v>
      </c>
      <c r="L525" s="23">
        <f>_xlfn.DAYS(Tabla1[[#This Row],[FECHA FIN ]],Tabla1[[#This Row],[FECHA INICIO]])</f>
        <v>111</v>
      </c>
      <c r="M525" s="12"/>
      <c r="N525" s="12"/>
      <c r="O525" s="24">
        <f>(Tabla1[[#This Row],[COSTO FIJO ]]/30)*Tabla1[[#This Row],[TOTAL DIAS PROYECTO]]+(Tabla1[[#This Row],[COSTO TEMPORAL]])</f>
        <v>0</v>
      </c>
      <c r="P525" s="12">
        <f>749.09/3</f>
        <v>249.69666666666669</v>
      </c>
      <c r="Q525" s="12">
        <f>+(Tabla1[[#This Row],[COSTO COCHE]]/30)*Tabla1[[#This Row],[TOTAL DIAS PROYECTO]]</f>
        <v>923.87766666666664</v>
      </c>
      <c r="R525" s="12">
        <f>+Tabla1[[#This Row],[COSTO TOTAL ALOJAMIENTO]]+Tabla1[[#This Row],[COSTO TOTAL COCHE]]</f>
        <v>923.87766666666664</v>
      </c>
      <c r="S525" s="2" t="s">
        <v>84</v>
      </c>
      <c r="T525" s="2" t="s">
        <v>35</v>
      </c>
      <c r="U525" s="14">
        <v>45578</v>
      </c>
      <c r="V525" s="25">
        <v>45692</v>
      </c>
      <c r="W525" s="26">
        <v>200</v>
      </c>
      <c r="X525" s="2">
        <v>3</v>
      </c>
      <c r="Y525" s="11" t="s">
        <v>1166</v>
      </c>
      <c r="Z525" s="2" t="s">
        <v>36</v>
      </c>
      <c r="AA525" s="13" t="s">
        <v>10360</v>
      </c>
      <c r="AB525" s="13" t="s">
        <v>10361</v>
      </c>
    </row>
    <row r="526" spans="1:28">
      <c r="A526" s="2" t="s">
        <v>8677</v>
      </c>
      <c r="B526" s="2" t="s">
        <v>368</v>
      </c>
      <c r="C526" s="107" t="s">
        <v>250</v>
      </c>
      <c r="D526" s="2" t="s">
        <v>30</v>
      </c>
      <c r="E526" s="2" t="s">
        <v>1514</v>
      </c>
      <c r="F526" s="11" t="s">
        <v>1515</v>
      </c>
      <c r="G526" s="46" t="s">
        <v>1516</v>
      </c>
      <c r="H526" s="2" t="s">
        <v>1517</v>
      </c>
      <c r="I526" s="12" t="s">
        <v>1392</v>
      </c>
      <c r="J526" s="41">
        <f>+Tabla1[[#This Row],[FECHA ENTRADA]]</f>
        <v>45663</v>
      </c>
      <c r="K526" s="8">
        <v>45689</v>
      </c>
      <c r="L526" s="42">
        <f>_xlfn.DAYS(Tabla1[[#This Row],[FECHA FIN ]],Tabla1[[#This Row],[FECHA INICIO]])</f>
        <v>26</v>
      </c>
      <c r="M526" s="12"/>
      <c r="N526" s="28">
        <v>325</v>
      </c>
      <c r="O526" s="28">
        <f>(Tabla1[[#This Row],[COSTO FIJO ]]/30)*Tabla1[[#This Row],[TOTAL DIAS PROYECTO]]+(Tabla1[[#This Row],[COSTO TEMPORAL]])</f>
        <v>281.66666666666669</v>
      </c>
      <c r="P526" s="12"/>
      <c r="Q526" s="12">
        <f>+(Tabla1[[#This Row],[COSTO COCHE]]/30)*Tabla1[[#This Row],[TOTAL DIAS PROYECTO]]</f>
        <v>0</v>
      </c>
      <c r="R526" s="12">
        <f>+Tabla1[[#This Row],[COSTO TOTAL ALOJAMIENTO]]+Tabla1[[#This Row],[COSTO TOTAL COCHE]]</f>
        <v>281.66666666666669</v>
      </c>
      <c r="S526" s="2"/>
      <c r="T526" s="2" t="s">
        <v>35</v>
      </c>
      <c r="U526" s="14">
        <v>45663</v>
      </c>
      <c r="V526" s="43"/>
      <c r="W526" s="26">
        <v>1300</v>
      </c>
      <c r="X526" s="2">
        <v>5</v>
      </c>
      <c r="Y526" s="11" t="s">
        <v>1518</v>
      </c>
      <c r="Z526" s="2" t="s">
        <v>36</v>
      </c>
      <c r="AA526" s="13" t="s">
        <v>10424</v>
      </c>
      <c r="AB526" s="13">
        <v>398581</v>
      </c>
    </row>
    <row r="527" spans="1:28">
      <c r="A527" s="2" t="s">
        <v>8964</v>
      </c>
      <c r="B527" s="2" t="s">
        <v>368</v>
      </c>
      <c r="C527" s="11" t="s">
        <v>1519</v>
      </c>
      <c r="D527" s="2" t="s">
        <v>30</v>
      </c>
      <c r="E527" s="2" t="s">
        <v>213</v>
      </c>
      <c r="F527" s="11"/>
      <c r="G527" s="11"/>
      <c r="H527" s="2" t="s">
        <v>1112</v>
      </c>
      <c r="I527" s="12" t="s">
        <v>514</v>
      </c>
      <c r="J527" s="8">
        <f>+Tabla1[[#This Row],[FECHA ENTRADA]]</f>
        <v>45660</v>
      </c>
      <c r="K527" s="22">
        <v>45690</v>
      </c>
      <c r="L527" s="13">
        <f>_xlfn.DAYS(Tabla1[[#This Row],[FECHA FIN ]],Tabla1[[#This Row],[FECHA INICIO]])</f>
        <v>30</v>
      </c>
      <c r="M527" s="12"/>
      <c r="N527" s="12">
        <v>300</v>
      </c>
      <c r="O527" s="12">
        <f>(Tabla1[[#This Row],[COSTO FIJO ]]/30)*Tabla1[[#This Row],[TOTAL DIAS PROYECTO]]+(Tabla1[[#This Row],[COSTO TEMPORAL]])</f>
        <v>300</v>
      </c>
      <c r="P527" s="12"/>
      <c r="Q527" s="12">
        <f>+(Tabla1[[#This Row],[COSTO COCHE]]/30)*Tabla1[[#This Row],[TOTAL DIAS PROYECTO]]</f>
        <v>0</v>
      </c>
      <c r="R527" s="12">
        <f>+Tabla1[[#This Row],[COSTO TOTAL ALOJAMIENTO]]+Tabla1[[#This Row],[COSTO TOTAL COCHE]]</f>
        <v>300</v>
      </c>
      <c r="S527" s="2"/>
      <c r="T527" s="2" t="s">
        <v>646</v>
      </c>
      <c r="U527" s="14">
        <v>45660</v>
      </c>
      <c r="V527" s="14"/>
      <c r="W527" s="26"/>
      <c r="X527" s="2"/>
      <c r="Y527" s="18"/>
      <c r="Z527" s="2" t="s">
        <v>36</v>
      </c>
      <c r="AA527" s="13" t="s">
        <v>10349</v>
      </c>
      <c r="AB527" s="13" t="s">
        <v>10350</v>
      </c>
    </row>
    <row r="528" spans="1:28" ht="15" customHeight="1">
      <c r="A528" s="2" t="s">
        <v>8965</v>
      </c>
      <c r="B528" s="2" t="s">
        <v>28</v>
      </c>
      <c r="C528" s="11" t="s">
        <v>1520</v>
      </c>
      <c r="D528" s="2" t="s">
        <v>30</v>
      </c>
      <c r="E528" s="2" t="s">
        <v>127</v>
      </c>
      <c r="F528" s="11" t="s">
        <v>128</v>
      </c>
      <c r="G528" s="11" t="s">
        <v>129</v>
      </c>
      <c r="H528" s="2" t="s">
        <v>130</v>
      </c>
      <c r="I528" s="2" t="s">
        <v>124</v>
      </c>
      <c r="J528" s="8">
        <f>+Tabla1[[#This Row],[FECHA ENTRADA]]</f>
        <v>45383</v>
      </c>
      <c r="K528" s="22">
        <v>45821</v>
      </c>
      <c r="L528" s="13">
        <f>_xlfn.DAYS(Tabla1[[#This Row],[FECHA FIN ]],Tabla1[[#This Row],[FECHA INICIO]])</f>
        <v>438</v>
      </c>
      <c r="M528" s="12"/>
      <c r="N528" s="24"/>
      <c r="O528" s="12">
        <f>(Tabla1[[#This Row],[COSTO FIJO ]]/30)*Tabla1[[#This Row],[TOTAL DIAS PROYECTO]]+(Tabla1[[#This Row],[COSTO TEMPORAL]])</f>
        <v>0</v>
      </c>
      <c r="P528" s="12"/>
      <c r="Q528" s="12">
        <f>+(Tabla1[[#This Row],[COSTO COCHE]]/30)*Tabla1[[#This Row],[TOTAL DIAS PROYECTO]]</f>
        <v>0</v>
      </c>
      <c r="R528" s="12">
        <f>+Tabla1[[#This Row],[COSTO TOTAL ALOJAMIENTO]]+Tabla1[[#This Row],[COSTO TOTAL COCHE]]</f>
        <v>0</v>
      </c>
      <c r="S528" s="2"/>
      <c r="T528" s="2" t="s">
        <v>35</v>
      </c>
      <c r="U528" s="14">
        <v>45383</v>
      </c>
      <c r="V528" s="14"/>
      <c r="W528" s="26"/>
      <c r="X528" s="16">
        <v>15</v>
      </c>
      <c r="Y528" s="18"/>
      <c r="Z528" s="2" t="s">
        <v>36</v>
      </c>
      <c r="AA528" s="13" t="s">
        <v>10342</v>
      </c>
      <c r="AB528" s="13" t="s">
        <v>10343</v>
      </c>
    </row>
    <row r="529" spans="1:28" ht="15" customHeight="1">
      <c r="A529" s="2" t="s">
        <v>8804</v>
      </c>
      <c r="B529" t="s">
        <v>368</v>
      </c>
      <c r="C529" s="99" t="s">
        <v>838</v>
      </c>
      <c r="D529" s="2" t="s">
        <v>30</v>
      </c>
      <c r="E529" s="2" t="s">
        <v>109</v>
      </c>
      <c r="F529" s="11" t="s">
        <v>898</v>
      </c>
      <c r="G529" s="21" t="s">
        <v>899</v>
      </c>
      <c r="H529" s="2" t="s">
        <v>1521</v>
      </c>
      <c r="I529" s="12" t="s">
        <v>42</v>
      </c>
      <c r="J529" s="41">
        <f>+Tabla1[[#This Row],[FECHA ENTRADA]]</f>
        <v>45601</v>
      </c>
      <c r="K529" s="8">
        <v>45691</v>
      </c>
      <c r="L529" s="42">
        <f>_xlfn.DAYS(Tabla1[[#This Row],[FECHA FIN ]],Tabla1[[#This Row],[FECHA INICIO]])</f>
        <v>90</v>
      </c>
      <c r="M529" s="12"/>
      <c r="N529" s="24">
        <v>200</v>
      </c>
      <c r="O529" s="28">
        <f>(Tabla1[[#This Row],[COSTO FIJO ]]/30)*Tabla1[[#This Row],[TOTAL DIAS PROYECTO]]+(Tabla1[[#This Row],[COSTO TEMPORAL]])</f>
        <v>600</v>
      </c>
      <c r="P529" s="12"/>
      <c r="Q529" s="12">
        <f>+(Tabla1[[#This Row],[COSTO COCHE]]/30)*Tabla1[[#This Row],[TOTAL DIAS PROYECTO]]</f>
        <v>0</v>
      </c>
      <c r="R529" s="12">
        <f>+Tabla1[[#This Row],[COSTO TOTAL ALOJAMIENTO]]+Tabla1[[#This Row],[COSTO TOTAL COCHE]]</f>
        <v>600</v>
      </c>
      <c r="S529" s="2"/>
      <c r="T529" s="2" t="s">
        <v>35</v>
      </c>
      <c r="U529" s="14">
        <v>45601</v>
      </c>
      <c r="V529" s="43"/>
      <c r="W529" s="26"/>
      <c r="X529" s="2">
        <v>1</v>
      </c>
      <c r="Y529" s="96">
        <v>45691</v>
      </c>
      <c r="Z529" s="2" t="s">
        <v>36</v>
      </c>
      <c r="AA529" s="13">
        <v>0.62217999999999996</v>
      </c>
      <c r="AB529" s="13" t="s">
        <v>10339</v>
      </c>
    </row>
    <row r="530" spans="1:28">
      <c r="A530" s="2" t="s">
        <v>8966</v>
      </c>
      <c r="B530" s="29" t="s">
        <v>368</v>
      </c>
      <c r="C530" s="11" t="s">
        <v>1522</v>
      </c>
      <c r="D530" s="2" t="s">
        <v>30</v>
      </c>
      <c r="E530" s="2" t="s">
        <v>151</v>
      </c>
      <c r="F530" s="11" t="s">
        <v>1499</v>
      </c>
      <c r="G530" s="46" t="s">
        <v>1500</v>
      </c>
      <c r="H530" s="2" t="s">
        <v>1523</v>
      </c>
      <c r="I530" s="12" t="s">
        <v>152</v>
      </c>
      <c r="J530" s="41">
        <f>+Tabla1[[#This Row],[FECHA ENTRADA]]</f>
        <v>45641</v>
      </c>
      <c r="K530" s="41">
        <v>45691</v>
      </c>
      <c r="L530" s="42">
        <f>_xlfn.DAYS(Tabla1[[#This Row],[FECHA FIN ]],Tabla1[[#This Row],[FECHA INICIO]])</f>
        <v>50</v>
      </c>
      <c r="M530" s="12"/>
      <c r="N530" s="28"/>
      <c r="O530" s="28">
        <f>(Tabla1[[#This Row],[COSTO FIJO ]]/30)*Tabla1[[#This Row],[TOTAL DIAS PROYECTO]]+(Tabla1[[#This Row],[COSTO TEMPORAL]])</f>
        <v>0</v>
      </c>
      <c r="P530" s="12">
        <f>3067.87/22</f>
        <v>139.44863636363635</v>
      </c>
      <c r="Q530" s="12">
        <f>+(Tabla1[[#This Row],[COSTO COCHE]]/30)*Tabla1[[#This Row],[TOTAL DIAS PROYECTO]]</f>
        <v>232.41439393939393</v>
      </c>
      <c r="R530" s="12">
        <f>+Tabla1[[#This Row],[COSTO TOTAL ALOJAMIENTO]]+Tabla1[[#This Row],[COSTO TOTAL COCHE]]</f>
        <v>232.41439393939393</v>
      </c>
      <c r="S530" s="2"/>
      <c r="T530" s="2" t="s">
        <v>35</v>
      </c>
      <c r="U530" s="14">
        <v>45641</v>
      </c>
      <c r="V530" s="43"/>
      <c r="W530" s="26"/>
      <c r="X530" s="2">
        <v>15</v>
      </c>
      <c r="Y530" s="11"/>
      <c r="Z530" s="2" t="s">
        <v>36</v>
      </c>
      <c r="AA530" s="13" t="s">
        <v>10345</v>
      </c>
      <c r="AB530" s="13" t="s">
        <v>10346</v>
      </c>
    </row>
    <row r="531" spans="1:28">
      <c r="A531" s="2" t="s">
        <v>8967</v>
      </c>
      <c r="B531" s="2" t="s">
        <v>368</v>
      </c>
      <c r="C531" s="99" t="s">
        <v>1524</v>
      </c>
      <c r="D531" s="2" t="s">
        <v>30</v>
      </c>
      <c r="E531" s="2" t="s">
        <v>213</v>
      </c>
      <c r="F531" s="11" t="s">
        <v>1525</v>
      </c>
      <c r="G531" t="s">
        <v>1197</v>
      </c>
      <c r="H531" s="2" t="s">
        <v>1198</v>
      </c>
      <c r="I531" s="12" t="s">
        <v>514</v>
      </c>
      <c r="J531" s="22">
        <f>+Tabla1[[#This Row],[FECHA ENTRADA]]</f>
        <v>45580</v>
      </c>
      <c r="K531" s="8">
        <v>45692</v>
      </c>
      <c r="L531" s="23">
        <f>_xlfn.DAYS(Tabla1[[#This Row],[FECHA FIN ]],Tabla1[[#This Row],[FECHA INICIO]])</f>
        <v>112</v>
      </c>
      <c r="M531" s="12"/>
      <c r="N531" s="24">
        <v>358.75</v>
      </c>
      <c r="O531" s="24">
        <f>(Tabla1[[#This Row],[COSTO FIJO ]]/30)*Tabla1[[#This Row],[TOTAL DIAS PROYECTO]]+(Tabla1[[#This Row],[COSTO TEMPORAL]])</f>
        <v>1339.3333333333335</v>
      </c>
      <c r="P531" s="12">
        <f>2586.33/26</f>
        <v>99.474230769230772</v>
      </c>
      <c r="Q531" s="12">
        <f>+(Tabla1[[#This Row],[COSTO COCHE]]/30)*Tabla1[[#This Row],[TOTAL DIAS PROYECTO]]</f>
        <v>371.37046153846154</v>
      </c>
      <c r="R531" s="12">
        <f>+Tabla1[[#This Row],[COSTO TOTAL ALOJAMIENTO]]+Tabla1[[#This Row],[COSTO TOTAL COCHE]]</f>
        <v>1710.703794871795</v>
      </c>
      <c r="S531" s="2"/>
      <c r="T531" s="2" t="s">
        <v>35</v>
      </c>
      <c r="U531" s="14">
        <v>45580</v>
      </c>
      <c r="V531" s="25"/>
      <c r="W531" s="26"/>
      <c r="X531" s="2">
        <v>1</v>
      </c>
      <c r="Y531" s="11" t="s">
        <v>1526</v>
      </c>
      <c r="Z531" s="2" t="s">
        <v>36</v>
      </c>
      <c r="AA531" s="13" t="s">
        <v>10349</v>
      </c>
      <c r="AB531" s="13" t="s">
        <v>10350</v>
      </c>
    </row>
    <row r="532" spans="1:28">
      <c r="A532" s="2" t="s">
        <v>8968</v>
      </c>
      <c r="B532" s="2" t="s">
        <v>978</v>
      </c>
      <c r="C532" s="86" t="s">
        <v>1527</v>
      </c>
      <c r="D532" s="2" t="s">
        <v>30</v>
      </c>
      <c r="E532" s="2" t="s">
        <v>253</v>
      </c>
      <c r="F532" s="11" t="s">
        <v>1528</v>
      </c>
      <c r="G532" s="46" t="s">
        <v>1529</v>
      </c>
      <c r="H532" s="2" t="s">
        <v>1530</v>
      </c>
      <c r="I532" s="12" t="s">
        <v>1155</v>
      </c>
      <c r="J532" s="22">
        <f>+Tabla1[[#This Row],[FECHA ENTRADA]]</f>
        <v>45574</v>
      </c>
      <c r="K532" s="8">
        <v>45693</v>
      </c>
      <c r="L532" s="42">
        <f>_xlfn.DAYS(Tabla1[[#This Row],[FECHA FIN ]],Tabla1[[#This Row],[FECHA INICIO]])</f>
        <v>119</v>
      </c>
      <c r="M532" s="12"/>
      <c r="N532" s="28">
        <v>400</v>
      </c>
      <c r="O532" s="28">
        <f>(Tabla1[[#This Row],[COSTO FIJO ]]/30)*Tabla1[[#This Row],[TOTAL DIAS PROYECTO]]+(Tabla1[[#This Row],[COSTO TEMPORAL]])</f>
        <v>1586.6666666666667</v>
      </c>
      <c r="P532" s="12"/>
      <c r="Q532" s="12">
        <f>+(Tabla1[[#This Row],[COSTO COCHE]]/30)*Tabla1[[#This Row],[TOTAL DIAS PROYECTO]]</f>
        <v>0</v>
      </c>
      <c r="R532" s="12">
        <f>+Tabla1[[#This Row],[COSTO TOTAL ALOJAMIENTO]]+Tabla1[[#This Row],[COSTO TOTAL COCHE]]</f>
        <v>1586.6666666666667</v>
      </c>
      <c r="S532" s="2"/>
      <c r="T532" s="2" t="s">
        <v>35</v>
      </c>
      <c r="U532" s="14">
        <v>45574</v>
      </c>
      <c r="V532" s="43"/>
      <c r="W532" s="26"/>
      <c r="X532" s="2">
        <v>5</v>
      </c>
      <c r="Y532" s="11" t="s">
        <v>1531</v>
      </c>
      <c r="Z532" s="2" t="s">
        <v>36</v>
      </c>
      <c r="AA532" s="13" t="s">
        <v>10357</v>
      </c>
      <c r="AB532" s="13" t="s">
        <v>10358</v>
      </c>
    </row>
    <row r="533" spans="1:28">
      <c r="A533" s="2" t="s">
        <v>8833</v>
      </c>
      <c r="B533" s="2" t="s">
        <v>28</v>
      </c>
      <c r="C533" s="11" t="s">
        <v>945</v>
      </c>
      <c r="D533" s="2" t="s">
        <v>30</v>
      </c>
      <c r="E533" s="2" t="s">
        <v>31</v>
      </c>
      <c r="F533" s="11" t="s">
        <v>1325</v>
      </c>
      <c r="G533" s="49" t="s">
        <v>1326</v>
      </c>
      <c r="H533" s="2" t="s">
        <v>1532</v>
      </c>
      <c r="I533" s="12" t="s">
        <v>1101</v>
      </c>
      <c r="J533" s="22">
        <f>+Tabla1[[#This Row],[FECHA ENTRADA]]</f>
        <v>45610</v>
      </c>
      <c r="K533" s="8">
        <f ca="1">TODAY()</f>
        <v>46260</v>
      </c>
      <c r="L533" s="23">
        <f ca="1">_xlfn.DAYS(Tabla1[[#This Row],[FECHA FIN ]],Tabla1[[#This Row],[FECHA INICIO]])</f>
        <v>650</v>
      </c>
      <c r="M533" s="12"/>
      <c r="N533" s="24">
        <v>350</v>
      </c>
      <c r="O533" s="24">
        <f ca="1">(Tabla1[[#This Row],[COSTO FIJO ]]/30)*Tabla1[[#This Row],[TOTAL DIAS PROYECTO]]+(Tabla1[[#This Row],[COSTO TEMPORAL]])</f>
        <v>7583.333333333333</v>
      </c>
      <c r="P533" s="12"/>
      <c r="Q533" s="12">
        <f ca="1">+(Tabla1[[#This Row],[COSTO COCHE]]/30)*Tabla1[[#This Row],[TOTAL DIAS PROYECTO]]</f>
        <v>0</v>
      </c>
      <c r="R533" s="12">
        <f ca="1">+Tabla1[[#This Row],[COSTO TOTAL ALOJAMIENTO]]+Tabla1[[#This Row],[COSTO TOTAL COCHE]]</f>
        <v>7583.333333333333</v>
      </c>
      <c r="S533" s="2"/>
      <c r="T533" s="2" t="s">
        <v>35</v>
      </c>
      <c r="U533" s="14">
        <v>45610</v>
      </c>
      <c r="V533" s="25"/>
      <c r="W533" s="26">
        <v>175</v>
      </c>
      <c r="X533" s="2">
        <v>14</v>
      </c>
      <c r="Y533" s="11"/>
      <c r="Z533" s="2" t="s">
        <v>36</v>
      </c>
      <c r="AA533" s="13" t="s">
        <v>10323</v>
      </c>
      <c r="AB533" s="13" t="s">
        <v>10324</v>
      </c>
    </row>
    <row r="534" spans="1:28">
      <c r="A534" s="2" t="s">
        <v>8969</v>
      </c>
      <c r="B534" s="2" t="s">
        <v>28</v>
      </c>
      <c r="C534" s="11" t="s">
        <v>1533</v>
      </c>
      <c r="D534" s="2" t="s">
        <v>72</v>
      </c>
      <c r="E534" s="2" t="s">
        <v>31</v>
      </c>
      <c r="F534" s="11" t="s">
        <v>1325</v>
      </c>
      <c r="G534" s="21" t="s">
        <v>1326</v>
      </c>
      <c r="H534" s="2" t="s">
        <v>1534</v>
      </c>
      <c r="I534" s="10" t="s">
        <v>1101</v>
      </c>
      <c r="J534" s="41">
        <f>+Tabla1[[#This Row],[FECHA ENTRADA]]</f>
        <v>45683</v>
      </c>
      <c r="K534" s="8">
        <v>45688</v>
      </c>
      <c r="L534" s="42">
        <f>_xlfn.DAYS(Tabla1[[#This Row],[FECHA FIN ]],Tabla1[[#This Row],[FECHA INICIO]])</f>
        <v>5</v>
      </c>
      <c r="M534" s="12"/>
      <c r="N534" s="12"/>
      <c r="O534" s="28">
        <f>(Tabla1[[#This Row],[COSTO FIJO ]]/30)*Tabla1[[#This Row],[TOTAL DIAS PROYECTO]]+(Tabla1[[#This Row],[COSTO TEMPORAL]])</f>
        <v>0</v>
      </c>
      <c r="P534" s="12"/>
      <c r="Q534" s="12">
        <f>+(Tabla1[[#This Row],[COSTO COCHE]]/30)*Tabla1[[#This Row],[TOTAL DIAS PROYECTO]]</f>
        <v>0</v>
      </c>
      <c r="R534" s="12">
        <f>+Tabla1[[#This Row],[COSTO TOTAL ALOJAMIENTO]]+Tabla1[[#This Row],[COSTO TOTAL COCHE]]</f>
        <v>0</v>
      </c>
      <c r="S534" s="2"/>
      <c r="T534" s="2" t="s">
        <v>613</v>
      </c>
      <c r="U534" s="14">
        <v>45683</v>
      </c>
      <c r="V534" s="79"/>
      <c r="W534" s="26">
        <v>350</v>
      </c>
      <c r="X534" s="2">
        <v>16</v>
      </c>
      <c r="Y534" s="11"/>
      <c r="Z534" s="2" t="s">
        <v>36</v>
      </c>
      <c r="AA534" s="13" t="s">
        <v>10323</v>
      </c>
      <c r="AB534" s="13" t="s">
        <v>10324</v>
      </c>
    </row>
    <row r="535" spans="1:28">
      <c r="A535" s="2" t="s">
        <v>8754</v>
      </c>
      <c r="B535" s="2" t="s">
        <v>28</v>
      </c>
      <c r="C535" s="11" t="s">
        <v>605</v>
      </c>
      <c r="D535" s="2" t="s">
        <v>30</v>
      </c>
      <c r="E535" s="2" t="s">
        <v>245</v>
      </c>
      <c r="F535" s="11" t="s">
        <v>1535</v>
      </c>
      <c r="G535" s="21" t="s">
        <v>1536</v>
      </c>
      <c r="H535" s="2" t="s">
        <v>1537</v>
      </c>
      <c r="I535" s="12" t="s">
        <v>1538</v>
      </c>
      <c r="J535" s="41">
        <f>+Tabla1[[#This Row],[FECHA ENTRADA]]</f>
        <v>45614</v>
      </c>
      <c r="K535" s="8">
        <v>45618</v>
      </c>
      <c r="L535" s="42">
        <f>_xlfn.DAYS(Tabla1[[#This Row],[FECHA FIN ]],Tabla1[[#This Row],[FECHA INICIO]])</f>
        <v>4</v>
      </c>
      <c r="M535" s="12">
        <v>180</v>
      </c>
      <c r="N535" s="28"/>
      <c r="O535" s="28">
        <f>(Tabla1[[#This Row],[COSTO FIJO ]]/30)*Tabla1[[#This Row],[TOTAL DIAS PROYECTO]]+(Tabla1[[#This Row],[COSTO TEMPORAL]])</f>
        <v>180</v>
      </c>
      <c r="P535" s="12"/>
      <c r="Q535" s="12">
        <f>+(Tabla1[[#This Row],[COSTO COCHE]]/30)*Tabla1[[#This Row],[TOTAL DIAS PROYECTO]]</f>
        <v>0</v>
      </c>
      <c r="R535" s="12">
        <f>+Tabla1[[#This Row],[COSTO TOTAL ALOJAMIENTO]]+Tabla1[[#This Row],[COSTO TOTAL COCHE]]</f>
        <v>180</v>
      </c>
      <c r="S535" s="2"/>
      <c r="T535" s="2" t="s">
        <v>44</v>
      </c>
      <c r="U535" s="14">
        <v>45614</v>
      </c>
      <c r="V535" s="43">
        <v>45618</v>
      </c>
      <c r="W535" s="26"/>
      <c r="X535" s="2"/>
      <c r="Y535" s="11"/>
      <c r="Z535" s="2" t="s">
        <v>36</v>
      </c>
      <c r="AA535" s="13" t="s">
        <v>10355</v>
      </c>
      <c r="AB535" s="13" t="s">
        <v>10356</v>
      </c>
    </row>
    <row r="536" spans="1:28">
      <c r="A536" s="2" t="s">
        <v>8805</v>
      </c>
      <c r="B536" s="2" t="s">
        <v>28</v>
      </c>
      <c r="C536" s="11" t="s">
        <v>844</v>
      </c>
      <c r="D536" s="2" t="s">
        <v>30</v>
      </c>
      <c r="E536" s="2" t="s">
        <v>259</v>
      </c>
      <c r="F536" s="11" t="s">
        <v>516</v>
      </c>
      <c r="G536" s="11" t="s">
        <v>517</v>
      </c>
      <c r="H536" s="2" t="s">
        <v>1295</v>
      </c>
      <c r="I536" s="12" t="s">
        <v>57</v>
      </c>
      <c r="J536" s="41">
        <f>+Tabla1[[#This Row],[FECHA ENTRADA]]</f>
        <v>45592</v>
      </c>
      <c r="K536" s="8">
        <v>45653</v>
      </c>
      <c r="L536" s="42">
        <f>_xlfn.DAYS(Tabla1[[#This Row],[FECHA FIN ]],Tabla1[[#This Row],[FECHA INICIO]])</f>
        <v>61</v>
      </c>
      <c r="M536" s="12"/>
      <c r="N536" s="20">
        <v>330</v>
      </c>
      <c r="O536" s="28">
        <f>(Tabla1[[#This Row],[COSTO FIJO ]]/30)*Tabla1[[#This Row],[TOTAL DIAS PROYECTO]]+(Tabla1[[#This Row],[COSTO TEMPORAL]])</f>
        <v>671</v>
      </c>
      <c r="P536" s="12"/>
      <c r="Q536" s="12">
        <f>+(Tabla1[[#This Row],[COSTO COCHE]]/30)*Tabla1[[#This Row],[TOTAL DIAS PROYECTO]]</f>
        <v>0</v>
      </c>
      <c r="R536" s="12">
        <f>+Tabla1[[#This Row],[COSTO TOTAL ALOJAMIENTO]]+Tabla1[[#This Row],[COSTO TOTAL COCHE]]</f>
        <v>671</v>
      </c>
      <c r="S536" s="2"/>
      <c r="T536" s="2" t="s">
        <v>35</v>
      </c>
      <c r="U536" s="14">
        <v>45592</v>
      </c>
      <c r="V536" s="43"/>
      <c r="W536" s="26"/>
      <c r="X536" s="2">
        <v>27</v>
      </c>
      <c r="Y536" s="11"/>
      <c r="Z536" s="2" t="s">
        <v>36</v>
      </c>
      <c r="AA536" s="13">
        <v>-0.87734000000000001</v>
      </c>
      <c r="AB536" s="13" t="s">
        <v>10359</v>
      </c>
    </row>
    <row r="537" spans="1:28" s="30" customFormat="1">
      <c r="A537" s="2" t="s">
        <v>8768</v>
      </c>
      <c r="B537" s="2" t="s">
        <v>978</v>
      </c>
      <c r="C537" s="11" t="s">
        <v>658</v>
      </c>
      <c r="D537" s="2" t="s">
        <v>30</v>
      </c>
      <c r="E537" s="2" t="s">
        <v>31</v>
      </c>
      <c r="F537" s="11" t="s">
        <v>1206</v>
      </c>
      <c r="G537" t="s">
        <v>1005</v>
      </c>
      <c r="H537" s="2" t="s">
        <v>1539</v>
      </c>
      <c r="I537" s="12" t="s">
        <v>1540</v>
      </c>
      <c r="J537" s="41">
        <f>+Tabla1[[#This Row],[FECHA ENTRADA]]</f>
        <v>45641</v>
      </c>
      <c r="K537" s="8">
        <v>45695</v>
      </c>
      <c r="L537" s="42">
        <f>_xlfn.DAYS(Tabla1[[#This Row],[FECHA FIN ]],Tabla1[[#This Row],[FECHA INICIO]])</f>
        <v>54</v>
      </c>
      <c r="M537" s="12"/>
      <c r="N537" s="12"/>
      <c r="O537" s="28">
        <f>(Tabla1[[#This Row],[COSTO FIJO ]]/30)*Tabla1[[#This Row],[TOTAL DIAS PROYECTO]]+(Tabla1[[#This Row],[COSTO TEMPORAL]])</f>
        <v>0</v>
      </c>
      <c r="P537" s="12"/>
      <c r="Q537" s="12">
        <f>+(Tabla1[[#This Row],[COSTO COCHE]]/30)*Tabla1[[#This Row],[TOTAL DIAS PROYECTO]]</f>
        <v>0</v>
      </c>
      <c r="R537" s="12">
        <f>+Tabla1[[#This Row],[COSTO TOTAL ALOJAMIENTO]]+Tabla1[[#This Row],[COSTO TOTAL COCHE]]</f>
        <v>0</v>
      </c>
      <c r="S537" s="2"/>
      <c r="T537" s="2" t="s">
        <v>35</v>
      </c>
      <c r="U537" s="14">
        <v>45641</v>
      </c>
      <c r="V537" s="43">
        <v>45695</v>
      </c>
      <c r="W537" s="26"/>
      <c r="X537" s="2">
        <v>27</v>
      </c>
      <c r="Y537" s="11" t="s">
        <v>1541</v>
      </c>
      <c r="Z537" s="2" t="s">
        <v>36</v>
      </c>
      <c r="AA537" s="13" t="s">
        <v>10323</v>
      </c>
      <c r="AB537" s="13" t="s">
        <v>10324</v>
      </c>
    </row>
    <row r="538" spans="1:28">
      <c r="A538" s="2" t="s">
        <v>8678</v>
      </c>
      <c r="B538" s="2" t="s">
        <v>1542</v>
      </c>
      <c r="C538" s="11" t="s">
        <v>251</v>
      </c>
      <c r="D538" s="2" t="s">
        <v>30</v>
      </c>
      <c r="E538" s="2" t="s">
        <v>31</v>
      </c>
      <c r="F538" s="11" t="s">
        <v>1206</v>
      </c>
      <c r="G538" t="s">
        <v>1005</v>
      </c>
      <c r="H538" s="2" t="s">
        <v>1539</v>
      </c>
      <c r="I538" s="12" t="s">
        <v>1540</v>
      </c>
      <c r="J538" s="41">
        <f>+Tabla1[[#This Row],[FECHA ENTRADA]]</f>
        <v>45641</v>
      </c>
      <c r="K538" s="8">
        <v>45695</v>
      </c>
      <c r="L538" s="42">
        <f>_xlfn.DAYS(Tabla1[[#This Row],[FECHA FIN ]],Tabla1[[#This Row],[FECHA INICIO]])</f>
        <v>54</v>
      </c>
      <c r="M538" s="12"/>
      <c r="N538" s="12"/>
      <c r="O538" s="28">
        <f>(Tabla1[[#This Row],[COSTO FIJO ]]/30)*Tabla1[[#This Row],[TOTAL DIAS PROYECTO]]+(Tabla1[[#This Row],[COSTO TEMPORAL]])</f>
        <v>0</v>
      </c>
      <c r="P538" s="12"/>
      <c r="Q538" s="12">
        <f>+(Tabla1[[#This Row],[COSTO COCHE]]/30)*Tabla1[[#This Row],[TOTAL DIAS PROYECTO]]</f>
        <v>0</v>
      </c>
      <c r="R538" s="12">
        <f>+Tabla1[[#This Row],[COSTO TOTAL ALOJAMIENTO]]+Tabla1[[#This Row],[COSTO TOTAL COCHE]]</f>
        <v>0</v>
      </c>
      <c r="S538" s="2"/>
      <c r="T538" s="2" t="s">
        <v>35</v>
      </c>
      <c r="U538" s="14">
        <v>45641</v>
      </c>
      <c r="V538" s="43">
        <v>45695</v>
      </c>
      <c r="W538" s="26"/>
      <c r="X538" s="2">
        <v>27</v>
      </c>
      <c r="Y538" s="11" t="s">
        <v>1541</v>
      </c>
      <c r="Z538" s="2" t="s">
        <v>36</v>
      </c>
      <c r="AA538" s="13" t="s">
        <v>10323</v>
      </c>
      <c r="AB538" s="13" t="s">
        <v>10324</v>
      </c>
    </row>
    <row r="539" spans="1:28" ht="15" customHeight="1">
      <c r="A539" s="2" t="s">
        <v>8970</v>
      </c>
      <c r="B539" s="2" t="s">
        <v>28</v>
      </c>
      <c r="C539" s="31" t="s">
        <v>1543</v>
      </c>
      <c r="D539" s="2" t="s">
        <v>30</v>
      </c>
      <c r="E539" s="2" t="s">
        <v>648</v>
      </c>
      <c r="F539" s="11" t="s">
        <v>1544</v>
      </c>
      <c r="G539" s="11" t="s">
        <v>1545</v>
      </c>
      <c r="H539" s="2" t="s">
        <v>1546</v>
      </c>
      <c r="I539" s="12" t="s">
        <v>96</v>
      </c>
      <c r="J539" s="22">
        <f>+Tabla1[[#This Row],[FECHA ENTRADA]]</f>
        <v>45908</v>
      </c>
      <c r="K539" s="22">
        <v>46008</v>
      </c>
      <c r="L539" s="23">
        <f>_xlfn.DAYS(Tabla1[[#This Row],[FECHA FIN ]],Tabla1[[#This Row],[FECHA INICIO]])</f>
        <v>100</v>
      </c>
      <c r="M539" s="12"/>
      <c r="N539" s="20">
        <v>183.33333333333334</v>
      </c>
      <c r="O539" s="24">
        <f>(Tabla1[[#This Row],[COSTO FIJO ]]/30)*Tabla1[[#This Row],[TOTAL DIAS PROYECTO]]+(Tabla1[[#This Row],[COSTO TEMPORAL]])</f>
        <v>611.1111111111112</v>
      </c>
      <c r="P539" s="12"/>
      <c r="Q539" s="12">
        <f>+(Tabla1[[#This Row],[COSTO COCHE]]/30)*Tabla1[[#This Row],[TOTAL DIAS PROYECTO]]</f>
        <v>0</v>
      </c>
      <c r="R539" s="12">
        <f>+Tabla1[[#This Row],[COSTO TOTAL ALOJAMIENTO]]+Tabla1[[#This Row],[COSTO TOTAL COCHE]]</f>
        <v>611.1111111111112</v>
      </c>
      <c r="S539" s="2"/>
      <c r="T539" s="14" t="s">
        <v>35</v>
      </c>
      <c r="U539" s="14">
        <v>45908</v>
      </c>
      <c r="V539" s="79"/>
      <c r="W539" s="71">
        <v>550</v>
      </c>
      <c r="X539" s="2">
        <v>1</v>
      </c>
      <c r="Y539" s="11" t="s">
        <v>1547</v>
      </c>
      <c r="Z539" s="2" t="s">
        <v>36</v>
      </c>
      <c r="AA539" s="13" t="s">
        <v>10387</v>
      </c>
      <c r="AB539" s="13" t="s">
        <v>10388</v>
      </c>
    </row>
    <row r="540" spans="1:28" ht="15" customHeight="1">
      <c r="A540" s="2" t="s">
        <v>8971</v>
      </c>
      <c r="B540" s="2" t="s">
        <v>368</v>
      </c>
      <c r="C540" s="11" t="s">
        <v>1548</v>
      </c>
      <c r="D540" s="2" t="s">
        <v>30</v>
      </c>
      <c r="E540" s="2" t="s">
        <v>31</v>
      </c>
      <c r="F540" s="11" t="s">
        <v>1549</v>
      </c>
      <c r="G540" s="46" t="s">
        <v>1550</v>
      </c>
      <c r="H540" s="2" t="s">
        <v>1551</v>
      </c>
      <c r="I540" s="12" t="s">
        <v>1552</v>
      </c>
      <c r="J540" s="41">
        <f>+Tabla1[[#This Row],[FECHA ENTRADA]]</f>
        <v>45690</v>
      </c>
      <c r="K540" s="41">
        <v>45696</v>
      </c>
      <c r="L540" s="42">
        <f>_xlfn.DAYS(Tabla1[[#This Row],[FECHA FIN ]],Tabla1[[#This Row],[FECHA INICIO]])</f>
        <v>6</v>
      </c>
      <c r="M540" s="12"/>
      <c r="N540" s="108">
        <f>129.8+85.2+42.6</f>
        <v>257.60000000000002</v>
      </c>
      <c r="O540" s="28">
        <f>(Tabla1[[#This Row],[COSTO FIJO ]]/30)*Tabla1[[#This Row],[TOTAL DIAS PROYECTO]]+(Tabla1[[#This Row],[COSTO TEMPORAL]])</f>
        <v>51.52000000000001</v>
      </c>
      <c r="P540" s="12"/>
      <c r="Q540" s="12">
        <f>+(Tabla1[[#This Row],[COSTO COCHE]]/30)*Tabla1[[#This Row],[TOTAL DIAS PROYECTO]]</f>
        <v>0</v>
      </c>
      <c r="R540" s="12">
        <f>+Tabla1[[#This Row],[COSTO TOTAL ALOJAMIENTO]]+Tabla1[[#This Row],[COSTO TOTAL COCHE]]</f>
        <v>51.52000000000001</v>
      </c>
      <c r="S540" s="2"/>
      <c r="T540" s="2" t="s">
        <v>44</v>
      </c>
      <c r="U540" s="14">
        <v>45690</v>
      </c>
      <c r="V540" s="43">
        <v>45696</v>
      </c>
      <c r="W540" s="26"/>
      <c r="X540" s="2"/>
      <c r="Y540" s="11"/>
      <c r="Z540" s="2" t="s">
        <v>36</v>
      </c>
      <c r="AA540" s="13" t="s">
        <v>10323</v>
      </c>
      <c r="AB540" s="13" t="s">
        <v>10324</v>
      </c>
    </row>
    <row r="541" spans="1:28">
      <c r="A541" s="2" t="s">
        <v>8682</v>
      </c>
      <c r="B541" s="2" t="s">
        <v>28</v>
      </c>
      <c r="C541" s="86" t="s">
        <v>275</v>
      </c>
      <c r="D541" s="2" t="s">
        <v>30</v>
      </c>
      <c r="E541" s="2" t="s">
        <v>31</v>
      </c>
      <c r="F541" s="11" t="s">
        <v>715</v>
      </c>
      <c r="G541" s="11" t="s">
        <v>716</v>
      </c>
      <c r="H541" s="2" t="s">
        <v>1058</v>
      </c>
      <c r="I541" s="12" t="s">
        <v>527</v>
      </c>
      <c r="J541" s="8">
        <f>+Tabla1[[#This Row],[FECHA ENTRADA]]</f>
        <v>45453</v>
      </c>
      <c r="K541" s="8">
        <v>45645</v>
      </c>
      <c r="L541" s="13">
        <f>_xlfn.DAYS(Tabla1[[#This Row],[FECHA FIN ]],Tabla1[[#This Row],[FECHA INICIO]])</f>
        <v>192</v>
      </c>
      <c r="M541" s="12"/>
      <c r="N541" s="12">
        <v>160</v>
      </c>
      <c r="O541" s="28">
        <f>(Tabla1[[#This Row],[COSTO FIJO ]]/30)*Tabla1[[#This Row],[TOTAL DIAS PROYECTO]]+(Tabla1[[#This Row],[COSTO TEMPORAL]])</f>
        <v>1024</v>
      </c>
      <c r="P541" s="12">
        <f>+(((800*3)+520.54)*50%)/19</f>
        <v>76.856315789473683</v>
      </c>
      <c r="Q541" s="28">
        <f>+(Tabla1[[#This Row],[COSTO COCHE]]/30)*Tabla1[[#This Row],[TOTAL DIAS PROYECTO]]</f>
        <v>491.88042105263162</v>
      </c>
      <c r="R541" s="28">
        <f>+Tabla1[[#This Row],[COSTO TOTAL ALOJAMIENTO]]+Tabla1[[#This Row],[COSTO TOTAL COCHE]]</f>
        <v>1515.8804210526316</v>
      </c>
      <c r="S541" s="2"/>
      <c r="T541" s="2" t="s">
        <v>35</v>
      </c>
      <c r="U541" s="14">
        <v>45453</v>
      </c>
      <c r="V541" s="14"/>
      <c r="W541" s="26"/>
      <c r="X541" s="2">
        <v>1</v>
      </c>
      <c r="Y541" s="11" t="s">
        <v>1553</v>
      </c>
      <c r="Z541" s="2" t="s">
        <v>36</v>
      </c>
      <c r="AA541" s="13" t="s">
        <v>10323</v>
      </c>
      <c r="AB541" s="13" t="s">
        <v>10324</v>
      </c>
    </row>
    <row r="542" spans="1:28" ht="15" customHeight="1">
      <c r="A542" s="2" t="s">
        <v>8830</v>
      </c>
      <c r="B542" t="s">
        <v>368</v>
      </c>
      <c r="C542" s="11" t="s">
        <v>930</v>
      </c>
      <c r="D542" s="2" t="s">
        <v>30</v>
      </c>
      <c r="E542" s="2" t="s">
        <v>109</v>
      </c>
      <c r="F542" s="11" t="s">
        <v>898</v>
      </c>
      <c r="G542" s="21" t="s">
        <v>899</v>
      </c>
      <c r="H542" s="2" t="s">
        <v>1521</v>
      </c>
      <c r="I542" s="12" t="s">
        <v>42</v>
      </c>
      <c r="J542" s="41">
        <f>+Tabla1[[#This Row],[FECHA ENTRADA]]</f>
        <v>45601</v>
      </c>
      <c r="K542" s="8">
        <v>45731</v>
      </c>
      <c r="L542" s="42">
        <f>_xlfn.DAYS(Tabla1[[#This Row],[FECHA FIN ]],Tabla1[[#This Row],[FECHA INICIO]])</f>
        <v>130</v>
      </c>
      <c r="M542" s="12"/>
      <c r="N542" s="24">
        <v>200</v>
      </c>
      <c r="O542" s="28">
        <f>(Tabla1[[#This Row],[COSTO FIJO ]]/30)*Tabla1[[#This Row],[TOTAL DIAS PROYECTO]]+(Tabla1[[#This Row],[COSTO TEMPORAL]])</f>
        <v>866.66666666666674</v>
      </c>
      <c r="P542" s="12"/>
      <c r="Q542" s="12">
        <f>+(Tabla1[[#This Row],[COSTO COCHE]]/30)*Tabla1[[#This Row],[TOTAL DIAS PROYECTO]]</f>
        <v>0</v>
      </c>
      <c r="R542" s="12">
        <f>+Tabla1[[#This Row],[COSTO TOTAL ALOJAMIENTO]]+Tabla1[[#This Row],[COSTO TOTAL COCHE]]</f>
        <v>866.66666666666674</v>
      </c>
      <c r="S542" s="2"/>
      <c r="T542" s="2" t="s">
        <v>35</v>
      </c>
      <c r="U542" s="14">
        <v>45601</v>
      </c>
      <c r="V542" s="43"/>
      <c r="W542" s="26"/>
      <c r="X542" s="2">
        <v>1</v>
      </c>
      <c r="Y542" s="31" t="s">
        <v>1554</v>
      </c>
      <c r="Z542" s="2" t="s">
        <v>36</v>
      </c>
      <c r="AA542" s="13">
        <v>0.62217999999999996</v>
      </c>
      <c r="AB542" s="13" t="s">
        <v>10339</v>
      </c>
    </row>
    <row r="543" spans="1:28" ht="15" customHeight="1">
      <c r="A543" s="2" t="s">
        <v>8972</v>
      </c>
      <c r="B543" s="2" t="s">
        <v>368</v>
      </c>
      <c r="C543" s="11" t="s">
        <v>1555</v>
      </c>
      <c r="D543" s="2" t="s">
        <v>99</v>
      </c>
      <c r="E543" s="2" t="s">
        <v>109</v>
      </c>
      <c r="F543" s="11" t="s">
        <v>898</v>
      </c>
      <c r="G543" t="s">
        <v>899</v>
      </c>
      <c r="H543" s="2" t="s">
        <v>1556</v>
      </c>
      <c r="I543" s="12" t="s">
        <v>42</v>
      </c>
      <c r="J543" s="22">
        <f>+Tabla1[[#This Row],[FECHA ENTRADA]]</f>
        <v>45692</v>
      </c>
      <c r="K543" s="22">
        <v>45759</v>
      </c>
      <c r="L543" s="23">
        <f>_xlfn.DAYS(Tabla1[[#This Row],[FECHA FIN ]],Tabla1[[#This Row],[FECHA INICIO]])</f>
        <v>67</v>
      </c>
      <c r="M543" s="12"/>
      <c r="N543" s="12"/>
      <c r="O543" s="24">
        <f>(Tabla1[[#This Row],[COSTO FIJO ]]/30)*Tabla1[[#This Row],[TOTAL DIAS PROYECTO]]+(Tabla1[[#This Row],[COSTO TEMPORAL]])</f>
        <v>0</v>
      </c>
      <c r="P543" s="12"/>
      <c r="Q543" s="12">
        <f>+(Tabla1[[#This Row],[COSTO COCHE]]/30)*Tabla1[[#This Row],[TOTAL DIAS PROYECTO]]</f>
        <v>0</v>
      </c>
      <c r="R543" s="12">
        <f>+Tabla1[[#This Row],[COSTO TOTAL ALOJAMIENTO]]+Tabla1[[#This Row],[COSTO TOTAL COCHE]]</f>
        <v>0</v>
      </c>
      <c r="S543" s="2"/>
      <c r="T543" s="2" t="s">
        <v>35</v>
      </c>
      <c r="U543" s="14">
        <v>45692</v>
      </c>
      <c r="V543" s="25"/>
      <c r="W543" s="26"/>
      <c r="X543" s="2">
        <v>1</v>
      </c>
      <c r="Y543" s="11"/>
      <c r="Z543" s="2" t="s">
        <v>36</v>
      </c>
      <c r="AA543" s="13">
        <v>0.62217999999999996</v>
      </c>
      <c r="AB543" s="13" t="s">
        <v>10339</v>
      </c>
    </row>
    <row r="544" spans="1:28" ht="15" customHeight="1">
      <c r="A544" s="2" t="s">
        <v>8641</v>
      </c>
      <c r="B544" s="2" t="s">
        <v>368</v>
      </c>
      <c r="C544" s="11" t="s">
        <v>86</v>
      </c>
      <c r="D544" s="2" t="s">
        <v>30</v>
      </c>
      <c r="E544" s="2" t="s">
        <v>92</v>
      </c>
      <c r="F544" s="11" t="s">
        <v>1557</v>
      </c>
      <c r="G544" s="21" t="s">
        <v>1558</v>
      </c>
      <c r="H544" s="2" t="s">
        <v>1559</v>
      </c>
      <c r="I544" s="12" t="s">
        <v>806</v>
      </c>
      <c r="J544" s="22">
        <f>+Tabla1[[#This Row],[FECHA ENTRADA]]</f>
        <v>45697</v>
      </c>
      <c r="K544" s="22">
        <v>45699</v>
      </c>
      <c r="L544" s="23">
        <f>_xlfn.DAYS(Tabla1[[#This Row],[FECHA FIN ]],Tabla1[[#This Row],[FECHA INICIO]])</f>
        <v>2</v>
      </c>
      <c r="M544" s="12"/>
      <c r="N544" s="20"/>
      <c r="O544" s="24">
        <f>(Tabla1[[#This Row],[COSTO FIJO ]]/30)*Tabla1[[#This Row],[TOTAL DIAS PROYECTO]]+(Tabla1[[#This Row],[COSTO TEMPORAL]])</f>
        <v>0</v>
      </c>
      <c r="P544" s="12"/>
      <c r="Q544" s="12">
        <f>+(Tabla1[[#This Row],[COSTO COCHE]]/30)*Tabla1[[#This Row],[TOTAL DIAS PROYECTO]]</f>
        <v>0</v>
      </c>
      <c r="R544" s="12">
        <f>+Tabla1[[#This Row],[COSTO TOTAL ALOJAMIENTO]]+Tabla1[[#This Row],[COSTO TOTAL COCHE]]</f>
        <v>0</v>
      </c>
      <c r="S544" s="2"/>
      <c r="T544" s="2" t="s">
        <v>44</v>
      </c>
      <c r="U544" s="14">
        <v>45697</v>
      </c>
      <c r="V544" s="79">
        <v>45699</v>
      </c>
      <c r="W544" s="26"/>
      <c r="X544" s="2"/>
      <c r="Y544" s="11" t="s">
        <v>1166</v>
      </c>
      <c r="Z544" s="2" t="s">
        <v>36</v>
      </c>
      <c r="AA544" s="13" t="s">
        <v>10336</v>
      </c>
      <c r="AB544" s="13" t="s">
        <v>10337</v>
      </c>
    </row>
    <row r="545" spans="1:28" ht="15" customHeight="1">
      <c r="A545" s="2" t="s">
        <v>8719</v>
      </c>
      <c r="B545" s="2" t="s">
        <v>368</v>
      </c>
      <c r="C545" s="11" t="s">
        <v>438</v>
      </c>
      <c r="D545" s="2" t="s">
        <v>30</v>
      </c>
      <c r="E545" s="2" t="s">
        <v>92</v>
      </c>
      <c r="F545" s="11" t="s">
        <v>1557</v>
      </c>
      <c r="G545" s="21" t="s">
        <v>1558</v>
      </c>
      <c r="H545" s="2" t="s">
        <v>1559</v>
      </c>
      <c r="I545" s="12" t="s">
        <v>806</v>
      </c>
      <c r="J545" s="22">
        <f>+Tabla1[[#This Row],[FECHA ENTRADA]]</f>
        <v>45697</v>
      </c>
      <c r="K545" s="22">
        <v>45699</v>
      </c>
      <c r="L545" s="23">
        <f>_xlfn.DAYS(Tabla1[[#This Row],[FECHA FIN ]],Tabla1[[#This Row],[FECHA INICIO]])</f>
        <v>2</v>
      </c>
      <c r="M545" s="12"/>
      <c r="N545" s="12"/>
      <c r="O545" s="24">
        <f>(Tabla1[[#This Row],[COSTO FIJO ]]/30)*Tabla1[[#This Row],[TOTAL DIAS PROYECTO]]+(Tabla1[[#This Row],[COSTO TEMPORAL]])</f>
        <v>0</v>
      </c>
      <c r="P545" s="12"/>
      <c r="Q545" s="12">
        <f>+(Tabla1[[#This Row],[COSTO COCHE]]/30)*Tabla1[[#This Row],[TOTAL DIAS PROYECTO]]</f>
        <v>0</v>
      </c>
      <c r="R545" s="12">
        <f>+Tabla1[[#This Row],[COSTO TOTAL ALOJAMIENTO]]+Tabla1[[#This Row],[COSTO TOTAL COCHE]]</f>
        <v>0</v>
      </c>
      <c r="S545" s="2"/>
      <c r="T545" s="2" t="s">
        <v>44</v>
      </c>
      <c r="U545" s="14">
        <v>45697</v>
      </c>
      <c r="V545" s="79">
        <v>45699</v>
      </c>
      <c r="W545" s="26"/>
      <c r="X545" s="2"/>
      <c r="Y545" s="11" t="s">
        <v>1166</v>
      </c>
      <c r="Z545" s="2" t="s">
        <v>36</v>
      </c>
      <c r="AA545" s="13" t="s">
        <v>10336</v>
      </c>
      <c r="AB545" s="13" t="s">
        <v>10337</v>
      </c>
    </row>
    <row r="546" spans="1:28" ht="15" customHeight="1">
      <c r="A546" s="2" t="s">
        <v>8973</v>
      </c>
      <c r="B546" t="s">
        <v>368</v>
      </c>
      <c r="C546" s="86" t="s">
        <v>1560</v>
      </c>
      <c r="D546" s="2" t="s">
        <v>30</v>
      </c>
      <c r="E546" s="2" t="s">
        <v>109</v>
      </c>
      <c r="F546" s="11" t="s">
        <v>898</v>
      </c>
      <c r="G546" s="21" t="s">
        <v>899</v>
      </c>
      <c r="H546" s="2" t="s">
        <v>1561</v>
      </c>
      <c r="I546" s="29" t="s">
        <v>1562</v>
      </c>
      <c r="J546" s="22">
        <f>+Tabla1[[#This Row],[FECHA ENTRADA]]</f>
        <v>45680</v>
      </c>
      <c r="K546" s="8">
        <v>45760</v>
      </c>
      <c r="L546" s="23">
        <f>_xlfn.DAYS(Tabla1[[#This Row],[FECHA FIN ]],Tabla1[[#This Row],[FECHA INICIO]])</f>
        <v>80</v>
      </c>
      <c r="M546" s="12"/>
      <c r="N546" s="24">
        <v>233.33333333333334</v>
      </c>
      <c r="O546" s="24">
        <f>(Tabla1[[#This Row],[COSTO FIJO ]]/30)*Tabla1[[#This Row],[TOTAL DIAS PROYECTO]]+(Tabla1[[#This Row],[COSTO TEMPORAL]])</f>
        <v>622.22222222222217</v>
      </c>
      <c r="P546" s="12"/>
      <c r="Q546" s="12">
        <f>+(Tabla1[[#This Row],[COSTO COCHE]]/30)*Tabla1[[#This Row],[TOTAL DIAS PROYECTO]]</f>
        <v>0</v>
      </c>
      <c r="R546" s="12">
        <f>+Tabla1[[#This Row],[COSTO TOTAL ALOJAMIENTO]]+Tabla1[[#This Row],[COSTO TOTAL COCHE]]</f>
        <v>622.22222222222217</v>
      </c>
      <c r="S546" s="2"/>
      <c r="T546" s="2" t="s">
        <v>35</v>
      </c>
      <c r="U546" s="14">
        <v>45680</v>
      </c>
      <c r="V546" s="25"/>
      <c r="W546" s="26"/>
      <c r="X546" s="2">
        <v>1</v>
      </c>
      <c r="Y546" s="11" t="s">
        <v>1563</v>
      </c>
      <c r="Z546" s="2" t="s">
        <v>36</v>
      </c>
      <c r="AA546" s="13">
        <v>0.62217999999999996</v>
      </c>
      <c r="AB546" s="13" t="s">
        <v>10339</v>
      </c>
    </row>
    <row r="547" spans="1:28" ht="15" customHeight="1">
      <c r="A547" s="2" t="s">
        <v>8974</v>
      </c>
      <c r="B547" s="2" t="s">
        <v>368</v>
      </c>
      <c r="C547" s="11" t="s">
        <v>1564</v>
      </c>
      <c r="D547" s="2" t="s">
        <v>99</v>
      </c>
      <c r="E547" s="2" t="s">
        <v>109</v>
      </c>
      <c r="F547" s="11" t="s">
        <v>898</v>
      </c>
      <c r="G547" s="21" t="s">
        <v>899</v>
      </c>
      <c r="H547" s="2" t="s">
        <v>1565</v>
      </c>
      <c r="I547" s="12" t="s">
        <v>42</v>
      </c>
      <c r="J547" s="22">
        <f>+Tabla1[[#This Row],[FECHA ENTRADA]]</f>
        <v>45732</v>
      </c>
      <c r="K547" s="22">
        <v>45760</v>
      </c>
      <c r="L547" s="23">
        <f>_xlfn.DAYS(Tabla1[[#This Row],[FECHA FIN ]],Tabla1[[#This Row],[FECHA INICIO]])</f>
        <v>28</v>
      </c>
      <c r="M547" s="12"/>
      <c r="N547" s="12"/>
      <c r="O547" s="24">
        <f>(Tabla1[[#This Row],[COSTO FIJO ]]/30)*Tabla1[[#This Row],[TOTAL DIAS PROYECTO]]+(Tabla1[[#This Row],[COSTO TEMPORAL]])</f>
        <v>0</v>
      </c>
      <c r="P547" s="12"/>
      <c r="Q547" s="12">
        <f>+(Tabla1[[#This Row],[COSTO COCHE]]/30)*Tabla1[[#This Row],[TOTAL DIAS PROYECTO]]</f>
        <v>0</v>
      </c>
      <c r="R547" s="12">
        <f>+Tabla1[[#This Row],[COSTO TOTAL ALOJAMIENTO]]+Tabla1[[#This Row],[COSTO TOTAL COCHE]]</f>
        <v>0</v>
      </c>
      <c r="S547" s="2"/>
      <c r="T547" s="2" t="s">
        <v>35</v>
      </c>
      <c r="U547" s="14">
        <v>45732</v>
      </c>
      <c r="V547" s="25"/>
      <c r="W547" s="26"/>
      <c r="X547" s="2">
        <v>1</v>
      </c>
      <c r="Y547" s="11" t="s">
        <v>1566</v>
      </c>
      <c r="Z547" s="2" t="s">
        <v>36</v>
      </c>
      <c r="AA547" s="13">
        <v>0.62217999999999996</v>
      </c>
      <c r="AB547" s="13" t="s">
        <v>10339</v>
      </c>
    </row>
    <row r="548" spans="1:28" ht="15" customHeight="1">
      <c r="A548" s="2" t="s">
        <v>8975</v>
      </c>
      <c r="B548" s="2" t="s">
        <v>28</v>
      </c>
      <c r="C548" s="11" t="s">
        <v>1567</v>
      </c>
      <c r="D548" s="2" t="s">
        <v>30</v>
      </c>
      <c r="E548" s="2" t="s">
        <v>109</v>
      </c>
      <c r="F548" s="11" t="s">
        <v>898</v>
      </c>
      <c r="G548" s="21" t="s">
        <v>899</v>
      </c>
      <c r="H548" s="2" t="s">
        <v>1568</v>
      </c>
      <c r="I548" s="12" t="s">
        <v>34</v>
      </c>
      <c r="J548" s="22">
        <f>+Tabla1[[#This Row],[FECHA ENTRADA]]</f>
        <v>45680</v>
      </c>
      <c r="K548" s="8">
        <v>45792</v>
      </c>
      <c r="L548" s="23">
        <f>_xlfn.DAYS(Tabla1[[#This Row],[FECHA FIN ]],Tabla1[[#This Row],[FECHA INICIO]])</f>
        <v>112</v>
      </c>
      <c r="M548" s="12"/>
      <c r="N548" s="12"/>
      <c r="O548" s="24">
        <f>(Tabla1[[#This Row],[COSTO FIJO ]]/30)*Tabla1[[#This Row],[TOTAL DIAS PROYECTO]]+(Tabla1[[#This Row],[COSTO TEMPORAL]])</f>
        <v>0</v>
      </c>
      <c r="P548" s="12"/>
      <c r="Q548" s="12">
        <f>+(Tabla1[[#This Row],[COSTO COCHE]]/30)*Tabla1[[#This Row],[TOTAL DIAS PROYECTO]]</f>
        <v>0</v>
      </c>
      <c r="R548" s="12">
        <f>+Tabla1[[#This Row],[COSTO TOTAL ALOJAMIENTO]]+Tabla1[[#This Row],[COSTO TOTAL COCHE]]</f>
        <v>0</v>
      </c>
      <c r="S548" s="2"/>
      <c r="T548" s="2" t="s">
        <v>35</v>
      </c>
      <c r="U548" s="14">
        <v>45680</v>
      </c>
      <c r="V548" s="25"/>
      <c r="W548" s="26"/>
      <c r="X548" s="2">
        <v>1</v>
      </c>
      <c r="Y548" s="11" t="s">
        <v>1569</v>
      </c>
      <c r="Z548" s="2" t="s">
        <v>36</v>
      </c>
      <c r="AA548" s="13">
        <v>0.62217999999999996</v>
      </c>
      <c r="AB548" s="13" t="s">
        <v>10339</v>
      </c>
    </row>
    <row r="549" spans="1:28" ht="15" customHeight="1">
      <c r="A549" s="2" t="s">
        <v>8976</v>
      </c>
      <c r="B549" s="2" t="s">
        <v>368</v>
      </c>
      <c r="C549" s="31" t="s">
        <v>1570</v>
      </c>
      <c r="D549" s="2" t="s">
        <v>99</v>
      </c>
      <c r="E549" s="2" t="s">
        <v>109</v>
      </c>
      <c r="F549" s="11" t="s">
        <v>898</v>
      </c>
      <c r="G549" s="21" t="s">
        <v>899</v>
      </c>
      <c r="H549" s="2" t="s">
        <v>1571</v>
      </c>
      <c r="I549" s="12" t="s">
        <v>42</v>
      </c>
      <c r="J549" s="22">
        <f>+Tabla1[[#This Row],[FECHA ENTRADA]]</f>
        <v>45760</v>
      </c>
      <c r="K549" s="22">
        <v>45797</v>
      </c>
      <c r="L549" s="42">
        <f>_xlfn.DAYS(Tabla1[[#This Row],[FECHA FIN ]],Tabla1[[#This Row],[FECHA INICIO]])</f>
        <v>37</v>
      </c>
      <c r="M549" s="12"/>
      <c r="N549" s="24">
        <v>233.33333333333334</v>
      </c>
      <c r="O549" s="28">
        <f>(Tabla1[[#This Row],[COSTO FIJO ]]/30)*Tabla1[[#This Row],[TOTAL DIAS PROYECTO]]+(Tabla1[[#This Row],[COSTO TEMPORAL]])</f>
        <v>287.77777777777777</v>
      </c>
      <c r="P549" s="12">
        <v>66.666666666666671</v>
      </c>
      <c r="Q549" s="12">
        <f>+(Tabla1[[#This Row],[COSTO COCHE]]/30)*Tabla1[[#This Row],[TOTAL DIAS PROYECTO]]</f>
        <v>82.222222222222229</v>
      </c>
      <c r="R549" s="12">
        <f>+Tabla1[[#This Row],[COSTO TOTAL ALOJAMIENTO]]+Tabla1[[#This Row],[COSTO TOTAL COCHE]]</f>
        <v>370</v>
      </c>
      <c r="S549" s="2"/>
      <c r="T549" s="2" t="s">
        <v>35</v>
      </c>
      <c r="U549" s="14">
        <v>45760</v>
      </c>
      <c r="V549" s="43"/>
      <c r="W549" s="26"/>
      <c r="X549" s="2">
        <v>1</v>
      </c>
      <c r="Y549" s="11"/>
      <c r="Z549" s="2" t="s">
        <v>36</v>
      </c>
      <c r="AA549" s="13">
        <v>0.62217999999999996</v>
      </c>
      <c r="AB549" s="13" t="s">
        <v>10339</v>
      </c>
    </row>
    <row r="550" spans="1:28">
      <c r="A550" s="2" t="s">
        <v>8977</v>
      </c>
      <c r="B550" s="2" t="s">
        <v>28</v>
      </c>
      <c r="C550" s="11" t="s">
        <v>1572</v>
      </c>
      <c r="D550" s="2" t="s">
        <v>30</v>
      </c>
      <c r="E550" s="2" t="s">
        <v>31</v>
      </c>
      <c r="F550" s="11" t="s">
        <v>530</v>
      </c>
      <c r="G550" s="49" t="s">
        <v>531</v>
      </c>
      <c r="H550" s="2" t="s">
        <v>1468</v>
      </c>
      <c r="I550" s="12" t="s">
        <v>34</v>
      </c>
      <c r="J550" s="41">
        <f>+Tabla1[[#This Row],[FECHA ENTRADA]]</f>
        <v>45686</v>
      </c>
      <c r="K550" s="22">
        <v>45699</v>
      </c>
      <c r="L550" s="42">
        <f>_xlfn.DAYS(Tabla1[[#This Row],[FECHA FIN ]],Tabla1[[#This Row],[FECHA INICIO]])</f>
        <v>13</v>
      </c>
      <c r="M550" s="12"/>
      <c r="N550" s="28">
        <f>1500/10</f>
        <v>150</v>
      </c>
      <c r="O550" s="28">
        <f>(Tabla1[[#This Row],[COSTO FIJO ]]/30)*Tabla1[[#This Row],[TOTAL DIAS PROYECTO]]+(Tabla1[[#This Row],[COSTO TEMPORAL]])</f>
        <v>65</v>
      </c>
      <c r="P550" s="12">
        <f>942.69/16</f>
        <v>58.918125000000003</v>
      </c>
      <c r="Q550" s="12">
        <f>+(Tabla1[[#This Row],[COSTO COCHE]]/30)*Tabla1[[#This Row],[TOTAL DIAS PROYECTO]]</f>
        <v>25.531187500000001</v>
      </c>
      <c r="R550" s="12">
        <f>+Tabla1[[#This Row],[COSTO TOTAL ALOJAMIENTO]]+Tabla1[[#This Row],[COSTO TOTAL COCHE]]</f>
        <v>90.531187500000001</v>
      </c>
      <c r="S550" s="2"/>
      <c r="T550" s="2" t="s">
        <v>35</v>
      </c>
      <c r="U550" s="14">
        <v>45686</v>
      </c>
      <c r="V550" s="43"/>
      <c r="W550" s="26"/>
      <c r="X550" s="2">
        <v>1</v>
      </c>
      <c r="Y550" s="11" t="s">
        <v>1573</v>
      </c>
      <c r="Z550" s="2" t="s">
        <v>36</v>
      </c>
      <c r="AA550" s="13" t="s">
        <v>10323</v>
      </c>
      <c r="AB550" s="13" t="s">
        <v>10324</v>
      </c>
    </row>
    <row r="551" spans="1:28" ht="15" customHeight="1">
      <c r="A551" s="2" t="s">
        <v>8978</v>
      </c>
      <c r="B551" s="2" t="s">
        <v>368</v>
      </c>
      <c r="C551" s="11" t="s">
        <v>1574</v>
      </c>
      <c r="D551" s="2" t="s">
        <v>30</v>
      </c>
      <c r="E551" s="2" t="s">
        <v>253</v>
      </c>
      <c r="F551" s="11" t="s">
        <v>1261</v>
      </c>
      <c r="G551" s="11" t="s">
        <v>772</v>
      </c>
      <c r="H551" s="2" t="s">
        <v>1575</v>
      </c>
      <c r="I551" s="12" t="s">
        <v>1576</v>
      </c>
      <c r="J551" s="22">
        <f>+Tabla1[[#This Row],[FECHA ENTRADA]]</f>
        <v>45698</v>
      </c>
      <c r="K551" s="22">
        <v>45699</v>
      </c>
      <c r="L551" s="23">
        <f>_xlfn.DAYS(Tabla1[[#This Row],[FECHA FIN ]],Tabla1[[#This Row],[FECHA INICIO]])</f>
        <v>1</v>
      </c>
      <c r="M551" s="12"/>
      <c r="N551" s="12">
        <v>25</v>
      </c>
      <c r="O551" s="24">
        <f>(Tabla1[[#This Row],[COSTO FIJO ]]/30)*Tabla1[[#This Row],[TOTAL DIAS PROYECTO]]+(Tabla1[[#This Row],[COSTO TEMPORAL]])</f>
        <v>0.83333333333333337</v>
      </c>
      <c r="P551" s="12"/>
      <c r="Q551" s="12">
        <f>+(Tabla1[[#This Row],[COSTO COCHE]]/30)*Tabla1[[#This Row],[TOTAL DIAS PROYECTO]]</f>
        <v>0</v>
      </c>
      <c r="R551" s="12">
        <f>+Tabla1[[#This Row],[COSTO TOTAL ALOJAMIENTO]]+Tabla1[[#This Row],[COSTO TOTAL COCHE]]</f>
        <v>0.83333333333333337</v>
      </c>
      <c r="S551" s="2"/>
      <c r="T551" s="2" t="s">
        <v>44</v>
      </c>
      <c r="U551" s="14">
        <v>45698</v>
      </c>
      <c r="V551" s="79"/>
      <c r="W551" s="26"/>
      <c r="X551" s="2">
        <v>5</v>
      </c>
      <c r="Y551" s="11"/>
      <c r="Z551" s="2" t="s">
        <v>36</v>
      </c>
      <c r="AA551" s="13" t="s">
        <v>10357</v>
      </c>
      <c r="AB551" s="13" t="s">
        <v>10358</v>
      </c>
    </row>
    <row r="552" spans="1:28" ht="15" customHeight="1">
      <c r="A552" s="2" t="s">
        <v>8979</v>
      </c>
      <c r="B552" s="2" t="s">
        <v>368</v>
      </c>
      <c r="C552" s="11" t="s">
        <v>1577</v>
      </c>
      <c r="D552" s="2" t="s">
        <v>30</v>
      </c>
      <c r="E552" s="2" t="s">
        <v>253</v>
      </c>
      <c r="F552" s="11" t="s">
        <v>1261</v>
      </c>
      <c r="G552" s="11" t="s">
        <v>772</v>
      </c>
      <c r="H552" s="2" t="s">
        <v>1575</v>
      </c>
      <c r="I552" s="12" t="s">
        <v>1576</v>
      </c>
      <c r="J552" s="22">
        <f>+Tabla1[[#This Row],[FECHA ENTRADA]]</f>
        <v>45698</v>
      </c>
      <c r="K552" s="22">
        <v>45699</v>
      </c>
      <c r="L552" s="23">
        <f>_xlfn.DAYS(Tabla1[[#This Row],[FECHA FIN ]],Tabla1[[#This Row],[FECHA INICIO]])</f>
        <v>1</v>
      </c>
      <c r="M552" s="12">
        <v>25</v>
      </c>
      <c r="N552" s="12">
        <v>350</v>
      </c>
      <c r="O552" s="24">
        <f>(Tabla1[[#This Row],[COSTO FIJO ]]/30)*Tabla1[[#This Row],[TOTAL DIAS PROYECTO]]+(Tabla1[[#This Row],[COSTO TEMPORAL]])</f>
        <v>36.666666666666664</v>
      </c>
      <c r="P552" s="12"/>
      <c r="Q552" s="12">
        <f>+(Tabla1[[#This Row],[COSTO COCHE]]/30)*Tabla1[[#This Row],[TOTAL DIAS PROYECTO]]</f>
        <v>0</v>
      </c>
      <c r="R552" s="12">
        <f>+Tabla1[[#This Row],[COSTO TOTAL ALOJAMIENTO]]+Tabla1[[#This Row],[COSTO TOTAL COCHE]]</f>
        <v>36.666666666666664</v>
      </c>
      <c r="S552" s="2"/>
      <c r="T552" s="2" t="s">
        <v>44</v>
      </c>
      <c r="U552" s="14">
        <v>45698</v>
      </c>
      <c r="V552" s="79"/>
      <c r="W552" s="26"/>
      <c r="X552" s="2">
        <v>5</v>
      </c>
      <c r="Y552" s="11"/>
      <c r="Z552" s="2" t="s">
        <v>36</v>
      </c>
      <c r="AA552" s="13" t="s">
        <v>10357</v>
      </c>
      <c r="AB552" s="13" t="s">
        <v>10358</v>
      </c>
    </row>
    <row r="553" spans="1:28">
      <c r="A553" s="2" t="s">
        <v>8980</v>
      </c>
      <c r="B553" s="2" t="s">
        <v>28</v>
      </c>
      <c r="C553" s="18" t="s">
        <v>1578</v>
      </c>
      <c r="D553" s="2" t="s">
        <v>30</v>
      </c>
      <c r="E553" s="2" t="s">
        <v>380</v>
      </c>
      <c r="F553" s="11" t="s">
        <v>1579</v>
      </c>
      <c r="G553" s="11" t="s">
        <v>1580</v>
      </c>
      <c r="H553" s="2" t="s">
        <v>1581</v>
      </c>
      <c r="I553" s="12" t="s">
        <v>1582</v>
      </c>
      <c r="J553" s="8">
        <f>+Tabla1[[#This Row],[FECHA ENTRADA]]</f>
        <v>45476</v>
      </c>
      <c r="K553" s="8">
        <v>45485</v>
      </c>
      <c r="L553" s="13">
        <f>_xlfn.DAYS(Tabla1[[#This Row],[FECHA FIN ]],Tabla1[[#This Row],[FECHA INICIO]])</f>
        <v>9</v>
      </c>
      <c r="M553" s="12"/>
      <c r="N553" s="12">
        <v>333.33333333333331</v>
      </c>
      <c r="O553" s="12">
        <f>(Tabla1[[#This Row],[COSTO FIJO ]]/30)*Tabla1[[#This Row],[TOTAL DIAS PROYECTO]]+(Tabla1[[#This Row],[COSTO TEMPORAL]])</f>
        <v>100</v>
      </c>
      <c r="P553" s="12"/>
      <c r="Q553" s="12">
        <f>+(Tabla1[[#This Row],[COSTO COCHE]]/30)*Tabla1[[#This Row],[TOTAL DIAS PROYECTO]]</f>
        <v>0</v>
      </c>
      <c r="R553" s="12">
        <f>+Tabla1[[#This Row],[COSTO TOTAL ALOJAMIENTO]]+Tabla1[[#This Row],[COSTO TOTAL COCHE]]</f>
        <v>100</v>
      </c>
      <c r="S553" s="2"/>
      <c r="T553" s="2" t="s">
        <v>35</v>
      </c>
      <c r="U553" s="14">
        <v>45476</v>
      </c>
      <c r="V553" s="14"/>
      <c r="W553" s="26"/>
      <c r="X553" s="2">
        <v>1</v>
      </c>
      <c r="Y553" s="18"/>
      <c r="Z553" s="2" t="s">
        <v>36</v>
      </c>
      <c r="AA553" s="13" t="s">
        <v>10370</v>
      </c>
      <c r="AB553" s="13" t="s">
        <v>10371</v>
      </c>
    </row>
    <row r="554" spans="1:28" ht="15" customHeight="1">
      <c r="A554" s="2" t="s">
        <v>8981</v>
      </c>
      <c r="B554" s="2" t="s">
        <v>368</v>
      </c>
      <c r="C554" s="86" t="s">
        <v>1583</v>
      </c>
      <c r="D554" s="2" t="s">
        <v>30</v>
      </c>
      <c r="E554" s="2" t="s">
        <v>31</v>
      </c>
      <c r="F554" s="11" t="s">
        <v>715</v>
      </c>
      <c r="G554" s="11" t="s">
        <v>716</v>
      </c>
      <c r="H554" s="2" t="s">
        <v>1584</v>
      </c>
      <c r="I554" s="12" t="s">
        <v>1104</v>
      </c>
      <c r="J554" s="41">
        <f>+Tabla1[[#This Row],[FECHA ENTRADA]]</f>
        <v>45624</v>
      </c>
      <c r="K554" s="8">
        <v>45697</v>
      </c>
      <c r="L554" s="42">
        <f>_xlfn.DAYS(Tabla1[[#This Row],[FECHA FIN ]],Tabla1[[#This Row],[FECHA INICIO]])</f>
        <v>73</v>
      </c>
      <c r="M554" s="12"/>
      <c r="N554" s="12">
        <v>160</v>
      </c>
      <c r="O554" s="28">
        <f>(Tabla1[[#This Row],[COSTO FIJO ]]/30)*Tabla1[[#This Row],[TOTAL DIAS PROYECTO]]+(Tabla1[[#This Row],[COSTO TEMPORAL]])</f>
        <v>389.33333333333331</v>
      </c>
      <c r="P554" s="12"/>
      <c r="Q554" s="12">
        <f>+(Tabla1[[#This Row],[COSTO COCHE]]/30)*Tabla1[[#This Row],[TOTAL DIAS PROYECTO]]</f>
        <v>0</v>
      </c>
      <c r="R554" s="12">
        <f>+Tabla1[[#This Row],[COSTO TOTAL ALOJAMIENTO]]+Tabla1[[#This Row],[COSTO TOTAL COCHE]]</f>
        <v>389.33333333333331</v>
      </c>
      <c r="S554" s="2"/>
      <c r="T554" s="2" t="s">
        <v>35</v>
      </c>
      <c r="U554" s="14">
        <v>45624</v>
      </c>
      <c r="V554" s="43"/>
      <c r="W554" s="26"/>
      <c r="X554" s="2">
        <v>1</v>
      </c>
      <c r="Y554" s="11" t="s">
        <v>1120</v>
      </c>
      <c r="Z554" s="2" t="s">
        <v>36</v>
      </c>
      <c r="AA554" s="13" t="s">
        <v>10323</v>
      </c>
      <c r="AB554" s="13" t="s">
        <v>10324</v>
      </c>
    </row>
    <row r="555" spans="1:28">
      <c r="A555" s="2" t="s">
        <v>8840</v>
      </c>
      <c r="B555" s="2" t="s">
        <v>28</v>
      </c>
      <c r="C555" s="31" t="s">
        <v>974</v>
      </c>
      <c r="D555" s="2" t="s">
        <v>30</v>
      </c>
      <c r="E555" s="2" t="s">
        <v>31</v>
      </c>
      <c r="F555" s="11" t="s">
        <v>451</v>
      </c>
      <c r="G555" s="67" t="s">
        <v>452</v>
      </c>
      <c r="H555" s="2" t="s">
        <v>1585</v>
      </c>
      <c r="I555" s="12" t="s">
        <v>1586</v>
      </c>
      <c r="J555" s="8">
        <f>+Tabla1[[#This Row],[FECHA ENTRADA]]</f>
        <v>45683</v>
      </c>
      <c r="K555" s="8">
        <v>45702</v>
      </c>
      <c r="L555" s="23">
        <f>_xlfn.DAYS(Tabla1[[#This Row],[FECHA FIN ]],Tabla1[[#This Row],[FECHA INICIO]])</f>
        <v>19</v>
      </c>
      <c r="M555" s="12"/>
      <c r="N555" s="20">
        <v>340</v>
      </c>
      <c r="O555" s="24">
        <f>(Tabla1[[#This Row],[COSTO FIJO ]]/30)*Tabla1[[#This Row],[TOTAL DIAS PROYECTO]]+(Tabla1[[#This Row],[COSTO TEMPORAL]])</f>
        <v>215.33333333333334</v>
      </c>
      <c r="P555" s="12"/>
      <c r="Q555" s="12">
        <f>+(Tabla1[[#This Row],[COSTO COCHE]]/30)*Tabla1[[#This Row],[TOTAL DIAS PROYECTO]]</f>
        <v>0</v>
      </c>
      <c r="R555" s="12">
        <f>+Tabla1[[#This Row],[COSTO TOTAL ALOJAMIENTO]]+Tabla1[[#This Row],[COSTO TOTAL COCHE]]</f>
        <v>215.33333333333334</v>
      </c>
      <c r="S555" s="2"/>
      <c r="T555" s="2" t="s">
        <v>35</v>
      </c>
      <c r="U555" s="14">
        <v>45683</v>
      </c>
      <c r="V555" s="25"/>
      <c r="W555" s="26"/>
      <c r="X555" s="2">
        <v>1</v>
      </c>
      <c r="Y555" s="11"/>
      <c r="Z555" s="2" t="s">
        <v>36</v>
      </c>
      <c r="AA555" s="13" t="s">
        <v>10323</v>
      </c>
      <c r="AB555" s="13" t="s">
        <v>10324</v>
      </c>
    </row>
    <row r="556" spans="1:28">
      <c r="A556" s="2" t="s">
        <v>8982</v>
      </c>
      <c r="B556" s="2" t="s">
        <v>28</v>
      </c>
      <c r="C556" s="31" t="s">
        <v>1587</v>
      </c>
      <c r="D556" s="2" t="s">
        <v>30</v>
      </c>
      <c r="E556" s="2" t="s">
        <v>31</v>
      </c>
      <c r="F556" s="11" t="s">
        <v>715</v>
      </c>
      <c r="G556" s="11" t="s">
        <v>716</v>
      </c>
      <c r="H556" s="2" t="s">
        <v>1588</v>
      </c>
      <c r="I556" s="12" t="s">
        <v>181</v>
      </c>
      <c r="J556" s="41">
        <f>+Tabla1[[#This Row],[FECHA ENTRADA]]</f>
        <v>45683</v>
      </c>
      <c r="K556" s="22">
        <v>45702</v>
      </c>
      <c r="L556" s="42">
        <f>_xlfn.DAYS(Tabla1[[#This Row],[FECHA FIN ]],Tabla1[[#This Row],[FECHA INICIO]])</f>
        <v>19</v>
      </c>
      <c r="M556" s="12"/>
      <c r="N556" s="12">
        <v>160</v>
      </c>
      <c r="O556" s="28">
        <f>(Tabla1[[#This Row],[COSTO FIJO ]]/30)*Tabla1[[#This Row],[TOTAL DIAS PROYECTO]]+(Tabla1[[#This Row],[COSTO TEMPORAL]])</f>
        <v>101.33333333333333</v>
      </c>
      <c r="P556" s="12"/>
      <c r="Q556" s="12">
        <f>+(Tabla1[[#This Row],[COSTO COCHE]]/30)*Tabla1[[#This Row],[TOTAL DIAS PROYECTO]]</f>
        <v>0</v>
      </c>
      <c r="R556" s="12">
        <f>+Tabla1[[#This Row],[COSTO TOTAL ALOJAMIENTO]]+Tabla1[[#This Row],[COSTO TOTAL COCHE]]</f>
        <v>101.33333333333333</v>
      </c>
      <c r="S556" s="2"/>
      <c r="T556" s="2" t="s">
        <v>613</v>
      </c>
      <c r="U556" s="14">
        <v>45683</v>
      </c>
      <c r="V556" s="79"/>
      <c r="W556" s="26"/>
      <c r="X556" s="2">
        <v>1</v>
      </c>
      <c r="Y556" s="11"/>
      <c r="Z556" s="2" t="s">
        <v>36</v>
      </c>
      <c r="AA556" s="13" t="s">
        <v>10323</v>
      </c>
      <c r="AB556" s="13" t="s">
        <v>10324</v>
      </c>
    </row>
    <row r="557" spans="1:28" ht="15" customHeight="1">
      <c r="A557" s="2" t="s">
        <v>8834</v>
      </c>
      <c r="B557" s="2" t="s">
        <v>28</v>
      </c>
      <c r="C557" s="11" t="s">
        <v>951</v>
      </c>
      <c r="D557" s="2" t="s">
        <v>30</v>
      </c>
      <c r="E557" s="2" t="s">
        <v>31</v>
      </c>
      <c r="F557" s="11" t="s">
        <v>1589</v>
      </c>
      <c r="G557" s="34" t="s">
        <v>1590</v>
      </c>
      <c r="H557" s="2" t="s">
        <v>1591</v>
      </c>
      <c r="I557" s="12" t="s">
        <v>181</v>
      </c>
      <c r="J557" s="41">
        <f>+Tabla1[[#This Row],[FECHA ENTRADA]]</f>
        <v>45641</v>
      </c>
      <c r="K557" s="8">
        <v>45702</v>
      </c>
      <c r="L557" s="42">
        <f>_xlfn.DAYS(Tabla1[[#This Row],[FECHA FIN ]],Tabla1[[#This Row],[FECHA INICIO]])</f>
        <v>61</v>
      </c>
      <c r="M557" s="12"/>
      <c r="N557" s="28">
        <v>350</v>
      </c>
      <c r="O557" s="28">
        <f>(Tabla1[[#This Row],[COSTO FIJO ]]/30)*Tabla1[[#This Row],[TOTAL DIAS PROYECTO]]+(Tabla1[[#This Row],[COSTO TEMPORAL]])</f>
        <v>711.66666666666663</v>
      </c>
      <c r="P557" s="12"/>
      <c r="Q557" s="12">
        <f>+(Tabla1[[#This Row],[COSTO COCHE]]/30)*Tabla1[[#This Row],[TOTAL DIAS PROYECTO]]</f>
        <v>0</v>
      </c>
      <c r="R557" s="12">
        <f>+Tabla1[[#This Row],[COSTO TOTAL ALOJAMIENTO]]+Tabla1[[#This Row],[COSTO TOTAL COCHE]]</f>
        <v>711.66666666666663</v>
      </c>
      <c r="S557" s="2"/>
      <c r="T557" s="2" t="s">
        <v>35</v>
      </c>
      <c r="U557" s="14">
        <v>45641</v>
      </c>
      <c r="V557" s="43"/>
      <c r="W557" s="26">
        <v>175</v>
      </c>
      <c r="X557" s="2">
        <v>12</v>
      </c>
      <c r="Y557" s="11"/>
      <c r="Z557" s="2" t="s">
        <v>36</v>
      </c>
      <c r="AA557" s="13" t="s">
        <v>10323</v>
      </c>
      <c r="AB557" s="13" t="s">
        <v>10324</v>
      </c>
    </row>
    <row r="558" spans="1:28">
      <c r="A558" s="2" t="s">
        <v>8983</v>
      </c>
      <c r="B558" s="29" t="s">
        <v>978</v>
      </c>
      <c r="C558" s="11" t="s">
        <v>1592</v>
      </c>
      <c r="D558" s="2" t="s">
        <v>30</v>
      </c>
      <c r="E558" s="2" t="s">
        <v>253</v>
      </c>
      <c r="F558" s="11" t="s">
        <v>1528</v>
      </c>
      <c r="G558" s="49" t="s">
        <v>1529</v>
      </c>
      <c r="H558" s="2" t="s">
        <v>982</v>
      </c>
      <c r="I558" s="2" t="s">
        <v>256</v>
      </c>
      <c r="J558" s="41">
        <f>+Tabla1[[#This Row],[FECHA ENTRADA]]</f>
        <v>45585</v>
      </c>
      <c r="K558" s="14">
        <v>45702</v>
      </c>
      <c r="L558" s="42">
        <f>_xlfn.DAYS(Tabla1[[#This Row],[FECHA FIN ]],Tabla1[[#This Row],[FECHA INICIO]])</f>
        <v>117</v>
      </c>
      <c r="M558" s="12"/>
      <c r="N558" s="12"/>
      <c r="O558" s="28">
        <f>(Tabla1[[#This Row],[COSTO FIJO ]]/30)*Tabla1[[#This Row],[TOTAL DIAS PROYECTO]]+(Tabla1[[#This Row],[COSTO TEMPORAL]])</f>
        <v>0</v>
      </c>
      <c r="P558" s="12"/>
      <c r="Q558" s="12">
        <f>+(Tabla1[[#This Row],[COSTO COCHE]]/30)*Tabla1[[#This Row],[TOTAL DIAS PROYECTO]]</f>
        <v>0</v>
      </c>
      <c r="R558" s="12">
        <f>+Tabla1[[#This Row],[COSTO TOTAL ALOJAMIENTO]]+Tabla1[[#This Row],[COSTO TOTAL COCHE]]</f>
        <v>0</v>
      </c>
      <c r="S558" s="2"/>
      <c r="T558" s="2" t="s">
        <v>35</v>
      </c>
      <c r="U558" s="14">
        <v>45585</v>
      </c>
      <c r="V558" s="43"/>
      <c r="W558" s="26"/>
      <c r="X558" s="2">
        <v>16</v>
      </c>
      <c r="Y558" s="11"/>
      <c r="Z558" s="2" t="s">
        <v>36</v>
      </c>
      <c r="AA558" s="13" t="s">
        <v>10357</v>
      </c>
      <c r="AB558" s="13" t="s">
        <v>10358</v>
      </c>
    </row>
    <row r="559" spans="1:28" ht="15" customHeight="1">
      <c r="A559" s="2" t="s">
        <v>8762</v>
      </c>
      <c r="B559" s="2" t="s">
        <v>368</v>
      </c>
      <c r="C559" s="109" t="s">
        <v>639</v>
      </c>
      <c r="D559" s="2" t="s">
        <v>30</v>
      </c>
      <c r="E559" s="2" t="s">
        <v>1514</v>
      </c>
      <c r="F559" s="11" t="s">
        <v>1515</v>
      </c>
      <c r="G559" s="46" t="s">
        <v>1516</v>
      </c>
      <c r="H559" s="2" t="s">
        <v>1517</v>
      </c>
      <c r="I559" s="12" t="s">
        <v>1392</v>
      </c>
      <c r="J559" s="41">
        <f>+Tabla1[[#This Row],[FECHA ENTRADA]]</f>
        <v>45663</v>
      </c>
      <c r="K559" s="22">
        <v>45703</v>
      </c>
      <c r="L559" s="42">
        <f>_xlfn.DAYS(Tabla1[[#This Row],[FECHA FIN ]],Tabla1[[#This Row],[FECHA INICIO]])</f>
        <v>40</v>
      </c>
      <c r="M559" s="12"/>
      <c r="N559" s="28">
        <v>325</v>
      </c>
      <c r="O559" s="28">
        <f>(Tabla1[[#This Row],[COSTO FIJO ]]/30)*Tabla1[[#This Row],[TOTAL DIAS PROYECTO]]+(Tabla1[[#This Row],[COSTO TEMPORAL]])</f>
        <v>433.33333333333337</v>
      </c>
      <c r="P559" s="12"/>
      <c r="Q559" s="12">
        <f>+(Tabla1[[#This Row],[COSTO COCHE]]/30)*Tabla1[[#This Row],[TOTAL DIAS PROYECTO]]</f>
        <v>0</v>
      </c>
      <c r="R559" s="12">
        <f>+Tabla1[[#This Row],[COSTO TOTAL ALOJAMIENTO]]+Tabla1[[#This Row],[COSTO TOTAL COCHE]]</f>
        <v>433.33333333333337</v>
      </c>
      <c r="S559" s="2"/>
      <c r="T559" s="2" t="s">
        <v>35</v>
      </c>
      <c r="U559" s="14">
        <v>45663</v>
      </c>
      <c r="V559" s="43"/>
      <c r="W559" s="26"/>
      <c r="X559" s="2">
        <v>5</v>
      </c>
      <c r="Y559" s="110" t="s">
        <v>1593</v>
      </c>
      <c r="Z559" s="2" t="s">
        <v>36</v>
      </c>
      <c r="AA559" s="13" t="s">
        <v>10424</v>
      </c>
      <c r="AB559" s="13">
        <v>398581</v>
      </c>
    </row>
    <row r="560" spans="1:28" ht="15" customHeight="1">
      <c r="A560" s="2" t="s">
        <v>8984</v>
      </c>
      <c r="B560" s="2" t="s">
        <v>368</v>
      </c>
      <c r="C560" s="109" t="s">
        <v>1594</v>
      </c>
      <c r="D560" s="2" t="s">
        <v>30</v>
      </c>
      <c r="E560" s="2" t="s">
        <v>1514</v>
      </c>
      <c r="F560" s="11" t="s">
        <v>1515</v>
      </c>
      <c r="G560" s="46" t="s">
        <v>1516</v>
      </c>
      <c r="H560" s="2" t="s">
        <v>1517</v>
      </c>
      <c r="I560" s="12" t="s">
        <v>1392</v>
      </c>
      <c r="J560" s="41">
        <f>+Tabla1[[#This Row],[FECHA ENTRADA]]</f>
        <v>45663</v>
      </c>
      <c r="K560" s="8">
        <v>45703</v>
      </c>
      <c r="L560" s="42">
        <f>_xlfn.DAYS(Tabla1[[#This Row],[FECHA FIN ]],Tabla1[[#This Row],[FECHA INICIO]])</f>
        <v>40</v>
      </c>
      <c r="M560" s="12"/>
      <c r="N560" s="28">
        <v>325</v>
      </c>
      <c r="O560" s="28">
        <f>(Tabla1[[#This Row],[COSTO FIJO ]]/30)*Tabla1[[#This Row],[TOTAL DIAS PROYECTO]]+(Tabla1[[#This Row],[COSTO TEMPORAL]])</f>
        <v>433.33333333333337</v>
      </c>
      <c r="P560" s="12"/>
      <c r="Q560" s="12">
        <f>+(Tabla1[[#This Row],[COSTO COCHE]]/30)*Tabla1[[#This Row],[TOTAL DIAS PROYECTO]]</f>
        <v>0</v>
      </c>
      <c r="R560" s="12">
        <f>+Tabla1[[#This Row],[COSTO TOTAL ALOJAMIENTO]]+Tabla1[[#This Row],[COSTO TOTAL COCHE]]</f>
        <v>433.33333333333337</v>
      </c>
      <c r="S560" s="2"/>
      <c r="T560" s="2" t="s">
        <v>35</v>
      </c>
      <c r="U560" s="14">
        <v>45663</v>
      </c>
      <c r="V560" s="43"/>
      <c r="W560" s="26"/>
      <c r="X560" s="2">
        <v>5</v>
      </c>
      <c r="Y560" s="110" t="s">
        <v>1593</v>
      </c>
      <c r="Z560" s="2" t="s">
        <v>36</v>
      </c>
      <c r="AA560" s="13" t="s">
        <v>10424</v>
      </c>
      <c r="AB560" s="13">
        <v>398581</v>
      </c>
    </row>
    <row r="561" spans="1:28" ht="15" customHeight="1">
      <c r="A561" s="2" t="s">
        <v>8985</v>
      </c>
      <c r="B561" s="2" t="s">
        <v>28</v>
      </c>
      <c r="C561" s="31" t="s">
        <v>1595</v>
      </c>
      <c r="D561" s="2" t="s">
        <v>30</v>
      </c>
      <c r="E561" s="2" t="s">
        <v>31</v>
      </c>
      <c r="F561" s="11" t="s">
        <v>715</v>
      </c>
      <c r="G561" s="11" t="s">
        <v>716</v>
      </c>
      <c r="H561" s="2" t="s">
        <v>1588</v>
      </c>
      <c r="I561" s="12" t="s">
        <v>181</v>
      </c>
      <c r="J561" s="41">
        <f>+Tabla1[[#This Row],[FECHA ENTRADA]]</f>
        <v>45683</v>
      </c>
      <c r="K561" s="22">
        <v>45702</v>
      </c>
      <c r="L561" s="42">
        <f>_xlfn.DAYS(Tabla1[[#This Row],[FECHA FIN ]],Tabla1[[#This Row],[FECHA INICIO]])</f>
        <v>19</v>
      </c>
      <c r="M561" s="12"/>
      <c r="N561" s="12">
        <v>160</v>
      </c>
      <c r="O561" s="28">
        <f>(Tabla1[[#This Row],[COSTO FIJO ]]/30)*Tabla1[[#This Row],[TOTAL DIAS PROYECTO]]+(Tabla1[[#This Row],[COSTO TEMPORAL]])</f>
        <v>101.33333333333333</v>
      </c>
      <c r="P561" s="12"/>
      <c r="Q561" s="12">
        <f>+(Tabla1[[#This Row],[COSTO COCHE]]/30)*Tabla1[[#This Row],[TOTAL DIAS PROYECTO]]</f>
        <v>0</v>
      </c>
      <c r="R561" s="12">
        <f>+Tabla1[[#This Row],[COSTO TOTAL ALOJAMIENTO]]+Tabla1[[#This Row],[COSTO TOTAL COCHE]]</f>
        <v>101.33333333333333</v>
      </c>
      <c r="S561" s="2"/>
      <c r="T561" s="2" t="s">
        <v>613</v>
      </c>
      <c r="U561" s="14">
        <v>45683</v>
      </c>
      <c r="V561" s="79"/>
      <c r="W561" s="26"/>
      <c r="X561" s="2">
        <v>1</v>
      </c>
      <c r="Y561" s="11"/>
      <c r="Z561" s="2" t="s">
        <v>36</v>
      </c>
      <c r="AA561" s="13" t="s">
        <v>10323</v>
      </c>
      <c r="AB561" s="13" t="s">
        <v>10324</v>
      </c>
    </row>
    <row r="562" spans="1:28">
      <c r="A562" s="2" t="s">
        <v>8956</v>
      </c>
      <c r="B562" s="2" t="s">
        <v>28</v>
      </c>
      <c r="C562" s="11" t="s">
        <v>1467</v>
      </c>
      <c r="D562" s="2" t="s">
        <v>30</v>
      </c>
      <c r="E562" s="2" t="s">
        <v>31</v>
      </c>
      <c r="F562" s="11"/>
      <c r="G562" s="49"/>
      <c r="H562" s="2" t="s">
        <v>1468</v>
      </c>
      <c r="I562" s="12" t="s">
        <v>34</v>
      </c>
      <c r="J562" s="41">
        <v>45689</v>
      </c>
      <c r="K562" s="22">
        <v>45705</v>
      </c>
      <c r="L562" s="42">
        <f>_xlfn.DAYS(Tabla1[[#This Row],[FECHA FIN ]],Tabla1[[#This Row],[FECHA INICIO]])</f>
        <v>16</v>
      </c>
      <c r="M562" s="12"/>
      <c r="N562" s="12">
        <v>300</v>
      </c>
      <c r="O562" s="28">
        <f>(Tabla1[[#This Row],[COSTO FIJO ]]/30)*Tabla1[[#This Row],[TOTAL DIAS PROYECTO]]+(Tabla1[[#This Row],[COSTO TEMPORAL]])</f>
        <v>160</v>
      </c>
      <c r="P562" s="12"/>
      <c r="Q562" s="12">
        <f>+(Tabla1[[#This Row],[COSTO COCHE]]/30)*Tabla1[[#This Row],[TOTAL DIAS PROYECTO]]</f>
        <v>0</v>
      </c>
      <c r="R562" s="12">
        <f>+Tabla1[[#This Row],[COSTO TOTAL ALOJAMIENTO]]+Tabla1[[#This Row],[COSTO TOTAL COCHE]]</f>
        <v>160</v>
      </c>
      <c r="S562" s="2"/>
      <c r="T562" s="2" t="s">
        <v>58</v>
      </c>
      <c r="U562" s="14">
        <v>45716</v>
      </c>
      <c r="V562" s="43"/>
      <c r="W562" s="26"/>
      <c r="X562" s="2"/>
      <c r="Y562" s="11" t="s">
        <v>1596</v>
      </c>
      <c r="Z562" s="2" t="s">
        <v>36</v>
      </c>
      <c r="AA562" s="13" t="s">
        <v>10323</v>
      </c>
      <c r="AB562" s="13" t="s">
        <v>10324</v>
      </c>
    </row>
    <row r="563" spans="1:28">
      <c r="A563" s="2" t="s">
        <v>8733</v>
      </c>
      <c r="B563" s="2" t="s">
        <v>28</v>
      </c>
      <c r="C563" s="18" t="s">
        <v>486</v>
      </c>
      <c r="D563" s="2" t="s">
        <v>30</v>
      </c>
      <c r="E563" s="2" t="s">
        <v>415</v>
      </c>
      <c r="F563" s="11" t="s">
        <v>487</v>
      </c>
      <c r="G563" s="11" t="s">
        <v>488</v>
      </c>
      <c r="H563" s="2" t="s">
        <v>1597</v>
      </c>
      <c r="I563" s="12" t="s">
        <v>490</v>
      </c>
      <c r="J563" s="8">
        <f>+Tabla1[[#This Row],[FECHA ENTRADA]]</f>
        <v>45540</v>
      </c>
      <c r="K563" s="8">
        <v>45587</v>
      </c>
      <c r="L563" s="13">
        <f>_xlfn.DAYS(Tabla1[[#This Row],[FECHA FIN ]],Tabla1[[#This Row],[FECHA INICIO]])</f>
        <v>47</v>
      </c>
      <c r="M563" s="12"/>
      <c r="N563" s="12">
        <v>416.66666666666669</v>
      </c>
      <c r="O563" s="12">
        <f>(Tabla1[[#This Row],[COSTO FIJO ]]/30)*Tabla1[[#This Row],[TOTAL DIAS PROYECTO]]+(Tabla1[[#This Row],[COSTO TEMPORAL]])</f>
        <v>652.77777777777783</v>
      </c>
      <c r="P563" s="12">
        <f>+(588.42*50%)/4</f>
        <v>73.552499999999995</v>
      </c>
      <c r="Q563" s="12">
        <f>+(Tabla1[[#This Row],[COSTO COCHE]]/30)*Tabla1[[#This Row],[TOTAL DIAS PROYECTO]]</f>
        <v>115.23224999999998</v>
      </c>
      <c r="R563" s="12">
        <f>+Tabla1[[#This Row],[COSTO TOTAL ALOJAMIENTO]]+Tabla1[[#This Row],[COSTO TOTAL COCHE]]</f>
        <v>768.01002777777785</v>
      </c>
      <c r="S563" s="2"/>
      <c r="T563" s="2" t="s">
        <v>35</v>
      </c>
      <c r="U563" s="14">
        <v>45540</v>
      </c>
      <c r="V563" s="14"/>
      <c r="W563" s="26"/>
      <c r="X563" s="2">
        <v>5</v>
      </c>
      <c r="Y563" s="31" t="s">
        <v>1247</v>
      </c>
      <c r="Z563" s="2" t="s">
        <v>36</v>
      </c>
      <c r="AA563" s="13">
        <v>-0.37739</v>
      </c>
      <c r="AB563" s="13" t="s">
        <v>10372</v>
      </c>
    </row>
    <row r="564" spans="1:28">
      <c r="A564" s="2" t="s">
        <v>8986</v>
      </c>
      <c r="B564" s="2" t="s">
        <v>28</v>
      </c>
      <c r="C564" s="11" t="s">
        <v>1598</v>
      </c>
      <c r="D564" s="2" t="s">
        <v>30</v>
      </c>
      <c r="E564" s="2" t="s">
        <v>31</v>
      </c>
      <c r="F564" s="11" t="s">
        <v>1599</v>
      </c>
      <c r="G564" s="11" t="s">
        <v>512</v>
      </c>
      <c r="H564" s="2" t="s">
        <v>1600</v>
      </c>
      <c r="I564" s="2" t="s">
        <v>718</v>
      </c>
      <c r="J564" s="8">
        <f>+Tabla1[[#This Row],[FECHA ENTRADA]]</f>
        <v>45402</v>
      </c>
      <c r="K564" s="8">
        <v>45705</v>
      </c>
      <c r="L564" s="13">
        <f>_xlfn.DAYS(Tabla1[[#This Row],[FECHA FIN ]],Tabla1[[#This Row],[FECHA INICIO]])</f>
        <v>303</v>
      </c>
      <c r="M564" s="12"/>
      <c r="N564" s="2"/>
      <c r="O564" s="12">
        <f>(Tabla1[[#This Row],[COSTO FIJO ]]/30)*Tabla1[[#This Row],[TOTAL DIAS PROYECTO]]+(Tabla1[[#This Row],[COSTO TEMPORAL]])</f>
        <v>0</v>
      </c>
      <c r="P564" s="12"/>
      <c r="Q564" s="12">
        <f>+(Tabla1[[#This Row],[COSTO COCHE]]/30)*Tabla1[[#This Row],[TOTAL DIAS PROYECTO]]</f>
        <v>0</v>
      </c>
      <c r="R564" s="12">
        <f>+Tabla1[[#This Row],[COSTO TOTAL ALOJAMIENTO]]+Tabla1[[#This Row],[COSTO TOTAL COCHE]]</f>
        <v>0</v>
      </c>
      <c r="S564" s="2"/>
      <c r="T564" s="2" t="s">
        <v>35</v>
      </c>
      <c r="U564" s="14">
        <v>45402</v>
      </c>
      <c r="V564" s="14"/>
      <c r="W564" s="15"/>
      <c r="X564" s="16">
        <v>18</v>
      </c>
      <c r="Y564" s="11"/>
      <c r="Z564" s="2" t="s">
        <v>36</v>
      </c>
      <c r="AA564" s="13" t="s">
        <v>10323</v>
      </c>
      <c r="AB564" s="13" t="s">
        <v>10324</v>
      </c>
    </row>
    <row r="565" spans="1:28" ht="15" customHeight="1">
      <c r="A565" s="2" t="s">
        <v>8987</v>
      </c>
      <c r="B565" s="2" t="s">
        <v>28</v>
      </c>
      <c r="C565" s="11" t="s">
        <v>1601</v>
      </c>
      <c r="D565" s="2" t="s">
        <v>30</v>
      </c>
      <c r="E565" s="2" t="s">
        <v>109</v>
      </c>
      <c r="F565" s="11" t="s">
        <v>898</v>
      </c>
      <c r="G565" s="30" t="s">
        <v>899</v>
      </c>
      <c r="H565" s="2" t="s">
        <v>1179</v>
      </c>
      <c r="I565" s="2" t="s">
        <v>52</v>
      </c>
      <c r="J565" s="8">
        <f>+Tabla1[[#This Row],[FECHA ENTRADA]]</f>
        <v>45447</v>
      </c>
      <c r="K565" s="22">
        <v>45821</v>
      </c>
      <c r="L565" s="13">
        <f>_xlfn.DAYS(Tabla1[[#This Row],[FECHA FIN ]],Tabla1[[#This Row],[FECHA INICIO]])</f>
        <v>374</v>
      </c>
      <c r="M565" s="12"/>
      <c r="N565" s="12">
        <f>1811.6/17</f>
        <v>106.56470588235294</v>
      </c>
      <c r="O565" s="12">
        <f>(Tabla1[[#This Row],[COSTO FIJO ]]/30)*Tabla1[[#This Row],[TOTAL DIAS PROYECTO]]+(Tabla1[[#This Row],[COSTO TEMPORAL]])</f>
        <v>1328.5066666666667</v>
      </c>
      <c r="P565" s="12"/>
      <c r="Q565" s="12">
        <f>+(Tabla1[[#This Row],[COSTO COCHE]]/30)*Tabla1[[#This Row],[TOTAL DIAS PROYECTO]]</f>
        <v>0</v>
      </c>
      <c r="R565" s="12">
        <f>+Tabla1[[#This Row],[COSTO TOTAL ALOJAMIENTO]]+Tabla1[[#This Row],[COSTO TOTAL COCHE]]</f>
        <v>1328.5066666666667</v>
      </c>
      <c r="S565" s="2"/>
      <c r="T565" s="2" t="s">
        <v>35</v>
      </c>
      <c r="U565" s="14">
        <v>45447</v>
      </c>
      <c r="V565" s="8"/>
      <c r="W565" s="26"/>
      <c r="X565" s="2">
        <v>4</v>
      </c>
      <c r="Y565" s="11" t="s">
        <v>1602</v>
      </c>
      <c r="Z565" s="2" t="s">
        <v>36</v>
      </c>
      <c r="AA565" s="13">
        <v>0.62217999999999996</v>
      </c>
      <c r="AB565" s="13" t="s">
        <v>10339</v>
      </c>
    </row>
    <row r="566" spans="1:28" ht="15" customHeight="1">
      <c r="A566" s="2" t="s">
        <v>8642</v>
      </c>
      <c r="B566" s="2" t="s">
        <v>368</v>
      </c>
      <c r="C566" s="111" t="s">
        <v>1303</v>
      </c>
      <c r="D566" s="2" t="s">
        <v>78</v>
      </c>
      <c r="E566" s="2" t="s">
        <v>1297</v>
      </c>
      <c r="F566" s="11" t="s">
        <v>1603</v>
      </c>
      <c r="G566" s="46" t="s">
        <v>1299</v>
      </c>
      <c r="H566" s="2" t="s">
        <v>1300</v>
      </c>
      <c r="I566" s="29" t="s">
        <v>1301</v>
      </c>
      <c r="J566" s="41">
        <f>+Tabla1[[#This Row],[FECHA ENTRADA]]</f>
        <v>45662</v>
      </c>
      <c r="K566" s="41">
        <v>45707</v>
      </c>
      <c r="L566" s="42">
        <f>_xlfn.DAYS(Tabla1[[#This Row],[FECHA FIN ]],Tabla1[[#This Row],[FECHA INICIO]])</f>
        <v>45</v>
      </c>
      <c r="M566" s="12"/>
      <c r="N566" s="12">
        <f>1680.79/3</f>
        <v>560.26333333333332</v>
      </c>
      <c r="O566" s="28">
        <f>(Tabla1[[#This Row],[COSTO FIJO ]]/30)*Tabla1[[#This Row],[TOTAL DIAS PROYECTO]]+(Tabla1[[#This Row],[COSTO TEMPORAL]])</f>
        <v>840.39499999999998</v>
      </c>
      <c r="P566" s="12">
        <v>80</v>
      </c>
      <c r="Q566" s="12">
        <f>+(Tabla1[[#This Row],[COSTO COCHE]]/30)*Tabla1[[#This Row],[TOTAL DIAS PROYECTO]]</f>
        <v>120</v>
      </c>
      <c r="R566" s="12">
        <f>+Tabla1[[#This Row],[COSTO TOTAL ALOJAMIENTO]]+Tabla1[[#This Row],[COSTO TOTAL COCHE]]</f>
        <v>960.39499999999998</v>
      </c>
      <c r="S566" s="2"/>
      <c r="T566" s="2" t="s">
        <v>44</v>
      </c>
      <c r="U566" s="14">
        <v>45662</v>
      </c>
      <c r="V566" s="43">
        <v>45721</v>
      </c>
      <c r="W566" s="26"/>
      <c r="X566" s="2"/>
      <c r="Y566" s="11"/>
      <c r="Z566" s="2" t="s">
        <v>36</v>
      </c>
      <c r="AA566" s="13" t="s">
        <v>10414</v>
      </c>
      <c r="AB566" s="13">
        <v>5094783</v>
      </c>
    </row>
    <row r="567" spans="1:28" ht="15" customHeight="1">
      <c r="A567" s="2" t="s">
        <v>8988</v>
      </c>
      <c r="B567" s="2" t="s">
        <v>28</v>
      </c>
      <c r="C567" s="11" t="s">
        <v>1604</v>
      </c>
      <c r="D567" s="2" t="s">
        <v>99</v>
      </c>
      <c r="E567" s="2" t="s">
        <v>127</v>
      </c>
      <c r="F567" s="11" t="s">
        <v>820</v>
      </c>
      <c r="G567" s="21" t="s">
        <v>1234</v>
      </c>
      <c r="H567" s="2" t="s">
        <v>1605</v>
      </c>
      <c r="I567" s="12" t="s">
        <v>96</v>
      </c>
      <c r="J567" s="22">
        <f>+Tabla1[[#This Row],[FECHA ENTRADA]]</f>
        <v>45726</v>
      </c>
      <c r="K567" s="22">
        <v>45731</v>
      </c>
      <c r="L567" s="23">
        <f>_xlfn.DAYS(Tabla1[[#This Row],[FECHA FIN ]],Tabla1[[#This Row],[FECHA INICIO]])</f>
        <v>5</v>
      </c>
      <c r="M567" s="12">
        <v>132</v>
      </c>
      <c r="N567" s="24"/>
      <c r="O567" s="24">
        <f>(Tabla1[[#This Row],[COSTO FIJO ]]/30)*Tabla1[[#This Row],[TOTAL DIAS PROYECTO]]+(Tabla1[[#This Row],[COSTO TEMPORAL]])</f>
        <v>132</v>
      </c>
      <c r="P567" s="12"/>
      <c r="Q567" s="12">
        <f>+(Tabla1[[#This Row],[COSTO COCHE]]/30)*Tabla1[[#This Row],[TOTAL DIAS PROYECTO]]</f>
        <v>0</v>
      </c>
      <c r="R567" s="12">
        <f>+Tabla1[[#This Row],[COSTO TOTAL ALOJAMIENTO]]+Tabla1[[#This Row],[COSTO TOTAL COCHE]]</f>
        <v>132</v>
      </c>
      <c r="S567" s="2"/>
      <c r="T567" s="2" t="s">
        <v>44</v>
      </c>
      <c r="U567" s="14">
        <v>45726</v>
      </c>
      <c r="V567" s="25">
        <v>45731</v>
      </c>
      <c r="W567" s="26"/>
      <c r="X567" s="2"/>
      <c r="Y567" s="11" t="s">
        <v>1166</v>
      </c>
      <c r="Z567" s="2" t="s">
        <v>36</v>
      </c>
      <c r="AA567" s="13" t="s">
        <v>10342</v>
      </c>
      <c r="AB567" s="13" t="s">
        <v>10343</v>
      </c>
    </row>
    <row r="568" spans="1:28" ht="15" customHeight="1">
      <c r="A568" s="2" t="s">
        <v>8988</v>
      </c>
      <c r="B568" s="2" t="s">
        <v>28</v>
      </c>
      <c r="C568" s="11" t="s">
        <v>1604</v>
      </c>
      <c r="D568" s="2" t="s">
        <v>99</v>
      </c>
      <c r="E568" s="2" t="s">
        <v>127</v>
      </c>
      <c r="F568" s="11" t="s">
        <v>820</v>
      </c>
      <c r="G568" s="21" t="s">
        <v>1234</v>
      </c>
      <c r="H568" s="2" t="s">
        <v>1605</v>
      </c>
      <c r="I568" s="12" t="s">
        <v>96</v>
      </c>
      <c r="J568" s="22">
        <f>+Tabla1[[#This Row],[FECHA ENTRADA]]</f>
        <v>45732</v>
      </c>
      <c r="K568" s="8">
        <v>45798</v>
      </c>
      <c r="L568" s="23">
        <f>_xlfn.DAYS(Tabla1[[#This Row],[FECHA FIN ]],Tabla1[[#This Row],[FECHA INICIO]])</f>
        <v>66</v>
      </c>
      <c r="M568" s="24">
        <v>496.5</v>
      </c>
      <c r="N568" s="20"/>
      <c r="O568" s="24">
        <f>(Tabla1[[#This Row],[COSTO FIJO ]]/30)*Tabla1[[#This Row],[TOTAL DIAS PROYECTO]]+(Tabla1[[#This Row],[COSTO TEMPORAL]])</f>
        <v>496.5</v>
      </c>
      <c r="P568" s="12"/>
      <c r="Q568" s="12">
        <f>+(Tabla1[[#This Row],[COSTO COCHE]]/30)*Tabla1[[#This Row],[TOTAL DIAS PROYECTO]]</f>
        <v>0</v>
      </c>
      <c r="R568" s="12">
        <f>+Tabla1[[#This Row],[COSTO TOTAL ALOJAMIENTO]]+Tabla1[[#This Row],[COSTO TOTAL COCHE]]</f>
        <v>496.5</v>
      </c>
      <c r="S568" s="2"/>
      <c r="T568" s="2" t="s">
        <v>44</v>
      </c>
      <c r="U568" s="14">
        <v>45732</v>
      </c>
      <c r="V568" s="25">
        <v>45798</v>
      </c>
      <c r="W568" s="26"/>
      <c r="X568" s="2"/>
      <c r="Y568" s="11"/>
      <c r="Z568" s="2" t="s">
        <v>36</v>
      </c>
      <c r="AA568" s="13" t="s">
        <v>10342</v>
      </c>
      <c r="AB568" s="13" t="s">
        <v>10343</v>
      </c>
    </row>
    <row r="569" spans="1:28">
      <c r="A569" s="2" t="s">
        <v>8989</v>
      </c>
      <c r="B569" s="2" t="s">
        <v>28</v>
      </c>
      <c r="C569" s="11" t="s">
        <v>1606</v>
      </c>
      <c r="D569" s="2" t="s">
        <v>30</v>
      </c>
      <c r="E569" s="2" t="s">
        <v>985</v>
      </c>
      <c r="F569" s="11" t="s">
        <v>1607</v>
      </c>
      <c r="G569" s="30" t="s">
        <v>1127</v>
      </c>
      <c r="H569" s="2" t="s">
        <v>1418</v>
      </c>
      <c r="I569" s="12" t="s">
        <v>1272</v>
      </c>
      <c r="J569" s="8">
        <f>+Tabla1[[#This Row],[FECHA ENTRADA]]</f>
        <v>45496</v>
      </c>
      <c r="K569" s="8">
        <v>45709</v>
      </c>
      <c r="L569" s="13">
        <f>_xlfn.DAYS(Tabla1[[#This Row],[FECHA FIN ]],Tabla1[[#This Row],[FECHA INICIO]])</f>
        <v>213</v>
      </c>
      <c r="M569" s="12"/>
      <c r="N569" s="12">
        <f>186.66+112.5+78+46.75+55+86+250</f>
        <v>814.91</v>
      </c>
      <c r="O569" s="12">
        <f>(Tabla1[[#This Row],[COSTO FIJO ]]/30)*Tabla1[[#This Row],[TOTAL DIAS PROYECTO]]+(Tabla1[[#This Row],[COSTO TEMPORAL]])</f>
        <v>5785.8609999999999</v>
      </c>
      <c r="P569" s="12"/>
      <c r="Q569" s="12">
        <f>+(Tabla1[[#This Row],[COSTO COCHE]]/30)*Tabla1[[#This Row],[TOTAL DIAS PROYECTO]]</f>
        <v>0</v>
      </c>
      <c r="R569" s="12">
        <f>+Tabla1[[#This Row],[COSTO TOTAL ALOJAMIENTO]]+Tabla1[[#This Row],[COSTO TOTAL COCHE]]</f>
        <v>5785.8609999999999</v>
      </c>
      <c r="S569" s="2"/>
      <c r="T569" s="2" t="s">
        <v>35</v>
      </c>
      <c r="U569" s="14">
        <v>45496</v>
      </c>
      <c r="V569" s="14"/>
      <c r="W569" s="26"/>
      <c r="X569" s="2">
        <v>1</v>
      </c>
      <c r="Y569" s="11" t="s">
        <v>1608</v>
      </c>
      <c r="Z569" s="2" t="s">
        <v>36</v>
      </c>
      <c r="AA569" s="13" t="s">
        <v>10407</v>
      </c>
      <c r="AB569" s="13" t="s">
        <v>10408</v>
      </c>
    </row>
    <row r="570" spans="1:28">
      <c r="A570" s="2" t="s">
        <v>8990</v>
      </c>
      <c r="B570" s="2" t="s">
        <v>28</v>
      </c>
      <c r="C570" s="11" t="s">
        <v>1609</v>
      </c>
      <c r="D570" s="2" t="s">
        <v>30</v>
      </c>
      <c r="E570" s="2" t="s">
        <v>985</v>
      </c>
      <c r="F570" s="11"/>
      <c r="G570" s="11"/>
      <c r="H570" s="2" t="s">
        <v>1277</v>
      </c>
      <c r="I570" s="12" t="s">
        <v>1272</v>
      </c>
      <c r="J570" s="8">
        <f>+Tabla1[[#This Row],[FECHA ENTRADA]]</f>
        <v>45469</v>
      </c>
      <c r="K570" s="8">
        <v>45709</v>
      </c>
      <c r="L570" s="13">
        <f>_xlfn.DAYS(Tabla1[[#This Row],[FECHA FIN ]],Tabla1[[#This Row],[FECHA INICIO]])</f>
        <v>240</v>
      </c>
      <c r="M570" s="12"/>
      <c r="N570" s="12"/>
      <c r="O570" s="12">
        <f>(Tabla1[[#This Row],[COSTO FIJO ]]/30)*Tabla1[[#This Row],[TOTAL DIAS PROYECTO]]+(Tabla1[[#This Row],[COSTO TEMPORAL]])</f>
        <v>0</v>
      </c>
      <c r="P570" s="12"/>
      <c r="Q570" s="12">
        <f>+(Tabla1[[#This Row],[COSTO COCHE]]/30)*Tabla1[[#This Row],[TOTAL DIAS PROYECTO]]</f>
        <v>0</v>
      </c>
      <c r="R570" s="12">
        <f>+Tabla1[[#This Row],[COSTO TOTAL ALOJAMIENTO]]+Tabla1[[#This Row],[COSTO TOTAL COCHE]]</f>
        <v>0</v>
      </c>
      <c r="S570" s="2"/>
      <c r="T570" s="2" t="s">
        <v>58</v>
      </c>
      <c r="U570" s="14">
        <v>45469</v>
      </c>
      <c r="V570" s="14"/>
      <c r="W570" s="26"/>
      <c r="X570" s="2">
        <v>25</v>
      </c>
      <c r="Y570" s="11" t="s">
        <v>1610</v>
      </c>
      <c r="Z570" s="2" t="s">
        <v>36</v>
      </c>
      <c r="AA570" s="13" t="s">
        <v>10407</v>
      </c>
      <c r="AB570" s="13" t="s">
        <v>10408</v>
      </c>
    </row>
    <row r="571" spans="1:28" ht="15" customHeight="1">
      <c r="A571" s="2" t="s">
        <v>8988</v>
      </c>
      <c r="B571" s="2" t="s">
        <v>28</v>
      </c>
      <c r="C571" s="11" t="s">
        <v>1604</v>
      </c>
      <c r="D571" s="2" t="s">
        <v>99</v>
      </c>
      <c r="E571" s="2" t="s">
        <v>127</v>
      </c>
      <c r="F571" s="11" t="s">
        <v>820</v>
      </c>
      <c r="G571" s="21" t="s">
        <v>1234</v>
      </c>
      <c r="H571" s="2" t="s">
        <v>1605</v>
      </c>
      <c r="I571" s="12" t="s">
        <v>96</v>
      </c>
      <c r="J571" s="22">
        <f>+Tabla1[[#This Row],[FECHA ENTRADA]]</f>
        <v>45798</v>
      </c>
      <c r="K571" s="8">
        <v>45855</v>
      </c>
      <c r="L571" s="23">
        <f>_xlfn.DAYS(Tabla1[[#This Row],[FECHA FIN ]],Tabla1[[#This Row],[FECHA INICIO]])</f>
        <v>57</v>
      </c>
      <c r="M571" s="12"/>
      <c r="N571" s="12"/>
      <c r="O571" s="24">
        <f>(Tabla1[[#This Row],[COSTO FIJO ]]/30)*Tabla1[[#This Row],[TOTAL DIAS PROYECTO]]+(Tabla1[[#This Row],[COSTO TEMPORAL]])</f>
        <v>0</v>
      </c>
      <c r="P571" s="12"/>
      <c r="Q571" s="12">
        <f>+(Tabla1[[#This Row],[COSTO COCHE]]/30)*Tabla1[[#This Row],[TOTAL DIAS PROYECTO]]</f>
        <v>0</v>
      </c>
      <c r="R571" s="12">
        <f>+Tabla1[[#This Row],[COSTO TOTAL ALOJAMIENTO]]+Tabla1[[#This Row],[COSTO TOTAL COCHE]]</f>
        <v>0</v>
      </c>
      <c r="S571" s="2"/>
      <c r="T571" s="2" t="s">
        <v>44</v>
      </c>
      <c r="U571" s="14">
        <v>45798</v>
      </c>
      <c r="V571" s="25">
        <v>45857</v>
      </c>
      <c r="W571" s="26"/>
      <c r="X571" s="2"/>
      <c r="Y571" s="11" t="s">
        <v>1611</v>
      </c>
      <c r="Z571" s="2" t="s">
        <v>36</v>
      </c>
      <c r="AA571" s="13" t="s">
        <v>10342</v>
      </c>
      <c r="AB571" s="13" t="s">
        <v>10343</v>
      </c>
    </row>
    <row r="572" spans="1:28" ht="15" customHeight="1">
      <c r="A572" s="2" t="s">
        <v>8991</v>
      </c>
      <c r="B572" s="29" t="s">
        <v>1457</v>
      </c>
      <c r="C572" s="11" t="s">
        <v>1612</v>
      </c>
      <c r="D572" s="2" t="s">
        <v>72</v>
      </c>
      <c r="E572" s="10" t="s">
        <v>1458</v>
      </c>
      <c r="F572" s="11" t="s">
        <v>1459</v>
      </c>
      <c r="G572" s="46" t="s">
        <v>1460</v>
      </c>
      <c r="H572" s="2" t="s">
        <v>1461</v>
      </c>
      <c r="I572" s="12" t="s">
        <v>1288</v>
      </c>
      <c r="J572" s="41">
        <f>+Tabla1[[#This Row],[FECHA ENTRADA]]</f>
        <v>45675</v>
      </c>
      <c r="K572" s="41">
        <v>45709</v>
      </c>
      <c r="L572" s="42">
        <f>_xlfn.DAYS(Tabla1[[#This Row],[FECHA FIN ]],Tabla1[[#This Row],[FECHA INICIO]])</f>
        <v>34</v>
      </c>
      <c r="M572" s="12"/>
      <c r="N572" s="12">
        <f>348.1/5+(1170/7)+(3500/7)</f>
        <v>736.76285714285711</v>
      </c>
      <c r="O572" s="28">
        <f>(Tabla1[[#This Row],[COSTO FIJO ]]/30)*Tabla1[[#This Row],[TOTAL DIAS PROYECTO]]+(Tabla1[[#This Row],[COSTO TEMPORAL]])</f>
        <v>834.99790476190481</v>
      </c>
      <c r="P572" s="12">
        <f>1600/17</f>
        <v>94.117647058823536</v>
      </c>
      <c r="Q572" s="12">
        <f>+(Tabla1[[#This Row],[COSTO COCHE]]/30)*Tabla1[[#This Row],[TOTAL DIAS PROYECTO]]</f>
        <v>106.66666666666669</v>
      </c>
      <c r="R572" s="12">
        <f>+Tabla1[[#This Row],[COSTO TOTAL ALOJAMIENTO]]+Tabla1[[#This Row],[COSTO TOTAL COCHE]]</f>
        <v>941.66457142857143</v>
      </c>
      <c r="S572" s="2" t="s">
        <v>84</v>
      </c>
      <c r="T572" s="2" t="s">
        <v>44</v>
      </c>
      <c r="U572" s="14">
        <v>45675</v>
      </c>
      <c r="V572" s="43">
        <v>45715</v>
      </c>
      <c r="W572" s="26"/>
      <c r="X572" s="2"/>
      <c r="Y572" s="11"/>
      <c r="Z572" s="2" t="s">
        <v>36</v>
      </c>
      <c r="AA572" s="13" t="s">
        <v>10421</v>
      </c>
      <c r="AB572" s="13">
        <v>5113412</v>
      </c>
    </row>
    <row r="573" spans="1:28" ht="15" customHeight="1">
      <c r="A573" s="2" t="s">
        <v>8992</v>
      </c>
      <c r="B573" s="29" t="s">
        <v>1457</v>
      </c>
      <c r="C573" s="11" t="s">
        <v>1613</v>
      </c>
      <c r="D573" s="2" t="s">
        <v>72</v>
      </c>
      <c r="E573" s="10" t="s">
        <v>1458</v>
      </c>
      <c r="F573" s="11" t="s">
        <v>1459</v>
      </c>
      <c r="G573" s="46" t="s">
        <v>1460</v>
      </c>
      <c r="H573" s="2" t="s">
        <v>1461</v>
      </c>
      <c r="I573" s="12" t="s">
        <v>1288</v>
      </c>
      <c r="J573" s="41">
        <f>+Tabla1[[#This Row],[FECHA ENTRADA]]</f>
        <v>45672</v>
      </c>
      <c r="K573" s="41">
        <v>45709</v>
      </c>
      <c r="L573" s="42">
        <f>_xlfn.DAYS(Tabla1[[#This Row],[FECHA FIN ]],Tabla1[[#This Row],[FECHA INICIO]])</f>
        <v>37</v>
      </c>
      <c r="M573" s="12">
        <f>348.1/5+(1170/7)+(3500/7)</f>
        <v>736.76285714285711</v>
      </c>
      <c r="N573" s="20"/>
      <c r="O573" s="28">
        <f>(Tabla1[[#This Row],[COSTO FIJO ]]/30)*Tabla1[[#This Row],[TOTAL DIAS PROYECTO]]+(Tabla1[[#This Row],[COSTO TEMPORAL]])</f>
        <v>736.76285714285711</v>
      </c>
      <c r="P573" s="12">
        <f>1600/17</f>
        <v>94.117647058823536</v>
      </c>
      <c r="Q573" s="12">
        <f>+(Tabla1[[#This Row],[COSTO COCHE]]/30)*Tabla1[[#This Row],[TOTAL DIAS PROYECTO]]</f>
        <v>116.07843137254903</v>
      </c>
      <c r="R573" s="12">
        <f>+Tabla1[[#This Row],[COSTO TOTAL ALOJAMIENTO]]+Tabla1[[#This Row],[COSTO TOTAL COCHE]]</f>
        <v>852.84128851540618</v>
      </c>
      <c r="S573" s="2" t="s">
        <v>84</v>
      </c>
      <c r="T573" s="2" t="s">
        <v>44</v>
      </c>
      <c r="U573" s="14">
        <v>45672</v>
      </c>
      <c r="V573" s="43">
        <v>45715</v>
      </c>
      <c r="W573" s="26">
        <v>200</v>
      </c>
      <c r="X573" s="2"/>
      <c r="Y573" s="11"/>
      <c r="Z573" s="2" t="s">
        <v>36</v>
      </c>
      <c r="AA573" s="13" t="s">
        <v>10421</v>
      </c>
      <c r="AB573" s="13">
        <v>5113412</v>
      </c>
    </row>
    <row r="574" spans="1:28" ht="15" customHeight="1">
      <c r="A574" s="2" t="s">
        <v>8993</v>
      </c>
      <c r="B574" s="2" t="s">
        <v>28</v>
      </c>
      <c r="C574" s="107" t="s">
        <v>1614</v>
      </c>
      <c r="D574" s="2" t="s">
        <v>30</v>
      </c>
      <c r="E574" s="2" t="s">
        <v>985</v>
      </c>
      <c r="F574" s="11" t="s">
        <v>1607</v>
      </c>
      <c r="G574" s="11" t="s">
        <v>1615</v>
      </c>
      <c r="H574" s="2" t="s">
        <v>1418</v>
      </c>
      <c r="I574" s="12" t="s">
        <v>1272</v>
      </c>
      <c r="J574" s="8">
        <f>+Tabla1[[#This Row],[FECHA ENTRADA]]</f>
        <v>45496</v>
      </c>
      <c r="K574" s="8">
        <v>45709</v>
      </c>
      <c r="L574" s="13">
        <f>_xlfn.DAYS(Tabla1[[#This Row],[FECHA FIN ]],Tabla1[[#This Row],[FECHA INICIO]])</f>
        <v>213</v>
      </c>
      <c r="M574" s="12">
        <f>186.66+112.5+78+46.75+55+86+250</f>
        <v>814.91</v>
      </c>
      <c r="N574" s="12">
        <v>283.33333333333331</v>
      </c>
      <c r="O574" s="12">
        <f>(Tabla1[[#This Row],[COSTO FIJO ]]/30)*Tabla1[[#This Row],[TOTAL DIAS PROYECTO]]+(Tabla1[[#This Row],[COSTO TEMPORAL]])</f>
        <v>2826.5766666666668</v>
      </c>
      <c r="P574" s="12"/>
      <c r="Q574" s="12">
        <f>+(Tabla1[[#This Row],[COSTO COCHE]]/30)*Tabla1[[#This Row],[TOTAL DIAS PROYECTO]]</f>
        <v>0</v>
      </c>
      <c r="R574" s="12">
        <f>+Tabla1[[#This Row],[COSTO TOTAL ALOJAMIENTO]]+Tabla1[[#This Row],[COSTO TOTAL COCHE]]</f>
        <v>2826.5766666666668</v>
      </c>
      <c r="S574" s="2"/>
      <c r="T574" s="2" t="s">
        <v>35</v>
      </c>
      <c r="U574" s="14">
        <v>45496</v>
      </c>
      <c r="V574" s="14"/>
      <c r="W574" s="26"/>
      <c r="X574" s="2">
        <v>1</v>
      </c>
      <c r="Y574" s="11" t="s">
        <v>1616</v>
      </c>
      <c r="Z574" s="2" t="s">
        <v>36</v>
      </c>
      <c r="AA574" s="13" t="s">
        <v>10407</v>
      </c>
      <c r="AB574" s="13" t="s">
        <v>10408</v>
      </c>
    </row>
    <row r="575" spans="1:28" ht="15" customHeight="1">
      <c r="A575" s="2" t="s">
        <v>8994</v>
      </c>
      <c r="B575" s="2" t="s">
        <v>368</v>
      </c>
      <c r="C575" s="11" t="s">
        <v>1617</v>
      </c>
      <c r="D575" s="2" t="s">
        <v>30</v>
      </c>
      <c r="E575" s="2" t="s">
        <v>55</v>
      </c>
      <c r="F575" s="11" t="s">
        <v>1618</v>
      </c>
      <c r="G575" s="46" t="s">
        <v>1619</v>
      </c>
      <c r="H575" s="2" t="s">
        <v>1360</v>
      </c>
      <c r="I575" s="30" t="s">
        <v>1620</v>
      </c>
      <c r="J575" s="41">
        <f>+Tabla1[[#This Row],[FECHA ENTRADA]]</f>
        <v>45675</v>
      </c>
      <c r="K575" s="41">
        <v>45709</v>
      </c>
      <c r="L575" s="42">
        <f>_xlfn.DAYS(Tabla1[[#This Row],[FECHA FIN ]],Tabla1[[#This Row],[FECHA INICIO]])</f>
        <v>34</v>
      </c>
      <c r="M575" s="12">
        <v>60</v>
      </c>
      <c r="N575" s="28">
        <v>450</v>
      </c>
      <c r="O575" s="28">
        <f>(Tabla1[[#This Row],[COSTO FIJO ]]/30)*Tabla1[[#This Row],[TOTAL DIAS PROYECTO]]+(Tabla1[[#This Row],[COSTO TEMPORAL]])</f>
        <v>570</v>
      </c>
      <c r="P575" s="12">
        <f>800/6</f>
        <v>133.33333333333334</v>
      </c>
      <c r="Q575" s="12"/>
      <c r="R575" s="12">
        <f>+Tabla1[[#This Row],[COSTO TOTAL ALOJAMIENTO]]+Tabla1[[#This Row],[COSTO TOTAL COCHE]]</f>
        <v>570</v>
      </c>
      <c r="S575" s="2"/>
      <c r="T575" s="2" t="s">
        <v>44</v>
      </c>
      <c r="U575" s="14">
        <v>45675</v>
      </c>
      <c r="V575" s="25">
        <v>45710</v>
      </c>
      <c r="W575" s="26"/>
      <c r="X575" s="2"/>
      <c r="Y575" s="11" t="s">
        <v>1166</v>
      </c>
      <c r="Z575" s="2" t="s">
        <v>36</v>
      </c>
      <c r="AA575" s="13" t="s">
        <v>10327</v>
      </c>
      <c r="AB575" s="13" t="s">
        <v>10328</v>
      </c>
    </row>
    <row r="576" spans="1:28" ht="15" customHeight="1">
      <c r="A576" s="2" t="s">
        <v>8995</v>
      </c>
      <c r="B576" s="2" t="s">
        <v>368</v>
      </c>
      <c r="C576" s="11" t="s">
        <v>1621</v>
      </c>
      <c r="D576" s="2" t="s">
        <v>30</v>
      </c>
      <c r="E576" s="2" t="s">
        <v>55</v>
      </c>
      <c r="F576" s="11" t="s">
        <v>1618</v>
      </c>
      <c r="G576" s="46" t="s">
        <v>1619</v>
      </c>
      <c r="H576" s="2" t="s">
        <v>1622</v>
      </c>
      <c r="I576" s="30" t="s">
        <v>1620</v>
      </c>
      <c r="J576" s="41">
        <f>+Tabla1[[#This Row],[FECHA ENTRADA]]</f>
        <v>45675</v>
      </c>
      <c r="K576" s="41">
        <v>45709</v>
      </c>
      <c r="L576" s="42">
        <f>_xlfn.DAYS(Tabla1[[#This Row],[FECHA FIN ]],Tabla1[[#This Row],[FECHA INICIO]])</f>
        <v>34</v>
      </c>
      <c r="M576" s="12">
        <v>60</v>
      </c>
      <c r="N576" s="28">
        <v>450</v>
      </c>
      <c r="O576" s="28">
        <f>(Tabla1[[#This Row],[COSTO FIJO ]]/30)*Tabla1[[#This Row],[TOTAL DIAS PROYECTO]]+(Tabla1[[#This Row],[COSTO TEMPORAL]])</f>
        <v>570</v>
      </c>
      <c r="P576" s="12">
        <f>800/6</f>
        <v>133.33333333333334</v>
      </c>
      <c r="Q576" s="12"/>
      <c r="R576" s="12">
        <f>+Tabla1[[#This Row],[COSTO TOTAL ALOJAMIENTO]]+Tabla1[[#This Row],[COSTO TOTAL COCHE]]</f>
        <v>570</v>
      </c>
      <c r="S576" s="2"/>
      <c r="T576" s="2" t="s">
        <v>44</v>
      </c>
      <c r="U576" s="14">
        <v>45675</v>
      </c>
      <c r="V576" s="43">
        <v>45710</v>
      </c>
      <c r="W576" s="26"/>
      <c r="X576" s="2"/>
      <c r="Y576" s="11" t="s">
        <v>1166</v>
      </c>
      <c r="Z576" s="2" t="s">
        <v>36</v>
      </c>
      <c r="AA576" s="13" t="s">
        <v>10327</v>
      </c>
      <c r="AB576" s="13" t="s">
        <v>10328</v>
      </c>
    </row>
    <row r="577" spans="1:28">
      <c r="A577" s="2" t="s">
        <v>8927</v>
      </c>
      <c r="B577" s="2" t="s">
        <v>368</v>
      </c>
      <c r="C577" s="18" t="s">
        <v>1314</v>
      </c>
      <c r="D577" s="2" t="s">
        <v>30</v>
      </c>
      <c r="E577" s="2" t="s">
        <v>87</v>
      </c>
      <c r="F577" s="11" t="s">
        <v>946</v>
      </c>
      <c r="G577" s="67" t="s">
        <v>947</v>
      </c>
      <c r="H577" s="2" t="s">
        <v>1623</v>
      </c>
      <c r="I577" s="10" t="s">
        <v>1624</v>
      </c>
      <c r="J577" s="22">
        <f>+Tabla1[[#This Row],[FECHA ENTRADA]]</f>
        <v>45679</v>
      </c>
      <c r="K577" s="8">
        <v>45709</v>
      </c>
      <c r="L577" s="23">
        <f>_xlfn.DAYS(Tabla1[[#This Row],[FECHA FIN ]],Tabla1[[#This Row],[FECHA INICIO]])</f>
        <v>30</v>
      </c>
      <c r="M577" s="12"/>
      <c r="N577" s="12">
        <v>336.6</v>
      </c>
      <c r="O577" s="24">
        <f>(Tabla1[[#This Row],[COSTO FIJO ]]/30)*Tabla1[[#This Row],[TOTAL DIAS PROYECTO]]+(Tabla1[[#This Row],[COSTO TEMPORAL]])</f>
        <v>336.6</v>
      </c>
      <c r="P577" s="12"/>
      <c r="Q577" s="12">
        <f>+(Tabla1[[#This Row],[COSTO COCHE]]/30)*Tabla1[[#This Row],[TOTAL DIAS PROYECTO]]</f>
        <v>0</v>
      </c>
      <c r="R577" s="12">
        <f>+Tabla1[[#This Row],[COSTO TOTAL ALOJAMIENTO]]+Tabla1[[#This Row],[COSTO TOTAL COCHE]]</f>
        <v>336.6</v>
      </c>
      <c r="S577" s="2"/>
      <c r="T577" s="2" t="s">
        <v>35</v>
      </c>
      <c r="U577" s="14">
        <v>45679</v>
      </c>
      <c r="V577" s="79"/>
      <c r="W577" s="26"/>
      <c r="X577" s="2">
        <v>4</v>
      </c>
      <c r="Y577" s="11"/>
      <c r="Z577" s="2" t="s">
        <v>36</v>
      </c>
      <c r="AA577" s="13" t="s">
        <v>10335</v>
      </c>
      <c r="AB577" s="13">
        <v>404.16500000000002</v>
      </c>
    </row>
    <row r="578" spans="1:28">
      <c r="A578" s="2" t="s">
        <v>8996</v>
      </c>
      <c r="B578" s="2" t="s">
        <v>28</v>
      </c>
      <c r="C578" s="11" t="s">
        <v>1625</v>
      </c>
      <c r="D578" s="2" t="s">
        <v>99</v>
      </c>
      <c r="E578" s="2" t="s">
        <v>213</v>
      </c>
      <c r="F578" s="11" t="s">
        <v>871</v>
      </c>
      <c r="G578" s="11" t="s">
        <v>872</v>
      </c>
      <c r="H578" s="2" t="s">
        <v>1626</v>
      </c>
      <c r="I578" s="12" t="s">
        <v>1627</v>
      </c>
      <c r="J578" s="41">
        <f>+Tabla1[[#This Row],[FECHA ENTRADA]]</f>
        <v>45706</v>
      </c>
      <c r="K578" s="41">
        <v>45709</v>
      </c>
      <c r="L578" s="42">
        <f>_xlfn.DAYS(Tabla1[[#This Row],[FECHA FIN ]],Tabla1[[#This Row],[FECHA INICIO]])</f>
        <v>3</v>
      </c>
      <c r="M578" s="12"/>
      <c r="N578" s="12"/>
      <c r="O578" s="28">
        <f>(Tabla1[[#This Row],[COSTO FIJO ]]/30)*Tabla1[[#This Row],[TOTAL DIAS PROYECTO]]+(Tabla1[[#This Row],[COSTO TEMPORAL]])</f>
        <v>0</v>
      </c>
      <c r="P578" s="12"/>
      <c r="Q578" s="12">
        <f>+(Tabla1[[#This Row],[COSTO COCHE]]/30)*Tabla1[[#This Row],[TOTAL DIAS PROYECTO]]</f>
        <v>0</v>
      </c>
      <c r="R578" s="12">
        <f>+Tabla1[[#This Row],[COSTO TOTAL ALOJAMIENTO]]+Tabla1[[#This Row],[COSTO TOTAL COCHE]]</f>
        <v>0</v>
      </c>
      <c r="S578" s="2"/>
      <c r="T578" s="2" t="s">
        <v>35</v>
      </c>
      <c r="U578" s="14">
        <v>45706</v>
      </c>
      <c r="V578" s="43">
        <v>45709</v>
      </c>
      <c r="W578" s="26"/>
      <c r="X578" s="2">
        <v>4</v>
      </c>
      <c r="Y578" s="11" t="s">
        <v>1628</v>
      </c>
      <c r="Z578" s="2" t="s">
        <v>36</v>
      </c>
      <c r="AA578" s="13" t="s">
        <v>10349</v>
      </c>
      <c r="AB578" s="13" t="s">
        <v>10350</v>
      </c>
    </row>
    <row r="579" spans="1:28">
      <c r="A579" s="2" t="s">
        <v>8917</v>
      </c>
      <c r="B579" s="2" t="s">
        <v>28</v>
      </c>
      <c r="C579" s="11" t="s">
        <v>1268</v>
      </c>
      <c r="D579" s="2" t="s">
        <v>30</v>
      </c>
      <c r="E579" s="2" t="s">
        <v>985</v>
      </c>
      <c r="F579" s="11"/>
      <c r="G579" s="46"/>
      <c r="H579" s="2" t="s">
        <v>1271</v>
      </c>
      <c r="I579" s="12" t="s">
        <v>1272</v>
      </c>
      <c r="J579" s="41">
        <f>+Tabla1[[#This Row],[FECHA ENTRADA]]</f>
        <v>45652</v>
      </c>
      <c r="K579" s="41">
        <v>45709</v>
      </c>
      <c r="L579" s="42">
        <f>_xlfn.DAYS(Tabla1[[#This Row],[FECHA FIN ]],Tabla1[[#This Row],[FECHA INICIO]])</f>
        <v>57</v>
      </c>
      <c r="M579" s="12"/>
      <c r="N579" s="12">
        <v>300</v>
      </c>
      <c r="O579" s="28">
        <f>(Tabla1[[#This Row],[COSTO FIJO ]]/30)*Tabla1[[#This Row],[TOTAL DIAS PROYECTO]]+(Tabla1[[#This Row],[COSTO TEMPORAL]])</f>
        <v>570</v>
      </c>
      <c r="P579" s="12"/>
      <c r="Q579" s="12">
        <f>+(Tabla1[[#This Row],[COSTO COCHE]]/30)*Tabla1[[#This Row],[TOTAL DIAS PROYECTO]]</f>
        <v>0</v>
      </c>
      <c r="R579" s="12">
        <f>+Tabla1[[#This Row],[COSTO TOTAL ALOJAMIENTO]]+Tabla1[[#This Row],[COSTO TOTAL COCHE]]</f>
        <v>570</v>
      </c>
      <c r="S579" s="2"/>
      <c r="T579" s="2" t="s">
        <v>58</v>
      </c>
      <c r="U579" s="8">
        <v>45652</v>
      </c>
      <c r="V579" s="43"/>
      <c r="W579" s="26"/>
      <c r="X579" s="2"/>
      <c r="Y579" s="110" t="s">
        <v>1629</v>
      </c>
      <c r="Z579" s="2" t="s">
        <v>36</v>
      </c>
      <c r="AA579" s="13" t="s">
        <v>10407</v>
      </c>
      <c r="AB579" s="13" t="s">
        <v>10408</v>
      </c>
    </row>
    <row r="580" spans="1:28">
      <c r="A580" s="2" t="s">
        <v>8997</v>
      </c>
      <c r="B580" s="2" t="s">
        <v>28</v>
      </c>
      <c r="C580" s="11" t="s">
        <v>1630</v>
      </c>
      <c r="D580" s="2" t="s">
        <v>30</v>
      </c>
      <c r="E580" s="2" t="s">
        <v>985</v>
      </c>
      <c r="F580" s="11"/>
      <c r="G580" s="11"/>
      <c r="H580" s="2" t="s">
        <v>1271</v>
      </c>
      <c r="I580" s="12" t="s">
        <v>1272</v>
      </c>
      <c r="J580" s="8">
        <f>+Tabla1[[#This Row],[FECHA ENTRADA]]</f>
        <v>45433</v>
      </c>
      <c r="K580" s="8">
        <v>45709</v>
      </c>
      <c r="L580" s="13">
        <f>_xlfn.DAYS(Tabla1[[#This Row],[FECHA FIN ]],Tabla1[[#This Row],[FECHA INICIO]])</f>
        <v>276</v>
      </c>
      <c r="M580" s="12"/>
      <c r="N580" s="12"/>
      <c r="O580" s="12">
        <f>(Tabla1[[#This Row],[COSTO FIJO ]]/30)*Tabla1[[#This Row],[TOTAL DIAS PROYECTO]]+(Tabla1[[#This Row],[COSTO TEMPORAL]])</f>
        <v>0</v>
      </c>
      <c r="P580" s="12"/>
      <c r="Q580" s="12">
        <f>+(Tabla1[[#This Row],[COSTO COCHE]]/30)*Tabla1[[#This Row],[TOTAL DIAS PROYECTO]]</f>
        <v>0</v>
      </c>
      <c r="R580" s="12">
        <f>+Tabla1[[#This Row],[COSTO TOTAL ALOJAMIENTO]]+Tabla1[[#This Row],[COSTO TOTAL COCHE]]</f>
        <v>0</v>
      </c>
      <c r="S580" s="2"/>
      <c r="T580" s="2" t="s">
        <v>58</v>
      </c>
      <c r="U580" s="14">
        <v>45433</v>
      </c>
      <c r="V580" s="14">
        <v>45438</v>
      </c>
      <c r="W580" s="26"/>
      <c r="X580" s="2">
        <v>25</v>
      </c>
      <c r="Y580" s="11" t="s">
        <v>1631</v>
      </c>
      <c r="Z580" s="2" t="s">
        <v>36</v>
      </c>
      <c r="AA580" s="13" t="s">
        <v>10407</v>
      </c>
      <c r="AB580" s="13" t="s">
        <v>10408</v>
      </c>
    </row>
    <row r="581" spans="1:28">
      <c r="A581" s="2" t="s">
        <v>8998</v>
      </c>
      <c r="B581" s="2" t="s">
        <v>368</v>
      </c>
      <c r="C581" s="11" t="s">
        <v>1632</v>
      </c>
      <c r="D581" s="2" t="s">
        <v>30</v>
      </c>
      <c r="E581" s="2" t="s">
        <v>31</v>
      </c>
      <c r="F581" s="11"/>
      <c r="G581" s="11"/>
      <c r="H581" s="2" t="s">
        <v>1633</v>
      </c>
      <c r="I581" s="12" t="s">
        <v>1104</v>
      </c>
      <c r="J581" s="41">
        <f>+Tabla1[[#This Row],[FECHA ENTRADA]]</f>
        <v>45630</v>
      </c>
      <c r="K581" s="8">
        <v>45709</v>
      </c>
      <c r="L581" s="42">
        <f>_xlfn.DAYS(Tabla1[[#This Row],[FECHA FIN ]],Tabla1[[#This Row],[FECHA INICIO]])</f>
        <v>79</v>
      </c>
      <c r="M581" s="12"/>
      <c r="N581" s="12"/>
      <c r="O581" s="28">
        <f>(Tabla1[[#This Row],[COSTO FIJO ]]/30)*Tabla1[[#This Row],[TOTAL DIAS PROYECTO]]+(Tabla1[[#This Row],[COSTO TEMPORAL]])</f>
        <v>0</v>
      </c>
      <c r="P581" s="12"/>
      <c r="Q581" s="12">
        <f>+(Tabla1[[#This Row],[COSTO COCHE]]/30)*Tabla1[[#This Row],[TOTAL DIAS PROYECTO]]</f>
        <v>0</v>
      </c>
      <c r="R581" s="12">
        <f>+Tabla1[[#This Row],[COSTO TOTAL ALOJAMIENTO]]+Tabla1[[#This Row],[COSTO TOTAL COCHE]]</f>
        <v>0</v>
      </c>
      <c r="S581" s="2"/>
      <c r="T581" s="2" t="s">
        <v>58</v>
      </c>
      <c r="U581" s="14">
        <v>45630</v>
      </c>
      <c r="V581" s="43"/>
      <c r="W581" s="26"/>
      <c r="X581" s="2"/>
      <c r="Y581" s="11" t="s">
        <v>1634</v>
      </c>
      <c r="Z581" s="2" t="s">
        <v>36</v>
      </c>
      <c r="AA581" s="13" t="s">
        <v>10323</v>
      </c>
      <c r="AB581" s="13" t="s">
        <v>10324</v>
      </c>
    </row>
    <row r="582" spans="1:28">
      <c r="A582" s="2" t="s">
        <v>8919</v>
      </c>
      <c r="B582" s="2" t="s">
        <v>28</v>
      </c>
      <c r="C582" s="11" t="s">
        <v>1276</v>
      </c>
      <c r="D582" s="2" t="s">
        <v>30</v>
      </c>
      <c r="E582" s="2" t="s">
        <v>985</v>
      </c>
      <c r="F582" s="11"/>
      <c r="G582" s="46"/>
      <c r="H582" s="2" t="s">
        <v>1277</v>
      </c>
      <c r="I582" s="12" t="s">
        <v>1272</v>
      </c>
      <c r="J582" s="41">
        <f>+Tabla1[[#This Row],[FECHA ENTRADA]]</f>
        <v>45652</v>
      </c>
      <c r="K582" s="41">
        <v>45709</v>
      </c>
      <c r="L582" s="42">
        <f>_xlfn.DAYS(Tabla1[[#This Row],[FECHA FIN ]],Tabla1[[#This Row],[FECHA INICIO]])</f>
        <v>57</v>
      </c>
      <c r="M582" s="12"/>
      <c r="N582" s="12"/>
      <c r="O582" s="28">
        <f>(Tabla1[[#This Row],[COSTO FIJO ]]/30)*Tabla1[[#This Row],[TOTAL DIAS PROYECTO]]+(Tabla1[[#This Row],[COSTO TEMPORAL]])</f>
        <v>0</v>
      </c>
      <c r="P582" s="12"/>
      <c r="Q582" s="12">
        <f>+(Tabla1[[#This Row],[COSTO COCHE]]/30)*Tabla1[[#This Row],[TOTAL DIAS PROYECTO]]</f>
        <v>0</v>
      </c>
      <c r="R582" s="12">
        <f>+Tabla1[[#This Row],[COSTO TOTAL ALOJAMIENTO]]+Tabla1[[#This Row],[COSTO TOTAL COCHE]]</f>
        <v>0</v>
      </c>
      <c r="S582" s="2"/>
      <c r="T582" s="2" t="s">
        <v>58</v>
      </c>
      <c r="U582" s="8">
        <v>45652</v>
      </c>
      <c r="V582" s="43"/>
      <c r="W582" s="26"/>
      <c r="X582" s="2"/>
      <c r="Y582" s="11" t="s">
        <v>1635</v>
      </c>
      <c r="Z582" s="2" t="s">
        <v>36</v>
      </c>
      <c r="AA582" s="13" t="s">
        <v>10407</v>
      </c>
      <c r="AB582" s="13" t="s">
        <v>10408</v>
      </c>
    </row>
    <row r="583" spans="1:28" ht="15" customHeight="1">
      <c r="A583" s="2" t="s">
        <v>8999</v>
      </c>
      <c r="B583" s="2" t="s">
        <v>28</v>
      </c>
      <c r="C583" s="11" t="s">
        <v>1636</v>
      </c>
      <c r="D583" s="2" t="s">
        <v>30</v>
      </c>
      <c r="E583" s="2" t="s">
        <v>985</v>
      </c>
      <c r="F583" s="11"/>
      <c r="G583" s="30"/>
      <c r="H583" s="2" t="s">
        <v>1637</v>
      </c>
      <c r="I583" s="12" t="s">
        <v>1272</v>
      </c>
      <c r="J583" s="8">
        <f>+Tabla1[[#This Row],[FECHA ENTRADA]]</f>
        <v>45532</v>
      </c>
      <c r="K583" s="8">
        <v>45709</v>
      </c>
      <c r="L583" s="13">
        <f>_xlfn.DAYS(Tabla1[[#This Row],[FECHA FIN ]],Tabla1[[#This Row],[FECHA INICIO]])</f>
        <v>177</v>
      </c>
      <c r="M583" s="12"/>
      <c r="N583" s="12"/>
      <c r="O583" s="12">
        <f>(Tabla1[[#This Row],[COSTO FIJO ]]/30)*Tabla1[[#This Row],[TOTAL DIAS PROYECTO]]+(Tabla1[[#This Row],[COSTO TEMPORAL]])</f>
        <v>0</v>
      </c>
      <c r="P583" s="12"/>
      <c r="Q583" s="12">
        <f>+(Tabla1[[#This Row],[COSTO COCHE]]/30)*Tabla1[[#This Row],[TOTAL DIAS PROYECTO]]</f>
        <v>0</v>
      </c>
      <c r="R583" s="12">
        <f>+Tabla1[[#This Row],[COSTO TOTAL ALOJAMIENTO]]+Tabla1[[#This Row],[COSTO TOTAL COCHE]]</f>
        <v>0</v>
      </c>
      <c r="S583" s="2"/>
      <c r="T583" s="2" t="s">
        <v>58</v>
      </c>
      <c r="U583" s="14">
        <v>45532</v>
      </c>
      <c r="V583" s="14"/>
      <c r="W583" s="26"/>
      <c r="X583" s="2">
        <v>1</v>
      </c>
      <c r="Y583" s="11" t="s">
        <v>1638</v>
      </c>
      <c r="Z583" s="2" t="s">
        <v>36</v>
      </c>
      <c r="AA583" s="13" t="s">
        <v>10407</v>
      </c>
      <c r="AB583" s="13" t="s">
        <v>10408</v>
      </c>
    </row>
    <row r="584" spans="1:28">
      <c r="A584" s="2" t="s">
        <v>8808</v>
      </c>
      <c r="B584" s="2" t="s">
        <v>368</v>
      </c>
      <c r="C584" s="11" t="s">
        <v>851</v>
      </c>
      <c r="D584" s="2" t="s">
        <v>30</v>
      </c>
      <c r="E584" s="2" t="s">
        <v>31</v>
      </c>
      <c r="F584" s="11"/>
      <c r="G584" s="49"/>
      <c r="H584" s="2" t="s">
        <v>1420</v>
      </c>
      <c r="I584" s="12" t="s">
        <v>1421</v>
      </c>
      <c r="J584" s="22">
        <f>+Tabla1[[#This Row],[FECHA ENTRADA]]</f>
        <v>45675</v>
      </c>
      <c r="K584" s="22">
        <v>45709</v>
      </c>
      <c r="L584" s="23">
        <f>_xlfn.DAYS(Tabla1[[#This Row],[FECHA FIN ]],Tabla1[[#This Row],[FECHA INICIO]])</f>
        <v>34</v>
      </c>
      <c r="M584" s="12"/>
      <c r="N584" s="12"/>
      <c r="O584" s="24">
        <f>(Tabla1[[#This Row],[COSTO FIJO ]]/30)*Tabla1[[#This Row],[TOTAL DIAS PROYECTO]]+(Tabla1[[#This Row],[COSTO TEMPORAL]])</f>
        <v>0</v>
      </c>
      <c r="P584" s="12"/>
      <c r="Q584" s="12">
        <f>+(Tabla1[[#This Row],[COSTO COCHE]]/30)*Tabla1[[#This Row],[TOTAL DIAS PROYECTO]]</f>
        <v>0</v>
      </c>
      <c r="R584" s="12">
        <f>+Tabla1[[#This Row],[COSTO TOTAL ALOJAMIENTO]]+Tabla1[[#This Row],[COSTO TOTAL COCHE]]</f>
        <v>0</v>
      </c>
      <c r="S584" s="2"/>
      <c r="T584" s="2" t="s">
        <v>35</v>
      </c>
      <c r="U584" s="14">
        <v>45675</v>
      </c>
      <c r="V584" s="25"/>
      <c r="W584" s="26"/>
      <c r="X584" s="2"/>
      <c r="Y584" s="11" t="s">
        <v>1639</v>
      </c>
      <c r="Z584" s="2" t="s">
        <v>36</v>
      </c>
      <c r="AA584" s="13" t="s">
        <v>10323</v>
      </c>
      <c r="AB584" s="13" t="s">
        <v>10324</v>
      </c>
    </row>
    <row r="585" spans="1:28">
      <c r="A585" s="2" t="s">
        <v>9000</v>
      </c>
      <c r="B585" s="2" t="s">
        <v>368</v>
      </c>
      <c r="C585" s="11" t="s">
        <v>1640</v>
      </c>
      <c r="D585" s="2" t="s">
        <v>99</v>
      </c>
      <c r="E585" s="2" t="s">
        <v>31</v>
      </c>
      <c r="F585" s="11" t="s">
        <v>344</v>
      </c>
      <c r="G585" s="11" t="s">
        <v>345</v>
      </c>
      <c r="H585" s="2" t="s">
        <v>1641</v>
      </c>
      <c r="I585" s="12" t="s">
        <v>1642</v>
      </c>
      <c r="J585" s="22">
        <f>+Tabla1[[#This Row],[FECHA ENTRADA]]</f>
        <v>45699</v>
      </c>
      <c r="K585" s="22">
        <v>45709</v>
      </c>
      <c r="L585" s="23">
        <f>_xlfn.DAYS(Tabla1[[#This Row],[FECHA FIN ]],Tabla1[[#This Row],[FECHA INICIO]])</f>
        <v>10</v>
      </c>
      <c r="M585" s="12"/>
      <c r="N585" s="12"/>
      <c r="O585" s="24">
        <f>(Tabla1[[#This Row],[COSTO FIJO ]]/30)*Tabla1[[#This Row],[TOTAL DIAS PROYECTO]]+(Tabla1[[#This Row],[COSTO TEMPORAL]])</f>
        <v>0</v>
      </c>
      <c r="P585" s="12"/>
      <c r="Q585" s="12">
        <f>+(Tabla1[[#This Row],[COSTO COCHE]]/30)*Tabla1[[#This Row],[TOTAL DIAS PROYECTO]]</f>
        <v>0</v>
      </c>
      <c r="R585" s="12">
        <f>+Tabla1[[#This Row],[COSTO TOTAL ALOJAMIENTO]]+Tabla1[[#This Row],[COSTO TOTAL COCHE]]</f>
        <v>0</v>
      </c>
      <c r="S585" s="2"/>
      <c r="T585" s="2" t="s">
        <v>35</v>
      </c>
      <c r="U585" s="14">
        <v>45699</v>
      </c>
      <c r="V585" s="25"/>
      <c r="W585" s="26"/>
      <c r="X585" s="2"/>
      <c r="Y585" s="11"/>
      <c r="Z585" s="2" t="s">
        <v>36</v>
      </c>
      <c r="AA585" s="13" t="s">
        <v>10323</v>
      </c>
      <c r="AB585" s="13" t="s">
        <v>10324</v>
      </c>
    </row>
    <row r="586" spans="1:28" ht="15" customHeight="1">
      <c r="A586" s="2" t="s">
        <v>8988</v>
      </c>
      <c r="B586" s="2" t="s">
        <v>28</v>
      </c>
      <c r="C586" s="11" t="s">
        <v>1604</v>
      </c>
      <c r="D586" s="2" t="s">
        <v>99</v>
      </c>
      <c r="E586" s="2" t="s">
        <v>127</v>
      </c>
      <c r="F586" s="11" t="s">
        <v>1643</v>
      </c>
      <c r="G586" s="49" t="s">
        <v>1644</v>
      </c>
      <c r="H586" s="2" t="s">
        <v>1605</v>
      </c>
      <c r="I586" s="12" t="s">
        <v>96</v>
      </c>
      <c r="J586" s="22">
        <f>+Tabla1[[#This Row],[FECHA ENTRADA]]</f>
        <v>45731</v>
      </c>
      <c r="K586" s="22">
        <f ca="1">TODAY()</f>
        <v>46260</v>
      </c>
      <c r="L586" s="23">
        <f ca="1">_xlfn.DAYS(Tabla1[[#This Row],[FECHA FIN ]],Tabla1[[#This Row],[FECHA INICIO]])</f>
        <v>529</v>
      </c>
      <c r="M586" s="12"/>
      <c r="N586" s="12">
        <f>168.32/5</f>
        <v>33.664000000000001</v>
      </c>
      <c r="O586" s="24">
        <f ca="1">(Tabla1[[#This Row],[COSTO FIJO ]]/30)*Tabla1[[#This Row],[TOTAL DIAS PROYECTO]]+(Tabla1[[#This Row],[COSTO TEMPORAL]])</f>
        <v>593.60853333333341</v>
      </c>
      <c r="P586" s="12"/>
      <c r="Q586" s="12">
        <f ca="1">+(Tabla1[[#This Row],[COSTO COCHE]]/30)*Tabla1[[#This Row],[TOTAL DIAS PROYECTO]]</f>
        <v>0</v>
      </c>
      <c r="R586" s="12">
        <f ca="1">+Tabla1[[#This Row],[COSTO TOTAL ALOJAMIENTO]]+Tabla1[[#This Row],[COSTO TOTAL COCHE]]</f>
        <v>593.60853333333341</v>
      </c>
      <c r="S586" s="2" t="s">
        <v>403</v>
      </c>
      <c r="T586" s="2" t="s">
        <v>44</v>
      </c>
      <c r="U586" s="14">
        <v>45731</v>
      </c>
      <c r="V586" s="25">
        <v>45732</v>
      </c>
      <c r="W586" s="26"/>
      <c r="X586" s="2"/>
      <c r="Y586" s="11" t="s">
        <v>1166</v>
      </c>
      <c r="Z586" s="2" t="s">
        <v>36</v>
      </c>
      <c r="AA586" s="13" t="s">
        <v>10342</v>
      </c>
      <c r="AB586" s="13" t="s">
        <v>10343</v>
      </c>
    </row>
    <row r="587" spans="1:28" ht="15" customHeight="1">
      <c r="A587" s="2" t="s">
        <v>8988</v>
      </c>
      <c r="B587" s="2" t="s">
        <v>711</v>
      </c>
      <c r="C587" s="31" t="s">
        <v>1604</v>
      </c>
      <c r="D587" s="2" t="s">
        <v>99</v>
      </c>
      <c r="E587" s="2" t="s">
        <v>127</v>
      </c>
      <c r="F587" s="11"/>
      <c r="G587" s="46"/>
      <c r="H587" s="2" t="s">
        <v>1605</v>
      </c>
      <c r="I587" s="12" t="s">
        <v>96</v>
      </c>
      <c r="J587" s="41">
        <f>+Tabla1[[#This Row],[FECHA ENTRADA]]</f>
        <v>45857</v>
      </c>
      <c r="K587" s="22">
        <v>46231</v>
      </c>
      <c r="L587" s="42">
        <f>_xlfn.DAYS(Tabla1[[#This Row],[FECHA FIN ]],Tabla1[[#This Row],[FECHA INICIO]])</f>
        <v>374</v>
      </c>
      <c r="M587" s="12"/>
      <c r="N587" s="28">
        <v>300</v>
      </c>
      <c r="O587" s="28">
        <f>(Tabla1[[#This Row],[COSTO FIJO ]]/30)*Tabla1[[#This Row],[TOTAL DIAS PROYECTO]]+(Tabla1[[#This Row],[COSTO TEMPORAL]])</f>
        <v>3740</v>
      </c>
      <c r="P587" s="12"/>
      <c r="Q587" s="12">
        <f>+(Tabla1[[#This Row],[COSTO COCHE]]/30)*Tabla1[[#This Row],[TOTAL DIAS PROYECTO]]</f>
        <v>0</v>
      </c>
      <c r="R587" s="12">
        <f>+Tabla1[[#This Row],[COSTO TOTAL ALOJAMIENTO]]+Tabla1[[#This Row],[COSTO TOTAL COCHE]]</f>
        <v>3740</v>
      </c>
      <c r="S587" s="2"/>
      <c r="T587" s="14" t="s">
        <v>58</v>
      </c>
      <c r="U587" s="14">
        <v>45857</v>
      </c>
      <c r="V587" s="43"/>
      <c r="W587" s="12"/>
      <c r="X587" s="2"/>
      <c r="Y587" s="11" t="s">
        <v>1645</v>
      </c>
      <c r="Z587" s="2" t="s">
        <v>36</v>
      </c>
      <c r="AA587" s="13" t="s">
        <v>10342</v>
      </c>
      <c r="AB587" s="13" t="s">
        <v>10343</v>
      </c>
    </row>
    <row r="588" spans="1:28" ht="15" customHeight="1">
      <c r="A588" s="2" t="s">
        <v>8985</v>
      </c>
      <c r="B588" s="2" t="s">
        <v>28</v>
      </c>
      <c r="C588" s="11" t="s">
        <v>1595</v>
      </c>
      <c r="D588" s="2" t="s">
        <v>99</v>
      </c>
      <c r="E588" s="2" t="s">
        <v>664</v>
      </c>
      <c r="F588" s="11" t="s">
        <v>1646</v>
      </c>
      <c r="G588" s="49" t="s">
        <v>1647</v>
      </c>
      <c r="H588" s="2" t="s">
        <v>1648</v>
      </c>
      <c r="I588" s="12" t="s">
        <v>256</v>
      </c>
      <c r="J588" s="22">
        <f>+Tabla1[[#This Row],[FECHA ENTRADA]]</f>
        <v>45706</v>
      </c>
      <c r="K588" s="22">
        <v>45710</v>
      </c>
      <c r="L588" s="23">
        <f>_xlfn.DAYS(Tabla1[[#This Row],[FECHA FIN ]],Tabla1[[#This Row],[FECHA INICIO]])</f>
        <v>4</v>
      </c>
      <c r="M588" s="12">
        <v>94.5</v>
      </c>
      <c r="N588" s="12"/>
      <c r="O588" s="24">
        <f>(Tabla1[[#This Row],[COSTO FIJO ]]/30)*Tabla1[[#This Row],[TOTAL DIAS PROYECTO]]+(Tabla1[[#This Row],[COSTO TEMPORAL]])</f>
        <v>94.5</v>
      </c>
      <c r="P588" s="12"/>
      <c r="Q588" s="12">
        <f>+(Tabla1[[#This Row],[COSTO COCHE]]/30)*Tabla1[[#This Row],[TOTAL DIAS PROYECTO]]</f>
        <v>0</v>
      </c>
      <c r="R588" s="12">
        <f>+Tabla1[[#This Row],[COSTO TOTAL ALOJAMIENTO]]+Tabla1[[#This Row],[COSTO TOTAL COCHE]]</f>
        <v>94.5</v>
      </c>
      <c r="S588" s="2"/>
      <c r="T588" s="2" t="s">
        <v>44</v>
      </c>
      <c r="U588" s="14">
        <v>45706</v>
      </c>
      <c r="V588" s="25">
        <v>45710</v>
      </c>
      <c r="W588" s="26"/>
      <c r="X588" s="2"/>
      <c r="Y588" s="11" t="s">
        <v>1120</v>
      </c>
      <c r="Z588" s="2" t="s">
        <v>36</v>
      </c>
      <c r="AA588" s="13" t="s">
        <v>10389</v>
      </c>
      <c r="AB588" s="13" t="s">
        <v>10390</v>
      </c>
    </row>
    <row r="589" spans="1:28" ht="15.75">
      <c r="A589" s="2" t="s">
        <v>9001</v>
      </c>
      <c r="B589" s="2" t="s">
        <v>711</v>
      </c>
      <c r="C589" s="31" t="s">
        <v>1649</v>
      </c>
      <c r="D589" s="2" t="s">
        <v>30</v>
      </c>
      <c r="E589" s="2" t="s">
        <v>127</v>
      </c>
      <c r="F589" s="11" t="s">
        <v>820</v>
      </c>
      <c r="G589" s="46" t="s">
        <v>821</v>
      </c>
      <c r="H589" s="2" t="s">
        <v>1650</v>
      </c>
      <c r="I589" s="12" t="s">
        <v>96</v>
      </c>
      <c r="J589" s="41">
        <f>+Tabla1[[#This Row],[FECHA ENTRADA]]</f>
        <v>45966</v>
      </c>
      <c r="K589" s="22">
        <v>45968</v>
      </c>
      <c r="L589" s="42">
        <f>_xlfn.DAYS(Tabla1[[#This Row],[FECHA FIN ]],Tabla1[[#This Row],[FECHA INICIO]])</f>
        <v>2</v>
      </c>
      <c r="M589" s="12"/>
      <c r="N589" s="12">
        <f>3150/9</f>
        <v>350</v>
      </c>
      <c r="O589" s="28">
        <f>(Tabla1[[#This Row],[COSTO FIJO ]]/30)*Tabla1[[#This Row],[TOTAL DIAS PROYECTO]]+(Tabla1[[#This Row],[COSTO TEMPORAL]])</f>
        <v>23.333333333333332</v>
      </c>
      <c r="P589" s="12"/>
      <c r="Q589" s="12">
        <f>+(Tabla1[[#This Row],[COSTO COCHE]]/30)*Tabla1[[#This Row],[TOTAL DIAS PROYECTO]]</f>
        <v>0</v>
      </c>
      <c r="R589" s="12">
        <f>+Tabla1[[#This Row],[COSTO TOTAL ALOJAMIENTO]]+Tabla1[[#This Row],[COSTO TOTAL COCHE]]</f>
        <v>23.333333333333332</v>
      </c>
      <c r="S589" s="2"/>
      <c r="T589" s="14" t="s">
        <v>44</v>
      </c>
      <c r="U589" s="14">
        <v>45966</v>
      </c>
      <c r="V589" s="25">
        <v>45979</v>
      </c>
      <c r="W589" s="71"/>
      <c r="X589" s="2"/>
      <c r="Y589" s="11" t="s">
        <v>1651</v>
      </c>
      <c r="Z589" s="2" t="s">
        <v>36</v>
      </c>
      <c r="AA589" s="13" t="s">
        <v>10342</v>
      </c>
      <c r="AB589" s="13" t="s">
        <v>10343</v>
      </c>
    </row>
    <row r="590" spans="1:28">
      <c r="A590" s="2" t="s">
        <v>8642</v>
      </c>
      <c r="B590" s="2" t="s">
        <v>28</v>
      </c>
      <c r="C590" s="86" t="s">
        <v>1652</v>
      </c>
      <c r="D590" s="2" t="s">
        <v>30</v>
      </c>
      <c r="E590" s="2" t="s">
        <v>55</v>
      </c>
      <c r="F590" s="11" t="s">
        <v>1653</v>
      </c>
      <c r="G590" s="11" t="s">
        <v>1440</v>
      </c>
      <c r="H590" s="2" t="s">
        <v>1654</v>
      </c>
      <c r="I590" s="12" t="s">
        <v>152</v>
      </c>
      <c r="J590" s="8">
        <f>+Tabla1[[#This Row],[FECHA ENTRADA]]</f>
        <v>45469</v>
      </c>
      <c r="K590" s="8">
        <v>45712</v>
      </c>
      <c r="L590" s="13">
        <f>_xlfn.DAYS(Tabla1[[#This Row],[FECHA FIN ]],Tabla1[[#This Row],[FECHA INICIO]])</f>
        <v>243</v>
      </c>
      <c r="M590" s="12"/>
      <c r="N590" s="12">
        <v>500</v>
      </c>
      <c r="O590" s="12">
        <f>(Tabla1[[#This Row],[COSTO FIJO ]]/30)*Tabla1[[#This Row],[TOTAL DIAS PROYECTO]]+(Tabla1[[#This Row],[COSTO TEMPORAL]])</f>
        <v>4050.0000000000005</v>
      </c>
      <c r="P590" s="12">
        <f>3067.87/22</f>
        <v>139.44863636363635</v>
      </c>
      <c r="Q590" s="12">
        <f>+(Tabla1[[#This Row],[COSTO COCHE]]/30)*Tabla1[[#This Row],[TOTAL DIAS PROYECTO]]</f>
        <v>1129.5339545454544</v>
      </c>
      <c r="R590" s="12">
        <f>+Tabla1[[#This Row],[COSTO TOTAL ALOJAMIENTO]]+Tabla1[[#This Row],[COSTO TOTAL COCHE]]</f>
        <v>5179.5339545454553</v>
      </c>
      <c r="S590" s="2"/>
      <c r="T590" s="2" t="s">
        <v>35</v>
      </c>
      <c r="U590" s="14">
        <v>45469</v>
      </c>
      <c r="V590" s="14">
        <v>45477</v>
      </c>
      <c r="W590" s="62">
        <v>350</v>
      </c>
      <c r="X590" s="16">
        <v>1</v>
      </c>
      <c r="Y590" s="11" t="s">
        <v>1655</v>
      </c>
      <c r="Z590" s="2" t="s">
        <v>36</v>
      </c>
      <c r="AA590" s="13" t="s">
        <v>10327</v>
      </c>
      <c r="AB590" s="13" t="s">
        <v>10328</v>
      </c>
    </row>
    <row r="591" spans="1:28" ht="15" customHeight="1">
      <c r="A591" s="2" t="s">
        <v>8985</v>
      </c>
      <c r="B591" s="2" t="s">
        <v>28</v>
      </c>
      <c r="C591" s="11" t="s">
        <v>1595</v>
      </c>
      <c r="D591" s="2" t="s">
        <v>99</v>
      </c>
      <c r="E591" s="2" t="s">
        <v>253</v>
      </c>
      <c r="F591" s="11" t="s">
        <v>771</v>
      </c>
      <c r="G591" s="11" t="s">
        <v>772</v>
      </c>
      <c r="H591" s="2" t="s">
        <v>1648</v>
      </c>
      <c r="I591" s="12" t="s">
        <v>256</v>
      </c>
      <c r="J591" s="22">
        <f>+Tabla1[[#This Row],[FECHA ENTRADA]]</f>
        <v>45710</v>
      </c>
      <c r="K591" s="22">
        <v>45712</v>
      </c>
      <c r="L591" s="23">
        <f>_xlfn.DAYS(Tabla1[[#This Row],[FECHA FIN ]],Tabla1[[#This Row],[FECHA INICIO]])</f>
        <v>2</v>
      </c>
      <c r="M591" s="12">
        <v>70</v>
      </c>
      <c r="N591" s="12"/>
      <c r="O591" s="24">
        <f>(Tabla1[[#This Row],[COSTO FIJO ]]/30)*Tabla1[[#This Row],[TOTAL DIAS PROYECTO]]+(Tabla1[[#This Row],[COSTO TEMPORAL]])</f>
        <v>70</v>
      </c>
      <c r="P591" s="12"/>
      <c r="Q591" s="12">
        <f>+(Tabla1[[#This Row],[COSTO COCHE]]/30)*Tabla1[[#This Row],[TOTAL DIAS PROYECTO]]</f>
        <v>0</v>
      </c>
      <c r="R591" s="12">
        <f>+Tabla1[[#This Row],[COSTO TOTAL ALOJAMIENTO]]+Tabla1[[#This Row],[COSTO TOTAL COCHE]]</f>
        <v>70</v>
      </c>
      <c r="S591" s="2"/>
      <c r="T591" s="2" t="s">
        <v>44</v>
      </c>
      <c r="U591" s="14">
        <v>45710</v>
      </c>
      <c r="V591" s="25">
        <v>45712</v>
      </c>
      <c r="W591" s="26"/>
      <c r="X591" s="2"/>
      <c r="Y591" s="11" t="s">
        <v>1120</v>
      </c>
      <c r="Z591" s="2" t="s">
        <v>36</v>
      </c>
      <c r="AA591" s="13" t="s">
        <v>10357</v>
      </c>
      <c r="AB591" s="13" t="s">
        <v>10358</v>
      </c>
    </row>
    <row r="592" spans="1:28" ht="15" customHeight="1">
      <c r="A592" s="2" t="s">
        <v>8906</v>
      </c>
      <c r="B592" s="2" t="s">
        <v>28</v>
      </c>
      <c r="C592" s="11" t="s">
        <v>1228</v>
      </c>
      <c r="D592" s="2" t="s">
        <v>30</v>
      </c>
      <c r="E592" s="2" t="s">
        <v>1404</v>
      </c>
      <c r="F592" s="11" t="s">
        <v>1656</v>
      </c>
      <c r="G592" s="46" t="s">
        <v>1657</v>
      </c>
      <c r="H592" s="2" t="s">
        <v>1658</v>
      </c>
      <c r="I592" s="12" t="s">
        <v>96</v>
      </c>
      <c r="J592" s="41">
        <f>+Tabla1[[#This Row],[FECHA ENTRADA]]</f>
        <v>45681</v>
      </c>
      <c r="K592" s="8">
        <v>45712</v>
      </c>
      <c r="L592" s="42">
        <f>_xlfn.DAYS(Tabla1[[#This Row],[FECHA FIN ]],Tabla1[[#This Row],[FECHA INICIO]])</f>
        <v>31</v>
      </c>
      <c r="M592" s="12"/>
      <c r="N592" s="12">
        <f>1438.8/3</f>
        <v>479.59999999999997</v>
      </c>
      <c r="O592" s="28">
        <f>(Tabla1[[#This Row],[COSTO FIJO ]]/30)*Tabla1[[#This Row],[TOTAL DIAS PROYECTO]]+(Tabla1[[#This Row],[COSTO TEMPORAL]])</f>
        <v>495.58666666666664</v>
      </c>
      <c r="P592" s="12"/>
      <c r="Q592" s="12">
        <f>+(Tabla1[[#This Row],[COSTO COCHE]]/30)*Tabla1[[#This Row],[TOTAL DIAS PROYECTO]]</f>
        <v>0</v>
      </c>
      <c r="R592" s="12">
        <f>+Tabla1[[#This Row],[COSTO TOTAL ALOJAMIENTO]]+Tabla1[[#This Row],[COSTO TOTAL COCHE]]</f>
        <v>495.58666666666664</v>
      </c>
      <c r="S592" s="2" t="s">
        <v>84</v>
      </c>
      <c r="T592" s="2" t="s">
        <v>44</v>
      </c>
      <c r="U592" s="14">
        <v>45681</v>
      </c>
      <c r="V592" s="43">
        <v>45712</v>
      </c>
      <c r="W592" s="26"/>
      <c r="X592" s="2"/>
      <c r="Y592" s="11"/>
      <c r="Z592" s="2" t="s">
        <v>36</v>
      </c>
      <c r="AA592" s="13" t="s">
        <v>10418</v>
      </c>
      <c r="AB592" s="13" t="s">
        <v>10419</v>
      </c>
    </row>
    <row r="593" spans="1:28" ht="15" customHeight="1">
      <c r="A593" s="2" t="s">
        <v>9002</v>
      </c>
      <c r="B593" s="29" t="s">
        <v>1457</v>
      </c>
      <c r="C593" s="46" t="s">
        <v>1659</v>
      </c>
      <c r="D593" s="2" t="s">
        <v>72</v>
      </c>
      <c r="E593" s="10" t="s">
        <v>1458</v>
      </c>
      <c r="F593" s="11" t="s">
        <v>1459</v>
      </c>
      <c r="G593" s="46" t="s">
        <v>1460</v>
      </c>
      <c r="H593" s="2" t="s">
        <v>1461</v>
      </c>
      <c r="I593" s="12" t="s">
        <v>1288</v>
      </c>
      <c r="J593" s="41">
        <f>+Tabla1[[#This Row],[FECHA ENTRADA]]</f>
        <v>45675</v>
      </c>
      <c r="K593" s="41">
        <v>45713</v>
      </c>
      <c r="L593" s="42">
        <f>_xlfn.DAYS(Tabla1[[#This Row],[FECHA FIN ]],Tabla1[[#This Row],[FECHA INICIO]])</f>
        <v>38</v>
      </c>
      <c r="M593" s="12">
        <f>348.1/5+(1170/7)+(3500/7)</f>
        <v>736.76285714285711</v>
      </c>
      <c r="N593" s="20"/>
      <c r="O593" s="28">
        <f>(Tabla1[[#This Row],[COSTO FIJO ]]/30)*Tabla1[[#This Row],[TOTAL DIAS PROYECTO]]+(Tabla1[[#This Row],[COSTO TEMPORAL]])</f>
        <v>736.76285714285711</v>
      </c>
      <c r="P593" s="12">
        <f>1600/17</f>
        <v>94.117647058823536</v>
      </c>
      <c r="Q593" s="12">
        <f>+(Tabla1[[#This Row],[COSTO COCHE]]/30)*Tabla1[[#This Row],[TOTAL DIAS PROYECTO]]</f>
        <v>119.21568627450982</v>
      </c>
      <c r="R593" s="12">
        <f>+Tabla1[[#This Row],[COSTO TOTAL ALOJAMIENTO]]+Tabla1[[#This Row],[COSTO TOTAL COCHE]]</f>
        <v>855.97854341736695</v>
      </c>
      <c r="S593" s="2" t="s">
        <v>84</v>
      </c>
      <c r="T593" s="2" t="s">
        <v>44</v>
      </c>
      <c r="U593" s="14">
        <v>45675</v>
      </c>
      <c r="V593" s="43">
        <v>45715</v>
      </c>
      <c r="W593" s="26"/>
      <c r="X593" s="2"/>
      <c r="Y593" s="11" t="s">
        <v>1120</v>
      </c>
      <c r="Z593" s="2" t="s">
        <v>36</v>
      </c>
      <c r="AA593" s="13" t="s">
        <v>10421</v>
      </c>
      <c r="AB593" s="13">
        <v>5113412</v>
      </c>
    </row>
    <row r="594" spans="1:28">
      <c r="A594" s="2" t="s">
        <v>9003</v>
      </c>
      <c r="B594" s="2" t="s">
        <v>28</v>
      </c>
      <c r="C594" s="86" t="s">
        <v>1660</v>
      </c>
      <c r="D594" s="2" t="s">
        <v>30</v>
      </c>
      <c r="E594" s="2" t="s">
        <v>31</v>
      </c>
      <c r="F594" s="11" t="s">
        <v>32</v>
      </c>
      <c r="G594" s="11" t="s">
        <v>33</v>
      </c>
      <c r="H594" s="2">
        <v>2023</v>
      </c>
      <c r="I594" s="12" t="s">
        <v>34</v>
      </c>
      <c r="J594" s="8">
        <v>45275</v>
      </c>
      <c r="K594" s="8">
        <v>45714</v>
      </c>
      <c r="L594" s="13">
        <f>_xlfn.DAYS(Tabla1[[#This Row],[FECHA FIN ]],Tabla1[[#This Row],[FECHA INICIO]])</f>
        <v>439</v>
      </c>
      <c r="M594" s="12"/>
      <c r="N594" s="12">
        <v>218.88</v>
      </c>
      <c r="O594" s="12">
        <f>(Tabla1[[#This Row],[COSTO FIJO ]]/30)*Tabla1[[#This Row],[TOTAL DIAS PROYECTO]]+(Tabla1[[#This Row],[COSTO TEMPORAL]])</f>
        <v>3202.944</v>
      </c>
      <c r="P594" s="12">
        <f>942.69/16</f>
        <v>58.918125000000003</v>
      </c>
      <c r="Q594" s="12">
        <f>+(Tabla1[[#This Row],[COSTO COCHE]]/30)*Tabla1[[#This Row],[TOTAL DIAS PROYECTO]]</f>
        <v>862.16856250000001</v>
      </c>
      <c r="R594" s="12">
        <f>+Tabla1[[#This Row],[COSTO TOTAL ALOJAMIENTO]]+Tabla1[[#This Row],[COSTO TOTAL COCHE]]</f>
        <v>4065.1125625</v>
      </c>
      <c r="S594" s="2"/>
      <c r="T594" s="2" t="s">
        <v>35</v>
      </c>
      <c r="U594" s="14"/>
      <c r="V594" s="14"/>
      <c r="W594" s="15"/>
      <c r="X594" s="16">
        <v>1</v>
      </c>
      <c r="Y594" s="11"/>
      <c r="Z594" s="2" t="s">
        <v>36</v>
      </c>
      <c r="AA594" s="13" t="s">
        <v>10323</v>
      </c>
      <c r="AB594" s="13" t="s">
        <v>10324</v>
      </c>
    </row>
    <row r="595" spans="1:28" ht="15" customHeight="1">
      <c r="A595" s="2" t="s">
        <v>9004</v>
      </c>
      <c r="B595" s="2" t="s">
        <v>368</v>
      </c>
      <c r="C595" s="11" t="s">
        <v>1661</v>
      </c>
      <c r="D595" s="2" t="s">
        <v>99</v>
      </c>
      <c r="E595" s="2" t="s">
        <v>855</v>
      </c>
      <c r="F595" s="11" t="s">
        <v>1662</v>
      </c>
      <c r="G595" s="49" t="s">
        <v>1474</v>
      </c>
      <c r="H595" s="2" t="s">
        <v>1663</v>
      </c>
      <c r="I595" s="12" t="s">
        <v>1288</v>
      </c>
      <c r="J595" s="22">
        <f>+Tabla1[[#This Row],[FECHA ENTRADA]]</f>
        <v>45707</v>
      </c>
      <c r="K595" s="22">
        <v>45714</v>
      </c>
      <c r="L595" s="23">
        <f>_xlfn.DAYS(Tabla1[[#This Row],[FECHA FIN ]],Tabla1[[#This Row],[FECHA INICIO]])</f>
        <v>7</v>
      </c>
      <c r="M595" s="12">
        <v>450</v>
      </c>
      <c r="N595" s="20"/>
      <c r="O595" s="24">
        <f>(Tabla1[[#This Row],[COSTO FIJO ]]/30)*Tabla1[[#This Row],[TOTAL DIAS PROYECTO]]+(Tabla1[[#This Row],[COSTO TEMPORAL]])</f>
        <v>450</v>
      </c>
      <c r="P595" s="12"/>
      <c r="Q595" s="12">
        <f>+(Tabla1[[#This Row],[COSTO COCHE]]/30)*Tabla1[[#This Row],[TOTAL DIAS PROYECTO]]</f>
        <v>0</v>
      </c>
      <c r="R595" s="12">
        <f>+Tabla1[[#This Row],[COSTO TOTAL ALOJAMIENTO]]+Tabla1[[#This Row],[COSTO TOTAL COCHE]]</f>
        <v>450</v>
      </c>
      <c r="S595" s="2"/>
      <c r="T595" s="2" t="s">
        <v>528</v>
      </c>
      <c r="U595" s="14">
        <v>45707</v>
      </c>
      <c r="V595" s="25">
        <v>45743</v>
      </c>
      <c r="W595" s="26"/>
      <c r="X595" s="2">
        <v>25</v>
      </c>
      <c r="Y595" s="11"/>
      <c r="Z595" s="2" t="s">
        <v>36</v>
      </c>
      <c r="AA595" s="13" t="s">
        <v>10401</v>
      </c>
      <c r="AB595" s="13" t="s">
        <v>10402</v>
      </c>
    </row>
    <row r="596" spans="1:28" ht="15" customHeight="1">
      <c r="A596" s="2" t="s">
        <v>8906</v>
      </c>
      <c r="B596" s="2" t="s">
        <v>28</v>
      </c>
      <c r="C596" s="11" t="s">
        <v>1228</v>
      </c>
      <c r="D596" s="2" t="s">
        <v>30</v>
      </c>
      <c r="E596" s="2" t="s">
        <v>1664</v>
      </c>
      <c r="F596" s="11" t="s">
        <v>1665</v>
      </c>
      <c r="G596" s="46" t="s">
        <v>1666</v>
      </c>
      <c r="H596" s="2" t="s">
        <v>1658</v>
      </c>
      <c r="I596" s="12" t="s">
        <v>96</v>
      </c>
      <c r="J596" s="41">
        <f>+Tabla1[[#This Row],[FECHA ENTRADA]]</f>
        <v>45712</v>
      </c>
      <c r="K596" s="22">
        <v>45747</v>
      </c>
      <c r="L596" s="42">
        <f>_xlfn.DAYS(Tabla1[[#This Row],[FECHA FIN ]],Tabla1[[#This Row],[FECHA INICIO]])</f>
        <v>35</v>
      </c>
      <c r="M596" s="12"/>
      <c r="N596" s="20">
        <v>429.36</v>
      </c>
      <c r="O596" s="28">
        <f>(Tabla1[[#This Row],[COSTO FIJO ]]/30)*Tabla1[[#This Row],[TOTAL DIAS PROYECTO]]+(Tabla1[[#This Row],[COSTO TEMPORAL]])</f>
        <v>500.92</v>
      </c>
      <c r="P596" s="12">
        <f>1714.47/8</f>
        <v>214.30875</v>
      </c>
      <c r="Q596" s="12">
        <f>+(Tabla1[[#This Row],[COSTO COCHE]]/30)*Tabla1[[#This Row],[TOTAL DIAS PROYECTO]]</f>
        <v>250.02687500000002</v>
      </c>
      <c r="R596" s="12">
        <f>+Tabla1[[#This Row],[COSTO TOTAL ALOJAMIENTO]]+Tabla1[[#This Row],[COSTO TOTAL COCHE]]</f>
        <v>750.94687500000009</v>
      </c>
      <c r="S596" s="2" t="s">
        <v>403</v>
      </c>
      <c r="T596" s="2" t="s">
        <v>44</v>
      </c>
      <c r="U596" s="14">
        <v>45712</v>
      </c>
      <c r="V596" s="43">
        <v>45747</v>
      </c>
      <c r="W596" s="26"/>
      <c r="X596" s="2"/>
      <c r="Y596" s="11" t="s">
        <v>1166</v>
      </c>
      <c r="Z596" s="2" t="s">
        <v>36</v>
      </c>
      <c r="AA596" s="13" t="s">
        <v>10425</v>
      </c>
      <c r="AB596" s="13" t="s">
        <v>10426</v>
      </c>
    </row>
    <row r="597" spans="1:28" ht="15" customHeight="1">
      <c r="A597" s="2" t="s">
        <v>9005</v>
      </c>
      <c r="B597" s="2" t="s">
        <v>28</v>
      </c>
      <c r="C597" s="11" t="s">
        <v>1667</v>
      </c>
      <c r="D597" s="2" t="s">
        <v>99</v>
      </c>
      <c r="E597" s="2" t="s">
        <v>87</v>
      </c>
      <c r="F597" s="11" t="s">
        <v>1668</v>
      </c>
      <c r="G597" s="21" t="s">
        <v>1669</v>
      </c>
      <c r="H597" s="2" t="s">
        <v>1670</v>
      </c>
      <c r="I597" s="12" t="s">
        <v>570</v>
      </c>
      <c r="J597" s="22">
        <f>+Tabla1[[#This Row],[FECHA ENTRADA]]</f>
        <v>45706</v>
      </c>
      <c r="K597" s="22">
        <v>45715</v>
      </c>
      <c r="L597" s="23">
        <f>_xlfn.DAYS(Tabla1[[#This Row],[FECHA FIN ]],Tabla1[[#This Row],[FECHA INICIO]])</f>
        <v>9</v>
      </c>
      <c r="M597" s="24">
        <v>403.25</v>
      </c>
      <c r="N597" s="28"/>
      <c r="O597" s="24">
        <f>(Tabla1[[#This Row],[COSTO FIJO ]]/30)*Tabla1[[#This Row],[TOTAL DIAS PROYECTO]]+(Tabla1[[#This Row],[COSTO TEMPORAL]])</f>
        <v>403.25</v>
      </c>
      <c r="P597" s="12"/>
      <c r="Q597" s="12">
        <f>+(Tabla1[[#This Row],[COSTO COCHE]]/30)*Tabla1[[#This Row],[TOTAL DIAS PROYECTO]]</f>
        <v>0</v>
      </c>
      <c r="R597" s="12">
        <f>+Tabla1[[#This Row],[COSTO TOTAL ALOJAMIENTO]]+Tabla1[[#This Row],[COSTO TOTAL COCHE]]</f>
        <v>403.25</v>
      </c>
      <c r="S597" s="2"/>
      <c r="T597" s="2" t="s">
        <v>35</v>
      </c>
      <c r="U597" s="14">
        <v>45706</v>
      </c>
      <c r="V597" s="25"/>
      <c r="W597" s="26"/>
      <c r="X597" s="2">
        <v>5</v>
      </c>
      <c r="Y597" s="11"/>
      <c r="Z597" s="2" t="s">
        <v>36</v>
      </c>
      <c r="AA597" s="13" t="s">
        <v>10335</v>
      </c>
      <c r="AB597" s="13">
        <v>404.16500000000002</v>
      </c>
    </row>
    <row r="598" spans="1:28">
      <c r="A598" s="2" t="s">
        <v>8719</v>
      </c>
      <c r="B598" s="2" t="s">
        <v>368</v>
      </c>
      <c r="C598" s="11" t="s">
        <v>438</v>
      </c>
      <c r="D598" s="2" t="s">
        <v>30</v>
      </c>
      <c r="E598" s="2" t="s">
        <v>92</v>
      </c>
      <c r="F598" s="11" t="s">
        <v>1671</v>
      </c>
      <c r="G598" s="11" t="s">
        <v>804</v>
      </c>
      <c r="H598" s="2" t="s">
        <v>1559</v>
      </c>
      <c r="I598" s="12" t="s">
        <v>806</v>
      </c>
      <c r="J598" s="22">
        <f>+Tabla1[[#This Row],[FECHA ENTRADA]]</f>
        <v>45699</v>
      </c>
      <c r="K598" s="22">
        <v>45715</v>
      </c>
      <c r="L598" s="23">
        <f>_xlfn.DAYS(Tabla1[[#This Row],[FECHA FIN ]],Tabla1[[#This Row],[FECHA INICIO]])</f>
        <v>16</v>
      </c>
      <c r="M598" s="12"/>
      <c r="N598" s="20">
        <v>200</v>
      </c>
      <c r="O598" s="24">
        <f>(Tabla1[[#This Row],[COSTO FIJO ]]/30)*Tabla1[[#This Row],[TOTAL DIAS PROYECTO]]+(Tabla1[[#This Row],[COSTO TEMPORAL]])</f>
        <v>106.66666666666667</v>
      </c>
      <c r="P598" s="12">
        <f>651.6/3</f>
        <v>217.20000000000002</v>
      </c>
      <c r="Q598" s="12">
        <f>+(Tabla1[[#This Row],[COSTO COCHE]]/30)*Tabla1[[#This Row],[TOTAL DIAS PROYECTO]]</f>
        <v>115.84</v>
      </c>
      <c r="R598" s="12">
        <f>+Tabla1[[#This Row],[COSTO TOTAL ALOJAMIENTO]]+Tabla1[[#This Row],[COSTO TOTAL COCHE]]</f>
        <v>222.50666666666666</v>
      </c>
      <c r="S598" s="2"/>
      <c r="T598" s="2" t="s">
        <v>35</v>
      </c>
      <c r="U598" s="14">
        <v>45699</v>
      </c>
      <c r="V598" s="25"/>
      <c r="W598" s="26"/>
      <c r="X598" s="2">
        <v>5</v>
      </c>
      <c r="Y598" s="11"/>
      <c r="Z598" s="2" t="s">
        <v>36</v>
      </c>
      <c r="AA598" s="13" t="s">
        <v>10336</v>
      </c>
      <c r="AB598" s="13" t="s">
        <v>10337</v>
      </c>
    </row>
    <row r="599" spans="1:28" ht="15" customHeight="1">
      <c r="A599" s="2" t="s">
        <v>8670</v>
      </c>
      <c r="B599" s="2" t="s">
        <v>28</v>
      </c>
      <c r="C599" s="11" t="s">
        <v>222</v>
      </c>
      <c r="D599" s="2" t="s">
        <v>30</v>
      </c>
      <c r="E599" s="2" t="s">
        <v>790</v>
      </c>
      <c r="F599" s="11" t="s">
        <v>1672</v>
      </c>
      <c r="G599" s="11" t="s">
        <v>1673</v>
      </c>
      <c r="H599" s="2" t="s">
        <v>1109</v>
      </c>
      <c r="I599" s="12" t="s">
        <v>794</v>
      </c>
      <c r="J599" s="41">
        <f>+Tabla1[[#This Row],[FECHA ENTRADA]]</f>
        <v>45630</v>
      </c>
      <c r="K599" s="8">
        <v>45716</v>
      </c>
      <c r="L599" s="42">
        <f>_xlfn.DAYS(Tabla1[[#This Row],[FECHA FIN ]],Tabla1[[#This Row],[FECHA INICIO]])</f>
        <v>86</v>
      </c>
      <c r="M599" s="12"/>
      <c r="N599" s="12"/>
      <c r="O599" s="28">
        <f>(Tabla1[[#This Row],[COSTO FIJO ]]/30)*Tabla1[[#This Row],[TOTAL DIAS PROYECTO]]+(Tabla1[[#This Row],[COSTO TEMPORAL]])</f>
        <v>0</v>
      </c>
      <c r="P599" s="12"/>
      <c r="Q599" s="12">
        <f>+(Tabla1[[#This Row],[COSTO COCHE]]/30)*Tabla1[[#This Row],[TOTAL DIAS PROYECTO]]</f>
        <v>0</v>
      </c>
      <c r="R599" s="12">
        <f>+Tabla1[[#This Row],[COSTO TOTAL ALOJAMIENTO]]+Tabla1[[#This Row],[COSTO TOTAL COCHE]]</f>
        <v>0</v>
      </c>
      <c r="S599" s="2"/>
      <c r="T599" s="2" t="s">
        <v>35</v>
      </c>
      <c r="U599" s="14">
        <v>45630</v>
      </c>
      <c r="V599" s="43"/>
      <c r="W599" s="26"/>
      <c r="X599" s="2">
        <v>1</v>
      </c>
      <c r="Y599" s="11" t="s">
        <v>1674</v>
      </c>
      <c r="Z599" s="2" t="s">
        <v>36</v>
      </c>
      <c r="AA599" s="13">
        <v>-574377</v>
      </c>
      <c r="AB599" s="13">
        <v>4150368</v>
      </c>
    </row>
    <row r="600" spans="1:28" ht="15" customHeight="1">
      <c r="A600" s="2" t="s">
        <v>9006</v>
      </c>
      <c r="B600" s="2" t="s">
        <v>28</v>
      </c>
      <c r="C600" s="11" t="s">
        <v>1675</v>
      </c>
      <c r="D600" s="2" t="s">
        <v>30</v>
      </c>
      <c r="E600" s="2" t="s">
        <v>151</v>
      </c>
      <c r="F600" s="11"/>
      <c r="G600" s="11"/>
      <c r="H600" s="2" t="s">
        <v>1676</v>
      </c>
      <c r="I600" s="12" t="s">
        <v>152</v>
      </c>
      <c r="J600" s="8">
        <f>+Tabla1[[#This Row],[FECHA ENTRADA]]</f>
        <v>45375</v>
      </c>
      <c r="K600" s="22">
        <v>45716</v>
      </c>
      <c r="L600" s="13">
        <f>_xlfn.DAYS(Tabla1[[#This Row],[FECHA FIN ]],Tabla1[[#This Row],[FECHA INICIO]])</f>
        <v>341</v>
      </c>
      <c r="M600" s="12"/>
      <c r="N600" s="12">
        <v>300</v>
      </c>
      <c r="O600" s="12">
        <f>(Tabla1[[#This Row],[COSTO FIJO ]]/30)*Tabla1[[#This Row],[TOTAL DIAS PROYECTO]]+(Tabla1[[#This Row],[COSTO TEMPORAL]])</f>
        <v>3410</v>
      </c>
      <c r="P600" s="12"/>
      <c r="Q600" s="12">
        <f>+(Tabla1[[#This Row],[COSTO COCHE]]/30)*Tabla1[[#This Row],[TOTAL DIAS PROYECTO]]</f>
        <v>0</v>
      </c>
      <c r="R600" s="12">
        <f>+Tabla1[[#This Row],[COSTO TOTAL ALOJAMIENTO]]+Tabla1[[#This Row],[COSTO TOTAL COCHE]]</f>
        <v>3410</v>
      </c>
      <c r="S600" s="2"/>
      <c r="T600" s="2" t="s">
        <v>58</v>
      </c>
      <c r="U600" s="14">
        <v>45375</v>
      </c>
      <c r="V600" s="14"/>
      <c r="W600" s="15">
        <v>350</v>
      </c>
      <c r="X600" s="16">
        <v>23</v>
      </c>
      <c r="Y600" s="11" t="s">
        <v>1677</v>
      </c>
      <c r="Z600" s="2" t="s">
        <v>36</v>
      </c>
      <c r="AA600" s="13" t="s">
        <v>10345</v>
      </c>
      <c r="AB600" s="13" t="s">
        <v>10346</v>
      </c>
    </row>
    <row r="601" spans="1:28" ht="15" customHeight="1">
      <c r="A601" s="2" t="s">
        <v>9006</v>
      </c>
      <c r="B601" s="2" t="s">
        <v>28</v>
      </c>
      <c r="C601" s="11" t="s">
        <v>1675</v>
      </c>
      <c r="D601" s="2" t="s">
        <v>30</v>
      </c>
      <c r="E601" s="2" t="s">
        <v>151</v>
      </c>
      <c r="F601" s="11"/>
      <c r="G601" s="11"/>
      <c r="H601" s="2" t="s">
        <v>1678</v>
      </c>
      <c r="I601" s="12" t="s">
        <v>152</v>
      </c>
      <c r="J601" s="41">
        <f>+Tabla1[[#This Row],[FECHA ENTRADA]]</f>
        <v>45601</v>
      </c>
      <c r="K601" s="22">
        <v>45716</v>
      </c>
      <c r="L601" s="42">
        <f>_xlfn.DAYS(Tabla1[[#This Row],[FECHA FIN ]],Tabla1[[#This Row],[FECHA INICIO]])</f>
        <v>115</v>
      </c>
      <c r="M601" s="12"/>
      <c r="N601" s="12">
        <v>300</v>
      </c>
      <c r="O601" s="28">
        <f>(Tabla1[[#This Row],[COSTO FIJO ]]/30)*Tabla1[[#This Row],[TOTAL DIAS PROYECTO]]+(Tabla1[[#This Row],[COSTO TEMPORAL]])</f>
        <v>1150</v>
      </c>
      <c r="P601" s="12">
        <f>3067.87/22</f>
        <v>139.44863636363635</v>
      </c>
      <c r="Q601" s="12">
        <f>+(Tabla1[[#This Row],[COSTO COCHE]]/30)*Tabla1[[#This Row],[TOTAL DIAS PROYECTO]]</f>
        <v>534.55310606060607</v>
      </c>
      <c r="R601" s="12">
        <f>+Tabla1[[#This Row],[COSTO TOTAL ALOJAMIENTO]]+Tabla1[[#This Row],[COSTO TOTAL COCHE]]</f>
        <v>1684.5531060606061</v>
      </c>
      <c r="S601" s="2"/>
      <c r="T601" s="2" t="s">
        <v>58</v>
      </c>
      <c r="U601" s="14">
        <v>45601</v>
      </c>
      <c r="V601" s="43"/>
      <c r="W601" s="26"/>
      <c r="X601" s="2"/>
      <c r="Y601" s="11" t="s">
        <v>1679</v>
      </c>
      <c r="Z601" s="2" t="s">
        <v>36</v>
      </c>
      <c r="AA601" s="13" t="s">
        <v>10345</v>
      </c>
      <c r="AB601" s="13" t="s">
        <v>10346</v>
      </c>
    </row>
    <row r="602" spans="1:28">
      <c r="A602" s="2" t="s">
        <v>8907</v>
      </c>
      <c r="B602" s="2" t="s">
        <v>978</v>
      </c>
      <c r="C602" s="11" t="s">
        <v>1233</v>
      </c>
      <c r="D602" s="2" t="s">
        <v>30</v>
      </c>
      <c r="E602" s="2" t="s">
        <v>31</v>
      </c>
      <c r="F602" s="11" t="s">
        <v>451</v>
      </c>
      <c r="G602" s="50" t="s">
        <v>452</v>
      </c>
      <c r="H602" s="2"/>
      <c r="I602" s="2" t="s">
        <v>978</v>
      </c>
      <c r="J602" s="41">
        <f>+Tabla1[[#This Row],[FECHA ENTRADA]]</f>
        <v>45709</v>
      </c>
      <c r="K602" s="41">
        <v>45716</v>
      </c>
      <c r="L602" s="42">
        <f>_xlfn.DAYS(Tabla1[[#This Row],[FECHA FIN ]],Tabla1[[#This Row],[FECHA INICIO]])</f>
        <v>7</v>
      </c>
      <c r="M602" s="12"/>
      <c r="N602" s="28">
        <v>283.33</v>
      </c>
      <c r="O602" s="28">
        <f>(Tabla1[[#This Row],[COSTO FIJO ]]/30)*Tabla1[[#This Row],[TOTAL DIAS PROYECTO]]+(Tabla1[[#This Row],[COSTO TEMPORAL]])</f>
        <v>66.11033333333333</v>
      </c>
      <c r="P602" s="12"/>
      <c r="Q602" s="12">
        <f>+(Tabla1[[#This Row],[COSTO COCHE]]/30)*Tabla1[[#This Row],[TOTAL DIAS PROYECTO]]</f>
        <v>0</v>
      </c>
      <c r="R602" s="12">
        <f>+Tabla1[[#This Row],[COSTO TOTAL ALOJAMIENTO]]+Tabla1[[#This Row],[COSTO TOTAL COCHE]]</f>
        <v>66.11033333333333</v>
      </c>
      <c r="S602" s="2"/>
      <c r="T602" s="2" t="s">
        <v>35</v>
      </c>
      <c r="U602" s="14">
        <v>45709</v>
      </c>
      <c r="V602" s="43"/>
      <c r="W602" s="26"/>
      <c r="X602" s="2">
        <v>1</v>
      </c>
      <c r="Y602" s="11"/>
      <c r="Z602" s="2" t="s">
        <v>36</v>
      </c>
      <c r="AA602" s="13" t="s">
        <v>10323</v>
      </c>
      <c r="AB602" s="13" t="s">
        <v>10324</v>
      </c>
    </row>
    <row r="603" spans="1:28" ht="15" customHeight="1">
      <c r="A603" s="2" t="s">
        <v>9007</v>
      </c>
      <c r="B603" s="2" t="s">
        <v>28</v>
      </c>
      <c r="C603" s="11" t="s">
        <v>1680</v>
      </c>
      <c r="D603" s="2" t="s">
        <v>30</v>
      </c>
      <c r="E603" s="2" t="s">
        <v>31</v>
      </c>
      <c r="F603" s="11" t="s">
        <v>1004</v>
      </c>
      <c r="G603" s="51" t="s">
        <v>1005</v>
      </c>
      <c r="H603" s="2" t="s">
        <v>1055</v>
      </c>
      <c r="I603" s="12" t="s">
        <v>527</v>
      </c>
      <c r="J603" s="8">
        <f>+Tabla1[[#This Row],[FECHA ENTRADA]]</f>
        <v>45515</v>
      </c>
      <c r="K603" s="22">
        <v>45821</v>
      </c>
      <c r="L603" s="13">
        <f>_xlfn.DAYS(Tabla1[[#This Row],[FECHA FIN ]],Tabla1[[#This Row],[FECHA INICIO]])</f>
        <v>306</v>
      </c>
      <c r="M603" s="12"/>
      <c r="N603" s="12"/>
      <c r="O603" s="12">
        <f>(Tabla1[[#This Row],[COSTO FIJO ]]/30)*Tabla1[[#This Row],[TOTAL DIAS PROYECTO]]+(Tabla1[[#This Row],[COSTO TEMPORAL]])</f>
        <v>0</v>
      </c>
      <c r="P603" s="12">
        <f>+(((800*3)+520.54)*50%)/19</f>
        <v>76.856315789473683</v>
      </c>
      <c r="Q603" s="12">
        <f>+(Tabla1[[#This Row],[COSTO COCHE]]/30)*Tabla1[[#This Row],[TOTAL DIAS PROYECTO]]</f>
        <v>783.93442105263159</v>
      </c>
      <c r="R603" s="12">
        <f>+Tabla1[[#This Row],[COSTO TOTAL ALOJAMIENTO]]+Tabla1[[#This Row],[COSTO TOTAL COCHE]]</f>
        <v>783.93442105263159</v>
      </c>
      <c r="S603" s="2"/>
      <c r="T603" s="2" t="s">
        <v>35</v>
      </c>
      <c r="U603" s="14">
        <v>45515</v>
      </c>
      <c r="V603" s="14"/>
      <c r="W603" s="26">
        <v>3000</v>
      </c>
      <c r="X603" s="2">
        <v>1</v>
      </c>
      <c r="Y603" s="11" t="s">
        <v>1681</v>
      </c>
      <c r="Z603" s="2" t="s">
        <v>36</v>
      </c>
      <c r="AA603" s="13" t="s">
        <v>10323</v>
      </c>
      <c r="AB603" s="13" t="s">
        <v>10324</v>
      </c>
    </row>
    <row r="604" spans="1:28" ht="15" customHeight="1">
      <c r="A604" s="2" t="s">
        <v>8870</v>
      </c>
      <c r="B604" s="2" t="s">
        <v>368</v>
      </c>
      <c r="C604" s="11" t="s">
        <v>1099</v>
      </c>
      <c r="D604" s="2" t="s">
        <v>78</v>
      </c>
      <c r="E604" s="2" t="s">
        <v>1297</v>
      </c>
      <c r="F604" s="11" t="s">
        <v>1603</v>
      </c>
      <c r="G604" s="46" t="s">
        <v>1299</v>
      </c>
      <c r="H604" s="2" t="s">
        <v>1300</v>
      </c>
      <c r="I604" s="29" t="s">
        <v>1301</v>
      </c>
      <c r="J604" s="41">
        <f>+Tabla1[[#This Row],[FECHA ENTRADA]]</f>
        <v>45662</v>
      </c>
      <c r="K604" s="41">
        <v>45716</v>
      </c>
      <c r="L604" s="42">
        <f>_xlfn.DAYS(Tabla1[[#This Row],[FECHA FIN ]],Tabla1[[#This Row],[FECHA INICIO]])</f>
        <v>54</v>
      </c>
      <c r="M604" s="12"/>
      <c r="N604" s="12">
        <f>1680.79/3</f>
        <v>560.26333333333332</v>
      </c>
      <c r="O604" s="28">
        <f>(Tabla1[[#This Row],[COSTO FIJO ]]/30)*Tabla1[[#This Row],[TOTAL DIAS PROYECTO]]+(Tabla1[[#This Row],[COSTO TEMPORAL]])</f>
        <v>1008.474</v>
      </c>
      <c r="P604" s="12">
        <v>80</v>
      </c>
      <c r="Q604" s="12">
        <f>+(Tabla1[[#This Row],[COSTO COCHE]]/30)*Tabla1[[#This Row],[TOTAL DIAS PROYECTO]]</f>
        <v>144</v>
      </c>
      <c r="R604" s="12">
        <f>+Tabla1[[#This Row],[COSTO TOTAL ALOJAMIENTO]]+Tabla1[[#This Row],[COSTO TOTAL COCHE]]</f>
        <v>1152.4740000000002</v>
      </c>
      <c r="S604" s="2"/>
      <c r="T604" s="2" t="s">
        <v>44</v>
      </c>
      <c r="U604" s="14">
        <v>45662</v>
      </c>
      <c r="V604" s="43">
        <v>45721</v>
      </c>
      <c r="W604" s="26"/>
      <c r="X604" s="2"/>
      <c r="Y604" s="11"/>
      <c r="Z604" s="2" t="s">
        <v>36</v>
      </c>
      <c r="AA604" s="13" t="s">
        <v>10414</v>
      </c>
      <c r="AB604" s="13">
        <v>5094783</v>
      </c>
    </row>
    <row r="605" spans="1:28" ht="15" customHeight="1">
      <c r="A605" s="2" t="s">
        <v>8924</v>
      </c>
      <c r="B605" s="2" t="s">
        <v>368</v>
      </c>
      <c r="C605" s="86" t="s">
        <v>1302</v>
      </c>
      <c r="D605" s="2" t="s">
        <v>78</v>
      </c>
      <c r="E605" s="2" t="s">
        <v>1297</v>
      </c>
      <c r="F605" s="11" t="s">
        <v>1603</v>
      </c>
      <c r="G605" s="46" t="s">
        <v>1299</v>
      </c>
      <c r="H605" s="2" t="s">
        <v>1300</v>
      </c>
      <c r="I605" s="29" t="s">
        <v>1301</v>
      </c>
      <c r="J605" s="41">
        <f>+Tabla1[[#This Row],[FECHA ENTRADA]]</f>
        <v>45662</v>
      </c>
      <c r="K605" s="41">
        <v>45716</v>
      </c>
      <c r="L605" s="42">
        <f>_xlfn.DAYS(Tabla1[[#This Row],[FECHA FIN ]],Tabla1[[#This Row],[FECHA INICIO]])</f>
        <v>54</v>
      </c>
      <c r="M605" s="12"/>
      <c r="N605" s="12">
        <f>1680.79/3</f>
        <v>560.26333333333332</v>
      </c>
      <c r="O605" s="28">
        <f>(Tabla1[[#This Row],[COSTO FIJO ]]/30)*Tabla1[[#This Row],[TOTAL DIAS PROYECTO]]+(Tabla1[[#This Row],[COSTO TEMPORAL]])</f>
        <v>1008.474</v>
      </c>
      <c r="P605" s="12">
        <v>80</v>
      </c>
      <c r="Q605" s="12">
        <f>+(Tabla1[[#This Row],[COSTO COCHE]]/30)*Tabla1[[#This Row],[TOTAL DIAS PROYECTO]]</f>
        <v>144</v>
      </c>
      <c r="R605" s="12">
        <f>+Tabla1[[#This Row],[COSTO TOTAL ALOJAMIENTO]]+Tabla1[[#This Row],[COSTO TOTAL COCHE]]</f>
        <v>1152.4740000000002</v>
      </c>
      <c r="S605" s="2"/>
      <c r="T605" s="2" t="s">
        <v>44</v>
      </c>
      <c r="U605" s="14">
        <v>45662</v>
      </c>
      <c r="V605" s="43">
        <v>45721</v>
      </c>
      <c r="W605" s="26"/>
      <c r="X605" s="2"/>
      <c r="Y605" s="11"/>
      <c r="Z605" s="2" t="s">
        <v>36</v>
      </c>
      <c r="AA605" s="13" t="s">
        <v>10414</v>
      </c>
      <c r="AB605" s="13">
        <v>5094783</v>
      </c>
    </row>
    <row r="606" spans="1:28">
      <c r="A606" s="2" t="s">
        <v>8834</v>
      </c>
      <c r="B606" s="2" t="s">
        <v>28</v>
      </c>
      <c r="C606" s="11" t="s">
        <v>951</v>
      </c>
      <c r="D606" s="2" t="s">
        <v>99</v>
      </c>
      <c r="E606" s="2" t="s">
        <v>253</v>
      </c>
      <c r="F606" s="11" t="s">
        <v>1528</v>
      </c>
      <c r="G606" s="49" t="s">
        <v>1529</v>
      </c>
      <c r="H606" s="2" t="s">
        <v>1648</v>
      </c>
      <c r="I606" s="12" t="s">
        <v>256</v>
      </c>
      <c r="J606" s="22">
        <f>+Tabla1[[#This Row],[FECHA ENTRADA]]</f>
        <v>45706</v>
      </c>
      <c r="K606" s="22">
        <v>45716</v>
      </c>
      <c r="L606" s="23">
        <f>_xlfn.DAYS(Tabla1[[#This Row],[FECHA FIN ]],Tabla1[[#This Row],[FECHA INICIO]])</f>
        <v>10</v>
      </c>
      <c r="M606" s="12"/>
      <c r="N606" s="24">
        <v>480</v>
      </c>
      <c r="O606" s="24">
        <f>(Tabla1[[#This Row],[COSTO FIJO ]]/30)*Tabla1[[#This Row],[TOTAL DIAS PROYECTO]]+(Tabla1[[#This Row],[COSTO TEMPORAL]])</f>
        <v>160</v>
      </c>
      <c r="P606" s="12"/>
      <c r="Q606" s="12">
        <f>+(Tabla1[[#This Row],[COSTO COCHE]]/30)*Tabla1[[#This Row],[TOTAL DIAS PROYECTO]]</f>
        <v>0</v>
      </c>
      <c r="R606" s="12">
        <f>+Tabla1[[#This Row],[COSTO TOTAL ALOJAMIENTO]]+Tabla1[[#This Row],[COSTO TOTAL COCHE]]</f>
        <v>160</v>
      </c>
      <c r="S606" s="2"/>
      <c r="T606" s="2" t="s">
        <v>35</v>
      </c>
      <c r="U606" s="14">
        <v>45706</v>
      </c>
      <c r="V606" s="25"/>
      <c r="W606" s="26"/>
      <c r="X606" s="2">
        <v>12</v>
      </c>
      <c r="Y606" s="11"/>
      <c r="Z606" s="2" t="s">
        <v>36</v>
      </c>
      <c r="AA606" s="13" t="s">
        <v>10357</v>
      </c>
      <c r="AB606" s="13" t="s">
        <v>10358</v>
      </c>
    </row>
    <row r="607" spans="1:28">
      <c r="A607" s="2" t="s">
        <v>9008</v>
      </c>
      <c r="B607" s="2" t="s">
        <v>368</v>
      </c>
      <c r="C607" s="11" t="s">
        <v>1682</v>
      </c>
      <c r="D607" s="2" t="s">
        <v>30</v>
      </c>
      <c r="E607" s="2" t="s">
        <v>985</v>
      </c>
      <c r="F607" s="11" t="s">
        <v>986</v>
      </c>
      <c r="G607" s="21" t="s">
        <v>987</v>
      </c>
      <c r="H607" s="2" t="s">
        <v>1683</v>
      </c>
      <c r="I607" s="12" t="s">
        <v>989</v>
      </c>
      <c r="J607" s="41">
        <f>+Tabla1[[#This Row],[FECHA ENTRADA]]</f>
        <v>45585</v>
      </c>
      <c r="K607" s="8">
        <v>45716</v>
      </c>
      <c r="L607" s="23">
        <f>_xlfn.DAYS(Tabla1[[#This Row],[FECHA FIN ]],Tabla1[[#This Row],[FECHA INICIO]])</f>
        <v>131</v>
      </c>
      <c r="M607" s="12"/>
      <c r="N607" s="12">
        <f>25+150</f>
        <v>175</v>
      </c>
      <c r="O607" s="28">
        <f>(Tabla1[[#This Row],[COSTO FIJO ]]/30)*Tabla1[[#This Row],[TOTAL DIAS PROYECTO]]+(Tabla1[[#This Row],[COSTO TEMPORAL]])</f>
        <v>764.16666666666663</v>
      </c>
      <c r="P607" s="12"/>
      <c r="Q607" s="12">
        <f>+(Tabla1[[#This Row],[COSTO COCHE]]/30)*Tabla1[[#This Row],[TOTAL DIAS PROYECTO]]</f>
        <v>0</v>
      </c>
      <c r="R607" s="12">
        <f>+Tabla1[[#This Row],[COSTO TOTAL ALOJAMIENTO]]+Tabla1[[#This Row],[COSTO TOTAL COCHE]]</f>
        <v>764.16666666666663</v>
      </c>
      <c r="S607" s="2"/>
      <c r="T607" s="2" t="s">
        <v>35</v>
      </c>
      <c r="U607" s="14">
        <v>45585</v>
      </c>
      <c r="V607" s="43"/>
      <c r="W607" s="26"/>
      <c r="X607" s="2">
        <v>30</v>
      </c>
      <c r="Y607" s="67" t="s">
        <v>1684</v>
      </c>
      <c r="Z607" s="2" t="s">
        <v>36</v>
      </c>
      <c r="AA607" s="13" t="s">
        <v>10407</v>
      </c>
      <c r="AB607" s="13" t="s">
        <v>10408</v>
      </c>
    </row>
    <row r="608" spans="1:28">
      <c r="A608" s="2" t="s">
        <v>9009</v>
      </c>
      <c r="B608" s="2" t="s">
        <v>368</v>
      </c>
      <c r="C608" s="11" t="s">
        <v>1685</v>
      </c>
      <c r="D608" s="2" t="s">
        <v>30</v>
      </c>
      <c r="E608" s="2" t="s">
        <v>31</v>
      </c>
      <c r="F608" s="11" t="s">
        <v>344</v>
      </c>
      <c r="G608" s="11" t="s">
        <v>345</v>
      </c>
      <c r="H608" s="2" t="s">
        <v>1686</v>
      </c>
      <c r="I608" s="12" t="s">
        <v>1642</v>
      </c>
      <c r="J608" s="22">
        <f>+Tabla1[[#This Row],[FECHA ENTRADA]]</f>
        <v>45690</v>
      </c>
      <c r="K608" s="8">
        <v>45716</v>
      </c>
      <c r="L608" s="23">
        <f>_xlfn.DAYS(Tabla1[[#This Row],[FECHA FIN ]],Tabla1[[#This Row],[FECHA INICIO]])</f>
        <v>26</v>
      </c>
      <c r="M608" s="12"/>
      <c r="N608" s="12"/>
      <c r="O608" s="24">
        <f>(Tabla1[[#This Row],[COSTO FIJO ]]/30)*Tabla1[[#This Row],[TOTAL DIAS PROYECTO]]+(Tabla1[[#This Row],[COSTO TEMPORAL]])</f>
        <v>0</v>
      </c>
      <c r="P608" s="12"/>
      <c r="Q608" s="12">
        <f>+(Tabla1[[#This Row],[COSTO COCHE]]/30)*Tabla1[[#This Row],[TOTAL DIAS PROYECTO]]</f>
        <v>0</v>
      </c>
      <c r="R608" s="12">
        <f>+Tabla1[[#This Row],[COSTO TOTAL ALOJAMIENTO]]+Tabla1[[#This Row],[COSTO TOTAL COCHE]]</f>
        <v>0</v>
      </c>
      <c r="S608" s="2"/>
      <c r="T608" s="2" t="s">
        <v>35</v>
      </c>
      <c r="U608" s="14">
        <v>45690</v>
      </c>
      <c r="V608" s="25"/>
      <c r="W608" s="26"/>
      <c r="X608" s="2"/>
      <c r="Y608" s="11"/>
      <c r="Z608" s="2" t="s">
        <v>36</v>
      </c>
      <c r="AA608" s="13" t="s">
        <v>10323</v>
      </c>
      <c r="AB608" s="13" t="s">
        <v>10324</v>
      </c>
    </row>
    <row r="609" spans="1:28">
      <c r="A609" s="2" t="s">
        <v>9010</v>
      </c>
      <c r="B609" s="2" t="s">
        <v>28</v>
      </c>
      <c r="C609" s="11" t="s">
        <v>1687</v>
      </c>
      <c r="D609" s="2" t="s">
        <v>30</v>
      </c>
      <c r="E609" s="2" t="s">
        <v>253</v>
      </c>
      <c r="F609" s="11" t="s">
        <v>1688</v>
      </c>
      <c r="G609" s="46" t="s">
        <v>1689</v>
      </c>
      <c r="H609" s="2" t="s">
        <v>1690</v>
      </c>
      <c r="I609" s="12" t="s">
        <v>1232</v>
      </c>
      <c r="J609" s="8">
        <f>+Tabla1[[#This Row],[FECHA ENTRADA]]</f>
        <v>45461</v>
      </c>
      <c r="K609" s="8">
        <v>45717</v>
      </c>
      <c r="L609" s="13">
        <f>_xlfn.DAYS(Tabla1[[#This Row],[FECHA FIN ]],Tabla1[[#This Row],[FECHA INICIO]])</f>
        <v>256</v>
      </c>
      <c r="M609" s="12">
        <v>300</v>
      </c>
      <c r="N609" s="28"/>
      <c r="O609" s="12">
        <f>(Tabla1[[#This Row],[COSTO FIJO ]]/30)*Tabla1[[#This Row],[TOTAL DIAS PROYECTO]]+(Tabla1[[#This Row],[COSTO TEMPORAL]])</f>
        <v>300</v>
      </c>
      <c r="P609" s="12"/>
      <c r="Q609" s="12">
        <f>+(Tabla1[[#This Row],[COSTO COCHE]]/30)*Tabla1[[#This Row],[TOTAL DIAS PROYECTO]]</f>
        <v>0</v>
      </c>
      <c r="R609" s="12">
        <f>+Tabla1[[#This Row],[COSTO TOTAL ALOJAMIENTO]]+Tabla1[[#This Row],[COSTO TOTAL COCHE]]</f>
        <v>300</v>
      </c>
      <c r="S609" s="2"/>
      <c r="T609" s="2" t="s">
        <v>35</v>
      </c>
      <c r="U609" s="14">
        <v>45461</v>
      </c>
      <c r="V609" s="14"/>
      <c r="W609" s="26"/>
      <c r="X609" s="2">
        <v>1</v>
      </c>
      <c r="Y609" s="11" t="s">
        <v>1691</v>
      </c>
      <c r="Z609" s="2" t="s">
        <v>36</v>
      </c>
      <c r="AA609" s="13" t="s">
        <v>10357</v>
      </c>
      <c r="AB609" s="13" t="s">
        <v>10358</v>
      </c>
    </row>
    <row r="610" spans="1:28" ht="15" customHeight="1">
      <c r="A610" s="2" t="s">
        <v>8985</v>
      </c>
      <c r="B610" s="2" t="s">
        <v>28</v>
      </c>
      <c r="C610" s="11" t="s">
        <v>1595</v>
      </c>
      <c r="D610" s="2" t="s">
        <v>99</v>
      </c>
      <c r="E610" s="2" t="s">
        <v>253</v>
      </c>
      <c r="F610" s="11" t="s">
        <v>1692</v>
      </c>
      <c r="G610" s="11" t="s">
        <v>1693</v>
      </c>
      <c r="H610" s="2" t="s">
        <v>1648</v>
      </c>
      <c r="I610" s="12" t="s">
        <v>256</v>
      </c>
      <c r="J610" s="22">
        <f>+Tabla1[[#This Row],[FECHA ENTRADA]]</f>
        <v>45714</v>
      </c>
      <c r="K610" s="22">
        <v>45717</v>
      </c>
      <c r="L610" s="23">
        <f>_xlfn.DAYS(Tabla1[[#This Row],[FECHA FIN ]],Tabla1[[#This Row],[FECHA INICIO]])</f>
        <v>3</v>
      </c>
      <c r="M610" s="20">
        <f>60</f>
        <v>60</v>
      </c>
      <c r="N610" s="20"/>
      <c r="O610" s="24">
        <f>(Tabla1[[#This Row],[COSTO FIJO ]]/30)*Tabla1[[#This Row],[TOTAL DIAS PROYECTO]]+(Tabla1[[#This Row],[COSTO TEMPORAL]])</f>
        <v>60</v>
      </c>
      <c r="P610" s="12"/>
      <c r="Q610" s="12">
        <f>+(Tabla1[[#This Row],[COSTO COCHE]]/30)*Tabla1[[#This Row],[TOTAL DIAS PROYECTO]]</f>
        <v>0</v>
      </c>
      <c r="R610" s="12">
        <f>+Tabla1[[#This Row],[COSTO TOTAL ALOJAMIENTO]]+Tabla1[[#This Row],[COSTO TOTAL COCHE]]</f>
        <v>60</v>
      </c>
      <c r="S610" s="2"/>
      <c r="T610" s="2" t="s">
        <v>44</v>
      </c>
      <c r="U610" s="14">
        <v>45714</v>
      </c>
      <c r="V610" s="79">
        <v>45717</v>
      </c>
      <c r="W610" s="26"/>
      <c r="X610" s="2"/>
      <c r="Y610" s="11"/>
      <c r="Z610" s="2" t="s">
        <v>36</v>
      </c>
      <c r="AA610" s="13" t="s">
        <v>10357</v>
      </c>
      <c r="AB610" s="13" t="s">
        <v>10358</v>
      </c>
    </row>
    <row r="611" spans="1:28" ht="15.75" customHeight="1">
      <c r="A611" s="2" t="s">
        <v>8735</v>
      </c>
      <c r="B611" s="2" t="s">
        <v>28</v>
      </c>
      <c r="C611" s="11" t="s">
        <v>501</v>
      </c>
      <c r="D611" s="2" t="s">
        <v>30</v>
      </c>
      <c r="E611" s="2" t="s">
        <v>502</v>
      </c>
      <c r="F611" s="11"/>
      <c r="G611" s="49"/>
      <c r="H611" s="2" t="s">
        <v>505</v>
      </c>
      <c r="I611" s="12" t="s">
        <v>506</v>
      </c>
      <c r="J611" s="22">
        <f>+Tabla1[[#This Row],[FECHA ENTRADA]]</f>
        <v>45717</v>
      </c>
      <c r="K611" s="22">
        <v>45717</v>
      </c>
      <c r="L611" s="23">
        <f>_xlfn.DAYS(Tabla1[[#This Row],[FECHA FIN ]],Tabla1[[#This Row],[FECHA INICIO]])</f>
        <v>0</v>
      </c>
      <c r="M611" s="12"/>
      <c r="N611" s="12">
        <v>300</v>
      </c>
      <c r="O611" s="24">
        <f>(Tabla1[[#This Row],[COSTO FIJO ]]/30)*Tabla1[[#This Row],[TOTAL DIAS PROYECTO]]+(Tabla1[[#This Row],[COSTO TEMPORAL]])</f>
        <v>0</v>
      </c>
      <c r="P611" s="12"/>
      <c r="Q611" s="12">
        <f>+(Tabla1[[#This Row],[COSTO COCHE]]/30)*Tabla1[[#This Row],[TOTAL DIAS PROYECTO]]</f>
        <v>0</v>
      </c>
      <c r="R611" s="12">
        <f>+Tabla1[[#This Row],[COSTO TOTAL ALOJAMIENTO]]+Tabla1[[#This Row],[COSTO TOTAL COCHE]]</f>
        <v>0</v>
      </c>
      <c r="S611" s="2"/>
      <c r="T611" s="2" t="s">
        <v>58</v>
      </c>
      <c r="U611" s="14">
        <v>45717</v>
      </c>
      <c r="V611" s="25"/>
      <c r="W611" s="26"/>
      <c r="X611" s="2"/>
      <c r="Y611" s="11"/>
      <c r="Z611" s="2" t="s">
        <v>36</v>
      </c>
      <c r="AA611" s="13" t="s">
        <v>10378</v>
      </c>
      <c r="AB611" s="13" t="s">
        <v>10379</v>
      </c>
    </row>
    <row r="612" spans="1:28">
      <c r="A612" s="2" t="s">
        <v>9011</v>
      </c>
      <c r="B612" s="2" t="s">
        <v>28</v>
      </c>
      <c r="C612" s="11" t="s">
        <v>1694</v>
      </c>
      <c r="D612" s="2" t="s">
        <v>30</v>
      </c>
      <c r="E612" s="2" t="s">
        <v>939</v>
      </c>
      <c r="F612" s="11" t="s">
        <v>1253</v>
      </c>
      <c r="G612" s="11" t="s">
        <v>941</v>
      </c>
      <c r="H612" s="2" t="s">
        <v>1254</v>
      </c>
      <c r="I612" s="2" t="s">
        <v>1255</v>
      </c>
      <c r="J612" s="8">
        <f>+Tabla1[[#This Row],[FECHA ENTRADA]]</f>
        <v>45314</v>
      </c>
      <c r="K612" s="8">
        <v>45717</v>
      </c>
      <c r="L612" s="13">
        <f>_xlfn.DAYS(Tabla1[[#This Row],[FECHA FIN ]],Tabla1[[#This Row],[FECHA INICIO]])</f>
        <v>403</v>
      </c>
      <c r="M612" s="12"/>
      <c r="N612" s="12"/>
      <c r="O612" s="12">
        <f>(Tabla1[[#This Row],[COSTO FIJO ]]/30)*Tabla1[[#This Row],[TOTAL DIAS PROYECTO]]+(Tabla1[[#This Row],[COSTO TEMPORAL]])</f>
        <v>0</v>
      </c>
      <c r="P612" s="12"/>
      <c r="Q612" s="12">
        <f>+(Tabla1[[#This Row],[COSTO COCHE]]/30)*Tabla1[[#This Row],[TOTAL DIAS PROYECTO]]</f>
        <v>0</v>
      </c>
      <c r="R612" s="12">
        <f>+Tabla1[[#This Row],[COSTO TOTAL ALOJAMIENTO]]+Tabla1[[#This Row],[COSTO TOTAL COCHE]]</f>
        <v>0</v>
      </c>
      <c r="S612" s="2"/>
      <c r="T612" s="2" t="s">
        <v>35</v>
      </c>
      <c r="U612" s="14">
        <v>45314</v>
      </c>
      <c r="V612" s="14"/>
      <c r="W612" s="80"/>
      <c r="X612" s="16">
        <v>22</v>
      </c>
      <c r="Y612" s="18" t="s">
        <v>1695</v>
      </c>
      <c r="Z612" s="2" t="s">
        <v>36</v>
      </c>
      <c r="AA612" s="13" t="s">
        <v>10405</v>
      </c>
      <c r="AB612" s="13" t="s">
        <v>10406</v>
      </c>
    </row>
    <row r="613" spans="1:28" ht="15" customHeight="1">
      <c r="A613" s="2" t="s">
        <v>9010</v>
      </c>
      <c r="B613" s="2" t="s">
        <v>28</v>
      </c>
      <c r="C613" s="11" t="s">
        <v>1687</v>
      </c>
      <c r="D613" s="2" t="s">
        <v>30</v>
      </c>
      <c r="E613" s="2" t="s">
        <v>253</v>
      </c>
      <c r="F613" s="11" t="s">
        <v>1692</v>
      </c>
      <c r="G613" s="11" t="s">
        <v>1693</v>
      </c>
      <c r="H613" s="2" t="s">
        <v>1690</v>
      </c>
      <c r="I613" s="12" t="s">
        <v>1232</v>
      </c>
      <c r="J613" s="8">
        <f>+Tabla1[[#This Row],[FECHA ENTRADA]]</f>
        <v>45717</v>
      </c>
      <c r="K613" s="8">
        <v>45719</v>
      </c>
      <c r="L613" s="13">
        <f>_xlfn.DAYS(Tabla1[[#This Row],[FECHA FIN ]],Tabla1[[#This Row],[FECHA INICIO]])</f>
        <v>2</v>
      </c>
      <c r="M613" s="12"/>
      <c r="N613" s="28"/>
      <c r="O613" s="12">
        <f>(Tabla1[[#This Row],[COSTO FIJO ]]/30)*Tabla1[[#This Row],[TOTAL DIAS PROYECTO]]+(Tabla1[[#This Row],[COSTO TEMPORAL]])</f>
        <v>0</v>
      </c>
      <c r="P613" s="12"/>
      <c r="Q613" s="12">
        <f>+(Tabla1[[#This Row],[COSTO COCHE]]/30)*Tabla1[[#This Row],[TOTAL DIAS PROYECTO]]</f>
        <v>0</v>
      </c>
      <c r="R613" s="12">
        <f>+Tabla1[[#This Row],[COSTO TOTAL ALOJAMIENTO]]+Tabla1[[#This Row],[COSTO TOTAL COCHE]]</f>
        <v>0</v>
      </c>
      <c r="S613" s="2"/>
      <c r="T613" s="2" t="s">
        <v>44</v>
      </c>
      <c r="U613" s="14">
        <v>45717</v>
      </c>
      <c r="V613" s="14">
        <v>45719</v>
      </c>
      <c r="W613" s="26"/>
      <c r="X613" s="2"/>
      <c r="Y613" s="11"/>
      <c r="Z613" s="2" t="s">
        <v>36</v>
      </c>
      <c r="AA613" s="13" t="s">
        <v>10357</v>
      </c>
      <c r="AB613" s="13" t="s">
        <v>10358</v>
      </c>
    </row>
    <row r="614" spans="1:28">
      <c r="A614" s="2" t="s">
        <v>9012</v>
      </c>
      <c r="B614" s="2" t="s">
        <v>28</v>
      </c>
      <c r="C614" s="11" t="s">
        <v>1696</v>
      </c>
      <c r="D614" s="2" t="s">
        <v>30</v>
      </c>
      <c r="E614" s="2" t="s">
        <v>259</v>
      </c>
      <c r="F614" s="11" t="s">
        <v>516</v>
      </c>
      <c r="G614" s="11" t="s">
        <v>517</v>
      </c>
      <c r="H614" s="2" t="s">
        <v>1295</v>
      </c>
      <c r="I614" s="12" t="s">
        <v>57</v>
      </c>
      <c r="J614" s="41">
        <f>+Tabla1[[#This Row],[FECHA ENTRADA]]</f>
        <v>45592</v>
      </c>
      <c r="K614" s="22">
        <v>45660</v>
      </c>
      <c r="L614" s="42">
        <f>_xlfn.DAYS(Tabla1[[#This Row],[FECHA FIN ]],Tabla1[[#This Row],[FECHA INICIO]])</f>
        <v>68</v>
      </c>
      <c r="M614" s="12"/>
      <c r="N614" s="12"/>
      <c r="O614" s="28">
        <f>(Tabla1[[#This Row],[COSTO FIJO ]]/30)*Tabla1[[#This Row],[TOTAL DIAS PROYECTO]]+(Tabla1[[#This Row],[COSTO TEMPORAL]])</f>
        <v>0</v>
      </c>
      <c r="P614" s="12"/>
      <c r="Q614" s="12">
        <f>+(Tabla1[[#This Row],[COSTO COCHE]]/30)*Tabla1[[#This Row],[TOTAL DIAS PROYECTO]]</f>
        <v>0</v>
      </c>
      <c r="R614" s="12">
        <f>+Tabla1[[#This Row],[COSTO TOTAL ALOJAMIENTO]]+Tabla1[[#This Row],[COSTO TOTAL COCHE]]</f>
        <v>0</v>
      </c>
      <c r="S614" s="2"/>
      <c r="T614" s="2" t="s">
        <v>35</v>
      </c>
      <c r="U614" s="14">
        <v>45592</v>
      </c>
      <c r="V614" s="43"/>
      <c r="W614" s="26"/>
      <c r="X614" s="2">
        <v>27</v>
      </c>
      <c r="Y614" s="11"/>
      <c r="Z614" s="2" t="s">
        <v>36</v>
      </c>
      <c r="AA614" s="13">
        <v>-0.87734000000000001</v>
      </c>
      <c r="AB614" s="13" t="s">
        <v>10359</v>
      </c>
    </row>
    <row r="615" spans="1:28" ht="15" customHeight="1">
      <c r="A615" s="2" t="s">
        <v>9013</v>
      </c>
      <c r="B615" s="2" t="s">
        <v>368</v>
      </c>
      <c r="C615" s="31" t="s">
        <v>1697</v>
      </c>
      <c r="D615" s="2" t="s">
        <v>99</v>
      </c>
      <c r="E615" s="2" t="s">
        <v>648</v>
      </c>
      <c r="F615" s="11" t="s">
        <v>1698</v>
      </c>
      <c r="G615" s="46" t="s">
        <v>1699</v>
      </c>
      <c r="H615" s="2" t="s">
        <v>1700</v>
      </c>
      <c r="I615" s="12" t="s">
        <v>42</v>
      </c>
      <c r="J615" s="22">
        <f>+Tabla1[[#This Row],[FECHA ENTRADA]]</f>
        <v>45705</v>
      </c>
      <c r="K615" s="22">
        <v>45720</v>
      </c>
      <c r="L615" s="23">
        <f>_xlfn.DAYS(Tabla1[[#This Row],[FECHA FIN ]],Tabla1[[#This Row],[FECHA INICIO]])</f>
        <v>15</v>
      </c>
      <c r="M615" s="12">
        <v>375</v>
      </c>
      <c r="N615" s="20"/>
      <c r="O615" s="24">
        <f>(Tabla1[[#This Row],[COSTO FIJO ]]/30)*Tabla1[[#This Row],[TOTAL DIAS PROYECTO]]+(Tabla1[[#This Row],[COSTO TEMPORAL]])</f>
        <v>375</v>
      </c>
      <c r="P615" s="12"/>
      <c r="Q615" s="12">
        <f>+(Tabla1[[#This Row],[COSTO COCHE]]/30)*Tabla1[[#This Row],[TOTAL DIAS PROYECTO]]</f>
        <v>0</v>
      </c>
      <c r="R615" s="12">
        <f>+Tabla1[[#This Row],[COSTO TOTAL ALOJAMIENTO]]+Tabla1[[#This Row],[COSTO TOTAL COCHE]]</f>
        <v>375</v>
      </c>
      <c r="S615" s="2"/>
      <c r="T615" s="2" t="s">
        <v>44</v>
      </c>
      <c r="U615" s="14">
        <v>45705</v>
      </c>
      <c r="V615" s="79">
        <v>45733</v>
      </c>
      <c r="W615" s="26"/>
      <c r="X615" s="2">
        <v>15</v>
      </c>
      <c r="Y615" s="11"/>
      <c r="Z615" s="2" t="s">
        <v>36</v>
      </c>
      <c r="AA615" s="13" t="s">
        <v>10387</v>
      </c>
      <c r="AB615" s="13" t="s">
        <v>10388</v>
      </c>
    </row>
    <row r="616" spans="1:28" ht="15" customHeight="1">
      <c r="A616" s="2" t="s">
        <v>8641</v>
      </c>
      <c r="B616" s="2" t="s">
        <v>368</v>
      </c>
      <c r="C616" s="31" t="s">
        <v>86</v>
      </c>
      <c r="D616" s="2" t="s">
        <v>30</v>
      </c>
      <c r="E616" s="2" t="s">
        <v>92</v>
      </c>
      <c r="F616" s="11" t="s">
        <v>1671</v>
      </c>
      <c r="G616" s="11" t="s">
        <v>804</v>
      </c>
      <c r="H616" s="2" t="s">
        <v>1559</v>
      </c>
      <c r="I616" s="12" t="s">
        <v>806</v>
      </c>
      <c r="J616" s="22">
        <f>+Tabla1[[#This Row],[FECHA ENTRADA]]</f>
        <v>45699</v>
      </c>
      <c r="K616" s="22">
        <v>45722</v>
      </c>
      <c r="L616" s="23">
        <f>_xlfn.DAYS(Tabla1[[#This Row],[FECHA FIN ]],Tabla1[[#This Row],[FECHA INICIO]])</f>
        <v>23</v>
      </c>
      <c r="M616" s="12"/>
      <c r="N616" s="12">
        <v>200</v>
      </c>
      <c r="O616" s="24">
        <f>(Tabla1[[#This Row],[COSTO FIJO ]]/30)*Tabla1[[#This Row],[TOTAL DIAS PROYECTO]]+(Tabla1[[#This Row],[COSTO TEMPORAL]])</f>
        <v>153.33333333333334</v>
      </c>
      <c r="P616" s="12">
        <f>651.6/3</f>
        <v>217.20000000000002</v>
      </c>
      <c r="Q616" s="12">
        <f>+(Tabla1[[#This Row],[COSTO COCHE]]/30)*Tabla1[[#This Row],[TOTAL DIAS PROYECTO]]</f>
        <v>166.52</v>
      </c>
      <c r="R616" s="12">
        <f>+Tabla1[[#This Row],[COSTO TOTAL ALOJAMIENTO]]+Tabla1[[#This Row],[COSTO TOTAL COCHE]]</f>
        <v>319.85333333333335</v>
      </c>
      <c r="S616" s="2"/>
      <c r="T616" s="2" t="s">
        <v>35</v>
      </c>
      <c r="U616" s="14">
        <v>45699</v>
      </c>
      <c r="V616" s="25"/>
      <c r="W616" s="26"/>
      <c r="X616" s="2">
        <v>5</v>
      </c>
      <c r="Y616" s="11"/>
      <c r="Z616" s="2" t="s">
        <v>36</v>
      </c>
      <c r="AA616" s="13" t="s">
        <v>10336</v>
      </c>
      <c r="AB616" s="13" t="s">
        <v>10337</v>
      </c>
    </row>
    <row r="617" spans="1:28" ht="15" customHeight="1">
      <c r="A617" s="2" t="s">
        <v>9014</v>
      </c>
      <c r="B617" s="2" t="s">
        <v>28</v>
      </c>
      <c r="C617" s="11" t="s">
        <v>1701</v>
      </c>
      <c r="D617" s="2" t="s">
        <v>99</v>
      </c>
      <c r="E617" s="2" t="s">
        <v>87</v>
      </c>
      <c r="F617" s="11" t="s">
        <v>1668</v>
      </c>
      <c r="G617" s="21" t="s">
        <v>1669</v>
      </c>
      <c r="H617" s="2" t="s">
        <v>1670</v>
      </c>
      <c r="I617" s="12" t="s">
        <v>570</v>
      </c>
      <c r="J617" s="22">
        <f>+Tabla1[[#This Row],[FECHA ENTRADA]]</f>
        <v>45706</v>
      </c>
      <c r="K617" s="22">
        <v>45751</v>
      </c>
      <c r="L617" s="23">
        <f>_xlfn.DAYS(Tabla1[[#This Row],[FECHA FIN ]],Tabla1[[#This Row],[FECHA INICIO]])</f>
        <v>45</v>
      </c>
      <c r="M617" s="12"/>
      <c r="N617" s="12"/>
      <c r="O617" s="24">
        <f>(Tabla1[[#This Row],[COSTO FIJO ]]/30)*Tabla1[[#This Row],[TOTAL DIAS PROYECTO]]+(Tabla1[[#This Row],[COSTO TEMPORAL]])</f>
        <v>0</v>
      </c>
      <c r="P617" s="12"/>
      <c r="Q617" s="12">
        <f>+(Tabla1[[#This Row],[COSTO COCHE]]/30)*Tabla1[[#This Row],[TOTAL DIAS PROYECTO]]</f>
        <v>0</v>
      </c>
      <c r="R617" s="12">
        <f>+Tabla1[[#This Row],[COSTO TOTAL ALOJAMIENTO]]+Tabla1[[#This Row],[COSTO TOTAL COCHE]]</f>
        <v>0</v>
      </c>
      <c r="S617" s="2"/>
      <c r="T617" s="2" t="s">
        <v>35</v>
      </c>
      <c r="U617" s="14">
        <v>45706</v>
      </c>
      <c r="V617" s="25"/>
      <c r="W617" s="26"/>
      <c r="X617" s="2">
        <v>5</v>
      </c>
      <c r="Y617" t="s">
        <v>1702</v>
      </c>
      <c r="Z617" s="2" t="s">
        <v>36</v>
      </c>
      <c r="AA617" s="13" t="s">
        <v>10335</v>
      </c>
      <c r="AB617" s="13">
        <v>404.16500000000002</v>
      </c>
    </row>
    <row r="618" spans="1:28">
      <c r="A618" s="2" t="s">
        <v>9015</v>
      </c>
      <c r="B618" s="2" t="s">
        <v>28</v>
      </c>
      <c r="C618" s="31" t="s">
        <v>1703</v>
      </c>
      <c r="D618" s="2" t="s">
        <v>99</v>
      </c>
      <c r="E618" s="2" t="s">
        <v>87</v>
      </c>
      <c r="F618" s="11" t="s">
        <v>1668</v>
      </c>
      <c r="G618" s="21" t="s">
        <v>1669</v>
      </c>
      <c r="H618" s="2" t="s">
        <v>1670</v>
      </c>
      <c r="I618" s="12" t="s">
        <v>570</v>
      </c>
      <c r="J618" s="22">
        <f>+Tabla1[[#This Row],[FECHA ENTRADA]]</f>
        <v>45706</v>
      </c>
      <c r="K618" s="22">
        <v>45821</v>
      </c>
      <c r="L618" s="23">
        <f>_xlfn.DAYS(Tabla1[[#This Row],[FECHA FIN ]],Tabla1[[#This Row],[FECHA INICIO]])</f>
        <v>115</v>
      </c>
      <c r="M618" s="12"/>
      <c r="N618" s="12"/>
      <c r="O618" s="24">
        <f>(Tabla1[[#This Row],[COSTO FIJO ]]/30)*Tabla1[[#This Row],[TOTAL DIAS PROYECTO]]+(Tabla1[[#This Row],[COSTO TEMPORAL]])</f>
        <v>0</v>
      </c>
      <c r="P618" s="12"/>
      <c r="Q618" s="12">
        <f>+(Tabla1[[#This Row],[COSTO COCHE]]/30)*Tabla1[[#This Row],[TOTAL DIAS PROYECTO]]</f>
        <v>0</v>
      </c>
      <c r="R618" s="12">
        <f>+Tabla1[[#This Row],[COSTO TOTAL ALOJAMIENTO]]+Tabla1[[#This Row],[COSTO TOTAL COCHE]]</f>
        <v>0</v>
      </c>
      <c r="S618" s="2"/>
      <c r="T618" s="2" t="s">
        <v>35</v>
      </c>
      <c r="U618" s="14">
        <v>45706</v>
      </c>
      <c r="V618" s="25"/>
      <c r="W618" s="26"/>
      <c r="X618" s="2">
        <v>5</v>
      </c>
      <c r="Y618" t="s">
        <v>1702</v>
      </c>
      <c r="Z618" s="2" t="s">
        <v>36</v>
      </c>
      <c r="AA618" s="13" t="s">
        <v>10335</v>
      </c>
      <c r="AB618" s="13">
        <v>404.16500000000002</v>
      </c>
    </row>
    <row r="619" spans="1:28">
      <c r="A619" s="2" t="s">
        <v>8974</v>
      </c>
      <c r="B619" s="2" t="s">
        <v>28</v>
      </c>
      <c r="C619" s="11" t="s">
        <v>1564</v>
      </c>
      <c r="D619" s="2" t="s">
        <v>99</v>
      </c>
      <c r="E619" s="2" t="s">
        <v>253</v>
      </c>
      <c r="F619" s="11" t="s">
        <v>254</v>
      </c>
      <c r="G619" s="11" t="s">
        <v>255</v>
      </c>
      <c r="H619" s="2" t="s">
        <v>1648</v>
      </c>
      <c r="I619" s="12" t="s">
        <v>256</v>
      </c>
      <c r="J619" s="22">
        <f>+Tabla1[[#This Row],[FECHA ENTRADA]]</f>
        <v>45706</v>
      </c>
      <c r="K619" s="22">
        <v>45723</v>
      </c>
      <c r="L619" s="23">
        <f>_xlfn.DAYS(Tabla1[[#This Row],[FECHA FIN ]],Tabla1[[#This Row],[FECHA INICIO]])</f>
        <v>17</v>
      </c>
      <c r="M619" s="12"/>
      <c r="N619" s="12"/>
      <c r="O619" s="24">
        <f>(Tabla1[[#This Row],[COSTO FIJO ]]/30)*Tabla1[[#This Row],[TOTAL DIAS PROYECTO]]+(Tabla1[[#This Row],[COSTO TEMPORAL]])</f>
        <v>0</v>
      </c>
      <c r="P619" s="12"/>
      <c r="Q619" s="12">
        <f>+(Tabla1[[#This Row],[COSTO COCHE]]/30)*Tabla1[[#This Row],[TOTAL DIAS PROYECTO]]</f>
        <v>0</v>
      </c>
      <c r="R619" s="12">
        <f>+Tabla1[[#This Row],[COSTO TOTAL ALOJAMIENTO]]+Tabla1[[#This Row],[COSTO TOTAL COCHE]]</f>
        <v>0</v>
      </c>
      <c r="S619" s="2"/>
      <c r="T619" s="2" t="s">
        <v>35</v>
      </c>
      <c r="U619" s="14">
        <v>45706</v>
      </c>
      <c r="V619" s="25"/>
      <c r="W619" s="26"/>
      <c r="X619" s="2">
        <v>1</v>
      </c>
      <c r="Y619" s="11"/>
      <c r="Z619" s="2" t="s">
        <v>36</v>
      </c>
      <c r="AA619" s="13" t="s">
        <v>10357</v>
      </c>
      <c r="AB619" s="13" t="s">
        <v>10358</v>
      </c>
    </row>
    <row r="620" spans="1:28" ht="15.75" customHeight="1">
      <c r="A620" s="2" t="s">
        <v>9016</v>
      </c>
      <c r="B620" s="30" t="s">
        <v>368</v>
      </c>
      <c r="C620" s="11" t="s">
        <v>1704</v>
      </c>
      <c r="D620" s="2" t="s">
        <v>30</v>
      </c>
      <c r="E620" s="2" t="s">
        <v>422</v>
      </c>
      <c r="F620" s="11" t="s">
        <v>1433</v>
      </c>
      <c r="G620" s="11">
        <v>944186216</v>
      </c>
      <c r="H620" s="2" t="s">
        <v>1434</v>
      </c>
      <c r="I620" s="12" t="s">
        <v>1435</v>
      </c>
      <c r="J620" s="8">
        <f>+Tabla1[[#This Row],[FECHA ENTRADA]]</f>
        <v>45491</v>
      </c>
      <c r="K620" s="8">
        <v>45492</v>
      </c>
      <c r="L620" s="13">
        <f>_xlfn.DAYS(Tabla1[[#This Row],[FECHA FIN ]],Tabla1[[#This Row],[FECHA INICIO]])</f>
        <v>1</v>
      </c>
      <c r="M620" s="12">
        <f>40.05+144+33.33</f>
        <v>217.38</v>
      </c>
      <c r="N620" s="12"/>
      <c r="O620" s="12">
        <f>(Tabla1[[#This Row],[COSTO FIJO ]]/30)*Tabla1[[#This Row],[TOTAL DIAS PROYECTO]]+(Tabla1[[#This Row],[COSTO TEMPORAL]])</f>
        <v>217.38</v>
      </c>
      <c r="P620" s="12"/>
      <c r="Q620" s="12">
        <f>+(Tabla1[[#This Row],[COSTO COCHE]]/30)*Tabla1[[#This Row],[TOTAL DIAS PROYECTO]]</f>
        <v>0</v>
      </c>
      <c r="R620" s="12">
        <f>+Tabla1[[#This Row],[COSTO TOTAL ALOJAMIENTO]]+Tabla1[[#This Row],[COSTO TOTAL COCHE]]</f>
        <v>217.38</v>
      </c>
      <c r="S620" s="2"/>
      <c r="T620" s="2" t="s">
        <v>44</v>
      </c>
      <c r="U620" s="14">
        <v>45491</v>
      </c>
      <c r="V620" s="14">
        <v>45496</v>
      </c>
      <c r="W620" s="26"/>
      <c r="X620" s="2"/>
      <c r="Y620" s="18" t="s">
        <v>407</v>
      </c>
      <c r="Z620" s="2" t="s">
        <v>36</v>
      </c>
      <c r="AA620" s="13">
        <v>-326.69799999999998</v>
      </c>
      <c r="AB620" s="13" t="s">
        <v>10373</v>
      </c>
    </row>
    <row r="621" spans="1:28" ht="15" customHeight="1">
      <c r="A621" s="2" t="s">
        <v>9017</v>
      </c>
      <c r="B621" s="30" t="s">
        <v>368</v>
      </c>
      <c r="C621" s="103" t="s">
        <v>1705</v>
      </c>
      <c r="D621" s="2" t="s">
        <v>30</v>
      </c>
      <c r="E621" s="2" t="s">
        <v>422</v>
      </c>
      <c r="F621" s="11" t="s">
        <v>1433</v>
      </c>
      <c r="G621" s="11">
        <v>944186216</v>
      </c>
      <c r="H621" s="2" t="s">
        <v>1434</v>
      </c>
      <c r="I621" s="12" t="s">
        <v>1435</v>
      </c>
      <c r="J621" s="8">
        <f>+Tabla1[[#This Row],[FECHA ENTRADA]]</f>
        <v>45491</v>
      </c>
      <c r="K621" s="22">
        <v>45821</v>
      </c>
      <c r="L621" s="13">
        <f>_xlfn.DAYS(Tabla1[[#This Row],[FECHA FIN ]],Tabla1[[#This Row],[FECHA INICIO]])</f>
        <v>330</v>
      </c>
      <c r="M621" s="12"/>
      <c r="N621" s="12">
        <f>1811.6/17</f>
        <v>106.56470588235294</v>
      </c>
      <c r="O621" s="12">
        <f>(Tabla1[[#This Row],[COSTO FIJO ]]/30)*Tabla1[[#This Row],[TOTAL DIAS PROYECTO]]+(Tabla1[[#This Row],[COSTO TEMPORAL]])</f>
        <v>1172.2117647058824</v>
      </c>
      <c r="P621" s="12"/>
      <c r="Q621" s="12">
        <f>+(Tabla1[[#This Row],[COSTO COCHE]]/30)*Tabla1[[#This Row],[TOTAL DIAS PROYECTO]]</f>
        <v>0</v>
      </c>
      <c r="R621" s="12">
        <f>+Tabla1[[#This Row],[COSTO TOTAL ALOJAMIENTO]]+Tabla1[[#This Row],[COSTO TOTAL COCHE]]</f>
        <v>1172.2117647058824</v>
      </c>
      <c r="S621" s="2"/>
      <c r="T621" s="2" t="s">
        <v>44</v>
      </c>
      <c r="U621" s="14">
        <v>45491</v>
      </c>
      <c r="V621" s="14">
        <v>45496</v>
      </c>
      <c r="W621" s="26"/>
      <c r="X621" s="2"/>
      <c r="Y621" s="18" t="s">
        <v>407</v>
      </c>
      <c r="Z621" s="2" t="s">
        <v>36</v>
      </c>
      <c r="AA621" s="13">
        <v>-326.69799999999998</v>
      </c>
      <c r="AB621" s="13" t="s">
        <v>10373</v>
      </c>
    </row>
    <row r="622" spans="1:28" ht="15" customHeight="1">
      <c r="A622" s="2" t="s">
        <v>9018</v>
      </c>
      <c r="B622" s="2" t="s">
        <v>368</v>
      </c>
      <c r="C622" s="11" t="s">
        <v>1706</v>
      </c>
      <c r="D622" s="2" t="s">
        <v>30</v>
      </c>
      <c r="E622" s="2" t="s">
        <v>31</v>
      </c>
      <c r="F622" s="11"/>
      <c r="G622" s="11"/>
      <c r="H622" s="2" t="s">
        <v>1707</v>
      </c>
      <c r="I622" s="12" t="s">
        <v>1104</v>
      </c>
      <c r="J622" s="22">
        <v>45574</v>
      </c>
      <c r="K622" s="22">
        <v>45723</v>
      </c>
      <c r="L622" s="23">
        <f>_xlfn.DAYS(Tabla1[[#This Row],[FECHA FIN ]],Tabla1[[#This Row],[FECHA INICIO]])</f>
        <v>149</v>
      </c>
      <c r="M622" s="12"/>
      <c r="N622" s="12">
        <v>300</v>
      </c>
      <c r="O622" s="24">
        <f>(Tabla1[[#This Row],[COSTO FIJO ]]/30)*Tabla1[[#This Row],[TOTAL DIAS PROYECTO]]+(Tabla1[[#This Row],[COSTO TEMPORAL]])</f>
        <v>1490</v>
      </c>
      <c r="P622" s="12"/>
      <c r="Q622" s="12">
        <f>+(Tabla1[[#This Row],[COSTO COCHE]]/30)*Tabla1[[#This Row],[TOTAL DIAS PROYECTO]]</f>
        <v>0</v>
      </c>
      <c r="R622" s="12">
        <f>+Tabla1[[#This Row],[COSTO TOTAL ALOJAMIENTO]]+Tabla1[[#This Row],[COSTO TOTAL COCHE]]</f>
        <v>1490</v>
      </c>
      <c r="S622" s="2"/>
      <c r="T622" s="2" t="s">
        <v>58</v>
      </c>
      <c r="U622" s="14">
        <v>45574</v>
      </c>
      <c r="V622" s="79"/>
      <c r="W622" s="26"/>
      <c r="X622" s="2"/>
      <c r="Y622" t="s">
        <v>1708</v>
      </c>
      <c r="Z622" s="2" t="s">
        <v>36</v>
      </c>
      <c r="AA622" s="13" t="s">
        <v>10323</v>
      </c>
      <c r="AB622" s="13" t="s">
        <v>10324</v>
      </c>
    </row>
    <row r="623" spans="1:28" ht="15" customHeight="1">
      <c r="A623" s="2" t="s">
        <v>8996</v>
      </c>
      <c r="B623" s="2" t="s">
        <v>28</v>
      </c>
      <c r="C623" s="11" t="s">
        <v>1625</v>
      </c>
      <c r="D623" s="2" t="s">
        <v>30</v>
      </c>
      <c r="E623" s="2" t="s">
        <v>55</v>
      </c>
      <c r="F623" s="11" t="s">
        <v>1618</v>
      </c>
      <c r="G623" s="46" t="s">
        <v>1619</v>
      </c>
      <c r="H623" s="2" t="s">
        <v>1709</v>
      </c>
      <c r="I623" s="12" t="s">
        <v>236</v>
      </c>
      <c r="J623" s="41">
        <f>+Tabla1[[#This Row],[FECHA ENTRADA]]</f>
        <v>45720</v>
      </c>
      <c r="K623" s="41">
        <v>45724</v>
      </c>
      <c r="L623" s="42">
        <f>_xlfn.DAYS(Tabla1[[#This Row],[FECHA FIN ]],Tabla1[[#This Row],[FECHA INICIO]])</f>
        <v>4</v>
      </c>
      <c r="M623" s="12"/>
      <c r="N623" s="12">
        <v>90</v>
      </c>
      <c r="O623" s="28">
        <f>(Tabla1[[#This Row],[COSTO FIJO ]]/30)*Tabla1[[#This Row],[TOTAL DIAS PROYECTO]]+(Tabla1[[#This Row],[COSTO TEMPORAL]])</f>
        <v>12</v>
      </c>
      <c r="P623" s="12"/>
      <c r="Q623" s="12">
        <f>+(Tabla1[[#This Row],[COSTO COCHE]]/30)*Tabla1[[#This Row],[TOTAL DIAS PROYECTO]]</f>
        <v>0</v>
      </c>
      <c r="R623" s="12">
        <f>+Tabla1[[#This Row],[COSTO TOTAL ALOJAMIENTO]]+Tabla1[[#This Row],[COSTO TOTAL COCHE]]</f>
        <v>12</v>
      </c>
      <c r="S623" s="2"/>
      <c r="T623" s="2" t="s">
        <v>44</v>
      </c>
      <c r="U623" s="14">
        <v>45720</v>
      </c>
      <c r="V623" s="43">
        <v>45724</v>
      </c>
      <c r="W623" s="26"/>
      <c r="X623" s="2"/>
      <c r="Y623" s="11"/>
      <c r="Z623" s="2" t="s">
        <v>36</v>
      </c>
      <c r="AA623" s="13" t="s">
        <v>10327</v>
      </c>
      <c r="AB623" s="13" t="s">
        <v>10328</v>
      </c>
    </row>
    <row r="624" spans="1:28" ht="15" customHeight="1">
      <c r="A624" s="2" t="s">
        <v>9019</v>
      </c>
      <c r="B624" s="2" t="s">
        <v>28</v>
      </c>
      <c r="C624" s="11" t="s">
        <v>1710</v>
      </c>
      <c r="D624" s="2" t="s">
        <v>99</v>
      </c>
      <c r="E624" s="2" t="s">
        <v>213</v>
      </c>
      <c r="F624" s="11" t="s">
        <v>1711</v>
      </c>
      <c r="G624" s="112" t="s">
        <v>1712</v>
      </c>
      <c r="H624" s="2" t="s">
        <v>1713</v>
      </c>
      <c r="I624" s="12" t="s">
        <v>1627</v>
      </c>
      <c r="J624" s="41">
        <f>+Tabla1[[#This Row],[FECHA ENTRADA]]</f>
        <v>45718</v>
      </c>
      <c r="K624" s="22">
        <v>45725</v>
      </c>
      <c r="L624" s="42">
        <f>_xlfn.DAYS(Tabla1[[#This Row],[FECHA FIN ]],Tabla1[[#This Row],[FECHA INICIO]])</f>
        <v>7</v>
      </c>
      <c r="M624" s="12"/>
      <c r="N624" s="20">
        <v>765</v>
      </c>
      <c r="O624" s="28">
        <f>(Tabla1[[#This Row],[COSTO FIJO ]]/30)*Tabla1[[#This Row],[TOTAL DIAS PROYECTO]]+(Tabla1[[#This Row],[COSTO TEMPORAL]])</f>
        <v>178.5</v>
      </c>
      <c r="P624" s="12"/>
      <c r="Q624" s="12">
        <f>+(Tabla1[[#This Row],[COSTO COCHE]]/30)*Tabla1[[#This Row],[TOTAL DIAS PROYECTO]]</f>
        <v>0</v>
      </c>
      <c r="R624" s="12">
        <f>+Tabla1[[#This Row],[COSTO TOTAL ALOJAMIENTO]]+Tabla1[[#This Row],[COSTO TOTAL COCHE]]</f>
        <v>178.5</v>
      </c>
      <c r="S624" s="26" t="s">
        <v>403</v>
      </c>
      <c r="T624" s="2" t="s">
        <v>44</v>
      </c>
      <c r="U624" s="14">
        <v>45718</v>
      </c>
      <c r="V624" s="43">
        <v>45725</v>
      </c>
      <c r="W624" s="2"/>
      <c r="X624" s="2"/>
      <c r="Y624" s="11"/>
      <c r="Z624" s="2" t="s">
        <v>36</v>
      </c>
      <c r="AA624" s="13" t="s">
        <v>10349</v>
      </c>
      <c r="AB624" s="13" t="s">
        <v>10350</v>
      </c>
    </row>
    <row r="625" spans="1:28" ht="15" customHeight="1">
      <c r="A625" s="2" t="s">
        <v>9020</v>
      </c>
      <c r="B625" s="2" t="s">
        <v>28</v>
      </c>
      <c r="C625" s="11" t="s">
        <v>1714</v>
      </c>
      <c r="D625" s="2" t="s">
        <v>99</v>
      </c>
      <c r="E625" s="2" t="s">
        <v>213</v>
      </c>
      <c r="F625" s="11" t="s">
        <v>1711</v>
      </c>
      <c r="G625" s="112" t="s">
        <v>1712</v>
      </c>
      <c r="H625" s="2" t="s">
        <v>1713</v>
      </c>
      <c r="I625" s="12" t="s">
        <v>1627</v>
      </c>
      <c r="J625" s="41">
        <f>+Tabla1[[#This Row],[FECHA ENTRADA]]</f>
        <v>45718</v>
      </c>
      <c r="K625" s="41">
        <v>45725</v>
      </c>
      <c r="L625" s="42">
        <f>_xlfn.DAYS(Tabla1[[#This Row],[FECHA FIN ]],Tabla1[[#This Row],[FECHA INICIO]])</f>
        <v>7</v>
      </c>
      <c r="M625" s="20">
        <v>765</v>
      </c>
      <c r="N625" s="28"/>
      <c r="O625" s="28">
        <f>(Tabla1[[#This Row],[COSTO FIJO ]]/30)*Tabla1[[#This Row],[TOTAL DIAS PROYECTO]]+(Tabla1[[#This Row],[COSTO TEMPORAL]])</f>
        <v>765</v>
      </c>
      <c r="P625" s="12"/>
      <c r="Q625" s="12">
        <f>+(Tabla1[[#This Row],[COSTO COCHE]]/30)*Tabla1[[#This Row],[TOTAL DIAS PROYECTO]]</f>
        <v>0</v>
      </c>
      <c r="R625" s="12">
        <f>+Tabla1[[#This Row],[COSTO TOTAL ALOJAMIENTO]]+Tabla1[[#This Row],[COSTO TOTAL COCHE]]</f>
        <v>765</v>
      </c>
      <c r="S625" s="26" t="s">
        <v>403</v>
      </c>
      <c r="T625" s="2" t="s">
        <v>44</v>
      </c>
      <c r="U625" s="14">
        <v>45718</v>
      </c>
      <c r="V625" s="43">
        <v>45725</v>
      </c>
      <c r="W625" s="2"/>
      <c r="X625" s="2"/>
      <c r="Y625" s="11"/>
      <c r="Z625" s="2" t="s">
        <v>36</v>
      </c>
      <c r="AA625" s="13" t="s">
        <v>10349</v>
      </c>
      <c r="AB625" s="13" t="s">
        <v>10350</v>
      </c>
    </row>
    <row r="626" spans="1:28" ht="15" customHeight="1">
      <c r="A626" s="2" t="s">
        <v>9021</v>
      </c>
      <c r="B626" s="2" t="s">
        <v>28</v>
      </c>
      <c r="C626" s="11" t="s">
        <v>1715</v>
      </c>
      <c r="D626" s="2" t="s">
        <v>99</v>
      </c>
      <c r="E626" s="2" t="s">
        <v>213</v>
      </c>
      <c r="F626" s="11" t="s">
        <v>1711</v>
      </c>
      <c r="G626" s="112" t="s">
        <v>1712</v>
      </c>
      <c r="H626" s="2" t="s">
        <v>1713</v>
      </c>
      <c r="I626" s="12" t="s">
        <v>1627</v>
      </c>
      <c r="J626" s="41">
        <f>+Tabla1[[#This Row],[FECHA ENTRADA]]</f>
        <v>45718</v>
      </c>
      <c r="K626" s="41">
        <v>45725</v>
      </c>
      <c r="L626" s="42">
        <f>_xlfn.DAYS(Tabla1[[#This Row],[FECHA FIN ]],Tabla1[[#This Row],[FECHA INICIO]])</f>
        <v>7</v>
      </c>
      <c r="M626" s="28"/>
      <c r="N626" s="20">
        <v>765</v>
      </c>
      <c r="O626" s="28">
        <f>(Tabla1[[#This Row],[COSTO FIJO ]]/30)*Tabla1[[#This Row],[TOTAL DIAS PROYECTO]]+(Tabla1[[#This Row],[COSTO TEMPORAL]])</f>
        <v>178.5</v>
      </c>
      <c r="P626" s="12"/>
      <c r="Q626" s="12">
        <f>+(Tabla1[[#This Row],[COSTO COCHE]]/30)*Tabla1[[#This Row],[TOTAL DIAS PROYECTO]]</f>
        <v>0</v>
      </c>
      <c r="R626" s="12">
        <f>+Tabla1[[#This Row],[COSTO TOTAL ALOJAMIENTO]]+Tabla1[[#This Row],[COSTO TOTAL COCHE]]</f>
        <v>178.5</v>
      </c>
      <c r="S626" s="26" t="s">
        <v>403</v>
      </c>
      <c r="T626" s="2" t="s">
        <v>44</v>
      </c>
      <c r="U626" s="14">
        <v>45718</v>
      </c>
      <c r="V626" s="43">
        <v>45725</v>
      </c>
      <c r="W626" s="2"/>
      <c r="X626" s="2"/>
      <c r="Y626" s="11"/>
      <c r="Z626" s="2" t="s">
        <v>36</v>
      </c>
      <c r="AA626" s="13" t="s">
        <v>10349</v>
      </c>
      <c r="AB626" s="13" t="s">
        <v>10350</v>
      </c>
    </row>
    <row r="627" spans="1:28" ht="15" customHeight="1">
      <c r="A627" s="2" t="s">
        <v>8876</v>
      </c>
      <c r="B627" s="2" t="s">
        <v>368</v>
      </c>
      <c r="C627" s="11" t="s">
        <v>1137</v>
      </c>
      <c r="D627" s="2" t="s">
        <v>30</v>
      </c>
      <c r="E627" s="2" t="s">
        <v>826</v>
      </c>
      <c r="F627" s="11" t="s">
        <v>827</v>
      </c>
      <c r="G627" s="11" t="s">
        <v>828</v>
      </c>
      <c r="H627" s="2" t="s">
        <v>1716</v>
      </c>
      <c r="I627" s="10" t="s">
        <v>152</v>
      </c>
      <c r="J627" s="22">
        <f>+Tabla1[[#This Row],[FECHA ENTRADA]]</f>
        <v>45725</v>
      </c>
      <c r="K627" s="22">
        <v>45726</v>
      </c>
      <c r="L627" s="23">
        <f>_xlfn.DAYS(Tabla1[[#This Row],[FECHA FIN ]],Tabla1[[#This Row],[FECHA INICIO]])</f>
        <v>1</v>
      </c>
      <c r="M627" s="12"/>
      <c r="N627" s="12">
        <v>372</v>
      </c>
      <c r="O627" s="24">
        <f>(Tabla1[[#This Row],[COSTO FIJO ]]/30)*Tabla1[[#This Row],[TOTAL DIAS PROYECTO]]+(Tabla1[[#This Row],[COSTO TEMPORAL]])</f>
        <v>12.4</v>
      </c>
      <c r="P627" s="12"/>
      <c r="Q627" s="12">
        <f>+(Tabla1[[#This Row],[COSTO COCHE]]/30)*Tabla1[[#This Row],[TOTAL DIAS PROYECTO]]</f>
        <v>0</v>
      </c>
      <c r="R627" s="12">
        <f>+Tabla1[[#This Row],[COSTO TOTAL ALOJAMIENTO]]+Tabla1[[#This Row],[COSTO TOTAL COCHE]]</f>
        <v>12.4</v>
      </c>
      <c r="S627" s="2"/>
      <c r="T627" s="2" t="s">
        <v>35</v>
      </c>
      <c r="U627" s="14">
        <v>45725</v>
      </c>
      <c r="V627" s="25"/>
      <c r="W627" s="26"/>
      <c r="X627" s="2">
        <v>1</v>
      </c>
      <c r="Y627" s="11" t="s">
        <v>119</v>
      </c>
      <c r="Z627" s="2" t="s">
        <v>36</v>
      </c>
      <c r="AA627" s="13" t="s">
        <v>10399</v>
      </c>
      <c r="AB627" s="13" t="s">
        <v>10400</v>
      </c>
    </row>
    <row r="628" spans="1:28" ht="15" customHeight="1">
      <c r="A628" s="2" t="s">
        <v>9022</v>
      </c>
      <c r="B628" s="30" t="s">
        <v>368</v>
      </c>
      <c r="C628" s="113" t="s">
        <v>1717</v>
      </c>
      <c r="D628" s="2" t="s">
        <v>30</v>
      </c>
      <c r="E628" s="2" t="s">
        <v>422</v>
      </c>
      <c r="F628" s="11" t="s">
        <v>1433</v>
      </c>
      <c r="G628" s="11">
        <v>944186216</v>
      </c>
      <c r="H628" s="2" t="s">
        <v>1434</v>
      </c>
      <c r="I628" s="12" t="s">
        <v>1435</v>
      </c>
      <c r="J628" s="8">
        <f>+Tabla1[[#This Row],[FECHA ENTRADA]]</f>
        <v>45491</v>
      </c>
      <c r="K628" s="22">
        <v>45821</v>
      </c>
      <c r="L628" s="13">
        <f>_xlfn.DAYS(Tabla1[[#This Row],[FECHA FIN ]],Tabla1[[#This Row],[FECHA INICIO]])</f>
        <v>330</v>
      </c>
      <c r="M628" s="12"/>
      <c r="N628" s="20"/>
      <c r="O628" s="12">
        <f>(Tabla1[[#This Row],[COSTO FIJO ]]/30)*Tabla1[[#This Row],[TOTAL DIAS PROYECTO]]+(Tabla1[[#This Row],[COSTO TEMPORAL]])</f>
        <v>0</v>
      </c>
      <c r="P628" s="12"/>
      <c r="Q628" s="12">
        <f>+(Tabla1[[#This Row],[COSTO COCHE]]/30)*Tabla1[[#This Row],[TOTAL DIAS PROYECTO]]</f>
        <v>0</v>
      </c>
      <c r="R628" s="12">
        <f>+Tabla1[[#This Row],[COSTO TOTAL ALOJAMIENTO]]+Tabla1[[#This Row],[COSTO TOTAL COCHE]]</f>
        <v>0</v>
      </c>
      <c r="S628" s="2"/>
      <c r="T628" s="2" t="s">
        <v>44</v>
      </c>
      <c r="U628" s="14">
        <v>45491</v>
      </c>
      <c r="V628" s="14">
        <v>45496</v>
      </c>
      <c r="W628" s="26"/>
      <c r="X628" s="2"/>
      <c r="Y628" s="18" t="s">
        <v>407</v>
      </c>
      <c r="Z628" s="2" t="s">
        <v>36</v>
      </c>
      <c r="AA628" s="13">
        <v>-326.69799999999998</v>
      </c>
      <c r="AB628" s="13" t="s">
        <v>10373</v>
      </c>
    </row>
    <row r="629" spans="1:28" ht="15" customHeight="1">
      <c r="A629" s="2" t="s">
        <v>9023</v>
      </c>
      <c r="B629" s="2" t="s">
        <v>28</v>
      </c>
      <c r="C629" s="11" t="s">
        <v>1718</v>
      </c>
      <c r="D629" s="2" t="s">
        <v>30</v>
      </c>
      <c r="E629" s="2" t="s">
        <v>1719</v>
      </c>
      <c r="F629" s="11" t="s">
        <v>1720</v>
      </c>
      <c r="G629" s="46">
        <v>670663740</v>
      </c>
      <c r="H629" s="2" t="s">
        <v>1721</v>
      </c>
      <c r="I629" s="12" t="s">
        <v>1722</v>
      </c>
      <c r="J629" s="41">
        <f>+Tabla1[[#This Row],[FECHA ENTRADA]]</f>
        <v>45725</v>
      </c>
      <c r="K629" s="41">
        <v>45726</v>
      </c>
      <c r="L629" s="42">
        <f>_xlfn.DAYS(Tabla1[[#This Row],[FECHA FIN ]],Tabla1[[#This Row],[FECHA INICIO]])</f>
        <v>1</v>
      </c>
      <c r="M629" s="12"/>
      <c r="N629" s="12"/>
      <c r="O629" s="28">
        <f>(Tabla1[[#This Row],[COSTO FIJO ]]/30)*Tabla1[[#This Row],[TOTAL DIAS PROYECTO]]+(Tabla1[[#This Row],[COSTO TEMPORAL]])</f>
        <v>0</v>
      </c>
      <c r="P629" s="12">
        <f>542.69/4</f>
        <v>135.67250000000001</v>
      </c>
      <c r="Q629" s="12">
        <f>+(Tabla1[[#This Row],[COSTO COCHE]]/30)*Tabla1[[#This Row],[TOTAL DIAS PROYECTO]]</f>
        <v>4.5224166666666674</v>
      </c>
      <c r="R629" s="12">
        <f>+Tabla1[[#This Row],[COSTO TOTAL ALOJAMIENTO]]+Tabla1[[#This Row],[COSTO TOTAL COCHE]]</f>
        <v>4.5224166666666674</v>
      </c>
      <c r="S629" s="2" t="s">
        <v>84</v>
      </c>
      <c r="T629" s="2" t="s">
        <v>44</v>
      </c>
      <c r="U629" s="14">
        <v>45725</v>
      </c>
      <c r="V629" s="43">
        <v>45735</v>
      </c>
      <c r="W629" s="26"/>
      <c r="X629" s="2"/>
      <c r="Y629" s="11"/>
      <c r="Z629" s="2" t="s">
        <v>36</v>
      </c>
      <c r="AA629" s="13" t="s">
        <v>10427</v>
      </c>
      <c r="AB629" s="13">
        <v>4260003</v>
      </c>
    </row>
    <row r="630" spans="1:28" ht="15" customHeight="1">
      <c r="A630" s="2" t="s">
        <v>9024</v>
      </c>
      <c r="B630" s="2" t="s">
        <v>28</v>
      </c>
      <c r="C630" s="11" t="s">
        <v>1723</v>
      </c>
      <c r="D630" s="2" t="s">
        <v>30</v>
      </c>
      <c r="E630" s="2" t="s">
        <v>1719</v>
      </c>
      <c r="F630" s="11" t="s">
        <v>1720</v>
      </c>
      <c r="G630" s="46">
        <v>670663740</v>
      </c>
      <c r="H630" s="2" t="s">
        <v>1721</v>
      </c>
      <c r="I630" s="12" t="s">
        <v>1722</v>
      </c>
      <c r="J630" s="41">
        <f>+Tabla1[[#This Row],[FECHA ENTRADA]]</f>
        <v>45725</v>
      </c>
      <c r="K630" s="41">
        <v>45726</v>
      </c>
      <c r="L630" s="42">
        <f>_xlfn.DAYS(Tabla1[[#This Row],[FECHA FIN ]],Tabla1[[#This Row],[FECHA INICIO]])</f>
        <v>1</v>
      </c>
      <c r="M630" s="114">
        <f>654.24/4</f>
        <v>163.56</v>
      </c>
      <c r="N630" s="28"/>
      <c r="O630" s="28">
        <f>(Tabla1[[#This Row],[COSTO FIJO ]]/30)*Tabla1[[#This Row],[TOTAL DIAS PROYECTO]]+(Tabla1[[#This Row],[COSTO TEMPORAL]])</f>
        <v>163.56</v>
      </c>
      <c r="P630" s="12">
        <f>542.69/4</f>
        <v>135.67250000000001</v>
      </c>
      <c r="Q630" s="12">
        <f>+(Tabla1[[#This Row],[COSTO COCHE]]/30)*Tabla1[[#This Row],[TOTAL DIAS PROYECTO]]</f>
        <v>4.5224166666666674</v>
      </c>
      <c r="R630" s="12">
        <f>+Tabla1[[#This Row],[COSTO TOTAL ALOJAMIENTO]]+Tabla1[[#This Row],[COSTO TOTAL COCHE]]</f>
        <v>168.08241666666666</v>
      </c>
      <c r="S630" s="2" t="s">
        <v>84</v>
      </c>
      <c r="T630" s="2" t="s">
        <v>44</v>
      </c>
      <c r="U630" s="14">
        <v>45725</v>
      </c>
      <c r="V630" s="43">
        <v>45735</v>
      </c>
      <c r="W630" s="26"/>
      <c r="X630" s="2"/>
      <c r="Y630" s="11"/>
      <c r="Z630" s="2" t="s">
        <v>36</v>
      </c>
      <c r="AA630" s="13" t="s">
        <v>10427</v>
      </c>
      <c r="AB630" s="13">
        <v>4260003</v>
      </c>
    </row>
    <row r="631" spans="1:28">
      <c r="A631" s="2" t="s">
        <v>9025</v>
      </c>
      <c r="B631" s="2" t="s">
        <v>368</v>
      </c>
      <c r="C631" s="11" t="s">
        <v>1724</v>
      </c>
      <c r="D631" s="2" t="s">
        <v>30</v>
      </c>
      <c r="E631" s="2" t="s">
        <v>422</v>
      </c>
      <c r="F631" s="11" t="s">
        <v>697</v>
      </c>
      <c r="G631" s="11" t="s">
        <v>698</v>
      </c>
      <c r="H631" s="2" t="s">
        <v>1434</v>
      </c>
      <c r="I631" s="12" t="s">
        <v>1435</v>
      </c>
      <c r="J631" s="8">
        <f>+Tabla1[[#This Row],[FECHA ENTRADA]]</f>
        <v>45491</v>
      </c>
      <c r="K631" s="22">
        <v>45573</v>
      </c>
      <c r="L631" s="13">
        <f>_xlfn.DAYS(Tabla1[[#This Row],[FECHA FIN ]],Tabla1[[#This Row],[FECHA INICIO]])</f>
        <v>82</v>
      </c>
      <c r="M631" s="12"/>
      <c r="N631" s="12">
        <f>1811.6/17</f>
        <v>106.56470588235294</v>
      </c>
      <c r="O631" s="12">
        <f>(Tabla1[[#This Row],[COSTO FIJO ]]/30)*Tabla1[[#This Row],[TOTAL DIAS PROYECTO]]+(Tabla1[[#This Row],[COSTO TEMPORAL]])</f>
        <v>291.27686274509807</v>
      </c>
      <c r="P631" s="12"/>
      <c r="Q631" s="12">
        <f>+(Tabla1[[#This Row],[COSTO COCHE]]/30)*Tabla1[[#This Row],[TOTAL DIAS PROYECTO]]</f>
        <v>0</v>
      </c>
      <c r="R631" s="12">
        <f>+Tabla1[[#This Row],[COSTO TOTAL ALOJAMIENTO]]+Tabla1[[#This Row],[COSTO TOTAL COCHE]]</f>
        <v>291.27686274509807</v>
      </c>
      <c r="S631" s="2"/>
      <c r="T631" s="2" t="s">
        <v>35</v>
      </c>
      <c r="U631" s="14">
        <v>45491</v>
      </c>
      <c r="V631" s="8"/>
      <c r="W631" s="26"/>
      <c r="X631" s="2">
        <v>1</v>
      </c>
      <c r="Y631" s="11" t="s">
        <v>1725</v>
      </c>
      <c r="Z631" s="2" t="s">
        <v>36</v>
      </c>
      <c r="AA631" s="13">
        <v>-326.69799999999998</v>
      </c>
      <c r="AB631" s="13" t="s">
        <v>10373</v>
      </c>
    </row>
    <row r="632" spans="1:28">
      <c r="A632" s="2" t="s">
        <v>9026</v>
      </c>
      <c r="B632" s="2" t="s">
        <v>368</v>
      </c>
      <c r="C632" s="11" t="s">
        <v>1726</v>
      </c>
      <c r="D632" s="2" t="s">
        <v>30</v>
      </c>
      <c r="E632" s="2" t="s">
        <v>422</v>
      </c>
      <c r="F632" s="11" t="s">
        <v>697</v>
      </c>
      <c r="G632" s="11" t="s">
        <v>698</v>
      </c>
      <c r="H632" s="2" t="s">
        <v>1434</v>
      </c>
      <c r="I632" s="12" t="s">
        <v>1435</v>
      </c>
      <c r="J632" s="8">
        <f>+Tabla1[[#This Row],[FECHA ENTRADA]]</f>
        <v>45491</v>
      </c>
      <c r="K632" s="22">
        <v>45627</v>
      </c>
      <c r="L632" s="13">
        <f>_xlfn.DAYS(Tabla1[[#This Row],[FECHA FIN ]],Tabla1[[#This Row],[FECHA INICIO]])</f>
        <v>136</v>
      </c>
      <c r="M632" s="12"/>
      <c r="N632" s="12">
        <f>1811.6/17</f>
        <v>106.56470588235294</v>
      </c>
      <c r="O632" s="12">
        <f>(Tabla1[[#This Row],[COSTO FIJO ]]/30)*Tabla1[[#This Row],[TOTAL DIAS PROYECTO]]+(Tabla1[[#This Row],[COSTO TEMPORAL]])</f>
        <v>483.09333333333336</v>
      </c>
      <c r="P632" s="12"/>
      <c r="Q632" s="12">
        <f>+(Tabla1[[#This Row],[COSTO COCHE]]/30)*Tabla1[[#This Row],[TOTAL DIAS PROYECTO]]</f>
        <v>0</v>
      </c>
      <c r="R632" s="12">
        <f>+Tabla1[[#This Row],[COSTO TOTAL ALOJAMIENTO]]+Tabla1[[#This Row],[COSTO TOTAL COCHE]]</f>
        <v>483.09333333333336</v>
      </c>
      <c r="S632" s="2"/>
      <c r="T632" s="2" t="s">
        <v>35</v>
      </c>
      <c r="U632" s="14">
        <v>45491</v>
      </c>
      <c r="V632" s="14"/>
      <c r="W632" s="26"/>
      <c r="X632" s="2">
        <v>1</v>
      </c>
      <c r="Y632" s="11" t="s">
        <v>1727</v>
      </c>
      <c r="Z632" s="2" t="s">
        <v>36</v>
      </c>
      <c r="AA632" s="13">
        <v>-326.69799999999998</v>
      </c>
      <c r="AB632" s="13" t="s">
        <v>10373</v>
      </c>
    </row>
    <row r="633" spans="1:28">
      <c r="A633" s="2" t="s">
        <v>8723</v>
      </c>
      <c r="B633" s="2" t="s">
        <v>28</v>
      </c>
      <c r="C633" s="11" t="s">
        <v>456</v>
      </c>
      <c r="D633" s="2" t="s">
        <v>30</v>
      </c>
      <c r="E633" s="2" t="s">
        <v>213</v>
      </c>
      <c r="F633" s="11" t="s">
        <v>1728</v>
      </c>
      <c r="G633" s="11" t="s">
        <v>1729</v>
      </c>
      <c r="H633" s="2" t="s">
        <v>1730</v>
      </c>
      <c r="I633" s="12" t="s">
        <v>560</v>
      </c>
      <c r="J633" s="41">
        <f>+Tabla1[[#This Row],[FECHA ENTRADA]]</f>
        <v>45669</v>
      </c>
      <c r="K633" s="41">
        <v>45726</v>
      </c>
      <c r="L633" s="42">
        <f>_xlfn.DAYS(Tabla1[[#This Row],[FECHA FIN ]],Tabla1[[#This Row],[FECHA INICIO]])</f>
        <v>57</v>
      </c>
      <c r="M633" s="12"/>
      <c r="N633" s="28">
        <v>350</v>
      </c>
      <c r="O633" s="28">
        <f>(Tabla1[[#This Row],[COSTO FIJO ]]/30)*Tabla1[[#This Row],[TOTAL DIAS PROYECTO]]+(Tabla1[[#This Row],[COSTO TEMPORAL]])</f>
        <v>665</v>
      </c>
      <c r="P633" s="12"/>
      <c r="Q633" s="12">
        <f>+(Tabla1[[#This Row],[COSTO COCHE]]/30)*Tabla1[[#This Row],[TOTAL DIAS PROYECTO]]</f>
        <v>0</v>
      </c>
      <c r="R633" s="12">
        <f>+Tabla1[[#This Row],[COSTO TOTAL ALOJAMIENTO]]+Tabla1[[#This Row],[COSTO TOTAL COCHE]]</f>
        <v>665</v>
      </c>
      <c r="S633" s="2"/>
      <c r="T633" s="2" t="s">
        <v>35</v>
      </c>
      <c r="U633" s="14">
        <v>45669</v>
      </c>
      <c r="V633" s="43"/>
      <c r="W633" s="26"/>
      <c r="X633" s="2">
        <v>10</v>
      </c>
      <c r="Y633" s="11" t="s">
        <v>1731</v>
      </c>
      <c r="Z633" s="2" t="s">
        <v>36</v>
      </c>
      <c r="AA633" s="13" t="s">
        <v>10349</v>
      </c>
      <c r="AB633" s="13" t="s">
        <v>10350</v>
      </c>
    </row>
    <row r="634" spans="1:28">
      <c r="A634" s="2" t="s">
        <v>9027</v>
      </c>
      <c r="B634" s="2" t="s">
        <v>368</v>
      </c>
      <c r="C634" s="11" t="s">
        <v>1732</v>
      </c>
      <c r="D634" s="2" t="s">
        <v>30</v>
      </c>
      <c r="E634" s="2" t="s">
        <v>213</v>
      </c>
      <c r="F634" s="11" t="s">
        <v>1733</v>
      </c>
      <c r="G634" s="21" t="s">
        <v>1734</v>
      </c>
      <c r="H634" s="2" t="s">
        <v>1735</v>
      </c>
      <c r="I634" s="12" t="s">
        <v>1043</v>
      </c>
      <c r="J634" s="8">
        <f>+Tabla1[[#This Row],[FECHA ENTRADA]]</f>
        <v>45546</v>
      </c>
      <c r="K634" s="8">
        <v>45726</v>
      </c>
      <c r="L634" s="13">
        <f>_xlfn.DAYS(Tabla1[[#This Row],[FECHA FIN ]],Tabla1[[#This Row],[FECHA INICIO]])</f>
        <v>180</v>
      </c>
      <c r="M634" s="12"/>
      <c r="N634" s="12"/>
      <c r="O634" s="12">
        <f>(Tabla1[[#This Row],[COSTO FIJO ]]/30)*Tabla1[[#This Row],[TOTAL DIAS PROYECTO]]+(Tabla1[[#This Row],[COSTO TEMPORAL]])</f>
        <v>0</v>
      </c>
      <c r="P634" s="12"/>
      <c r="Q634" s="12">
        <f>+(Tabla1[[#This Row],[COSTO COCHE]]/30)*Tabla1[[#This Row],[TOTAL DIAS PROYECTO]]</f>
        <v>0</v>
      </c>
      <c r="R634" s="12">
        <f>+Tabla1[[#This Row],[COSTO TOTAL ALOJAMIENTO]]+Tabla1[[#This Row],[COSTO TOTAL COCHE]]</f>
        <v>0</v>
      </c>
      <c r="S634" s="2"/>
      <c r="T634" s="2" t="s">
        <v>35</v>
      </c>
      <c r="U634" s="14">
        <v>45546</v>
      </c>
      <c r="V634" s="14"/>
      <c r="W634" s="26"/>
      <c r="X634" s="2">
        <v>21</v>
      </c>
      <c r="Y634" s="11" t="s">
        <v>1736</v>
      </c>
      <c r="Z634" s="64" t="s">
        <v>36</v>
      </c>
      <c r="AA634" s="13" t="s">
        <v>10349</v>
      </c>
      <c r="AB634" s="13" t="s">
        <v>10350</v>
      </c>
    </row>
    <row r="635" spans="1:28" ht="15" customHeight="1">
      <c r="A635" s="2" t="s">
        <v>9028</v>
      </c>
      <c r="B635" s="2" t="s">
        <v>28</v>
      </c>
      <c r="C635" s="11" t="s">
        <v>1737</v>
      </c>
      <c r="D635" s="2" t="s">
        <v>30</v>
      </c>
      <c r="E635" s="10" t="s">
        <v>213</v>
      </c>
      <c r="F635" s="11" t="s">
        <v>1733</v>
      </c>
      <c r="G635" s="21" t="s">
        <v>1734</v>
      </c>
      <c r="H635" s="2" t="s">
        <v>1738</v>
      </c>
      <c r="I635" s="12" t="s">
        <v>1043</v>
      </c>
      <c r="J635" s="41">
        <f>+Tabla1[[#This Row],[FECHA ENTRADA]]</f>
        <v>45683</v>
      </c>
      <c r="K635" s="8">
        <v>45726</v>
      </c>
      <c r="L635" s="42">
        <f>_xlfn.DAYS(Tabla1[[#This Row],[FECHA FIN ]],Tabla1[[#This Row],[FECHA INICIO]])</f>
        <v>43</v>
      </c>
      <c r="M635" s="12"/>
      <c r="N635" s="12"/>
      <c r="O635" s="28">
        <f>(Tabla1[[#This Row],[COSTO FIJO ]]/30)*Tabla1[[#This Row],[TOTAL DIAS PROYECTO]]+(Tabla1[[#This Row],[COSTO TEMPORAL]])</f>
        <v>0</v>
      </c>
      <c r="P635" s="12"/>
      <c r="Q635" s="12">
        <f>+(Tabla1[[#This Row],[COSTO COCHE]]/30)*Tabla1[[#This Row],[TOTAL DIAS PROYECTO]]</f>
        <v>0</v>
      </c>
      <c r="R635" s="12">
        <f>+Tabla1[[#This Row],[COSTO TOTAL ALOJAMIENTO]]+Tabla1[[#This Row],[COSTO TOTAL COCHE]]</f>
        <v>0</v>
      </c>
      <c r="S635" s="2"/>
      <c r="T635" s="2" t="s">
        <v>35</v>
      </c>
      <c r="U635" s="14">
        <v>45683</v>
      </c>
      <c r="V635" s="79"/>
      <c r="W635" s="26"/>
      <c r="X635" s="2">
        <v>23</v>
      </c>
      <c r="Y635" s="11" t="s">
        <v>1120</v>
      </c>
      <c r="Z635" s="2" t="s">
        <v>36</v>
      </c>
      <c r="AA635" s="13" t="s">
        <v>10349</v>
      </c>
      <c r="AB635" s="13" t="s">
        <v>10350</v>
      </c>
    </row>
    <row r="636" spans="1:28" ht="15" customHeight="1">
      <c r="A636" s="2" t="s">
        <v>9029</v>
      </c>
      <c r="B636" s="2" t="s">
        <v>368</v>
      </c>
      <c r="C636" s="11" t="s">
        <v>1739</v>
      </c>
      <c r="D636" s="2" t="s">
        <v>30</v>
      </c>
      <c r="E636" s="2" t="s">
        <v>87</v>
      </c>
      <c r="F636" s="11" t="s">
        <v>1740</v>
      </c>
      <c r="G636" s="46">
        <v>916607649</v>
      </c>
      <c r="H636" s="2" t="s">
        <v>1741</v>
      </c>
      <c r="I636" s="12" t="s">
        <v>1288</v>
      </c>
      <c r="J636" s="41">
        <f>+Tabla1[[#This Row],[FECHA ENTRADA]]</f>
        <v>45721</v>
      </c>
      <c r="K636" s="41">
        <v>45727</v>
      </c>
      <c r="L636" s="42">
        <f>_xlfn.DAYS(Tabla1[[#This Row],[FECHA FIN ]],Tabla1[[#This Row],[FECHA INICIO]])</f>
        <v>6</v>
      </c>
      <c r="M636" s="12"/>
      <c r="N636" s="28"/>
      <c r="O636" s="28">
        <f>(Tabla1[[#This Row],[COSTO FIJO ]]/30)*Tabla1[[#This Row],[TOTAL DIAS PROYECTO]]+(Tabla1[[#This Row],[COSTO TEMPORAL]])</f>
        <v>0</v>
      </c>
      <c r="P636" s="12"/>
      <c r="Q636" s="12">
        <f>+(Tabla1[[#This Row],[COSTO COCHE]]/30)*Tabla1[[#This Row],[TOTAL DIAS PROYECTO]]</f>
        <v>0</v>
      </c>
      <c r="R636" s="12">
        <f>+Tabla1[[#This Row],[COSTO TOTAL ALOJAMIENTO]]+Tabla1[[#This Row],[COSTO TOTAL COCHE]]</f>
        <v>0</v>
      </c>
      <c r="S636" s="2"/>
      <c r="T636" s="2" t="s">
        <v>44</v>
      </c>
      <c r="U636" s="14">
        <v>45721</v>
      </c>
      <c r="V636" s="43">
        <v>45728</v>
      </c>
      <c r="W636" s="26"/>
      <c r="X636" s="2"/>
      <c r="Y636" s="11"/>
      <c r="Z636" s="2" t="s">
        <v>36</v>
      </c>
      <c r="AA636" s="13" t="s">
        <v>10335</v>
      </c>
      <c r="AB636" s="13">
        <v>404.16500000000002</v>
      </c>
    </row>
    <row r="637" spans="1:28" ht="15" customHeight="1">
      <c r="A637" s="2" t="s">
        <v>9030</v>
      </c>
      <c r="B637" s="2" t="s">
        <v>368</v>
      </c>
      <c r="C637" s="11" t="s">
        <v>1742</v>
      </c>
      <c r="D637" s="2" t="s">
        <v>30</v>
      </c>
      <c r="E637" s="2" t="s">
        <v>87</v>
      </c>
      <c r="F637" s="11" t="s">
        <v>1740</v>
      </c>
      <c r="G637" s="46">
        <v>916607649</v>
      </c>
      <c r="H637" s="2" t="s">
        <v>1741</v>
      </c>
      <c r="I637" s="12" t="s">
        <v>1288</v>
      </c>
      <c r="J637" s="41">
        <f>+Tabla1[[#This Row],[FECHA ENTRADA]]</f>
        <v>45721</v>
      </c>
      <c r="K637" s="41">
        <v>45727</v>
      </c>
      <c r="L637" s="42">
        <f>_xlfn.DAYS(Tabla1[[#This Row],[FECHA FIN ]],Tabla1[[#This Row],[FECHA INICIO]])</f>
        <v>6</v>
      </c>
      <c r="M637" s="12">
        <f>(893.97/5)+38.8</f>
        <v>217.59399999999999</v>
      </c>
      <c r="N637" s="28"/>
      <c r="O637" s="28">
        <f>(Tabla1[[#This Row],[COSTO FIJO ]]/30)*Tabla1[[#This Row],[TOTAL DIAS PROYECTO]]+(Tabla1[[#This Row],[COSTO TEMPORAL]])</f>
        <v>217.59399999999999</v>
      </c>
      <c r="P637" s="12"/>
      <c r="Q637" s="12">
        <f>+(Tabla1[[#This Row],[COSTO COCHE]]/30)*Tabla1[[#This Row],[TOTAL DIAS PROYECTO]]</f>
        <v>0</v>
      </c>
      <c r="R637" s="12">
        <f>+Tabla1[[#This Row],[COSTO TOTAL ALOJAMIENTO]]+Tabla1[[#This Row],[COSTO TOTAL COCHE]]</f>
        <v>217.59399999999999</v>
      </c>
      <c r="S637" s="2"/>
      <c r="T637" s="2" t="s">
        <v>44</v>
      </c>
      <c r="U637" s="14">
        <v>45721</v>
      </c>
      <c r="V637" s="43">
        <v>45728</v>
      </c>
      <c r="W637" s="26"/>
      <c r="X637" s="2"/>
      <c r="Y637" s="11"/>
      <c r="Z637" s="2" t="s">
        <v>36</v>
      </c>
      <c r="AA637" s="13" t="s">
        <v>10335</v>
      </c>
      <c r="AB637" s="13">
        <v>404.16500000000002</v>
      </c>
    </row>
    <row r="638" spans="1:28">
      <c r="A638" s="2" t="s">
        <v>9031</v>
      </c>
      <c r="B638" s="2" t="s">
        <v>368</v>
      </c>
      <c r="C638" s="11" t="s">
        <v>1743</v>
      </c>
      <c r="D638" s="2" t="s">
        <v>749</v>
      </c>
      <c r="E638" s="2" t="s">
        <v>288</v>
      </c>
      <c r="F638" s="11" t="s">
        <v>1744</v>
      </c>
      <c r="G638" s="49" t="s">
        <v>1745</v>
      </c>
      <c r="H638" s="2" t="s">
        <v>1746</v>
      </c>
      <c r="I638" s="10" t="s">
        <v>1402</v>
      </c>
      <c r="J638" s="22">
        <f>+Tabla1[[#This Row],[FECHA ENTRADA]]</f>
        <v>45726</v>
      </c>
      <c r="K638" s="22">
        <v>45727</v>
      </c>
      <c r="L638" s="23">
        <f>_xlfn.DAYS(Tabla1[[#This Row],[FECHA FIN ]],Tabla1[[#This Row],[FECHA INICIO]])</f>
        <v>1</v>
      </c>
      <c r="M638" s="12"/>
      <c r="N638" s="12"/>
      <c r="O638" s="24">
        <f>(Tabla1[[#This Row],[COSTO FIJO ]]/30)*Tabla1[[#This Row],[TOTAL DIAS PROYECTO]]+(Tabla1[[#This Row],[COSTO TEMPORAL]])</f>
        <v>0</v>
      </c>
      <c r="P638" s="12"/>
      <c r="Q638" s="12">
        <f>+(Tabla1[[#This Row],[COSTO COCHE]]/30)*Tabla1[[#This Row],[TOTAL DIAS PROYECTO]]</f>
        <v>0</v>
      </c>
      <c r="R638" s="12">
        <f>+Tabla1[[#This Row],[COSTO TOTAL ALOJAMIENTO]]+Tabla1[[#This Row],[COSTO TOTAL COCHE]]</f>
        <v>0</v>
      </c>
      <c r="S638" s="2"/>
      <c r="T638" s="2" t="s">
        <v>35</v>
      </c>
      <c r="U638" s="14">
        <v>45726</v>
      </c>
      <c r="V638" s="25"/>
      <c r="W638" s="26"/>
      <c r="X638" s="2"/>
      <c r="Y638" s="11" t="s">
        <v>1639</v>
      </c>
      <c r="Z638" s="2" t="s">
        <v>36</v>
      </c>
      <c r="AA638" s="13" t="s">
        <v>10362</v>
      </c>
      <c r="AB638" s="13" t="s">
        <v>10363</v>
      </c>
    </row>
    <row r="639" spans="1:28">
      <c r="A639" s="2" t="s">
        <v>9032</v>
      </c>
      <c r="B639" s="2" t="s">
        <v>28</v>
      </c>
      <c r="C639" s="11" t="s">
        <v>1747</v>
      </c>
      <c r="D639" s="2" t="s">
        <v>161</v>
      </c>
      <c r="E639" s="2" t="s">
        <v>1748</v>
      </c>
      <c r="F639" s="11"/>
      <c r="G639" s="49"/>
      <c r="H639" s="2" t="s">
        <v>1749</v>
      </c>
      <c r="I639" t="s">
        <v>1750</v>
      </c>
      <c r="J639" s="22">
        <f>+Tabla1[[#This Row],[FECHA ENTRADA]]</f>
        <v>45712</v>
      </c>
      <c r="K639" s="8">
        <v>45728</v>
      </c>
      <c r="L639" s="23">
        <f>_xlfn.DAYS(Tabla1[[#This Row],[FECHA FIN ]],Tabla1[[#This Row],[FECHA INICIO]])</f>
        <v>16</v>
      </c>
      <c r="M639" s="12"/>
      <c r="N639" s="12"/>
      <c r="O639" s="24">
        <f>(Tabla1[[#This Row],[COSTO FIJO ]]/30)*Tabla1[[#This Row],[TOTAL DIAS PROYECTO]]+(Tabla1[[#This Row],[COSTO TEMPORAL]])</f>
        <v>0</v>
      </c>
      <c r="P639" s="12"/>
      <c r="Q639" s="12">
        <f>+(Tabla1[[#This Row],[COSTO COCHE]]/30)*Tabla1[[#This Row],[TOTAL DIAS PROYECTO]]</f>
        <v>0</v>
      </c>
      <c r="R639" s="12">
        <f>+Tabla1[[#This Row],[COSTO TOTAL ALOJAMIENTO]]+Tabla1[[#This Row],[COSTO TOTAL COCHE]]</f>
        <v>0</v>
      </c>
      <c r="S639" s="2"/>
      <c r="T639" s="2" t="s">
        <v>58</v>
      </c>
      <c r="U639" s="14">
        <v>45712</v>
      </c>
      <c r="V639" s="25"/>
      <c r="W639" s="26"/>
      <c r="X639" s="2"/>
      <c r="Y639" s="11"/>
      <c r="Z639" s="2" t="s">
        <v>36</v>
      </c>
      <c r="AA639" s="13" t="s">
        <v>10428</v>
      </c>
      <c r="AB639" s="13" t="s">
        <v>10429</v>
      </c>
    </row>
    <row r="640" spans="1:28" ht="15" customHeight="1">
      <c r="A640" s="2" t="s">
        <v>9033</v>
      </c>
      <c r="B640" s="2" t="s">
        <v>28</v>
      </c>
      <c r="C640" s="11" t="s">
        <v>1751</v>
      </c>
      <c r="D640" s="2" t="s">
        <v>161</v>
      </c>
      <c r="E640" s="2" t="s">
        <v>1748</v>
      </c>
      <c r="F640" s="11"/>
      <c r="G640" s="49"/>
      <c r="H640" s="2" t="s">
        <v>1749</v>
      </c>
      <c r="I640" t="s">
        <v>1750</v>
      </c>
      <c r="J640" s="22">
        <f>+Tabla1[[#This Row],[FECHA ENTRADA]]</f>
        <v>45712</v>
      </c>
      <c r="K640" s="8">
        <v>45728</v>
      </c>
      <c r="L640" s="23">
        <f>_xlfn.DAYS(Tabla1[[#This Row],[FECHA FIN ]],Tabla1[[#This Row],[FECHA INICIO]])</f>
        <v>16</v>
      </c>
      <c r="M640" s="12"/>
      <c r="N640" s="12"/>
      <c r="O640" s="24">
        <f>(Tabla1[[#This Row],[COSTO FIJO ]]/30)*Tabla1[[#This Row],[TOTAL DIAS PROYECTO]]+(Tabla1[[#This Row],[COSTO TEMPORAL]])</f>
        <v>0</v>
      </c>
      <c r="P640" s="12"/>
      <c r="Q640" s="12">
        <f>+(Tabla1[[#This Row],[COSTO COCHE]]/30)*Tabla1[[#This Row],[TOTAL DIAS PROYECTO]]</f>
        <v>0</v>
      </c>
      <c r="R640" s="12">
        <f>+Tabla1[[#This Row],[COSTO TOTAL ALOJAMIENTO]]+Tabla1[[#This Row],[COSTO TOTAL COCHE]]</f>
        <v>0</v>
      </c>
      <c r="S640" s="2"/>
      <c r="T640" s="2" t="s">
        <v>58</v>
      </c>
      <c r="U640" s="14">
        <v>45712</v>
      </c>
      <c r="V640" s="25"/>
      <c r="W640" s="26"/>
      <c r="X640" s="2"/>
      <c r="Y640" s="11"/>
      <c r="Z640" s="2" t="s">
        <v>36</v>
      </c>
      <c r="AA640" s="13" t="s">
        <v>10428</v>
      </c>
      <c r="AB640" s="13" t="s">
        <v>10429</v>
      </c>
    </row>
    <row r="641" spans="1:28">
      <c r="A641" s="2" t="s">
        <v>9034</v>
      </c>
      <c r="B641" s="2" t="s">
        <v>28</v>
      </c>
      <c r="C641" s="52" t="s">
        <v>1752</v>
      </c>
      <c r="D641" s="2" t="s">
        <v>30</v>
      </c>
      <c r="E641" s="2" t="s">
        <v>253</v>
      </c>
      <c r="F641" s="11" t="s">
        <v>1692</v>
      </c>
      <c r="G641" s="30" t="s">
        <v>1693</v>
      </c>
      <c r="H641" s="2" t="s">
        <v>1753</v>
      </c>
      <c r="I641" s="12" t="s">
        <v>1232</v>
      </c>
      <c r="J641" s="22">
        <f>+Tabla1[[#This Row],[FECHA ENTRADA]]</f>
        <v>45669</v>
      </c>
      <c r="K641" s="22">
        <v>45728</v>
      </c>
      <c r="L641" s="23">
        <f>_xlfn.DAYS(Tabla1[[#This Row],[FECHA FIN ]],Tabla1[[#This Row],[FECHA INICIO]])</f>
        <v>59</v>
      </c>
      <c r="M641" s="12"/>
      <c r="N641" s="12"/>
      <c r="O641" s="24">
        <f>(Tabla1[[#This Row],[COSTO FIJO ]]/30)*Tabla1[[#This Row],[TOTAL DIAS PROYECTO]]+(Tabla1[[#This Row],[COSTO TEMPORAL]])</f>
        <v>0</v>
      </c>
      <c r="P641" s="12"/>
      <c r="Q641" s="12">
        <f>+(Tabla1[[#This Row],[COSTO COCHE]]/30)*Tabla1[[#This Row],[TOTAL DIAS PROYECTO]]</f>
        <v>0</v>
      </c>
      <c r="R641" s="12">
        <f>+Tabla1[[#This Row],[COSTO TOTAL ALOJAMIENTO]]+Tabla1[[#This Row],[COSTO TOTAL COCHE]]</f>
        <v>0</v>
      </c>
      <c r="S641" s="2"/>
      <c r="T641" s="2" t="s">
        <v>35</v>
      </c>
      <c r="U641" s="14">
        <v>45669</v>
      </c>
      <c r="V641" s="25"/>
      <c r="W641" s="26"/>
      <c r="X641" s="2">
        <v>10</v>
      </c>
      <c r="Y641" s="11"/>
      <c r="Z641" s="2" t="s">
        <v>36</v>
      </c>
      <c r="AA641" s="13" t="s">
        <v>10357</v>
      </c>
      <c r="AB641" s="13" t="s">
        <v>10358</v>
      </c>
    </row>
    <row r="642" spans="1:28">
      <c r="A642" s="2" t="s">
        <v>8906</v>
      </c>
      <c r="B642" s="2" t="s">
        <v>28</v>
      </c>
      <c r="C642" s="11" t="s">
        <v>1228</v>
      </c>
      <c r="D642" s="2" t="s">
        <v>30</v>
      </c>
      <c r="E642" s="2" t="s">
        <v>1754</v>
      </c>
      <c r="F642" s="11" t="s">
        <v>1755</v>
      </c>
      <c r="G642" s="21" t="s">
        <v>1756</v>
      </c>
      <c r="H642" s="2" t="s">
        <v>1658</v>
      </c>
      <c r="I642" s="12" t="s">
        <v>96</v>
      </c>
      <c r="J642" s="41">
        <f>+Tabla1[[#This Row],[FECHA ENTRADA]]</f>
        <v>45747</v>
      </c>
      <c r="K642" s="8">
        <v>45807</v>
      </c>
      <c r="L642" s="42">
        <f>_xlfn.DAYS(Tabla1[[#This Row],[FECHA FIN ]],Tabla1[[#This Row],[FECHA INICIO]])</f>
        <v>60</v>
      </c>
      <c r="M642" s="12"/>
      <c r="N642" s="12"/>
      <c r="O642" s="28">
        <f>(Tabla1[[#This Row],[COSTO FIJO ]]/30)*Tabla1[[#This Row],[TOTAL DIAS PROYECTO]]+(Tabla1[[#This Row],[COSTO TEMPORAL]])</f>
        <v>0</v>
      </c>
      <c r="P642" s="12">
        <f>542.69/3</f>
        <v>180.89666666666668</v>
      </c>
      <c r="Q642" s="12">
        <f>+(Tabla1[[#This Row],[COSTO COCHE]]/30)*Tabla1[[#This Row],[TOTAL DIAS PROYECTO]]</f>
        <v>361.79333333333335</v>
      </c>
      <c r="R642" s="12">
        <f>+Tabla1[[#This Row],[COSTO TOTAL ALOJAMIENTO]]+Tabla1[[#This Row],[COSTO TOTAL COCHE]]</f>
        <v>361.79333333333335</v>
      </c>
      <c r="S642" s="2" t="s">
        <v>84</v>
      </c>
      <c r="T642" s="2" t="s">
        <v>44</v>
      </c>
      <c r="U642" s="14">
        <v>45747</v>
      </c>
      <c r="V642" s="25">
        <v>45807</v>
      </c>
      <c r="W642" s="26"/>
      <c r="X642" s="2"/>
      <c r="Y642" s="11" t="s">
        <v>1757</v>
      </c>
      <c r="Z642" s="2" t="s">
        <v>36</v>
      </c>
      <c r="AA642" s="13" t="e">
        <v>#N/A</v>
      </c>
      <c r="AB642" s="13" t="e">
        <v>#N/A</v>
      </c>
    </row>
    <row r="643" spans="1:28" ht="15" customHeight="1">
      <c r="A643" s="2" t="s">
        <v>9035</v>
      </c>
      <c r="B643" s="2" t="s">
        <v>28</v>
      </c>
      <c r="C643" s="11" t="s">
        <v>1758</v>
      </c>
      <c r="D643" s="2" t="s">
        <v>78</v>
      </c>
      <c r="E643" s="2" t="s">
        <v>1759</v>
      </c>
      <c r="F643" s="11" t="s">
        <v>1760</v>
      </c>
      <c r="G643" s="46" t="s">
        <v>1761</v>
      </c>
      <c r="H643" s="2" t="s">
        <v>1762</v>
      </c>
      <c r="I643" s="12" t="s">
        <v>1763</v>
      </c>
      <c r="J643" s="41">
        <f>+Tabla1[[#This Row],[FECHA ENTRADA]]</f>
        <v>45725</v>
      </c>
      <c r="K643" s="22">
        <v>45729</v>
      </c>
      <c r="L643" s="42">
        <f>_xlfn.DAYS(Tabla1[[#This Row],[FECHA FIN ]],Tabla1[[#This Row],[FECHA INICIO]])</f>
        <v>4</v>
      </c>
      <c r="M643" s="12"/>
      <c r="N643" s="12"/>
      <c r="O643" s="28">
        <f>(Tabla1[[#This Row],[COSTO FIJO ]]/30)*Tabla1[[#This Row],[TOTAL DIAS PROYECTO]]+(Tabla1[[#This Row],[COSTO TEMPORAL]])</f>
        <v>0</v>
      </c>
      <c r="P643" s="12"/>
      <c r="Q643" s="12">
        <f>+(Tabla1[[#This Row],[COSTO COCHE]]/30)*Tabla1[[#This Row],[TOTAL DIAS PROYECTO]]</f>
        <v>0</v>
      </c>
      <c r="R643" s="12">
        <f>+Tabla1[[#This Row],[COSTO TOTAL ALOJAMIENTO]]+Tabla1[[#This Row],[COSTO TOTAL COCHE]]</f>
        <v>0</v>
      </c>
      <c r="S643" s="2" t="s">
        <v>84</v>
      </c>
      <c r="T643" s="2" t="s">
        <v>44</v>
      </c>
      <c r="U643" s="14">
        <v>45725</v>
      </c>
      <c r="V643" s="25">
        <v>45747</v>
      </c>
      <c r="W643" s="26"/>
      <c r="X643" s="2"/>
      <c r="Y643" s="11" t="s">
        <v>1764</v>
      </c>
      <c r="Z643" s="2" t="s">
        <v>36</v>
      </c>
      <c r="AA643" s="13" t="s">
        <v>10430</v>
      </c>
      <c r="AB643" s="13" t="s">
        <v>10431</v>
      </c>
    </row>
    <row r="644" spans="1:28">
      <c r="A644" s="2" t="s">
        <v>9036</v>
      </c>
      <c r="B644" s="2" t="s">
        <v>368</v>
      </c>
      <c r="C644" s="11" t="s">
        <v>1765</v>
      </c>
      <c r="D644" s="2" t="s">
        <v>30</v>
      </c>
      <c r="E644" s="2" t="s">
        <v>151</v>
      </c>
      <c r="F644" s="11" t="s">
        <v>1499</v>
      </c>
      <c r="G644" s="46" t="s">
        <v>1500</v>
      </c>
      <c r="H644" s="2" t="s">
        <v>1766</v>
      </c>
      <c r="I644" s="12" t="s">
        <v>152</v>
      </c>
      <c r="J644" s="41">
        <f>+Tabla1[[#This Row],[FECHA ENTRADA]]</f>
        <v>45727</v>
      </c>
      <c r="K644" s="41">
        <v>45729</v>
      </c>
      <c r="L644" s="42">
        <f>_xlfn.DAYS(Tabla1[[#This Row],[FECHA FIN ]],Tabla1[[#This Row],[FECHA INICIO]])</f>
        <v>2</v>
      </c>
      <c r="M644" s="12"/>
      <c r="N644" s="12"/>
      <c r="O644" s="28">
        <f>(Tabla1[[#This Row],[COSTO FIJO ]]/30)*Tabla1[[#This Row],[TOTAL DIAS PROYECTO]]+(Tabla1[[#This Row],[COSTO TEMPORAL]])</f>
        <v>0</v>
      </c>
      <c r="P644" s="12"/>
      <c r="Q644" s="12">
        <f>+(Tabla1[[#This Row],[COSTO COCHE]]/30)*Tabla1[[#This Row],[TOTAL DIAS PROYECTO]]</f>
        <v>0</v>
      </c>
      <c r="R644" s="12">
        <f>+Tabla1[[#This Row],[COSTO TOTAL ALOJAMIENTO]]+Tabla1[[#This Row],[COSTO TOTAL COCHE]]</f>
        <v>0</v>
      </c>
      <c r="S644" s="2"/>
      <c r="T644" s="2" t="s">
        <v>35</v>
      </c>
      <c r="U644" s="14">
        <v>45727</v>
      </c>
      <c r="V644" s="43"/>
      <c r="W644" s="26"/>
      <c r="X644" s="2">
        <v>5</v>
      </c>
      <c r="Y644" s="11" t="s">
        <v>1166</v>
      </c>
      <c r="Z644" s="2" t="s">
        <v>36</v>
      </c>
      <c r="AA644" s="13" t="s">
        <v>10345</v>
      </c>
      <c r="AB644" s="13" t="s">
        <v>10346</v>
      </c>
    </row>
    <row r="645" spans="1:28">
      <c r="A645" s="2" t="s">
        <v>8695</v>
      </c>
      <c r="B645" s="2" t="s">
        <v>28</v>
      </c>
      <c r="C645" s="18" t="s">
        <v>319</v>
      </c>
      <c r="D645" s="2" t="s">
        <v>30</v>
      </c>
      <c r="E645" s="2" t="s">
        <v>380</v>
      </c>
      <c r="F645" s="11" t="s">
        <v>1579</v>
      </c>
      <c r="G645" s="11" t="s">
        <v>1580</v>
      </c>
      <c r="H645" s="2" t="s">
        <v>1581</v>
      </c>
      <c r="I645" s="12" t="s">
        <v>1582</v>
      </c>
      <c r="J645" s="8">
        <f>+Tabla1[[#This Row],[FECHA ENTRADA]]</f>
        <v>45476</v>
      </c>
      <c r="K645" s="8">
        <v>45523</v>
      </c>
      <c r="L645" s="13">
        <f>_xlfn.DAYS(Tabla1[[#This Row],[FECHA FIN ]],Tabla1[[#This Row],[FECHA INICIO]])</f>
        <v>47</v>
      </c>
      <c r="M645" s="12"/>
      <c r="N645" s="12">
        <v>333.33333333333331</v>
      </c>
      <c r="O645" s="12">
        <f>(Tabla1[[#This Row],[COSTO FIJO ]]/30)*Tabla1[[#This Row],[TOTAL DIAS PROYECTO]]+(Tabla1[[#This Row],[COSTO TEMPORAL]])</f>
        <v>522.22222222222217</v>
      </c>
      <c r="P645" s="12"/>
      <c r="Q645" s="12">
        <f>+(Tabla1[[#This Row],[COSTO COCHE]]/30)*Tabla1[[#This Row],[TOTAL DIAS PROYECTO]]</f>
        <v>0</v>
      </c>
      <c r="R645" s="12">
        <f>+Tabla1[[#This Row],[COSTO TOTAL ALOJAMIENTO]]+Tabla1[[#This Row],[COSTO TOTAL COCHE]]</f>
        <v>522.22222222222217</v>
      </c>
      <c r="S645" s="2"/>
      <c r="T645" s="2" t="s">
        <v>35</v>
      </c>
      <c r="U645" s="14">
        <v>45476</v>
      </c>
      <c r="V645" s="14"/>
      <c r="W645" s="26">
        <v>1650</v>
      </c>
      <c r="X645" s="2">
        <v>1</v>
      </c>
      <c r="Y645" s="18" t="s">
        <v>1767</v>
      </c>
      <c r="Z645" s="2" t="s">
        <v>36</v>
      </c>
      <c r="AA645" s="13" t="s">
        <v>10370</v>
      </c>
      <c r="AB645" s="13" t="s">
        <v>10371</v>
      </c>
    </row>
    <row r="646" spans="1:28" ht="15" customHeight="1">
      <c r="A646" s="2" t="s">
        <v>8799</v>
      </c>
      <c r="B646" s="2" t="s">
        <v>28</v>
      </c>
      <c r="C646" s="11" t="s">
        <v>815</v>
      </c>
      <c r="D646" s="2" t="s">
        <v>30</v>
      </c>
      <c r="E646" s="2" t="s">
        <v>626</v>
      </c>
      <c r="F646" s="11"/>
      <c r="G646" s="49"/>
      <c r="H646" s="2" t="s">
        <v>1768</v>
      </c>
      <c r="I646" s="12" t="s">
        <v>570</v>
      </c>
      <c r="J646" s="22">
        <f>+Tabla1[[#This Row],[FECHA ENTRADA]]</f>
        <v>45695</v>
      </c>
      <c r="K646" s="22">
        <v>45730</v>
      </c>
      <c r="L646" s="23">
        <f>_xlfn.DAYS(Tabla1[[#This Row],[FECHA FIN ]],Tabla1[[#This Row],[FECHA INICIO]])</f>
        <v>35</v>
      </c>
      <c r="M646" s="12"/>
      <c r="N646" s="12">
        <v>300</v>
      </c>
      <c r="O646" s="24">
        <f>(Tabla1[[#This Row],[COSTO FIJO ]]/30)*Tabla1[[#This Row],[TOTAL DIAS PROYECTO]]+(Tabla1[[#This Row],[COSTO TEMPORAL]])</f>
        <v>350</v>
      </c>
      <c r="P646" s="12"/>
      <c r="Q646" s="12">
        <f>+(Tabla1[[#This Row],[COSTO COCHE]]/30)*Tabla1[[#This Row],[TOTAL DIAS PROYECTO]]</f>
        <v>0</v>
      </c>
      <c r="R646" s="12">
        <f>+Tabla1[[#This Row],[COSTO TOTAL ALOJAMIENTO]]+Tabla1[[#This Row],[COSTO TOTAL COCHE]]</f>
        <v>350</v>
      </c>
      <c r="S646" s="2"/>
      <c r="T646" s="2" t="s">
        <v>58</v>
      </c>
      <c r="U646" s="14">
        <v>45695</v>
      </c>
      <c r="V646" s="25"/>
      <c r="W646" s="26"/>
      <c r="X646" s="2"/>
      <c r="Y646" s="11" t="s">
        <v>1769</v>
      </c>
      <c r="Z646" s="2" t="s">
        <v>36</v>
      </c>
      <c r="AA646" s="13" t="s">
        <v>10385</v>
      </c>
      <c r="AB646" s="13" t="s">
        <v>10386</v>
      </c>
    </row>
    <row r="647" spans="1:28" ht="15" customHeight="1">
      <c r="A647" s="2" t="s">
        <v>9037</v>
      </c>
      <c r="B647" s="2" t="s">
        <v>28</v>
      </c>
      <c r="C647" s="18" t="s">
        <v>1770</v>
      </c>
      <c r="D647" s="2" t="s">
        <v>30</v>
      </c>
      <c r="E647" s="2" t="s">
        <v>109</v>
      </c>
      <c r="F647" s="11" t="s">
        <v>898</v>
      </c>
      <c r="G647" s="30" t="s">
        <v>899</v>
      </c>
      <c r="H647" s="2" t="s">
        <v>900</v>
      </c>
      <c r="I647" s="2" t="s">
        <v>52</v>
      </c>
      <c r="J647" s="8">
        <f>+Tabla1[[#This Row],[FECHA ENTRADA]]</f>
        <v>45474</v>
      </c>
      <c r="K647" s="22">
        <v>45821</v>
      </c>
      <c r="L647" s="13">
        <f>_xlfn.DAYS(Tabla1[[#This Row],[FECHA FIN ]],Tabla1[[#This Row],[FECHA INICIO]])</f>
        <v>347</v>
      </c>
      <c r="M647" s="12"/>
      <c r="N647" s="24"/>
      <c r="O647" s="12">
        <f>(Tabla1[[#This Row],[COSTO FIJO ]]/30)*Tabla1[[#This Row],[TOTAL DIAS PROYECTO]]+(Tabla1[[#This Row],[COSTO TEMPORAL]])</f>
        <v>0</v>
      </c>
      <c r="P647" s="12"/>
      <c r="Q647" s="12">
        <f>+(Tabla1[[#This Row],[COSTO COCHE]]/30)*Tabla1[[#This Row],[TOTAL DIAS PROYECTO]]</f>
        <v>0</v>
      </c>
      <c r="R647" s="12">
        <f>+Tabla1[[#This Row],[COSTO TOTAL ALOJAMIENTO]]+Tabla1[[#This Row],[COSTO TOTAL COCHE]]</f>
        <v>0</v>
      </c>
      <c r="S647" s="2"/>
      <c r="T647" s="2" t="s">
        <v>35</v>
      </c>
      <c r="U647" s="14">
        <v>45474</v>
      </c>
      <c r="V647" s="8"/>
      <c r="W647" s="26"/>
      <c r="X647" s="2">
        <v>1</v>
      </c>
      <c r="Y647" s="11" t="s">
        <v>1771</v>
      </c>
      <c r="Z647" s="2" t="s">
        <v>36</v>
      </c>
      <c r="AA647" s="13">
        <v>0.62217999999999996</v>
      </c>
      <c r="AB647" s="13" t="s">
        <v>10339</v>
      </c>
    </row>
    <row r="648" spans="1:28">
      <c r="A648" s="2" t="s">
        <v>9038</v>
      </c>
      <c r="B648" s="2" t="s">
        <v>28</v>
      </c>
      <c r="C648" s="11" t="s">
        <v>1772</v>
      </c>
      <c r="D648" s="2" t="s">
        <v>30</v>
      </c>
      <c r="E648" s="2" t="s">
        <v>877</v>
      </c>
      <c r="F648" s="11"/>
      <c r="G648" s="11"/>
      <c r="H648" s="2">
        <v>2023</v>
      </c>
      <c r="I648" s="2" t="s">
        <v>879</v>
      </c>
      <c r="J648" s="8">
        <f>+Tabla1[[#This Row],[FECHA ENTRADA]]</f>
        <v>45345</v>
      </c>
      <c r="K648" s="22">
        <v>45730</v>
      </c>
      <c r="L648" s="13">
        <f>_xlfn.DAYS(Tabla1[[#This Row],[FECHA FIN ]],Tabla1[[#This Row],[FECHA INICIO]])</f>
        <v>385</v>
      </c>
      <c r="M648" s="12"/>
      <c r="N648" s="12">
        <v>320</v>
      </c>
      <c r="O648" s="12">
        <f>(Tabla1[[#This Row],[COSTO FIJO ]]/30)*Tabla1[[#This Row],[TOTAL DIAS PROYECTO]]+(Tabla1[[#This Row],[COSTO TEMPORAL]])</f>
        <v>4106.6666666666661</v>
      </c>
      <c r="P648" s="12"/>
      <c r="Q648" s="12">
        <f>+(Tabla1[[#This Row],[COSTO COCHE]]/30)*Tabla1[[#This Row],[TOTAL DIAS PROYECTO]]</f>
        <v>0</v>
      </c>
      <c r="R648" s="12">
        <f>+Tabla1[[#This Row],[COSTO TOTAL ALOJAMIENTO]]+Tabla1[[#This Row],[COSTO TOTAL COCHE]]</f>
        <v>4106.6666666666661</v>
      </c>
      <c r="S648" s="2"/>
      <c r="T648" s="2" t="s">
        <v>58</v>
      </c>
      <c r="U648" s="14">
        <v>45345</v>
      </c>
      <c r="V648" s="14"/>
      <c r="W648" s="12">
        <v>640</v>
      </c>
      <c r="X648" s="16"/>
      <c r="Y648" s="11" t="s">
        <v>1773</v>
      </c>
      <c r="Z648" s="2" t="s">
        <v>36</v>
      </c>
      <c r="AA648" s="13" t="s">
        <v>10403</v>
      </c>
      <c r="AB648" s="13" t="s">
        <v>10404</v>
      </c>
    </row>
    <row r="649" spans="1:28" ht="15" customHeight="1">
      <c r="A649" s="2" t="s">
        <v>9039</v>
      </c>
      <c r="B649" t="s">
        <v>368</v>
      </c>
      <c r="C649" s="11" t="s">
        <v>1774</v>
      </c>
      <c r="D649" s="2" t="s">
        <v>30</v>
      </c>
      <c r="E649" s="2" t="s">
        <v>109</v>
      </c>
      <c r="F649" s="11" t="s">
        <v>1775</v>
      </c>
      <c r="G649" s="46"/>
      <c r="H649" s="2" t="s">
        <v>1472</v>
      </c>
      <c r="I649" s="12" t="s">
        <v>42</v>
      </c>
      <c r="J649" s="41">
        <f>+Tabla1[[#This Row],[FECHA ENTRADA]]</f>
        <v>45638</v>
      </c>
      <c r="K649" s="8">
        <v>45639</v>
      </c>
      <c r="L649" s="42">
        <f>_xlfn.DAYS(Tabla1[[#This Row],[FECHA FIN ]],Tabla1[[#This Row],[FECHA INICIO]])</f>
        <v>1</v>
      </c>
      <c r="M649" s="12"/>
      <c r="N649" s="12"/>
      <c r="O649" s="28">
        <f>(Tabla1[[#This Row],[COSTO FIJO ]]/30)*Tabla1[[#This Row],[TOTAL DIAS PROYECTO]]+(Tabla1[[#This Row],[COSTO TEMPORAL]])</f>
        <v>0</v>
      </c>
      <c r="P649" s="12"/>
      <c r="Q649" s="12">
        <f>+(Tabla1[[#This Row],[COSTO COCHE]]/30)*Tabla1[[#This Row],[TOTAL DIAS PROYECTO]]</f>
        <v>0</v>
      </c>
      <c r="R649" s="12">
        <f>+Tabla1[[#This Row],[COSTO TOTAL ALOJAMIENTO]]+Tabla1[[#This Row],[COSTO TOTAL COCHE]]</f>
        <v>0</v>
      </c>
      <c r="S649" s="2"/>
      <c r="T649" s="2" t="s">
        <v>44</v>
      </c>
      <c r="U649" s="14">
        <v>45638</v>
      </c>
      <c r="V649" s="43"/>
      <c r="W649" s="26"/>
      <c r="X649" s="2"/>
      <c r="Y649" s="11"/>
      <c r="Z649" s="2" t="s">
        <v>36</v>
      </c>
      <c r="AA649" s="13">
        <v>0.62217999999999996</v>
      </c>
      <c r="AB649" s="13" t="s">
        <v>10339</v>
      </c>
    </row>
    <row r="650" spans="1:28" ht="15" customHeight="1">
      <c r="A650" s="2" t="s">
        <v>8944</v>
      </c>
      <c r="B650" s="2" t="s">
        <v>28</v>
      </c>
      <c r="C650" s="115" t="s">
        <v>1382</v>
      </c>
      <c r="D650" s="2" t="s">
        <v>30</v>
      </c>
      <c r="E650" s="2" t="s">
        <v>109</v>
      </c>
      <c r="F650" s="11" t="s">
        <v>898</v>
      </c>
      <c r="G650" t="s">
        <v>899</v>
      </c>
      <c r="H650" s="2" t="s">
        <v>1470</v>
      </c>
      <c r="I650" s="2" t="s">
        <v>52</v>
      </c>
      <c r="J650" s="41">
        <f>+Tabla1[[#This Row],[FECHA ENTRADA]]</f>
        <v>45599</v>
      </c>
      <c r="K650" s="22">
        <v>45821</v>
      </c>
      <c r="L650" s="42">
        <f>_xlfn.DAYS(Tabla1[[#This Row],[FECHA FIN ]],Tabla1[[#This Row],[FECHA INICIO]])</f>
        <v>222</v>
      </c>
      <c r="M650" s="12"/>
      <c r="N650" s="24"/>
      <c r="O650" s="28">
        <f>(Tabla1[[#This Row],[COSTO FIJO ]]/30)*Tabla1[[#This Row],[TOTAL DIAS PROYECTO]]+(Tabla1[[#This Row],[COSTO TEMPORAL]])</f>
        <v>0</v>
      </c>
      <c r="P650" s="12"/>
      <c r="Q650" s="12">
        <f>+(Tabla1[[#This Row],[COSTO COCHE]]/30)*Tabla1[[#This Row],[TOTAL DIAS PROYECTO]]</f>
        <v>0</v>
      </c>
      <c r="R650" s="12">
        <f>+Tabla1[[#This Row],[COSTO TOTAL ALOJAMIENTO]]+Tabla1[[#This Row],[COSTO TOTAL COCHE]]</f>
        <v>0</v>
      </c>
      <c r="S650" s="2"/>
      <c r="T650" s="2" t="s">
        <v>35</v>
      </c>
      <c r="U650" s="14">
        <v>45599</v>
      </c>
      <c r="V650" s="43"/>
      <c r="W650" s="26">
        <v>2800</v>
      </c>
      <c r="X650" s="2">
        <v>1</v>
      </c>
      <c r="Y650" s="11" t="s">
        <v>1471</v>
      </c>
      <c r="Z650" s="2" t="s">
        <v>36</v>
      </c>
      <c r="AA650" s="13">
        <v>0.62217999999999996</v>
      </c>
      <c r="AB650" s="13" t="s">
        <v>10339</v>
      </c>
    </row>
    <row r="651" spans="1:28" ht="15" customHeight="1">
      <c r="A651" s="2" t="s">
        <v>8995</v>
      </c>
      <c r="B651" s="2" t="s">
        <v>368</v>
      </c>
      <c r="C651" s="31" t="s">
        <v>1621</v>
      </c>
      <c r="D651" s="2" t="s">
        <v>30</v>
      </c>
      <c r="E651" s="2" t="s">
        <v>55</v>
      </c>
      <c r="F651" s="11" t="s">
        <v>1776</v>
      </c>
      <c r="G651" s="107" t="s">
        <v>106</v>
      </c>
      <c r="H651" s="2" t="s">
        <v>1622</v>
      </c>
      <c r="I651" s="30" t="s">
        <v>1620</v>
      </c>
      <c r="J651" s="41">
        <f>+Tabla1[[#This Row],[FECHA ENTRADA]]</f>
        <v>45710</v>
      </c>
      <c r="K651" s="41">
        <v>45730</v>
      </c>
      <c r="L651" s="42">
        <f>_xlfn.DAYS(Tabla1[[#This Row],[FECHA FIN ]],Tabla1[[#This Row],[FECHA INICIO]])</f>
        <v>20</v>
      </c>
      <c r="M651" s="12"/>
      <c r="N651" s="28">
        <v>483.33333333333331</v>
      </c>
      <c r="O651" s="28">
        <f>(Tabla1[[#This Row],[COSTO FIJO ]]/30)*Tabla1[[#This Row],[TOTAL DIAS PROYECTO]]+(Tabla1[[#This Row],[COSTO TEMPORAL]])</f>
        <v>322.22222222222223</v>
      </c>
      <c r="P651" s="12"/>
      <c r="Q651" s="12"/>
      <c r="R651" s="12">
        <f>+Tabla1[[#This Row],[COSTO TOTAL ALOJAMIENTO]]+Tabla1[[#This Row],[COSTO TOTAL COCHE]]</f>
        <v>322.22222222222223</v>
      </c>
      <c r="S651" s="2"/>
      <c r="T651" s="2" t="s">
        <v>35</v>
      </c>
      <c r="U651" s="14">
        <v>45710</v>
      </c>
      <c r="V651" s="43"/>
      <c r="W651" s="26"/>
      <c r="X651" s="2">
        <v>1</v>
      </c>
      <c r="Y651" s="11"/>
      <c r="Z651" s="2" t="s">
        <v>36</v>
      </c>
      <c r="AA651" s="13" t="s">
        <v>10327</v>
      </c>
      <c r="AB651" s="13" t="s">
        <v>10328</v>
      </c>
    </row>
    <row r="652" spans="1:28">
      <c r="A652" s="2" t="s">
        <v>8874</v>
      </c>
      <c r="B652" s="2" t="s">
        <v>368</v>
      </c>
      <c r="C652" s="86" t="s">
        <v>1121</v>
      </c>
      <c r="D652" s="2" t="s">
        <v>30</v>
      </c>
      <c r="E652" s="2" t="s">
        <v>213</v>
      </c>
      <c r="F652" s="11" t="s">
        <v>1492</v>
      </c>
      <c r="G652" s="30" t="s">
        <v>1493</v>
      </c>
      <c r="H652" s="2" t="s">
        <v>513</v>
      </c>
      <c r="I652" s="12" t="s">
        <v>514</v>
      </c>
      <c r="J652" s="41">
        <v>45631</v>
      </c>
      <c r="K652" s="41">
        <v>45730</v>
      </c>
      <c r="L652" s="42">
        <f>_xlfn.DAYS(Tabla1[[#This Row],[FECHA FIN ]],Tabla1[[#This Row],[FECHA INICIO]])</f>
        <v>99</v>
      </c>
      <c r="M652" s="12"/>
      <c r="N652" s="12">
        <v>471.42857142857144</v>
      </c>
      <c r="O652" s="28">
        <f>(Tabla1[[#This Row],[COSTO FIJO ]]/30)*Tabla1[[#This Row],[TOTAL DIAS PROYECTO]]+(Tabla1[[#This Row],[COSTO TEMPORAL]])</f>
        <v>1555.7142857142858</v>
      </c>
      <c r="P652" s="12">
        <f>2586.33/26</f>
        <v>99.474230769230772</v>
      </c>
      <c r="Q652" s="12">
        <f>+(Tabla1[[#This Row],[COSTO COCHE]]/30)*Tabla1[[#This Row],[TOTAL DIAS PROYECTO]]</f>
        <v>328.26496153846153</v>
      </c>
      <c r="R652" s="12">
        <f>+Tabla1[[#This Row],[COSTO TOTAL ALOJAMIENTO]]+Tabla1[[#This Row],[COSTO TOTAL COCHE]]</f>
        <v>1883.9792472527474</v>
      </c>
      <c r="S652" s="2"/>
      <c r="T652" s="2" t="s">
        <v>35</v>
      </c>
      <c r="U652" s="14"/>
      <c r="V652" s="43"/>
      <c r="W652" s="26"/>
      <c r="X652" s="2">
        <v>5</v>
      </c>
      <c r="Y652" s="11"/>
      <c r="Z652" s="116" t="s">
        <v>36</v>
      </c>
      <c r="AA652" s="13" t="s">
        <v>10349</v>
      </c>
      <c r="AB652" s="13" t="s">
        <v>10350</v>
      </c>
    </row>
    <row r="653" spans="1:28" ht="15" customHeight="1">
      <c r="A653" s="2" t="s">
        <v>9021</v>
      </c>
      <c r="B653" s="2" t="s">
        <v>28</v>
      </c>
      <c r="C653" s="11" t="s">
        <v>1715</v>
      </c>
      <c r="D653" s="2" t="s">
        <v>99</v>
      </c>
      <c r="E653" s="2" t="s">
        <v>213</v>
      </c>
      <c r="F653" s="11" t="s">
        <v>1777</v>
      </c>
      <c r="G653" s="46" t="s">
        <v>1778</v>
      </c>
      <c r="H653" s="2" t="s">
        <v>1713</v>
      </c>
      <c r="I653" s="12" t="s">
        <v>1627</v>
      </c>
      <c r="J653" s="41">
        <f>+Tabla1[[#This Row],[FECHA ENTRADA]]</f>
        <v>45725</v>
      </c>
      <c r="K653" s="41">
        <v>45730</v>
      </c>
      <c r="L653" s="42">
        <f>_xlfn.DAYS(Tabla1[[#This Row],[FECHA FIN ]],Tabla1[[#This Row],[FECHA INICIO]])</f>
        <v>5</v>
      </c>
      <c r="M653" s="12"/>
      <c r="N653" s="28">
        <v>487.5</v>
      </c>
      <c r="O653" s="28">
        <f>(Tabla1[[#This Row],[COSTO FIJO ]]/30)*Tabla1[[#This Row],[TOTAL DIAS PROYECTO]]+(Tabla1[[#This Row],[COSTO TEMPORAL]])</f>
        <v>81.25</v>
      </c>
      <c r="P653" s="12"/>
      <c r="Q653" s="12">
        <f>+(Tabla1[[#This Row],[COSTO COCHE]]/30)*Tabla1[[#This Row],[TOTAL DIAS PROYECTO]]</f>
        <v>0</v>
      </c>
      <c r="R653" s="12">
        <f>+Tabla1[[#This Row],[COSTO TOTAL ALOJAMIENTO]]+Tabla1[[#This Row],[COSTO TOTAL COCHE]]</f>
        <v>81.25</v>
      </c>
      <c r="S653" s="2"/>
      <c r="T653" s="2" t="s">
        <v>35</v>
      </c>
      <c r="U653" s="14">
        <v>45725</v>
      </c>
      <c r="V653" s="43"/>
      <c r="W653" s="26">
        <v>800</v>
      </c>
      <c r="X653" s="2">
        <v>5</v>
      </c>
      <c r="Y653" s="11"/>
      <c r="Z653" s="2" t="s">
        <v>36</v>
      </c>
      <c r="AA653" s="13" t="s">
        <v>10349</v>
      </c>
      <c r="AB653" s="13" t="s">
        <v>10350</v>
      </c>
    </row>
    <row r="654" spans="1:28" ht="15" customHeight="1">
      <c r="A654" s="2" t="s">
        <v>9040</v>
      </c>
      <c r="B654" s="2" t="s">
        <v>28</v>
      </c>
      <c r="C654" s="11" t="s">
        <v>1779</v>
      </c>
      <c r="D654" s="2" t="s">
        <v>161</v>
      </c>
      <c r="E654" s="2" t="s">
        <v>1748</v>
      </c>
      <c r="F654" s="11"/>
      <c r="G654" s="49"/>
      <c r="H654" s="2" t="s">
        <v>1749</v>
      </c>
      <c r="I654" t="s">
        <v>1750</v>
      </c>
      <c r="J654" s="22">
        <f>+Tabla1[[#This Row],[FECHA ENTRADA]]</f>
        <v>45712</v>
      </c>
      <c r="K654" s="8">
        <v>45730</v>
      </c>
      <c r="L654" s="23">
        <f>_xlfn.DAYS(Tabla1[[#This Row],[FECHA FIN ]],Tabla1[[#This Row],[FECHA INICIO]])</f>
        <v>18</v>
      </c>
      <c r="M654" s="12"/>
      <c r="N654" s="12"/>
      <c r="O654" s="24">
        <f>(Tabla1[[#This Row],[COSTO FIJO ]]/30)*Tabla1[[#This Row],[TOTAL DIAS PROYECTO]]+(Tabla1[[#This Row],[COSTO TEMPORAL]])</f>
        <v>0</v>
      </c>
      <c r="P654" s="12"/>
      <c r="Q654" s="12">
        <f>+(Tabla1[[#This Row],[COSTO COCHE]]/30)*Tabla1[[#This Row],[TOTAL DIAS PROYECTO]]</f>
        <v>0</v>
      </c>
      <c r="R654" s="12">
        <f>+Tabla1[[#This Row],[COSTO TOTAL ALOJAMIENTO]]+Tabla1[[#This Row],[COSTO TOTAL COCHE]]</f>
        <v>0</v>
      </c>
      <c r="S654" s="2"/>
      <c r="T654" s="2" t="s">
        <v>58</v>
      </c>
      <c r="U654" s="14">
        <v>45712</v>
      </c>
      <c r="V654" s="25"/>
      <c r="W654" s="26"/>
      <c r="X654" s="2"/>
      <c r="Y654" s="11"/>
      <c r="Z654" s="2" t="s">
        <v>36</v>
      </c>
      <c r="AA654" s="13" t="s">
        <v>10428</v>
      </c>
      <c r="AB654" s="13" t="s">
        <v>10429</v>
      </c>
    </row>
    <row r="655" spans="1:28" ht="15.75" customHeight="1">
      <c r="A655" s="2" t="s">
        <v>8780</v>
      </c>
      <c r="B655" s="2" t="s">
        <v>28</v>
      </c>
      <c r="C655" s="11" t="s">
        <v>739</v>
      </c>
      <c r="D655" s="2" t="s">
        <v>30</v>
      </c>
      <c r="E655" s="2" t="s">
        <v>31</v>
      </c>
      <c r="F655" s="11" t="s">
        <v>409</v>
      </c>
      <c r="G655" s="46" t="s">
        <v>410</v>
      </c>
      <c r="H655" s="2" t="s">
        <v>1780</v>
      </c>
      <c r="I655" s="12" t="s">
        <v>34</v>
      </c>
      <c r="J655" s="41">
        <f>+Tabla1[[#This Row],[FECHA ENTRADA]]</f>
        <v>45578</v>
      </c>
      <c r="K655" s="8">
        <v>45730</v>
      </c>
      <c r="L655" s="42">
        <f>_xlfn.DAYS(Tabla1[[#This Row],[FECHA FIN ]],Tabla1[[#This Row],[FECHA INICIO]])</f>
        <v>152</v>
      </c>
      <c r="M655" s="28"/>
      <c r="N655" s="28">
        <v>350</v>
      </c>
      <c r="O655" s="28">
        <f>(Tabla1[[#This Row],[COSTO FIJO ]]/30)*Tabla1[[#This Row],[TOTAL DIAS PROYECTO]]+(Tabla1[[#This Row],[COSTO TEMPORAL]])</f>
        <v>1773.3333333333333</v>
      </c>
      <c r="P655" s="12">
        <f>942.69/16</f>
        <v>58.918125000000003</v>
      </c>
      <c r="Q655" s="12">
        <f>+(Tabla1[[#This Row],[COSTO COCHE]]/30)*Tabla1[[#This Row],[TOTAL DIAS PROYECTO]]</f>
        <v>298.51850000000002</v>
      </c>
      <c r="R655" s="12">
        <f>+Tabla1[[#This Row],[COSTO TOTAL ALOJAMIENTO]]+Tabla1[[#This Row],[COSTO TOTAL COCHE]]</f>
        <v>2071.8518333333332</v>
      </c>
      <c r="S655" s="2"/>
      <c r="T655" s="2" t="s">
        <v>35</v>
      </c>
      <c r="U655" s="14">
        <v>45578</v>
      </c>
      <c r="V655" s="43"/>
      <c r="W655" s="26"/>
      <c r="X655" s="2">
        <v>14</v>
      </c>
      <c r="Y655" s="11" t="s">
        <v>1781</v>
      </c>
      <c r="Z655" s="2" t="s">
        <v>36</v>
      </c>
      <c r="AA655" s="13" t="s">
        <v>10323</v>
      </c>
      <c r="AB655" s="13" t="s">
        <v>10324</v>
      </c>
    </row>
    <row r="656" spans="1:28" ht="15" customHeight="1">
      <c r="A656" s="2" t="s">
        <v>9041</v>
      </c>
      <c r="B656" s="2" t="s">
        <v>28</v>
      </c>
      <c r="C656" s="18" t="s">
        <v>1782</v>
      </c>
      <c r="D656" s="2" t="s">
        <v>30</v>
      </c>
      <c r="E656" s="2" t="s">
        <v>245</v>
      </c>
      <c r="F656" s="11" t="s">
        <v>1535</v>
      </c>
      <c r="G656" s="46" t="s">
        <v>1536</v>
      </c>
      <c r="H656" s="2" t="s">
        <v>1537</v>
      </c>
      <c r="I656" s="12" t="s">
        <v>1538</v>
      </c>
      <c r="J656" s="41">
        <f>+Tabla1[[#This Row],[FECHA ENTRADA]]</f>
        <v>45614</v>
      </c>
      <c r="K656" s="22">
        <v>45821</v>
      </c>
      <c r="L656" s="42">
        <f>_xlfn.DAYS(Tabla1[[#This Row],[FECHA FIN ]],Tabla1[[#This Row],[FECHA INICIO]])</f>
        <v>207</v>
      </c>
      <c r="M656" s="12"/>
      <c r="N656" s="12">
        <f>1811.6/17</f>
        <v>106.56470588235294</v>
      </c>
      <c r="O656" s="28">
        <f>(Tabla1[[#This Row],[COSTO FIJO ]]/30)*Tabla1[[#This Row],[TOTAL DIAS PROYECTO]]+(Tabla1[[#This Row],[COSTO TEMPORAL]])</f>
        <v>735.29647058823537</v>
      </c>
      <c r="P656" s="12"/>
      <c r="Q656" s="12">
        <f>+(Tabla1[[#This Row],[COSTO COCHE]]/30)*Tabla1[[#This Row],[TOTAL DIAS PROYECTO]]</f>
        <v>0</v>
      </c>
      <c r="R656" s="12">
        <f>+Tabla1[[#This Row],[COSTO TOTAL ALOJAMIENTO]]+Tabla1[[#This Row],[COSTO TOTAL COCHE]]</f>
        <v>735.29647058823537</v>
      </c>
      <c r="S656" s="2"/>
      <c r="T656" s="2" t="s">
        <v>44</v>
      </c>
      <c r="U656" s="14">
        <v>45614</v>
      </c>
      <c r="V656" s="43">
        <v>45618</v>
      </c>
      <c r="W656" s="26"/>
      <c r="X656" s="2"/>
      <c r="Y656" s="11" t="s">
        <v>1535</v>
      </c>
      <c r="Z656" s="2" t="s">
        <v>36</v>
      </c>
      <c r="AA656" s="13" t="s">
        <v>10355</v>
      </c>
      <c r="AB656" s="13" t="s">
        <v>10356</v>
      </c>
    </row>
    <row r="657" spans="1:28">
      <c r="A657" s="2" t="s">
        <v>9042</v>
      </c>
      <c r="B657" s="2" t="s">
        <v>28</v>
      </c>
      <c r="C657" s="18" t="s">
        <v>1783</v>
      </c>
      <c r="D657" s="2" t="s">
        <v>30</v>
      </c>
      <c r="E657" s="2" t="s">
        <v>245</v>
      </c>
      <c r="F657" s="11" t="s">
        <v>1784</v>
      </c>
      <c r="G657" s="21" t="s">
        <v>1785</v>
      </c>
      <c r="H657" s="2" t="s">
        <v>1786</v>
      </c>
      <c r="I657" s="12" t="s">
        <v>1538</v>
      </c>
      <c r="J657" s="22">
        <f>+Tabla1[[#This Row],[FECHA ENTRADA]]</f>
        <v>45615</v>
      </c>
      <c r="K657" s="8">
        <v>45618</v>
      </c>
      <c r="L657" s="42">
        <f>_xlfn.DAYS(Tabla1[[#This Row],[FECHA FIN ]],Tabla1[[#This Row],[FECHA INICIO]])</f>
        <v>3</v>
      </c>
      <c r="M657" s="12"/>
      <c r="N657" s="12">
        <v>154.32</v>
      </c>
      <c r="O657" s="28">
        <f>(Tabla1[[#This Row],[COSTO FIJO ]]/30)*Tabla1[[#This Row],[TOTAL DIAS PROYECTO]]+(Tabla1[[#This Row],[COSTO TEMPORAL]])</f>
        <v>15.432</v>
      </c>
      <c r="P657" s="12"/>
      <c r="Q657" s="12">
        <f>+(Tabla1[[#This Row],[COSTO COCHE]]/30)*Tabla1[[#This Row],[TOTAL DIAS PROYECTO]]</f>
        <v>0</v>
      </c>
      <c r="R657" s="12">
        <f>+Tabla1[[#This Row],[COSTO TOTAL ALOJAMIENTO]]+Tabla1[[#This Row],[COSTO TOTAL COCHE]]</f>
        <v>15.432</v>
      </c>
      <c r="S657" s="2"/>
      <c r="T657" s="2" t="s">
        <v>44</v>
      </c>
      <c r="U657" s="14">
        <v>45615</v>
      </c>
      <c r="V657" s="79">
        <v>45618</v>
      </c>
      <c r="W657" s="26"/>
      <c r="X657" s="2"/>
      <c r="Y657" s="11"/>
      <c r="Z657" s="2" t="s">
        <v>36</v>
      </c>
      <c r="AA657" s="13" t="s">
        <v>10355</v>
      </c>
      <c r="AB657" s="13" t="s">
        <v>10356</v>
      </c>
    </row>
    <row r="658" spans="1:28">
      <c r="A658" s="2" t="s">
        <v>9043</v>
      </c>
      <c r="B658" s="2" t="s">
        <v>28</v>
      </c>
      <c r="C658" s="11" t="s">
        <v>1787</v>
      </c>
      <c r="D658" s="2" t="s">
        <v>30</v>
      </c>
      <c r="E658" s="2" t="s">
        <v>55</v>
      </c>
      <c r="F658" s="11" t="s">
        <v>1653</v>
      </c>
      <c r="G658" s="11" t="s">
        <v>1440</v>
      </c>
      <c r="H658" s="2" t="s">
        <v>232</v>
      </c>
      <c r="I658" s="12" t="s">
        <v>233</v>
      </c>
      <c r="J658" s="8">
        <f>+Tabla1[[#This Row],[FECHA ENTRADA]]</f>
        <v>45341</v>
      </c>
      <c r="K658" s="8">
        <v>45731</v>
      </c>
      <c r="L658" s="13">
        <f>_xlfn.DAYS(Tabla1[[#This Row],[FECHA FIN ]],Tabla1[[#This Row],[FECHA INICIO]])</f>
        <v>390</v>
      </c>
      <c r="M658" s="2"/>
      <c r="N658" s="12">
        <v>500</v>
      </c>
      <c r="O658" s="12">
        <f>(Tabla1[[#This Row],[COSTO FIJO ]]/30)*Tabla1[[#This Row],[TOTAL DIAS PROYECTO]]+(Tabla1[[#This Row],[COSTO TEMPORAL]])</f>
        <v>6500.0000000000009</v>
      </c>
      <c r="P658" s="12"/>
      <c r="Q658" s="12">
        <f>+(Tabla1[[#This Row],[COSTO COCHE]]/30)*Tabla1[[#This Row],[TOTAL DIAS PROYECTO]]</f>
        <v>0</v>
      </c>
      <c r="R658" s="12">
        <f>+Tabla1[[#This Row],[COSTO TOTAL ALOJAMIENTO]]+Tabla1[[#This Row],[COSTO TOTAL COCHE]]</f>
        <v>6500.0000000000009</v>
      </c>
      <c r="S658" s="2"/>
      <c r="T658" s="2" t="s">
        <v>35</v>
      </c>
      <c r="U658" s="14">
        <v>45341</v>
      </c>
      <c r="V658" s="14"/>
      <c r="W658" s="15"/>
      <c r="X658" s="16">
        <v>1</v>
      </c>
      <c r="Y658" s="11" t="s">
        <v>1788</v>
      </c>
      <c r="Z658" s="2" t="s">
        <v>36</v>
      </c>
      <c r="AA658" s="13" t="s">
        <v>10327</v>
      </c>
      <c r="AB658" s="13" t="s">
        <v>10328</v>
      </c>
    </row>
    <row r="659" spans="1:28" ht="15" customHeight="1">
      <c r="A659" s="2" t="s">
        <v>9044</v>
      </c>
      <c r="B659" s="2" t="s">
        <v>28</v>
      </c>
      <c r="C659" s="18" t="s">
        <v>1789</v>
      </c>
      <c r="D659" s="2" t="s">
        <v>30</v>
      </c>
      <c r="E659" s="2" t="s">
        <v>380</v>
      </c>
      <c r="F659" s="11" t="s">
        <v>1790</v>
      </c>
      <c r="G659" s="11" t="s">
        <v>767</v>
      </c>
      <c r="H659" s="2" t="s">
        <v>1791</v>
      </c>
      <c r="I659" s="12" t="s">
        <v>382</v>
      </c>
      <c r="J659" s="8">
        <f>+Tabla1[[#This Row],[FECHA ENTRADA]]</f>
        <v>45382</v>
      </c>
      <c r="K659" s="22">
        <v>45821</v>
      </c>
      <c r="L659" s="13">
        <f>_xlfn.DAYS(Tabla1[[#This Row],[FECHA FIN ]],Tabla1[[#This Row],[FECHA INICIO]])</f>
        <v>439</v>
      </c>
      <c r="M659" s="12"/>
      <c r="N659" s="24"/>
      <c r="O659" s="12">
        <f>(Tabla1[[#This Row],[COSTO FIJO ]]/30)*Tabla1[[#This Row],[TOTAL DIAS PROYECTO]]+(Tabla1[[#This Row],[COSTO TEMPORAL]])</f>
        <v>0</v>
      </c>
      <c r="P659" s="12"/>
      <c r="Q659" s="12">
        <f>+(Tabla1[[#This Row],[COSTO COCHE]]/30)*Tabla1[[#This Row],[TOTAL DIAS PROYECTO]]</f>
        <v>0</v>
      </c>
      <c r="R659" s="12">
        <f>+Tabla1[[#This Row],[COSTO TOTAL ALOJAMIENTO]]+Tabla1[[#This Row],[COSTO TOTAL COCHE]]</f>
        <v>0</v>
      </c>
      <c r="S659" s="2"/>
      <c r="T659" s="2" t="s">
        <v>35</v>
      </c>
      <c r="U659" s="14">
        <v>45382</v>
      </c>
      <c r="V659" s="14">
        <v>45407</v>
      </c>
      <c r="W659" s="15"/>
      <c r="X659" s="16">
        <v>1</v>
      </c>
      <c r="Y659" s="18" t="s">
        <v>1792</v>
      </c>
      <c r="Z659" s="2" t="s">
        <v>36</v>
      </c>
      <c r="AA659" s="13" t="s">
        <v>10370</v>
      </c>
      <c r="AB659" s="13" t="s">
        <v>10371</v>
      </c>
    </row>
    <row r="660" spans="1:28" ht="15" customHeight="1">
      <c r="A660" s="2" t="s">
        <v>8987</v>
      </c>
      <c r="B660" t="s">
        <v>368</v>
      </c>
      <c r="C660" s="11" t="s">
        <v>1601</v>
      </c>
      <c r="D660" s="2" t="s">
        <v>30</v>
      </c>
      <c r="E660" s="2" t="s">
        <v>109</v>
      </c>
      <c r="F660" s="11" t="s">
        <v>898</v>
      </c>
      <c r="G660" s="46" t="s">
        <v>899</v>
      </c>
      <c r="H660" s="2" t="s">
        <v>1521</v>
      </c>
      <c r="I660" s="12" t="s">
        <v>42</v>
      </c>
      <c r="J660" s="41">
        <f>+Tabla1[[#This Row],[FECHA ENTRADA]]</f>
        <v>45601</v>
      </c>
      <c r="K660" s="22">
        <v>45821</v>
      </c>
      <c r="L660" s="42">
        <f>_xlfn.DAYS(Tabla1[[#This Row],[FECHA FIN ]],Tabla1[[#This Row],[FECHA INICIO]])</f>
        <v>220</v>
      </c>
      <c r="M660" s="12"/>
      <c r="N660" s="12"/>
      <c r="O660" s="28">
        <f>(Tabla1[[#This Row],[COSTO FIJO ]]/30)*Tabla1[[#This Row],[TOTAL DIAS PROYECTO]]+(Tabla1[[#This Row],[COSTO TEMPORAL]])</f>
        <v>0</v>
      </c>
      <c r="P660" s="12">
        <v>66.666666666666671</v>
      </c>
      <c r="Q660" s="12">
        <f>+(Tabla1[[#This Row],[COSTO COCHE]]/30)*Tabla1[[#This Row],[TOTAL DIAS PROYECTO]]</f>
        <v>488.88888888888891</v>
      </c>
      <c r="R660" s="12">
        <f>+Tabla1[[#This Row],[COSTO TOTAL ALOJAMIENTO]]+Tabla1[[#This Row],[COSTO TOTAL COCHE]]</f>
        <v>488.88888888888891</v>
      </c>
      <c r="S660" s="2"/>
      <c r="T660" s="2" t="s">
        <v>35</v>
      </c>
      <c r="U660" s="14">
        <v>45601</v>
      </c>
      <c r="V660" s="43"/>
      <c r="W660" s="26">
        <v>2800</v>
      </c>
      <c r="X660" s="2">
        <v>1</v>
      </c>
      <c r="Y660" s="11"/>
      <c r="Z660" s="2" t="s">
        <v>36</v>
      </c>
      <c r="AA660" s="13">
        <v>0.62217999999999996</v>
      </c>
      <c r="AB660" s="13" t="s">
        <v>10339</v>
      </c>
    </row>
    <row r="661" spans="1:28" ht="15" customHeight="1">
      <c r="A661" s="2" t="s">
        <v>8973</v>
      </c>
      <c r="B661" s="30" t="s">
        <v>368</v>
      </c>
      <c r="C661" s="11" t="s">
        <v>1560</v>
      </c>
      <c r="D661" s="2" t="s">
        <v>30</v>
      </c>
      <c r="E661" s="2" t="s">
        <v>109</v>
      </c>
      <c r="F661" s="11" t="s">
        <v>1793</v>
      </c>
      <c r="G661" s="21">
        <v>973266788</v>
      </c>
      <c r="H661" s="2" t="s">
        <v>1561</v>
      </c>
      <c r="I661" s="29" t="s">
        <v>1562</v>
      </c>
      <c r="J661" s="41">
        <f>+Tabla1[[#This Row],[FECHA ENTRADA]]</f>
        <v>45663</v>
      </c>
      <c r="K661" s="8">
        <v>45680</v>
      </c>
      <c r="L661" s="42">
        <f>_xlfn.DAYS(Tabla1[[#This Row],[FECHA FIN ]],Tabla1[[#This Row],[FECHA INICIO]])</f>
        <v>17</v>
      </c>
      <c r="M661" s="12"/>
      <c r="N661" s="12">
        <f>35*10</f>
        <v>350</v>
      </c>
      <c r="O661" s="28">
        <f>(Tabla1[[#This Row],[COSTO FIJO ]]/30)*Tabla1[[#This Row],[TOTAL DIAS PROYECTO]]+(Tabla1[[#This Row],[COSTO TEMPORAL]])</f>
        <v>198.33333333333331</v>
      </c>
      <c r="P661" s="12"/>
      <c r="Q661" s="12">
        <f>+(Tabla1[[#This Row],[COSTO COCHE]]/30)*Tabla1[[#This Row],[TOTAL DIAS PROYECTO]]</f>
        <v>0</v>
      </c>
      <c r="R661" s="12">
        <f>+Tabla1[[#This Row],[COSTO TOTAL ALOJAMIENTO]]+Tabla1[[#This Row],[COSTO TOTAL COCHE]]</f>
        <v>198.33333333333331</v>
      </c>
      <c r="S661" s="2"/>
      <c r="T661" s="2" t="s">
        <v>44</v>
      </c>
      <c r="U661" s="14">
        <v>45663</v>
      </c>
      <c r="V661" s="43">
        <v>45680</v>
      </c>
      <c r="W661" s="26"/>
      <c r="X661" s="2"/>
      <c r="Y661" s="11"/>
      <c r="Z661" s="2" t="s">
        <v>36</v>
      </c>
      <c r="AA661" s="13">
        <v>0.62217999999999996</v>
      </c>
      <c r="AB661" s="13" t="s">
        <v>10339</v>
      </c>
    </row>
    <row r="662" spans="1:28" ht="15" customHeight="1">
      <c r="A662" s="2" t="s">
        <v>8906</v>
      </c>
      <c r="B662" s="2" t="s">
        <v>28</v>
      </c>
      <c r="C662" s="11" t="s">
        <v>1228</v>
      </c>
      <c r="D662" s="2" t="s">
        <v>30</v>
      </c>
      <c r="E662" s="2" t="s">
        <v>1664</v>
      </c>
      <c r="F662" s="11" t="s">
        <v>1794</v>
      </c>
      <c r="G662" s="21" t="s">
        <v>1795</v>
      </c>
      <c r="H662" s="2" t="s">
        <v>1658</v>
      </c>
      <c r="I662" s="12" t="s">
        <v>96</v>
      </c>
      <c r="J662" s="41">
        <f>+Tabla1[[#This Row],[FECHA ENTRADA]]</f>
        <v>45807</v>
      </c>
      <c r="K662" s="41">
        <v>45843</v>
      </c>
      <c r="L662" s="42">
        <f>_xlfn.DAYS(Tabla1[[#This Row],[FECHA FIN ]],Tabla1[[#This Row],[FECHA INICIO]])</f>
        <v>36</v>
      </c>
      <c r="M662" s="12"/>
      <c r="N662" s="12"/>
      <c r="O662" s="28">
        <f>(Tabla1[[#This Row],[COSTO FIJO ]]/30)*Tabla1[[#This Row],[TOTAL DIAS PROYECTO]]+(Tabla1[[#This Row],[COSTO TEMPORAL]])</f>
        <v>0</v>
      </c>
      <c r="P662" s="12"/>
      <c r="Q662" s="12">
        <f>+(Tabla1[[#This Row],[COSTO COCHE]]/30)*Tabla1[[#This Row],[TOTAL DIAS PROYECTO]]</f>
        <v>0</v>
      </c>
      <c r="R662" s="12">
        <f>+Tabla1[[#This Row],[COSTO TOTAL ALOJAMIENTO]]+Tabla1[[#This Row],[COSTO TOTAL COCHE]]</f>
        <v>0</v>
      </c>
      <c r="S662" s="2"/>
      <c r="T662" s="2" t="s">
        <v>44</v>
      </c>
      <c r="U662" s="14">
        <v>45807</v>
      </c>
      <c r="V662" s="25">
        <v>45845</v>
      </c>
      <c r="W662" s="2"/>
      <c r="X662" s="2">
        <v>1</v>
      </c>
      <c r="Y662" s="11"/>
      <c r="Z662" s="2" t="s">
        <v>36</v>
      </c>
      <c r="AA662" s="13" t="s">
        <v>10425</v>
      </c>
      <c r="AB662" s="13" t="s">
        <v>10426</v>
      </c>
    </row>
    <row r="663" spans="1:28" ht="15" customHeight="1">
      <c r="A663" s="2" t="s">
        <v>8906</v>
      </c>
      <c r="B663" s="2" t="s">
        <v>28</v>
      </c>
      <c r="C663" s="11" t="s">
        <v>1228</v>
      </c>
      <c r="D663" s="2" t="s">
        <v>30</v>
      </c>
      <c r="E663" s="2" t="s">
        <v>1664</v>
      </c>
      <c r="F663" s="11" t="s">
        <v>1796</v>
      </c>
      <c r="G663" s="46" t="s">
        <v>1797</v>
      </c>
      <c r="H663" s="2" t="s">
        <v>1658</v>
      </c>
      <c r="I663" s="12" t="s">
        <v>96</v>
      </c>
      <c r="J663" s="41">
        <f>+Tabla1[[#This Row],[FECHA ENTRADA]]</f>
        <v>45843</v>
      </c>
      <c r="K663" s="41">
        <v>45861</v>
      </c>
      <c r="L663" s="42">
        <f>_xlfn.DAYS(Tabla1[[#This Row],[FECHA FIN ]],Tabla1[[#This Row],[FECHA INICIO]])</f>
        <v>18</v>
      </c>
      <c r="M663" s="12"/>
      <c r="N663" s="12"/>
      <c r="O663" s="28">
        <f>(Tabla1[[#This Row],[COSTO FIJO ]]/30)*Tabla1[[#This Row],[TOTAL DIAS PROYECTO]]+(Tabla1[[#This Row],[COSTO TEMPORAL]])</f>
        <v>0</v>
      </c>
      <c r="P663" s="12"/>
      <c r="Q663" s="12">
        <f>+(Tabla1[[#This Row],[COSTO COCHE]]/30)*Tabla1[[#This Row],[TOTAL DIAS PROYECTO]]</f>
        <v>0</v>
      </c>
      <c r="R663" s="12">
        <f>+Tabla1[[#This Row],[COSTO TOTAL ALOJAMIENTO]]+Tabla1[[#This Row],[COSTO TOTAL COCHE]]</f>
        <v>0</v>
      </c>
      <c r="S663" s="2"/>
      <c r="T663" s="14" t="s">
        <v>44</v>
      </c>
      <c r="U663" s="14">
        <v>45843</v>
      </c>
      <c r="V663" s="43">
        <v>45861</v>
      </c>
      <c r="W663" s="12"/>
      <c r="X663" s="2"/>
      <c r="Y663" s="11"/>
      <c r="Z663" s="2" t="s">
        <v>36</v>
      </c>
      <c r="AA663" s="13" t="s">
        <v>10425</v>
      </c>
      <c r="AB663" s="13" t="s">
        <v>10426</v>
      </c>
    </row>
    <row r="664" spans="1:28" ht="15" customHeight="1">
      <c r="A664" s="2" t="s">
        <v>9045</v>
      </c>
      <c r="B664" s="2" t="s">
        <v>28</v>
      </c>
      <c r="C664" s="11" t="s">
        <v>1798</v>
      </c>
      <c r="D664" s="2" t="s">
        <v>30</v>
      </c>
      <c r="E664" s="2" t="s">
        <v>55</v>
      </c>
      <c r="F664" s="11" t="s">
        <v>231</v>
      </c>
      <c r="G664" s="11" t="s">
        <v>106</v>
      </c>
      <c r="H664" s="2" t="s">
        <v>1799</v>
      </c>
      <c r="I664" s="12" t="s">
        <v>236</v>
      </c>
      <c r="J664" s="22">
        <f>+Tabla1[[#This Row],[FECHA ENTRADA]]</f>
        <v>45690</v>
      </c>
      <c r="K664" s="22">
        <v>45731</v>
      </c>
      <c r="L664" s="23">
        <f>_xlfn.DAYS(Tabla1[[#This Row],[FECHA FIN ]],Tabla1[[#This Row],[FECHA INICIO]])</f>
        <v>41</v>
      </c>
      <c r="M664" s="12"/>
      <c r="N664" s="12">
        <f>1811.6/17</f>
        <v>106.56470588235294</v>
      </c>
      <c r="O664" s="24">
        <f>(Tabla1[[#This Row],[COSTO FIJO ]]/30)*Tabla1[[#This Row],[TOTAL DIAS PROYECTO]]+(Tabla1[[#This Row],[COSTO TEMPORAL]])</f>
        <v>145.63843137254904</v>
      </c>
      <c r="P664" s="12"/>
      <c r="Q664" s="12">
        <f>+(Tabla1[[#This Row],[COSTO COCHE]]/30)*Tabla1[[#This Row],[TOTAL DIAS PROYECTO]]</f>
        <v>0</v>
      </c>
      <c r="R664" s="12">
        <f>+Tabla1[[#This Row],[COSTO TOTAL ALOJAMIENTO]]+Tabla1[[#This Row],[COSTO TOTAL COCHE]]</f>
        <v>145.63843137254904</v>
      </c>
      <c r="S664" s="2"/>
      <c r="T664" s="2" t="s">
        <v>613</v>
      </c>
      <c r="U664" s="14">
        <v>45690</v>
      </c>
      <c r="V664" s="25"/>
      <c r="W664" s="26"/>
      <c r="X664" s="2">
        <v>5</v>
      </c>
      <c r="Y664" s="11"/>
      <c r="Z664" s="2" t="s">
        <v>36</v>
      </c>
      <c r="AA664" s="13" t="s">
        <v>10327</v>
      </c>
      <c r="AB664" s="13" t="s">
        <v>10328</v>
      </c>
    </row>
    <row r="665" spans="1:28">
      <c r="A665" s="2" t="s">
        <v>8906</v>
      </c>
      <c r="B665" s="2" t="s">
        <v>28</v>
      </c>
      <c r="C665" s="11" t="s">
        <v>1228</v>
      </c>
      <c r="D665" s="2" t="s">
        <v>30</v>
      </c>
      <c r="E665" s="2" t="s">
        <v>1754</v>
      </c>
      <c r="F665" s="11" t="s">
        <v>1800</v>
      </c>
      <c r="G665" s="46" t="s">
        <v>1801</v>
      </c>
      <c r="H665" s="2" t="s">
        <v>1658</v>
      </c>
      <c r="I665" s="12" t="s">
        <v>96</v>
      </c>
      <c r="J665" s="41">
        <f>+Tabla1[[#This Row],[FECHA ENTRADA]]</f>
        <v>45669</v>
      </c>
      <c r="K665" s="8">
        <f ca="1">TODAY()</f>
        <v>46260</v>
      </c>
      <c r="L665" s="42">
        <f ca="1">_xlfn.DAYS(Tabla1[[#This Row],[FECHA FIN ]],Tabla1[[#This Row],[FECHA INICIO]])</f>
        <v>591</v>
      </c>
      <c r="M665" s="12"/>
      <c r="N665" s="12">
        <f>552.33/3</f>
        <v>184.11</v>
      </c>
      <c r="O665" s="28">
        <f ca="1">(Tabla1[[#This Row],[COSTO FIJO ]]/30)*Tabla1[[#This Row],[TOTAL DIAS PROYECTO]]+(Tabla1[[#This Row],[COSTO TEMPORAL]])</f>
        <v>3626.9670000000001</v>
      </c>
      <c r="P665" s="12"/>
      <c r="Q665" s="12">
        <f ca="1">+(Tabla1[[#This Row],[COSTO COCHE]]/30)*Tabla1[[#This Row],[TOTAL DIAS PROYECTO]]</f>
        <v>0</v>
      </c>
      <c r="R665" s="12">
        <f ca="1">+Tabla1[[#This Row],[COSTO TOTAL ALOJAMIENTO]]+Tabla1[[#This Row],[COSTO TOTAL COCHE]]</f>
        <v>3626.9670000000001</v>
      </c>
      <c r="S665" s="2"/>
      <c r="T665" s="2" t="s">
        <v>44</v>
      </c>
      <c r="U665" s="14">
        <v>45669</v>
      </c>
      <c r="V665" s="43">
        <v>45681</v>
      </c>
      <c r="W665" s="26"/>
      <c r="X665" s="2"/>
      <c r="Y665" s="11" t="s">
        <v>1166</v>
      </c>
      <c r="Z665" s="2" t="s">
        <v>36</v>
      </c>
      <c r="AA665" s="13" t="e">
        <v>#N/A</v>
      </c>
      <c r="AB665" s="13" t="e">
        <v>#N/A</v>
      </c>
    </row>
    <row r="666" spans="1:28" ht="15" customHeight="1">
      <c r="A666" s="2" t="s">
        <v>9030</v>
      </c>
      <c r="B666" s="2" t="s">
        <v>28</v>
      </c>
      <c r="C666" s="11" t="s">
        <v>1742</v>
      </c>
      <c r="D666" s="2" t="s">
        <v>30</v>
      </c>
      <c r="E666" s="2" t="s">
        <v>127</v>
      </c>
      <c r="F666" s="11" t="s">
        <v>820</v>
      </c>
      <c r="G666" s="21" t="s">
        <v>1234</v>
      </c>
      <c r="H666" s="2" t="s">
        <v>1802</v>
      </c>
      <c r="I666" s="12" t="s">
        <v>96</v>
      </c>
      <c r="J666" s="22">
        <f>+Tabla1[[#This Row],[FECHA ENTRADA]]</f>
        <v>45700</v>
      </c>
      <c r="K666" s="22">
        <v>45708</v>
      </c>
      <c r="L666" s="23">
        <f>_xlfn.DAYS(Tabla1[[#This Row],[FECHA FIN ]],Tabla1[[#This Row],[FECHA INICIO]])</f>
        <v>8</v>
      </c>
      <c r="M666" s="12">
        <f>((1425/5)/11)*5+(855/11)</f>
        <v>207.27272727272731</v>
      </c>
      <c r="N666" s="20"/>
      <c r="O666" s="24">
        <f>(Tabla1[[#This Row],[COSTO FIJO ]]/30)*Tabla1[[#This Row],[TOTAL DIAS PROYECTO]]+(Tabla1[[#This Row],[COSTO TEMPORAL]])</f>
        <v>207.27272727272731</v>
      </c>
      <c r="P666" s="12"/>
      <c r="Q666" s="12">
        <f>+(Tabla1[[#This Row],[COSTO COCHE]]/30)*Tabla1[[#This Row],[TOTAL DIAS PROYECTO]]</f>
        <v>0</v>
      </c>
      <c r="R666" s="12">
        <f>+Tabla1[[#This Row],[COSTO TOTAL ALOJAMIENTO]]+Tabla1[[#This Row],[COSTO TOTAL COCHE]]</f>
        <v>207.27272727272731</v>
      </c>
      <c r="S666" s="2"/>
      <c r="T666" s="2" t="s">
        <v>44</v>
      </c>
      <c r="U666" s="14">
        <v>45700</v>
      </c>
      <c r="V666" s="79">
        <v>45708</v>
      </c>
      <c r="W666" s="26"/>
      <c r="X666" s="2"/>
      <c r="Y666" s="11"/>
      <c r="Z666" s="2" t="s">
        <v>36</v>
      </c>
      <c r="AA666" s="13" t="s">
        <v>10342</v>
      </c>
      <c r="AB666" s="13" t="s">
        <v>10343</v>
      </c>
    </row>
    <row r="667" spans="1:28" ht="15" customHeight="1">
      <c r="A667" s="2" t="s">
        <v>9046</v>
      </c>
      <c r="B667" s="2" t="s">
        <v>28</v>
      </c>
      <c r="C667" s="87" t="s">
        <v>1803</v>
      </c>
      <c r="D667" s="2" t="s">
        <v>30</v>
      </c>
      <c r="E667" s="2" t="s">
        <v>502</v>
      </c>
      <c r="F667" s="11" t="s">
        <v>503</v>
      </c>
      <c r="G667" s="11" t="s">
        <v>504</v>
      </c>
      <c r="H667" s="2" t="s">
        <v>592</v>
      </c>
      <c r="I667" s="12" t="s">
        <v>506</v>
      </c>
      <c r="J667" s="8">
        <f>+Tabla1[[#This Row],[FECHA ENTRADA]]</f>
        <v>45498</v>
      </c>
      <c r="K667" s="22">
        <v>45821</v>
      </c>
      <c r="L667" s="13">
        <f>_xlfn.DAYS(Tabla1[[#This Row],[FECHA FIN ]],Tabla1[[#This Row],[FECHA INICIO]])</f>
        <v>323</v>
      </c>
      <c r="M667" s="12"/>
      <c r="N667" s="12">
        <v>300</v>
      </c>
      <c r="O667" s="12">
        <f>(Tabla1[[#This Row],[COSTO FIJO ]]/30)*Tabla1[[#This Row],[TOTAL DIAS PROYECTO]]+(Tabla1[[#This Row],[COSTO TEMPORAL]])</f>
        <v>3230</v>
      </c>
      <c r="P667" s="12">
        <f>+((803.8+542.69)*50%)/9</f>
        <v>74.805000000000007</v>
      </c>
      <c r="Q667" s="12">
        <f>+(Tabla1[[#This Row],[COSTO COCHE]]/30)*Tabla1[[#This Row],[TOTAL DIAS PROYECTO]]</f>
        <v>805.40049999999997</v>
      </c>
      <c r="R667" s="12">
        <f>+Tabla1[[#This Row],[COSTO TOTAL ALOJAMIENTO]]+Tabla1[[#This Row],[COSTO TOTAL COCHE]]</f>
        <v>4035.4004999999997</v>
      </c>
      <c r="S667" s="2"/>
      <c r="T667" s="2" t="s">
        <v>35</v>
      </c>
      <c r="U667" s="14">
        <v>45498</v>
      </c>
      <c r="V667" s="14"/>
      <c r="W667" s="26"/>
      <c r="X667" s="2">
        <v>1</v>
      </c>
      <c r="Y667" s="11" t="s">
        <v>1804</v>
      </c>
      <c r="Z667" s="2" t="s">
        <v>36</v>
      </c>
      <c r="AA667" s="13" t="s">
        <v>10378</v>
      </c>
      <c r="AB667" s="13" t="s">
        <v>10379</v>
      </c>
    </row>
    <row r="668" spans="1:28" ht="15" customHeight="1">
      <c r="A668" s="2" t="s">
        <v>9047</v>
      </c>
      <c r="B668" s="2" t="s">
        <v>368</v>
      </c>
      <c r="C668" s="103" t="s">
        <v>1805</v>
      </c>
      <c r="D668" s="2" t="s">
        <v>30</v>
      </c>
      <c r="E668" s="2" t="s">
        <v>422</v>
      </c>
      <c r="F668" s="11" t="s">
        <v>697</v>
      </c>
      <c r="G668" s="11" t="s">
        <v>698</v>
      </c>
      <c r="H668" s="2" t="s">
        <v>1434</v>
      </c>
      <c r="I668" s="12" t="s">
        <v>1435</v>
      </c>
      <c r="J668" s="8">
        <f>+Tabla1[[#This Row],[FECHA ENTRADA]]</f>
        <v>45491</v>
      </c>
      <c r="K668" s="22">
        <v>45573</v>
      </c>
      <c r="L668" s="13">
        <f>_xlfn.DAYS(Tabla1[[#This Row],[FECHA FIN ]],Tabla1[[#This Row],[FECHA INICIO]])</f>
        <v>82</v>
      </c>
      <c r="M668" s="12"/>
      <c r="N668" s="24"/>
      <c r="O668" s="12">
        <f>(Tabla1[[#This Row],[COSTO FIJO ]]/30)*Tabla1[[#This Row],[TOTAL DIAS PROYECTO]]+(Tabla1[[#This Row],[COSTO TEMPORAL]])</f>
        <v>0</v>
      </c>
      <c r="P668" s="12"/>
      <c r="Q668" s="12">
        <f>+(Tabla1[[#This Row],[COSTO COCHE]]/30)*Tabla1[[#This Row],[TOTAL DIAS PROYECTO]]</f>
        <v>0</v>
      </c>
      <c r="R668" s="12">
        <f>+Tabla1[[#This Row],[COSTO TOTAL ALOJAMIENTO]]+Tabla1[[#This Row],[COSTO TOTAL COCHE]]</f>
        <v>0</v>
      </c>
      <c r="S668" s="2"/>
      <c r="T668" s="2" t="s">
        <v>35</v>
      </c>
      <c r="U668" s="14">
        <v>45491</v>
      </c>
      <c r="V668" s="8"/>
      <c r="W668" s="26">
        <v>950</v>
      </c>
      <c r="X668" s="2">
        <v>1</v>
      </c>
      <c r="Y668" s="11" t="s">
        <v>1806</v>
      </c>
      <c r="Z668" s="2" t="s">
        <v>36</v>
      </c>
      <c r="AA668" s="13">
        <v>-326.69799999999998</v>
      </c>
      <c r="AB668" s="13" t="s">
        <v>10373</v>
      </c>
    </row>
    <row r="669" spans="1:28" ht="15" customHeight="1">
      <c r="A669" s="2" t="s">
        <v>9048</v>
      </c>
      <c r="B669" s="2" t="s">
        <v>28</v>
      </c>
      <c r="C669" s="11" t="s">
        <v>1807</v>
      </c>
      <c r="D669" s="2" t="s">
        <v>30</v>
      </c>
      <c r="E669" s="2" t="s">
        <v>245</v>
      </c>
      <c r="F669" s="11" t="s">
        <v>1784</v>
      </c>
      <c r="G669" s="21" t="s">
        <v>1785</v>
      </c>
      <c r="H669" s="2" t="s">
        <v>1786</v>
      </c>
      <c r="I669" s="12" t="s">
        <v>1538</v>
      </c>
      <c r="J669" s="22">
        <f>+Tabla1[[#This Row],[FECHA ENTRADA]]</f>
        <v>45615</v>
      </c>
      <c r="K669" s="22">
        <v>45821</v>
      </c>
      <c r="L669" s="42">
        <f>_xlfn.DAYS(Tabla1[[#This Row],[FECHA FIN ]],Tabla1[[#This Row],[FECHA INICIO]])</f>
        <v>206</v>
      </c>
      <c r="M669" s="12"/>
      <c r="N669" s="12">
        <f>1811.6/17</f>
        <v>106.56470588235294</v>
      </c>
      <c r="O669" s="28">
        <f>(Tabla1[[#This Row],[COSTO FIJO ]]/30)*Tabla1[[#This Row],[TOTAL DIAS PROYECTO]]+(Tabla1[[#This Row],[COSTO TEMPORAL]])</f>
        <v>731.7443137254902</v>
      </c>
      <c r="P669" s="12"/>
      <c r="Q669" s="12">
        <f>+(Tabla1[[#This Row],[COSTO COCHE]]/30)*Tabla1[[#This Row],[TOTAL DIAS PROYECTO]]</f>
        <v>0</v>
      </c>
      <c r="R669" s="12">
        <f>+Tabla1[[#This Row],[COSTO TOTAL ALOJAMIENTO]]+Tabla1[[#This Row],[COSTO TOTAL COCHE]]</f>
        <v>731.7443137254902</v>
      </c>
      <c r="S669" s="2"/>
      <c r="T669" s="2" t="s">
        <v>44</v>
      </c>
      <c r="U669" s="14">
        <v>45615</v>
      </c>
      <c r="V669" s="79">
        <v>45618</v>
      </c>
      <c r="W669" s="26"/>
      <c r="X669" s="2"/>
      <c r="Y669" s="11"/>
      <c r="Z669" s="2" t="s">
        <v>36</v>
      </c>
      <c r="AA669" s="13" t="s">
        <v>10355</v>
      </c>
      <c r="AB669" s="13" t="s">
        <v>10356</v>
      </c>
    </row>
    <row r="670" spans="1:28" ht="15" customHeight="1">
      <c r="A670" s="2" t="s">
        <v>9049</v>
      </c>
      <c r="B670" s="2" t="s">
        <v>368</v>
      </c>
      <c r="C670" s="11" t="s">
        <v>1808</v>
      </c>
      <c r="D670" s="2" t="s">
        <v>99</v>
      </c>
      <c r="E670" s="2" t="s">
        <v>648</v>
      </c>
      <c r="F670" s="11" t="s">
        <v>1698</v>
      </c>
      <c r="G670" s="46" t="s">
        <v>1699</v>
      </c>
      <c r="H670" s="2" t="s">
        <v>1700</v>
      </c>
      <c r="I670" s="12" t="s">
        <v>42</v>
      </c>
      <c r="J670" s="22">
        <f>+Tabla1[[#This Row],[FECHA ENTRADA]]</f>
        <v>45705</v>
      </c>
      <c r="K670" s="22">
        <v>45734</v>
      </c>
      <c r="L670" s="23">
        <f>_xlfn.DAYS(Tabla1[[#This Row],[FECHA FIN ]],Tabla1[[#This Row],[FECHA INICIO]])</f>
        <v>29</v>
      </c>
      <c r="M670" s="12">
        <v>375</v>
      </c>
      <c r="N670" s="12"/>
      <c r="O670" s="24">
        <f>(Tabla1[[#This Row],[COSTO FIJO ]]/30)*Tabla1[[#This Row],[TOTAL DIAS PROYECTO]]+(Tabla1[[#This Row],[COSTO TEMPORAL]])</f>
        <v>375</v>
      </c>
      <c r="P670" s="12"/>
      <c r="Q670" s="12">
        <f>+(Tabla1[[#This Row],[COSTO COCHE]]/30)*Tabla1[[#This Row],[TOTAL DIAS PROYECTO]]</f>
        <v>0</v>
      </c>
      <c r="R670" s="12">
        <f>+Tabla1[[#This Row],[COSTO TOTAL ALOJAMIENTO]]+Tabla1[[#This Row],[COSTO TOTAL COCHE]]</f>
        <v>375</v>
      </c>
      <c r="S670" s="2"/>
      <c r="T670" s="2" t="s">
        <v>44</v>
      </c>
      <c r="U670" s="14">
        <v>45705</v>
      </c>
      <c r="V670" s="79">
        <v>45733</v>
      </c>
      <c r="W670" s="26"/>
      <c r="X670" s="2">
        <v>15</v>
      </c>
      <c r="Y670" s="11"/>
      <c r="Z670" s="2" t="s">
        <v>36</v>
      </c>
      <c r="AA670" s="13" t="s">
        <v>10387</v>
      </c>
      <c r="AB670" s="13" t="s">
        <v>10388</v>
      </c>
    </row>
    <row r="671" spans="1:28" ht="15" customHeight="1">
      <c r="A671" s="2" t="s">
        <v>9050</v>
      </c>
      <c r="B671" s="2" t="s">
        <v>28</v>
      </c>
      <c r="C671" s="11" t="s">
        <v>1809</v>
      </c>
      <c r="D671" s="2" t="s">
        <v>30</v>
      </c>
      <c r="E671" s="2" t="s">
        <v>1719</v>
      </c>
      <c r="F671" s="11" t="s">
        <v>1720</v>
      </c>
      <c r="G671" s="46">
        <v>670663740</v>
      </c>
      <c r="H671" s="2" t="s">
        <v>1721</v>
      </c>
      <c r="I671" s="12" t="s">
        <v>1722</v>
      </c>
      <c r="J671" s="41">
        <f>+Tabla1[[#This Row],[FECHA ENTRADA]]</f>
        <v>45725</v>
      </c>
      <c r="K671" s="41">
        <v>45734</v>
      </c>
      <c r="L671" s="42">
        <f>_xlfn.DAYS(Tabla1[[#This Row],[FECHA FIN ]],Tabla1[[#This Row],[FECHA INICIO]])</f>
        <v>9</v>
      </c>
      <c r="M671" s="114">
        <v>163.5</v>
      </c>
      <c r="N671" s="28"/>
      <c r="O671" s="28">
        <f>(Tabla1[[#This Row],[COSTO FIJO ]]/30)*Tabla1[[#This Row],[TOTAL DIAS PROYECTO]]+(Tabla1[[#This Row],[COSTO TEMPORAL]])</f>
        <v>163.5</v>
      </c>
      <c r="P671" s="12">
        <f>542.69/4</f>
        <v>135.67250000000001</v>
      </c>
      <c r="Q671" s="12">
        <f>+(Tabla1[[#This Row],[COSTO COCHE]]/30)*Tabla1[[#This Row],[TOTAL DIAS PROYECTO]]</f>
        <v>40.701750000000004</v>
      </c>
      <c r="R671" s="12">
        <f>+Tabla1[[#This Row],[COSTO TOTAL ALOJAMIENTO]]+Tabla1[[#This Row],[COSTO TOTAL COCHE]]</f>
        <v>204.20175</v>
      </c>
      <c r="S671" s="2" t="s">
        <v>84</v>
      </c>
      <c r="T671" s="2" t="s">
        <v>44</v>
      </c>
      <c r="U671" s="14">
        <v>45725</v>
      </c>
      <c r="V671" s="43">
        <v>45735</v>
      </c>
      <c r="W671" s="26"/>
      <c r="X671" s="2"/>
      <c r="Y671" s="11"/>
      <c r="Z671" s="2" t="s">
        <v>36</v>
      </c>
      <c r="AA671" s="13" t="s">
        <v>10427</v>
      </c>
      <c r="AB671" s="13">
        <v>4260003</v>
      </c>
    </row>
    <row r="672" spans="1:28" ht="15" customHeight="1">
      <c r="A672" s="2" t="s">
        <v>8975</v>
      </c>
      <c r="B672" s="2" t="s">
        <v>28</v>
      </c>
      <c r="C672" s="11" t="s">
        <v>1567</v>
      </c>
      <c r="D672" s="2" t="s">
        <v>30</v>
      </c>
      <c r="E672" s="2" t="s">
        <v>109</v>
      </c>
      <c r="F672" s="11" t="s">
        <v>1793</v>
      </c>
      <c r="G672" s="21">
        <v>973266788</v>
      </c>
      <c r="H672" s="2" t="s">
        <v>1568</v>
      </c>
      <c r="I672" s="12" t="s">
        <v>34</v>
      </c>
      <c r="J672" s="41">
        <f>+Tabla1[[#This Row],[FECHA ENTRADA]]</f>
        <v>45676</v>
      </c>
      <c r="K672" s="8">
        <v>45680</v>
      </c>
      <c r="L672" s="42">
        <f>_xlfn.DAYS(Tabla1[[#This Row],[FECHA FIN ]],Tabla1[[#This Row],[FECHA INICIO]])</f>
        <v>4</v>
      </c>
      <c r="M672" s="12"/>
      <c r="N672" s="12"/>
      <c r="O672" s="28">
        <f>(Tabla1[[#This Row],[COSTO FIJO ]]/30)*Tabla1[[#This Row],[TOTAL DIAS PROYECTO]]+(Tabla1[[#This Row],[COSTO TEMPORAL]])</f>
        <v>0</v>
      </c>
      <c r="P672" s="12"/>
      <c r="Q672" s="12">
        <f>+(Tabla1[[#This Row],[COSTO COCHE]]/30)*Tabla1[[#This Row],[TOTAL DIAS PROYECTO]]</f>
        <v>0</v>
      </c>
      <c r="R672" s="12">
        <f>+Tabla1[[#This Row],[COSTO TOTAL ALOJAMIENTO]]+Tabla1[[#This Row],[COSTO TOTAL COCHE]]</f>
        <v>0</v>
      </c>
      <c r="S672" s="2"/>
      <c r="T672" s="2" t="s">
        <v>44</v>
      </c>
      <c r="U672" s="14">
        <v>45676</v>
      </c>
      <c r="V672" s="79">
        <v>45680</v>
      </c>
      <c r="W672" s="26"/>
      <c r="X672" s="2"/>
      <c r="Y672" s="11"/>
      <c r="Z672" s="2" t="s">
        <v>36</v>
      </c>
      <c r="AA672" s="13">
        <v>0.62217999999999996</v>
      </c>
      <c r="AB672" s="13" t="s">
        <v>10339</v>
      </c>
    </row>
    <row r="673" spans="1:28" ht="15" customHeight="1">
      <c r="A673" s="2" t="s">
        <v>8642</v>
      </c>
      <c r="B673" s="2" t="s">
        <v>368</v>
      </c>
      <c r="C673" s="11" t="s">
        <v>1810</v>
      </c>
      <c r="D673" s="2" t="s">
        <v>99</v>
      </c>
      <c r="E673" s="2" t="s">
        <v>87</v>
      </c>
      <c r="F673" s="11" t="s">
        <v>1740</v>
      </c>
      <c r="G673" s="49">
        <v>916607649</v>
      </c>
      <c r="H673" s="2" t="s">
        <v>1811</v>
      </c>
      <c r="I673" s="12" t="s">
        <v>1288</v>
      </c>
      <c r="J673" s="22">
        <f>+Tabla1[[#This Row],[FECHA ENTRADA]]</f>
        <v>45732</v>
      </c>
      <c r="K673" s="22">
        <v>45736</v>
      </c>
      <c r="L673" s="23">
        <f>_xlfn.DAYS(Tabla1[[#This Row],[FECHA FIN ]],Tabla1[[#This Row],[FECHA INICIO]])</f>
        <v>4</v>
      </c>
      <c r="M673" s="12">
        <v>112</v>
      </c>
      <c r="N673" s="24"/>
      <c r="O673" s="24">
        <f>(Tabla1[[#This Row],[COSTO FIJO ]]/30)*Tabla1[[#This Row],[TOTAL DIAS PROYECTO]]+(Tabla1[[#This Row],[COSTO TEMPORAL]])</f>
        <v>112</v>
      </c>
      <c r="P673" s="12"/>
      <c r="Q673" s="12">
        <f>+(Tabla1[[#This Row],[COSTO COCHE]]/30)*Tabla1[[#This Row],[TOTAL DIAS PROYECTO]]</f>
        <v>0</v>
      </c>
      <c r="R673" s="12">
        <f>+Tabla1[[#This Row],[COSTO TOTAL ALOJAMIENTO]]+Tabla1[[#This Row],[COSTO TOTAL COCHE]]</f>
        <v>112</v>
      </c>
      <c r="S673" s="2"/>
      <c r="T673" s="2" t="s">
        <v>44</v>
      </c>
      <c r="U673" s="14">
        <v>45732</v>
      </c>
      <c r="V673" s="25">
        <v>45736</v>
      </c>
      <c r="W673" s="26"/>
      <c r="X673" s="2"/>
      <c r="Y673" s="11"/>
      <c r="Z673" s="2" t="s">
        <v>36</v>
      </c>
      <c r="AA673" s="13" t="s">
        <v>10335</v>
      </c>
      <c r="AB673" s="13">
        <v>404.16500000000002</v>
      </c>
    </row>
    <row r="674" spans="1:28" ht="15" customHeight="1">
      <c r="A674" s="2" t="s">
        <v>9051</v>
      </c>
      <c r="B674" s="2" t="s">
        <v>368</v>
      </c>
      <c r="C674" s="11" t="s">
        <v>1812</v>
      </c>
      <c r="D674" s="2" t="s">
        <v>99</v>
      </c>
      <c r="E674" s="2" t="s">
        <v>87</v>
      </c>
      <c r="F674" s="11" t="s">
        <v>1740</v>
      </c>
      <c r="G674" s="49">
        <v>916607649</v>
      </c>
      <c r="H674" s="2" t="s">
        <v>1811</v>
      </c>
      <c r="I674" s="12" t="s">
        <v>1288</v>
      </c>
      <c r="J674" s="22">
        <f>+Tabla1[[#This Row],[FECHA ENTRADA]]</f>
        <v>45732</v>
      </c>
      <c r="K674" s="22">
        <v>45736</v>
      </c>
      <c r="L674" s="23">
        <f>_xlfn.DAYS(Tabla1[[#This Row],[FECHA FIN ]],Tabla1[[#This Row],[FECHA INICIO]])</f>
        <v>4</v>
      </c>
      <c r="M674" s="12">
        <v>112</v>
      </c>
      <c r="N674" s="24"/>
      <c r="O674" s="24">
        <f>(Tabla1[[#This Row],[COSTO FIJO ]]/30)*Tabla1[[#This Row],[TOTAL DIAS PROYECTO]]+(Tabla1[[#This Row],[COSTO TEMPORAL]])</f>
        <v>112</v>
      </c>
      <c r="P674" s="12"/>
      <c r="Q674" s="12">
        <f>+(Tabla1[[#This Row],[COSTO COCHE]]/30)*Tabla1[[#This Row],[TOTAL DIAS PROYECTO]]</f>
        <v>0</v>
      </c>
      <c r="R674" s="12">
        <f>+Tabla1[[#This Row],[COSTO TOTAL ALOJAMIENTO]]+Tabla1[[#This Row],[COSTO TOTAL COCHE]]</f>
        <v>112</v>
      </c>
      <c r="S674" s="2"/>
      <c r="T674" s="2" t="s">
        <v>44</v>
      </c>
      <c r="U674" s="14">
        <v>45732</v>
      </c>
      <c r="V674" s="25">
        <v>45736</v>
      </c>
      <c r="W674" s="26"/>
      <c r="X674" s="2"/>
      <c r="Y674" s="11"/>
      <c r="Z674" s="2" t="s">
        <v>36</v>
      </c>
      <c r="AA674" s="13" t="s">
        <v>10335</v>
      </c>
      <c r="AB674" s="13">
        <v>404.16500000000002</v>
      </c>
    </row>
    <row r="675" spans="1:28" ht="15" customHeight="1">
      <c r="A675" s="2" t="s">
        <v>9052</v>
      </c>
      <c r="B675" s="2" t="s">
        <v>368</v>
      </c>
      <c r="C675" s="11" t="s">
        <v>1813</v>
      </c>
      <c r="D675" s="2" t="s">
        <v>99</v>
      </c>
      <c r="E675" s="2" t="s">
        <v>87</v>
      </c>
      <c r="F675" s="11" t="s">
        <v>1740</v>
      </c>
      <c r="G675" s="49">
        <v>916607649</v>
      </c>
      <c r="H675" s="2" t="s">
        <v>1811</v>
      </c>
      <c r="I675" s="12" t="s">
        <v>1288</v>
      </c>
      <c r="J675" s="22">
        <f>+Tabla1[[#This Row],[FECHA ENTRADA]]</f>
        <v>45729</v>
      </c>
      <c r="K675" s="22">
        <v>45736</v>
      </c>
      <c r="L675" s="23">
        <f>_xlfn.DAYS(Tabla1[[#This Row],[FECHA FIN ]],Tabla1[[#This Row],[FECHA INICIO]])</f>
        <v>7</v>
      </c>
      <c r="M675" s="12">
        <f>112</f>
        <v>112</v>
      </c>
      <c r="N675" s="24"/>
      <c r="O675" s="24">
        <f>(Tabla1[[#This Row],[COSTO FIJO ]]/30)*Tabla1[[#This Row],[TOTAL DIAS PROYECTO]]+(Tabla1[[#This Row],[COSTO TEMPORAL]])</f>
        <v>112</v>
      </c>
      <c r="P675" s="12"/>
      <c r="Q675" s="12">
        <f>+(Tabla1[[#This Row],[COSTO COCHE]]/30)*Tabla1[[#This Row],[TOTAL DIAS PROYECTO]]</f>
        <v>0</v>
      </c>
      <c r="R675" s="12">
        <f>+Tabla1[[#This Row],[COSTO TOTAL ALOJAMIENTO]]+Tabla1[[#This Row],[COSTO TOTAL COCHE]]</f>
        <v>112</v>
      </c>
      <c r="S675" s="2"/>
      <c r="T675" s="2" t="s">
        <v>44</v>
      </c>
      <c r="U675" s="14">
        <v>45729</v>
      </c>
      <c r="V675" s="25">
        <v>45736</v>
      </c>
      <c r="W675" s="26"/>
      <c r="X675" s="2"/>
      <c r="Y675" s="11"/>
      <c r="Z675" s="2" t="s">
        <v>36</v>
      </c>
      <c r="AA675" s="13" t="s">
        <v>10335</v>
      </c>
      <c r="AB675" s="13">
        <v>404.16500000000002</v>
      </c>
    </row>
    <row r="676" spans="1:28" ht="15" customHeight="1">
      <c r="A676" s="2" t="s">
        <v>9053</v>
      </c>
      <c r="B676" s="2" t="s">
        <v>368</v>
      </c>
      <c r="C676" s="11" t="s">
        <v>1814</v>
      </c>
      <c r="D676" s="2" t="s">
        <v>30</v>
      </c>
      <c r="E676" s="2" t="s">
        <v>1443</v>
      </c>
      <c r="F676" s="11" t="s">
        <v>1444</v>
      </c>
      <c r="G676" s="67" t="s">
        <v>1445</v>
      </c>
      <c r="H676" s="2" t="s">
        <v>1391</v>
      </c>
      <c r="I676" s="12" t="s">
        <v>1447</v>
      </c>
      <c r="J676" s="22">
        <f>+Tabla1[[#This Row],[FECHA ENTRADA]]</f>
        <v>45675</v>
      </c>
      <c r="K676" s="8">
        <v>45736</v>
      </c>
      <c r="L676" s="23">
        <f>_xlfn.DAYS(Tabla1[[#This Row],[FECHA FIN ]],Tabla1[[#This Row],[FECHA INICIO]])</f>
        <v>61</v>
      </c>
      <c r="M676" s="12"/>
      <c r="N676" s="12">
        <v>403</v>
      </c>
      <c r="O676" s="24">
        <f>(Tabla1[[#This Row],[COSTO FIJO ]]/30)*Tabla1[[#This Row],[TOTAL DIAS PROYECTO]]+(Tabla1[[#This Row],[COSTO TEMPORAL]])</f>
        <v>819.43333333333339</v>
      </c>
      <c r="P676" s="12">
        <v>80</v>
      </c>
      <c r="Q676" s="12">
        <f>+(Tabla1[[#This Row],[COSTO COCHE]]/30)*Tabla1[[#This Row],[TOTAL DIAS PROYECTO]]</f>
        <v>162.66666666666666</v>
      </c>
      <c r="R676" s="12">
        <f>+Tabla1[[#This Row],[COSTO TOTAL ALOJAMIENTO]]+Tabla1[[#This Row],[COSTO TOTAL COCHE]]</f>
        <v>982.1</v>
      </c>
      <c r="S676" s="2"/>
      <c r="T676" s="2" t="s">
        <v>44</v>
      </c>
      <c r="U676" s="14">
        <v>45675</v>
      </c>
      <c r="V676" s="25">
        <v>45765</v>
      </c>
      <c r="W676" s="26"/>
      <c r="X676" s="2"/>
      <c r="Y676" s="11"/>
      <c r="Z676" s="2" t="s">
        <v>36</v>
      </c>
      <c r="AA676" s="13" t="s">
        <v>10420</v>
      </c>
      <c r="AB676" s="13">
        <v>3907741</v>
      </c>
    </row>
    <row r="677" spans="1:28" ht="15" customHeight="1">
      <c r="A677" s="2" t="s">
        <v>9054</v>
      </c>
      <c r="B677" s="2" t="s">
        <v>28</v>
      </c>
      <c r="C677" s="87" t="s">
        <v>1815</v>
      </c>
      <c r="D677" s="2" t="s">
        <v>30</v>
      </c>
      <c r="E677" s="2" t="s">
        <v>109</v>
      </c>
      <c r="F677" s="11" t="s">
        <v>1793</v>
      </c>
      <c r="G677" s="46">
        <v>973266788</v>
      </c>
      <c r="H677" s="2" t="s">
        <v>1568</v>
      </c>
      <c r="I677" s="12" t="s">
        <v>34</v>
      </c>
      <c r="J677" s="22">
        <f>+Tabla1[[#This Row],[FECHA ENTRADA]]</f>
        <v>45676</v>
      </c>
      <c r="K677" s="22">
        <v>45821</v>
      </c>
      <c r="L677" s="23">
        <f>_xlfn.DAYS(Tabla1[[#This Row],[FECHA FIN ]],Tabla1[[#This Row],[FECHA INICIO]])</f>
        <v>145</v>
      </c>
      <c r="M677" s="12"/>
      <c r="N677" s="20"/>
      <c r="O677" s="28">
        <f>(Tabla1[[#This Row],[COSTO FIJO ]]/30)*Tabla1[[#This Row],[TOTAL DIAS PROYECTO]]+(Tabla1[[#This Row],[COSTO TEMPORAL]])</f>
        <v>0</v>
      </c>
      <c r="P677" s="12"/>
      <c r="Q677" s="12">
        <f>+(Tabla1[[#This Row],[COSTO COCHE]]/30)*Tabla1[[#This Row],[TOTAL DIAS PROYECTO]]</f>
        <v>0</v>
      </c>
      <c r="R677" s="12">
        <f>+Tabla1[[#This Row],[COSTO TOTAL ALOJAMIENTO]]+Tabla1[[#This Row],[COSTO TOTAL COCHE]]</f>
        <v>0</v>
      </c>
      <c r="S677" s="2"/>
      <c r="T677" s="2" t="s">
        <v>44</v>
      </c>
      <c r="U677" s="14">
        <v>45676</v>
      </c>
      <c r="V677" s="43">
        <v>45680</v>
      </c>
      <c r="W677" s="26"/>
      <c r="X677" s="2"/>
      <c r="Y677" s="11"/>
      <c r="Z677" s="2" t="s">
        <v>36</v>
      </c>
      <c r="AA677" s="13">
        <v>0.62217999999999996</v>
      </c>
      <c r="AB677" s="13" t="s">
        <v>10339</v>
      </c>
    </row>
    <row r="678" spans="1:28" ht="15" customHeight="1">
      <c r="A678" s="2" t="s">
        <v>9055</v>
      </c>
      <c r="B678" t="s">
        <v>368</v>
      </c>
      <c r="C678" s="18" t="s">
        <v>1816</v>
      </c>
      <c r="D678" s="2" t="s">
        <v>30</v>
      </c>
      <c r="E678" s="2" t="s">
        <v>109</v>
      </c>
      <c r="F678" s="11" t="s">
        <v>898</v>
      </c>
      <c r="G678" s="21" t="s">
        <v>899</v>
      </c>
      <c r="H678" s="2" t="s">
        <v>1521</v>
      </c>
      <c r="I678" s="12" t="s">
        <v>42</v>
      </c>
      <c r="J678" s="41">
        <f>+Tabla1[[#This Row],[FECHA ENTRADA]]</f>
        <v>45601</v>
      </c>
      <c r="K678" s="22">
        <v>45821</v>
      </c>
      <c r="L678" s="42">
        <f>_xlfn.DAYS(Tabla1[[#This Row],[FECHA FIN ]],Tabla1[[#This Row],[FECHA INICIO]])</f>
        <v>220</v>
      </c>
      <c r="M678" s="12"/>
      <c r="N678" s="24">
        <v>233</v>
      </c>
      <c r="O678" s="28">
        <f>(Tabla1[[#This Row],[COSTO FIJO ]]/30)*Tabla1[[#This Row],[TOTAL DIAS PROYECTO]]+(Tabla1[[#This Row],[COSTO TEMPORAL]])</f>
        <v>1708.6666666666667</v>
      </c>
      <c r="P678" s="12"/>
      <c r="Q678" s="12">
        <f>+(Tabla1[[#This Row],[COSTO COCHE]]/30)*Tabla1[[#This Row],[TOTAL DIAS PROYECTO]]</f>
        <v>0</v>
      </c>
      <c r="R678" s="12">
        <f>+Tabla1[[#This Row],[COSTO TOTAL ALOJAMIENTO]]+Tabla1[[#This Row],[COSTO TOTAL COCHE]]</f>
        <v>1708.6666666666667</v>
      </c>
      <c r="S678" s="2"/>
      <c r="T678" s="2" t="s">
        <v>35</v>
      </c>
      <c r="U678" s="14">
        <v>45601</v>
      </c>
      <c r="V678" s="43"/>
      <c r="W678" s="26"/>
      <c r="X678" s="2">
        <v>1</v>
      </c>
      <c r="Y678" s="11"/>
      <c r="Z678" s="2" t="s">
        <v>36</v>
      </c>
      <c r="AA678" s="13">
        <v>0.62217999999999996</v>
      </c>
      <c r="AB678" s="13" t="s">
        <v>10339</v>
      </c>
    </row>
    <row r="679" spans="1:28" ht="15" customHeight="1">
      <c r="A679" s="2" t="s">
        <v>9056</v>
      </c>
      <c r="B679" t="s">
        <v>368</v>
      </c>
      <c r="C679" s="11" t="s">
        <v>1817</v>
      </c>
      <c r="D679" s="2" t="s">
        <v>30</v>
      </c>
      <c r="E679" s="2" t="s">
        <v>109</v>
      </c>
      <c r="F679" s="11" t="s">
        <v>898</v>
      </c>
      <c r="G679" s="21" t="s">
        <v>899</v>
      </c>
      <c r="H679" s="2" t="s">
        <v>1818</v>
      </c>
      <c r="I679" s="12" t="s">
        <v>42</v>
      </c>
      <c r="J679" s="22">
        <f>+Tabla1[[#This Row],[FECHA ENTRADA]]</f>
        <v>45621</v>
      </c>
      <c r="K679" s="22">
        <v>45821</v>
      </c>
      <c r="L679" s="23">
        <f>_xlfn.DAYS(Tabla1[[#This Row],[FECHA FIN ]],Tabla1[[#This Row],[FECHA INICIO]])</f>
        <v>200</v>
      </c>
      <c r="M679" s="12"/>
      <c r="N679" s="12"/>
      <c r="O679" s="24">
        <f>(Tabla1[[#This Row],[COSTO FIJO ]]/30)*Tabla1[[#This Row],[TOTAL DIAS PROYECTO]]+(Tabla1[[#This Row],[COSTO TEMPORAL]])</f>
        <v>0</v>
      </c>
      <c r="P679" s="12"/>
      <c r="Q679" s="12">
        <f>+(Tabla1[[#This Row],[COSTO COCHE]]/30)*Tabla1[[#This Row],[TOTAL DIAS PROYECTO]]</f>
        <v>0</v>
      </c>
      <c r="R679" s="12">
        <f>+Tabla1[[#This Row],[COSTO TOTAL ALOJAMIENTO]]+Tabla1[[#This Row],[COSTO TOTAL COCHE]]</f>
        <v>0</v>
      </c>
      <c r="S679" s="2"/>
      <c r="T679" s="2" t="s">
        <v>35</v>
      </c>
      <c r="U679" s="14">
        <v>45621</v>
      </c>
      <c r="V679" s="25"/>
      <c r="W679" s="26"/>
      <c r="X679" s="2">
        <v>1</v>
      </c>
      <c r="Y679" s="11" t="s">
        <v>1819</v>
      </c>
      <c r="Z679" s="2" t="s">
        <v>36</v>
      </c>
      <c r="AA679" s="13">
        <v>0.62217999999999996</v>
      </c>
      <c r="AB679" s="13" t="s">
        <v>10339</v>
      </c>
    </row>
    <row r="680" spans="1:28" ht="15" customHeight="1">
      <c r="A680" s="2" t="s">
        <v>9013</v>
      </c>
      <c r="B680" s="2" t="s">
        <v>28</v>
      </c>
      <c r="C680" s="11" t="s">
        <v>1697</v>
      </c>
      <c r="D680" s="2" t="s">
        <v>99</v>
      </c>
      <c r="E680" s="2" t="s">
        <v>253</v>
      </c>
      <c r="F680" s="11" t="s">
        <v>771</v>
      </c>
      <c r="G680" s="49" t="s">
        <v>772</v>
      </c>
      <c r="H680" s="2" t="s">
        <v>1820</v>
      </c>
      <c r="I680" s="12" t="s">
        <v>256</v>
      </c>
      <c r="J680" s="22">
        <f>+Tabla1[[#This Row],[FECHA ENTRADA]]</f>
        <v>45734</v>
      </c>
      <c r="K680">
        <v>45737</v>
      </c>
      <c r="L680" s="23">
        <f>_xlfn.DAYS(Tabla1[[#This Row],[FECHA FIN ]],Tabla1[[#This Row],[FECHA INICIO]])</f>
        <v>3</v>
      </c>
      <c r="M680" s="12"/>
      <c r="N680" s="24">
        <v>350</v>
      </c>
      <c r="O680" s="24">
        <f>(Tabla1[[#This Row],[COSTO FIJO ]]/30)*Tabla1[[#This Row],[TOTAL DIAS PROYECTO]]+(Tabla1[[#This Row],[COSTO TEMPORAL]])</f>
        <v>35</v>
      </c>
      <c r="P680" s="12"/>
      <c r="Q680" s="12">
        <f>+(Tabla1[[#This Row],[COSTO COCHE]]/30)*Tabla1[[#This Row],[TOTAL DIAS PROYECTO]]</f>
        <v>0</v>
      </c>
      <c r="R680" s="12">
        <f>+Tabla1[[#This Row],[COSTO TOTAL ALOJAMIENTO]]+Tabla1[[#This Row],[COSTO TOTAL COCHE]]</f>
        <v>35</v>
      </c>
      <c r="S680" s="2"/>
      <c r="T680" s="2" t="s">
        <v>44</v>
      </c>
      <c r="U680" s="14">
        <v>45734</v>
      </c>
      <c r="V680" s="25">
        <v>45737</v>
      </c>
      <c r="W680" s="26"/>
      <c r="X680" s="2"/>
      <c r="Y680" s="11" t="s">
        <v>1361</v>
      </c>
      <c r="Z680" s="2" t="s">
        <v>36</v>
      </c>
      <c r="AA680" s="13" t="s">
        <v>10357</v>
      </c>
      <c r="AB680" s="13" t="s">
        <v>10358</v>
      </c>
    </row>
    <row r="681" spans="1:28">
      <c r="A681" s="2" t="s">
        <v>9057</v>
      </c>
      <c r="B681" s="2" t="s">
        <v>28</v>
      </c>
      <c r="C681" s="99" t="s">
        <v>1821</v>
      </c>
      <c r="D681" s="2" t="s">
        <v>30</v>
      </c>
      <c r="E681" s="2" t="s">
        <v>370</v>
      </c>
      <c r="F681" s="11"/>
      <c r="G681" s="11"/>
      <c r="H681" s="2" t="s">
        <v>619</v>
      </c>
      <c r="I681" s="12" t="s">
        <v>406</v>
      </c>
      <c r="J681" s="8">
        <f>+Tabla1[[#This Row],[FECHA ENTRADA]]</f>
        <v>45522</v>
      </c>
      <c r="K681" s="22">
        <v>45737</v>
      </c>
      <c r="L681" s="13">
        <f>_xlfn.DAYS(Tabla1[[#This Row],[FECHA FIN ]],Tabla1[[#This Row],[FECHA INICIO]])</f>
        <v>215</v>
      </c>
      <c r="M681" s="12"/>
      <c r="N681" s="12">
        <v>300</v>
      </c>
      <c r="O681" s="12">
        <f>(Tabla1[[#This Row],[COSTO FIJO ]]/30)*Tabla1[[#This Row],[TOTAL DIAS PROYECTO]]+(Tabla1[[#This Row],[COSTO TEMPORAL]])</f>
        <v>2150</v>
      </c>
      <c r="P681" s="12"/>
      <c r="Q681" s="12">
        <f>+(Tabla1[[#This Row],[COSTO COCHE]]/30)*Tabla1[[#This Row],[TOTAL DIAS PROYECTO]]</f>
        <v>0</v>
      </c>
      <c r="R681" s="12">
        <f>+Tabla1[[#This Row],[COSTO TOTAL ALOJAMIENTO]]+Tabla1[[#This Row],[COSTO TOTAL COCHE]]</f>
        <v>2150</v>
      </c>
      <c r="S681" s="2"/>
      <c r="T681" s="2" t="s">
        <v>58</v>
      </c>
      <c r="U681" s="14">
        <v>45522</v>
      </c>
      <c r="V681" s="14"/>
      <c r="W681" s="26"/>
      <c r="X681" s="2">
        <v>13</v>
      </c>
      <c r="Y681" s="11" t="s">
        <v>1822</v>
      </c>
      <c r="Z681" s="2" t="s">
        <v>36</v>
      </c>
      <c r="AA681" s="13" t="s">
        <v>10368</v>
      </c>
      <c r="AB681" s="13" t="s">
        <v>10369</v>
      </c>
    </row>
    <row r="682" spans="1:28">
      <c r="A682" s="2" t="s">
        <v>8853</v>
      </c>
      <c r="B682" s="2" t="s">
        <v>28</v>
      </c>
      <c r="C682" s="11" t="s">
        <v>1033</v>
      </c>
      <c r="D682" s="2" t="s">
        <v>30</v>
      </c>
      <c r="E682" s="2" t="s">
        <v>245</v>
      </c>
      <c r="F682" s="11" t="s">
        <v>1021</v>
      </c>
      <c r="G682" s="46" t="s">
        <v>1022</v>
      </c>
      <c r="H682" s="2" t="s">
        <v>1034</v>
      </c>
      <c r="I682" s="12" t="s">
        <v>1538</v>
      </c>
      <c r="J682" s="41">
        <f>+Tabla1[[#This Row],[FECHA ENTRADA]]</f>
        <v>45618</v>
      </c>
      <c r="K682" s="8">
        <v>45694</v>
      </c>
      <c r="L682" s="42">
        <f>_xlfn.DAYS(Tabla1[[#This Row],[FECHA FIN ]],Tabla1[[#This Row],[FECHA INICIO]])</f>
        <v>76</v>
      </c>
      <c r="M682" s="12"/>
      <c r="N682" s="12"/>
      <c r="O682" s="28">
        <f>(Tabla1[[#This Row],[COSTO FIJO ]]/30)*Tabla1[[#This Row],[TOTAL DIAS PROYECTO]]+(Tabla1[[#This Row],[COSTO TEMPORAL]])</f>
        <v>0</v>
      </c>
      <c r="P682" s="12">
        <f>1600/22</f>
        <v>72.727272727272734</v>
      </c>
      <c r="Q682" s="12">
        <f>+(Tabla1[[#This Row],[COSTO COCHE]]/30)*Tabla1[[#This Row],[TOTAL DIAS PROYECTO]]</f>
        <v>184.24242424242425</v>
      </c>
      <c r="R682" s="12">
        <f>+Tabla1[[#This Row],[COSTO TOTAL ALOJAMIENTO]]+Tabla1[[#This Row],[COSTO TOTAL COCHE]]</f>
        <v>184.24242424242425</v>
      </c>
      <c r="S682" s="2"/>
      <c r="T682" s="2" t="s">
        <v>35</v>
      </c>
      <c r="U682" s="14">
        <v>45618</v>
      </c>
      <c r="V682" s="43"/>
      <c r="W682" s="26"/>
      <c r="X682" s="2">
        <v>20</v>
      </c>
      <c r="Y682" s="11" t="s">
        <v>1823</v>
      </c>
      <c r="Z682" s="2" t="s">
        <v>36</v>
      </c>
      <c r="AA682" s="13" t="s">
        <v>10355</v>
      </c>
      <c r="AB682" s="13" t="s">
        <v>10356</v>
      </c>
    </row>
    <row r="683" spans="1:28" ht="15" customHeight="1">
      <c r="A683" s="2" t="s">
        <v>9058</v>
      </c>
      <c r="B683" s="2" t="s">
        <v>28</v>
      </c>
      <c r="C683" s="11" t="s">
        <v>1824</v>
      </c>
      <c r="D683" s="2" t="s">
        <v>30</v>
      </c>
      <c r="E683" s="2" t="s">
        <v>1754</v>
      </c>
      <c r="F683" s="11" t="s">
        <v>1755</v>
      </c>
      <c r="G683" s="21" t="s">
        <v>1756</v>
      </c>
      <c r="H683" s="2" t="s">
        <v>1825</v>
      </c>
      <c r="I683" s="12" t="s">
        <v>96</v>
      </c>
      <c r="J683" s="22">
        <f>+Tabla1[[#This Row],[FECHA ENTRADA]]</f>
        <v>45770</v>
      </c>
      <c r="K683" s="8">
        <f ca="1">TODAY()</f>
        <v>46260</v>
      </c>
      <c r="L683" s="42">
        <f ca="1">_xlfn.DAYS(Tabla1[[#This Row],[FECHA FIN ]],Tabla1[[#This Row],[FECHA INICIO]])</f>
        <v>490</v>
      </c>
      <c r="M683" s="12"/>
      <c r="N683" s="12">
        <v>408.45</v>
      </c>
      <c r="O683" s="28">
        <f ca="1">(Tabla1[[#This Row],[COSTO FIJO ]]/30)*Tabla1[[#This Row],[TOTAL DIAS PROYECTO]]+(Tabla1[[#This Row],[COSTO TEMPORAL]])</f>
        <v>6671.35</v>
      </c>
      <c r="P683" s="12">
        <f>542.69/4</f>
        <v>135.67250000000001</v>
      </c>
      <c r="Q683" s="12">
        <f ca="1">+(Tabla1[[#This Row],[COSTO COCHE]]/30)*Tabla1[[#This Row],[TOTAL DIAS PROYECTO]]</f>
        <v>2215.9841666666671</v>
      </c>
      <c r="R683" s="12">
        <f ca="1">+Tabla1[[#This Row],[COSTO TOTAL ALOJAMIENTO]]+Tabla1[[#This Row],[COSTO TOTAL COCHE]]</f>
        <v>8887.3341666666674</v>
      </c>
      <c r="S683" s="2" t="s">
        <v>84</v>
      </c>
      <c r="T683" s="2" t="s">
        <v>44</v>
      </c>
      <c r="U683" s="14">
        <v>45770</v>
      </c>
      <c r="V683" s="43">
        <v>45807</v>
      </c>
      <c r="W683" s="26"/>
      <c r="X683" s="2"/>
      <c r="Y683" s="11" t="s">
        <v>1826</v>
      </c>
      <c r="Z683" s="2" t="s">
        <v>36</v>
      </c>
      <c r="AA683" s="13" t="e">
        <v>#N/A</v>
      </c>
      <c r="AB683" s="13" t="e">
        <v>#N/A</v>
      </c>
    </row>
    <row r="684" spans="1:28" ht="15" customHeight="1">
      <c r="A684" s="2" t="s">
        <v>9059</v>
      </c>
      <c r="B684" s="2" t="s">
        <v>368</v>
      </c>
      <c r="C684" s="11" t="s">
        <v>1827</v>
      </c>
      <c r="D684" s="2" t="s">
        <v>30</v>
      </c>
      <c r="E684" s="2" t="s">
        <v>109</v>
      </c>
      <c r="F684" s="11" t="s">
        <v>1828</v>
      </c>
      <c r="G684" s="21">
        <v>973602158</v>
      </c>
      <c r="H684" s="2" t="s">
        <v>1829</v>
      </c>
      <c r="I684" s="12" t="s">
        <v>1830</v>
      </c>
      <c r="J684" s="41">
        <f>+Tabla1[[#This Row],[FECHA ENTRADA]]</f>
        <v>45683</v>
      </c>
      <c r="K684" s="8">
        <v>45686</v>
      </c>
      <c r="L684" s="42">
        <f>_xlfn.DAYS(Tabla1[[#This Row],[FECHA FIN ]],Tabla1[[#This Row],[FECHA INICIO]])</f>
        <v>3</v>
      </c>
      <c r="M684" s="12"/>
      <c r="N684" s="12"/>
      <c r="O684" s="28">
        <f>(Tabla1[[#This Row],[COSTO FIJO ]]/30)*Tabla1[[#This Row],[TOTAL DIAS PROYECTO]]+(Tabla1[[#This Row],[COSTO TEMPORAL]])</f>
        <v>0</v>
      </c>
      <c r="P684" s="12"/>
      <c r="Q684" s="12">
        <f>+(Tabla1[[#This Row],[COSTO COCHE]]/30)*Tabla1[[#This Row],[TOTAL DIAS PROYECTO]]</f>
        <v>0</v>
      </c>
      <c r="R684" s="12">
        <f>+Tabla1[[#This Row],[COSTO TOTAL ALOJAMIENTO]]+Tabla1[[#This Row],[COSTO TOTAL COCHE]]</f>
        <v>0</v>
      </c>
      <c r="S684" s="2"/>
      <c r="T684" s="2" t="s">
        <v>44</v>
      </c>
      <c r="U684" s="14">
        <v>45683</v>
      </c>
      <c r="V684" s="25">
        <v>45686</v>
      </c>
      <c r="W684" s="26"/>
      <c r="X684" s="2"/>
      <c r="Y684" s="11" t="s">
        <v>1166</v>
      </c>
      <c r="Z684" s="2" t="s">
        <v>36</v>
      </c>
      <c r="AA684" s="13">
        <v>0.62217999999999996</v>
      </c>
      <c r="AB684" s="13" t="s">
        <v>10339</v>
      </c>
    </row>
    <row r="685" spans="1:28">
      <c r="A685" s="2" t="s">
        <v>9060</v>
      </c>
      <c r="B685" s="2" t="s">
        <v>368</v>
      </c>
      <c r="C685" s="11" t="s">
        <v>1831</v>
      </c>
      <c r="D685" s="2" t="s">
        <v>30</v>
      </c>
      <c r="E685" s="2" t="s">
        <v>213</v>
      </c>
      <c r="F685" s="11" t="s">
        <v>871</v>
      </c>
      <c r="G685" s="11" t="s">
        <v>872</v>
      </c>
      <c r="H685" s="2" t="s">
        <v>1832</v>
      </c>
      <c r="I685" s="12" t="s">
        <v>1043</v>
      </c>
      <c r="J685" s="22">
        <f>+Tabla1[[#This Row],[FECHA ENTRADA]]</f>
        <v>45720</v>
      </c>
      <c r="K685" s="22">
        <v>45738</v>
      </c>
      <c r="L685" s="23">
        <f>_xlfn.DAYS(Tabla1[[#This Row],[FECHA FIN ]],Tabla1[[#This Row],[FECHA INICIO]])</f>
        <v>18</v>
      </c>
      <c r="M685" s="12"/>
      <c r="N685" s="24">
        <f>903.2/4</f>
        <v>225.8</v>
      </c>
      <c r="O685" s="24">
        <f>(Tabla1[[#This Row],[COSTO FIJO ]]/30)*Tabla1[[#This Row],[TOTAL DIAS PROYECTO]]+(Tabla1[[#This Row],[COSTO TEMPORAL]])</f>
        <v>135.48000000000002</v>
      </c>
      <c r="P685" s="12"/>
      <c r="Q685" s="12">
        <f>+(Tabla1[[#This Row],[COSTO COCHE]]/30)*Tabla1[[#This Row],[TOTAL DIAS PROYECTO]]</f>
        <v>0</v>
      </c>
      <c r="R685" s="12">
        <f>+Tabla1[[#This Row],[COSTO TOTAL ALOJAMIENTO]]+Tabla1[[#This Row],[COSTO TOTAL COCHE]]</f>
        <v>135.48000000000002</v>
      </c>
      <c r="S685" s="2"/>
      <c r="T685" s="2" t="s">
        <v>35</v>
      </c>
      <c r="U685" s="14">
        <v>45720</v>
      </c>
      <c r="V685" s="25"/>
      <c r="W685" s="26"/>
      <c r="X685" s="2">
        <v>4</v>
      </c>
      <c r="Y685" s="11"/>
      <c r="Z685" s="2" t="s">
        <v>36</v>
      </c>
      <c r="AA685" s="13" t="s">
        <v>10349</v>
      </c>
      <c r="AB685" s="13" t="s">
        <v>10350</v>
      </c>
    </row>
    <row r="686" spans="1:28" ht="15" customHeight="1">
      <c r="A686" s="117" t="s">
        <v>9061</v>
      </c>
      <c r="B686" s="117" t="s">
        <v>711</v>
      </c>
      <c r="C686" s="118" t="s">
        <v>1833</v>
      </c>
      <c r="D686" s="117" t="s">
        <v>30</v>
      </c>
      <c r="E686" s="117" t="s">
        <v>648</v>
      </c>
      <c r="F686" s="11" t="s">
        <v>1834</v>
      </c>
      <c r="G686" s="68" t="s">
        <v>1835</v>
      </c>
      <c r="H686" s="117" t="s">
        <v>1836</v>
      </c>
      <c r="I686" s="119" t="s">
        <v>96</v>
      </c>
      <c r="J686" s="120">
        <f>+Tabla1[[#This Row],[FECHA ENTRADA]]</f>
        <v>45966</v>
      </c>
      <c r="K686" s="121">
        <v>46007</v>
      </c>
      <c r="L686" s="122">
        <f>_xlfn.DAYS(Tabla1[[#This Row],[FECHA FIN ]],Tabla1[[#This Row],[FECHA INICIO]])</f>
        <v>41</v>
      </c>
      <c r="M686" s="119">
        <f>272.16/2</f>
        <v>136.08000000000001</v>
      </c>
      <c r="N686" s="123"/>
      <c r="O686" s="123">
        <f>(Tabla1[[#This Row],[COSTO FIJO ]]/30)*Tabla1[[#This Row],[TOTAL DIAS PROYECTO]]+(Tabla1[[#This Row],[COSTO TEMPORAL]])</f>
        <v>136.08000000000001</v>
      </c>
      <c r="P686" s="119"/>
      <c r="Q686" s="119">
        <f>+(Tabla1[[#This Row],[COSTO COCHE]]/30)*Tabla1[[#This Row],[TOTAL DIAS PROYECTO]]</f>
        <v>0</v>
      </c>
      <c r="R686" s="119">
        <f>+Tabla1[[#This Row],[COSTO TOTAL ALOJAMIENTO]]+Tabla1[[#This Row],[COSTO TOTAL COCHE]]</f>
        <v>136.08000000000001</v>
      </c>
      <c r="S686" s="117" t="s">
        <v>403</v>
      </c>
      <c r="T686" s="124" t="s">
        <v>44</v>
      </c>
      <c r="U686" s="124">
        <v>45966</v>
      </c>
      <c r="V686" s="125">
        <v>46007</v>
      </c>
      <c r="W686" s="126"/>
      <c r="X686" s="117"/>
      <c r="Y686" s="118" t="s">
        <v>1837</v>
      </c>
      <c r="Z686" s="117" t="s">
        <v>36</v>
      </c>
      <c r="AA686" s="127" t="s">
        <v>10387</v>
      </c>
      <c r="AB686" s="127" t="s">
        <v>10388</v>
      </c>
    </row>
    <row r="687" spans="1:28" ht="15" customHeight="1">
      <c r="A687" s="2" t="s">
        <v>9062</v>
      </c>
      <c r="B687" s="2" t="s">
        <v>368</v>
      </c>
      <c r="C687" s="11" t="s">
        <v>1838</v>
      </c>
      <c r="D687" s="2" t="s">
        <v>99</v>
      </c>
      <c r="E687" s="2" t="s">
        <v>87</v>
      </c>
      <c r="F687" s="11" t="s">
        <v>1740</v>
      </c>
      <c r="G687" s="49">
        <v>916607649</v>
      </c>
      <c r="H687" s="2" t="s">
        <v>1839</v>
      </c>
      <c r="I687" s="12" t="s">
        <v>1288</v>
      </c>
      <c r="J687" s="22">
        <f>+Tabla1[[#This Row],[FECHA ENTRADA]]</f>
        <v>45735</v>
      </c>
      <c r="K687" s="22">
        <v>45740</v>
      </c>
      <c r="L687" s="23">
        <f>_xlfn.DAYS(Tabla1[[#This Row],[FECHA FIN ]],Tabla1[[#This Row],[FECHA INICIO]])</f>
        <v>5</v>
      </c>
      <c r="M687" s="12">
        <v>197</v>
      </c>
      <c r="N687" s="24"/>
      <c r="O687" s="24">
        <f>(Tabla1[[#This Row],[COSTO FIJO ]]/30)*Tabla1[[#This Row],[TOTAL DIAS PROYECTO]]+(Tabla1[[#This Row],[COSTO TEMPORAL]])</f>
        <v>197</v>
      </c>
      <c r="P687" s="12"/>
      <c r="Q687" s="12">
        <f>+(Tabla1[[#This Row],[COSTO COCHE]]/30)*Tabla1[[#This Row],[TOTAL DIAS PROYECTO]]</f>
        <v>0</v>
      </c>
      <c r="R687" s="12">
        <f>+Tabla1[[#This Row],[COSTO TOTAL ALOJAMIENTO]]+Tabla1[[#This Row],[COSTO TOTAL COCHE]]</f>
        <v>197</v>
      </c>
      <c r="S687" s="2"/>
      <c r="T687" s="2" t="s">
        <v>44</v>
      </c>
      <c r="U687" s="14">
        <v>45735</v>
      </c>
      <c r="V687" s="25">
        <v>45740</v>
      </c>
      <c r="W687" s="26"/>
      <c r="X687" s="2"/>
      <c r="Y687" s="11"/>
      <c r="Z687" s="2" t="s">
        <v>36</v>
      </c>
      <c r="AA687" s="13" t="s">
        <v>10335</v>
      </c>
      <c r="AB687" s="13">
        <v>404.16500000000002</v>
      </c>
    </row>
    <row r="688" spans="1:28" ht="15" customHeight="1">
      <c r="A688" s="2" t="s">
        <v>9063</v>
      </c>
      <c r="B688" s="2" t="s">
        <v>28</v>
      </c>
      <c r="C688" s="11" t="s">
        <v>1840</v>
      </c>
      <c r="D688" s="2" t="s">
        <v>30</v>
      </c>
      <c r="E688" s="10" t="s">
        <v>213</v>
      </c>
      <c r="F688" s="11" t="s">
        <v>1841</v>
      </c>
      <c r="G688" t="s">
        <v>1197</v>
      </c>
      <c r="H688" s="2" t="s">
        <v>1738</v>
      </c>
      <c r="I688" s="12" t="s">
        <v>1043</v>
      </c>
      <c r="J688" s="22">
        <f>+Tabla1[[#This Row],[FECHA ENTRADA]]</f>
        <v>45726</v>
      </c>
      <c r="K688" s="22">
        <v>45740</v>
      </c>
      <c r="L688" s="23">
        <f>_xlfn.DAYS(Tabla1[[#This Row],[FECHA FIN ]],Tabla1[[#This Row],[FECHA INICIO]])</f>
        <v>14</v>
      </c>
      <c r="M688" s="12"/>
      <c r="N688" s="12"/>
      <c r="O688" s="24">
        <f>(Tabla1[[#This Row],[COSTO FIJO ]]/30)*Tabla1[[#This Row],[TOTAL DIAS PROYECTO]]+(Tabla1[[#This Row],[COSTO TEMPORAL]])</f>
        <v>0</v>
      </c>
      <c r="P688" s="12"/>
      <c r="Q688" s="12">
        <f>+(Tabla1[[#This Row],[COSTO COCHE]]/30)*Tabla1[[#This Row],[TOTAL DIAS PROYECTO]]</f>
        <v>0</v>
      </c>
      <c r="R688" s="12">
        <f>+Tabla1[[#This Row],[COSTO TOTAL ALOJAMIENTO]]+Tabla1[[#This Row],[COSTO TOTAL COCHE]]</f>
        <v>0</v>
      </c>
      <c r="S688" s="2"/>
      <c r="T688" s="2" t="s">
        <v>44</v>
      </c>
      <c r="U688" s="14">
        <v>45726</v>
      </c>
      <c r="V688" s="25">
        <v>45869</v>
      </c>
      <c r="W688" s="26"/>
      <c r="X688" s="2">
        <v>1</v>
      </c>
      <c r="Y688" s="11"/>
      <c r="Z688" s="2" t="s">
        <v>36</v>
      </c>
      <c r="AA688" s="13" t="s">
        <v>10349</v>
      </c>
      <c r="AB688" s="13" t="s">
        <v>10350</v>
      </c>
    </row>
    <row r="689" spans="1:28" ht="15" customHeight="1">
      <c r="A689" s="2" t="s">
        <v>9002</v>
      </c>
      <c r="B689" s="2" t="s">
        <v>1457</v>
      </c>
      <c r="C689" s="11" t="s">
        <v>1659</v>
      </c>
      <c r="D689" s="2" t="s">
        <v>72</v>
      </c>
      <c r="E689" s="10" t="s">
        <v>1458</v>
      </c>
      <c r="F689" s="11" t="s">
        <v>1842</v>
      </c>
      <c r="G689" t="s">
        <v>1843</v>
      </c>
      <c r="H689" s="2" t="s">
        <v>1461</v>
      </c>
      <c r="I689" s="12" t="s">
        <v>1288</v>
      </c>
      <c r="J689" s="41">
        <v>45711</v>
      </c>
      <c r="K689" s="41">
        <v>45741</v>
      </c>
      <c r="L689" s="42">
        <f>_xlfn.DAYS(Tabla1[[#This Row],[FECHA FIN ]],Tabla1[[#This Row],[FECHA INICIO]])</f>
        <v>30</v>
      </c>
      <c r="M689" s="12"/>
      <c r="N689" s="20">
        <v>842.51</v>
      </c>
      <c r="O689" s="28">
        <f>(Tabla1[[#This Row],[COSTO FIJO ]]/30)*Tabla1[[#This Row],[TOTAL DIAS PROYECTO]]+(Tabla1[[#This Row],[COSTO TEMPORAL]])</f>
        <v>842.51</v>
      </c>
      <c r="P689" s="12">
        <v>94.12</v>
      </c>
      <c r="Q689" s="12">
        <f>+(Tabla1[[#This Row],[COSTO COCHE]]/30)*Tabla1[[#This Row],[TOTAL DIAS PROYECTO]]</f>
        <v>94.12</v>
      </c>
      <c r="R689" s="12">
        <f>+Tabla1[[#This Row],[COSTO TOTAL ALOJAMIENTO]]+Tabla1[[#This Row],[COSTO TOTAL COCHE]]</f>
        <v>936.63</v>
      </c>
      <c r="S689" s="2" t="s">
        <v>84</v>
      </c>
      <c r="T689" s="2" t="s">
        <v>44</v>
      </c>
      <c r="U689" s="14">
        <v>45713</v>
      </c>
      <c r="V689" s="43">
        <v>45741</v>
      </c>
      <c r="W689" s="26"/>
      <c r="X689" s="2"/>
      <c r="Y689" s="11"/>
      <c r="Z689" s="2" t="s">
        <v>36</v>
      </c>
      <c r="AA689" s="13" t="s">
        <v>10421</v>
      </c>
      <c r="AB689" s="13">
        <v>5113412</v>
      </c>
    </row>
    <row r="690" spans="1:28">
      <c r="A690" s="117" t="s">
        <v>9061</v>
      </c>
      <c r="B690" s="117" t="s">
        <v>711</v>
      </c>
      <c r="C690" s="118" t="s">
        <v>1833</v>
      </c>
      <c r="D690" s="117" t="s">
        <v>30</v>
      </c>
      <c r="E690" s="117" t="s">
        <v>648</v>
      </c>
      <c r="F690" s="11" t="s">
        <v>1844</v>
      </c>
      <c r="G690" s="128" t="s">
        <v>1845</v>
      </c>
      <c r="H690" s="117" t="s">
        <v>1836</v>
      </c>
      <c r="I690" s="119" t="s">
        <v>96</v>
      </c>
      <c r="J690" s="121">
        <f>+Tabla1[[#This Row],[FECHA ENTRADA]]</f>
        <v>46007</v>
      </c>
      <c r="K690" s="121">
        <v>46081</v>
      </c>
      <c r="L690" s="129">
        <f>_xlfn.DAYS(Tabla1[[#This Row],[FECHA FIN ]],Tabla1[[#This Row],[FECHA INICIO]])</f>
        <v>74</v>
      </c>
      <c r="M690" s="119">
        <f>(1017.68)/2</f>
        <v>508.84</v>
      </c>
      <c r="N690" s="130"/>
      <c r="O690" s="131">
        <f>(Tabla1[[#This Row],[COSTO FIJO ]]/30)*Tabla1[[#This Row],[TOTAL DIAS PROYECTO]]+(Tabla1[[#This Row],[COSTO TEMPORAL]])</f>
        <v>508.84</v>
      </c>
      <c r="P690" s="119"/>
      <c r="Q690" s="119">
        <f>+(Tabla1[[#This Row],[COSTO COCHE]]/30)*Tabla1[[#This Row],[TOTAL DIAS PROYECTO]]</f>
        <v>0</v>
      </c>
      <c r="R690" s="119">
        <f>+Tabla1[[#This Row],[COSTO TOTAL ALOJAMIENTO]]+Tabla1[[#This Row],[COSTO TOTAL COCHE]]</f>
        <v>508.84</v>
      </c>
      <c r="S690" s="117" t="s">
        <v>84</v>
      </c>
      <c r="T690" s="124" t="s">
        <v>44</v>
      </c>
      <c r="U690" s="124">
        <v>46007</v>
      </c>
      <c r="V690" s="132">
        <v>46081</v>
      </c>
      <c r="W690" s="119"/>
      <c r="X690" s="117"/>
      <c r="Y690" s="118" t="s">
        <v>1846</v>
      </c>
      <c r="Z690" s="117" t="s">
        <v>36</v>
      </c>
      <c r="AA690" s="127" t="s">
        <v>10387</v>
      </c>
      <c r="AB690" s="127" t="s">
        <v>10388</v>
      </c>
    </row>
    <row r="691" spans="1:28" ht="15" customHeight="1">
      <c r="A691" s="2" t="s">
        <v>9051</v>
      </c>
      <c r="B691" s="2" t="s">
        <v>368</v>
      </c>
      <c r="C691" s="11" t="s">
        <v>1812</v>
      </c>
      <c r="D691" s="2" t="s">
        <v>99</v>
      </c>
      <c r="E691" s="2" t="s">
        <v>87</v>
      </c>
      <c r="F691" s="11" t="s">
        <v>946</v>
      </c>
      <c r="G691" s="11" t="s">
        <v>947</v>
      </c>
      <c r="H691" s="2" t="s">
        <v>1811</v>
      </c>
      <c r="I691" s="12" t="s">
        <v>1288</v>
      </c>
      <c r="J691" s="41">
        <f>+Tabla1[[#This Row],[FECHA ENTRADA]]</f>
        <v>45736</v>
      </c>
      <c r="K691" s="41">
        <v>45743</v>
      </c>
      <c r="L691" s="42">
        <f>_xlfn.DAYS(Tabla1[[#This Row],[FECHA FIN ]],Tabla1[[#This Row],[FECHA INICIO]])</f>
        <v>7</v>
      </c>
      <c r="M691" s="12"/>
      <c r="N691" s="12">
        <f>1682.5/6</f>
        <v>280.41666666666669</v>
      </c>
      <c r="O691" s="28">
        <f>(Tabla1[[#This Row],[COSTO FIJO ]]/30)*Tabla1[[#This Row],[TOTAL DIAS PROYECTO]]+(Tabla1[[#This Row],[COSTO TEMPORAL]])</f>
        <v>65.430555555555557</v>
      </c>
      <c r="P691" s="12"/>
      <c r="Q691" s="12">
        <f>+(Tabla1[[#This Row],[COSTO COCHE]]/30)*Tabla1[[#This Row],[TOTAL DIAS PROYECTO]]</f>
        <v>0</v>
      </c>
      <c r="R691" s="12">
        <f>+Tabla1[[#This Row],[COSTO TOTAL ALOJAMIENTO]]+Tabla1[[#This Row],[COSTO TOTAL COCHE]]</f>
        <v>65.430555555555557</v>
      </c>
      <c r="S691" s="2"/>
      <c r="T691" s="2" t="s">
        <v>35</v>
      </c>
      <c r="U691" s="14">
        <v>45736</v>
      </c>
      <c r="V691" s="43"/>
      <c r="W691" s="26"/>
      <c r="X691" s="2">
        <v>4</v>
      </c>
      <c r="Y691" s="11"/>
      <c r="Z691" s="2" t="s">
        <v>36</v>
      </c>
      <c r="AA691" s="13" t="s">
        <v>10335</v>
      </c>
      <c r="AB691" s="13">
        <v>404.16500000000002</v>
      </c>
    </row>
    <row r="692" spans="1:28" ht="15" customHeight="1">
      <c r="A692" s="2" t="s">
        <v>9052</v>
      </c>
      <c r="B692" s="2" t="s">
        <v>368</v>
      </c>
      <c r="C692" s="11" t="s">
        <v>1813</v>
      </c>
      <c r="D692" s="2" t="s">
        <v>99</v>
      </c>
      <c r="E692" s="2" t="s">
        <v>87</v>
      </c>
      <c r="F692" s="11" t="s">
        <v>946</v>
      </c>
      <c r="G692" s="11" t="s">
        <v>947</v>
      </c>
      <c r="H692" s="2" t="s">
        <v>1811</v>
      </c>
      <c r="I692" s="12" t="s">
        <v>1288</v>
      </c>
      <c r="J692" s="41">
        <f>+Tabla1[[#This Row],[FECHA ENTRADA]]</f>
        <v>45736</v>
      </c>
      <c r="K692" s="41">
        <v>45743</v>
      </c>
      <c r="L692" s="42">
        <f>_xlfn.DAYS(Tabla1[[#This Row],[FECHA FIN ]],Tabla1[[#This Row],[FECHA INICIO]])</f>
        <v>7</v>
      </c>
      <c r="M692" s="12"/>
      <c r="N692" s="12">
        <f>1682.5/6</f>
        <v>280.41666666666669</v>
      </c>
      <c r="O692" s="28">
        <f>(Tabla1[[#This Row],[COSTO FIJO ]]/30)*Tabla1[[#This Row],[TOTAL DIAS PROYECTO]]+(Tabla1[[#This Row],[COSTO TEMPORAL]])</f>
        <v>65.430555555555557</v>
      </c>
      <c r="P692" s="12"/>
      <c r="Q692" s="12">
        <f>+(Tabla1[[#This Row],[COSTO COCHE]]/30)*Tabla1[[#This Row],[TOTAL DIAS PROYECTO]]</f>
        <v>0</v>
      </c>
      <c r="R692" s="12">
        <f>+Tabla1[[#This Row],[COSTO TOTAL ALOJAMIENTO]]+Tabla1[[#This Row],[COSTO TOTAL COCHE]]</f>
        <v>65.430555555555557</v>
      </c>
      <c r="S692" s="2"/>
      <c r="T692" s="2" t="s">
        <v>35</v>
      </c>
      <c r="U692" s="14">
        <v>45736</v>
      </c>
      <c r="V692" s="43"/>
      <c r="W692" s="26"/>
      <c r="X692" s="2">
        <v>4</v>
      </c>
      <c r="Y692" s="11"/>
      <c r="Z692" s="2" t="s">
        <v>36</v>
      </c>
      <c r="AA692" s="13" t="s">
        <v>10335</v>
      </c>
      <c r="AB692" s="13">
        <v>404.16500000000002</v>
      </c>
    </row>
    <row r="693" spans="1:28">
      <c r="A693" s="2" t="s">
        <v>8642</v>
      </c>
      <c r="B693" s="2" t="s">
        <v>368</v>
      </c>
      <c r="C693" s="11" t="s">
        <v>1810</v>
      </c>
      <c r="D693" s="2" t="s">
        <v>99</v>
      </c>
      <c r="E693" s="2" t="s">
        <v>87</v>
      </c>
      <c r="F693" s="11" t="s">
        <v>567</v>
      </c>
      <c r="G693" s="11" t="s">
        <v>568</v>
      </c>
      <c r="H693" s="2" t="s">
        <v>1811</v>
      </c>
      <c r="I693" s="12" t="s">
        <v>1288</v>
      </c>
      <c r="J693" s="41">
        <f>+Tabla1[[#This Row],[FECHA ENTRADA]]</f>
        <v>45736</v>
      </c>
      <c r="K693" s="41">
        <v>45743</v>
      </c>
      <c r="L693" s="42">
        <f>_xlfn.DAYS(Tabla1[[#This Row],[FECHA FIN ]],Tabla1[[#This Row],[FECHA INICIO]])</f>
        <v>7</v>
      </c>
      <c r="M693" s="12"/>
      <c r="N693" s="28">
        <f>1302.5/4</f>
        <v>325.625</v>
      </c>
      <c r="O693" s="28">
        <f>(Tabla1[[#This Row],[COSTO FIJO ]]/30)*Tabla1[[#This Row],[TOTAL DIAS PROYECTO]]+(Tabla1[[#This Row],[COSTO TEMPORAL]])</f>
        <v>75.979166666666657</v>
      </c>
      <c r="P693" s="12"/>
      <c r="Q693" s="12">
        <f>+(Tabla1[[#This Row],[COSTO COCHE]]/30)*Tabla1[[#This Row],[TOTAL DIAS PROYECTO]]</f>
        <v>0</v>
      </c>
      <c r="R693" s="12">
        <f>+Tabla1[[#This Row],[COSTO TOTAL ALOJAMIENTO]]+Tabla1[[#This Row],[COSTO TOTAL COCHE]]</f>
        <v>75.979166666666657</v>
      </c>
      <c r="S693" s="2"/>
      <c r="T693" s="2" t="s">
        <v>35</v>
      </c>
      <c r="U693" s="14">
        <v>45736</v>
      </c>
      <c r="V693" s="43"/>
      <c r="W693" s="26"/>
      <c r="X693" s="2">
        <v>9</v>
      </c>
      <c r="Y693" s="11"/>
      <c r="Z693" s="2" t="s">
        <v>36</v>
      </c>
      <c r="AA693" s="13" t="s">
        <v>10335</v>
      </c>
      <c r="AB693" s="13">
        <v>404.16500000000002</v>
      </c>
    </row>
    <row r="694" spans="1:28" ht="15" customHeight="1">
      <c r="A694" s="2" t="s">
        <v>9064</v>
      </c>
      <c r="B694" s="2" t="s">
        <v>368</v>
      </c>
      <c r="C694" s="11" t="s">
        <v>1847</v>
      </c>
      <c r="D694" s="2" t="s">
        <v>30</v>
      </c>
      <c r="E694" s="2" t="s">
        <v>985</v>
      </c>
      <c r="F694" s="11" t="s">
        <v>1848</v>
      </c>
      <c r="G694" s="49" t="s">
        <v>1849</v>
      </c>
      <c r="H694" s="2" t="s">
        <v>988</v>
      </c>
      <c r="I694" s="12" t="s">
        <v>989</v>
      </c>
      <c r="J694" s="22">
        <f>+Tabla1[[#This Row],[FECHA ENTRADA]]</f>
        <v>45571</v>
      </c>
      <c r="K694" s="22">
        <v>45733</v>
      </c>
      <c r="L694" s="23">
        <f>_xlfn.DAYS(Tabla1[[#This Row],[FECHA FIN ]],Tabla1[[#This Row],[FECHA INICIO]])</f>
        <v>162</v>
      </c>
      <c r="M694" s="12"/>
      <c r="N694" s="12"/>
      <c r="O694" s="24">
        <f>(Tabla1[[#This Row],[COSTO FIJO ]]/30)*Tabla1[[#This Row],[TOTAL DIAS PROYECTO]]+(Tabla1[[#This Row],[COSTO TEMPORAL]])</f>
        <v>0</v>
      </c>
      <c r="P694" s="12"/>
      <c r="Q694" s="12">
        <f>+(Tabla1[[#This Row],[COSTO COCHE]]/30)*Tabla1[[#This Row],[TOTAL DIAS PROYECTO]]</f>
        <v>0</v>
      </c>
      <c r="R694" s="12">
        <f>+Tabla1[[#This Row],[COSTO TOTAL ALOJAMIENTO]]+Tabla1[[#This Row],[COSTO TOTAL COCHE]]</f>
        <v>0</v>
      </c>
      <c r="S694" s="2"/>
      <c r="T694" s="2" t="s">
        <v>35</v>
      </c>
      <c r="U694" s="14">
        <v>45571</v>
      </c>
      <c r="V694" s="79"/>
      <c r="W694" s="26"/>
      <c r="X694" s="2">
        <v>22</v>
      </c>
      <c r="Y694" s="11" t="s">
        <v>1281</v>
      </c>
      <c r="Z694" s="2" t="s">
        <v>36</v>
      </c>
      <c r="AA694" s="13" t="s">
        <v>10407</v>
      </c>
      <c r="AB694" s="13" t="s">
        <v>10408</v>
      </c>
    </row>
    <row r="695" spans="1:28" ht="15" customHeight="1">
      <c r="A695" s="2" t="s">
        <v>9065</v>
      </c>
      <c r="B695" s="2" t="s">
        <v>368</v>
      </c>
      <c r="C695" s="11" t="s">
        <v>1850</v>
      </c>
      <c r="D695" s="2" t="s">
        <v>30</v>
      </c>
      <c r="E695" s="2" t="s">
        <v>985</v>
      </c>
      <c r="F695" s="11" t="s">
        <v>1848</v>
      </c>
      <c r="G695" s="49" t="s">
        <v>1849</v>
      </c>
      <c r="H695" s="2" t="s">
        <v>1851</v>
      </c>
      <c r="I695" s="12" t="s">
        <v>989</v>
      </c>
      <c r="J695" s="22">
        <f>+Tabla1[[#This Row],[FECHA ENTRADA]]</f>
        <v>45613</v>
      </c>
      <c r="K695" s="8">
        <v>45733</v>
      </c>
      <c r="L695" s="23">
        <f>_xlfn.DAYS(Tabla1[[#This Row],[FECHA FIN ]],Tabla1[[#This Row],[FECHA INICIO]])</f>
        <v>120</v>
      </c>
      <c r="M695" s="12"/>
      <c r="N695" s="24">
        <v>140</v>
      </c>
      <c r="O695" s="24">
        <f>(Tabla1[[#This Row],[COSTO FIJO ]]/30)*Tabla1[[#This Row],[TOTAL DIAS PROYECTO]]+(Tabla1[[#This Row],[COSTO TEMPORAL]])</f>
        <v>560</v>
      </c>
      <c r="P695" s="12"/>
      <c r="Q695" s="12">
        <f>+(Tabla1[[#This Row],[COSTO COCHE]]/30)*Tabla1[[#This Row],[TOTAL DIAS PROYECTO]]</f>
        <v>0</v>
      </c>
      <c r="R695" s="12">
        <f>+Tabla1[[#This Row],[COSTO TOTAL ALOJAMIENTO]]+Tabla1[[#This Row],[COSTO TOTAL COCHE]]</f>
        <v>560</v>
      </c>
      <c r="S695" s="2"/>
      <c r="T695" s="2" t="s">
        <v>44</v>
      </c>
      <c r="U695" s="14">
        <v>45613</v>
      </c>
      <c r="V695" s="43">
        <v>45733</v>
      </c>
      <c r="W695" s="26"/>
      <c r="X695" s="2">
        <v>15</v>
      </c>
      <c r="Y695" s="11"/>
      <c r="Z695" s="2" t="s">
        <v>36</v>
      </c>
      <c r="AA695" s="13" t="s">
        <v>10407</v>
      </c>
      <c r="AB695" s="13" t="s">
        <v>10408</v>
      </c>
    </row>
    <row r="696" spans="1:28" ht="15" customHeight="1">
      <c r="A696" s="2" t="s">
        <v>9066</v>
      </c>
      <c r="B696" s="2" t="s">
        <v>368</v>
      </c>
      <c r="C696" s="11" t="s">
        <v>1852</v>
      </c>
      <c r="D696" s="2" t="s">
        <v>749</v>
      </c>
      <c r="E696" s="2" t="s">
        <v>1853</v>
      </c>
      <c r="F696" s="11" t="s">
        <v>1854</v>
      </c>
      <c r="G696" s="49" t="s">
        <v>1855</v>
      </c>
      <c r="H696" s="2" t="s">
        <v>1856</v>
      </c>
      <c r="I696" s="10" t="s">
        <v>1857</v>
      </c>
      <c r="J696" s="22">
        <f>+Tabla1[[#This Row],[FECHA ENTRADA]]</f>
        <v>45741</v>
      </c>
      <c r="K696" s="22">
        <v>45744</v>
      </c>
      <c r="L696" s="23">
        <f>_xlfn.DAYS(Tabla1[[#This Row],[FECHA FIN ]],Tabla1[[#This Row],[FECHA INICIO]])</f>
        <v>3</v>
      </c>
      <c r="M696" s="12">
        <f>365.47/3</f>
        <v>121.82333333333334</v>
      </c>
      <c r="N696" s="24"/>
      <c r="O696" s="24">
        <f>(Tabla1[[#This Row],[COSTO FIJO ]]/30)*Tabla1[[#This Row],[TOTAL DIAS PROYECTO]]+(Tabla1[[#This Row],[COSTO TEMPORAL]])</f>
        <v>121.82333333333334</v>
      </c>
      <c r="P696" s="12"/>
      <c r="Q696" s="12">
        <f>+(Tabla1[[#This Row],[COSTO COCHE]]/30)*Tabla1[[#This Row],[TOTAL DIAS PROYECTO]]</f>
        <v>0</v>
      </c>
      <c r="R696" s="12">
        <f>+Tabla1[[#This Row],[COSTO TOTAL ALOJAMIENTO]]+Tabla1[[#This Row],[COSTO TOTAL COCHE]]</f>
        <v>121.82333333333334</v>
      </c>
      <c r="S696" s="2" t="s">
        <v>403</v>
      </c>
      <c r="T696" s="2" t="s">
        <v>528</v>
      </c>
      <c r="U696" s="14">
        <v>45741</v>
      </c>
      <c r="V696" s="25">
        <v>45744</v>
      </c>
      <c r="W696" s="26"/>
      <c r="X696" s="2"/>
      <c r="Y696" s="11" t="s">
        <v>1166</v>
      </c>
      <c r="Z696" s="116" t="s">
        <v>36</v>
      </c>
      <c r="AA696" s="13" t="s">
        <v>10432</v>
      </c>
      <c r="AB696" s="13">
        <v>45.464269999999999</v>
      </c>
    </row>
    <row r="697" spans="1:28" ht="15" customHeight="1">
      <c r="A697" s="2" t="s">
        <v>8785</v>
      </c>
      <c r="B697" s="2" t="s">
        <v>28</v>
      </c>
      <c r="C697" s="11" t="s">
        <v>757</v>
      </c>
      <c r="D697" s="2" t="s">
        <v>30</v>
      </c>
      <c r="E697" s="2" t="s">
        <v>245</v>
      </c>
      <c r="F697" s="11" t="s">
        <v>1858</v>
      </c>
      <c r="G697" s="133" t="s">
        <v>1859</v>
      </c>
      <c r="H697" s="2" t="s">
        <v>1023</v>
      </c>
      <c r="I697" s="12" t="s">
        <v>1538</v>
      </c>
      <c r="J697" s="41">
        <f>+Tabla1[[#This Row],[FECHA ENTRADA]]</f>
        <v>45618</v>
      </c>
      <c r="K697" s="8">
        <v>45730</v>
      </c>
      <c r="L697" s="42">
        <f>_xlfn.DAYS(Tabla1[[#This Row],[FECHA FIN ]],Tabla1[[#This Row],[FECHA INICIO]])</f>
        <v>112</v>
      </c>
      <c r="M697" s="12"/>
      <c r="N697" s="12"/>
      <c r="O697" s="28">
        <f>(Tabla1[[#This Row],[COSTO FIJO ]]/30)*Tabla1[[#This Row],[TOTAL DIAS PROYECTO]]+(Tabla1[[#This Row],[COSTO TEMPORAL]])</f>
        <v>0</v>
      </c>
      <c r="P697" s="12"/>
      <c r="Q697" s="12">
        <f>+(Tabla1[[#This Row],[COSTO COCHE]]/30)*Tabla1[[#This Row],[TOTAL DIAS PROYECTO]]</f>
        <v>0</v>
      </c>
      <c r="R697" s="12">
        <f>+Tabla1[[#This Row],[COSTO TOTAL ALOJAMIENTO]]+Tabla1[[#This Row],[COSTO TOTAL COCHE]]</f>
        <v>0</v>
      </c>
      <c r="S697" s="2"/>
      <c r="T697" s="2" t="s">
        <v>35</v>
      </c>
      <c r="U697" s="14">
        <v>45618</v>
      </c>
      <c r="V697" s="25"/>
      <c r="W697" s="26"/>
      <c r="X697" s="2">
        <v>20</v>
      </c>
      <c r="Y697" s="11" t="s">
        <v>1024</v>
      </c>
      <c r="Z697" s="2" t="s">
        <v>36</v>
      </c>
      <c r="AA697" s="13" t="s">
        <v>10355</v>
      </c>
      <c r="AB697" s="13" t="s">
        <v>10356</v>
      </c>
    </row>
    <row r="698" spans="1:28" ht="15" customHeight="1">
      <c r="A698" s="2" t="s">
        <v>9067</v>
      </c>
      <c r="B698" s="2" t="s">
        <v>28</v>
      </c>
      <c r="C698" s="11" t="s">
        <v>1860</v>
      </c>
      <c r="D698" s="2" t="s">
        <v>30</v>
      </c>
      <c r="E698" s="2" t="s">
        <v>380</v>
      </c>
      <c r="F698" s="11" t="s">
        <v>1861</v>
      </c>
      <c r="G698" s="11" t="s">
        <v>1862</v>
      </c>
      <c r="H698" s="2" t="s">
        <v>1791</v>
      </c>
      <c r="I698" s="12" t="s">
        <v>382</v>
      </c>
      <c r="J698" s="8">
        <f>+Tabla1[[#This Row],[FECHA ENTRADA]]</f>
        <v>45382</v>
      </c>
      <c r="K698" s="22">
        <v>45821</v>
      </c>
      <c r="L698" s="13">
        <f>_xlfn.DAYS(Tabla1[[#This Row],[FECHA FIN ]],Tabla1[[#This Row],[FECHA INICIO]])</f>
        <v>439</v>
      </c>
      <c r="M698" s="12"/>
      <c r="N698" s="12"/>
      <c r="O698" s="12">
        <f>(Tabla1[[#This Row],[COSTO FIJO ]]/30)*Tabla1[[#This Row],[TOTAL DIAS PROYECTO]]+(Tabla1[[#This Row],[COSTO TEMPORAL]])</f>
        <v>0</v>
      </c>
      <c r="P698" s="12"/>
      <c r="Q698" s="12">
        <f>+(Tabla1[[#This Row],[COSTO COCHE]]/30)*Tabla1[[#This Row],[TOTAL DIAS PROYECTO]]</f>
        <v>0</v>
      </c>
      <c r="R698" s="12">
        <f>+Tabla1[[#This Row],[COSTO TOTAL ALOJAMIENTO]]+Tabla1[[#This Row],[COSTO TOTAL COCHE]]</f>
        <v>0</v>
      </c>
      <c r="S698" s="2"/>
      <c r="T698" s="2" t="s">
        <v>35</v>
      </c>
      <c r="U698" s="14">
        <v>45382</v>
      </c>
      <c r="V698" s="14"/>
      <c r="W698" s="26"/>
      <c r="X698" s="16">
        <v>20</v>
      </c>
      <c r="Y698" s="18" t="s">
        <v>1863</v>
      </c>
      <c r="Z698" s="2" t="s">
        <v>36</v>
      </c>
      <c r="AA698" s="13" t="s">
        <v>10370</v>
      </c>
      <c r="AB698" s="13" t="s">
        <v>10371</v>
      </c>
    </row>
    <row r="699" spans="1:28">
      <c r="A699" s="2" t="s">
        <v>8888</v>
      </c>
      <c r="B699" s="2" t="s">
        <v>368</v>
      </c>
      <c r="C699" s="31" t="s">
        <v>1170</v>
      </c>
      <c r="D699" s="2" t="s">
        <v>30</v>
      </c>
      <c r="E699" s="2" t="s">
        <v>87</v>
      </c>
      <c r="F699" s="11" t="s">
        <v>1864</v>
      </c>
      <c r="G699" s="67" t="s">
        <v>1865</v>
      </c>
      <c r="H699" s="2" t="s">
        <v>1866</v>
      </c>
      <c r="I699" s="12" t="s">
        <v>1392</v>
      </c>
      <c r="J699" s="22">
        <f>+Tabla1[[#This Row],[FECHA ENTRADA]]</f>
        <v>45683</v>
      </c>
      <c r="K699" s="8">
        <v>45744</v>
      </c>
      <c r="L699" s="42">
        <f>_xlfn.DAYS(Tabla1[[#This Row],[FECHA FIN ]],Tabla1[[#This Row],[FECHA INICIO]])</f>
        <v>61</v>
      </c>
      <c r="M699" s="12"/>
      <c r="N699" s="20">
        <f>1752.5/6</f>
        <v>292.08333333333331</v>
      </c>
      <c r="O699" s="28">
        <f>(Tabla1[[#This Row],[COSTO FIJO ]]/30)*Tabla1[[#This Row],[TOTAL DIAS PROYECTO]]+(Tabla1[[#This Row],[COSTO TEMPORAL]])</f>
        <v>593.90277777777771</v>
      </c>
      <c r="P699" s="12">
        <f>613.83/5</f>
        <v>122.76600000000001</v>
      </c>
      <c r="Q699" s="12">
        <f>+(Tabla1[[#This Row],[COSTO COCHE]]/30)*Tabla1[[#This Row],[TOTAL DIAS PROYECTO]]</f>
        <v>249.6242</v>
      </c>
      <c r="R699" s="12">
        <f>+Tabla1[[#This Row],[COSTO TOTAL ALOJAMIENTO]]+Tabla1[[#This Row],[COSTO TOTAL COCHE]]</f>
        <v>843.52697777777769</v>
      </c>
      <c r="S699" s="2"/>
      <c r="T699" s="2" t="s">
        <v>35</v>
      </c>
      <c r="U699" s="14">
        <v>45683</v>
      </c>
      <c r="V699" s="79"/>
      <c r="W699" s="26">
        <v>950</v>
      </c>
      <c r="X699" s="2">
        <v>7</v>
      </c>
      <c r="Y699" t="s">
        <v>1867</v>
      </c>
      <c r="Z699" s="2" t="s">
        <v>36</v>
      </c>
      <c r="AA699" s="13" t="s">
        <v>10335</v>
      </c>
      <c r="AB699" s="13">
        <v>404.16500000000002</v>
      </c>
    </row>
    <row r="700" spans="1:28">
      <c r="A700" s="2" t="s">
        <v>9068</v>
      </c>
      <c r="B700" s="2" t="s">
        <v>28</v>
      </c>
      <c r="C700" s="11" t="s">
        <v>1868</v>
      </c>
      <c r="D700" s="2" t="s">
        <v>30</v>
      </c>
      <c r="E700" s="2" t="s">
        <v>502</v>
      </c>
      <c r="F700" s="11" t="s">
        <v>1106</v>
      </c>
      <c r="G700" s="46"/>
      <c r="H700" s="2" t="s">
        <v>1869</v>
      </c>
      <c r="I700" s="12" t="s">
        <v>883</v>
      </c>
      <c r="J700" s="41">
        <f>+Tabla1[[#This Row],[FECHA ENTRADA]]</f>
        <v>45677</v>
      </c>
      <c r="K700" s="22">
        <v>45745</v>
      </c>
      <c r="L700" s="42">
        <f>_xlfn.DAYS(Tabla1[[#This Row],[FECHA FIN ]],Tabla1[[#This Row],[FECHA INICIO]])</f>
        <v>68</v>
      </c>
      <c r="M700" s="12"/>
      <c r="N700" s="12"/>
      <c r="O700" s="28">
        <f>(Tabla1[[#This Row],[COSTO FIJO ]]/30)*Tabla1[[#This Row],[TOTAL DIAS PROYECTO]]+(Tabla1[[#This Row],[COSTO TEMPORAL]])</f>
        <v>0</v>
      </c>
      <c r="P700" s="12"/>
      <c r="Q700" s="12">
        <f>+(Tabla1[[#This Row],[COSTO COCHE]]/30)*Tabla1[[#This Row],[TOTAL DIAS PROYECTO]]</f>
        <v>0</v>
      </c>
      <c r="R700" s="12">
        <f>+Tabla1[[#This Row],[COSTO TOTAL ALOJAMIENTO]]+Tabla1[[#This Row],[COSTO TOTAL COCHE]]</f>
        <v>0</v>
      </c>
      <c r="S700" s="2"/>
      <c r="T700" s="2" t="s">
        <v>8</v>
      </c>
      <c r="U700" s="14">
        <v>45677</v>
      </c>
      <c r="V700" s="43"/>
      <c r="W700" s="26"/>
      <c r="X700" s="2"/>
      <c r="Y700" s="11"/>
      <c r="Z700" s="2" t="s">
        <v>36</v>
      </c>
      <c r="AA700" s="13" t="s">
        <v>10378</v>
      </c>
      <c r="AB700" s="13" t="s">
        <v>10379</v>
      </c>
    </row>
    <row r="701" spans="1:28" ht="15" customHeight="1">
      <c r="A701" s="2" t="s">
        <v>9066</v>
      </c>
      <c r="B701" s="2" t="s">
        <v>368</v>
      </c>
      <c r="C701" s="11" t="s">
        <v>1852</v>
      </c>
      <c r="D701" s="2" t="s">
        <v>749</v>
      </c>
      <c r="E701" s="2" t="s">
        <v>1853</v>
      </c>
      <c r="F701" s="11" t="s">
        <v>1870</v>
      </c>
      <c r="G701" s="49" t="s">
        <v>1871</v>
      </c>
      <c r="H701" s="2" t="s">
        <v>1856</v>
      </c>
      <c r="I701" s="10" t="s">
        <v>1857</v>
      </c>
      <c r="J701" s="22">
        <f>+Tabla1[[#This Row],[FECHA ENTRADA]]</f>
        <v>45744</v>
      </c>
      <c r="K701" s="22">
        <v>45746</v>
      </c>
      <c r="L701" s="23">
        <f>_xlfn.DAYS(Tabla1[[#This Row],[FECHA FIN ]],Tabla1[[#This Row],[FECHA INICIO]])</f>
        <v>2</v>
      </c>
      <c r="M701" s="12">
        <v>98</v>
      </c>
      <c r="N701" s="24"/>
      <c r="O701" s="24">
        <f>(Tabla1[[#This Row],[COSTO FIJO ]]/30)*Tabla1[[#This Row],[TOTAL DIAS PROYECTO]]+(Tabla1[[#This Row],[COSTO TEMPORAL]])</f>
        <v>98</v>
      </c>
      <c r="P701" s="12"/>
      <c r="Q701" s="12">
        <f>+(Tabla1[[#This Row],[COSTO COCHE]]/30)*Tabla1[[#This Row],[TOTAL DIAS PROYECTO]]</f>
        <v>0</v>
      </c>
      <c r="R701" s="12">
        <f>+Tabla1[[#This Row],[COSTO TOTAL ALOJAMIENTO]]+Tabla1[[#This Row],[COSTO TOTAL COCHE]]</f>
        <v>98</v>
      </c>
      <c r="S701" s="2" t="s">
        <v>403</v>
      </c>
      <c r="T701" s="2" t="s">
        <v>528</v>
      </c>
      <c r="U701" s="14">
        <v>45744</v>
      </c>
      <c r="V701" s="25">
        <v>45747</v>
      </c>
      <c r="W701" s="26"/>
      <c r="X701" s="2"/>
      <c r="Y701" s="11" t="s">
        <v>1166</v>
      </c>
      <c r="Z701" s="2" t="s">
        <v>36</v>
      </c>
      <c r="AA701" s="13" t="s">
        <v>10432</v>
      </c>
      <c r="AB701" s="134">
        <v>45.464269999999999</v>
      </c>
    </row>
    <row r="702" spans="1:28" ht="15" customHeight="1">
      <c r="A702" s="2" t="s">
        <v>8848</v>
      </c>
      <c r="B702" s="2" t="s">
        <v>711</v>
      </c>
      <c r="C702" s="11" t="s">
        <v>1003</v>
      </c>
      <c r="D702" s="2" t="s">
        <v>99</v>
      </c>
      <c r="E702" s="2" t="s">
        <v>720</v>
      </c>
      <c r="F702" s="11" t="s">
        <v>1872</v>
      </c>
      <c r="G702" s="49" t="s">
        <v>1873</v>
      </c>
      <c r="H702" s="2" t="s">
        <v>1874</v>
      </c>
      <c r="I702" s="12" t="s">
        <v>506</v>
      </c>
      <c r="J702" s="22">
        <f>+Tabla1[[#This Row],[FECHA ENTRADA]]</f>
        <v>45732</v>
      </c>
      <c r="K702" s="22">
        <v>45746</v>
      </c>
      <c r="L702" s="23">
        <f>_xlfn.DAYS(Tabla1[[#This Row],[FECHA FIN ]],Tabla1[[#This Row],[FECHA INICIO]])</f>
        <v>14</v>
      </c>
      <c r="M702" s="12">
        <v>441.18</v>
      </c>
      <c r="N702" s="24"/>
      <c r="O702" s="24">
        <f>(Tabla1[[#This Row],[COSTO FIJO ]]/30)*Tabla1[[#This Row],[TOTAL DIAS PROYECTO]]+(Tabla1[[#This Row],[COSTO TEMPORAL]])</f>
        <v>441.18</v>
      </c>
      <c r="P702" s="12"/>
      <c r="Q702" s="12">
        <f>+(Tabla1[[#This Row],[COSTO COCHE]]/30)*Tabla1[[#This Row],[TOTAL DIAS PROYECTO]]</f>
        <v>0</v>
      </c>
      <c r="R702" s="12">
        <f>+Tabla1[[#This Row],[COSTO TOTAL ALOJAMIENTO]]+Tabla1[[#This Row],[COSTO TOTAL COCHE]]</f>
        <v>441.18</v>
      </c>
      <c r="S702" s="2"/>
      <c r="T702" s="2" t="s">
        <v>528</v>
      </c>
      <c r="U702" s="14">
        <v>45732</v>
      </c>
      <c r="V702" s="25">
        <v>45749</v>
      </c>
      <c r="W702" s="26"/>
      <c r="X702" s="2"/>
      <c r="Y702" s="11"/>
      <c r="Z702" s="2" t="s">
        <v>36</v>
      </c>
      <c r="AA702" s="13" t="s">
        <v>10394</v>
      </c>
      <c r="AB702" s="13" t="s">
        <v>10395</v>
      </c>
    </row>
    <row r="703" spans="1:28">
      <c r="A703" s="2" t="s">
        <v>8781</v>
      </c>
      <c r="B703" s="2" t="s">
        <v>28</v>
      </c>
      <c r="C703" s="11" t="s">
        <v>746</v>
      </c>
      <c r="D703" s="2" t="s">
        <v>99</v>
      </c>
      <c r="E703" s="2" t="s">
        <v>31</v>
      </c>
      <c r="F703" s="11" t="s">
        <v>409</v>
      </c>
      <c r="G703" s="11" t="s">
        <v>410</v>
      </c>
      <c r="H703" s="2" t="s">
        <v>1875</v>
      </c>
      <c r="I703" s="12" t="s">
        <v>1101</v>
      </c>
      <c r="J703" s="22">
        <f>+Tabla1[[#This Row],[FECHA ENTRADA]]</f>
        <v>45741</v>
      </c>
      <c r="K703" s="22">
        <v>45746</v>
      </c>
      <c r="L703" s="23">
        <f>_xlfn.DAYS(Tabla1[[#This Row],[FECHA FIN ]],Tabla1[[#This Row],[FECHA INICIO]])</f>
        <v>5</v>
      </c>
      <c r="M703" s="12"/>
      <c r="N703" s="12"/>
      <c r="O703" s="24">
        <f>(Tabla1[[#This Row],[COSTO FIJO ]]/30)*Tabla1[[#This Row],[TOTAL DIAS PROYECTO]]+(Tabla1[[#This Row],[COSTO TEMPORAL]])</f>
        <v>0</v>
      </c>
      <c r="P703" s="12"/>
      <c r="Q703" s="12">
        <f>+(Tabla1[[#This Row],[COSTO COCHE]]/30)*Tabla1[[#This Row],[TOTAL DIAS PROYECTO]]</f>
        <v>0</v>
      </c>
      <c r="R703" s="12">
        <f>+Tabla1[[#This Row],[COSTO TOTAL ALOJAMIENTO]]+Tabla1[[#This Row],[COSTO TOTAL COCHE]]</f>
        <v>0</v>
      </c>
      <c r="S703" s="2"/>
      <c r="T703" s="2" t="s">
        <v>35</v>
      </c>
      <c r="U703" s="14">
        <v>45741</v>
      </c>
      <c r="V703" s="25"/>
      <c r="W703" s="26"/>
      <c r="X703" s="2">
        <v>24</v>
      </c>
      <c r="Y703" s="11"/>
      <c r="Z703" s="2" t="s">
        <v>36</v>
      </c>
      <c r="AA703" s="13" t="s">
        <v>10323</v>
      </c>
      <c r="AB703" s="13" t="s">
        <v>10324</v>
      </c>
    </row>
    <row r="704" spans="1:28" ht="15" customHeight="1">
      <c r="A704" s="2" t="s">
        <v>9061</v>
      </c>
      <c r="B704" s="2" t="s">
        <v>711</v>
      </c>
      <c r="C704" s="69" t="s">
        <v>1833</v>
      </c>
      <c r="D704" s="2" t="s">
        <v>30</v>
      </c>
      <c r="E704" s="2" t="s">
        <v>648</v>
      </c>
      <c r="F704" s="11" t="s">
        <v>1876</v>
      </c>
      <c r="G704" s="21" t="s">
        <v>1877</v>
      </c>
      <c r="H704" s="2" t="s">
        <v>1836</v>
      </c>
      <c r="I704" s="12" t="s">
        <v>96</v>
      </c>
      <c r="J704" s="22">
        <f>+Tabla1[[#This Row],[FECHA ENTRADA]]</f>
        <v>46081</v>
      </c>
      <c r="K704" s="22">
        <v>46101</v>
      </c>
      <c r="L704" s="23">
        <f>_xlfn.DAYS(Tabla1[[#This Row],[FECHA FIN ]],Tabla1[[#This Row],[FECHA INICIO]])</f>
        <v>20</v>
      </c>
      <c r="M704" s="12">
        <v>100</v>
      </c>
      <c r="N704" s="20"/>
      <c r="O704" s="24">
        <f>(Tabla1[[#This Row],[COSTO FIJO ]]/30)*Tabla1[[#This Row],[TOTAL DIAS PROYECTO]]+(Tabla1[[#This Row],[COSTO TEMPORAL]])</f>
        <v>100</v>
      </c>
      <c r="P704" s="12"/>
      <c r="Q704" s="12">
        <f>+(Tabla1[[#This Row],[COSTO COCHE]]/30)*Tabla1[[#This Row],[TOTAL DIAS PROYECTO]]</f>
        <v>0</v>
      </c>
      <c r="R704" s="12">
        <f>+Tabla1[[#This Row],[COSTO TOTAL ALOJAMIENTO]]+Tabla1[[#This Row],[COSTO TOTAL COCHE]]</f>
        <v>100</v>
      </c>
      <c r="S704" s="2"/>
      <c r="T704" s="14" t="s">
        <v>44</v>
      </c>
      <c r="U704" s="14">
        <v>46081</v>
      </c>
      <c r="V704" s="25">
        <v>46099</v>
      </c>
      <c r="W704" s="12"/>
      <c r="X704" s="2"/>
      <c r="Y704" s="11" t="s">
        <v>1361</v>
      </c>
      <c r="Z704" s="2" t="s">
        <v>36</v>
      </c>
      <c r="AA704" s="13" t="s">
        <v>10387</v>
      </c>
      <c r="AB704" s="13" t="s">
        <v>10388</v>
      </c>
    </row>
    <row r="705" spans="1:28">
      <c r="A705" s="2" t="s">
        <v>8776</v>
      </c>
      <c r="B705" s="2" t="s">
        <v>368</v>
      </c>
      <c r="C705" s="11" t="s">
        <v>703</v>
      </c>
      <c r="D705" s="2" t="s">
        <v>30</v>
      </c>
      <c r="E705" s="2" t="s">
        <v>213</v>
      </c>
      <c r="F705" s="11" t="s">
        <v>1492</v>
      </c>
      <c r="G705" s="30" t="s">
        <v>1493</v>
      </c>
      <c r="H705" s="2" t="s">
        <v>1124</v>
      </c>
      <c r="I705" s="12" t="s">
        <v>514</v>
      </c>
      <c r="J705" s="41">
        <v>45631</v>
      </c>
      <c r="K705" s="41">
        <v>45747</v>
      </c>
      <c r="L705" s="42">
        <f>_xlfn.DAYS(Tabla1[[#This Row],[FECHA FIN ]],Tabla1[[#This Row],[FECHA INICIO]])</f>
        <v>116</v>
      </c>
      <c r="M705" s="12"/>
      <c r="N705" s="12"/>
      <c r="O705" s="28">
        <f>(Tabla1[[#This Row],[COSTO FIJO ]]/30)*Tabla1[[#This Row],[TOTAL DIAS PROYECTO]]+(Tabla1[[#This Row],[COSTO TEMPORAL]])</f>
        <v>0</v>
      </c>
      <c r="P705" s="12">
        <f>2586.33/26</f>
        <v>99.474230769230772</v>
      </c>
      <c r="Q705" s="12">
        <f>+(Tabla1[[#This Row],[COSTO COCHE]]/30)*Tabla1[[#This Row],[TOTAL DIAS PROYECTO]]</f>
        <v>384.63369230769234</v>
      </c>
      <c r="R705" s="12">
        <f>+Tabla1[[#This Row],[COSTO TOTAL ALOJAMIENTO]]+Tabla1[[#This Row],[COSTO TOTAL COCHE]]</f>
        <v>384.63369230769234</v>
      </c>
      <c r="S705" s="2"/>
      <c r="T705" s="2" t="s">
        <v>35</v>
      </c>
      <c r="U705" s="14"/>
      <c r="V705" s="43"/>
      <c r="W705" s="26"/>
      <c r="X705" s="2">
        <v>5</v>
      </c>
      <c r="Y705" s="11" t="s">
        <v>1878</v>
      </c>
      <c r="Z705" s="2" t="s">
        <v>36</v>
      </c>
      <c r="AA705" s="13" t="s">
        <v>10349</v>
      </c>
      <c r="AB705" s="13" t="s">
        <v>10350</v>
      </c>
    </row>
    <row r="706" spans="1:28">
      <c r="A706" s="2" t="s">
        <v>9069</v>
      </c>
      <c r="B706" s="2" t="s">
        <v>368</v>
      </c>
      <c r="C706" s="11" t="s">
        <v>1879</v>
      </c>
      <c r="D706" s="2" t="s">
        <v>30</v>
      </c>
      <c r="E706" s="2" t="s">
        <v>87</v>
      </c>
      <c r="F706" s="11"/>
      <c r="G706" s="11"/>
      <c r="H706" s="2" t="s">
        <v>1880</v>
      </c>
      <c r="I706" s="12" t="s">
        <v>1288</v>
      </c>
      <c r="J706" s="8">
        <f>+Tabla1[[#This Row],[FECHA ENTRADA]]</f>
        <v>45504</v>
      </c>
      <c r="K706" s="8">
        <v>45747</v>
      </c>
      <c r="L706" s="13">
        <f>_xlfn.DAYS(Tabla1[[#This Row],[FECHA FIN ]],Tabla1[[#This Row],[FECHA INICIO]])</f>
        <v>243</v>
      </c>
      <c r="M706" s="12"/>
      <c r="N706" s="12"/>
      <c r="O706" s="12">
        <f>(Tabla1[[#This Row],[COSTO FIJO ]]/30)*Tabla1[[#This Row],[TOTAL DIAS PROYECTO]]+(Tabla1[[#This Row],[COSTO TEMPORAL]])</f>
        <v>0</v>
      </c>
      <c r="P706" s="12"/>
      <c r="Q706" s="12">
        <f>+(Tabla1[[#This Row],[COSTO COCHE]]/30)*Tabla1[[#This Row],[TOTAL DIAS PROYECTO]]</f>
        <v>0</v>
      </c>
      <c r="R706" s="12">
        <f>+Tabla1[[#This Row],[COSTO TOTAL ALOJAMIENTO]]+Tabla1[[#This Row],[COSTO TOTAL COCHE]]</f>
        <v>0</v>
      </c>
      <c r="S706" s="2"/>
      <c r="T706" s="2" t="s">
        <v>58</v>
      </c>
      <c r="U706" s="14">
        <v>45504</v>
      </c>
      <c r="V706" s="14"/>
      <c r="W706" s="26"/>
      <c r="X706" s="2"/>
      <c r="Y706" s="11" t="s">
        <v>1881</v>
      </c>
      <c r="Z706" s="2" t="s">
        <v>36</v>
      </c>
      <c r="AA706" s="13" t="s">
        <v>10335</v>
      </c>
      <c r="AB706" s="13">
        <v>404.16500000000002</v>
      </c>
    </row>
    <row r="707" spans="1:28">
      <c r="A707" s="2" t="s">
        <v>8786</v>
      </c>
      <c r="B707" s="2" t="s">
        <v>28</v>
      </c>
      <c r="C707" s="11" t="s">
        <v>762</v>
      </c>
      <c r="D707" s="2" t="s">
        <v>30</v>
      </c>
      <c r="E707" s="2" t="s">
        <v>245</v>
      </c>
      <c r="F707" s="11" t="s">
        <v>1858</v>
      </c>
      <c r="G707" s="133" t="s">
        <v>1859</v>
      </c>
      <c r="H707" s="2" t="s">
        <v>1023</v>
      </c>
      <c r="I707" s="12" t="s">
        <v>1538</v>
      </c>
      <c r="J707" s="41">
        <v>45618</v>
      </c>
      <c r="K707" s="8">
        <v>45730</v>
      </c>
      <c r="L707" s="42">
        <f>_xlfn.DAYS(Tabla1[[#This Row],[FECHA FIN ]],Tabla1[[#This Row],[FECHA INICIO]])</f>
        <v>112</v>
      </c>
      <c r="M707" s="12"/>
      <c r="N707" s="12"/>
      <c r="O707" s="28">
        <f>(Tabla1[[#This Row],[COSTO FIJO ]]/30)*Tabla1[[#This Row],[TOTAL DIAS PROYECTO]]+(Tabla1[[#This Row],[COSTO TEMPORAL]])</f>
        <v>0</v>
      </c>
      <c r="P707" s="12"/>
      <c r="Q707" s="12">
        <f>+(Tabla1[[#This Row],[COSTO COCHE]]/30)*Tabla1[[#This Row],[TOTAL DIAS PROYECTO]]</f>
        <v>0</v>
      </c>
      <c r="R707" s="12">
        <f>+Tabla1[[#This Row],[COSTO TOTAL ALOJAMIENTO]]+Tabla1[[#This Row],[COSTO TOTAL COCHE]]</f>
        <v>0</v>
      </c>
      <c r="S707" s="2"/>
      <c r="T707" s="2" t="s">
        <v>35</v>
      </c>
      <c r="U707" s="14">
        <v>45618</v>
      </c>
      <c r="V707" s="43"/>
      <c r="W707" s="26"/>
      <c r="X707" s="2">
        <v>20</v>
      </c>
      <c r="Y707" s="11" t="s">
        <v>1024</v>
      </c>
      <c r="Z707" s="2" t="s">
        <v>36</v>
      </c>
      <c r="AA707" s="13" t="s">
        <v>10355</v>
      </c>
      <c r="AB707" s="13" t="s">
        <v>10356</v>
      </c>
    </row>
    <row r="708" spans="1:28">
      <c r="A708" s="2" t="s">
        <v>8861</v>
      </c>
      <c r="B708" s="2" t="s">
        <v>28</v>
      </c>
      <c r="C708" s="11" t="s">
        <v>1057</v>
      </c>
      <c r="D708" s="2" t="s">
        <v>30</v>
      </c>
      <c r="E708" s="2" t="s">
        <v>127</v>
      </c>
      <c r="F708" s="11" t="s">
        <v>128</v>
      </c>
      <c r="G708" s="11" t="s">
        <v>129</v>
      </c>
      <c r="H708" s="2" t="s">
        <v>130</v>
      </c>
      <c r="I708" s="2" t="s">
        <v>124</v>
      </c>
      <c r="J708" s="8">
        <f>+Tabla1[[#This Row],[FECHA ENTRADA]]</f>
        <v>45383</v>
      </c>
      <c r="K708" s="22">
        <v>45821</v>
      </c>
      <c r="L708" s="13">
        <f>_xlfn.DAYS(Tabla1[[#This Row],[FECHA FIN ]],Tabla1[[#This Row],[FECHA INICIO]])</f>
        <v>438</v>
      </c>
      <c r="M708" s="12"/>
      <c r="N708" s="24"/>
      <c r="O708" s="12">
        <f>(Tabla1[[#This Row],[COSTO FIJO ]]/30)*Tabla1[[#This Row],[TOTAL DIAS PROYECTO]]+(Tabla1[[#This Row],[COSTO TEMPORAL]])</f>
        <v>0</v>
      </c>
      <c r="P708" s="12"/>
      <c r="Q708" s="12">
        <f>+(Tabla1[[#This Row],[COSTO COCHE]]/30)*Tabla1[[#This Row],[TOTAL DIAS PROYECTO]]</f>
        <v>0</v>
      </c>
      <c r="R708" s="12">
        <f>+Tabla1[[#This Row],[COSTO TOTAL ALOJAMIENTO]]+Tabla1[[#This Row],[COSTO TOTAL COCHE]]</f>
        <v>0</v>
      </c>
      <c r="S708" s="2"/>
      <c r="T708" s="2" t="s">
        <v>35</v>
      </c>
      <c r="U708" s="14">
        <v>45383</v>
      </c>
      <c r="V708" s="14"/>
      <c r="W708" s="15"/>
      <c r="X708" s="16">
        <v>15</v>
      </c>
      <c r="Y708" s="18"/>
      <c r="Z708" s="2" t="s">
        <v>36</v>
      </c>
      <c r="AA708" s="13" t="s">
        <v>10342</v>
      </c>
      <c r="AB708" s="13" t="s">
        <v>10343</v>
      </c>
    </row>
    <row r="709" spans="1:28">
      <c r="A709" s="2" t="s">
        <v>9070</v>
      </c>
      <c r="B709" s="2" t="s">
        <v>978</v>
      </c>
      <c r="C709" s="87" t="s">
        <v>1882</v>
      </c>
      <c r="D709" s="2" t="s">
        <v>30</v>
      </c>
      <c r="E709" s="2" t="s">
        <v>253</v>
      </c>
      <c r="F709" s="11" t="s">
        <v>1883</v>
      </c>
      <c r="G709" s="30" t="s">
        <v>1693</v>
      </c>
      <c r="H709" s="2" t="s">
        <v>1154</v>
      </c>
      <c r="I709" s="12" t="s">
        <v>1155</v>
      </c>
      <c r="J709" s="41">
        <f>+Tabla1[[#This Row],[FECHA ENTRADA]]</f>
        <v>45645</v>
      </c>
      <c r="K709" s="41">
        <v>45748</v>
      </c>
      <c r="L709" s="42">
        <f>_xlfn.DAYS(Tabla1[[#This Row],[FECHA FIN ]],Tabla1[[#This Row],[FECHA INICIO]])</f>
        <v>103</v>
      </c>
      <c r="M709" s="12"/>
      <c r="N709" s="12">
        <v>480</v>
      </c>
      <c r="O709" s="28">
        <f>(Tabla1[[#This Row],[COSTO FIJO ]]/30)*Tabla1[[#This Row],[TOTAL DIAS PROYECTO]]+(Tabla1[[#This Row],[COSTO TEMPORAL]])</f>
        <v>1648</v>
      </c>
      <c r="P709" s="12"/>
      <c r="Q709" s="12">
        <f>+(Tabla1[[#This Row],[COSTO COCHE]]/30)*Tabla1[[#This Row],[TOTAL DIAS PROYECTO]]</f>
        <v>0</v>
      </c>
      <c r="R709" s="12">
        <f>+Tabla1[[#This Row],[COSTO TOTAL ALOJAMIENTO]]+Tabla1[[#This Row],[COSTO TOTAL COCHE]]</f>
        <v>1648</v>
      </c>
      <c r="S709" s="2"/>
      <c r="T709" s="2" t="s">
        <v>35</v>
      </c>
      <c r="U709" s="14">
        <v>45645</v>
      </c>
      <c r="V709" s="43"/>
      <c r="W709" s="26"/>
      <c r="X709" s="2">
        <v>1</v>
      </c>
      <c r="Y709" s="11" t="s">
        <v>1884</v>
      </c>
      <c r="Z709" s="2" t="s">
        <v>36</v>
      </c>
      <c r="AA709" s="13" t="s">
        <v>10357</v>
      </c>
      <c r="AB709" s="13" t="s">
        <v>10358</v>
      </c>
    </row>
    <row r="710" spans="1:28" ht="15" customHeight="1">
      <c r="A710" s="2" t="s">
        <v>8958</v>
      </c>
      <c r="B710" s="2" t="s">
        <v>28</v>
      </c>
      <c r="C710" s="11" t="s">
        <v>1491</v>
      </c>
      <c r="D710" s="2" t="s">
        <v>30</v>
      </c>
      <c r="E710" s="2" t="s">
        <v>380</v>
      </c>
      <c r="F710" s="11" t="s">
        <v>1790</v>
      </c>
      <c r="G710" s="11" t="s">
        <v>767</v>
      </c>
      <c r="H710" s="2" t="s">
        <v>1791</v>
      </c>
      <c r="I710" s="12" t="s">
        <v>382</v>
      </c>
      <c r="J710" s="8">
        <f>+Tabla1[[#This Row],[FECHA ENTRADA]]</f>
        <v>45382</v>
      </c>
      <c r="K710" s="8"/>
      <c r="L710" s="13">
        <f>_xlfn.DAYS(Tabla1[[#This Row],[FECHA FIN ]],Tabla1[[#This Row],[FECHA INICIO]])</f>
        <v>-45382</v>
      </c>
      <c r="M710" s="12"/>
      <c r="N710" s="12"/>
      <c r="O710" s="12">
        <f>(Tabla1[[#This Row],[COSTO FIJO ]]/30)*Tabla1[[#This Row],[TOTAL DIAS PROYECTO]]+(Tabla1[[#This Row],[COSTO TEMPORAL]])</f>
        <v>0</v>
      </c>
      <c r="P710" s="12"/>
      <c r="Q710" s="12">
        <f>+(Tabla1[[#This Row],[COSTO COCHE]]/30)*Tabla1[[#This Row],[TOTAL DIAS PROYECTO]]</f>
        <v>0</v>
      </c>
      <c r="R710" s="12">
        <f>+Tabla1[[#This Row],[COSTO TOTAL ALOJAMIENTO]]+Tabla1[[#This Row],[COSTO TOTAL COCHE]]</f>
        <v>0</v>
      </c>
      <c r="S710" s="2"/>
      <c r="T710" s="2" t="s">
        <v>35</v>
      </c>
      <c r="U710" s="14">
        <v>45382</v>
      </c>
      <c r="V710" s="14"/>
      <c r="W710" s="15"/>
      <c r="X710" s="16">
        <v>1</v>
      </c>
      <c r="Y710" s="18"/>
      <c r="Z710" s="2" t="s">
        <v>36</v>
      </c>
      <c r="AA710" s="13" t="s">
        <v>10370</v>
      </c>
      <c r="AB710" s="13" t="s">
        <v>10371</v>
      </c>
    </row>
    <row r="711" spans="1:28" ht="15" customHeight="1">
      <c r="A711" s="2" t="s">
        <v>9029</v>
      </c>
      <c r="B711" s="2" t="s">
        <v>368</v>
      </c>
      <c r="C711" s="11" t="s">
        <v>1739</v>
      </c>
      <c r="D711" s="2" t="s">
        <v>30</v>
      </c>
      <c r="E711" s="2" t="s">
        <v>855</v>
      </c>
      <c r="F711" s="11" t="s">
        <v>1885</v>
      </c>
      <c r="G711" s="49" t="s">
        <v>1886</v>
      </c>
      <c r="H711" s="2" t="s">
        <v>1741</v>
      </c>
      <c r="I711" s="91" t="s">
        <v>1288</v>
      </c>
      <c r="J711" s="22">
        <f>+Tabla1[[#This Row],[FECHA ENTRADA]]</f>
        <v>45737</v>
      </c>
      <c r="K711" s="8">
        <v>45748</v>
      </c>
      <c r="L711" s="23">
        <f>_xlfn.DAYS(Tabla1[[#This Row],[FECHA FIN ]],Tabla1[[#This Row],[FECHA INICIO]])</f>
        <v>11</v>
      </c>
      <c r="M711" s="12"/>
      <c r="N711" s="24"/>
      <c r="O711" s="24">
        <f>(Tabla1[[#This Row],[COSTO FIJO ]]/30)*Tabla1[[#This Row],[TOTAL DIAS PROYECTO]]+(Tabla1[[#This Row],[COSTO TEMPORAL]])</f>
        <v>0</v>
      </c>
      <c r="P711" s="12">
        <v>75</v>
      </c>
      <c r="Q711" s="12">
        <f>+(Tabla1[[#This Row],[COSTO COCHE]]/30)*Tabla1[[#This Row],[TOTAL DIAS PROYECTO]]</f>
        <v>27.5</v>
      </c>
      <c r="R711" s="12">
        <f>+Tabla1[[#This Row],[COSTO TOTAL ALOJAMIENTO]]+Tabla1[[#This Row],[COSTO TOTAL COCHE]]</f>
        <v>27.5</v>
      </c>
      <c r="S711" s="2"/>
      <c r="T711" s="2" t="s">
        <v>528</v>
      </c>
      <c r="U711" s="14">
        <v>45737</v>
      </c>
      <c r="V711" s="25">
        <v>45750</v>
      </c>
      <c r="W711" s="26"/>
      <c r="X711" s="2"/>
      <c r="Y711" s="11"/>
      <c r="Z711" s="2" t="s">
        <v>36</v>
      </c>
      <c r="AA711" s="13" t="s">
        <v>10401</v>
      </c>
      <c r="AB711" s="13" t="s">
        <v>10402</v>
      </c>
    </row>
    <row r="712" spans="1:28" ht="15" customHeight="1">
      <c r="A712" s="2" t="s">
        <v>9030</v>
      </c>
      <c r="B712" s="2" t="s">
        <v>368</v>
      </c>
      <c r="C712" s="11" t="s">
        <v>1742</v>
      </c>
      <c r="D712" s="2" t="s">
        <v>30</v>
      </c>
      <c r="E712" s="2" t="s">
        <v>855</v>
      </c>
      <c r="F712" s="11" t="s">
        <v>1885</v>
      </c>
      <c r="G712" s="49" t="s">
        <v>1886</v>
      </c>
      <c r="H712" s="2" t="s">
        <v>1741</v>
      </c>
      <c r="I712" s="91" t="s">
        <v>1288</v>
      </c>
      <c r="J712" s="22">
        <f>+Tabla1[[#This Row],[FECHA ENTRADA]]</f>
        <v>45737</v>
      </c>
      <c r="K712" s="8">
        <v>45748</v>
      </c>
      <c r="L712" s="23">
        <f>_xlfn.DAYS(Tabla1[[#This Row],[FECHA FIN ]],Tabla1[[#This Row],[FECHA INICIO]])</f>
        <v>11</v>
      </c>
      <c r="M712" s="12">
        <v>144</v>
      </c>
      <c r="N712" s="24"/>
      <c r="O712" s="24">
        <f>(Tabla1[[#This Row],[COSTO FIJO ]]/30)*Tabla1[[#This Row],[TOTAL DIAS PROYECTO]]+(Tabla1[[#This Row],[COSTO TEMPORAL]])</f>
        <v>144</v>
      </c>
      <c r="P712" s="12">
        <v>75</v>
      </c>
      <c r="Q712" s="12">
        <f>+(Tabla1[[#This Row],[COSTO COCHE]]/30)*Tabla1[[#This Row],[TOTAL DIAS PROYECTO]]</f>
        <v>27.5</v>
      </c>
      <c r="R712" s="12">
        <f>+Tabla1[[#This Row],[COSTO TOTAL ALOJAMIENTO]]+Tabla1[[#This Row],[COSTO TOTAL COCHE]]</f>
        <v>171.5</v>
      </c>
      <c r="S712" s="2"/>
      <c r="T712" s="2" t="s">
        <v>528</v>
      </c>
      <c r="U712" s="14">
        <v>45737</v>
      </c>
      <c r="V712" s="25">
        <v>45750</v>
      </c>
      <c r="W712" s="26"/>
      <c r="X712" s="2"/>
      <c r="Y712" s="11"/>
      <c r="Z712" s="2" t="s">
        <v>36</v>
      </c>
      <c r="AA712" s="13" t="s">
        <v>10401</v>
      </c>
      <c r="AB712" s="13" t="s">
        <v>10402</v>
      </c>
    </row>
    <row r="713" spans="1:28" ht="15" customHeight="1">
      <c r="A713" s="2" t="s">
        <v>9020</v>
      </c>
      <c r="B713" s="2" t="s">
        <v>28</v>
      </c>
      <c r="C713" s="31" t="s">
        <v>1714</v>
      </c>
      <c r="D713" s="2" t="s">
        <v>99</v>
      </c>
      <c r="E713" s="2" t="s">
        <v>213</v>
      </c>
      <c r="F713" s="11" t="s">
        <v>1777</v>
      </c>
      <c r="G713" s="46" t="s">
        <v>1778</v>
      </c>
      <c r="H713" s="2" t="s">
        <v>1713</v>
      </c>
      <c r="I713" s="12" t="s">
        <v>1627</v>
      </c>
      <c r="J713" s="41">
        <f>+Tabla1[[#This Row],[FECHA ENTRADA]]</f>
        <v>45725</v>
      </c>
      <c r="K713" s="41">
        <v>45748</v>
      </c>
      <c r="L713" s="42">
        <f>_xlfn.DAYS(Tabla1[[#This Row],[FECHA FIN ]],Tabla1[[#This Row],[FECHA INICIO]])</f>
        <v>23</v>
      </c>
      <c r="M713" s="12">
        <f>1811.6/17</f>
        <v>106.56470588235294</v>
      </c>
      <c r="N713" s="28">
        <v>487.5</v>
      </c>
      <c r="O713" s="28">
        <f>(Tabla1[[#This Row],[COSTO FIJO ]]/30)*Tabla1[[#This Row],[TOTAL DIAS PROYECTO]]+(Tabla1[[#This Row],[COSTO TEMPORAL]])</f>
        <v>480.31470588235294</v>
      </c>
      <c r="P713" s="12">
        <v>100</v>
      </c>
      <c r="Q713" s="12">
        <f>+(Tabla1[[#This Row],[COSTO COCHE]]/30)*Tabla1[[#This Row],[TOTAL DIAS PROYECTO]]</f>
        <v>76.666666666666671</v>
      </c>
      <c r="R713" s="12">
        <f>+Tabla1[[#This Row],[COSTO TOTAL ALOJAMIENTO]]+Tabla1[[#This Row],[COSTO TOTAL COCHE]]</f>
        <v>556.98137254901962</v>
      </c>
      <c r="S713" s="2"/>
      <c r="T713" s="2" t="s">
        <v>35</v>
      </c>
      <c r="U713" s="14">
        <v>45725</v>
      </c>
      <c r="V713" s="43"/>
      <c r="W713" s="26">
        <v>800</v>
      </c>
      <c r="X713" s="2">
        <v>5</v>
      </c>
      <c r="Y713" s="11"/>
      <c r="Z713" s="2" t="s">
        <v>36</v>
      </c>
      <c r="AA713" s="13" t="s">
        <v>10349</v>
      </c>
      <c r="AB713" s="13" t="s">
        <v>10350</v>
      </c>
    </row>
    <row r="714" spans="1:28" ht="15" customHeight="1">
      <c r="A714" s="2" t="s">
        <v>9071</v>
      </c>
      <c r="B714" s="2" t="s">
        <v>28</v>
      </c>
      <c r="C714" s="31" t="s">
        <v>1887</v>
      </c>
      <c r="D714" s="2" t="s">
        <v>99</v>
      </c>
      <c r="E714" s="2" t="s">
        <v>213</v>
      </c>
      <c r="F714" s="11" t="s">
        <v>1777</v>
      </c>
      <c r="G714" s="46" t="s">
        <v>1778</v>
      </c>
      <c r="H714" s="2" t="s">
        <v>1888</v>
      </c>
      <c r="I714" s="12" t="s">
        <v>1627</v>
      </c>
      <c r="J714" s="22">
        <f>+Tabla1[[#This Row],[FECHA ENTRADA]]</f>
        <v>45741</v>
      </c>
      <c r="K714" s="22">
        <v>45748</v>
      </c>
      <c r="L714" s="23">
        <f>_xlfn.DAYS(Tabla1[[#This Row],[FECHA FIN ]],Tabla1[[#This Row],[FECHA INICIO]])</f>
        <v>7</v>
      </c>
      <c r="M714" s="12">
        <f>1811.6/17</f>
        <v>106.56470588235294</v>
      </c>
      <c r="N714" s="24"/>
      <c r="O714" s="24">
        <f>(Tabla1[[#This Row],[COSTO FIJO ]]/30)*Tabla1[[#This Row],[TOTAL DIAS PROYECTO]]+(Tabla1[[#This Row],[COSTO TEMPORAL]])</f>
        <v>106.56470588235294</v>
      </c>
      <c r="P714" s="12">
        <v>100</v>
      </c>
      <c r="Q714" s="12">
        <f>+(Tabla1[[#This Row],[COSTO COCHE]]/30)*Tabla1[[#This Row],[TOTAL DIAS PROYECTO]]</f>
        <v>23.333333333333336</v>
      </c>
      <c r="R714" s="12">
        <f>+Tabla1[[#This Row],[COSTO TOTAL ALOJAMIENTO]]+Tabla1[[#This Row],[COSTO TOTAL COCHE]]</f>
        <v>129.89803921568628</v>
      </c>
      <c r="S714" s="2"/>
      <c r="T714" s="2" t="s">
        <v>35</v>
      </c>
      <c r="U714" s="14">
        <v>45741</v>
      </c>
      <c r="V714" s="79"/>
      <c r="W714" s="26"/>
      <c r="X714" s="2">
        <v>5</v>
      </c>
      <c r="Y714" s="11"/>
      <c r="Z714" s="2" t="s">
        <v>36</v>
      </c>
      <c r="AA714" s="13" t="s">
        <v>10349</v>
      </c>
      <c r="AB714" s="13" t="s">
        <v>10350</v>
      </c>
    </row>
    <row r="715" spans="1:28">
      <c r="A715" s="2" t="s">
        <v>9072</v>
      </c>
      <c r="B715" s="2" t="s">
        <v>28</v>
      </c>
      <c r="C715" s="11" t="s">
        <v>1889</v>
      </c>
      <c r="D715" s="2" t="s">
        <v>30</v>
      </c>
      <c r="E715" s="2" t="s">
        <v>380</v>
      </c>
      <c r="F715" s="11"/>
      <c r="G715" s="30"/>
      <c r="H715" s="2" t="s">
        <v>1890</v>
      </c>
      <c r="I715" s="12" t="s">
        <v>800</v>
      </c>
      <c r="J715" s="8">
        <f>+Tabla1[[#This Row],[FECHA ENTRADA]]</f>
        <v>45398</v>
      </c>
      <c r="K715" s="22">
        <v>45809</v>
      </c>
      <c r="L715" s="13">
        <f>_xlfn.DAYS(Tabla1[[#This Row],[FECHA FIN ]],Tabla1[[#This Row],[FECHA INICIO]])</f>
        <v>411</v>
      </c>
      <c r="M715" s="12"/>
      <c r="N715" s="12">
        <v>300</v>
      </c>
      <c r="O715" s="12">
        <f>(Tabla1[[#This Row],[COSTO FIJO ]]/30)*Tabla1[[#This Row],[TOTAL DIAS PROYECTO]]+(Tabla1[[#This Row],[COSTO TEMPORAL]])</f>
        <v>4110</v>
      </c>
      <c r="P715" s="12">
        <f>613.83/4</f>
        <v>153.45750000000001</v>
      </c>
      <c r="Q715" s="12">
        <f>+(Tabla1[[#This Row],[COSTO COCHE]]/30)*Tabla1[[#This Row],[TOTAL DIAS PROYECTO]]</f>
        <v>2102.3677500000003</v>
      </c>
      <c r="R715" s="12">
        <f>+Tabla1[[#This Row],[COSTO TOTAL ALOJAMIENTO]]+Tabla1[[#This Row],[COSTO TOTAL COCHE]]</f>
        <v>6212.3677500000003</v>
      </c>
      <c r="S715" s="2"/>
      <c r="T715" s="2" t="s">
        <v>58</v>
      </c>
      <c r="U715" s="14">
        <v>45398</v>
      </c>
      <c r="V715" s="14"/>
      <c r="W715" s="26">
        <v>1200</v>
      </c>
      <c r="X715" s="16">
        <v>1</v>
      </c>
      <c r="Y715" s="11" t="s">
        <v>1891</v>
      </c>
      <c r="Z715" s="2" t="s">
        <v>36</v>
      </c>
      <c r="AA715" s="13" t="s">
        <v>10370</v>
      </c>
      <c r="AB715" s="13" t="s">
        <v>10371</v>
      </c>
    </row>
    <row r="716" spans="1:28" ht="15" customHeight="1">
      <c r="A716" s="2" t="s">
        <v>9002</v>
      </c>
      <c r="B716" s="2" t="s">
        <v>1457</v>
      </c>
      <c r="C716" s="11" t="s">
        <v>1659</v>
      </c>
      <c r="D716" s="2" t="s">
        <v>72</v>
      </c>
      <c r="E716" s="10" t="s">
        <v>1458</v>
      </c>
      <c r="F716" s="11" t="s">
        <v>1842</v>
      </c>
      <c r="G716" t="s">
        <v>1843</v>
      </c>
      <c r="H716" s="2" t="s">
        <v>1461</v>
      </c>
      <c r="I716" s="12" t="s">
        <v>1288</v>
      </c>
      <c r="J716" s="22">
        <f>+Tabla1[[#This Row],[FECHA ENTRADA]]</f>
        <v>45741</v>
      </c>
      <c r="K716" s="22">
        <v>45749</v>
      </c>
      <c r="L716" s="23">
        <f>_xlfn.DAYS(Tabla1[[#This Row],[FECHA FIN ]],Tabla1[[#This Row],[FECHA INICIO]])</f>
        <v>8</v>
      </c>
      <c r="M716" s="12"/>
      <c r="N716" s="24">
        <v>480</v>
      </c>
      <c r="O716" s="24">
        <f>(Tabla1[[#This Row],[COSTO FIJO ]]/30)*Tabla1[[#This Row],[TOTAL DIAS PROYECTO]]+(Tabla1[[#This Row],[COSTO TEMPORAL]])</f>
        <v>128</v>
      </c>
      <c r="P716" s="12"/>
      <c r="Q716" s="12">
        <f>+(Tabla1[[#This Row],[COSTO COCHE]]/30)*Tabla1[[#This Row],[TOTAL DIAS PROYECTO]]</f>
        <v>0</v>
      </c>
      <c r="R716" s="12">
        <f>+Tabla1[[#This Row],[COSTO TOTAL ALOJAMIENTO]]+Tabla1[[#This Row],[COSTO TOTAL COCHE]]</f>
        <v>128</v>
      </c>
      <c r="S716" s="2" t="s">
        <v>84</v>
      </c>
      <c r="T716" s="2" t="s">
        <v>44</v>
      </c>
      <c r="U716" s="14">
        <v>45741</v>
      </c>
      <c r="V716" s="25">
        <v>45748</v>
      </c>
      <c r="W716" s="26"/>
      <c r="X716" s="2"/>
      <c r="Y716" s="11"/>
      <c r="Z716" s="116" t="s">
        <v>36</v>
      </c>
      <c r="AA716" s="13" t="s">
        <v>10421</v>
      </c>
      <c r="AB716" s="13">
        <v>5113412</v>
      </c>
    </row>
    <row r="717" spans="1:28" ht="15" customHeight="1">
      <c r="A717" s="2" t="s">
        <v>9060</v>
      </c>
      <c r="B717" s="2" t="s">
        <v>368</v>
      </c>
      <c r="C717" s="105" t="s">
        <v>1831</v>
      </c>
      <c r="D717" s="2" t="s">
        <v>749</v>
      </c>
      <c r="E717" s="2" t="s">
        <v>1853</v>
      </c>
      <c r="F717" s="11" t="s">
        <v>1892</v>
      </c>
      <c r="G717" t="s">
        <v>1893</v>
      </c>
      <c r="H717" s="2" t="s">
        <v>1856</v>
      </c>
      <c r="I717" s="135" t="s">
        <v>1857</v>
      </c>
      <c r="J717" s="22">
        <f>+Tabla1[[#This Row],[FECHA ENTRADA]]</f>
        <v>45747</v>
      </c>
      <c r="K717" s="22">
        <v>45749</v>
      </c>
      <c r="L717" s="23">
        <f>_xlfn.DAYS(Tabla1[[#This Row],[FECHA FIN ]],Tabla1[[#This Row],[FECHA INICIO]])</f>
        <v>2</v>
      </c>
      <c r="M717" s="12">
        <v>60</v>
      </c>
      <c r="N717" s="24"/>
      <c r="O717" s="24">
        <f>(Tabla1[[#This Row],[COSTO FIJO ]]/30)*Tabla1[[#This Row],[TOTAL DIAS PROYECTO]]+(Tabla1[[#This Row],[COSTO TEMPORAL]])</f>
        <v>60</v>
      </c>
      <c r="P717" s="12"/>
      <c r="Q717" s="12">
        <f>+(Tabla1[[#This Row],[COSTO COCHE]]/30)*Tabla1[[#This Row],[TOTAL DIAS PROYECTO]]</f>
        <v>0</v>
      </c>
      <c r="R717" s="12">
        <f>+Tabla1[[#This Row],[COSTO TOTAL ALOJAMIENTO]]+Tabla1[[#This Row],[COSTO TOTAL COCHE]]</f>
        <v>60</v>
      </c>
      <c r="S717" s="2" t="s">
        <v>403</v>
      </c>
      <c r="T717" s="2" t="s">
        <v>528</v>
      </c>
      <c r="U717" s="14">
        <v>45747</v>
      </c>
      <c r="V717" s="25">
        <v>45749</v>
      </c>
      <c r="W717" s="26"/>
      <c r="X717" s="2"/>
      <c r="Y717" s="11"/>
      <c r="Z717" s="2" t="s">
        <v>36</v>
      </c>
      <c r="AA717" s="13" t="s">
        <v>10432</v>
      </c>
      <c r="AB717" s="13">
        <v>45.464269999999999</v>
      </c>
    </row>
    <row r="718" spans="1:28" ht="15" customHeight="1">
      <c r="A718" s="2" t="s">
        <v>9066</v>
      </c>
      <c r="B718" s="2" t="s">
        <v>368</v>
      </c>
      <c r="C718" s="11" t="s">
        <v>1852</v>
      </c>
      <c r="D718" s="2" t="s">
        <v>749</v>
      </c>
      <c r="E718" s="2" t="s">
        <v>1853</v>
      </c>
      <c r="F718" s="11" t="s">
        <v>1892</v>
      </c>
      <c r="G718" t="s">
        <v>1893</v>
      </c>
      <c r="H718" s="2" t="s">
        <v>1856</v>
      </c>
      <c r="I718" s="135" t="s">
        <v>1857</v>
      </c>
      <c r="J718" s="22">
        <f>+Tabla1[[#This Row],[FECHA ENTRADA]]</f>
        <v>45747</v>
      </c>
      <c r="K718" s="22">
        <v>45749</v>
      </c>
      <c r="L718" s="23">
        <f>_xlfn.DAYS(Tabla1[[#This Row],[FECHA FIN ]],Tabla1[[#This Row],[FECHA INICIO]])</f>
        <v>2</v>
      </c>
      <c r="M718" s="12">
        <v>60</v>
      </c>
      <c r="N718" s="24"/>
      <c r="O718" s="24">
        <f>(Tabla1[[#This Row],[COSTO FIJO ]]/30)*Tabla1[[#This Row],[TOTAL DIAS PROYECTO]]+(Tabla1[[#This Row],[COSTO TEMPORAL]])</f>
        <v>60</v>
      </c>
      <c r="P718" s="12"/>
      <c r="Q718" s="12">
        <f>+(Tabla1[[#This Row],[COSTO COCHE]]/30)*Tabla1[[#This Row],[TOTAL DIAS PROYECTO]]</f>
        <v>0</v>
      </c>
      <c r="R718" s="12">
        <f>+Tabla1[[#This Row],[COSTO TOTAL ALOJAMIENTO]]+Tabla1[[#This Row],[COSTO TOTAL COCHE]]</f>
        <v>60</v>
      </c>
      <c r="S718" s="2" t="s">
        <v>403</v>
      </c>
      <c r="T718" s="2" t="s">
        <v>528</v>
      </c>
      <c r="U718" s="14">
        <v>45747</v>
      </c>
      <c r="V718" s="25">
        <v>45749</v>
      </c>
      <c r="W718" s="26"/>
      <c r="X718" s="2"/>
      <c r="Y718" s="11"/>
      <c r="Z718" s="2" t="s">
        <v>36</v>
      </c>
      <c r="AA718" s="13" t="s">
        <v>10432</v>
      </c>
      <c r="AB718" s="13">
        <v>45.464269999999999</v>
      </c>
    </row>
    <row r="719" spans="1:28">
      <c r="A719" s="117" t="s">
        <v>9061</v>
      </c>
      <c r="B719" s="117" t="s">
        <v>711</v>
      </c>
      <c r="C719" s="118" t="s">
        <v>1833</v>
      </c>
      <c r="D719" s="117" t="s">
        <v>30</v>
      </c>
      <c r="E719" s="117" t="s">
        <v>648</v>
      </c>
      <c r="F719" s="11" t="s">
        <v>1894</v>
      </c>
      <c r="G719" s="128">
        <v>957384200</v>
      </c>
      <c r="H719" s="117" t="s">
        <v>1836</v>
      </c>
      <c r="I719" s="119" t="s">
        <v>96</v>
      </c>
      <c r="J719" s="121">
        <f>+Tabla1[[#This Row],[FECHA ENTRADA]]</f>
        <v>46101</v>
      </c>
      <c r="K719" s="121">
        <v>46118</v>
      </c>
      <c r="L719" s="129">
        <f>_xlfn.DAYS(Tabla1[[#This Row],[FECHA FIN ]],Tabla1[[#This Row],[FECHA INICIO]])</f>
        <v>17</v>
      </c>
      <c r="M719" s="119">
        <v>425</v>
      </c>
      <c r="N719" s="130"/>
      <c r="O719" s="131">
        <f>(Tabla1[[#This Row],[COSTO FIJO ]]/30)*Tabla1[[#This Row],[TOTAL DIAS PROYECTO]]+(Tabla1[[#This Row],[COSTO TEMPORAL]])</f>
        <v>425</v>
      </c>
      <c r="P719" s="119"/>
      <c r="Q719" s="119">
        <f>+(Tabla1[[#This Row],[COSTO COCHE]]/30)*Tabla1[[#This Row],[TOTAL DIAS PROYECTO]]</f>
        <v>0</v>
      </c>
      <c r="R719" s="119">
        <f>+Tabla1[[#This Row],[COSTO TOTAL ALOJAMIENTO]]+Tabla1[[#This Row],[COSTO TOTAL COCHE]]</f>
        <v>425</v>
      </c>
      <c r="S719" s="117"/>
      <c r="T719" s="124" t="s">
        <v>44</v>
      </c>
      <c r="U719" s="124">
        <v>46101</v>
      </c>
      <c r="V719" s="132">
        <v>46121</v>
      </c>
      <c r="W719" s="119"/>
      <c r="X719" s="117"/>
      <c r="Y719" s="118" t="s">
        <v>1895</v>
      </c>
      <c r="Z719" s="117" t="s">
        <v>36</v>
      </c>
      <c r="AA719" s="127" t="s">
        <v>10387</v>
      </c>
      <c r="AB719" s="127" t="s">
        <v>10388</v>
      </c>
    </row>
    <row r="720" spans="1:28" ht="15" customHeight="1">
      <c r="A720" s="2" t="s">
        <v>8882</v>
      </c>
      <c r="B720" s="2" t="s">
        <v>368</v>
      </c>
      <c r="C720" s="18" t="s">
        <v>1151</v>
      </c>
      <c r="D720" s="2" t="s">
        <v>30</v>
      </c>
      <c r="E720" s="2" t="s">
        <v>109</v>
      </c>
      <c r="F720" s="11" t="s">
        <v>1828</v>
      </c>
      <c r="G720" s="46">
        <v>973602158</v>
      </c>
      <c r="H720" s="2" t="s">
        <v>1829</v>
      </c>
      <c r="I720" s="12" t="s">
        <v>1830</v>
      </c>
      <c r="J720" s="41">
        <f>+Tabla1[[#This Row],[FECHA ENTRADA]]</f>
        <v>45683</v>
      </c>
      <c r="K720" s="8">
        <v>45686</v>
      </c>
      <c r="L720" s="42">
        <f>_xlfn.DAYS(Tabla1[[#This Row],[FECHA FIN ]],Tabla1[[#This Row],[FECHA INICIO]])</f>
        <v>3</v>
      </c>
      <c r="M720" s="28"/>
      <c r="N720" s="20"/>
      <c r="O720" s="28">
        <f>(Tabla1[[#This Row],[COSTO FIJO ]]/30)*Tabla1[[#This Row],[TOTAL DIAS PROYECTO]]+(Tabla1[[#This Row],[COSTO TEMPORAL]])</f>
        <v>0</v>
      </c>
      <c r="P720" s="12"/>
      <c r="Q720" s="12">
        <f>+(Tabla1[[#This Row],[COSTO COCHE]]/30)*Tabla1[[#This Row],[TOTAL DIAS PROYECTO]]</f>
        <v>0</v>
      </c>
      <c r="R720" s="12">
        <f>+Tabla1[[#This Row],[COSTO TOTAL ALOJAMIENTO]]+Tabla1[[#This Row],[COSTO TOTAL COCHE]]</f>
        <v>0</v>
      </c>
      <c r="S720" s="2"/>
      <c r="T720" s="2" t="s">
        <v>44</v>
      </c>
      <c r="U720" s="14">
        <v>45683</v>
      </c>
      <c r="V720" s="25">
        <v>45686</v>
      </c>
      <c r="W720" s="26"/>
      <c r="X720" s="2"/>
      <c r="Y720" s="11" t="s">
        <v>1166</v>
      </c>
      <c r="Z720" s="2" t="s">
        <v>36</v>
      </c>
      <c r="AA720" s="13">
        <v>0.62217999999999996</v>
      </c>
      <c r="AB720" s="13" t="s">
        <v>10339</v>
      </c>
    </row>
    <row r="721" spans="1:28" ht="15" customHeight="1">
      <c r="A721" s="2" t="s">
        <v>8923</v>
      </c>
      <c r="B721" s="2" t="s">
        <v>368</v>
      </c>
      <c r="C721" s="86" t="s">
        <v>1289</v>
      </c>
      <c r="D721" s="2" t="s">
        <v>30</v>
      </c>
      <c r="E721" s="2" t="s">
        <v>855</v>
      </c>
      <c r="F721" s="11" t="s">
        <v>1896</v>
      </c>
      <c r="G721" s="21" t="s">
        <v>1474</v>
      </c>
      <c r="H721" s="2" t="s">
        <v>1287</v>
      </c>
      <c r="I721" s="91" t="s">
        <v>1288</v>
      </c>
      <c r="J721" s="41">
        <f>+Tabla1[[#This Row],[FECHA ENTRADA]]</f>
        <v>45679</v>
      </c>
      <c r="K721" s="8">
        <v>45750</v>
      </c>
      <c r="L721" s="42">
        <f>_xlfn.DAYS(Tabla1[[#This Row],[FECHA FIN ]],Tabla1[[#This Row],[FECHA INICIO]])</f>
        <v>71</v>
      </c>
      <c r="M721" s="12"/>
      <c r="N721" s="28">
        <v>150</v>
      </c>
      <c r="O721" s="28">
        <f>(Tabla1[[#This Row],[COSTO FIJO ]]/30)*Tabla1[[#This Row],[TOTAL DIAS PROYECTO]]+(Tabla1[[#This Row],[COSTO TEMPORAL]])</f>
        <v>355</v>
      </c>
      <c r="P721" s="12">
        <v>100</v>
      </c>
      <c r="Q721" s="12">
        <f>+(Tabla1[[#This Row],[COSTO COCHE]]/30)*Tabla1[[#This Row],[TOTAL DIAS PROYECTO]]</f>
        <v>236.66666666666669</v>
      </c>
      <c r="R721" s="12">
        <f>+Tabla1[[#This Row],[COSTO TOTAL ALOJAMIENTO]]+Tabla1[[#This Row],[COSTO TOTAL COCHE]]</f>
        <v>591.66666666666674</v>
      </c>
      <c r="S721" s="2"/>
      <c r="T721" s="2" t="s">
        <v>44</v>
      </c>
      <c r="U721" s="14">
        <v>45679</v>
      </c>
      <c r="V721" s="43">
        <v>45750</v>
      </c>
      <c r="W721" s="26"/>
      <c r="X721" s="2"/>
      <c r="Y721" s="11"/>
      <c r="Z721" s="2" t="s">
        <v>36</v>
      </c>
      <c r="AA721" s="13" t="s">
        <v>10401</v>
      </c>
      <c r="AB721" s="13" t="s">
        <v>10402</v>
      </c>
    </row>
    <row r="722" spans="1:28" ht="15" customHeight="1">
      <c r="A722" s="2" t="s">
        <v>9073</v>
      </c>
      <c r="B722" s="2" t="s">
        <v>368</v>
      </c>
      <c r="C722" s="11" t="s">
        <v>1897</v>
      </c>
      <c r="D722" s="2" t="s">
        <v>30</v>
      </c>
      <c r="E722" s="2" t="s">
        <v>855</v>
      </c>
      <c r="F722" s="11" t="s">
        <v>1896</v>
      </c>
      <c r="G722" s="46" t="s">
        <v>1474</v>
      </c>
      <c r="H722" s="2" t="s">
        <v>1898</v>
      </c>
      <c r="I722" s="91" t="s">
        <v>1288</v>
      </c>
      <c r="J722" s="41">
        <f>+Tabla1[[#This Row],[FECHA ENTRADA]]</f>
        <v>45679</v>
      </c>
      <c r="K722" s="8">
        <v>45750</v>
      </c>
      <c r="L722" s="42">
        <f>_xlfn.DAYS(Tabla1[[#This Row],[FECHA FIN ]],Tabla1[[#This Row],[FECHA INICIO]])</f>
        <v>71</v>
      </c>
      <c r="M722" s="12"/>
      <c r="N722" s="28">
        <v>150</v>
      </c>
      <c r="O722" s="28">
        <f>(Tabla1[[#This Row],[COSTO FIJO ]]/30)*Tabla1[[#This Row],[TOTAL DIAS PROYECTO]]+(Tabla1[[#This Row],[COSTO TEMPORAL]])</f>
        <v>355</v>
      </c>
      <c r="P722" s="12">
        <v>100</v>
      </c>
      <c r="Q722" s="12">
        <f>+(Tabla1[[#This Row],[COSTO COCHE]]/30)*Tabla1[[#This Row],[TOTAL DIAS PROYECTO]]</f>
        <v>236.66666666666669</v>
      </c>
      <c r="R722" s="12">
        <f>+Tabla1[[#This Row],[COSTO TOTAL ALOJAMIENTO]]+Tabla1[[#This Row],[COSTO TOTAL COCHE]]</f>
        <v>591.66666666666674</v>
      </c>
      <c r="S722" s="2"/>
      <c r="T722" s="2" t="s">
        <v>44</v>
      </c>
      <c r="U722" s="14">
        <v>45679</v>
      </c>
      <c r="V722" s="43">
        <v>45750</v>
      </c>
      <c r="W722" s="26"/>
      <c r="X722" s="2"/>
      <c r="Y722" s="11"/>
      <c r="Z722" s="2" t="s">
        <v>36</v>
      </c>
      <c r="AA722" s="13" t="s">
        <v>10401</v>
      </c>
      <c r="AB722" s="13" t="s">
        <v>10402</v>
      </c>
    </row>
    <row r="723" spans="1:28">
      <c r="A723" s="2" t="s">
        <v>9074</v>
      </c>
      <c r="B723" s="2" t="s">
        <v>368</v>
      </c>
      <c r="C723" s="105" t="s">
        <v>1899</v>
      </c>
      <c r="D723" s="2" t="s">
        <v>30</v>
      </c>
      <c r="E723" s="2" t="s">
        <v>31</v>
      </c>
      <c r="F723" s="11"/>
      <c r="G723" s="49"/>
      <c r="H723" s="2" t="s">
        <v>1707</v>
      </c>
      <c r="I723" s="12" t="s">
        <v>1104</v>
      </c>
      <c r="J723" s="22">
        <f>+Tabla1[[#This Row],[FECHA ENTRADA]]</f>
        <v>45698</v>
      </c>
      <c r="K723" s="22">
        <v>45750</v>
      </c>
      <c r="L723" s="23">
        <f>_xlfn.DAYS(Tabla1[[#This Row],[FECHA FIN ]],Tabla1[[#This Row],[FECHA INICIO]])</f>
        <v>52</v>
      </c>
      <c r="M723" s="12"/>
      <c r="N723" s="12">
        <v>300</v>
      </c>
      <c r="O723" s="24">
        <f>(Tabla1[[#This Row],[COSTO FIJO ]]/30)*Tabla1[[#This Row],[TOTAL DIAS PROYECTO]]+(Tabla1[[#This Row],[COSTO TEMPORAL]])</f>
        <v>520</v>
      </c>
      <c r="P723" s="12"/>
      <c r="Q723" s="12">
        <f>+(Tabla1[[#This Row],[COSTO COCHE]]/30)*Tabla1[[#This Row],[TOTAL DIAS PROYECTO]]</f>
        <v>0</v>
      </c>
      <c r="R723" s="12">
        <f>+Tabla1[[#This Row],[COSTO TOTAL ALOJAMIENTO]]+Tabla1[[#This Row],[COSTO TOTAL COCHE]]</f>
        <v>520</v>
      </c>
      <c r="S723" s="2"/>
      <c r="T723" s="2" t="s">
        <v>58</v>
      </c>
      <c r="U723" s="14">
        <v>45698</v>
      </c>
      <c r="V723" s="25"/>
      <c r="W723" s="26"/>
      <c r="X723" s="2"/>
      <c r="Y723" s="11"/>
      <c r="Z723" s="2" t="s">
        <v>36</v>
      </c>
      <c r="AA723" s="13" t="s">
        <v>10323</v>
      </c>
      <c r="AB723" s="13" t="s">
        <v>10324</v>
      </c>
    </row>
    <row r="724" spans="1:28" ht="15" customHeight="1">
      <c r="A724" s="2" t="s">
        <v>8642</v>
      </c>
      <c r="B724" s="2" t="s">
        <v>28</v>
      </c>
      <c r="C724" s="11" t="s">
        <v>1466</v>
      </c>
      <c r="D724" s="2" t="s">
        <v>30</v>
      </c>
      <c r="E724" s="2" t="s">
        <v>127</v>
      </c>
      <c r="F724" s="11" t="s">
        <v>128</v>
      </c>
      <c r="G724" s="11" t="s">
        <v>1900</v>
      </c>
      <c r="H724" s="2" t="s">
        <v>376</v>
      </c>
      <c r="I724" s="12" t="s">
        <v>377</v>
      </c>
      <c r="J724" s="8">
        <f>+Tabla1[[#This Row],[FECHA ENTRADA]]</f>
        <v>45464</v>
      </c>
      <c r="K724" s="8">
        <v>45641</v>
      </c>
      <c r="L724" s="13">
        <f>_xlfn.DAYS(Tabla1[[#This Row],[FECHA FIN ]],Tabla1[[#This Row],[FECHA INICIO]])</f>
        <v>177</v>
      </c>
      <c r="M724" s="12"/>
      <c r="N724" s="12"/>
      <c r="O724" s="12">
        <f>(Tabla1[[#This Row],[COSTO FIJO ]]/30)*Tabla1[[#This Row],[TOTAL DIAS PROYECTO]]+(Tabla1[[#This Row],[COSTO TEMPORAL]])</f>
        <v>0</v>
      </c>
      <c r="P724" s="12"/>
      <c r="Q724" s="12">
        <f>+(Tabla1[[#This Row],[COSTO COCHE]]/30)*Tabla1[[#This Row],[TOTAL DIAS PROYECTO]]</f>
        <v>0</v>
      </c>
      <c r="R724" s="12">
        <f>+Tabla1[[#This Row],[COSTO TOTAL ALOJAMIENTO]]+Tabla1[[#This Row],[COSTO TOTAL COCHE]]</f>
        <v>0</v>
      </c>
      <c r="S724" s="2"/>
      <c r="T724" s="2" t="s">
        <v>35</v>
      </c>
      <c r="U724" s="14">
        <v>45464</v>
      </c>
      <c r="V724" s="14"/>
      <c r="W724" s="26"/>
      <c r="X724" s="2">
        <v>20</v>
      </c>
      <c r="Y724" s="31"/>
      <c r="Z724" s="2" t="s">
        <v>36</v>
      </c>
      <c r="AA724" s="13" t="s">
        <v>10342</v>
      </c>
      <c r="AB724" s="13" t="s">
        <v>10343</v>
      </c>
    </row>
    <row r="725" spans="1:28">
      <c r="A725" s="2" t="s">
        <v>9075</v>
      </c>
      <c r="B725" s="2" t="s">
        <v>28</v>
      </c>
      <c r="C725" s="11" t="s">
        <v>1901</v>
      </c>
      <c r="D725" s="2" t="s">
        <v>30</v>
      </c>
      <c r="E725" s="2" t="s">
        <v>127</v>
      </c>
      <c r="F725" s="11" t="s">
        <v>128</v>
      </c>
      <c r="G725" s="11" t="s">
        <v>1900</v>
      </c>
      <c r="H725" s="2" t="s">
        <v>376</v>
      </c>
      <c r="I725" s="12" t="s">
        <v>377</v>
      </c>
      <c r="J725" s="8">
        <f>+Tabla1[[#This Row],[FECHA ENTRADA]]</f>
        <v>45464</v>
      </c>
      <c r="K725" s="22">
        <v>45877</v>
      </c>
      <c r="L725" s="13">
        <f>_xlfn.DAYS(Tabla1[[#This Row],[FECHA FIN ]],Tabla1[[#This Row],[FECHA INICIO]])</f>
        <v>413</v>
      </c>
      <c r="M725" s="12"/>
      <c r="N725" s="12"/>
      <c r="O725" s="12">
        <f>(Tabla1[[#This Row],[COSTO FIJO ]]/30)*Tabla1[[#This Row],[TOTAL DIAS PROYECTO]]+(Tabla1[[#This Row],[COSTO TEMPORAL]])</f>
        <v>0</v>
      </c>
      <c r="P725" s="12"/>
      <c r="Q725" s="12">
        <f>+(Tabla1[[#This Row],[COSTO COCHE]]/30)*Tabla1[[#This Row],[TOTAL DIAS PROYECTO]]</f>
        <v>0</v>
      </c>
      <c r="R725" s="12">
        <f>+Tabla1[[#This Row],[COSTO TOTAL ALOJAMIENTO]]+Tabla1[[#This Row],[COSTO TOTAL COCHE]]</f>
        <v>0</v>
      </c>
      <c r="S725" s="2"/>
      <c r="T725" s="2" t="s">
        <v>35</v>
      </c>
      <c r="U725" s="14">
        <v>45464</v>
      </c>
      <c r="V725" s="14"/>
      <c r="W725" s="26"/>
      <c r="X725" s="2">
        <v>20</v>
      </c>
      <c r="Y725" s="18" t="s">
        <v>1902</v>
      </c>
      <c r="Z725" s="2" t="s">
        <v>36</v>
      </c>
      <c r="AA725" s="13" t="s">
        <v>10342</v>
      </c>
      <c r="AB725" s="13" t="s">
        <v>10343</v>
      </c>
    </row>
    <row r="726" spans="1:28" ht="15" customHeight="1">
      <c r="A726" s="2" t="s">
        <v>9076</v>
      </c>
      <c r="B726" s="2" t="s">
        <v>28</v>
      </c>
      <c r="C726" s="11" t="s">
        <v>1903</v>
      </c>
      <c r="D726" s="2" t="s">
        <v>30</v>
      </c>
      <c r="E726" s="2" t="s">
        <v>127</v>
      </c>
      <c r="F726" s="11" t="s">
        <v>128</v>
      </c>
      <c r="G726" s="11" t="s">
        <v>1900</v>
      </c>
      <c r="H726" s="2" t="s">
        <v>376</v>
      </c>
      <c r="I726" s="12" t="s">
        <v>377</v>
      </c>
      <c r="J726" s="8">
        <f>+Tabla1[[#This Row],[FECHA ENTRADA]]</f>
        <v>45464</v>
      </c>
      <c r="K726" s="22">
        <v>45821</v>
      </c>
      <c r="L726" s="13">
        <f>_xlfn.DAYS(Tabla1[[#This Row],[FECHA FIN ]],Tabla1[[#This Row],[FECHA INICIO]])</f>
        <v>357</v>
      </c>
      <c r="M726" s="12"/>
      <c r="N726" s="12"/>
      <c r="O726" s="12">
        <f>(Tabla1[[#This Row],[COSTO FIJO ]]/30)*Tabla1[[#This Row],[TOTAL DIAS PROYECTO]]+(Tabla1[[#This Row],[COSTO TEMPORAL]])</f>
        <v>0</v>
      </c>
      <c r="P726" s="12"/>
      <c r="Q726" s="12">
        <f>+(Tabla1[[#This Row],[COSTO COCHE]]/30)*Tabla1[[#This Row],[TOTAL DIAS PROYECTO]]</f>
        <v>0</v>
      </c>
      <c r="R726" s="12">
        <f>+Tabla1[[#This Row],[COSTO TOTAL ALOJAMIENTO]]+Tabla1[[#This Row],[COSTO TOTAL COCHE]]</f>
        <v>0</v>
      </c>
      <c r="S726" s="2"/>
      <c r="T726" s="2" t="s">
        <v>35</v>
      </c>
      <c r="U726" s="14">
        <v>45464</v>
      </c>
      <c r="V726" s="14"/>
      <c r="W726" s="26">
        <v>1000</v>
      </c>
      <c r="X726" s="2">
        <v>20</v>
      </c>
      <c r="Y726" s="18" t="s">
        <v>1902</v>
      </c>
      <c r="Z726" s="2" t="s">
        <v>36</v>
      </c>
      <c r="AA726" s="13" t="s">
        <v>10342</v>
      </c>
      <c r="AB726" s="13" t="s">
        <v>10343</v>
      </c>
    </row>
    <row r="727" spans="1:28" ht="15" customHeight="1">
      <c r="A727" s="2" t="s">
        <v>9048</v>
      </c>
      <c r="B727" s="2" t="s">
        <v>28</v>
      </c>
      <c r="C727" s="11" t="s">
        <v>1807</v>
      </c>
      <c r="D727" s="2" t="s">
        <v>30</v>
      </c>
      <c r="E727" s="2" t="s">
        <v>245</v>
      </c>
      <c r="F727" s="11" t="s">
        <v>1021</v>
      </c>
      <c r="G727" s="46" t="s">
        <v>1022</v>
      </c>
      <c r="H727" s="2" t="s">
        <v>1786</v>
      </c>
      <c r="I727" s="12" t="s">
        <v>1538</v>
      </c>
      <c r="J727" s="22">
        <v>45618</v>
      </c>
      <c r="K727" s="22">
        <v>45821</v>
      </c>
      <c r="L727" s="42">
        <f>_xlfn.DAYS(Tabla1[[#This Row],[FECHA FIN ]],Tabla1[[#This Row],[FECHA INICIO]])</f>
        <v>203</v>
      </c>
      <c r="M727" s="12"/>
      <c r="N727" s="12">
        <f>1811.6/17</f>
        <v>106.56470588235294</v>
      </c>
      <c r="O727" s="28">
        <f>(Tabla1[[#This Row],[COSTO FIJO ]]/30)*Tabla1[[#This Row],[TOTAL DIAS PROYECTO]]+(Tabla1[[#This Row],[COSTO TEMPORAL]])</f>
        <v>721.08784313725494</v>
      </c>
      <c r="P727" s="12">
        <f>1600/22</f>
        <v>72.727272727272734</v>
      </c>
      <c r="Q727" s="12">
        <v>0</v>
      </c>
      <c r="R727" s="12">
        <f>+Tabla1[[#This Row],[COSTO TOTAL ALOJAMIENTO]]+Tabla1[[#This Row],[COSTO TOTAL COCHE]]</f>
        <v>721.08784313725494</v>
      </c>
      <c r="S727" s="2"/>
      <c r="T727" s="2" t="s">
        <v>35</v>
      </c>
      <c r="U727" s="14">
        <v>45618</v>
      </c>
      <c r="V727" s="25">
        <v>45618</v>
      </c>
      <c r="W727" s="26"/>
      <c r="X727" s="2">
        <v>1</v>
      </c>
      <c r="Y727" s="11"/>
      <c r="Z727" s="2" t="s">
        <v>36</v>
      </c>
      <c r="AA727" s="13" t="s">
        <v>10355</v>
      </c>
      <c r="AB727" s="13" t="s">
        <v>10356</v>
      </c>
    </row>
    <row r="728" spans="1:28">
      <c r="A728" s="2" t="s">
        <v>8996</v>
      </c>
      <c r="B728" s="2" t="s">
        <v>28</v>
      </c>
      <c r="C728" s="31" t="s">
        <v>1625</v>
      </c>
      <c r="D728" s="2" t="s">
        <v>30</v>
      </c>
      <c r="E728" s="2" t="s">
        <v>55</v>
      </c>
      <c r="F728" s="11" t="s">
        <v>1653</v>
      </c>
      <c r="G728" s="11" t="s">
        <v>1440</v>
      </c>
      <c r="H728" s="2" t="s">
        <v>1709</v>
      </c>
      <c r="I728" s="12" t="s">
        <v>236</v>
      </c>
      <c r="J728" s="41">
        <f>+Tabla1[[#This Row],[FECHA ENTRADA]]</f>
        <v>45724</v>
      </c>
      <c r="K728" s="41">
        <v>45751</v>
      </c>
      <c r="L728" s="42">
        <f>_xlfn.DAYS(Tabla1[[#This Row],[FECHA FIN ]],Tabla1[[#This Row],[FECHA INICIO]])</f>
        <v>27</v>
      </c>
      <c r="M728" s="12"/>
      <c r="N728" s="12"/>
      <c r="O728" s="28">
        <f>(Tabla1[[#This Row],[COSTO FIJO ]]/30)*Tabla1[[#This Row],[TOTAL DIAS PROYECTO]]+(Tabla1[[#This Row],[COSTO TEMPORAL]])</f>
        <v>0</v>
      </c>
      <c r="P728" s="12"/>
      <c r="Q728" s="12">
        <f>+(Tabla1[[#This Row],[COSTO COCHE]]/30)*Tabla1[[#This Row],[TOTAL DIAS PROYECTO]]</f>
        <v>0</v>
      </c>
      <c r="R728" s="12">
        <f>+Tabla1[[#This Row],[COSTO TOTAL ALOJAMIENTO]]+Tabla1[[#This Row],[COSTO TOTAL COCHE]]</f>
        <v>0</v>
      </c>
      <c r="S728" s="2"/>
      <c r="T728" s="2" t="s">
        <v>35</v>
      </c>
      <c r="U728" s="14">
        <v>45724</v>
      </c>
      <c r="V728" s="43"/>
      <c r="W728" s="26"/>
      <c r="X728" s="2">
        <v>1</v>
      </c>
      <c r="Y728" s="11"/>
      <c r="Z728" s="2" t="s">
        <v>36</v>
      </c>
      <c r="AA728" s="13" t="s">
        <v>10327</v>
      </c>
      <c r="AB728" s="13" t="s">
        <v>10328</v>
      </c>
    </row>
    <row r="729" spans="1:28" ht="15" customHeight="1">
      <c r="A729" s="117" t="s">
        <v>9061</v>
      </c>
      <c r="B729" s="117" t="s">
        <v>711</v>
      </c>
      <c r="C729" s="118" t="s">
        <v>1833</v>
      </c>
      <c r="D729" s="117" t="s">
        <v>30</v>
      </c>
      <c r="E729" s="117" t="s">
        <v>648</v>
      </c>
      <c r="F729" s="11" t="s">
        <v>1904</v>
      </c>
      <c r="G729" s="128" t="s">
        <v>1905</v>
      </c>
      <c r="H729" s="117" t="s">
        <v>1906</v>
      </c>
      <c r="I729" s="119" t="s">
        <v>96</v>
      </c>
      <c r="J729" s="121">
        <f>+Tabla1[[#This Row],[FECHA ENTRADA]]</f>
        <v>46118</v>
      </c>
      <c r="K729" s="121">
        <f ca="1">TODAY()</f>
        <v>46260</v>
      </c>
      <c r="L729" s="129">
        <f ca="1">_xlfn.DAYS(Tabla1[[#This Row],[FECHA FIN ]],Tabla1[[#This Row],[FECHA INICIO]])</f>
        <v>142</v>
      </c>
      <c r="M729" s="119">
        <v>125</v>
      </c>
      <c r="N729" s="130"/>
      <c r="O729" s="131">
        <f ca="1">(Tabla1[[#This Row],[COSTO FIJO ]]/30)*Tabla1[[#This Row],[TOTAL DIAS PROYECTO]]+(Tabla1[[#This Row],[COSTO TEMPORAL]])</f>
        <v>125</v>
      </c>
      <c r="P729" s="119"/>
      <c r="Q729" s="119">
        <f ca="1">+(Tabla1[[#This Row],[COSTO COCHE]]/30)*Tabla1[[#This Row],[TOTAL DIAS PROYECTO]]</f>
        <v>0</v>
      </c>
      <c r="R729" s="119">
        <f ca="1">+Tabla1[[#This Row],[COSTO TOTAL ALOJAMIENTO]]+Tabla1[[#This Row],[COSTO TOTAL COCHE]]</f>
        <v>125</v>
      </c>
      <c r="S729" s="117" t="s">
        <v>84</v>
      </c>
      <c r="T729" s="124" t="s">
        <v>44</v>
      </c>
      <c r="U729" s="124">
        <v>46118</v>
      </c>
      <c r="V729" s="25">
        <v>46126</v>
      </c>
      <c r="W729" s="119"/>
      <c r="X729" s="117"/>
      <c r="Y729" s="118" t="s">
        <v>1907</v>
      </c>
      <c r="Z729" s="117" t="s">
        <v>36</v>
      </c>
      <c r="AA729" s="127" t="s">
        <v>10387</v>
      </c>
      <c r="AB729" s="127" t="s">
        <v>10388</v>
      </c>
    </row>
    <row r="730" spans="1:28" ht="15" customHeight="1">
      <c r="A730" s="117" t="s">
        <v>9061</v>
      </c>
      <c r="B730" s="117" t="s">
        <v>711</v>
      </c>
      <c r="C730" s="118" t="s">
        <v>1833</v>
      </c>
      <c r="D730" s="117" t="s">
        <v>30</v>
      </c>
      <c r="E730" s="117" t="s">
        <v>648</v>
      </c>
      <c r="F730" s="11" t="s">
        <v>1908</v>
      </c>
      <c r="G730" s="128" t="s">
        <v>1909</v>
      </c>
      <c r="H730" s="117" t="s">
        <v>1906</v>
      </c>
      <c r="I730" s="119" t="s">
        <v>96</v>
      </c>
      <c r="J730" s="121">
        <f>+Tabla1[[#This Row],[FECHA ENTRADA]]</f>
        <v>46125</v>
      </c>
      <c r="K730" s="121">
        <f ca="1">TODAY()</f>
        <v>46260</v>
      </c>
      <c r="L730" s="129">
        <f ca="1">_xlfn.DAYS(Tabla1[[#This Row],[FECHA FIN ]],Tabla1[[#This Row],[FECHA INICIO]])</f>
        <v>135</v>
      </c>
      <c r="M730" s="119">
        <v>100</v>
      </c>
      <c r="N730" s="130"/>
      <c r="O730" s="131"/>
      <c r="P730" s="119"/>
      <c r="Q730" s="119">
        <f ca="1">+(Tabla1[[#This Row],[COSTO COCHE]]/30)*Tabla1[[#This Row],[TOTAL DIAS PROYECTO]]</f>
        <v>0</v>
      </c>
      <c r="R730" s="119">
        <f ca="1">+Tabla1[[#This Row],[COSTO TOTAL ALOJAMIENTO]]+Tabla1[[#This Row],[COSTO TOTAL COCHE]]</f>
        <v>0</v>
      </c>
      <c r="S730" s="117" t="s">
        <v>403</v>
      </c>
      <c r="T730" s="124" t="s">
        <v>44</v>
      </c>
      <c r="U730" s="124">
        <v>46125</v>
      </c>
      <c r="V730" s="132">
        <v>46129</v>
      </c>
      <c r="W730" s="119"/>
      <c r="X730" s="117"/>
      <c r="Y730" s="118" t="s">
        <v>1910</v>
      </c>
      <c r="Z730" s="117" t="s">
        <v>36</v>
      </c>
      <c r="AA730" s="127" t="s">
        <v>10387</v>
      </c>
      <c r="AB730" s="127" t="s">
        <v>10388</v>
      </c>
    </row>
    <row r="731" spans="1:28" ht="15" customHeight="1">
      <c r="A731" s="2" t="s">
        <v>9061</v>
      </c>
      <c r="B731" s="2" t="s">
        <v>711</v>
      </c>
      <c r="C731" s="69" t="s">
        <v>1833</v>
      </c>
      <c r="D731" s="2" t="s">
        <v>30</v>
      </c>
      <c r="E731" s="2" t="s">
        <v>648</v>
      </c>
      <c r="F731" s="31" t="s">
        <v>1911</v>
      </c>
      <c r="G731" s="49" t="s">
        <v>1912</v>
      </c>
      <c r="H731" s="2" t="s">
        <v>1906</v>
      </c>
      <c r="I731" s="12" t="s">
        <v>96</v>
      </c>
      <c r="J731" s="22">
        <f>+Tabla1[[#This Row],[FECHA ENTRADA]]</f>
        <v>46129</v>
      </c>
      <c r="K731" s="22">
        <v>46138</v>
      </c>
      <c r="L731" s="23">
        <f>_xlfn.DAYS(Tabla1[[#This Row],[FECHA FIN ]],Tabla1[[#This Row],[FECHA INICIO]])</f>
        <v>9</v>
      </c>
      <c r="M731" s="12"/>
      <c r="N731" s="24">
        <v>650</v>
      </c>
      <c r="O731" s="24">
        <f>(Tabla1[[#This Row],[COSTO FIJO ]]/30)*Tabla1[[#This Row],[TOTAL DIAS PROYECTO]]+(Tabla1[[#This Row],[COSTO TEMPORAL]])</f>
        <v>195</v>
      </c>
      <c r="P731" s="12"/>
      <c r="Q731" s="12">
        <f>+(Tabla1[[#This Row],[COSTO COCHE]]/30)*Tabla1[[#This Row],[TOTAL DIAS PROYECTO]]</f>
        <v>0</v>
      </c>
      <c r="R731" s="12">
        <f>+Tabla1[[#This Row],[COSTO TOTAL ALOJAMIENTO]]+Tabla1[[#This Row],[COSTO TOTAL COCHE]]</f>
        <v>195</v>
      </c>
      <c r="S731" s="2"/>
      <c r="T731" s="14" t="s">
        <v>44</v>
      </c>
      <c r="U731" s="14">
        <v>46129</v>
      </c>
      <c r="V731" s="25">
        <v>46159</v>
      </c>
      <c r="W731" s="12"/>
      <c r="X731" s="2"/>
      <c r="Y731" s="11" t="s">
        <v>1913</v>
      </c>
      <c r="Z731" s="2" t="s">
        <v>36</v>
      </c>
      <c r="AA731" s="13" t="s">
        <v>10387</v>
      </c>
      <c r="AB731" s="13" t="s">
        <v>10388</v>
      </c>
    </row>
    <row r="732" spans="1:28" ht="15" customHeight="1">
      <c r="A732" s="2" t="s">
        <v>9077</v>
      </c>
      <c r="B732" s="2" t="s">
        <v>28</v>
      </c>
      <c r="C732" s="11" t="s">
        <v>1914</v>
      </c>
      <c r="D732" s="116" t="s">
        <v>99</v>
      </c>
      <c r="E732" s="116" t="s">
        <v>253</v>
      </c>
      <c r="F732" s="11" t="s">
        <v>771</v>
      </c>
      <c r="G732" s="136" t="s">
        <v>772</v>
      </c>
      <c r="H732" s="116" t="s">
        <v>1915</v>
      </c>
      <c r="I732" s="116" t="s">
        <v>256</v>
      </c>
      <c r="J732" s="137">
        <f>+Tabla1[[#This Row],[FECHA ENTRADA]]</f>
        <v>45748</v>
      </c>
      <c r="K732" s="137">
        <v>45751</v>
      </c>
      <c r="L732" s="138">
        <f>_xlfn.DAYS(Tabla1[[#This Row],[FECHA FIN ]],Tabla1[[#This Row],[FECHA INICIO]])</f>
        <v>3</v>
      </c>
      <c r="M732" s="12"/>
      <c r="N732" s="139"/>
      <c r="O732" s="140">
        <f>(Tabla1[[#This Row],[COSTO FIJO ]]/30)*Tabla1[[#This Row],[TOTAL DIAS PROYECTO]]+(Tabla1[[#This Row],[COSTO TEMPORAL]])</f>
        <v>0</v>
      </c>
      <c r="P732" s="139"/>
      <c r="Q732" s="139">
        <f>+(Tabla1[[#This Row],[COSTO COCHE]]/30)*Tabla1[[#This Row],[TOTAL DIAS PROYECTO]]</f>
        <v>0</v>
      </c>
      <c r="R732" s="139">
        <f>+Tabla1[[#This Row],[COSTO TOTAL ALOJAMIENTO]]+Tabla1[[#This Row],[COSTO TOTAL COCHE]]</f>
        <v>0</v>
      </c>
      <c r="S732" s="116"/>
      <c r="T732" s="116" t="s">
        <v>44</v>
      </c>
      <c r="U732" s="141">
        <v>45748</v>
      </c>
      <c r="V732" s="142">
        <v>45769</v>
      </c>
      <c r="W732" s="143"/>
      <c r="X732" s="116"/>
      <c r="Y732" s="136"/>
      <c r="Z732" s="116" t="s">
        <v>36</v>
      </c>
      <c r="AA732" s="134" t="s">
        <v>10357</v>
      </c>
      <c r="AB732" s="134" t="s">
        <v>10358</v>
      </c>
    </row>
    <row r="733" spans="1:28" ht="15" customHeight="1">
      <c r="A733" s="2" t="s">
        <v>9078</v>
      </c>
      <c r="B733" s="2" t="s">
        <v>28</v>
      </c>
      <c r="C733" s="31" t="s">
        <v>1916</v>
      </c>
      <c r="D733" s="2" t="s">
        <v>99</v>
      </c>
      <c r="E733" s="2" t="s">
        <v>87</v>
      </c>
      <c r="F733" s="11" t="s">
        <v>1668</v>
      </c>
      <c r="G733" s="49" t="s">
        <v>1669</v>
      </c>
      <c r="H733" s="2" t="s">
        <v>1670</v>
      </c>
      <c r="I733" s="12" t="s">
        <v>570</v>
      </c>
      <c r="J733" s="22">
        <f>+Tabla1[[#This Row],[FECHA ENTRADA]]</f>
        <v>45706</v>
      </c>
      <c r="K733" s="22">
        <v>45821</v>
      </c>
      <c r="L733" s="23">
        <f>_xlfn.DAYS(Tabla1[[#This Row],[FECHA FIN ]],Tabla1[[#This Row],[FECHA INICIO]])</f>
        <v>115</v>
      </c>
      <c r="M733" s="12"/>
      <c r="N733" s="12"/>
      <c r="O733" s="24">
        <f>(Tabla1[[#This Row],[COSTO FIJO ]]/30)*Tabla1[[#This Row],[TOTAL DIAS PROYECTO]]+(Tabla1[[#This Row],[COSTO TEMPORAL]])</f>
        <v>0</v>
      </c>
      <c r="P733" s="12"/>
      <c r="Q733" s="12">
        <f>+(Tabla1[[#This Row],[COSTO COCHE]]/30)*Tabla1[[#This Row],[TOTAL DIAS PROYECTO]]</f>
        <v>0</v>
      </c>
      <c r="R733" s="12">
        <f>+Tabla1[[#This Row],[COSTO TOTAL ALOJAMIENTO]]+Tabla1[[#This Row],[COSTO TOTAL COCHE]]</f>
        <v>0</v>
      </c>
      <c r="S733" s="2"/>
      <c r="T733" s="2" t="s">
        <v>35</v>
      </c>
      <c r="U733" s="14">
        <v>45706</v>
      </c>
      <c r="V733" s="25"/>
      <c r="W733" s="26"/>
      <c r="X733" s="2">
        <v>5</v>
      </c>
      <c r="Y733" t="s">
        <v>1702</v>
      </c>
      <c r="Z733" s="2" t="s">
        <v>36</v>
      </c>
      <c r="AA733" s="13" t="s">
        <v>10335</v>
      </c>
      <c r="AB733" s="13">
        <v>404.16500000000002</v>
      </c>
    </row>
    <row r="734" spans="1:28" ht="15" customHeight="1">
      <c r="A734" s="2" t="s">
        <v>8642</v>
      </c>
      <c r="B734" s="2" t="s">
        <v>28</v>
      </c>
      <c r="C734" s="99" t="s">
        <v>1917</v>
      </c>
      <c r="D734" s="2" t="s">
        <v>30</v>
      </c>
      <c r="E734" s="2" t="s">
        <v>608</v>
      </c>
      <c r="F734" s="11" t="s">
        <v>1918</v>
      </c>
      <c r="G734" s="11" t="s">
        <v>1919</v>
      </c>
      <c r="H734" s="2" t="s">
        <v>1920</v>
      </c>
      <c r="I734" s="12" t="s">
        <v>34</v>
      </c>
      <c r="J734" s="8">
        <f>+Tabla1[[#This Row],[FECHA ENTRADA]]</f>
        <v>45433</v>
      </c>
      <c r="K734" s="8">
        <v>45751</v>
      </c>
      <c r="L734" s="13">
        <f>_xlfn.DAYS(Tabla1[[#This Row],[FECHA FIN ]],Tabla1[[#This Row],[FECHA INICIO]])</f>
        <v>318</v>
      </c>
      <c r="M734" s="12">
        <f>1811.6/17</f>
        <v>106.56470588235294</v>
      </c>
      <c r="N734" s="24"/>
      <c r="O734" s="12">
        <f>(Tabla1[[#This Row],[COSTO FIJO ]]/30)*Tabla1[[#This Row],[TOTAL DIAS PROYECTO]]+(Tabla1[[#This Row],[COSTO TEMPORAL]])</f>
        <v>106.56470588235294</v>
      </c>
      <c r="P734" s="12">
        <f>542.69/2</f>
        <v>271.34500000000003</v>
      </c>
      <c r="Q734" s="12">
        <f>+(Tabla1[[#This Row],[COSTO COCHE]]/30)*Tabla1[[#This Row],[TOTAL DIAS PROYECTO]]</f>
        <v>2876.2570000000005</v>
      </c>
      <c r="R734" s="12">
        <f>+Tabla1[[#This Row],[COSTO TOTAL ALOJAMIENTO]]+Tabla1[[#This Row],[COSTO TOTAL COCHE]]</f>
        <v>2982.8217058823534</v>
      </c>
      <c r="S734" s="2"/>
      <c r="T734" s="2" t="s">
        <v>35</v>
      </c>
      <c r="U734" s="14">
        <v>45433</v>
      </c>
      <c r="V734" s="14">
        <v>45440</v>
      </c>
      <c r="W734" s="26"/>
      <c r="X734" s="2">
        <v>5</v>
      </c>
      <c r="Y734" s="11" t="s">
        <v>1921</v>
      </c>
      <c r="Z734" s="2" t="s">
        <v>36</v>
      </c>
      <c r="AA734" s="13" t="s">
        <v>10383</v>
      </c>
      <c r="AB734" s="13" t="s">
        <v>10384</v>
      </c>
    </row>
    <row r="735" spans="1:28">
      <c r="A735" s="2" t="s">
        <v>9079</v>
      </c>
      <c r="B735" s="2" t="s">
        <v>28</v>
      </c>
      <c r="C735" s="11" t="s">
        <v>1922</v>
      </c>
      <c r="D735" s="2" t="s">
        <v>161</v>
      </c>
      <c r="E735" s="2" t="s">
        <v>1748</v>
      </c>
      <c r="F735" s="11"/>
      <c r="G735" s="49"/>
      <c r="H735" s="2" t="s">
        <v>1923</v>
      </c>
      <c r="I735" t="s">
        <v>1750</v>
      </c>
      <c r="J735" s="22">
        <f>+Tabla1[[#This Row],[FECHA ENTRADA]]</f>
        <v>45705</v>
      </c>
      <c r="K735" s="41">
        <v>45751</v>
      </c>
      <c r="L735" s="23">
        <f>_xlfn.DAYS(Tabla1[[#This Row],[FECHA FIN ]],Tabla1[[#This Row],[FECHA INICIO]])</f>
        <v>46</v>
      </c>
      <c r="M735" s="12"/>
      <c r="N735" s="12"/>
      <c r="O735" s="24">
        <f>(Tabla1[[#This Row],[COSTO FIJO ]]/30)*Tabla1[[#This Row],[TOTAL DIAS PROYECTO]]+(Tabla1[[#This Row],[COSTO TEMPORAL]])</f>
        <v>0</v>
      </c>
      <c r="P735" s="12"/>
      <c r="Q735" s="12">
        <f>+(Tabla1[[#This Row],[COSTO COCHE]]/30)*Tabla1[[#This Row],[TOTAL DIAS PROYECTO]]</f>
        <v>0</v>
      </c>
      <c r="R735" s="12">
        <f>+Tabla1[[#This Row],[COSTO TOTAL ALOJAMIENTO]]+Tabla1[[#This Row],[COSTO TOTAL COCHE]]</f>
        <v>0</v>
      </c>
      <c r="S735" s="2"/>
      <c r="T735" s="2" t="s">
        <v>58</v>
      </c>
      <c r="U735" s="14">
        <v>45705</v>
      </c>
      <c r="V735" s="25"/>
      <c r="W735" s="26"/>
      <c r="X735" s="2"/>
      <c r="Y735" s="11"/>
      <c r="Z735" s="2" t="s">
        <v>36</v>
      </c>
      <c r="AA735" s="13" t="s">
        <v>10428</v>
      </c>
      <c r="AB735" s="13" t="s">
        <v>10429</v>
      </c>
    </row>
    <row r="736" spans="1:28" ht="15" customHeight="1">
      <c r="A736" s="2" t="s">
        <v>9080</v>
      </c>
      <c r="B736" s="2" t="s">
        <v>28</v>
      </c>
      <c r="C736" s="18" t="s">
        <v>1924</v>
      </c>
      <c r="D736" s="2" t="s">
        <v>749</v>
      </c>
      <c r="E736" s="2" t="s">
        <v>288</v>
      </c>
      <c r="F736" s="11" t="s">
        <v>1144</v>
      </c>
      <c r="G736" t="s">
        <v>751</v>
      </c>
      <c r="H736" s="2" t="s">
        <v>929</v>
      </c>
      <c r="I736" s="29" t="s">
        <v>753</v>
      </c>
      <c r="J736" s="8">
        <f>+Tabla1[[#This Row],[FECHA ENTRADA]]</f>
        <v>45487</v>
      </c>
      <c r="K736" s="22">
        <v>45821</v>
      </c>
      <c r="L736" s="13">
        <f>_xlfn.DAYS(Tabla1[[#This Row],[FECHA FIN ]],Tabla1[[#This Row],[FECHA INICIO]])</f>
        <v>334</v>
      </c>
      <c r="M736" s="12"/>
      <c r="N736" s="24">
        <v>430</v>
      </c>
      <c r="O736" s="12">
        <f>(Tabla1[[#This Row],[COSTO FIJO ]]/30)*Tabla1[[#This Row],[TOTAL DIAS PROYECTO]]+(Tabla1[[#This Row],[COSTO TEMPORAL]])</f>
        <v>4787.3333333333339</v>
      </c>
      <c r="P736" s="12">
        <f>8180.25/45</f>
        <v>181.78333333333333</v>
      </c>
      <c r="Q736" s="12">
        <f>+(Tabla1[[#This Row],[COSTO COCHE]]/30)*Tabla1[[#This Row],[TOTAL DIAS PROYECTO]]</f>
        <v>2023.8544444444442</v>
      </c>
      <c r="R736" s="12">
        <f>+Tabla1[[#This Row],[COSTO TOTAL ALOJAMIENTO]]+Tabla1[[#This Row],[COSTO TOTAL COCHE]]</f>
        <v>6811.1877777777781</v>
      </c>
      <c r="S736" s="2"/>
      <c r="T736" s="2" t="s">
        <v>44</v>
      </c>
      <c r="U736" s="14">
        <v>45487</v>
      </c>
      <c r="V736" s="14">
        <v>45634</v>
      </c>
      <c r="W736" s="26"/>
      <c r="X736" s="2">
        <v>1</v>
      </c>
      <c r="Y736" s="11"/>
      <c r="Z736" s="2" t="s">
        <v>36</v>
      </c>
      <c r="AA736" s="13" t="s">
        <v>10362</v>
      </c>
      <c r="AB736" s="13" t="s">
        <v>10363</v>
      </c>
    </row>
    <row r="737" spans="1:28" ht="15" customHeight="1">
      <c r="A737" s="2" t="s">
        <v>8676</v>
      </c>
      <c r="B737" s="2" t="s">
        <v>28</v>
      </c>
      <c r="C737" s="18" t="s">
        <v>244</v>
      </c>
      <c r="D737" s="2" t="s">
        <v>749</v>
      </c>
      <c r="E737" s="2" t="s">
        <v>288</v>
      </c>
      <c r="F737" s="11" t="s">
        <v>976</v>
      </c>
      <c r="G737" s="30" t="s">
        <v>156</v>
      </c>
      <c r="H737" s="2" t="s">
        <v>929</v>
      </c>
      <c r="I737" s="29" t="s">
        <v>753</v>
      </c>
      <c r="J737" s="8">
        <f>+Tabla1[[#This Row],[FECHA ENTRADA]]</f>
        <v>45487</v>
      </c>
      <c r="K737" s="22">
        <v>45821</v>
      </c>
      <c r="L737" s="13">
        <f>_xlfn.DAYS(Tabla1[[#This Row],[FECHA FIN ]],Tabla1[[#This Row],[FECHA INICIO]])</f>
        <v>334</v>
      </c>
      <c r="M737" s="12"/>
      <c r="N737" s="12">
        <f>1811.6/17</f>
        <v>106.56470588235294</v>
      </c>
      <c r="O737" s="12">
        <f>(Tabla1[[#This Row],[COSTO FIJO ]]/30)*Tabla1[[#This Row],[TOTAL DIAS PROYECTO]]+(Tabla1[[#This Row],[COSTO TEMPORAL]])</f>
        <v>1186.4203921568628</v>
      </c>
      <c r="P737" s="12">
        <f>8180.25/45</f>
        <v>181.78333333333333</v>
      </c>
      <c r="Q737" s="12">
        <f>+(Tabla1[[#This Row],[COSTO COCHE]]/30)*Tabla1[[#This Row],[TOTAL DIAS PROYECTO]]</f>
        <v>2023.8544444444442</v>
      </c>
      <c r="R737" s="12">
        <f>+Tabla1[[#This Row],[COSTO TOTAL ALOJAMIENTO]]+Tabla1[[#This Row],[COSTO TOTAL COCHE]]</f>
        <v>3210.274836601307</v>
      </c>
      <c r="S737" s="2"/>
      <c r="T737" s="2" t="s">
        <v>35</v>
      </c>
      <c r="U737" s="14">
        <v>45487</v>
      </c>
      <c r="V737" s="14"/>
      <c r="W737" s="26"/>
      <c r="X737" s="2">
        <v>1</v>
      </c>
      <c r="Y737" s="11"/>
      <c r="Z737" s="2" t="s">
        <v>36</v>
      </c>
      <c r="AA737" s="13" t="s">
        <v>10362</v>
      </c>
      <c r="AB737" s="13" t="s">
        <v>10363</v>
      </c>
    </row>
    <row r="738" spans="1:28" ht="15" customHeight="1">
      <c r="A738" s="2" t="s">
        <v>8642</v>
      </c>
      <c r="B738" s="2" t="s">
        <v>368</v>
      </c>
      <c r="C738" s="11" t="s">
        <v>1810</v>
      </c>
      <c r="D738" s="2" t="s">
        <v>72</v>
      </c>
      <c r="E738" s="10" t="s">
        <v>1458</v>
      </c>
      <c r="F738" s="11" t="s">
        <v>1925</v>
      </c>
      <c r="G738" t="s">
        <v>1926</v>
      </c>
      <c r="H738" s="2" t="s">
        <v>1927</v>
      </c>
      <c r="I738" s="12" t="s">
        <v>1288</v>
      </c>
      <c r="J738" s="41">
        <f>+Tabla1[[#This Row],[FECHA ENTRADA]]</f>
        <v>45744</v>
      </c>
      <c r="K738" s="41">
        <v>45752</v>
      </c>
      <c r="L738" s="42">
        <f>_xlfn.DAYS(Tabla1[[#This Row],[FECHA FIN ]],Tabla1[[#This Row],[FECHA INICIO]])</f>
        <v>8</v>
      </c>
      <c r="M738" s="12"/>
      <c r="N738" s="12">
        <f>2411/4</f>
        <v>602.75</v>
      </c>
      <c r="O738" s="28">
        <f>(Tabla1[[#This Row],[COSTO FIJO ]]/30)*Tabla1[[#This Row],[TOTAL DIAS PROYECTO]]+(Tabla1[[#This Row],[COSTO TEMPORAL]])</f>
        <v>160.73333333333332</v>
      </c>
      <c r="P738" s="12"/>
      <c r="Q738" s="12">
        <f>+(Tabla1[[#This Row],[COSTO COCHE]]/30)*Tabla1[[#This Row],[TOTAL DIAS PROYECTO]]</f>
        <v>0</v>
      </c>
      <c r="R738" s="12">
        <f>+Tabla1[[#This Row],[COSTO TOTAL ALOJAMIENTO]]+Tabla1[[#This Row],[COSTO TOTAL COCHE]]</f>
        <v>160.73333333333332</v>
      </c>
      <c r="S738" s="2"/>
      <c r="T738" s="2" t="s">
        <v>528</v>
      </c>
      <c r="U738" s="14">
        <v>45744</v>
      </c>
      <c r="V738" s="43">
        <v>45775</v>
      </c>
      <c r="W738" s="26"/>
      <c r="X738" s="2"/>
      <c r="Y738" s="11"/>
      <c r="Z738" s="2" t="s">
        <v>36</v>
      </c>
      <c r="AA738" s="13" t="s">
        <v>10421</v>
      </c>
      <c r="AB738" s="13">
        <v>5113412</v>
      </c>
    </row>
    <row r="739" spans="1:28" ht="15" customHeight="1">
      <c r="A739" s="2" t="s">
        <v>9081</v>
      </c>
      <c r="B739" s="2" t="s">
        <v>28</v>
      </c>
      <c r="C739" s="31" t="s">
        <v>1928</v>
      </c>
      <c r="D739" s="2" t="s">
        <v>161</v>
      </c>
      <c r="E739" s="2" t="s">
        <v>1748</v>
      </c>
      <c r="F739" s="11"/>
      <c r="G739" s="49"/>
      <c r="H739" s="2" t="s">
        <v>1749</v>
      </c>
      <c r="I739" t="s">
        <v>1750</v>
      </c>
      <c r="J739" s="22">
        <f>+Tabla1[[#This Row],[FECHA ENTRADA]]</f>
        <v>45712</v>
      </c>
      <c r="K739" s="8">
        <v>45752</v>
      </c>
      <c r="L739" s="23">
        <f>_xlfn.DAYS(Tabla1[[#This Row],[FECHA FIN ]],Tabla1[[#This Row],[FECHA INICIO]])</f>
        <v>40</v>
      </c>
      <c r="M739" s="12"/>
      <c r="N739" s="24"/>
      <c r="O739" s="24">
        <f>(Tabla1[[#This Row],[COSTO FIJO ]]/30)*Tabla1[[#This Row],[TOTAL DIAS PROYECTO]]+(Tabla1[[#This Row],[COSTO TEMPORAL]])</f>
        <v>0</v>
      </c>
      <c r="P739" s="12"/>
      <c r="Q739" s="12">
        <f>+(Tabla1[[#This Row],[COSTO COCHE]]/30)*Tabla1[[#This Row],[TOTAL DIAS PROYECTO]]</f>
        <v>0</v>
      </c>
      <c r="R739" s="12">
        <f>+Tabla1[[#This Row],[COSTO TOTAL ALOJAMIENTO]]+Tabla1[[#This Row],[COSTO TOTAL COCHE]]</f>
        <v>0</v>
      </c>
      <c r="S739" s="2"/>
      <c r="T739" s="2" t="s">
        <v>58</v>
      </c>
      <c r="U739" s="14">
        <v>45712</v>
      </c>
      <c r="V739" s="25"/>
      <c r="W739" s="26"/>
      <c r="X739" s="2"/>
      <c r="Y739" s="11" t="s">
        <v>1929</v>
      </c>
      <c r="Z739" s="2" t="s">
        <v>36</v>
      </c>
      <c r="AA739" s="13" t="s">
        <v>10428</v>
      </c>
      <c r="AB739" s="13" t="s">
        <v>10429</v>
      </c>
    </row>
    <row r="740" spans="1:28" ht="15" customHeight="1">
      <c r="A740" s="2" t="s">
        <v>9019</v>
      </c>
      <c r="B740" s="2" t="s">
        <v>28</v>
      </c>
      <c r="C740" s="31" t="s">
        <v>1710</v>
      </c>
      <c r="D740" s="2" t="s">
        <v>99</v>
      </c>
      <c r="E740" s="2" t="s">
        <v>213</v>
      </c>
      <c r="F740" s="11" t="s">
        <v>1777</v>
      </c>
      <c r="G740" s="46" t="s">
        <v>1778</v>
      </c>
      <c r="H740" s="2" t="s">
        <v>1713</v>
      </c>
      <c r="I740" s="12" t="s">
        <v>1627</v>
      </c>
      <c r="J740" s="41">
        <f>+Tabla1[[#This Row],[FECHA ENTRADA]]</f>
        <v>45725</v>
      </c>
      <c r="K740" s="22">
        <v>45753</v>
      </c>
      <c r="L740" s="42">
        <f>_xlfn.DAYS(Tabla1[[#This Row],[FECHA FIN ]],Tabla1[[#This Row],[FECHA INICIO]])</f>
        <v>28</v>
      </c>
      <c r="M740" s="12"/>
      <c r="N740" s="12"/>
      <c r="O740" s="28">
        <f>(Tabla1[[#This Row],[COSTO FIJO ]]/30)*Tabla1[[#This Row],[TOTAL DIAS PROYECTO]]+(Tabla1[[#This Row],[COSTO TEMPORAL]])</f>
        <v>0</v>
      </c>
      <c r="P740" s="12">
        <v>100</v>
      </c>
      <c r="Q740" s="12">
        <f>+(Tabla1[[#This Row],[COSTO COCHE]]/30)*Tabla1[[#This Row],[TOTAL DIAS PROYECTO]]</f>
        <v>93.333333333333343</v>
      </c>
      <c r="R740" s="12">
        <f>+Tabla1[[#This Row],[COSTO TOTAL ALOJAMIENTO]]+Tabla1[[#This Row],[COSTO TOTAL COCHE]]</f>
        <v>93.333333333333343</v>
      </c>
      <c r="S740" s="2"/>
      <c r="T740" s="2" t="s">
        <v>35</v>
      </c>
      <c r="U740" s="14">
        <v>45725</v>
      </c>
      <c r="V740" s="43"/>
      <c r="W740" s="26"/>
      <c r="X740" s="2">
        <v>5</v>
      </c>
      <c r="Y740" s="11"/>
      <c r="Z740" s="2" t="s">
        <v>36</v>
      </c>
      <c r="AA740" s="13" t="s">
        <v>10349</v>
      </c>
      <c r="AB740" s="13" t="s">
        <v>10350</v>
      </c>
    </row>
    <row r="741" spans="1:28" ht="15" customHeight="1">
      <c r="A741" s="2" t="s">
        <v>8713</v>
      </c>
      <c r="B741" s="2" t="s">
        <v>368</v>
      </c>
      <c r="C741" s="11" t="s">
        <v>408</v>
      </c>
      <c r="D741" s="2" t="s">
        <v>30</v>
      </c>
      <c r="E741" s="2" t="s">
        <v>422</v>
      </c>
      <c r="F741" s="11" t="s">
        <v>1930</v>
      </c>
      <c r="G741" s="49"/>
      <c r="H741" s="2" t="s">
        <v>1931</v>
      </c>
      <c r="I741" t="s">
        <v>1932</v>
      </c>
      <c r="J741" s="22">
        <v>45495</v>
      </c>
      <c r="K741" s="22">
        <v>45513</v>
      </c>
      <c r="L741" s="23">
        <f>_xlfn.DAYS(Tabla1[[#This Row],[FECHA FIN ]],Tabla1[[#This Row],[FECHA INICIO]])</f>
        <v>18</v>
      </c>
      <c r="M741" s="12"/>
      <c r="N741" s="12">
        <v>263.33</v>
      </c>
      <c r="O741" s="24">
        <f>(Tabla1[[#This Row],[COSTO FIJO ]]/30)*Tabla1[[#This Row],[TOTAL DIAS PROYECTO]]+(Tabla1[[#This Row],[COSTO TEMPORAL]])</f>
        <v>157.99799999999999</v>
      </c>
      <c r="P741" s="12"/>
      <c r="Q741" s="12">
        <f>+(Tabla1[[#This Row],[COSTO COCHE]]/30)*Tabla1[[#This Row],[TOTAL DIAS PROYECTO]]</f>
        <v>0</v>
      </c>
      <c r="R741" s="12">
        <f>+Tabla1[[#This Row],[COSTO TOTAL ALOJAMIENTO]]+Tabla1[[#This Row],[COSTO TOTAL COCHE]]</f>
        <v>157.99799999999999</v>
      </c>
      <c r="S741" s="2"/>
      <c r="T741" s="2" t="s">
        <v>44</v>
      </c>
      <c r="U741" s="14">
        <v>45495</v>
      </c>
      <c r="V741" s="25">
        <v>45513</v>
      </c>
      <c r="W741" s="26"/>
      <c r="X741" s="2"/>
      <c r="Y741" s="11"/>
      <c r="Z741" s="2" t="s">
        <v>36</v>
      </c>
      <c r="AA741" s="13">
        <v>-326.69799999999998</v>
      </c>
      <c r="AB741" s="13" t="s">
        <v>10373</v>
      </c>
    </row>
    <row r="742" spans="1:28" ht="15" customHeight="1">
      <c r="A742" s="2" t="s">
        <v>8985</v>
      </c>
      <c r="B742" s="2" t="s">
        <v>28</v>
      </c>
      <c r="C742" s="11" t="s">
        <v>1595</v>
      </c>
      <c r="D742" s="2" t="s">
        <v>99</v>
      </c>
      <c r="E742" s="2" t="s">
        <v>253</v>
      </c>
      <c r="F742" s="11" t="s">
        <v>1692</v>
      </c>
      <c r="G742" s="11" t="s">
        <v>1693</v>
      </c>
      <c r="H742" s="2" t="s">
        <v>1648</v>
      </c>
      <c r="I742" s="12" t="s">
        <v>256</v>
      </c>
      <c r="J742" s="41">
        <f>+Tabla1[[#This Row],[FECHA ENTRADA]]</f>
        <v>45737</v>
      </c>
      <c r="K742" s="41">
        <v>45755</v>
      </c>
      <c r="L742" s="42">
        <f>_xlfn.DAYS(Tabla1[[#This Row],[FECHA FIN ]],Tabla1[[#This Row],[FECHA INICIO]])</f>
        <v>18</v>
      </c>
      <c r="M742" s="28"/>
      <c r="N742" s="24"/>
      <c r="O742" s="28">
        <f>(Tabla1[[#This Row],[COSTO FIJO ]]/30)*Tabla1[[#This Row],[TOTAL DIAS PROYECTO]]+(Tabla1[[#This Row],[COSTO TEMPORAL]])</f>
        <v>0</v>
      </c>
      <c r="P742" s="12"/>
      <c r="Q742" s="12">
        <f>+(Tabla1[[#This Row],[COSTO COCHE]]/30)*Tabla1[[#This Row],[TOTAL DIAS PROYECTO]]</f>
        <v>0</v>
      </c>
      <c r="R742" s="12">
        <f>+Tabla1[[#This Row],[COSTO TOTAL ALOJAMIENTO]]+Tabla1[[#This Row],[COSTO TOTAL COCHE]]</f>
        <v>0</v>
      </c>
      <c r="S742" s="2"/>
      <c r="T742" s="2" t="s">
        <v>44</v>
      </c>
      <c r="U742" s="14">
        <v>45737</v>
      </c>
      <c r="V742" s="43">
        <v>45755</v>
      </c>
      <c r="W742" s="26"/>
      <c r="X742" s="2"/>
      <c r="Y742" s="11"/>
      <c r="Z742" s="2" t="s">
        <v>36</v>
      </c>
      <c r="AA742" s="13" t="s">
        <v>10357</v>
      </c>
      <c r="AB742" s="13" t="s">
        <v>10358</v>
      </c>
    </row>
    <row r="743" spans="1:28" ht="15" customHeight="1">
      <c r="A743" s="2" t="s">
        <v>9061</v>
      </c>
      <c r="B743" s="2" t="s">
        <v>711</v>
      </c>
      <c r="C743" s="144" t="s">
        <v>1833</v>
      </c>
      <c r="D743" s="2" t="s">
        <v>30</v>
      </c>
      <c r="E743" s="2" t="s">
        <v>92</v>
      </c>
      <c r="F743" s="11" t="s">
        <v>1933</v>
      </c>
      <c r="G743" s="46" t="s">
        <v>1934</v>
      </c>
      <c r="H743" s="2" t="s">
        <v>1935</v>
      </c>
      <c r="I743" s="12" t="s">
        <v>96</v>
      </c>
      <c r="J743" s="41">
        <f>+Tabla1[[#This Row],[FECHA ENTRADA]]</f>
        <v>46138</v>
      </c>
      <c r="K743" s="22">
        <v>46174</v>
      </c>
      <c r="L743" s="42">
        <f>_xlfn.DAYS(Tabla1[[#This Row],[FECHA FIN ]],Tabla1[[#This Row],[FECHA INICIO]])</f>
        <v>36</v>
      </c>
      <c r="M743" s="12">
        <f>(332.5)+(1185/2)</f>
        <v>925</v>
      </c>
      <c r="N743" s="28"/>
      <c r="O743" s="28">
        <f>(Tabla1[[#This Row],[COSTO FIJO ]]/30)*Tabla1[[#This Row],[TOTAL DIAS PROYECTO]]+(Tabla1[[#This Row],[COSTO TEMPORAL]])</f>
        <v>925</v>
      </c>
      <c r="P743" s="12"/>
      <c r="Q743" s="12">
        <f>+(Tabla1[[#This Row],[COSTO COCHE]]/30)*Tabla1[[#This Row],[TOTAL DIAS PROYECTO]]</f>
        <v>0</v>
      </c>
      <c r="R743" s="12">
        <f>+Tabla1[[#This Row],[COSTO TOTAL ALOJAMIENTO]]+Tabla1[[#This Row],[COSTO TOTAL COCHE]]</f>
        <v>925</v>
      </c>
      <c r="S743" s="2" t="s">
        <v>403</v>
      </c>
      <c r="T743" s="14" t="s">
        <v>44</v>
      </c>
      <c r="U743" s="14">
        <v>46138</v>
      </c>
      <c r="V743" s="79">
        <v>46183</v>
      </c>
      <c r="W743" s="12"/>
      <c r="X743" s="2"/>
      <c r="Y743" s="11" t="s">
        <v>1364</v>
      </c>
      <c r="Z743" s="2" t="s">
        <v>36</v>
      </c>
      <c r="AA743" s="13" t="s">
        <v>10336</v>
      </c>
      <c r="AB743" s="13" t="s">
        <v>10337</v>
      </c>
    </row>
    <row r="744" spans="1:28" ht="15" customHeight="1">
      <c r="A744" s="2" t="s">
        <v>9082</v>
      </c>
      <c r="B744" s="2" t="s">
        <v>28</v>
      </c>
      <c r="C744" s="11" t="s">
        <v>1936</v>
      </c>
      <c r="D744" s="2" t="s">
        <v>99</v>
      </c>
      <c r="E744" s="2" t="s">
        <v>855</v>
      </c>
      <c r="F744" s="11" t="s">
        <v>1937</v>
      </c>
      <c r="G744" s="11" t="s">
        <v>1938</v>
      </c>
      <c r="H744" s="2" t="s">
        <v>1939</v>
      </c>
      <c r="I744" s="10" t="s">
        <v>1940</v>
      </c>
      <c r="J744" s="41">
        <f>+Tabla1[[#This Row],[FECHA ENTRADA]]</f>
        <v>45747</v>
      </c>
      <c r="K744" s="22">
        <v>45756</v>
      </c>
      <c r="L744" s="42">
        <f>_xlfn.DAYS(Tabla1[[#This Row],[FECHA FIN ]],Tabla1[[#This Row],[FECHA INICIO]])</f>
        <v>9</v>
      </c>
      <c r="M744" s="12">
        <v>192</v>
      </c>
      <c r="N744" s="28"/>
      <c r="O744" s="28">
        <f>(Tabla1[[#This Row],[COSTO FIJO ]]/30)*Tabla1[[#This Row],[TOTAL DIAS PROYECTO]]+(Tabla1[[#This Row],[COSTO TEMPORAL]])</f>
        <v>192</v>
      </c>
      <c r="P744" s="12"/>
      <c r="Q744" s="12">
        <f>+(Tabla1[[#This Row],[COSTO COCHE]]/30)*Tabla1[[#This Row],[TOTAL DIAS PROYECTO]]</f>
        <v>0</v>
      </c>
      <c r="R744" s="12">
        <f>+Tabla1[[#This Row],[COSTO TOTAL ALOJAMIENTO]]+Tabla1[[#This Row],[COSTO TOTAL COCHE]]</f>
        <v>192</v>
      </c>
      <c r="S744" s="2"/>
      <c r="T744" s="2" t="s">
        <v>44</v>
      </c>
      <c r="U744" s="14">
        <v>45747</v>
      </c>
      <c r="V744" s="43">
        <v>45755</v>
      </c>
      <c r="W744" s="26"/>
      <c r="X744" s="2"/>
      <c r="Y744" s="11"/>
      <c r="Z744" s="2" t="s">
        <v>36</v>
      </c>
      <c r="AA744" s="13" t="s">
        <v>10401</v>
      </c>
      <c r="AB744" s="13" t="s">
        <v>10402</v>
      </c>
    </row>
    <row r="745" spans="1:28" ht="15" customHeight="1">
      <c r="A745" s="2" t="s">
        <v>9083</v>
      </c>
      <c r="B745" s="2" t="s">
        <v>28</v>
      </c>
      <c r="C745" s="11" t="s">
        <v>1941</v>
      </c>
      <c r="D745" s="2" t="s">
        <v>99</v>
      </c>
      <c r="E745" s="2" t="s">
        <v>855</v>
      </c>
      <c r="F745" s="11" t="s">
        <v>1937</v>
      </c>
      <c r="G745" s="11" t="s">
        <v>1938</v>
      </c>
      <c r="H745" s="2" t="s">
        <v>1939</v>
      </c>
      <c r="I745" s="10" t="s">
        <v>1940</v>
      </c>
      <c r="J745" s="41">
        <f>+Tabla1[[#This Row],[FECHA ENTRADA]]</f>
        <v>45747</v>
      </c>
      <c r="K745" s="22">
        <v>45756</v>
      </c>
      <c r="L745" s="42">
        <f>_xlfn.DAYS(Tabla1[[#This Row],[FECHA FIN ]],Tabla1[[#This Row],[FECHA INICIO]])</f>
        <v>9</v>
      </c>
      <c r="M745" s="12">
        <v>192</v>
      </c>
      <c r="N745" s="28"/>
      <c r="O745" s="28">
        <f>(Tabla1[[#This Row],[COSTO FIJO ]]/30)*Tabla1[[#This Row],[TOTAL DIAS PROYECTO]]+(Tabla1[[#This Row],[COSTO TEMPORAL]])</f>
        <v>192</v>
      </c>
      <c r="P745" s="12"/>
      <c r="Q745" s="12">
        <f>+(Tabla1[[#This Row],[COSTO COCHE]]/30)*Tabla1[[#This Row],[TOTAL DIAS PROYECTO]]</f>
        <v>0</v>
      </c>
      <c r="R745" s="12">
        <f>+Tabla1[[#This Row],[COSTO TOTAL ALOJAMIENTO]]+Tabla1[[#This Row],[COSTO TOTAL COCHE]]</f>
        <v>192</v>
      </c>
      <c r="S745" s="2"/>
      <c r="T745" s="2" t="s">
        <v>44</v>
      </c>
      <c r="U745" s="14">
        <v>45747</v>
      </c>
      <c r="V745" s="43">
        <v>45755</v>
      </c>
      <c r="W745" s="26"/>
      <c r="X745" s="2"/>
      <c r="Y745" s="11"/>
      <c r="Z745" s="2" t="s">
        <v>36</v>
      </c>
      <c r="AA745" s="13" t="s">
        <v>10401</v>
      </c>
      <c r="AB745" s="13" t="s">
        <v>10402</v>
      </c>
    </row>
    <row r="746" spans="1:28" ht="15" customHeight="1">
      <c r="A746" s="2" t="s">
        <v>8642</v>
      </c>
      <c r="B746" s="2" t="s">
        <v>28</v>
      </c>
      <c r="C746" s="11" t="s">
        <v>1942</v>
      </c>
      <c r="D746" s="2" t="s">
        <v>99</v>
      </c>
      <c r="E746" s="2" t="s">
        <v>415</v>
      </c>
      <c r="F746" s="11" t="s">
        <v>1943</v>
      </c>
      <c r="G746" s="49" t="s">
        <v>1944</v>
      </c>
      <c r="H746" s="2" t="s">
        <v>1945</v>
      </c>
      <c r="I746" s="10" t="s">
        <v>1946</v>
      </c>
      <c r="J746" s="22">
        <f>+Tabla1[[#This Row],[FECHA ENTRADA]]</f>
        <v>45741</v>
      </c>
      <c r="K746" s="8">
        <v>45756</v>
      </c>
      <c r="L746" s="23">
        <f>_xlfn.DAYS(Tabla1[[#This Row],[FECHA FIN ]],Tabla1[[#This Row],[FECHA INICIO]])</f>
        <v>15</v>
      </c>
      <c r="M746" s="12"/>
      <c r="N746" s="24"/>
      <c r="O746" s="24">
        <f>(Tabla1[[#This Row],[COSTO FIJO ]]/30)*Tabla1[[#This Row],[TOTAL DIAS PROYECTO]]+(Tabla1[[#This Row],[COSTO TEMPORAL]])</f>
        <v>0</v>
      </c>
      <c r="P746" s="12"/>
      <c r="Q746" s="12">
        <f>+(Tabla1[[#This Row],[COSTO COCHE]]/30)*Tabla1[[#This Row],[TOTAL DIAS PROYECTO]]</f>
        <v>0</v>
      </c>
      <c r="R746" s="12">
        <f>+Tabla1[[#This Row],[COSTO TOTAL ALOJAMIENTO]]+Tabla1[[#This Row],[COSTO TOTAL COCHE]]</f>
        <v>0</v>
      </c>
      <c r="S746" s="2" t="s">
        <v>84</v>
      </c>
      <c r="T746" s="2" t="s">
        <v>44</v>
      </c>
      <c r="U746" s="14">
        <v>45741</v>
      </c>
      <c r="V746" s="25">
        <v>45756</v>
      </c>
      <c r="W746" s="26"/>
      <c r="X746" s="2"/>
      <c r="Y746" s="11"/>
      <c r="Z746" s="2" t="s">
        <v>36</v>
      </c>
      <c r="AA746" s="13">
        <v>-0.37739</v>
      </c>
      <c r="AB746" s="13" t="s">
        <v>10372</v>
      </c>
    </row>
    <row r="747" spans="1:28" ht="15" customHeight="1">
      <c r="A747" s="2" t="s">
        <v>9084</v>
      </c>
      <c r="B747" s="2" t="s">
        <v>28</v>
      </c>
      <c r="C747" s="11" t="s">
        <v>1947</v>
      </c>
      <c r="D747" s="2" t="s">
        <v>99</v>
      </c>
      <c r="E747" s="10" t="s">
        <v>61</v>
      </c>
      <c r="F747" s="11" t="s">
        <v>62</v>
      </c>
      <c r="G747" s="11" t="s">
        <v>63</v>
      </c>
      <c r="H747" s="2" t="s">
        <v>1948</v>
      </c>
      <c r="I747" s="10" t="s">
        <v>1940</v>
      </c>
      <c r="J747" s="41">
        <f>+Tabla1[[#This Row],[FECHA ENTRADA]]</f>
        <v>45747</v>
      </c>
      <c r="K747" s="41">
        <v>45756</v>
      </c>
      <c r="L747" s="42">
        <f>_xlfn.DAYS(Tabla1[[#This Row],[FECHA FIN ]],Tabla1[[#This Row],[FECHA INICIO]])</f>
        <v>9</v>
      </c>
      <c r="M747" s="12"/>
      <c r="N747" s="12">
        <f>15*Tabla1[[#This Row],[TOTAL DIAS PROYECTO]]</f>
        <v>135</v>
      </c>
      <c r="O747" s="28">
        <f>(Tabla1[[#This Row],[COSTO FIJO ]]/30)*Tabla1[[#This Row],[TOTAL DIAS PROYECTO]]+(Tabla1[[#This Row],[COSTO TEMPORAL]])</f>
        <v>40.5</v>
      </c>
      <c r="P747" s="12"/>
      <c r="Q747" s="12">
        <f>+(Tabla1[[#This Row],[COSTO COCHE]]/30)*Tabla1[[#This Row],[TOTAL DIAS PROYECTO]]</f>
        <v>0</v>
      </c>
      <c r="R747" s="12">
        <f>+Tabla1[[#This Row],[COSTO TOTAL ALOJAMIENTO]]+Tabla1[[#This Row],[COSTO TOTAL COCHE]]</f>
        <v>40.5</v>
      </c>
      <c r="S747" s="2"/>
      <c r="T747" s="2" t="s">
        <v>44</v>
      </c>
      <c r="U747" s="14">
        <v>45747</v>
      </c>
      <c r="V747" s="43">
        <v>45777</v>
      </c>
      <c r="W747" s="26"/>
      <c r="X747" s="2"/>
      <c r="Y747" s="11"/>
      <c r="Z747" s="2" t="s">
        <v>36</v>
      </c>
      <c r="AA747" s="13" t="s">
        <v>10329</v>
      </c>
      <c r="AB747" s="13" t="s">
        <v>10330</v>
      </c>
    </row>
    <row r="748" spans="1:28" ht="15" customHeight="1">
      <c r="A748" s="2" t="s">
        <v>8887</v>
      </c>
      <c r="B748" s="2" t="s">
        <v>28</v>
      </c>
      <c r="C748" s="145" t="s">
        <v>1169</v>
      </c>
      <c r="D748" s="2" t="s">
        <v>30</v>
      </c>
      <c r="E748" s="2" t="s">
        <v>599</v>
      </c>
      <c r="F748" s="11" t="s">
        <v>1949</v>
      </c>
      <c r="G748" s="30" t="s">
        <v>1950</v>
      </c>
      <c r="H748" s="2" t="s">
        <v>1396</v>
      </c>
      <c r="I748" s="12" t="s">
        <v>1067</v>
      </c>
      <c r="J748" s="41">
        <f>+Tabla1[[#This Row],[FECHA ENTRADA]]</f>
        <v>45677</v>
      </c>
      <c r="K748" s="41">
        <v>45757</v>
      </c>
      <c r="L748" s="42">
        <f>_xlfn.DAYS(Tabla1[[#This Row],[FECHA FIN ]],Tabla1[[#This Row],[FECHA INICIO]])</f>
        <v>80</v>
      </c>
      <c r="M748" s="12"/>
      <c r="N748" s="12">
        <v>583.33333333333337</v>
      </c>
      <c r="O748" s="28">
        <f>(Tabla1[[#This Row],[COSTO FIJO ]]/30)*Tabla1[[#This Row],[TOTAL DIAS PROYECTO]]+(Tabla1[[#This Row],[COSTO TEMPORAL]])</f>
        <v>1555.5555555555557</v>
      </c>
      <c r="P748" s="12">
        <f>400/3</f>
        <v>133.33333333333334</v>
      </c>
      <c r="Q748" s="12">
        <f>+(Tabla1[[#This Row],[COSTO COCHE]]/30)*Tabla1[[#This Row],[TOTAL DIAS PROYECTO]]</f>
        <v>355.55555555555554</v>
      </c>
      <c r="R748" s="12">
        <f>+Tabla1[[#This Row],[COSTO TOTAL ALOJAMIENTO]]+Tabla1[[#This Row],[COSTO TOTAL COCHE]]</f>
        <v>1911.1111111111113</v>
      </c>
      <c r="S748" s="2"/>
      <c r="T748" s="2" t="s">
        <v>44</v>
      </c>
      <c r="U748" s="14">
        <v>45677</v>
      </c>
      <c r="V748" s="43">
        <v>45737</v>
      </c>
      <c r="W748" s="26"/>
      <c r="X748" s="2">
        <v>18</v>
      </c>
      <c r="Y748" s="30" t="s">
        <v>1951</v>
      </c>
      <c r="Z748" s="2" t="s">
        <v>36</v>
      </c>
      <c r="AA748" s="13" t="s">
        <v>10382</v>
      </c>
      <c r="AB748" s="13">
        <v>4038884</v>
      </c>
    </row>
    <row r="749" spans="1:28" ht="15" customHeight="1">
      <c r="A749" s="2" t="s">
        <v>8889</v>
      </c>
      <c r="B749" s="2" t="s">
        <v>28</v>
      </c>
      <c r="C749" s="11" t="s">
        <v>1171</v>
      </c>
      <c r="D749" s="2" t="s">
        <v>30</v>
      </c>
      <c r="E749" s="2" t="s">
        <v>599</v>
      </c>
      <c r="F749" s="11" t="s">
        <v>1949</v>
      </c>
      <c r="G749" s="30" t="s">
        <v>1950</v>
      </c>
      <c r="H749" s="2" t="s">
        <v>1396</v>
      </c>
      <c r="I749" s="12" t="s">
        <v>1067</v>
      </c>
      <c r="J749" s="41">
        <f>+Tabla1[[#This Row],[FECHA ENTRADA]]</f>
        <v>45677</v>
      </c>
      <c r="K749" s="41">
        <v>45757</v>
      </c>
      <c r="L749" s="42">
        <f>_xlfn.DAYS(Tabla1[[#This Row],[FECHA FIN ]],Tabla1[[#This Row],[FECHA INICIO]])</f>
        <v>80</v>
      </c>
      <c r="M749" s="12"/>
      <c r="N749" s="12">
        <v>583.33333333333337</v>
      </c>
      <c r="O749" s="28">
        <f>(Tabla1[[#This Row],[COSTO FIJO ]]/30)*Tabla1[[#This Row],[TOTAL DIAS PROYECTO]]+(Tabla1[[#This Row],[COSTO TEMPORAL]])</f>
        <v>1555.5555555555557</v>
      </c>
      <c r="P749" s="12">
        <f>400/3</f>
        <v>133.33333333333334</v>
      </c>
      <c r="Q749" s="12">
        <f>+(Tabla1[[#This Row],[COSTO COCHE]]/30)*Tabla1[[#This Row],[TOTAL DIAS PROYECTO]]</f>
        <v>355.55555555555554</v>
      </c>
      <c r="R749" s="12">
        <f>+Tabla1[[#This Row],[COSTO TOTAL ALOJAMIENTO]]+Tabla1[[#This Row],[COSTO TOTAL COCHE]]</f>
        <v>1911.1111111111113</v>
      </c>
      <c r="S749" s="2"/>
      <c r="T749" s="2" t="s">
        <v>44</v>
      </c>
      <c r="U749" s="14">
        <v>45677</v>
      </c>
      <c r="V749" s="43">
        <v>45737</v>
      </c>
      <c r="W749" s="26"/>
      <c r="X749" s="2">
        <v>18</v>
      </c>
      <c r="Y749" s="30" t="s">
        <v>1951</v>
      </c>
      <c r="Z749" s="2" t="s">
        <v>36</v>
      </c>
      <c r="AA749" s="13" t="s">
        <v>10382</v>
      </c>
      <c r="AB749" s="13">
        <v>4038884</v>
      </c>
    </row>
    <row r="750" spans="1:28" ht="15" customHeight="1">
      <c r="A750" s="2" t="s">
        <v>9042</v>
      </c>
      <c r="B750" s="2" t="s">
        <v>28</v>
      </c>
      <c r="C750" s="99" t="s">
        <v>1783</v>
      </c>
      <c r="D750" s="2" t="s">
        <v>30</v>
      </c>
      <c r="E750" s="2" t="s">
        <v>245</v>
      </c>
      <c r="F750" s="11" t="s">
        <v>1952</v>
      </c>
      <c r="G750" t="s">
        <v>1953</v>
      </c>
      <c r="H750" s="2" t="s">
        <v>1786</v>
      </c>
      <c r="I750" s="12" t="s">
        <v>1538</v>
      </c>
      <c r="J750" s="22">
        <v>45618</v>
      </c>
      <c r="K750" s="22">
        <v>45819</v>
      </c>
      <c r="L750" s="42">
        <f>_xlfn.DAYS(Tabla1[[#This Row],[FECHA FIN ]],Tabla1[[#This Row],[FECHA INICIO]])</f>
        <v>201</v>
      </c>
      <c r="M750" s="12"/>
      <c r="N750" s="24">
        <v>200</v>
      </c>
      <c r="O750" s="28">
        <f>(Tabla1[[#This Row],[COSTO FIJO ]]/30)*Tabla1[[#This Row],[TOTAL DIAS PROYECTO]]+(Tabla1[[#This Row],[COSTO TEMPORAL]])</f>
        <v>1340</v>
      </c>
      <c r="P750" s="12">
        <v>92.307692307692307</v>
      </c>
      <c r="Q750" s="12">
        <v>0</v>
      </c>
      <c r="R750" s="12">
        <f>+Tabla1[[#This Row],[COSTO TOTAL ALOJAMIENTO]]+Tabla1[[#This Row],[COSTO TOTAL COCHE]]</f>
        <v>1340</v>
      </c>
      <c r="S750" s="2"/>
      <c r="T750" s="2" t="s">
        <v>35</v>
      </c>
      <c r="U750" s="14">
        <v>45618</v>
      </c>
      <c r="V750" s="25">
        <v>45618</v>
      </c>
      <c r="W750" s="26"/>
      <c r="X750" s="2">
        <v>10</v>
      </c>
      <c r="Y750" s="96"/>
      <c r="Z750" s="2" t="s">
        <v>36</v>
      </c>
      <c r="AA750" s="13" t="s">
        <v>10355</v>
      </c>
      <c r="AB750" s="13" t="s">
        <v>10356</v>
      </c>
    </row>
    <row r="751" spans="1:28" ht="15" customHeight="1">
      <c r="A751" s="2" t="s">
        <v>9085</v>
      </c>
      <c r="B751" s="2" t="s">
        <v>711</v>
      </c>
      <c r="C751" s="11" t="s">
        <v>1954</v>
      </c>
      <c r="D751" s="2" t="s">
        <v>72</v>
      </c>
      <c r="E751" s="2" t="s">
        <v>1955</v>
      </c>
      <c r="F751" s="11" t="s">
        <v>1956</v>
      </c>
      <c r="G751" s="21" t="s">
        <v>1957</v>
      </c>
      <c r="H751" s="2" t="s">
        <v>1958</v>
      </c>
      <c r="I751" s="12" t="s">
        <v>1959</v>
      </c>
      <c r="J751" s="22">
        <f>+Tabla1[[#This Row],[FECHA ENTRADA]]</f>
        <v>45703</v>
      </c>
      <c r="K751" s="22">
        <v>45758</v>
      </c>
      <c r="L751" s="23">
        <f>_xlfn.DAYS(Tabla1[[#This Row],[FECHA FIN ]],Tabla1[[#This Row],[FECHA INICIO]])</f>
        <v>55</v>
      </c>
      <c r="M751" s="20"/>
      <c r="N751" s="20">
        <v>596.66999999999996</v>
      </c>
      <c r="O751" s="24">
        <f>(Tabla1[[#This Row],[COSTO FIJO ]]/30)*Tabla1[[#This Row],[TOTAL DIAS PROYECTO]]+(Tabla1[[#This Row],[COSTO TEMPORAL]])</f>
        <v>1093.895</v>
      </c>
      <c r="P751" s="12">
        <f>703.86/2</f>
        <v>351.93</v>
      </c>
      <c r="Q751" s="12">
        <f>+(Tabla1[[#This Row],[COSTO COCHE]]/30)*Tabla1[[#This Row],[TOTAL DIAS PROYECTO]]</f>
        <v>645.20500000000004</v>
      </c>
      <c r="R751" s="12">
        <f>+Tabla1[[#This Row],[COSTO TOTAL ALOJAMIENTO]]+Tabla1[[#This Row],[COSTO TOTAL COCHE]]</f>
        <v>1739.1</v>
      </c>
      <c r="S751" s="2" t="s">
        <v>84</v>
      </c>
      <c r="T751" s="2" t="s">
        <v>528</v>
      </c>
      <c r="U751" s="14">
        <v>45703</v>
      </c>
      <c r="V751" s="79">
        <v>45758</v>
      </c>
      <c r="W751" s="26"/>
      <c r="X751" s="2"/>
      <c r="Y751" s="11"/>
      <c r="Z751" s="2" t="s">
        <v>36</v>
      </c>
      <c r="AA751" s="13" t="s">
        <v>10433</v>
      </c>
      <c r="AB751" s="13" t="s">
        <v>10434</v>
      </c>
    </row>
    <row r="752" spans="1:28" ht="15" customHeight="1">
      <c r="A752" s="2" t="s">
        <v>9086</v>
      </c>
      <c r="B752" s="2" t="s">
        <v>711</v>
      </c>
      <c r="C752" s="11" t="s">
        <v>1960</v>
      </c>
      <c r="D752" s="2" t="s">
        <v>72</v>
      </c>
      <c r="E752" s="2" t="s">
        <v>1955</v>
      </c>
      <c r="F752" s="11" t="s">
        <v>1956</v>
      </c>
      <c r="G752" s="146" t="s">
        <v>1957</v>
      </c>
      <c r="H752" s="2" t="s">
        <v>1958</v>
      </c>
      <c r="I752" s="12" t="s">
        <v>1959</v>
      </c>
      <c r="J752" s="22">
        <f>+Tabla1[[#This Row],[FECHA ENTRADA]]</f>
        <v>45703</v>
      </c>
      <c r="K752" s="22">
        <v>45758</v>
      </c>
      <c r="L752" s="23">
        <f>_xlfn.DAYS(Tabla1[[#This Row],[FECHA FIN ]],Tabla1[[#This Row],[FECHA INICIO]])</f>
        <v>55</v>
      </c>
      <c r="M752" s="20"/>
      <c r="N752" s="20">
        <v>596.66999999999996</v>
      </c>
      <c r="O752" s="24">
        <f>(Tabla1[[#This Row],[COSTO FIJO ]]/30)*Tabla1[[#This Row],[TOTAL DIAS PROYECTO]]+(Tabla1[[#This Row],[COSTO TEMPORAL]])</f>
        <v>1093.895</v>
      </c>
      <c r="P752" s="12">
        <f>703.86/2</f>
        <v>351.93</v>
      </c>
      <c r="Q752" s="12">
        <f>+(Tabla1[[#This Row],[COSTO COCHE]]/30)*Tabla1[[#This Row],[TOTAL DIAS PROYECTO]]</f>
        <v>645.20500000000004</v>
      </c>
      <c r="R752" s="12">
        <f>+Tabla1[[#This Row],[COSTO TOTAL ALOJAMIENTO]]+Tabla1[[#This Row],[COSTO TOTAL COCHE]]</f>
        <v>1739.1</v>
      </c>
      <c r="S752" s="2" t="s">
        <v>84</v>
      </c>
      <c r="T752" s="2" t="s">
        <v>528</v>
      </c>
      <c r="U752" s="14">
        <v>45703</v>
      </c>
      <c r="V752" s="79">
        <v>45758</v>
      </c>
      <c r="W752" s="26"/>
      <c r="X752" s="2"/>
      <c r="Y752" s="11"/>
      <c r="Z752" s="2" t="s">
        <v>36</v>
      </c>
      <c r="AA752" s="13" t="s">
        <v>10433</v>
      </c>
      <c r="AB752" s="13" t="s">
        <v>10434</v>
      </c>
    </row>
    <row r="753" spans="1:28" ht="15" customHeight="1">
      <c r="A753" s="2" t="s">
        <v>9087</v>
      </c>
      <c r="B753" s="2" t="s">
        <v>368</v>
      </c>
      <c r="C753" s="11" t="s">
        <v>1961</v>
      </c>
      <c r="D753" s="2" t="s">
        <v>30</v>
      </c>
      <c r="E753" s="2" t="s">
        <v>422</v>
      </c>
      <c r="F753" s="11" t="s">
        <v>1930</v>
      </c>
      <c r="G753" s="49"/>
      <c r="H753" s="2" t="s">
        <v>1931</v>
      </c>
      <c r="I753" t="s">
        <v>1932</v>
      </c>
      <c r="J753" s="22">
        <v>45495</v>
      </c>
      <c r="K753" s="22">
        <v>45821</v>
      </c>
      <c r="L753" s="23">
        <f>_xlfn.DAYS(Tabla1[[#This Row],[FECHA FIN ]],Tabla1[[#This Row],[FECHA INICIO]])</f>
        <v>326</v>
      </c>
      <c r="M753" s="12"/>
      <c r="N753" s="24"/>
      <c r="O753" s="24">
        <f>(Tabla1[[#This Row],[COSTO FIJO ]]/30)*Tabla1[[#This Row],[TOTAL DIAS PROYECTO]]+(Tabla1[[#This Row],[COSTO TEMPORAL]])</f>
        <v>0</v>
      </c>
      <c r="P753" s="12"/>
      <c r="Q753" s="12">
        <f>+(Tabla1[[#This Row],[COSTO COCHE]]/30)*Tabla1[[#This Row],[TOTAL DIAS PROYECTO]]</f>
        <v>0</v>
      </c>
      <c r="R753" s="12">
        <f>+Tabla1[[#This Row],[COSTO TOTAL ALOJAMIENTO]]+Tabla1[[#This Row],[COSTO TOTAL COCHE]]</f>
        <v>0</v>
      </c>
      <c r="S753" s="2"/>
      <c r="T753" s="2" t="s">
        <v>44</v>
      </c>
      <c r="U753" s="14">
        <v>45495</v>
      </c>
      <c r="V753" s="25">
        <v>45513</v>
      </c>
      <c r="W753" s="26"/>
      <c r="X753" s="2"/>
      <c r="Y753" s="11"/>
      <c r="Z753" s="2" t="s">
        <v>36</v>
      </c>
      <c r="AA753" s="13">
        <v>-326.69799999999998</v>
      </c>
      <c r="AB753" s="13" t="s">
        <v>10373</v>
      </c>
    </row>
    <row r="754" spans="1:28" ht="15" customHeight="1">
      <c r="A754" s="2" t="s">
        <v>9088</v>
      </c>
      <c r="B754" s="2" t="s">
        <v>368</v>
      </c>
      <c r="C754" s="11" t="s">
        <v>1962</v>
      </c>
      <c r="D754" s="2" t="s">
        <v>30</v>
      </c>
      <c r="E754" s="2" t="s">
        <v>422</v>
      </c>
      <c r="F754" s="11" t="s">
        <v>1930</v>
      </c>
      <c r="G754" s="49"/>
      <c r="H754" s="2" t="s">
        <v>1931</v>
      </c>
      <c r="I754" t="s">
        <v>1932</v>
      </c>
      <c r="J754" s="22">
        <v>45495</v>
      </c>
      <c r="K754" s="22">
        <v>45821</v>
      </c>
      <c r="L754" s="23">
        <f>_xlfn.DAYS(Tabla1[[#This Row],[FECHA FIN ]],Tabla1[[#This Row],[FECHA INICIO]])</f>
        <v>326</v>
      </c>
      <c r="M754" s="12"/>
      <c r="N754" s="24"/>
      <c r="O754" s="24">
        <f>(Tabla1[[#This Row],[COSTO FIJO ]]/30)*Tabla1[[#This Row],[TOTAL DIAS PROYECTO]]+(Tabla1[[#This Row],[COSTO TEMPORAL]])</f>
        <v>0</v>
      </c>
      <c r="P754" s="12"/>
      <c r="Q754" s="12">
        <f>+(Tabla1[[#This Row],[COSTO COCHE]]/30)*Tabla1[[#This Row],[TOTAL DIAS PROYECTO]]</f>
        <v>0</v>
      </c>
      <c r="R754" s="12">
        <f>+Tabla1[[#This Row],[COSTO TOTAL ALOJAMIENTO]]+Tabla1[[#This Row],[COSTO TOTAL COCHE]]</f>
        <v>0</v>
      </c>
      <c r="S754" s="2"/>
      <c r="T754" s="2" t="s">
        <v>44</v>
      </c>
      <c r="U754" s="14">
        <v>45495</v>
      </c>
      <c r="V754" s="25">
        <v>45513</v>
      </c>
      <c r="W754" s="26"/>
      <c r="X754" s="2"/>
      <c r="Y754" s="11"/>
      <c r="Z754" s="2" t="s">
        <v>36</v>
      </c>
      <c r="AA754" s="13">
        <v>-326.69799999999998</v>
      </c>
      <c r="AB754" s="13" t="s">
        <v>10373</v>
      </c>
    </row>
    <row r="755" spans="1:28">
      <c r="A755" s="2" t="s">
        <v>9089</v>
      </c>
      <c r="B755" s="2" t="s">
        <v>368</v>
      </c>
      <c r="C755" s="11" t="s">
        <v>1963</v>
      </c>
      <c r="D755" s="2" t="s">
        <v>99</v>
      </c>
      <c r="E755" s="2" t="s">
        <v>626</v>
      </c>
      <c r="F755" s="11" t="s">
        <v>1964</v>
      </c>
      <c r="G755" s="146" t="s">
        <v>1409</v>
      </c>
      <c r="H755" s="2" t="s">
        <v>1965</v>
      </c>
      <c r="I755" s="12" t="s">
        <v>630</v>
      </c>
      <c r="J755" s="41">
        <f>+Tabla1[[#This Row],[FECHA ENTRADA]]</f>
        <v>45739</v>
      </c>
      <c r="K755" s="22">
        <v>45758</v>
      </c>
      <c r="L755" s="42">
        <f>_xlfn.DAYS(Tabla1[[#This Row],[FECHA FIN ]],Tabla1[[#This Row],[FECHA INICIO]])</f>
        <v>19</v>
      </c>
      <c r="M755" s="12"/>
      <c r="N755" s="12"/>
      <c r="O755" s="28">
        <f>(Tabla1[[#This Row],[COSTO FIJO ]]/30)*Tabla1[[#This Row],[TOTAL DIAS PROYECTO]]+(Tabla1[[#This Row],[COSTO TEMPORAL]])</f>
        <v>0</v>
      </c>
      <c r="P755" s="12"/>
      <c r="Q755" s="12">
        <f>+(Tabla1[[#This Row],[COSTO COCHE]]/30)*Tabla1[[#This Row],[TOTAL DIAS PROYECTO]]</f>
        <v>0</v>
      </c>
      <c r="R755" s="12">
        <f>+Tabla1[[#This Row],[COSTO TOTAL ALOJAMIENTO]]+Tabla1[[#This Row],[COSTO TOTAL COCHE]]</f>
        <v>0</v>
      </c>
      <c r="S755" s="2"/>
      <c r="T755" s="2" t="s">
        <v>35</v>
      </c>
      <c r="U755" s="14">
        <v>45739</v>
      </c>
      <c r="V755" s="43"/>
      <c r="W755" s="26"/>
      <c r="X755" s="2">
        <v>5</v>
      </c>
      <c r="Y755" s="11" t="s">
        <v>1966</v>
      </c>
      <c r="Z755" s="2" t="s">
        <v>36</v>
      </c>
      <c r="AA755" s="13" t="s">
        <v>10385</v>
      </c>
      <c r="AB755" s="13" t="s">
        <v>10386</v>
      </c>
    </row>
    <row r="756" spans="1:28">
      <c r="A756" s="2" t="s">
        <v>8880</v>
      </c>
      <c r="B756" s="2" t="s">
        <v>28</v>
      </c>
      <c r="C756" s="11" t="s">
        <v>1146</v>
      </c>
      <c r="D756" s="2" t="s">
        <v>30</v>
      </c>
      <c r="E756" s="2" t="s">
        <v>55</v>
      </c>
      <c r="F756" s="11" t="s">
        <v>231</v>
      </c>
      <c r="G756" s="11" t="s">
        <v>106</v>
      </c>
      <c r="H756" s="2" t="s">
        <v>1967</v>
      </c>
      <c r="I756" s="12" t="s">
        <v>1968</v>
      </c>
      <c r="J756" s="22">
        <f>+Tabla1[[#This Row],[FECHA ENTRADA]]</f>
        <v>45729</v>
      </c>
      <c r="K756" s="22">
        <v>45758</v>
      </c>
      <c r="L756" s="23">
        <f>_xlfn.DAYS(Tabla1[[#This Row],[FECHA FIN ]],Tabla1[[#This Row],[FECHA INICIO]])</f>
        <v>29</v>
      </c>
      <c r="M756" s="12"/>
      <c r="N756" s="12">
        <f>1811.6/17</f>
        <v>106.56470588235294</v>
      </c>
      <c r="O756" s="24">
        <f>(Tabla1[[#This Row],[COSTO FIJO ]]/30)*Tabla1[[#This Row],[TOTAL DIAS PROYECTO]]+(Tabla1[[#This Row],[COSTO TEMPORAL]])</f>
        <v>103.01254901960785</v>
      </c>
      <c r="P756" s="12"/>
      <c r="Q756" s="12">
        <f>+(Tabla1[[#This Row],[COSTO COCHE]]/30)*Tabla1[[#This Row],[TOTAL DIAS PROYECTO]]</f>
        <v>0</v>
      </c>
      <c r="R756" s="12">
        <f>+Tabla1[[#This Row],[COSTO TOTAL ALOJAMIENTO]]+Tabla1[[#This Row],[COSTO TOTAL COCHE]]</f>
        <v>103.01254901960785</v>
      </c>
      <c r="S756" s="2"/>
      <c r="T756" s="2" t="s">
        <v>35</v>
      </c>
      <c r="U756" s="14">
        <v>45729</v>
      </c>
      <c r="V756" s="25"/>
      <c r="W756" s="26"/>
      <c r="X756" s="2">
        <v>5</v>
      </c>
      <c r="Y756" s="11" t="s">
        <v>1969</v>
      </c>
      <c r="Z756" s="2" t="s">
        <v>36</v>
      </c>
      <c r="AA756" s="13" t="s">
        <v>10327</v>
      </c>
      <c r="AB756" s="13" t="s">
        <v>10328</v>
      </c>
    </row>
    <row r="757" spans="1:28">
      <c r="A757" s="2" t="s">
        <v>9089</v>
      </c>
      <c r="B757" s="2" t="s">
        <v>368</v>
      </c>
      <c r="C757" s="11" t="s">
        <v>1963</v>
      </c>
      <c r="D757" s="2" t="s">
        <v>99</v>
      </c>
      <c r="E757" s="2" t="s">
        <v>626</v>
      </c>
      <c r="F757" s="11" t="s">
        <v>627</v>
      </c>
      <c r="G757" s="11" t="s">
        <v>628</v>
      </c>
      <c r="H757" s="2" t="s">
        <v>1965</v>
      </c>
      <c r="I757" s="12" t="s">
        <v>630</v>
      </c>
      <c r="J757" s="22">
        <f>+Tabla1[[#This Row],[FECHA ENTRADA]]</f>
        <v>45714</v>
      </c>
      <c r="K757" s="22">
        <v>45758</v>
      </c>
      <c r="L757" s="13">
        <f>_xlfn.DAYS(Tabla1[[#This Row],[FECHA FIN ]],Tabla1[[#This Row],[FECHA INICIO]])</f>
        <v>44</v>
      </c>
      <c r="M757" s="12"/>
      <c r="N757" s="12"/>
      <c r="O757" s="24">
        <f>(Tabla1[[#This Row],[COSTO FIJO ]]/30)*Tabla1[[#This Row],[TOTAL DIAS PROYECTO]]+(Tabla1[[#This Row],[COSTO TEMPORAL]])</f>
        <v>0</v>
      </c>
      <c r="P757" s="12"/>
      <c r="Q757" s="12">
        <f>+(Tabla1[[#This Row],[COSTO COCHE]]/30)*Tabla1[[#This Row],[TOTAL DIAS PROYECTO]]</f>
        <v>0</v>
      </c>
      <c r="R757" s="12">
        <f>+Tabla1[[#This Row],[COSTO TOTAL ALOJAMIENTO]]+Tabla1[[#This Row],[COSTO TOTAL COCHE]]</f>
        <v>0</v>
      </c>
      <c r="S757" s="2"/>
      <c r="T757" s="2" t="s">
        <v>35</v>
      </c>
      <c r="U757" s="14">
        <v>45714</v>
      </c>
      <c r="V757" s="79"/>
      <c r="W757" s="26">
        <v>150</v>
      </c>
      <c r="X757" s="2">
        <v>26</v>
      </c>
      <c r="Y757" s="11" t="s">
        <v>1361</v>
      </c>
      <c r="Z757" s="2" t="s">
        <v>36</v>
      </c>
      <c r="AA757" s="13" t="s">
        <v>10385</v>
      </c>
      <c r="AB757" s="13" t="s">
        <v>10386</v>
      </c>
    </row>
    <row r="758" spans="1:28" ht="15" customHeight="1">
      <c r="A758" s="2" t="s">
        <v>9090</v>
      </c>
      <c r="B758" s="2" t="s">
        <v>28</v>
      </c>
      <c r="C758" s="11" t="s">
        <v>1970</v>
      </c>
      <c r="D758" s="2" t="s">
        <v>30</v>
      </c>
      <c r="E758" s="2" t="s">
        <v>213</v>
      </c>
      <c r="F758" s="11" t="s">
        <v>1971</v>
      </c>
      <c r="G758" s="11" t="s">
        <v>1972</v>
      </c>
      <c r="H758" s="2"/>
      <c r="I758" s="2" t="s">
        <v>52</v>
      </c>
      <c r="J758" s="8">
        <f>+Tabla1[[#This Row],[FECHA ENTRADA]]</f>
        <v>45322</v>
      </c>
      <c r="K758" s="22">
        <v>45821</v>
      </c>
      <c r="L758" s="13">
        <f>_xlfn.DAYS(Tabla1[[#This Row],[FECHA FIN ]],Tabla1[[#This Row],[FECHA INICIO]])</f>
        <v>499</v>
      </c>
      <c r="M758" s="12"/>
      <c r="N758" s="12"/>
      <c r="O758" s="12">
        <f>(Tabla1[[#This Row],[COSTO FIJO ]]/30)*Tabla1[[#This Row],[TOTAL DIAS PROYECTO]]+(Tabla1[[#This Row],[COSTO TEMPORAL]])</f>
        <v>0</v>
      </c>
      <c r="P758" s="12"/>
      <c r="Q758" s="12">
        <f>+(Tabla1[[#This Row],[COSTO COCHE]]/30)*Tabla1[[#This Row],[TOTAL DIAS PROYECTO]]</f>
        <v>0</v>
      </c>
      <c r="R758" s="12">
        <f>+Tabla1[[#This Row],[COSTO TOTAL ALOJAMIENTO]]+Tabla1[[#This Row],[COSTO TOTAL COCHE]]</f>
        <v>0</v>
      </c>
      <c r="S758" s="2"/>
      <c r="T758" s="2" t="s">
        <v>35</v>
      </c>
      <c r="U758" s="14">
        <v>45322</v>
      </c>
      <c r="V758" s="14"/>
      <c r="W758" s="15"/>
      <c r="X758" s="16"/>
      <c r="Y758" s="18" t="s">
        <v>1973</v>
      </c>
      <c r="Z758" s="2" t="s">
        <v>36</v>
      </c>
      <c r="AA758" s="13" t="s">
        <v>10349</v>
      </c>
      <c r="AB758" s="13" t="s">
        <v>10350</v>
      </c>
    </row>
    <row r="759" spans="1:28" ht="15" customHeight="1">
      <c r="A759" s="2" t="s">
        <v>9091</v>
      </c>
      <c r="B759" s="2" t="s">
        <v>28</v>
      </c>
      <c r="C759" s="11" t="s">
        <v>1974</v>
      </c>
      <c r="D759" s="2" t="s">
        <v>30</v>
      </c>
      <c r="E759" s="2" t="s">
        <v>213</v>
      </c>
      <c r="F759" s="11" t="s">
        <v>1971</v>
      </c>
      <c r="G759" s="11" t="s">
        <v>1972</v>
      </c>
      <c r="H759" s="2" t="s">
        <v>1975</v>
      </c>
      <c r="I759" s="2" t="s">
        <v>52</v>
      </c>
      <c r="J759" s="8">
        <f>+Tabla1[[#This Row],[FECHA ENTRADA]]</f>
        <v>45473</v>
      </c>
      <c r="K759" s="8">
        <v>45758</v>
      </c>
      <c r="L759" s="13">
        <f>_xlfn.DAYS(Tabla1[[#This Row],[FECHA FIN ]],Tabla1[[#This Row],[FECHA INICIO]])</f>
        <v>285</v>
      </c>
      <c r="M759" s="12"/>
      <c r="N759" s="12"/>
      <c r="O759" s="12">
        <f>(Tabla1[[#This Row],[COSTO FIJO ]]/30)*Tabla1[[#This Row],[TOTAL DIAS PROYECTO]]+(Tabla1[[#This Row],[COSTO TEMPORAL]])</f>
        <v>0</v>
      </c>
      <c r="P759" s="12"/>
      <c r="Q759" s="12">
        <f>+(Tabla1[[#This Row],[COSTO COCHE]]/30)*Tabla1[[#This Row],[TOTAL DIAS PROYECTO]]</f>
        <v>0</v>
      </c>
      <c r="R759" s="12">
        <f>+Tabla1[[#This Row],[COSTO TOTAL ALOJAMIENTO]]+Tabla1[[#This Row],[COSTO TOTAL COCHE]]</f>
        <v>0</v>
      </c>
      <c r="S759" s="2"/>
      <c r="T759" s="2" t="s">
        <v>35</v>
      </c>
      <c r="U759" s="14">
        <v>45473</v>
      </c>
      <c r="V759" s="14"/>
      <c r="W759" s="26"/>
      <c r="X759" s="2">
        <v>29</v>
      </c>
      <c r="Y759" t="s">
        <v>1976</v>
      </c>
      <c r="Z759" s="2" t="s">
        <v>36</v>
      </c>
      <c r="AA759" s="13" t="s">
        <v>10349</v>
      </c>
      <c r="AB759" s="13" t="s">
        <v>10350</v>
      </c>
    </row>
    <row r="760" spans="1:28" ht="15" customHeight="1">
      <c r="A760" s="2" t="s">
        <v>9092</v>
      </c>
      <c r="B760" s="2" t="s">
        <v>28</v>
      </c>
      <c r="C760" s="11" t="s">
        <v>1977</v>
      </c>
      <c r="D760" s="2" t="s">
        <v>99</v>
      </c>
      <c r="E760" s="10" t="s">
        <v>61</v>
      </c>
      <c r="F760" s="11" t="s">
        <v>62</v>
      </c>
      <c r="G760" s="11" t="s">
        <v>63</v>
      </c>
      <c r="H760" s="2" t="s">
        <v>1948</v>
      </c>
      <c r="I760" s="10" t="s">
        <v>1940</v>
      </c>
      <c r="J760" s="41">
        <f>+Tabla1[[#This Row],[FECHA ENTRADA]]</f>
        <v>45747</v>
      </c>
      <c r="K760" s="22">
        <v>45759</v>
      </c>
      <c r="L760" s="42">
        <f>_xlfn.DAYS(Tabla1[[#This Row],[FECHA FIN ]],Tabla1[[#This Row],[FECHA INICIO]])</f>
        <v>12</v>
      </c>
      <c r="M760" s="12"/>
      <c r="N760" s="28"/>
      <c r="O760" s="28">
        <f>(Tabla1[[#This Row],[COSTO FIJO ]]/30)*Tabla1[[#This Row],[TOTAL DIAS PROYECTO]]+(Tabla1[[#This Row],[COSTO TEMPORAL]])</f>
        <v>0</v>
      </c>
      <c r="P760" s="12"/>
      <c r="Q760" s="12">
        <f>+(Tabla1[[#This Row],[COSTO COCHE]]/30)*Tabla1[[#This Row],[TOTAL DIAS PROYECTO]]</f>
        <v>0</v>
      </c>
      <c r="R760" s="12">
        <f>+Tabla1[[#This Row],[COSTO TOTAL ALOJAMIENTO]]+Tabla1[[#This Row],[COSTO TOTAL COCHE]]</f>
        <v>0</v>
      </c>
      <c r="S760" s="2"/>
      <c r="T760" s="2" t="s">
        <v>44</v>
      </c>
      <c r="U760" s="14">
        <v>45747</v>
      </c>
      <c r="V760" s="43">
        <v>45777</v>
      </c>
      <c r="W760" s="26"/>
      <c r="X760" s="2"/>
      <c r="Y760" s="11"/>
      <c r="Z760" s="2" t="s">
        <v>36</v>
      </c>
      <c r="AA760" s="13" t="s">
        <v>10329</v>
      </c>
      <c r="AB760" s="13" t="s">
        <v>10330</v>
      </c>
    </row>
    <row r="761" spans="1:28" ht="15" customHeight="1">
      <c r="A761" s="2" t="s">
        <v>8781</v>
      </c>
      <c r="B761" s="2" t="s">
        <v>368</v>
      </c>
      <c r="C761" s="18" t="s">
        <v>746</v>
      </c>
      <c r="D761" s="2" t="s">
        <v>30</v>
      </c>
      <c r="E761" s="2" t="s">
        <v>422</v>
      </c>
      <c r="F761" s="11" t="s">
        <v>697</v>
      </c>
      <c r="G761" s="11" t="s">
        <v>698</v>
      </c>
      <c r="H761" s="2" t="s">
        <v>1978</v>
      </c>
      <c r="I761" s="12" t="s">
        <v>1435</v>
      </c>
      <c r="J761" s="8">
        <f>+Tabla1[[#This Row],[FECHA ENTRADA]]</f>
        <v>45512</v>
      </c>
      <c r="K761" s="8">
        <v>45534</v>
      </c>
      <c r="L761" s="13">
        <f>_xlfn.DAYS(Tabla1[[#This Row],[FECHA FIN ]],Tabla1[[#This Row],[FECHA INICIO]])</f>
        <v>22</v>
      </c>
      <c r="M761" s="12">
        <f>19+76+38</f>
        <v>133</v>
      </c>
      <c r="N761" s="12">
        <v>276</v>
      </c>
      <c r="O761" s="12">
        <f>(Tabla1[[#This Row],[COSTO FIJO ]]/30)*Tabla1[[#This Row],[TOTAL DIAS PROYECTO]]+(Tabla1[[#This Row],[COSTO TEMPORAL]])</f>
        <v>335.4</v>
      </c>
      <c r="P761" s="12"/>
      <c r="Q761" s="12">
        <f>+(Tabla1[[#This Row],[COSTO COCHE]]/30)*Tabla1[[#This Row],[TOTAL DIAS PROYECTO]]</f>
        <v>0</v>
      </c>
      <c r="R761" s="12">
        <f>+Tabla1[[#This Row],[COSTO TOTAL ALOJAMIENTO]]+Tabla1[[#This Row],[COSTO TOTAL COCHE]]</f>
        <v>335.4</v>
      </c>
      <c r="S761" s="2"/>
      <c r="T761" s="2" t="s">
        <v>613</v>
      </c>
      <c r="U761" s="14">
        <v>45512</v>
      </c>
      <c r="V761" s="14"/>
      <c r="W761" s="26"/>
      <c r="X761" s="2">
        <v>1</v>
      </c>
      <c r="Y761" s="18" t="s">
        <v>1979</v>
      </c>
      <c r="Z761" s="2" t="s">
        <v>36</v>
      </c>
      <c r="AA761" s="13">
        <v>-326.69799999999998</v>
      </c>
      <c r="AB761" s="13" t="s">
        <v>10373</v>
      </c>
    </row>
    <row r="762" spans="1:28" ht="15" customHeight="1">
      <c r="A762" s="2" t="s">
        <v>9059</v>
      </c>
      <c r="B762" s="2" t="s">
        <v>368</v>
      </c>
      <c r="C762" s="11" t="s">
        <v>1827</v>
      </c>
      <c r="D762" s="2" t="s">
        <v>30</v>
      </c>
      <c r="E762" s="2" t="s">
        <v>109</v>
      </c>
      <c r="F762" s="11" t="s">
        <v>1980</v>
      </c>
      <c r="G762" s="68" t="s">
        <v>1981</v>
      </c>
      <c r="H762" s="2" t="s">
        <v>1829</v>
      </c>
      <c r="I762" s="12" t="s">
        <v>1830</v>
      </c>
      <c r="J762" s="41">
        <f>+Tabla1[[#This Row],[FECHA ENTRADA]]</f>
        <v>45686</v>
      </c>
      <c r="K762" s="8">
        <v>45698</v>
      </c>
      <c r="L762" s="42">
        <f>_xlfn.DAYS(Tabla1[[#This Row],[FECHA FIN ]],Tabla1[[#This Row],[FECHA INICIO]])</f>
        <v>12</v>
      </c>
      <c r="M762" s="12"/>
      <c r="N762" s="12"/>
      <c r="O762" s="28">
        <f>(Tabla1[[#This Row],[COSTO FIJO ]]/30)*Tabla1[[#This Row],[TOTAL DIAS PROYECTO]]+(Tabla1[[#This Row],[COSTO TEMPORAL]])</f>
        <v>0</v>
      </c>
      <c r="P762" s="12"/>
      <c r="Q762" s="12">
        <f>+(Tabla1[[#This Row],[COSTO COCHE]]/30)*Tabla1[[#This Row],[TOTAL DIAS PROYECTO]]</f>
        <v>0</v>
      </c>
      <c r="R762" s="12">
        <f>+Tabla1[[#This Row],[COSTO TOTAL ALOJAMIENTO]]+Tabla1[[#This Row],[COSTO TOTAL COCHE]]</f>
        <v>0</v>
      </c>
      <c r="S762" s="2"/>
      <c r="T762" s="2" t="s">
        <v>44</v>
      </c>
      <c r="U762" s="14">
        <v>45686</v>
      </c>
      <c r="V762" s="43">
        <v>45698</v>
      </c>
      <c r="W762" s="26"/>
      <c r="X762" s="2"/>
      <c r="Y762" s="11" t="s">
        <v>1982</v>
      </c>
      <c r="Z762" s="2" t="s">
        <v>36</v>
      </c>
      <c r="AA762" s="13">
        <v>0.62217999999999996</v>
      </c>
      <c r="AB762" s="13" t="s">
        <v>10339</v>
      </c>
    </row>
    <row r="763" spans="1:28" ht="15" customHeight="1">
      <c r="A763" s="2" t="s">
        <v>8882</v>
      </c>
      <c r="B763" s="2" t="s">
        <v>368</v>
      </c>
      <c r="C763" s="11" t="s">
        <v>1151</v>
      </c>
      <c r="D763" s="2" t="s">
        <v>30</v>
      </c>
      <c r="E763" s="2" t="s">
        <v>109</v>
      </c>
      <c r="F763" s="11" t="s">
        <v>1980</v>
      </c>
      <c r="G763" s="68" t="s">
        <v>1981</v>
      </c>
      <c r="H763" s="2" t="s">
        <v>1829</v>
      </c>
      <c r="I763" s="12" t="s">
        <v>1830</v>
      </c>
      <c r="J763" s="41">
        <f>+Tabla1[[#This Row],[FECHA ENTRADA]]</f>
        <v>45686</v>
      </c>
      <c r="K763" s="8">
        <v>45698</v>
      </c>
      <c r="L763" s="42">
        <f>_xlfn.DAYS(Tabla1[[#This Row],[FECHA FIN ]],Tabla1[[#This Row],[FECHA INICIO]])</f>
        <v>12</v>
      </c>
      <c r="M763" s="28"/>
      <c r="N763" s="20"/>
      <c r="O763" s="28">
        <f>(Tabla1[[#This Row],[COSTO FIJO ]]/30)*Tabla1[[#This Row],[TOTAL DIAS PROYECTO]]+(Tabla1[[#This Row],[COSTO TEMPORAL]])</f>
        <v>0</v>
      </c>
      <c r="P763" s="12"/>
      <c r="Q763" s="12">
        <f>+(Tabla1[[#This Row],[COSTO COCHE]]/30)*Tabla1[[#This Row],[TOTAL DIAS PROYECTO]]</f>
        <v>0</v>
      </c>
      <c r="R763" s="12">
        <f>+Tabla1[[#This Row],[COSTO TOTAL ALOJAMIENTO]]+Tabla1[[#This Row],[COSTO TOTAL COCHE]]</f>
        <v>0</v>
      </c>
      <c r="S763" s="2"/>
      <c r="T763" s="2" t="s">
        <v>44</v>
      </c>
      <c r="U763" s="14">
        <v>45686</v>
      </c>
      <c r="V763" s="43">
        <v>45698</v>
      </c>
      <c r="W763" s="26"/>
      <c r="X763" s="2"/>
      <c r="Y763" s="11" t="s">
        <v>1982</v>
      </c>
      <c r="Z763" s="2" t="s">
        <v>36</v>
      </c>
      <c r="AA763" s="13">
        <v>0.62217999999999996</v>
      </c>
      <c r="AB763" s="13" t="s">
        <v>10339</v>
      </c>
    </row>
    <row r="764" spans="1:28" ht="15" customHeight="1">
      <c r="A764" s="2" t="s">
        <v>8851</v>
      </c>
      <c r="B764" s="30" t="s">
        <v>368</v>
      </c>
      <c r="C764" s="18" t="s">
        <v>1017</v>
      </c>
      <c r="D764" s="2" t="s">
        <v>30</v>
      </c>
      <c r="E764" s="2" t="s">
        <v>422</v>
      </c>
      <c r="F764" s="11" t="s">
        <v>1983</v>
      </c>
      <c r="G764" s="11" t="s">
        <v>698</v>
      </c>
      <c r="H764" s="2" t="s">
        <v>1978</v>
      </c>
      <c r="I764" s="12" t="s">
        <v>1435</v>
      </c>
      <c r="J764" s="8">
        <f>+Tabla1[[#This Row],[FECHA ENTRADA]]</f>
        <v>45512</v>
      </c>
      <c r="K764" s="8">
        <v>45547</v>
      </c>
      <c r="L764" s="13">
        <f>_xlfn.DAYS(Tabla1[[#This Row],[FECHA FIN ]],Tabla1[[#This Row],[FECHA INICIO]])</f>
        <v>35</v>
      </c>
      <c r="M764" s="12">
        <v>417.45</v>
      </c>
      <c r="N764" s="12"/>
      <c r="O764" s="12">
        <f>(Tabla1[[#This Row],[COSTO FIJO ]]/30)*Tabla1[[#This Row],[TOTAL DIAS PROYECTO]]+(Tabla1[[#This Row],[COSTO TEMPORAL]])</f>
        <v>417.45</v>
      </c>
      <c r="P764" s="12"/>
      <c r="Q764" s="12">
        <f>+(Tabla1[[#This Row],[COSTO COCHE]]/30)*Tabla1[[#This Row],[TOTAL DIAS PROYECTO]]</f>
        <v>0</v>
      </c>
      <c r="R764" s="12">
        <f>+Tabla1[[#This Row],[COSTO TOTAL ALOJAMIENTO]]+Tabla1[[#This Row],[COSTO TOTAL COCHE]]</f>
        <v>417.45</v>
      </c>
      <c r="S764" s="2"/>
      <c r="T764" s="2" t="s">
        <v>613</v>
      </c>
      <c r="U764" s="14">
        <v>45512</v>
      </c>
      <c r="V764" s="14"/>
      <c r="W764" s="26"/>
      <c r="X764" s="2">
        <v>1</v>
      </c>
      <c r="Y764" s="18"/>
      <c r="Z764" s="2" t="s">
        <v>36</v>
      </c>
      <c r="AA764" s="13">
        <v>-326.69799999999998</v>
      </c>
      <c r="AB764" s="13" t="s">
        <v>10373</v>
      </c>
    </row>
    <row r="765" spans="1:28" ht="15" customHeight="1">
      <c r="A765" s="2" t="s">
        <v>9013</v>
      </c>
      <c r="B765" s="2" t="s">
        <v>28</v>
      </c>
      <c r="C765" s="11" t="s">
        <v>1697</v>
      </c>
      <c r="D765" s="2" t="s">
        <v>99</v>
      </c>
      <c r="E765" s="2" t="s">
        <v>253</v>
      </c>
      <c r="F765" s="11" t="s">
        <v>1984</v>
      </c>
      <c r="G765" s="49" t="s">
        <v>1985</v>
      </c>
      <c r="H765" s="2" t="s">
        <v>1820</v>
      </c>
      <c r="I765" s="12" t="s">
        <v>256</v>
      </c>
      <c r="J765" s="41">
        <f>+Tabla1[[#This Row],[FECHA ENTRADA]]</f>
        <v>45737</v>
      </c>
      <c r="K765" s="22">
        <v>45760</v>
      </c>
      <c r="L765" s="42">
        <f>_xlfn.DAYS(Tabla1[[#This Row],[FECHA FIN ]],Tabla1[[#This Row],[FECHA INICIO]])</f>
        <v>23</v>
      </c>
      <c r="M765" s="12">
        <f>499.99/4</f>
        <v>124.9975</v>
      </c>
      <c r="N765" s="28"/>
      <c r="O765" s="28">
        <f>(Tabla1[[#This Row],[COSTO FIJO ]]/30)*Tabla1[[#This Row],[TOTAL DIAS PROYECTO]]+(Tabla1[[#This Row],[COSTO TEMPORAL]])</f>
        <v>124.9975</v>
      </c>
      <c r="P765" s="12"/>
      <c r="Q765" s="12">
        <f>+(Tabla1[[#This Row],[COSTO COCHE]]/30)*Tabla1[[#This Row],[TOTAL DIAS PROYECTO]]</f>
        <v>0</v>
      </c>
      <c r="R765" s="12">
        <f>+Tabla1[[#This Row],[COSTO TOTAL ALOJAMIENTO]]+Tabla1[[#This Row],[COSTO TOTAL COCHE]]</f>
        <v>124.9975</v>
      </c>
      <c r="S765" s="2"/>
      <c r="T765" s="2" t="s">
        <v>528</v>
      </c>
      <c r="U765" s="14">
        <v>45737</v>
      </c>
      <c r="V765" s="43">
        <v>45760</v>
      </c>
      <c r="W765" s="26"/>
      <c r="X765" s="2"/>
      <c r="Y765" s="11"/>
      <c r="Z765" s="2" t="s">
        <v>36</v>
      </c>
      <c r="AA765" s="13" t="s">
        <v>10357</v>
      </c>
      <c r="AB765" s="13" t="s">
        <v>10358</v>
      </c>
    </row>
    <row r="766" spans="1:28" ht="15" customHeight="1">
      <c r="A766" s="2" t="s">
        <v>9093</v>
      </c>
      <c r="B766" s="2" t="s">
        <v>368</v>
      </c>
      <c r="C766" s="31" t="s">
        <v>1986</v>
      </c>
      <c r="D766" s="2" t="s">
        <v>99</v>
      </c>
      <c r="E766" s="2" t="s">
        <v>1987</v>
      </c>
      <c r="F766" s="11" t="s">
        <v>1988</v>
      </c>
      <c r="G766" s="21">
        <v>973791012</v>
      </c>
      <c r="H766" s="2" t="s">
        <v>1989</v>
      </c>
      <c r="I766" s="12" t="s">
        <v>42</v>
      </c>
      <c r="J766" s="22">
        <f>+Tabla1[[#This Row],[FECHA ENTRADA]]</f>
        <v>45734</v>
      </c>
      <c r="K766" s="22">
        <v>45760</v>
      </c>
      <c r="L766" s="23">
        <f>_xlfn.DAYS(Tabla1[[#This Row],[FECHA FIN ]],Tabla1[[#This Row],[FECHA INICIO]])</f>
        <v>26</v>
      </c>
      <c r="M766" s="12">
        <f>793.1/5</f>
        <v>158.62</v>
      </c>
      <c r="N766" s="20"/>
      <c r="O766" s="24">
        <f>(Tabla1[[#This Row],[COSTO FIJO ]]/30)*Tabla1[[#This Row],[TOTAL DIAS PROYECTO]]+(Tabla1[[#This Row],[COSTO TEMPORAL]])</f>
        <v>158.62</v>
      </c>
      <c r="P766" s="12">
        <v>100</v>
      </c>
      <c r="Q766" s="12">
        <f>+(Tabla1[[#This Row],[COSTO COCHE]]/30)*Tabla1[[#This Row],[TOTAL DIAS PROYECTO]]</f>
        <v>86.666666666666671</v>
      </c>
      <c r="R766" s="12">
        <f>+Tabla1[[#This Row],[COSTO TOTAL ALOJAMIENTO]]+Tabla1[[#This Row],[COSTO TOTAL COCHE]]</f>
        <v>245.28666666666669</v>
      </c>
      <c r="S766" s="2"/>
      <c r="T766" s="2" t="s">
        <v>44</v>
      </c>
      <c r="U766" s="14">
        <v>45734</v>
      </c>
      <c r="V766" s="79">
        <v>45760</v>
      </c>
      <c r="W766" s="26"/>
      <c r="X766" s="2"/>
      <c r="Y766" s="11"/>
      <c r="Z766" s="2" t="s">
        <v>36</v>
      </c>
      <c r="AA766" s="13" t="s">
        <v>10435</v>
      </c>
      <c r="AB766" s="13">
        <v>42.136150000000001</v>
      </c>
    </row>
    <row r="767" spans="1:28" ht="15" customHeight="1">
      <c r="A767" s="2" t="s">
        <v>8692</v>
      </c>
      <c r="B767" s="2" t="s">
        <v>368</v>
      </c>
      <c r="C767" s="11" t="s">
        <v>309</v>
      </c>
      <c r="D767" s="2" t="s">
        <v>30</v>
      </c>
      <c r="E767" s="2" t="s">
        <v>1987</v>
      </c>
      <c r="F767" s="11" t="s">
        <v>1988</v>
      </c>
      <c r="G767" s="21">
        <v>973791012</v>
      </c>
      <c r="H767" s="2" t="s">
        <v>1990</v>
      </c>
      <c r="I767" s="12" t="s">
        <v>42</v>
      </c>
      <c r="J767" s="41">
        <f>+Tabla1[[#This Row],[FECHA ENTRADA]]</f>
        <v>45734</v>
      </c>
      <c r="K767" s="41">
        <v>45760</v>
      </c>
      <c r="L767" s="42">
        <f>_xlfn.DAYS(Tabla1[[#This Row],[FECHA FIN ]],Tabla1[[#This Row],[FECHA INICIO]])</f>
        <v>26</v>
      </c>
      <c r="M767" s="12"/>
      <c r="N767" s="12">
        <f>793.1/5</f>
        <v>158.62</v>
      </c>
      <c r="O767" s="28">
        <f>(Tabla1[[#This Row],[COSTO FIJO ]]/30)*Tabla1[[#This Row],[TOTAL DIAS PROYECTO]]+(Tabla1[[#This Row],[COSTO TEMPORAL]])</f>
        <v>137.47066666666669</v>
      </c>
      <c r="P767" s="12">
        <v>100</v>
      </c>
      <c r="Q767" s="12">
        <f>+(Tabla1[[#This Row],[COSTO COCHE]]/30)*Tabla1[[#This Row],[TOTAL DIAS PROYECTO]]</f>
        <v>86.666666666666671</v>
      </c>
      <c r="R767" s="12">
        <f>+Tabla1[[#This Row],[COSTO TOTAL ALOJAMIENTO]]+Tabla1[[#This Row],[COSTO TOTAL COCHE]]</f>
        <v>224.13733333333334</v>
      </c>
      <c r="S767" s="2"/>
      <c r="T767" s="2" t="s">
        <v>528</v>
      </c>
      <c r="U767" s="14">
        <v>45734</v>
      </c>
      <c r="V767" s="79">
        <v>45760</v>
      </c>
      <c r="W767" s="26"/>
      <c r="X767" s="2"/>
      <c r="Y767" s="11"/>
      <c r="Z767" s="2" t="s">
        <v>36</v>
      </c>
      <c r="AA767" s="13" t="s">
        <v>10435</v>
      </c>
      <c r="AB767" s="13">
        <v>42.136150000000001</v>
      </c>
    </row>
    <row r="768" spans="1:28" ht="15" customHeight="1">
      <c r="A768" s="2" t="s">
        <v>8897</v>
      </c>
      <c r="B768" s="2" t="s">
        <v>368</v>
      </c>
      <c r="C768" s="18" t="s">
        <v>1195</v>
      </c>
      <c r="D768" s="2" t="s">
        <v>30</v>
      </c>
      <c r="E768" s="2" t="s">
        <v>422</v>
      </c>
      <c r="F768" s="11" t="s">
        <v>697</v>
      </c>
      <c r="G768" s="11" t="s">
        <v>698</v>
      </c>
      <c r="H768" s="2" t="s">
        <v>1978</v>
      </c>
      <c r="I768" s="12" t="s">
        <v>1435</v>
      </c>
      <c r="J768" s="8">
        <f>+Tabla1[[#This Row],[FECHA ENTRADA]]</f>
        <v>45512</v>
      </c>
      <c r="K768" s="8">
        <v>45625</v>
      </c>
      <c r="L768" s="13">
        <f>_xlfn.DAYS(Tabla1[[#This Row],[FECHA FIN ]],Tabla1[[#This Row],[FECHA INICIO]])</f>
        <v>113</v>
      </c>
      <c r="M768" s="12"/>
      <c r="N768" s="12"/>
      <c r="O768" s="12">
        <f>(Tabla1[[#This Row],[COSTO FIJO ]]/30)*Tabla1[[#This Row],[TOTAL DIAS PROYECTO]]+(Tabla1[[#This Row],[COSTO TEMPORAL]])</f>
        <v>0</v>
      </c>
      <c r="P768" s="12"/>
      <c r="Q768" s="12">
        <f>+(Tabla1[[#This Row],[COSTO COCHE]]/30)*Tabla1[[#This Row],[TOTAL DIAS PROYECTO]]</f>
        <v>0</v>
      </c>
      <c r="R768" s="12">
        <f>+Tabla1[[#This Row],[COSTO TOTAL ALOJAMIENTO]]+Tabla1[[#This Row],[COSTO TOTAL COCHE]]</f>
        <v>0</v>
      </c>
      <c r="S768" s="2"/>
      <c r="T768" s="2" t="s">
        <v>613</v>
      </c>
      <c r="U768" s="14">
        <v>45512</v>
      </c>
      <c r="V768" s="14"/>
      <c r="W768" s="26"/>
      <c r="X768" s="2">
        <v>1</v>
      </c>
      <c r="Y768" s="31" t="s">
        <v>1991</v>
      </c>
      <c r="Z768" s="2" t="s">
        <v>36</v>
      </c>
      <c r="AA768" s="13">
        <v>-326.69799999999998</v>
      </c>
      <c r="AB768" s="13" t="s">
        <v>10373</v>
      </c>
    </row>
    <row r="769" spans="1:28" ht="15" customHeight="1">
      <c r="A769" s="2" t="s">
        <v>9094</v>
      </c>
      <c r="B769" s="2" t="s">
        <v>368</v>
      </c>
      <c r="C769" s="11" t="s">
        <v>1992</v>
      </c>
      <c r="D769" s="2" t="s">
        <v>99</v>
      </c>
      <c r="E769" s="2" t="s">
        <v>734</v>
      </c>
      <c r="F769" s="11" t="s">
        <v>735</v>
      </c>
      <c r="G769" s="67" t="s">
        <v>736</v>
      </c>
      <c r="H769" s="2" t="s">
        <v>1993</v>
      </c>
      <c r="I769" s="10" t="s">
        <v>1994</v>
      </c>
      <c r="J769" s="22">
        <f>+Tabla1[[#This Row],[FECHA ENTRADA]]</f>
        <v>45756</v>
      </c>
      <c r="K769" s="22">
        <v>45761</v>
      </c>
      <c r="L769" s="23">
        <f>_xlfn.DAYS(Tabla1[[#This Row],[FECHA FIN ]],Tabla1[[#This Row],[FECHA INICIO]])</f>
        <v>5</v>
      </c>
      <c r="M769" s="12"/>
      <c r="N769" s="24">
        <v>260</v>
      </c>
      <c r="O769" s="24">
        <f>(Tabla1[[#This Row],[COSTO FIJO ]]/30)*Tabla1[[#This Row],[TOTAL DIAS PROYECTO]]+(Tabla1[[#This Row],[COSTO TEMPORAL]])</f>
        <v>43.333333333333329</v>
      </c>
      <c r="P769" s="12"/>
      <c r="Q769" s="12">
        <f>+(Tabla1[[#This Row],[COSTO COCHE]]/30)*Tabla1[[#This Row],[TOTAL DIAS PROYECTO]]</f>
        <v>0</v>
      </c>
      <c r="R769" s="12">
        <f>+Tabla1[[#This Row],[COSTO TOTAL ALOJAMIENTO]]+Tabla1[[#This Row],[COSTO TOTAL COCHE]]</f>
        <v>43.333333333333329</v>
      </c>
      <c r="S769" s="2"/>
      <c r="T769" s="2" t="s">
        <v>35</v>
      </c>
      <c r="U769" s="14">
        <v>45756</v>
      </c>
      <c r="V769" s="25"/>
      <c r="W769" s="26"/>
      <c r="X769" s="2">
        <v>1</v>
      </c>
      <c r="Y769" s="11" t="s">
        <v>1995</v>
      </c>
      <c r="Z769" s="2" t="s">
        <v>36</v>
      </c>
      <c r="AA769" s="13" t="s">
        <v>10396</v>
      </c>
      <c r="AB769" s="13" t="s">
        <v>10397</v>
      </c>
    </row>
    <row r="770" spans="1:28" ht="15" customHeight="1">
      <c r="A770" s="2" t="s">
        <v>8933</v>
      </c>
      <c r="B770" s="2" t="s">
        <v>368</v>
      </c>
      <c r="C770" s="18" t="s">
        <v>1339</v>
      </c>
      <c r="D770" s="2" t="s">
        <v>30</v>
      </c>
      <c r="E770" s="2" t="s">
        <v>422</v>
      </c>
      <c r="F770" s="11" t="s">
        <v>697</v>
      </c>
      <c r="G770" s="11" t="s">
        <v>698</v>
      </c>
      <c r="H770" s="2" t="s">
        <v>1978</v>
      </c>
      <c r="I770" s="12" t="s">
        <v>1435</v>
      </c>
      <c r="J770" s="8">
        <f>+Tabla1[[#This Row],[FECHA ENTRADA]]</f>
        <v>45512</v>
      </c>
      <c r="K770" s="8">
        <v>45625</v>
      </c>
      <c r="L770" s="13">
        <f>_xlfn.DAYS(Tabla1[[#This Row],[FECHA FIN ]],Tabla1[[#This Row],[FECHA INICIO]])</f>
        <v>113</v>
      </c>
      <c r="M770" s="12"/>
      <c r="N770" s="12">
        <v>276</v>
      </c>
      <c r="O770" s="12">
        <f>(Tabla1[[#This Row],[COSTO FIJO ]]/30)*Tabla1[[#This Row],[TOTAL DIAS PROYECTO]]+(Tabla1[[#This Row],[COSTO TEMPORAL]])</f>
        <v>1039.5999999999999</v>
      </c>
      <c r="P770" s="12"/>
      <c r="Q770" s="12">
        <f>+(Tabla1[[#This Row],[COSTO COCHE]]/30)*Tabla1[[#This Row],[TOTAL DIAS PROYECTO]]</f>
        <v>0</v>
      </c>
      <c r="R770" s="12">
        <f>+Tabla1[[#This Row],[COSTO TOTAL ALOJAMIENTO]]+Tabla1[[#This Row],[COSTO TOTAL COCHE]]</f>
        <v>1039.5999999999999</v>
      </c>
      <c r="S770" s="2"/>
      <c r="T770" s="2" t="s">
        <v>613</v>
      </c>
      <c r="U770" s="14">
        <v>45512</v>
      </c>
      <c r="V770" s="14"/>
      <c r="W770" s="26">
        <v>2760</v>
      </c>
      <c r="X770" s="2">
        <v>1</v>
      </c>
      <c r="Y770" s="31" t="s">
        <v>1991</v>
      </c>
      <c r="Z770" s="2" t="s">
        <v>36</v>
      </c>
      <c r="AA770" s="13">
        <v>-326.69799999999998</v>
      </c>
      <c r="AB770" s="13" t="s">
        <v>10373</v>
      </c>
    </row>
    <row r="771" spans="1:28" ht="15" customHeight="1">
      <c r="A771" s="2" t="s">
        <v>8887</v>
      </c>
      <c r="B771" s="2" t="s">
        <v>28</v>
      </c>
      <c r="C771" s="49" t="s">
        <v>1169</v>
      </c>
      <c r="D771" s="2" t="s">
        <v>30</v>
      </c>
      <c r="E771" s="2" t="s">
        <v>599</v>
      </c>
      <c r="F771" s="11" t="s">
        <v>1949</v>
      </c>
      <c r="G771" s="46" t="s">
        <v>1950</v>
      </c>
      <c r="H771" s="2" t="s">
        <v>1396</v>
      </c>
      <c r="I771" s="12" t="s">
        <v>1067</v>
      </c>
      <c r="J771" s="41">
        <f>+Tabla1[[#This Row],[FECHA ENTRADA]]</f>
        <v>45737</v>
      </c>
      <c r="K771" s="41">
        <v>45761</v>
      </c>
      <c r="L771" s="42">
        <f>_xlfn.DAYS(Tabla1[[#This Row],[FECHA FIN ]],Tabla1[[#This Row],[FECHA INICIO]])</f>
        <v>24</v>
      </c>
      <c r="M771" s="12"/>
      <c r="N771" s="28">
        <v>550</v>
      </c>
      <c r="O771" s="28">
        <f>(Tabla1[[#This Row],[COSTO FIJO ]]/30)*Tabla1[[#This Row],[TOTAL DIAS PROYECTO]]+(Tabla1[[#This Row],[COSTO TEMPORAL]])</f>
        <v>440</v>
      </c>
      <c r="P771" s="12">
        <v>133.33333333333334</v>
      </c>
      <c r="Q771" s="12">
        <f>+(Tabla1[[#This Row],[COSTO COCHE]]/30)*Tabla1[[#This Row],[TOTAL DIAS PROYECTO]]</f>
        <v>106.66666666666667</v>
      </c>
      <c r="R771" s="12">
        <f>+Tabla1[[#This Row],[COSTO TOTAL ALOJAMIENTO]]+Tabla1[[#This Row],[COSTO TOTAL COCHE]]</f>
        <v>546.66666666666663</v>
      </c>
      <c r="S771" s="2"/>
      <c r="T771" s="2" t="s">
        <v>44</v>
      </c>
      <c r="U771" s="14">
        <v>45737</v>
      </c>
      <c r="V771" s="43">
        <v>45761</v>
      </c>
      <c r="W771" s="26"/>
      <c r="X771" s="2">
        <v>18</v>
      </c>
      <c r="Y771" s="11" t="s">
        <v>1996</v>
      </c>
      <c r="Z771" s="2" t="s">
        <v>36</v>
      </c>
      <c r="AA771" s="13" t="s">
        <v>10382</v>
      </c>
      <c r="AB771" s="13">
        <v>4038884</v>
      </c>
    </row>
    <row r="772" spans="1:28" ht="15" customHeight="1">
      <c r="A772" s="2" t="s">
        <v>8888</v>
      </c>
      <c r="B772" s="2" t="s">
        <v>368</v>
      </c>
      <c r="C772" s="31" t="s">
        <v>1170</v>
      </c>
      <c r="D772" s="2" t="s">
        <v>30</v>
      </c>
      <c r="E772" s="2" t="s">
        <v>1443</v>
      </c>
      <c r="F772" s="11" t="s">
        <v>1997</v>
      </c>
      <c r="G772" s="147" t="s">
        <v>1998</v>
      </c>
      <c r="H772" s="2" t="s">
        <v>1999</v>
      </c>
      <c r="I772" s="12" t="s">
        <v>1392</v>
      </c>
      <c r="J772" s="22">
        <f>+Tabla1[[#This Row],[FECHA ENTRADA]]</f>
        <v>45746</v>
      </c>
      <c r="K772" s="22">
        <v>45761</v>
      </c>
      <c r="L772" s="23">
        <f>_xlfn.DAYS(Tabla1[[#This Row],[FECHA FIN ]],Tabla1[[#This Row],[FECHA INICIO]])</f>
        <v>15</v>
      </c>
      <c r="M772" s="12"/>
      <c r="N772" s="24">
        <v>462.18</v>
      </c>
      <c r="O772" s="24">
        <f>(Tabla1[[#This Row],[COSTO FIJO ]]/30)*Tabla1[[#This Row],[TOTAL DIAS PROYECTO]]+(Tabla1[[#This Row],[COSTO TEMPORAL]])</f>
        <v>231.09</v>
      </c>
      <c r="P772" s="12"/>
      <c r="Q772" s="12">
        <f>+(Tabla1[[#This Row],[COSTO COCHE]]/30)*Tabla1[[#This Row],[TOTAL DIAS PROYECTO]]</f>
        <v>0</v>
      </c>
      <c r="R772" s="12">
        <f>+Tabla1[[#This Row],[COSTO TOTAL ALOJAMIENTO]]+Tabla1[[#This Row],[COSTO TOTAL COCHE]]</f>
        <v>231.09</v>
      </c>
      <c r="S772" s="2" t="s">
        <v>2000</v>
      </c>
      <c r="T772" s="2" t="s">
        <v>44</v>
      </c>
      <c r="U772" s="14">
        <v>45746</v>
      </c>
      <c r="V772" s="25">
        <v>45761</v>
      </c>
      <c r="W772" s="26"/>
      <c r="X772" s="2"/>
      <c r="Y772" t="s">
        <v>2001</v>
      </c>
      <c r="Z772" s="2" t="s">
        <v>36</v>
      </c>
      <c r="AA772" s="13" t="s">
        <v>10420</v>
      </c>
      <c r="AB772" s="13">
        <v>3907741</v>
      </c>
    </row>
    <row r="773" spans="1:28" ht="15" customHeight="1">
      <c r="A773" s="2" t="s">
        <v>9010</v>
      </c>
      <c r="B773" s="2" t="s">
        <v>28</v>
      </c>
      <c r="C773" s="11" t="s">
        <v>1687</v>
      </c>
      <c r="D773" s="2" t="s">
        <v>30</v>
      </c>
      <c r="E773" s="2" t="s">
        <v>253</v>
      </c>
      <c r="F773" s="11" t="s">
        <v>1528</v>
      </c>
      <c r="G773" s="49" t="s">
        <v>1529</v>
      </c>
      <c r="H773" s="2" t="s">
        <v>1690</v>
      </c>
      <c r="I773" s="12" t="s">
        <v>1232</v>
      </c>
      <c r="J773" s="8">
        <f>+Tabla1[[#This Row],[FECHA ENTRADA]]</f>
        <v>45719</v>
      </c>
      <c r="K773" s="8">
        <v>45761</v>
      </c>
      <c r="L773" s="13">
        <f>_xlfn.DAYS(Tabla1[[#This Row],[FECHA FIN ]],Tabla1[[#This Row],[FECHA INICIO]])</f>
        <v>42</v>
      </c>
      <c r="M773" s="12">
        <v>480</v>
      </c>
      <c r="N773" s="28"/>
      <c r="O773" s="12">
        <f>(Tabla1[[#This Row],[COSTO FIJO ]]/30)*Tabla1[[#This Row],[TOTAL DIAS PROYECTO]]+(Tabla1[[#This Row],[COSTO TEMPORAL]])</f>
        <v>480</v>
      </c>
      <c r="P773" s="12"/>
      <c r="Q773" s="12">
        <f>+(Tabla1[[#This Row],[COSTO COCHE]]/30)*Tabla1[[#This Row],[TOTAL DIAS PROYECTO]]</f>
        <v>0</v>
      </c>
      <c r="R773" s="12">
        <f>+Tabla1[[#This Row],[COSTO TOTAL ALOJAMIENTO]]+Tabla1[[#This Row],[COSTO TOTAL COCHE]]</f>
        <v>480</v>
      </c>
      <c r="S773" s="2"/>
      <c r="T773" s="2" t="s">
        <v>44</v>
      </c>
      <c r="U773" s="14">
        <v>45719</v>
      </c>
      <c r="V773" s="14">
        <v>45761</v>
      </c>
      <c r="W773" s="26"/>
      <c r="X773" s="2">
        <v>12</v>
      </c>
      <c r="Y773" s="11" t="s">
        <v>2002</v>
      </c>
      <c r="Z773" s="2" t="s">
        <v>36</v>
      </c>
      <c r="AA773" s="13" t="s">
        <v>10357</v>
      </c>
      <c r="AB773" s="13" t="s">
        <v>10358</v>
      </c>
    </row>
    <row r="774" spans="1:28" ht="15" customHeight="1">
      <c r="A774" s="2" t="s">
        <v>8889</v>
      </c>
      <c r="B774" s="2" t="s">
        <v>28</v>
      </c>
      <c r="C774" s="11" t="s">
        <v>1171</v>
      </c>
      <c r="D774" s="2" t="s">
        <v>30</v>
      </c>
      <c r="E774" s="2" t="s">
        <v>599</v>
      </c>
      <c r="F774" s="11" t="s">
        <v>1949</v>
      </c>
      <c r="G774" s="46" t="s">
        <v>1950</v>
      </c>
      <c r="H774" s="2" t="s">
        <v>1396</v>
      </c>
      <c r="I774" s="12" t="s">
        <v>1067</v>
      </c>
      <c r="J774" s="41">
        <f>+Tabla1[[#This Row],[FECHA ENTRADA]]</f>
        <v>45737</v>
      </c>
      <c r="K774" s="41">
        <v>45761</v>
      </c>
      <c r="L774" s="42">
        <f>_xlfn.DAYS(Tabla1[[#This Row],[FECHA FIN ]],Tabla1[[#This Row],[FECHA INICIO]])</f>
        <v>24</v>
      </c>
      <c r="M774" s="12"/>
      <c r="N774" s="28">
        <v>550</v>
      </c>
      <c r="O774" s="28">
        <f>(Tabla1[[#This Row],[COSTO FIJO ]]/30)*Tabla1[[#This Row],[TOTAL DIAS PROYECTO]]+(Tabla1[[#This Row],[COSTO TEMPORAL]])</f>
        <v>440</v>
      </c>
      <c r="P774" s="12">
        <v>133.33333333333334</v>
      </c>
      <c r="Q774" s="12">
        <f>+(Tabla1[[#This Row],[COSTO COCHE]]/30)*Tabla1[[#This Row],[TOTAL DIAS PROYECTO]]</f>
        <v>106.66666666666667</v>
      </c>
      <c r="R774" s="12">
        <f>+Tabla1[[#This Row],[COSTO TOTAL ALOJAMIENTO]]+Tabla1[[#This Row],[COSTO TOTAL COCHE]]</f>
        <v>546.66666666666663</v>
      </c>
      <c r="S774" s="2"/>
      <c r="T774" s="2" t="s">
        <v>44</v>
      </c>
      <c r="U774" s="14">
        <v>45737</v>
      </c>
      <c r="V774" s="43">
        <v>45761</v>
      </c>
      <c r="W774" s="26"/>
      <c r="X774" s="2">
        <v>18</v>
      </c>
      <c r="Y774" s="11" t="s">
        <v>2003</v>
      </c>
      <c r="Z774" s="2" t="s">
        <v>36</v>
      </c>
      <c r="AA774" s="13" t="s">
        <v>10382</v>
      </c>
      <c r="AB774" s="13">
        <v>4038884</v>
      </c>
    </row>
    <row r="775" spans="1:28" ht="15" customHeight="1">
      <c r="A775" s="2" t="s">
        <v>8867</v>
      </c>
      <c r="B775" s="2" t="s">
        <v>368</v>
      </c>
      <c r="C775" s="11" t="s">
        <v>1080</v>
      </c>
      <c r="D775" s="2" t="s">
        <v>30</v>
      </c>
      <c r="E775" s="2" t="s">
        <v>648</v>
      </c>
      <c r="F775" s="11" t="s">
        <v>1698</v>
      </c>
      <c r="G775" s="46" t="s">
        <v>1699</v>
      </c>
      <c r="H775" s="2" t="s">
        <v>2004</v>
      </c>
      <c r="I775" s="12" t="s">
        <v>42</v>
      </c>
      <c r="J775" s="41">
        <f>+Tabla1[[#This Row],[FECHA ENTRADA]]</f>
        <v>45678</v>
      </c>
      <c r="K775" s="8">
        <v>45761</v>
      </c>
      <c r="L775" s="42">
        <f>_xlfn.DAYS(Tabla1[[#This Row],[FECHA FIN ]],Tabla1[[#This Row],[FECHA INICIO]])</f>
        <v>83</v>
      </c>
      <c r="M775" s="12">
        <v>375</v>
      </c>
      <c r="N775" s="24"/>
      <c r="O775" s="28">
        <f>(Tabla1[[#This Row],[COSTO FIJO ]]/30)*Tabla1[[#This Row],[TOTAL DIAS PROYECTO]]+(Tabla1[[#This Row],[COSTO TEMPORAL]])</f>
        <v>375</v>
      </c>
      <c r="P775" s="12"/>
      <c r="Q775" s="12">
        <f>+(Tabla1[[#This Row],[COSTO COCHE]]/30)*Tabla1[[#This Row],[TOTAL DIAS PROYECTO]]</f>
        <v>0</v>
      </c>
      <c r="R775" s="12">
        <f>+Tabla1[[#This Row],[COSTO TOTAL ALOJAMIENTO]]+Tabla1[[#This Row],[COSTO TOTAL COCHE]]</f>
        <v>375</v>
      </c>
      <c r="S775" s="2" t="s">
        <v>84</v>
      </c>
      <c r="T775" s="2" t="s">
        <v>44</v>
      </c>
      <c r="U775" s="14">
        <v>45678</v>
      </c>
      <c r="V775" s="43">
        <v>45772</v>
      </c>
      <c r="W775" s="26"/>
      <c r="X775" s="2">
        <v>23</v>
      </c>
      <c r="Y775" s="11"/>
      <c r="Z775" s="2" t="s">
        <v>36</v>
      </c>
      <c r="AA775" s="13" t="s">
        <v>10387</v>
      </c>
      <c r="AB775" s="13" t="s">
        <v>10388</v>
      </c>
    </row>
    <row r="776" spans="1:28">
      <c r="A776" s="2" t="s">
        <v>9079</v>
      </c>
      <c r="B776" s="2" t="s">
        <v>28</v>
      </c>
      <c r="C776" s="11" t="s">
        <v>1922</v>
      </c>
      <c r="D776" s="2" t="s">
        <v>161</v>
      </c>
      <c r="E776" s="2" t="s">
        <v>1748</v>
      </c>
      <c r="F776" s="11"/>
      <c r="G776" s="21"/>
      <c r="H776" s="2" t="s">
        <v>1749</v>
      </c>
      <c r="I776" t="s">
        <v>1750</v>
      </c>
      <c r="J776" s="22">
        <f>+Tabla1[[#This Row],[FECHA ENTRADA]]</f>
        <v>45712</v>
      </c>
      <c r="K776" s="8">
        <v>45761</v>
      </c>
      <c r="L776" s="23">
        <f>_xlfn.DAYS(Tabla1[[#This Row],[FECHA FIN ]],Tabla1[[#This Row],[FECHA INICIO]])</f>
        <v>49</v>
      </c>
      <c r="M776" s="12"/>
      <c r="N776" s="12"/>
      <c r="O776" s="24">
        <f>(Tabla1[[#This Row],[COSTO FIJO ]]/30)*Tabla1[[#This Row],[TOTAL DIAS PROYECTO]]+(Tabla1[[#This Row],[COSTO TEMPORAL]])</f>
        <v>0</v>
      </c>
      <c r="P776" s="12"/>
      <c r="Q776" s="12">
        <f>+(Tabla1[[#This Row],[COSTO COCHE]]/30)*Tabla1[[#This Row],[TOTAL DIAS PROYECTO]]</f>
        <v>0</v>
      </c>
      <c r="R776" s="12">
        <f>+Tabla1[[#This Row],[COSTO TOTAL ALOJAMIENTO]]+Tabla1[[#This Row],[COSTO TOTAL COCHE]]</f>
        <v>0</v>
      </c>
      <c r="S776" s="2"/>
      <c r="T776" s="2" t="s">
        <v>58</v>
      </c>
      <c r="U776" s="14">
        <v>45712</v>
      </c>
      <c r="V776" s="25"/>
      <c r="W776" s="26"/>
      <c r="X776" s="2"/>
      <c r="Y776" s="11"/>
      <c r="Z776" s="2" t="s">
        <v>36</v>
      </c>
      <c r="AA776" s="13" t="s">
        <v>10428</v>
      </c>
      <c r="AB776" s="13" t="s">
        <v>10429</v>
      </c>
    </row>
    <row r="777" spans="1:28" ht="15" customHeight="1">
      <c r="A777" s="2" t="s">
        <v>8924</v>
      </c>
      <c r="B777" s="2" t="s">
        <v>368</v>
      </c>
      <c r="C777" s="11" t="s">
        <v>1302</v>
      </c>
      <c r="D777" s="2" t="s">
        <v>99</v>
      </c>
      <c r="E777" s="2" t="s">
        <v>151</v>
      </c>
      <c r="F777" s="11" t="s">
        <v>1499</v>
      </c>
      <c r="G777" s="49" t="s">
        <v>1500</v>
      </c>
      <c r="H777" s="2" t="s">
        <v>2005</v>
      </c>
      <c r="I777" s="10" t="s">
        <v>1994</v>
      </c>
      <c r="J777" s="22">
        <f>+Tabla1[[#This Row],[FECHA ENTRADA]]</f>
        <v>45741</v>
      </c>
      <c r="K777" s="8">
        <v>45761</v>
      </c>
      <c r="L777" s="23">
        <f>_xlfn.DAYS(Tabla1[[#This Row],[FECHA FIN ]],Tabla1[[#This Row],[FECHA INICIO]])</f>
        <v>20</v>
      </c>
      <c r="M777" s="12"/>
      <c r="N777" s="12"/>
      <c r="O777" s="24">
        <f>(Tabla1[[#This Row],[COSTO FIJO ]]/30)*Tabla1[[#This Row],[TOTAL DIAS PROYECTO]]+(Tabla1[[#This Row],[COSTO TEMPORAL]])</f>
        <v>0</v>
      </c>
      <c r="P777" s="12">
        <f>613.47/4</f>
        <v>153.36750000000001</v>
      </c>
      <c r="Q777" s="12">
        <f>+(Tabla1[[#This Row],[COSTO COCHE]]/30)*Tabla1[[#This Row],[TOTAL DIAS PROYECTO]]</f>
        <v>102.245</v>
      </c>
      <c r="R777" s="12">
        <f>+Tabla1[[#This Row],[COSTO TOTAL ALOJAMIENTO]]+Tabla1[[#This Row],[COSTO TOTAL COCHE]]</f>
        <v>102.245</v>
      </c>
      <c r="S777" s="2"/>
      <c r="T777" s="2" t="s">
        <v>35</v>
      </c>
      <c r="U777" s="14">
        <v>45741</v>
      </c>
      <c r="V777" s="25"/>
      <c r="W777" s="26"/>
      <c r="X777" s="2">
        <v>23</v>
      </c>
      <c r="Y777" s="11" t="s">
        <v>1995</v>
      </c>
      <c r="Z777" s="2" t="s">
        <v>36</v>
      </c>
      <c r="AA777" s="13" t="s">
        <v>10345</v>
      </c>
      <c r="AB777" s="13" t="s">
        <v>10346</v>
      </c>
    </row>
    <row r="778" spans="1:28" ht="15" customHeight="1">
      <c r="A778" s="2" t="s">
        <v>8657</v>
      </c>
      <c r="B778" s="2" t="s">
        <v>28</v>
      </c>
      <c r="C778" s="99" t="s">
        <v>154</v>
      </c>
      <c r="D778" s="2" t="s">
        <v>30</v>
      </c>
      <c r="E778" s="2" t="s">
        <v>415</v>
      </c>
      <c r="F778" s="11" t="s">
        <v>487</v>
      </c>
      <c r="G778" s="11" t="s">
        <v>488</v>
      </c>
      <c r="H778" s="2" t="s">
        <v>642</v>
      </c>
      <c r="I778" s="12" t="s">
        <v>419</v>
      </c>
      <c r="J778" s="8">
        <f>+Tabla1[[#This Row],[FECHA ENTRADA]]</f>
        <v>45399</v>
      </c>
      <c r="K778" s="8">
        <v>45646</v>
      </c>
      <c r="L778" s="13">
        <f>_xlfn.DAYS(Tabla1[[#This Row],[FECHA FIN ]],Tabla1[[#This Row],[FECHA INICIO]])</f>
        <v>247</v>
      </c>
      <c r="M778" s="12"/>
      <c r="N778" s="12">
        <v>300</v>
      </c>
      <c r="O778" s="12">
        <f>(Tabla1[[#This Row],[COSTO FIJO ]]/30)*Tabla1[[#This Row],[TOTAL DIAS PROYECTO]]+(Tabla1[[#This Row],[COSTO TEMPORAL]])</f>
        <v>2470</v>
      </c>
      <c r="P778" s="12"/>
      <c r="Q778" s="12">
        <f>+(Tabla1[[#This Row],[COSTO COCHE]]/30)*Tabla1[[#This Row],[TOTAL DIAS PROYECTO]]</f>
        <v>0</v>
      </c>
      <c r="R778" s="12">
        <f>+Tabla1[[#This Row],[COSTO TOTAL ALOJAMIENTO]]+Tabla1[[#This Row],[COSTO TOTAL COCHE]]</f>
        <v>2470</v>
      </c>
      <c r="S778" s="2"/>
      <c r="T778" s="2" t="s">
        <v>35</v>
      </c>
      <c r="U778" s="14">
        <v>45399</v>
      </c>
      <c r="V778" s="14"/>
      <c r="W778" s="62">
        <v>450</v>
      </c>
      <c r="X778" s="16">
        <v>5</v>
      </c>
      <c r="Y778" s="11" t="s">
        <v>2006</v>
      </c>
      <c r="Z778" s="2" t="s">
        <v>36</v>
      </c>
      <c r="AA778" s="13">
        <v>-0.37739</v>
      </c>
      <c r="AB778" s="13" t="s">
        <v>10372</v>
      </c>
    </row>
    <row r="779" spans="1:28" ht="15" customHeight="1">
      <c r="A779" s="2" t="s">
        <v>9053</v>
      </c>
      <c r="B779" s="2" t="s">
        <v>368</v>
      </c>
      <c r="C779" s="11" t="s">
        <v>1814</v>
      </c>
      <c r="D779" s="2" t="s">
        <v>30</v>
      </c>
      <c r="E779" s="2" t="s">
        <v>415</v>
      </c>
      <c r="F779" s="11" t="s">
        <v>487</v>
      </c>
      <c r="G779" s="46" t="s">
        <v>488</v>
      </c>
      <c r="H779" s="2" t="s">
        <v>1391</v>
      </c>
      <c r="I779" s="12" t="s">
        <v>1447</v>
      </c>
      <c r="J779" s="22">
        <f>+Tabla1[[#This Row],[FECHA ENTRADA]]</f>
        <v>45658</v>
      </c>
      <c r="K779" s="22">
        <v>45675</v>
      </c>
      <c r="L779" s="23">
        <f>_xlfn.DAYS(Tabla1[[#This Row],[FECHA FIN ]],Tabla1[[#This Row],[FECHA INICIO]])</f>
        <v>17</v>
      </c>
      <c r="M779" s="12"/>
      <c r="N779" s="12">
        <v>287.5</v>
      </c>
      <c r="O779" s="24">
        <f>(Tabla1[[#This Row],[COSTO FIJO ]]/30)*Tabla1[[#This Row],[TOTAL DIAS PROYECTO]]+(Tabla1[[#This Row],[COSTO TEMPORAL]])</f>
        <v>162.91666666666669</v>
      </c>
      <c r="P779" s="12"/>
      <c r="Q779" s="12">
        <f>+(Tabla1[[#This Row],[COSTO COCHE]]/30)*Tabla1[[#This Row],[TOTAL DIAS PROYECTO]]</f>
        <v>0</v>
      </c>
      <c r="R779" s="12">
        <f>+Tabla1[[#This Row],[COSTO TOTAL ALOJAMIENTO]]+Tabla1[[#This Row],[COSTO TOTAL COCHE]]</f>
        <v>162.91666666666669</v>
      </c>
      <c r="S779" s="2"/>
      <c r="T779" s="2" t="s">
        <v>35</v>
      </c>
      <c r="U779" s="14">
        <v>45658</v>
      </c>
      <c r="V779" s="25"/>
      <c r="W779" s="26"/>
      <c r="X779" s="2">
        <v>5</v>
      </c>
      <c r="Y779" s="11"/>
      <c r="Z779" s="2" t="s">
        <v>36</v>
      </c>
      <c r="AA779" s="13">
        <v>-0.37739</v>
      </c>
      <c r="AB779" s="13" t="s">
        <v>10372</v>
      </c>
    </row>
    <row r="780" spans="1:28" ht="15" customHeight="1">
      <c r="A780" s="2" t="s">
        <v>8969</v>
      </c>
      <c r="B780" s="2" t="s">
        <v>368</v>
      </c>
      <c r="C780" s="11" t="s">
        <v>1533</v>
      </c>
      <c r="D780" s="2" t="s">
        <v>99</v>
      </c>
      <c r="E780" s="2" t="s">
        <v>109</v>
      </c>
      <c r="F780" s="11" t="s">
        <v>1793</v>
      </c>
      <c r="G780" s="21">
        <v>973266788</v>
      </c>
      <c r="H780" s="2" t="s">
        <v>2007</v>
      </c>
      <c r="I780" s="12" t="s">
        <v>42</v>
      </c>
      <c r="J780" s="22">
        <f>+Tabla1[[#This Row],[FECHA ENTRADA]]</f>
        <v>45692</v>
      </c>
      <c r="K780" s="22">
        <v>45706</v>
      </c>
      <c r="L780" s="23">
        <f>_xlfn.DAYS(Tabla1[[#This Row],[FECHA FIN ]],Tabla1[[#This Row],[FECHA INICIO]])</f>
        <v>14</v>
      </c>
      <c r="M780" s="12"/>
      <c r="N780" s="12"/>
      <c r="O780" s="24">
        <f>(Tabla1[[#This Row],[COSTO FIJO ]]/30)*Tabla1[[#This Row],[TOTAL DIAS PROYECTO]]+(Tabla1[[#This Row],[COSTO TEMPORAL]])</f>
        <v>0</v>
      </c>
      <c r="P780" s="12"/>
      <c r="Q780" s="12">
        <f>+(Tabla1[[#This Row],[COSTO COCHE]]/30)*Tabla1[[#This Row],[TOTAL DIAS PROYECTO]]</f>
        <v>0</v>
      </c>
      <c r="R780" s="12">
        <f>+Tabla1[[#This Row],[COSTO TOTAL ALOJAMIENTO]]+Tabla1[[#This Row],[COSTO TOTAL COCHE]]</f>
        <v>0</v>
      </c>
      <c r="S780" s="2"/>
      <c r="T780" s="2" t="s">
        <v>44</v>
      </c>
      <c r="U780" s="14">
        <v>45692</v>
      </c>
      <c r="V780" s="43">
        <v>45706</v>
      </c>
      <c r="W780" s="26"/>
      <c r="X780" s="2"/>
      <c r="Y780" s="11"/>
      <c r="Z780" s="2" t="s">
        <v>36</v>
      </c>
      <c r="AA780" s="13">
        <v>0.62217999999999996</v>
      </c>
      <c r="AB780" s="13" t="s">
        <v>10339</v>
      </c>
    </row>
    <row r="781" spans="1:28" ht="15" customHeight="1">
      <c r="A781" s="2" t="s">
        <v>9075</v>
      </c>
      <c r="B781" s="2" t="s">
        <v>368</v>
      </c>
      <c r="C781" s="11" t="s">
        <v>1901</v>
      </c>
      <c r="D781" s="2" t="s">
        <v>30</v>
      </c>
      <c r="E781" s="2" t="s">
        <v>538</v>
      </c>
      <c r="F781" s="11" t="s">
        <v>539</v>
      </c>
      <c r="G781" s="11" t="s">
        <v>540</v>
      </c>
      <c r="H781" s="2" t="s">
        <v>541</v>
      </c>
      <c r="I781" s="29" t="s">
        <v>542</v>
      </c>
      <c r="J781" s="8">
        <f>+Tabla1[[#This Row],[FECHA ENTRADA]]</f>
        <v>45525</v>
      </c>
      <c r="K781" s="22">
        <v>45987</v>
      </c>
      <c r="L781" s="13">
        <f>_xlfn.DAYS(Tabla1[[#This Row],[FECHA FIN ]],Tabla1[[#This Row],[FECHA INICIO]])</f>
        <v>462</v>
      </c>
      <c r="M781" s="12"/>
      <c r="N781" s="12"/>
      <c r="O781" s="12">
        <f>(Tabla1[[#This Row],[COSTO FIJO ]]/30)*Tabla1[[#This Row],[TOTAL DIAS PROYECTO]]+(Tabla1[[#This Row],[COSTO TEMPORAL]])</f>
        <v>0</v>
      </c>
      <c r="P781" s="12">
        <f>+(613.83*50%)/4</f>
        <v>76.728750000000005</v>
      </c>
      <c r="Q781" s="12">
        <f>+(Tabla1[[#This Row],[COSTO COCHE]]/30)*Tabla1[[#This Row],[TOTAL DIAS PROYECTO]]</f>
        <v>1181.6227500000002</v>
      </c>
      <c r="R781" s="12">
        <f>+Tabla1[[#This Row],[COSTO TOTAL ALOJAMIENTO]]+Tabla1[[#This Row],[COSTO TOTAL COCHE]]</f>
        <v>1181.6227500000002</v>
      </c>
      <c r="S781" s="2"/>
      <c r="T781" s="2" t="s">
        <v>35</v>
      </c>
      <c r="U781" s="14">
        <v>45525</v>
      </c>
      <c r="V781" s="14"/>
      <c r="W781" s="26"/>
      <c r="X781" s="2">
        <v>1</v>
      </c>
      <c r="Y781" s="31" t="s">
        <v>2008</v>
      </c>
      <c r="Z781" s="2" t="s">
        <v>36</v>
      </c>
      <c r="AA781" s="13">
        <v>-378939</v>
      </c>
      <c r="AB781" s="13">
        <v>3776578</v>
      </c>
    </row>
    <row r="782" spans="1:28" ht="15" customHeight="1">
      <c r="A782" s="2" t="s">
        <v>9095</v>
      </c>
      <c r="B782" s="2" t="s">
        <v>28</v>
      </c>
      <c r="C782" s="11" t="s">
        <v>2009</v>
      </c>
      <c r="D782" s="2" t="s">
        <v>30</v>
      </c>
      <c r="E782" s="2" t="s">
        <v>114</v>
      </c>
      <c r="F782" s="11"/>
      <c r="G782" s="11"/>
      <c r="H782" s="2">
        <v>2023</v>
      </c>
      <c r="I782" s="2" t="s">
        <v>118</v>
      </c>
      <c r="J782" s="8">
        <v>45122</v>
      </c>
      <c r="K782" s="22">
        <v>45763</v>
      </c>
      <c r="L782" s="13">
        <f>_xlfn.DAYS(Tabla1[[#This Row],[FECHA FIN ]],Tabla1[[#This Row],[FECHA INICIO]])</f>
        <v>641</v>
      </c>
      <c r="M782" s="12"/>
      <c r="N782" s="12">
        <v>300</v>
      </c>
      <c r="O782" s="12">
        <f>(Tabla1[[#This Row],[COSTO FIJO ]]/30)*Tabla1[[#This Row],[TOTAL DIAS PROYECTO]]+(Tabla1[[#This Row],[COSTO TEMPORAL]])</f>
        <v>6410</v>
      </c>
      <c r="P782" s="12"/>
      <c r="Q782" s="12">
        <f>+(Tabla1[[#This Row],[COSTO COCHE]]/30)*Tabla1[[#This Row],[TOTAL DIAS PROYECTO]]</f>
        <v>0</v>
      </c>
      <c r="R782" s="12">
        <f>+Tabla1[[#This Row],[COSTO TOTAL ALOJAMIENTO]]+Tabla1[[#This Row],[COSTO TOTAL COCHE]]</f>
        <v>6410</v>
      </c>
      <c r="S782" s="2"/>
      <c r="T782" s="2" t="s">
        <v>58</v>
      </c>
      <c r="U782" s="14"/>
      <c r="V782" s="14"/>
      <c r="W782" s="15"/>
      <c r="X782" s="16">
        <v>23</v>
      </c>
      <c r="Y782" t="s">
        <v>2010</v>
      </c>
      <c r="Z782" s="2" t="s">
        <v>36</v>
      </c>
      <c r="AA782" s="13" t="s">
        <v>10340</v>
      </c>
      <c r="AB782" s="13" t="s">
        <v>10341</v>
      </c>
    </row>
    <row r="783" spans="1:28" ht="15" customHeight="1">
      <c r="A783" s="2" t="s">
        <v>9096</v>
      </c>
      <c r="B783" s="2" t="s">
        <v>368</v>
      </c>
      <c r="C783" s="31" t="s">
        <v>2011</v>
      </c>
      <c r="D783" s="2" t="s">
        <v>30</v>
      </c>
      <c r="E783" s="2" t="s">
        <v>1130</v>
      </c>
      <c r="F783" s="11" t="s">
        <v>2012</v>
      </c>
      <c r="G783" s="21" t="s">
        <v>2013</v>
      </c>
      <c r="H783" s="2" t="s">
        <v>2014</v>
      </c>
      <c r="I783" s="12" t="s">
        <v>1134</v>
      </c>
      <c r="J783" s="22">
        <f>+Tabla1[[#This Row],[FECHA ENTRADA]]</f>
        <v>45698</v>
      </c>
      <c r="K783" s="22">
        <v>45763</v>
      </c>
      <c r="L783" s="23">
        <f>_xlfn.DAYS(Tabla1[[#This Row],[FECHA FIN ]],Tabla1[[#This Row],[FECHA INICIO]])</f>
        <v>65</v>
      </c>
      <c r="M783" s="12">
        <f>1811.6/17</f>
        <v>106.56470588235294</v>
      </c>
      <c r="N783" s="24"/>
      <c r="O783" s="24">
        <f>(Tabla1[[#This Row],[COSTO FIJO ]]/30)*Tabla1[[#This Row],[TOTAL DIAS PROYECTO]]+(Tabla1[[#This Row],[COSTO TEMPORAL]])</f>
        <v>106.56470588235294</v>
      </c>
      <c r="P783" s="12"/>
      <c r="Q783" s="12">
        <f>+(Tabla1[[#This Row],[COSTO COCHE]]/30)*Tabla1[[#This Row],[TOTAL DIAS PROYECTO]]</f>
        <v>0</v>
      </c>
      <c r="R783" s="12">
        <f>+Tabla1[[#This Row],[COSTO TOTAL ALOJAMIENTO]]+Tabla1[[#This Row],[COSTO TOTAL COCHE]]</f>
        <v>106.56470588235294</v>
      </c>
      <c r="S783" s="2"/>
      <c r="T783" s="2" t="s">
        <v>35</v>
      </c>
      <c r="U783" s="14">
        <v>45698</v>
      </c>
      <c r="V783" s="25"/>
      <c r="W783" s="26">
        <v>350</v>
      </c>
      <c r="X783" s="2">
        <v>1</v>
      </c>
      <c r="Y783" s="148" t="s">
        <v>2015</v>
      </c>
      <c r="Z783" s="2" t="s">
        <v>36</v>
      </c>
      <c r="AA783" s="13" t="s">
        <v>10412</v>
      </c>
      <c r="AB783" s="13">
        <v>4200955</v>
      </c>
    </row>
    <row r="784" spans="1:28">
      <c r="A784" s="2" t="s">
        <v>8677</v>
      </c>
      <c r="B784" s="2" t="s">
        <v>28</v>
      </c>
      <c r="C784" s="18" t="s">
        <v>250</v>
      </c>
      <c r="D784" s="2" t="s">
        <v>30</v>
      </c>
      <c r="E784" s="2" t="s">
        <v>502</v>
      </c>
      <c r="F784" s="11" t="s">
        <v>1049</v>
      </c>
      <c r="G784" s="11" t="s">
        <v>1050</v>
      </c>
      <c r="H784" s="2" t="s">
        <v>2016</v>
      </c>
      <c r="I784" s="12" t="s">
        <v>506</v>
      </c>
      <c r="J784" s="22">
        <v>45636</v>
      </c>
      <c r="K784" s="83">
        <v>45636</v>
      </c>
      <c r="L784" s="42">
        <f>_xlfn.DAYS(Tabla1[[#This Row],[FECHA FIN ]],Tabla1[[#This Row],[FECHA INICIO]])</f>
        <v>0</v>
      </c>
      <c r="M784" s="12"/>
      <c r="N784" s="12">
        <v>216.66666666666666</v>
      </c>
      <c r="O784" s="28">
        <f>(Tabla1[[#This Row],[COSTO FIJO ]]/30)*Tabla1[[#This Row],[TOTAL DIAS PROYECTO]]+(Tabla1[[#This Row],[COSTO TEMPORAL]])</f>
        <v>0</v>
      </c>
      <c r="P784" s="12"/>
      <c r="Q784" s="12">
        <f>+(Tabla1[[#This Row],[COSTO COCHE]]/30)*Tabla1[[#This Row],[TOTAL DIAS PROYECTO]]</f>
        <v>0</v>
      </c>
      <c r="R784" s="12">
        <f>+Tabla1[[#This Row],[COSTO TOTAL ALOJAMIENTO]]+Tabla1[[#This Row],[COSTO TOTAL COCHE]]</f>
        <v>0</v>
      </c>
      <c r="S784" s="2"/>
      <c r="T784" s="2" t="s">
        <v>35</v>
      </c>
      <c r="U784" s="14">
        <v>45629</v>
      </c>
      <c r="V784" s="43"/>
      <c r="W784" s="26"/>
      <c r="X784" s="2">
        <v>1</v>
      </c>
      <c r="Y784" s="11"/>
      <c r="Z784" s="2" t="s">
        <v>36</v>
      </c>
      <c r="AA784" s="13" t="s">
        <v>10378</v>
      </c>
      <c r="AB784" s="13" t="s">
        <v>10379</v>
      </c>
    </row>
    <row r="785" spans="1:28" ht="15" customHeight="1">
      <c r="A785" s="2" t="s">
        <v>9097</v>
      </c>
      <c r="B785" s="2" t="s">
        <v>368</v>
      </c>
      <c r="C785" s="18" t="s">
        <v>2017</v>
      </c>
      <c r="D785" s="2" t="s">
        <v>30</v>
      </c>
      <c r="E785" s="2" t="s">
        <v>538</v>
      </c>
      <c r="F785" s="11" t="s">
        <v>539</v>
      </c>
      <c r="G785" s="11" t="s">
        <v>540</v>
      </c>
      <c r="H785" s="2" t="s">
        <v>541</v>
      </c>
      <c r="I785" s="29" t="s">
        <v>542</v>
      </c>
      <c r="J785" s="8">
        <f>+Tabla1[[#This Row],[FECHA ENTRADA]]</f>
        <v>45530</v>
      </c>
      <c r="K785" s="22">
        <v>45622</v>
      </c>
      <c r="L785" s="13">
        <f>_xlfn.DAYS(Tabla1[[#This Row],[FECHA FIN ]],Tabla1[[#This Row],[FECHA INICIO]])</f>
        <v>92</v>
      </c>
      <c r="M785" s="12"/>
      <c r="N785" s="12"/>
      <c r="O785" s="12">
        <f>(Tabla1[[#This Row],[COSTO FIJO ]]/30)*Tabla1[[#This Row],[TOTAL DIAS PROYECTO]]+(Tabla1[[#This Row],[COSTO TEMPORAL]])</f>
        <v>0</v>
      </c>
      <c r="P785" s="12">
        <f>+(613.83*50%)/4</f>
        <v>76.728750000000005</v>
      </c>
      <c r="Q785" s="12">
        <f>+(Tabla1[[#This Row],[COSTO COCHE]]/30)*Tabla1[[#This Row],[TOTAL DIAS PROYECTO]]</f>
        <v>235.30150000000003</v>
      </c>
      <c r="R785" s="12">
        <f>+Tabla1[[#This Row],[COSTO TOTAL ALOJAMIENTO]]+Tabla1[[#This Row],[COSTO TOTAL COCHE]]</f>
        <v>235.30150000000003</v>
      </c>
      <c r="S785" s="2"/>
      <c r="T785" s="2" t="s">
        <v>35</v>
      </c>
      <c r="U785" s="14">
        <v>45530</v>
      </c>
      <c r="V785" s="14"/>
      <c r="W785" s="26"/>
      <c r="X785" s="2">
        <v>1</v>
      </c>
      <c r="Y785" s="31" t="s">
        <v>2008</v>
      </c>
      <c r="Z785" s="2" t="s">
        <v>36</v>
      </c>
      <c r="AA785" s="13">
        <v>-378939</v>
      </c>
      <c r="AB785" s="13">
        <v>3776578</v>
      </c>
    </row>
    <row r="786" spans="1:28" ht="15" customHeight="1">
      <c r="A786" s="2" t="s">
        <v>9098</v>
      </c>
      <c r="B786" s="2" t="s">
        <v>368</v>
      </c>
      <c r="C786" s="18" t="s">
        <v>2018</v>
      </c>
      <c r="D786" s="2" t="s">
        <v>30</v>
      </c>
      <c r="E786" s="2" t="s">
        <v>538</v>
      </c>
      <c r="F786" s="11" t="s">
        <v>539</v>
      </c>
      <c r="G786" s="11" t="s">
        <v>540</v>
      </c>
      <c r="H786" s="2" t="s">
        <v>2019</v>
      </c>
      <c r="I786" s="12" t="s">
        <v>843</v>
      </c>
      <c r="J786" s="41">
        <v>45564</v>
      </c>
      <c r="K786" s="22">
        <v>45821</v>
      </c>
      <c r="L786" s="13">
        <f>_xlfn.DAYS(Tabla1[[#This Row],[FECHA FIN ]],Tabla1[[#This Row],[FECHA INICIO]])</f>
        <v>257</v>
      </c>
      <c r="M786" s="12"/>
      <c r="N786" s="12">
        <f>1811.6/17</f>
        <v>106.56470588235294</v>
      </c>
      <c r="O786" s="28">
        <f>(Tabla1[[#This Row],[COSTO FIJO ]]/30)*Tabla1[[#This Row],[TOTAL DIAS PROYECTO]]+(Tabla1[[#This Row],[COSTO TEMPORAL]])</f>
        <v>912.90431372549017</v>
      </c>
      <c r="P786" s="12"/>
      <c r="Q786" s="12">
        <f>+(Tabla1[[#This Row],[COSTO COCHE]]/30)*Tabla1[[#This Row],[TOTAL DIAS PROYECTO]]</f>
        <v>0</v>
      </c>
      <c r="R786" s="12">
        <f>+Tabla1[[#This Row],[COSTO TOTAL ALOJAMIENTO]]+Tabla1[[#This Row],[COSTO TOTAL COCHE]]</f>
        <v>912.90431372549017</v>
      </c>
      <c r="S786" s="2"/>
      <c r="T786" s="2" t="s">
        <v>35</v>
      </c>
      <c r="U786" s="14">
        <v>45565</v>
      </c>
      <c r="V786" s="75"/>
      <c r="W786" s="26"/>
      <c r="X786" s="2">
        <v>1</v>
      </c>
      <c r="Y786" s="11"/>
      <c r="Z786" s="2" t="s">
        <v>36</v>
      </c>
      <c r="AA786" s="13">
        <v>-378939</v>
      </c>
      <c r="AB786" s="13">
        <v>3776578</v>
      </c>
    </row>
    <row r="787" spans="1:28" ht="15" customHeight="1">
      <c r="A787" s="2" t="s">
        <v>8889</v>
      </c>
      <c r="B787" s="2" t="s">
        <v>28</v>
      </c>
      <c r="C787" s="11" t="s">
        <v>1171</v>
      </c>
      <c r="D787" s="2" t="s">
        <v>30</v>
      </c>
      <c r="E787" s="2" t="s">
        <v>1393</v>
      </c>
      <c r="F787" s="11" t="s">
        <v>2020</v>
      </c>
      <c r="G787" s="21" t="s">
        <v>2021</v>
      </c>
      <c r="H787" s="64" t="s">
        <v>1396</v>
      </c>
      <c r="I787" s="64" t="s">
        <v>1067</v>
      </c>
      <c r="J787" s="22">
        <f>+Tabla1[[#This Row],[FECHA ENTRADA]]</f>
        <v>45761</v>
      </c>
      <c r="K787" s="8">
        <v>45763</v>
      </c>
      <c r="L787" s="42">
        <f>_xlfn.DAYS(Tabla1[[#This Row],[FECHA FIN ]],Tabla1[[#This Row],[FECHA INICIO]])</f>
        <v>2</v>
      </c>
      <c r="M787" s="12">
        <v>115.34</v>
      </c>
      <c r="N787" s="20"/>
      <c r="O787" s="28">
        <f>(Tabla1[[#This Row],[COSTO FIJO ]]/30)*Tabla1[[#This Row],[TOTAL DIAS PROYECTO]]+(Tabla1[[#This Row],[COSTO TEMPORAL]])</f>
        <v>115.34</v>
      </c>
      <c r="P787" s="12"/>
      <c r="Q787" s="12">
        <f>+(Tabla1[[#This Row],[COSTO COCHE]]/30)*Tabla1[[#This Row],[TOTAL DIAS PROYECTO]]</f>
        <v>0</v>
      </c>
      <c r="R787" s="12">
        <f>+Tabla1[[#This Row],[COSTO TOTAL ALOJAMIENTO]]+Tabla1[[#This Row],[COSTO TOTAL COCHE]]</f>
        <v>115.34</v>
      </c>
      <c r="S787" s="2" t="s">
        <v>403</v>
      </c>
      <c r="T787" s="2" t="s">
        <v>44</v>
      </c>
      <c r="U787" s="14">
        <v>45761</v>
      </c>
      <c r="V787" s="43">
        <v>45763</v>
      </c>
      <c r="W787" s="26"/>
      <c r="X787" s="2"/>
      <c r="Y787" s="11" t="s">
        <v>1996</v>
      </c>
      <c r="Z787" s="2" t="s">
        <v>36</v>
      </c>
      <c r="AA787" s="13" t="s">
        <v>10416</v>
      </c>
      <c r="AB787" s="13" t="s">
        <v>10417</v>
      </c>
    </row>
    <row r="788" spans="1:28" ht="15" customHeight="1">
      <c r="A788" s="2" t="s">
        <v>9099</v>
      </c>
      <c r="B788" t="s">
        <v>368</v>
      </c>
      <c r="C788" s="99" t="s">
        <v>2022</v>
      </c>
      <c r="D788" s="2" t="s">
        <v>30</v>
      </c>
      <c r="E788" s="2" t="s">
        <v>109</v>
      </c>
      <c r="F788" s="11" t="s">
        <v>898</v>
      </c>
      <c r="G788" s="21" t="s">
        <v>899</v>
      </c>
      <c r="H788" s="2" t="s">
        <v>2023</v>
      </c>
      <c r="I788" s="12" t="s">
        <v>42</v>
      </c>
      <c r="J788" s="22">
        <f>+Tabla1[[#This Row],[FECHA ENTRADA]]</f>
        <v>45621</v>
      </c>
      <c r="K788" s="22">
        <v>45821</v>
      </c>
      <c r="L788" s="23">
        <f>_xlfn.DAYS(Tabla1[[#This Row],[FECHA FIN ]],Tabla1[[#This Row],[FECHA INICIO]])</f>
        <v>200</v>
      </c>
      <c r="M788" s="12"/>
      <c r="N788" s="12">
        <f>1811.6/17</f>
        <v>106.56470588235294</v>
      </c>
      <c r="O788" s="24">
        <f>(Tabla1[[#This Row],[COSTO FIJO ]]/30)*Tabla1[[#This Row],[TOTAL DIAS PROYECTO]]+(Tabla1[[#This Row],[COSTO TEMPORAL]])</f>
        <v>710.43137254901967</v>
      </c>
      <c r="P788" s="12"/>
      <c r="Q788" s="12">
        <f>+(Tabla1[[#This Row],[COSTO COCHE]]/30)*Tabla1[[#This Row],[TOTAL DIAS PROYECTO]]</f>
        <v>0</v>
      </c>
      <c r="R788" s="12">
        <f>+Tabla1[[#This Row],[COSTO TOTAL ALOJAMIENTO]]+Tabla1[[#This Row],[COSTO TOTAL COCHE]]</f>
        <v>710.43137254901967</v>
      </c>
      <c r="S788" s="2"/>
      <c r="T788" s="2" t="s">
        <v>35</v>
      </c>
      <c r="U788" s="14">
        <v>45621</v>
      </c>
      <c r="V788" s="25"/>
      <c r="W788" s="26"/>
      <c r="X788" s="2">
        <v>1</v>
      </c>
      <c r="Y788" s="11"/>
      <c r="Z788" s="2" t="s">
        <v>36</v>
      </c>
      <c r="AA788" s="13">
        <v>0.62217999999999996</v>
      </c>
      <c r="AB788" s="13" t="s">
        <v>10339</v>
      </c>
    </row>
    <row r="789" spans="1:28" ht="15" customHeight="1">
      <c r="A789" s="2" t="s">
        <v>9100</v>
      </c>
      <c r="B789" t="s">
        <v>368</v>
      </c>
      <c r="C789" s="86" t="s">
        <v>2024</v>
      </c>
      <c r="D789" s="2" t="s">
        <v>30</v>
      </c>
      <c r="E789" s="2" t="s">
        <v>109</v>
      </c>
      <c r="F789" s="11" t="s">
        <v>898</v>
      </c>
      <c r="G789" s="21" t="s">
        <v>899</v>
      </c>
      <c r="H789" s="2" t="s">
        <v>2023</v>
      </c>
      <c r="I789" s="12" t="s">
        <v>42</v>
      </c>
      <c r="J789" s="22">
        <f>+Tabla1[[#This Row],[FECHA ENTRADA]]</f>
        <v>45621</v>
      </c>
      <c r="K789" s="22">
        <v>45821</v>
      </c>
      <c r="L789" s="23">
        <f>_xlfn.DAYS(Tabla1[[#This Row],[FECHA FIN ]],Tabla1[[#This Row],[FECHA INICIO]])</f>
        <v>200</v>
      </c>
      <c r="M789" s="12"/>
      <c r="N789" s="24"/>
      <c r="O789" s="24">
        <f>(Tabla1[[#This Row],[COSTO FIJO ]]/30)*Tabla1[[#This Row],[TOTAL DIAS PROYECTO]]+(Tabla1[[#This Row],[COSTO TEMPORAL]])</f>
        <v>0</v>
      </c>
      <c r="P789" s="12"/>
      <c r="Q789" s="12">
        <f>+(Tabla1[[#This Row],[COSTO COCHE]]/30)*Tabla1[[#This Row],[TOTAL DIAS PROYECTO]]</f>
        <v>0</v>
      </c>
      <c r="R789" s="12">
        <f>+Tabla1[[#This Row],[COSTO TOTAL ALOJAMIENTO]]+Tabla1[[#This Row],[COSTO TOTAL COCHE]]</f>
        <v>0</v>
      </c>
      <c r="S789" s="2"/>
      <c r="T789" s="2" t="s">
        <v>35</v>
      </c>
      <c r="U789" s="14">
        <v>45621</v>
      </c>
      <c r="V789" s="25"/>
      <c r="W789" s="26"/>
      <c r="X789" s="2">
        <v>1</v>
      </c>
      <c r="Y789" s="11"/>
      <c r="Z789" s="2" t="s">
        <v>36</v>
      </c>
      <c r="AA789" s="13">
        <v>0.62217999999999996</v>
      </c>
      <c r="AB789" s="13" t="s">
        <v>10339</v>
      </c>
    </row>
    <row r="790" spans="1:28">
      <c r="A790" s="2" t="s">
        <v>8870</v>
      </c>
      <c r="B790" s="2" t="s">
        <v>368</v>
      </c>
      <c r="C790" s="11" t="s">
        <v>1099</v>
      </c>
      <c r="D790" s="2" t="s">
        <v>30</v>
      </c>
      <c r="E790" s="2" t="s">
        <v>151</v>
      </c>
      <c r="F790" s="11" t="s">
        <v>1499</v>
      </c>
      <c r="G790" s="46" t="s">
        <v>1500</v>
      </c>
      <c r="H790" s="2" t="s">
        <v>2025</v>
      </c>
      <c r="I790" s="12" t="s">
        <v>1994</v>
      </c>
      <c r="J790" s="41">
        <f>+Tabla1[[#This Row],[FECHA ENTRADA]]</f>
        <v>45725</v>
      </c>
      <c r="K790" s="41">
        <v>45763</v>
      </c>
      <c r="L790" s="42">
        <f>_xlfn.DAYS(Tabla1[[#This Row],[FECHA FIN ]],Tabla1[[#This Row],[FECHA INICIO]])</f>
        <v>38</v>
      </c>
      <c r="M790" s="12"/>
      <c r="N790" s="12"/>
      <c r="O790" s="28">
        <f>(Tabla1[[#This Row],[COSTO FIJO ]]/30)*Tabla1[[#This Row],[TOTAL DIAS PROYECTO]]+(Tabla1[[#This Row],[COSTO TEMPORAL]])</f>
        <v>0</v>
      </c>
      <c r="P790" s="12">
        <f>613.47/4</f>
        <v>153.36750000000001</v>
      </c>
      <c r="Q790" s="12">
        <f>+(Tabla1[[#This Row],[COSTO COCHE]]/30)*Tabla1[[#This Row],[TOTAL DIAS PROYECTO]]</f>
        <v>194.2655</v>
      </c>
      <c r="R790" s="12">
        <f>+Tabla1[[#This Row],[COSTO TOTAL ALOJAMIENTO]]+Tabla1[[#This Row],[COSTO TOTAL COCHE]]</f>
        <v>194.2655</v>
      </c>
      <c r="S790" s="2"/>
      <c r="T790" s="2" t="s">
        <v>35</v>
      </c>
      <c r="U790" s="14">
        <v>45725</v>
      </c>
      <c r="V790" s="43"/>
      <c r="W790" s="26"/>
      <c r="X790" s="2">
        <v>5</v>
      </c>
      <c r="Y790" s="11" t="s">
        <v>2026</v>
      </c>
      <c r="Z790" s="2" t="s">
        <v>36</v>
      </c>
      <c r="AA790" s="13" t="s">
        <v>10345</v>
      </c>
      <c r="AB790" s="13" t="s">
        <v>10346</v>
      </c>
    </row>
    <row r="791" spans="1:28">
      <c r="A791" s="2" t="s">
        <v>8913</v>
      </c>
      <c r="B791" s="2" t="s">
        <v>368</v>
      </c>
      <c r="C791" s="18" t="s">
        <v>1257</v>
      </c>
      <c r="D791" s="2" t="s">
        <v>30</v>
      </c>
      <c r="E791" s="2" t="s">
        <v>626</v>
      </c>
      <c r="F791" s="11" t="s">
        <v>1037</v>
      </c>
      <c r="G791" s="11" t="s">
        <v>628</v>
      </c>
      <c r="H791" s="2" t="s">
        <v>1042</v>
      </c>
      <c r="I791" s="12" t="s">
        <v>1043</v>
      </c>
      <c r="J791" s="22">
        <v>45572</v>
      </c>
      <c r="K791" s="8">
        <v>45618</v>
      </c>
      <c r="L791" s="23">
        <f>_xlfn.DAYS(Tabla1[[#This Row],[FECHA FIN ]],Tabla1[[#This Row],[FECHA INICIO]])</f>
        <v>46</v>
      </c>
      <c r="M791" s="12"/>
      <c r="N791" s="12">
        <v>460</v>
      </c>
      <c r="O791" s="24">
        <f>(Tabla1[[#This Row],[COSTO FIJO ]]/30)*Tabla1[[#This Row],[TOTAL DIAS PROYECTO]]+(Tabla1[[#This Row],[COSTO TEMPORAL]])</f>
        <v>705.33333333333337</v>
      </c>
      <c r="P791" s="12"/>
      <c r="Q791" s="12">
        <f>+(Tabla1[[#This Row],[COSTO COCHE]]/30)*Tabla1[[#This Row],[TOTAL DIAS PROYECTO]]</f>
        <v>0</v>
      </c>
      <c r="R791" s="12">
        <f>+Tabla1[[#This Row],[COSTO TOTAL ALOJAMIENTO]]+Tabla1[[#This Row],[COSTO TOTAL COCHE]]</f>
        <v>705.33333333333337</v>
      </c>
      <c r="S791" s="2"/>
      <c r="T791" s="2" t="s">
        <v>35</v>
      </c>
      <c r="U791" s="14">
        <v>45572</v>
      </c>
      <c r="V791" s="79"/>
      <c r="W791" s="26"/>
      <c r="X791" s="2">
        <v>5</v>
      </c>
      <c r="Y791" s="11"/>
      <c r="Z791" s="2" t="s">
        <v>36</v>
      </c>
      <c r="AA791" s="13" t="s">
        <v>10385</v>
      </c>
      <c r="AB791" s="13" t="s">
        <v>10386</v>
      </c>
    </row>
    <row r="792" spans="1:28" ht="15" customHeight="1">
      <c r="A792" s="2" t="s">
        <v>9101</v>
      </c>
      <c r="B792" s="2" t="s">
        <v>368</v>
      </c>
      <c r="C792" s="11" t="s">
        <v>2027</v>
      </c>
      <c r="D792" s="2" t="s">
        <v>99</v>
      </c>
      <c r="E792" s="2" t="s">
        <v>626</v>
      </c>
      <c r="F792" s="11" t="s">
        <v>1041</v>
      </c>
      <c r="G792" s="49" t="s">
        <v>628</v>
      </c>
      <c r="H792" s="2" t="s">
        <v>1965</v>
      </c>
      <c r="I792" s="12" t="s">
        <v>630</v>
      </c>
      <c r="J792" s="22">
        <f>+Tabla1[[#This Row],[FECHA ENTRADA]]</f>
        <v>45714</v>
      </c>
      <c r="K792" s="22">
        <v>45763</v>
      </c>
      <c r="L792" s="23">
        <f>_xlfn.DAYS(Tabla1[[#This Row],[FECHA FIN ]],Tabla1[[#This Row],[FECHA INICIO]])</f>
        <v>49</v>
      </c>
      <c r="M792" s="12"/>
      <c r="N792" s="12"/>
      <c r="O792" s="24">
        <f>(Tabla1[[#This Row],[COSTO FIJO ]]/30)*Tabla1[[#This Row],[TOTAL DIAS PROYECTO]]+(Tabla1[[#This Row],[COSTO TEMPORAL]])</f>
        <v>0</v>
      </c>
      <c r="P792" s="12"/>
      <c r="Q792" s="12">
        <f>+(Tabla1[[#This Row],[COSTO COCHE]]/30)*Tabla1[[#This Row],[TOTAL DIAS PROYECTO]]</f>
        <v>0</v>
      </c>
      <c r="R792" s="12">
        <f>+Tabla1[[#This Row],[COSTO TOTAL ALOJAMIENTO]]+Tabla1[[#This Row],[COSTO TOTAL COCHE]]</f>
        <v>0</v>
      </c>
      <c r="S792" s="2"/>
      <c r="T792" s="2" t="s">
        <v>35</v>
      </c>
      <c r="U792" s="14">
        <v>45714</v>
      </c>
      <c r="V792" s="79"/>
      <c r="W792" s="26"/>
      <c r="X792" s="2">
        <v>23</v>
      </c>
      <c r="Y792" s="11" t="s">
        <v>1966</v>
      </c>
      <c r="Z792" s="2" t="s">
        <v>36</v>
      </c>
      <c r="AA792" s="13" t="s">
        <v>10385</v>
      </c>
      <c r="AB792" s="13" t="s">
        <v>10386</v>
      </c>
    </row>
    <row r="793" spans="1:28" ht="15" customHeight="1">
      <c r="A793" s="2" t="s">
        <v>8754</v>
      </c>
      <c r="B793" s="2" t="s">
        <v>28</v>
      </c>
      <c r="C793" s="99" t="s">
        <v>605</v>
      </c>
      <c r="D793" s="2" t="s">
        <v>30</v>
      </c>
      <c r="E793" s="2" t="s">
        <v>245</v>
      </c>
      <c r="F793" s="11" t="s">
        <v>1858</v>
      </c>
      <c r="G793" s="133" t="s">
        <v>1859</v>
      </c>
      <c r="H793" s="2" t="s">
        <v>1537</v>
      </c>
      <c r="I793" s="12" t="s">
        <v>1538</v>
      </c>
      <c r="J793" s="22">
        <v>45618</v>
      </c>
      <c r="K793" s="22">
        <v>45808</v>
      </c>
      <c r="L793" s="42">
        <f>_xlfn.DAYS(Tabla1[[#This Row],[FECHA FIN ]],Tabla1[[#This Row],[FECHA INICIO]])</f>
        <v>190</v>
      </c>
      <c r="M793" s="12"/>
      <c r="N793" s="24">
        <v>425</v>
      </c>
      <c r="O793" s="28">
        <f>(Tabla1[[#This Row],[COSTO FIJO ]]/30)*Tabla1[[#This Row],[TOTAL DIAS PROYECTO]]+(Tabla1[[#This Row],[COSTO TEMPORAL]])</f>
        <v>2691.6666666666665</v>
      </c>
      <c r="P793" s="12">
        <v>92.307692307692307</v>
      </c>
      <c r="Q793" s="12">
        <v>0</v>
      </c>
      <c r="R793" s="12">
        <f>+Tabla1[[#This Row],[COSTO TOTAL ALOJAMIENTO]]+Tabla1[[#This Row],[COSTO TOTAL COCHE]]</f>
        <v>2691.6666666666665</v>
      </c>
      <c r="S793" s="2"/>
      <c r="T793" s="2" t="s">
        <v>35</v>
      </c>
      <c r="U793" s="14">
        <v>45618</v>
      </c>
      <c r="V793" s="25">
        <v>45618</v>
      </c>
      <c r="W793" s="26"/>
      <c r="X793" s="2">
        <v>1</v>
      </c>
      <c r="Y793" s="11"/>
      <c r="Z793" s="2" t="s">
        <v>36</v>
      </c>
      <c r="AA793" s="13" t="s">
        <v>10355</v>
      </c>
      <c r="AB793" s="13" t="s">
        <v>10356</v>
      </c>
    </row>
    <row r="794" spans="1:28" ht="15" customHeight="1">
      <c r="A794" s="2" t="s">
        <v>9061</v>
      </c>
      <c r="B794" s="2" t="s">
        <v>711</v>
      </c>
      <c r="C794" s="31" t="s">
        <v>1833</v>
      </c>
      <c r="D794" s="2" t="s">
        <v>30</v>
      </c>
      <c r="E794" s="2" t="s">
        <v>92</v>
      </c>
      <c r="F794" s="11" t="s">
        <v>1933</v>
      </c>
      <c r="G794" s="46"/>
      <c r="H794" s="2" t="s">
        <v>1935</v>
      </c>
      <c r="I794" s="12" t="s">
        <v>96</v>
      </c>
      <c r="J794" s="41">
        <f>+Tabla1[[#This Row],[FECHA ENTRADA]]</f>
        <v>46174</v>
      </c>
      <c r="K794" s="41">
        <v>46211</v>
      </c>
      <c r="L794" s="42">
        <f>_xlfn.DAYS(Tabla1[[#This Row],[FECHA FIN ]],Tabla1[[#This Row],[FECHA INICIO]])</f>
        <v>37</v>
      </c>
      <c r="M794" s="12"/>
      <c r="N794" s="28">
        <v>0</v>
      </c>
      <c r="O794" s="28">
        <f>(Tabla1[[#This Row],[COSTO FIJO ]]/30)*Tabla1[[#This Row],[TOTAL DIAS PROYECTO]]+(Tabla1[[#This Row],[COSTO TEMPORAL]])</f>
        <v>0</v>
      </c>
      <c r="P794" s="12"/>
      <c r="Q794" s="12">
        <f>+(Tabla1[[#This Row],[COSTO COCHE]]/30)*Tabla1[[#This Row],[TOTAL DIAS PROYECTO]]</f>
        <v>0</v>
      </c>
      <c r="R794" s="12">
        <f>+Tabla1[[#This Row],[COSTO TOTAL ALOJAMIENTO]]+Tabla1[[#This Row],[COSTO TOTAL COCHE]]</f>
        <v>0</v>
      </c>
      <c r="S794" s="2" t="s">
        <v>403</v>
      </c>
      <c r="T794" s="14" t="s">
        <v>8</v>
      </c>
      <c r="U794" s="14">
        <v>46174</v>
      </c>
      <c r="V794" s="79"/>
      <c r="W794" s="12"/>
      <c r="X794" s="2"/>
      <c r="Y794" s="11" t="s">
        <v>2028</v>
      </c>
      <c r="Z794" s="2" t="s">
        <v>36</v>
      </c>
      <c r="AA794" s="13" t="s">
        <v>10336</v>
      </c>
      <c r="AB794" s="13" t="s">
        <v>10337</v>
      </c>
    </row>
    <row r="795" spans="1:28" ht="15" customHeight="1">
      <c r="A795" s="2" t="s">
        <v>9041</v>
      </c>
      <c r="B795" s="2" t="s">
        <v>28</v>
      </c>
      <c r="C795" s="99" t="s">
        <v>1782</v>
      </c>
      <c r="D795" s="2" t="s">
        <v>30</v>
      </c>
      <c r="E795" s="2" t="s">
        <v>245</v>
      </c>
      <c r="F795" s="11" t="s">
        <v>1858</v>
      </c>
      <c r="G795" s="133" t="s">
        <v>1859</v>
      </c>
      <c r="H795" s="2" t="s">
        <v>1537</v>
      </c>
      <c r="I795" s="12" t="s">
        <v>1538</v>
      </c>
      <c r="J795" s="22">
        <v>45618</v>
      </c>
      <c r="K795" s="22">
        <v>45821</v>
      </c>
      <c r="L795" s="42">
        <f>_xlfn.DAYS(Tabla1[[#This Row],[FECHA FIN ]],Tabla1[[#This Row],[FECHA INICIO]])</f>
        <v>203</v>
      </c>
      <c r="M795" s="12"/>
      <c r="N795" s="12"/>
      <c r="O795" s="28">
        <f>(Tabla1[[#This Row],[COSTO FIJO ]]/30)*Tabla1[[#This Row],[TOTAL DIAS PROYECTO]]+(Tabla1[[#This Row],[COSTO TEMPORAL]])</f>
        <v>0</v>
      </c>
      <c r="P795" s="12">
        <v>92.307692307692307</v>
      </c>
      <c r="Q795" s="12">
        <v>0</v>
      </c>
      <c r="R795" s="12">
        <f>+Tabla1[[#This Row],[COSTO TOTAL ALOJAMIENTO]]+Tabla1[[#This Row],[COSTO TOTAL COCHE]]</f>
        <v>0</v>
      </c>
      <c r="S795" s="2"/>
      <c r="T795" s="2" t="s">
        <v>35</v>
      </c>
      <c r="U795" s="14">
        <v>45618</v>
      </c>
      <c r="V795" s="25"/>
      <c r="W795" s="26"/>
      <c r="X795" s="2">
        <v>1</v>
      </c>
      <c r="Y795" s="11" t="s">
        <v>2029</v>
      </c>
      <c r="Z795" s="2" t="s">
        <v>36</v>
      </c>
      <c r="AA795" s="13" t="s">
        <v>10355</v>
      </c>
      <c r="AB795" s="13" t="s">
        <v>10356</v>
      </c>
    </row>
    <row r="796" spans="1:28" ht="15" customHeight="1">
      <c r="A796" s="2" t="s">
        <v>9060</v>
      </c>
      <c r="B796" s="2" t="s">
        <v>368</v>
      </c>
      <c r="C796" s="99" t="s">
        <v>1831</v>
      </c>
      <c r="D796" s="2" t="s">
        <v>749</v>
      </c>
      <c r="E796" s="2" t="s">
        <v>1853</v>
      </c>
      <c r="F796" s="11" t="s">
        <v>2030</v>
      </c>
      <c r="G796" s="30" t="s">
        <v>2031</v>
      </c>
      <c r="H796" s="2" t="s">
        <v>1856</v>
      </c>
      <c r="I796" s="12" t="s">
        <v>1857</v>
      </c>
      <c r="J796" s="22">
        <f>+Tabla1[[#This Row],[FECHA ENTRADA]]</f>
        <v>45749</v>
      </c>
      <c r="K796" s="22">
        <v>45764</v>
      </c>
      <c r="L796" s="23">
        <f>_xlfn.DAYS(Tabla1[[#This Row],[FECHA FIN ]],Tabla1[[#This Row],[FECHA INICIO]])</f>
        <v>15</v>
      </c>
      <c r="M796" s="12"/>
      <c r="N796" s="24">
        <v>625</v>
      </c>
      <c r="O796" s="24">
        <f>(Tabla1[[#This Row],[COSTO FIJO ]]/30)*Tabla1[[#This Row],[TOTAL DIAS PROYECTO]]+(Tabla1[[#This Row],[COSTO TEMPORAL]])</f>
        <v>312.5</v>
      </c>
      <c r="P796" s="12"/>
      <c r="Q796" s="12">
        <f>+(Tabla1[[#This Row],[COSTO COCHE]]/30)*Tabla1[[#This Row],[TOTAL DIAS PROYECTO]]</f>
        <v>0</v>
      </c>
      <c r="R796" s="12">
        <f>+Tabla1[[#This Row],[COSTO TOTAL ALOJAMIENTO]]+Tabla1[[#This Row],[COSTO TOTAL COCHE]]</f>
        <v>312.5</v>
      </c>
      <c r="S796" s="2"/>
      <c r="T796" s="2" t="s">
        <v>44</v>
      </c>
      <c r="U796" s="14">
        <v>45749</v>
      </c>
      <c r="V796" s="25">
        <v>45779</v>
      </c>
      <c r="W796" s="26"/>
      <c r="X796" s="2"/>
      <c r="Y796" s="149" t="s">
        <v>2032</v>
      </c>
      <c r="Z796" s="2" t="s">
        <v>36</v>
      </c>
      <c r="AA796" s="13" t="s">
        <v>10432</v>
      </c>
      <c r="AB796" s="13">
        <v>45.464269999999999</v>
      </c>
    </row>
    <row r="797" spans="1:28" ht="15" customHeight="1">
      <c r="A797" s="2" t="s">
        <v>9066</v>
      </c>
      <c r="B797" s="2" t="s">
        <v>368</v>
      </c>
      <c r="C797" s="11" t="s">
        <v>1852</v>
      </c>
      <c r="D797" s="2" t="s">
        <v>749</v>
      </c>
      <c r="E797" s="2" t="s">
        <v>1853</v>
      </c>
      <c r="F797" s="11" t="s">
        <v>2030</v>
      </c>
      <c r="G797" s="30" t="s">
        <v>2031</v>
      </c>
      <c r="H797" s="2" t="s">
        <v>1856</v>
      </c>
      <c r="I797" s="12" t="s">
        <v>1857</v>
      </c>
      <c r="J797" s="22">
        <f>+Tabla1[[#This Row],[FECHA ENTRADA]]</f>
        <v>45749</v>
      </c>
      <c r="K797" s="22">
        <v>45764</v>
      </c>
      <c r="L797" s="23">
        <f>_xlfn.DAYS(Tabla1[[#This Row],[FECHA FIN ]],Tabla1[[#This Row],[FECHA INICIO]])</f>
        <v>15</v>
      </c>
      <c r="M797" s="12"/>
      <c r="N797" s="24">
        <v>625</v>
      </c>
      <c r="O797" s="24">
        <f>(Tabla1[[#This Row],[COSTO FIJO ]]/30)*Tabla1[[#This Row],[TOTAL DIAS PROYECTO]]+(Tabla1[[#This Row],[COSTO TEMPORAL]])</f>
        <v>312.5</v>
      </c>
      <c r="P797" s="12"/>
      <c r="Q797" s="12">
        <f>+(Tabla1[[#This Row],[COSTO COCHE]]/30)*Tabla1[[#This Row],[TOTAL DIAS PROYECTO]]</f>
        <v>0</v>
      </c>
      <c r="R797" s="12">
        <f>+Tabla1[[#This Row],[COSTO TOTAL ALOJAMIENTO]]+Tabla1[[#This Row],[COSTO TOTAL COCHE]]</f>
        <v>312.5</v>
      </c>
      <c r="S797" s="2"/>
      <c r="T797" s="2" t="s">
        <v>44</v>
      </c>
      <c r="U797" s="14">
        <v>45749</v>
      </c>
      <c r="V797" s="25">
        <v>45779</v>
      </c>
      <c r="W797" s="26"/>
      <c r="X797" s="2"/>
      <c r="Y797" s="149" t="s">
        <v>2032</v>
      </c>
      <c r="Z797" s="2" t="s">
        <v>36</v>
      </c>
      <c r="AA797" s="13" t="s">
        <v>10432</v>
      </c>
      <c r="AB797" s="13">
        <v>45.464269999999999</v>
      </c>
    </row>
    <row r="798" spans="1:28" ht="15" customHeight="1">
      <c r="A798" s="2" t="s">
        <v>8848</v>
      </c>
      <c r="B798" s="2" t="s">
        <v>711</v>
      </c>
      <c r="C798" s="11" t="s">
        <v>1003</v>
      </c>
      <c r="D798" s="2" t="s">
        <v>99</v>
      </c>
      <c r="E798" s="2" t="s">
        <v>720</v>
      </c>
      <c r="F798" s="11" t="s">
        <v>2033</v>
      </c>
      <c r="G798" s="46" t="s">
        <v>2034</v>
      </c>
      <c r="H798" s="2" t="s">
        <v>1874</v>
      </c>
      <c r="I798" s="12" t="s">
        <v>506</v>
      </c>
      <c r="J798" s="41">
        <f>+Tabla1[[#This Row],[FECHA ENTRADA]]</f>
        <v>45746</v>
      </c>
      <c r="K798" s="41">
        <v>45764</v>
      </c>
      <c r="L798" s="42">
        <f>_xlfn.DAYS(Tabla1[[#This Row],[FECHA FIN ]],Tabla1[[#This Row],[FECHA INICIO]])</f>
        <v>18</v>
      </c>
      <c r="M798" s="12">
        <f>877.5/3</f>
        <v>292.5</v>
      </c>
      <c r="N798" s="28"/>
      <c r="O798" s="28">
        <f>(Tabla1[[#This Row],[COSTO FIJO ]]/30)*Tabla1[[#This Row],[TOTAL DIAS PROYECTO]]+(Tabla1[[#This Row],[COSTO TEMPORAL]])</f>
        <v>292.5</v>
      </c>
      <c r="P798" s="12">
        <f>1261.07/7</f>
        <v>180.15285714285713</v>
      </c>
      <c r="Q798" s="12">
        <f>+(Tabla1[[#This Row],[COSTO COCHE]]/30)*Tabla1[[#This Row],[TOTAL DIAS PROYECTO]]</f>
        <v>108.09171428571427</v>
      </c>
      <c r="R798" s="12">
        <f>+Tabla1[[#This Row],[COSTO TOTAL ALOJAMIENTO]]+Tabla1[[#This Row],[COSTO TOTAL COCHE]]</f>
        <v>400.59171428571426</v>
      </c>
      <c r="S798" s="2" t="s">
        <v>403</v>
      </c>
      <c r="T798" s="2" t="s">
        <v>528</v>
      </c>
      <c r="U798" s="14">
        <v>45746</v>
      </c>
      <c r="V798" s="43">
        <v>45764</v>
      </c>
      <c r="W798" s="26"/>
      <c r="X798" s="2"/>
      <c r="Y798" s="11" t="s">
        <v>1166</v>
      </c>
      <c r="Z798" s="2" t="s">
        <v>36</v>
      </c>
      <c r="AA798" s="13" t="s">
        <v>10394</v>
      </c>
      <c r="AB798" s="13" t="s">
        <v>10395</v>
      </c>
    </row>
    <row r="799" spans="1:28" ht="15" customHeight="1">
      <c r="A799" s="2" t="s">
        <v>9102</v>
      </c>
      <c r="B799" s="2" t="s">
        <v>28</v>
      </c>
      <c r="C799" s="11" t="s">
        <v>2035</v>
      </c>
      <c r="D799" s="2" t="s">
        <v>161</v>
      </c>
      <c r="E799" s="2" t="s">
        <v>1748</v>
      </c>
      <c r="F799" s="11"/>
      <c r="G799" s="49"/>
      <c r="H799" s="2" t="s">
        <v>1923</v>
      </c>
      <c r="I799" t="s">
        <v>1750</v>
      </c>
      <c r="J799" s="22">
        <f>+Tabla1[[#This Row],[FECHA ENTRADA]]</f>
        <v>45705</v>
      </c>
      <c r="K799" s="8">
        <v>45765</v>
      </c>
      <c r="L799" s="23">
        <f>_xlfn.DAYS(Tabla1[[#This Row],[FECHA FIN ]],Tabla1[[#This Row],[FECHA INICIO]])</f>
        <v>60</v>
      </c>
      <c r="M799" s="12"/>
      <c r="N799" s="12">
        <v>300</v>
      </c>
      <c r="O799" s="24">
        <f>(Tabla1[[#This Row],[COSTO FIJO ]]/30)*Tabla1[[#This Row],[TOTAL DIAS PROYECTO]]+(Tabla1[[#This Row],[COSTO TEMPORAL]])</f>
        <v>600</v>
      </c>
      <c r="P799" s="12"/>
      <c r="Q799" s="12">
        <f>+(Tabla1[[#This Row],[COSTO COCHE]]/30)*Tabla1[[#This Row],[TOTAL DIAS PROYECTO]]</f>
        <v>0</v>
      </c>
      <c r="R799" s="12">
        <f>+Tabla1[[#This Row],[COSTO TOTAL ALOJAMIENTO]]+Tabla1[[#This Row],[COSTO TOTAL COCHE]]</f>
        <v>600</v>
      </c>
      <c r="S799" s="2"/>
      <c r="T799" s="2" t="s">
        <v>58</v>
      </c>
      <c r="U799" s="14">
        <v>45705</v>
      </c>
      <c r="V799" s="25"/>
      <c r="W799" s="26"/>
      <c r="X799" s="2"/>
      <c r="Y799" s="11" t="s">
        <v>1929</v>
      </c>
      <c r="Z799" s="2" t="s">
        <v>36</v>
      </c>
      <c r="AA799" s="13" t="s">
        <v>10428</v>
      </c>
      <c r="AB799" s="13" t="s">
        <v>10429</v>
      </c>
    </row>
    <row r="800" spans="1:28">
      <c r="A800" s="2" t="s">
        <v>9103</v>
      </c>
      <c r="B800" s="2" t="s">
        <v>28</v>
      </c>
      <c r="C800" s="11" t="s">
        <v>2036</v>
      </c>
      <c r="D800" s="2" t="s">
        <v>161</v>
      </c>
      <c r="E800" s="2" t="s">
        <v>1748</v>
      </c>
      <c r="F800" s="11"/>
      <c r="G800" s="49"/>
      <c r="H800" s="2" t="s">
        <v>1749</v>
      </c>
      <c r="I800" t="s">
        <v>1750</v>
      </c>
      <c r="J800" s="22">
        <f>+Tabla1[[#This Row],[FECHA ENTRADA]]</f>
        <v>45712</v>
      </c>
      <c r="K800" s="8">
        <v>45765</v>
      </c>
      <c r="L800" s="23">
        <f>_xlfn.DAYS(Tabla1[[#This Row],[FECHA FIN ]],Tabla1[[#This Row],[FECHA INICIO]])</f>
        <v>53</v>
      </c>
      <c r="M800" s="12"/>
      <c r="N800" s="12">
        <v>300</v>
      </c>
      <c r="O800" s="24">
        <f>(Tabla1[[#This Row],[COSTO FIJO ]]/30)*Tabla1[[#This Row],[TOTAL DIAS PROYECTO]]+(Tabla1[[#This Row],[COSTO TEMPORAL]])</f>
        <v>530</v>
      </c>
      <c r="P800" s="12"/>
      <c r="Q800" s="12">
        <f>+(Tabla1[[#This Row],[COSTO COCHE]]/30)*Tabla1[[#This Row],[TOTAL DIAS PROYECTO]]</f>
        <v>0</v>
      </c>
      <c r="R800" s="12">
        <f>+Tabla1[[#This Row],[COSTO TOTAL ALOJAMIENTO]]+Tabla1[[#This Row],[COSTO TOTAL COCHE]]</f>
        <v>530</v>
      </c>
      <c r="S800" s="2"/>
      <c r="T800" s="2" t="s">
        <v>58</v>
      </c>
      <c r="U800" s="14">
        <v>45712</v>
      </c>
      <c r="V800" s="25"/>
      <c r="W800" s="26"/>
      <c r="X800" s="2"/>
      <c r="Y800" s="11" t="s">
        <v>1929</v>
      </c>
      <c r="Z800" s="2" t="s">
        <v>36</v>
      </c>
      <c r="AA800" s="13" t="s">
        <v>10428</v>
      </c>
      <c r="AB800" s="13" t="s">
        <v>10429</v>
      </c>
    </row>
    <row r="801" spans="1:28">
      <c r="A801" s="2" t="s">
        <v>9104</v>
      </c>
      <c r="B801" s="2" t="s">
        <v>28</v>
      </c>
      <c r="C801" s="11" t="s">
        <v>2037</v>
      </c>
      <c r="D801" s="2" t="s">
        <v>161</v>
      </c>
      <c r="E801" s="2" t="s">
        <v>1748</v>
      </c>
      <c r="F801" s="11"/>
      <c r="G801" s="49"/>
      <c r="H801" s="2" t="s">
        <v>1749</v>
      </c>
      <c r="I801" t="s">
        <v>1750</v>
      </c>
      <c r="J801" s="22">
        <f>+Tabla1[[#This Row],[FECHA ENTRADA]]</f>
        <v>45712</v>
      </c>
      <c r="K801" s="8">
        <v>45765</v>
      </c>
      <c r="L801" s="23">
        <f>_xlfn.DAYS(Tabla1[[#This Row],[FECHA FIN ]],Tabla1[[#This Row],[FECHA INICIO]])</f>
        <v>53</v>
      </c>
      <c r="M801" s="12"/>
      <c r="N801" s="12">
        <v>300</v>
      </c>
      <c r="O801" s="24">
        <f>(Tabla1[[#This Row],[COSTO FIJO ]]/30)*Tabla1[[#This Row],[TOTAL DIAS PROYECTO]]+(Tabla1[[#This Row],[COSTO TEMPORAL]])</f>
        <v>530</v>
      </c>
      <c r="P801" s="12"/>
      <c r="Q801" s="12">
        <f>+(Tabla1[[#This Row],[COSTO COCHE]]/30)*Tabla1[[#This Row],[TOTAL DIAS PROYECTO]]</f>
        <v>0</v>
      </c>
      <c r="R801" s="12">
        <f>+Tabla1[[#This Row],[COSTO TOTAL ALOJAMIENTO]]+Tabla1[[#This Row],[COSTO TOTAL COCHE]]</f>
        <v>530</v>
      </c>
      <c r="S801" s="2"/>
      <c r="T801" s="2" t="s">
        <v>58</v>
      </c>
      <c r="U801" s="14">
        <v>45712</v>
      </c>
      <c r="V801" s="25"/>
      <c r="W801" s="26"/>
      <c r="X801" s="2"/>
      <c r="Y801" s="11" t="s">
        <v>1929</v>
      </c>
      <c r="Z801" s="2" t="s">
        <v>36</v>
      </c>
      <c r="AA801" s="13" t="s">
        <v>10428</v>
      </c>
      <c r="AB801" s="13" t="s">
        <v>10429</v>
      </c>
    </row>
    <row r="802" spans="1:28" ht="15" customHeight="1">
      <c r="A802" s="2" t="s">
        <v>9105</v>
      </c>
      <c r="B802" s="2" t="s">
        <v>28</v>
      </c>
      <c r="C802" s="11" t="s">
        <v>2038</v>
      </c>
      <c r="D802" s="2" t="s">
        <v>161</v>
      </c>
      <c r="E802" s="2" t="s">
        <v>1748</v>
      </c>
      <c r="F802" s="11"/>
      <c r="G802" s="49"/>
      <c r="H802" s="2" t="s">
        <v>1749</v>
      </c>
      <c r="I802" t="s">
        <v>1750</v>
      </c>
      <c r="J802" s="22">
        <f>+Tabla1[[#This Row],[FECHA ENTRADA]]</f>
        <v>45712</v>
      </c>
      <c r="K802" s="8">
        <v>45765</v>
      </c>
      <c r="L802" s="23">
        <f>_xlfn.DAYS(Tabla1[[#This Row],[FECHA FIN ]],Tabla1[[#This Row],[FECHA INICIO]])</f>
        <v>53</v>
      </c>
      <c r="M802" s="12"/>
      <c r="N802" s="12">
        <v>300</v>
      </c>
      <c r="O802" s="24">
        <f>(Tabla1[[#This Row],[COSTO FIJO ]]/30)*Tabla1[[#This Row],[TOTAL DIAS PROYECTO]]+(Tabla1[[#This Row],[COSTO TEMPORAL]])</f>
        <v>530</v>
      </c>
      <c r="P802" s="12"/>
      <c r="Q802" s="12">
        <f>+(Tabla1[[#This Row],[COSTO COCHE]]/30)*Tabla1[[#This Row],[TOTAL DIAS PROYECTO]]</f>
        <v>0</v>
      </c>
      <c r="R802" s="12">
        <f>+Tabla1[[#This Row],[COSTO TOTAL ALOJAMIENTO]]+Tabla1[[#This Row],[COSTO TOTAL COCHE]]</f>
        <v>530</v>
      </c>
      <c r="S802" s="2"/>
      <c r="T802" s="2" t="s">
        <v>58</v>
      </c>
      <c r="U802" s="14">
        <v>45712</v>
      </c>
      <c r="V802" s="25"/>
      <c r="W802" s="26"/>
      <c r="X802" s="2"/>
      <c r="Y802" s="11" t="s">
        <v>1929</v>
      </c>
      <c r="Z802" s="2" t="s">
        <v>36</v>
      </c>
      <c r="AA802" s="13" t="s">
        <v>10428</v>
      </c>
      <c r="AB802" s="13" t="s">
        <v>10429</v>
      </c>
    </row>
    <row r="803" spans="1:28">
      <c r="A803" s="2" t="s">
        <v>9106</v>
      </c>
      <c r="B803" s="2" t="s">
        <v>28</v>
      </c>
      <c r="C803" s="11" t="s">
        <v>2039</v>
      </c>
      <c r="D803" s="2" t="s">
        <v>161</v>
      </c>
      <c r="E803" s="2" t="s">
        <v>1748</v>
      </c>
      <c r="F803" s="11"/>
      <c r="G803" s="49"/>
      <c r="H803" s="2" t="s">
        <v>1923</v>
      </c>
      <c r="I803" t="s">
        <v>1750</v>
      </c>
      <c r="J803" s="22">
        <f>+Tabla1[[#This Row],[FECHA ENTRADA]]</f>
        <v>45705</v>
      </c>
      <c r="K803" s="8">
        <v>45765</v>
      </c>
      <c r="L803" s="23">
        <f>_xlfn.DAYS(Tabla1[[#This Row],[FECHA FIN ]],Tabla1[[#This Row],[FECHA INICIO]])</f>
        <v>60</v>
      </c>
      <c r="M803" s="12"/>
      <c r="N803" s="12">
        <v>300</v>
      </c>
      <c r="O803" s="24">
        <f>(Tabla1[[#This Row],[COSTO FIJO ]]/30)*Tabla1[[#This Row],[TOTAL DIAS PROYECTO]]+(Tabla1[[#This Row],[COSTO TEMPORAL]])</f>
        <v>600</v>
      </c>
      <c r="P803" s="12"/>
      <c r="Q803" s="12">
        <f>+(Tabla1[[#This Row],[COSTO COCHE]]/30)*Tabla1[[#This Row],[TOTAL DIAS PROYECTO]]</f>
        <v>0</v>
      </c>
      <c r="R803" s="12">
        <f>+Tabla1[[#This Row],[COSTO TOTAL ALOJAMIENTO]]+Tabla1[[#This Row],[COSTO TOTAL COCHE]]</f>
        <v>600</v>
      </c>
      <c r="S803" s="2"/>
      <c r="T803" s="2" t="s">
        <v>58</v>
      </c>
      <c r="U803" s="14">
        <v>45705</v>
      </c>
      <c r="V803" s="25"/>
      <c r="W803" s="26"/>
      <c r="X803" s="2"/>
      <c r="Y803" s="11" t="s">
        <v>1929</v>
      </c>
      <c r="Z803" s="2" t="s">
        <v>36</v>
      </c>
      <c r="AA803" s="13" t="s">
        <v>10428</v>
      </c>
      <c r="AB803" s="13" t="s">
        <v>10429</v>
      </c>
    </row>
    <row r="804" spans="1:28">
      <c r="A804" s="2" t="s">
        <v>9107</v>
      </c>
      <c r="B804" s="2" t="s">
        <v>28</v>
      </c>
      <c r="C804" s="11" t="s">
        <v>2040</v>
      </c>
      <c r="D804" s="2" t="s">
        <v>161</v>
      </c>
      <c r="E804" s="2" t="s">
        <v>1748</v>
      </c>
      <c r="F804" s="11"/>
      <c r="G804" s="49"/>
      <c r="H804" s="2" t="s">
        <v>1749</v>
      </c>
      <c r="I804" t="s">
        <v>1750</v>
      </c>
      <c r="J804" s="22">
        <f>+Tabla1[[#This Row],[FECHA ENTRADA]]</f>
        <v>45712</v>
      </c>
      <c r="K804" s="8">
        <v>45765</v>
      </c>
      <c r="L804" s="23">
        <f>_xlfn.DAYS(Tabla1[[#This Row],[FECHA FIN ]],Tabla1[[#This Row],[FECHA INICIO]])</f>
        <v>53</v>
      </c>
      <c r="M804" s="12"/>
      <c r="N804" s="12">
        <v>300</v>
      </c>
      <c r="O804" s="24">
        <f>(Tabla1[[#This Row],[COSTO FIJO ]]/30)*Tabla1[[#This Row],[TOTAL DIAS PROYECTO]]+(Tabla1[[#This Row],[COSTO TEMPORAL]])</f>
        <v>530</v>
      </c>
      <c r="P804" s="12"/>
      <c r="Q804" s="12">
        <f>+(Tabla1[[#This Row],[COSTO COCHE]]/30)*Tabla1[[#This Row],[TOTAL DIAS PROYECTO]]</f>
        <v>0</v>
      </c>
      <c r="R804" s="12">
        <f>+Tabla1[[#This Row],[COSTO TOTAL ALOJAMIENTO]]+Tabla1[[#This Row],[COSTO TOTAL COCHE]]</f>
        <v>530</v>
      </c>
      <c r="S804" s="2"/>
      <c r="T804" s="2" t="s">
        <v>58</v>
      </c>
      <c r="U804" s="14">
        <v>45712</v>
      </c>
      <c r="V804" s="25"/>
      <c r="W804" s="26"/>
      <c r="X804" s="2"/>
      <c r="Y804" s="11" t="s">
        <v>1929</v>
      </c>
      <c r="Z804" s="2" t="s">
        <v>36</v>
      </c>
      <c r="AA804" s="13" t="s">
        <v>10428</v>
      </c>
      <c r="AB804" s="13" t="s">
        <v>10429</v>
      </c>
    </row>
    <row r="805" spans="1:28">
      <c r="A805" s="2" t="s">
        <v>9108</v>
      </c>
      <c r="B805" s="2" t="s">
        <v>28</v>
      </c>
      <c r="C805" s="11" t="s">
        <v>2041</v>
      </c>
      <c r="D805" s="2" t="s">
        <v>161</v>
      </c>
      <c r="E805" s="2" t="s">
        <v>1748</v>
      </c>
      <c r="F805" s="11"/>
      <c r="G805" s="49"/>
      <c r="H805" s="2" t="s">
        <v>1749</v>
      </c>
      <c r="I805" t="s">
        <v>1750</v>
      </c>
      <c r="J805" s="22">
        <f>+Tabla1[[#This Row],[FECHA ENTRADA]]</f>
        <v>45712</v>
      </c>
      <c r="K805" s="8">
        <v>45765</v>
      </c>
      <c r="L805" s="23">
        <f>_xlfn.DAYS(Tabla1[[#This Row],[FECHA FIN ]],Tabla1[[#This Row],[FECHA INICIO]])</f>
        <v>53</v>
      </c>
      <c r="M805" s="12"/>
      <c r="N805" s="12">
        <v>300</v>
      </c>
      <c r="O805" s="24">
        <f>(Tabla1[[#This Row],[COSTO FIJO ]]/30)*Tabla1[[#This Row],[TOTAL DIAS PROYECTO]]+(Tabla1[[#This Row],[COSTO TEMPORAL]])</f>
        <v>530</v>
      </c>
      <c r="P805" s="12"/>
      <c r="Q805" s="12">
        <f>+(Tabla1[[#This Row],[COSTO COCHE]]/30)*Tabla1[[#This Row],[TOTAL DIAS PROYECTO]]</f>
        <v>0</v>
      </c>
      <c r="R805" s="12">
        <f>+Tabla1[[#This Row],[COSTO TOTAL ALOJAMIENTO]]+Tabla1[[#This Row],[COSTO TOTAL COCHE]]</f>
        <v>530</v>
      </c>
      <c r="S805" s="2"/>
      <c r="T805" s="2" t="s">
        <v>58</v>
      </c>
      <c r="U805" s="14">
        <v>45712</v>
      </c>
      <c r="V805" s="25"/>
      <c r="W805" s="26"/>
      <c r="X805" s="2"/>
      <c r="Y805" s="11" t="s">
        <v>1929</v>
      </c>
      <c r="Z805" s="2" t="s">
        <v>36</v>
      </c>
      <c r="AA805" s="13" t="s">
        <v>10428</v>
      </c>
      <c r="AB805" s="13" t="s">
        <v>10429</v>
      </c>
    </row>
    <row r="806" spans="1:28" ht="15" customHeight="1">
      <c r="A806" s="2" t="s">
        <v>9109</v>
      </c>
      <c r="B806" s="2" t="s">
        <v>28</v>
      </c>
      <c r="C806" s="11" t="s">
        <v>2042</v>
      </c>
      <c r="D806" s="2" t="s">
        <v>161</v>
      </c>
      <c r="E806" s="2" t="s">
        <v>1748</v>
      </c>
      <c r="F806" s="11"/>
      <c r="G806" s="46"/>
      <c r="H806" s="2" t="s">
        <v>2043</v>
      </c>
      <c r="I806" t="s">
        <v>1750</v>
      </c>
      <c r="J806" s="41">
        <f>+Tabla1[[#This Row],[FECHA ENTRADA]]</f>
        <v>45707</v>
      </c>
      <c r="K806" s="8">
        <v>45765</v>
      </c>
      <c r="L806" s="42">
        <f>_xlfn.DAYS(Tabla1[[#This Row],[FECHA FIN ]],Tabla1[[#This Row],[FECHA INICIO]])</f>
        <v>58</v>
      </c>
      <c r="M806" s="12"/>
      <c r="N806" s="12"/>
      <c r="O806" s="28">
        <f>(Tabla1[[#This Row],[COSTO FIJO ]]/30)*Tabla1[[#This Row],[TOTAL DIAS PROYECTO]]+(Tabla1[[#This Row],[COSTO TEMPORAL]])</f>
        <v>0</v>
      </c>
      <c r="P806" s="12"/>
      <c r="Q806" s="12">
        <f>+(Tabla1[[#This Row],[COSTO COCHE]]/30)*Tabla1[[#This Row],[TOTAL DIAS PROYECTO]]</f>
        <v>0</v>
      </c>
      <c r="R806" s="12">
        <f>+Tabla1[[#This Row],[COSTO TOTAL ALOJAMIENTO]]+Tabla1[[#This Row],[COSTO TOTAL COCHE]]</f>
        <v>0</v>
      </c>
      <c r="S806" s="2"/>
      <c r="T806" s="2" t="s">
        <v>58</v>
      </c>
      <c r="U806" s="14">
        <v>45707</v>
      </c>
      <c r="V806" s="43"/>
      <c r="W806" s="26"/>
      <c r="X806" s="2"/>
      <c r="Y806" s="11" t="s">
        <v>1929</v>
      </c>
      <c r="Z806" s="2" t="s">
        <v>36</v>
      </c>
      <c r="AA806" s="13" t="s">
        <v>10428</v>
      </c>
      <c r="AB806" s="13" t="s">
        <v>10429</v>
      </c>
    </row>
    <row r="807" spans="1:28">
      <c r="A807" s="2" t="s">
        <v>9110</v>
      </c>
      <c r="B807" s="2" t="s">
        <v>28</v>
      </c>
      <c r="C807" s="11" t="s">
        <v>2044</v>
      </c>
      <c r="D807" s="2" t="s">
        <v>161</v>
      </c>
      <c r="E807" s="2" t="s">
        <v>1748</v>
      </c>
      <c r="F807" s="11"/>
      <c r="G807" s="49"/>
      <c r="H807" s="2" t="s">
        <v>1749</v>
      </c>
      <c r="I807" t="s">
        <v>1750</v>
      </c>
      <c r="J807" s="22">
        <f>+Tabla1[[#This Row],[FECHA ENTRADA]]</f>
        <v>45712</v>
      </c>
      <c r="K807" s="8">
        <v>45765</v>
      </c>
      <c r="L807" s="23">
        <f>_xlfn.DAYS(Tabla1[[#This Row],[FECHA FIN ]],Tabla1[[#This Row],[FECHA INICIO]])</f>
        <v>53</v>
      </c>
      <c r="M807" s="12"/>
      <c r="N807" s="12"/>
      <c r="O807" s="24">
        <f>(Tabla1[[#This Row],[COSTO FIJO ]]/30)*Tabla1[[#This Row],[TOTAL DIAS PROYECTO]]+(Tabla1[[#This Row],[COSTO TEMPORAL]])</f>
        <v>0</v>
      </c>
      <c r="P807" s="12"/>
      <c r="Q807" s="12">
        <f>+(Tabla1[[#This Row],[COSTO COCHE]]/30)*Tabla1[[#This Row],[TOTAL DIAS PROYECTO]]</f>
        <v>0</v>
      </c>
      <c r="R807" s="12">
        <f>+Tabla1[[#This Row],[COSTO TOTAL ALOJAMIENTO]]+Tabla1[[#This Row],[COSTO TOTAL COCHE]]</f>
        <v>0</v>
      </c>
      <c r="S807" s="2"/>
      <c r="T807" s="2" t="s">
        <v>58</v>
      </c>
      <c r="U807" s="14">
        <v>45712</v>
      </c>
      <c r="V807" s="25"/>
      <c r="W807" s="26"/>
      <c r="X807" s="2"/>
      <c r="Y807" s="11" t="s">
        <v>1929</v>
      </c>
      <c r="Z807" s="2" t="s">
        <v>36</v>
      </c>
      <c r="AA807" s="13" t="s">
        <v>10428</v>
      </c>
      <c r="AB807" s="13" t="s">
        <v>10429</v>
      </c>
    </row>
    <row r="808" spans="1:28">
      <c r="A808" s="2" t="s">
        <v>9111</v>
      </c>
      <c r="B808" s="2" t="s">
        <v>28</v>
      </c>
      <c r="C808" s="11" t="s">
        <v>2045</v>
      </c>
      <c r="D808" s="2" t="s">
        <v>161</v>
      </c>
      <c r="E808" s="2" t="s">
        <v>1748</v>
      </c>
      <c r="F808" s="11"/>
      <c r="G808" s="49"/>
      <c r="H808" s="2" t="s">
        <v>1749</v>
      </c>
      <c r="I808" t="s">
        <v>1750</v>
      </c>
      <c r="J808" s="22">
        <f>+Tabla1[[#This Row],[FECHA ENTRADA]]</f>
        <v>45712</v>
      </c>
      <c r="K808" s="8">
        <v>45765</v>
      </c>
      <c r="L808" s="23">
        <f>_xlfn.DAYS(Tabla1[[#This Row],[FECHA FIN ]],Tabla1[[#This Row],[FECHA INICIO]])</f>
        <v>53</v>
      </c>
      <c r="M808" s="12"/>
      <c r="N808" s="12"/>
      <c r="O808" s="24">
        <f>(Tabla1[[#This Row],[COSTO FIJO ]]/30)*Tabla1[[#This Row],[TOTAL DIAS PROYECTO]]+(Tabla1[[#This Row],[COSTO TEMPORAL]])</f>
        <v>0</v>
      </c>
      <c r="P808" s="12"/>
      <c r="Q808" s="12">
        <f>+(Tabla1[[#This Row],[COSTO COCHE]]/30)*Tabla1[[#This Row],[TOTAL DIAS PROYECTO]]</f>
        <v>0</v>
      </c>
      <c r="R808" s="12">
        <f>+Tabla1[[#This Row],[COSTO TOTAL ALOJAMIENTO]]+Tabla1[[#This Row],[COSTO TOTAL COCHE]]</f>
        <v>0</v>
      </c>
      <c r="S808" s="2"/>
      <c r="T808" s="2" t="s">
        <v>58</v>
      </c>
      <c r="U808" s="14">
        <v>45712</v>
      </c>
      <c r="V808" s="25"/>
      <c r="W808" s="26"/>
      <c r="X808" s="2"/>
      <c r="Y808" s="11" t="s">
        <v>1929</v>
      </c>
      <c r="Z808" s="2" t="s">
        <v>36</v>
      </c>
      <c r="AA808" s="13" t="s">
        <v>10428</v>
      </c>
      <c r="AB808" s="13" t="s">
        <v>10429</v>
      </c>
    </row>
    <row r="809" spans="1:28">
      <c r="A809" s="2" t="s">
        <v>9112</v>
      </c>
      <c r="B809" s="2" t="s">
        <v>28</v>
      </c>
      <c r="C809" s="11" t="s">
        <v>2046</v>
      </c>
      <c r="D809" s="2" t="s">
        <v>161</v>
      </c>
      <c r="E809" s="2" t="s">
        <v>1748</v>
      </c>
      <c r="F809" s="11"/>
      <c r="G809" s="49"/>
      <c r="H809" s="2" t="s">
        <v>1749</v>
      </c>
      <c r="I809" t="s">
        <v>1750</v>
      </c>
      <c r="J809" s="22">
        <f>+Tabla1[[#This Row],[FECHA ENTRADA]]</f>
        <v>45712</v>
      </c>
      <c r="K809" s="8">
        <v>45765</v>
      </c>
      <c r="L809" s="23">
        <f>_xlfn.DAYS(Tabla1[[#This Row],[FECHA FIN ]],Tabla1[[#This Row],[FECHA INICIO]])</f>
        <v>53</v>
      </c>
      <c r="M809" s="12"/>
      <c r="N809" s="12"/>
      <c r="O809" s="24">
        <f>(Tabla1[[#This Row],[COSTO FIJO ]]/30)*Tabla1[[#This Row],[TOTAL DIAS PROYECTO]]+(Tabla1[[#This Row],[COSTO TEMPORAL]])</f>
        <v>0</v>
      </c>
      <c r="P809" s="12"/>
      <c r="Q809" s="12">
        <f>+(Tabla1[[#This Row],[COSTO COCHE]]/30)*Tabla1[[#This Row],[TOTAL DIAS PROYECTO]]</f>
        <v>0</v>
      </c>
      <c r="R809" s="12">
        <f>+Tabla1[[#This Row],[COSTO TOTAL ALOJAMIENTO]]+Tabla1[[#This Row],[COSTO TOTAL COCHE]]</f>
        <v>0</v>
      </c>
      <c r="S809" s="2"/>
      <c r="T809" s="2" t="s">
        <v>58</v>
      </c>
      <c r="U809" s="14">
        <v>45712</v>
      </c>
      <c r="V809" s="25"/>
      <c r="W809" s="26"/>
      <c r="X809" s="2"/>
      <c r="Y809" s="11" t="s">
        <v>1929</v>
      </c>
      <c r="Z809" s="2" t="s">
        <v>36</v>
      </c>
      <c r="AA809" s="13" t="s">
        <v>10428</v>
      </c>
      <c r="AB809" s="13" t="s">
        <v>10429</v>
      </c>
    </row>
    <row r="810" spans="1:28">
      <c r="A810" s="2" t="s">
        <v>9113</v>
      </c>
      <c r="B810" s="2" t="s">
        <v>28</v>
      </c>
      <c r="C810" s="11" t="s">
        <v>2047</v>
      </c>
      <c r="D810" s="2" t="s">
        <v>161</v>
      </c>
      <c r="E810" s="2" t="s">
        <v>1748</v>
      </c>
      <c r="F810" s="11"/>
      <c r="G810" s="49"/>
      <c r="H810" s="2" t="s">
        <v>1749</v>
      </c>
      <c r="I810" t="s">
        <v>1750</v>
      </c>
      <c r="J810" s="22">
        <f>+Tabla1[[#This Row],[FECHA ENTRADA]]</f>
        <v>45712</v>
      </c>
      <c r="K810" s="8">
        <v>45765</v>
      </c>
      <c r="L810" s="23">
        <f>_xlfn.DAYS(Tabla1[[#This Row],[FECHA FIN ]],Tabla1[[#This Row],[FECHA INICIO]])</f>
        <v>53</v>
      </c>
      <c r="M810" s="12"/>
      <c r="N810" s="12"/>
      <c r="O810" s="24">
        <f>(Tabla1[[#This Row],[COSTO FIJO ]]/30)*Tabla1[[#This Row],[TOTAL DIAS PROYECTO]]+(Tabla1[[#This Row],[COSTO TEMPORAL]])</f>
        <v>0</v>
      </c>
      <c r="P810" s="12"/>
      <c r="Q810" s="12">
        <f>+(Tabla1[[#This Row],[COSTO COCHE]]/30)*Tabla1[[#This Row],[TOTAL DIAS PROYECTO]]</f>
        <v>0</v>
      </c>
      <c r="R810" s="12">
        <f>+Tabla1[[#This Row],[COSTO TOTAL ALOJAMIENTO]]+Tabla1[[#This Row],[COSTO TOTAL COCHE]]</f>
        <v>0</v>
      </c>
      <c r="S810" s="2"/>
      <c r="T810" s="2" t="s">
        <v>58</v>
      </c>
      <c r="U810" s="14">
        <v>45712</v>
      </c>
      <c r="V810" s="25"/>
      <c r="W810" s="26"/>
      <c r="X810" s="2"/>
      <c r="Y810" s="11" t="s">
        <v>1929</v>
      </c>
      <c r="Z810" s="2" t="s">
        <v>36</v>
      </c>
      <c r="AA810" s="13" t="s">
        <v>10428</v>
      </c>
      <c r="AB810" s="13" t="s">
        <v>10429</v>
      </c>
    </row>
    <row r="811" spans="1:28" ht="15" customHeight="1">
      <c r="A811" s="2" t="s">
        <v>9008</v>
      </c>
      <c r="B811" s="2" t="s">
        <v>368</v>
      </c>
      <c r="C811" s="11" t="s">
        <v>1682</v>
      </c>
      <c r="D811" s="2" t="s">
        <v>30</v>
      </c>
      <c r="E811" s="2" t="s">
        <v>985</v>
      </c>
      <c r="F811" s="11"/>
      <c r="G811" s="49"/>
      <c r="H811" s="2" t="s">
        <v>1683</v>
      </c>
      <c r="I811" s="12" t="s">
        <v>989</v>
      </c>
      <c r="J811" s="22">
        <f>+Tabla1[[#This Row],[FECHA ENTRADA]]</f>
        <v>45716</v>
      </c>
      <c r="K811" s="8">
        <v>45767</v>
      </c>
      <c r="L811" s="23">
        <f>_xlfn.DAYS(Tabla1[[#This Row],[FECHA FIN ]],Tabla1[[#This Row],[FECHA INICIO]])</f>
        <v>51</v>
      </c>
      <c r="M811" s="12"/>
      <c r="N811" s="12"/>
      <c r="O811" s="24">
        <f>(Tabla1[[#This Row],[COSTO FIJO ]]/30)*Tabla1[[#This Row],[TOTAL DIAS PROYECTO]]+(Tabla1[[#This Row],[COSTO TEMPORAL]])</f>
        <v>0</v>
      </c>
      <c r="P811" s="12"/>
      <c r="Q811" s="12">
        <f>+(Tabla1[[#This Row],[COSTO COCHE]]/30)*Tabla1[[#This Row],[TOTAL DIAS PROYECTO]]</f>
        <v>0</v>
      </c>
      <c r="R811" s="12">
        <f>+Tabla1[[#This Row],[COSTO TOTAL ALOJAMIENTO]]+Tabla1[[#This Row],[COSTO TOTAL COCHE]]</f>
        <v>0</v>
      </c>
      <c r="S811" s="2"/>
      <c r="T811" s="2" t="s">
        <v>58</v>
      </c>
      <c r="U811" s="14">
        <v>45716</v>
      </c>
      <c r="V811" s="25"/>
      <c r="W811" s="26"/>
      <c r="X811" s="2"/>
      <c r="Y811" s="11" t="s">
        <v>2048</v>
      </c>
      <c r="Z811" s="2" t="s">
        <v>620</v>
      </c>
      <c r="AA811" s="13" t="s">
        <v>10407</v>
      </c>
      <c r="AB811" s="13" t="s">
        <v>10408</v>
      </c>
    </row>
    <row r="812" spans="1:28" ht="15" customHeight="1">
      <c r="A812" s="2" t="s">
        <v>9097</v>
      </c>
      <c r="B812" s="2" t="s">
        <v>368</v>
      </c>
      <c r="C812" s="18" t="s">
        <v>2017</v>
      </c>
      <c r="D812" s="2" t="s">
        <v>30</v>
      </c>
      <c r="E812" s="2" t="s">
        <v>422</v>
      </c>
      <c r="F812" s="11" t="s">
        <v>697</v>
      </c>
      <c r="G812" s="11" t="s">
        <v>698</v>
      </c>
      <c r="H812" s="2" t="s">
        <v>1978</v>
      </c>
      <c r="I812" s="12" t="s">
        <v>1435</v>
      </c>
      <c r="J812" s="8">
        <f>+Tabla1[[#This Row],[FECHA ENTRADA]]</f>
        <v>45512</v>
      </c>
      <c r="K812" s="22">
        <v>45530</v>
      </c>
      <c r="L812" s="13">
        <f>_xlfn.DAYS(Tabla1[[#This Row],[FECHA FIN ]],Tabla1[[#This Row],[FECHA INICIO]])</f>
        <v>18</v>
      </c>
      <c r="M812" s="12"/>
      <c r="N812" s="12">
        <v>417.45</v>
      </c>
      <c r="O812" s="12">
        <f>(Tabla1[[#This Row],[COSTO FIJO ]]/30)*Tabla1[[#This Row],[TOTAL DIAS PROYECTO]]+(Tabla1[[#This Row],[COSTO TEMPORAL]])</f>
        <v>250.46999999999997</v>
      </c>
      <c r="P812" s="12"/>
      <c r="Q812" s="12">
        <f>+(Tabla1[[#This Row],[COSTO COCHE]]/30)*Tabla1[[#This Row],[TOTAL DIAS PROYECTO]]</f>
        <v>0</v>
      </c>
      <c r="R812" s="12">
        <f>+Tabla1[[#This Row],[COSTO TOTAL ALOJAMIENTO]]+Tabla1[[#This Row],[COSTO TOTAL COCHE]]</f>
        <v>250.46999999999997</v>
      </c>
      <c r="S812" s="2"/>
      <c r="T812" s="2" t="s">
        <v>613</v>
      </c>
      <c r="U812" s="14">
        <v>45512</v>
      </c>
      <c r="V812" s="14"/>
      <c r="W812" s="26"/>
      <c r="X812" s="2">
        <v>1</v>
      </c>
      <c r="Y812" s="18" t="s">
        <v>543</v>
      </c>
      <c r="Z812" s="2" t="s">
        <v>36</v>
      </c>
      <c r="AA812" s="13">
        <v>-326.69799999999998</v>
      </c>
      <c r="AB812" s="13" t="s">
        <v>10373</v>
      </c>
    </row>
    <row r="813" spans="1:28" ht="15" customHeight="1">
      <c r="A813" s="2" t="s">
        <v>8938</v>
      </c>
      <c r="B813" s="2" t="s">
        <v>368</v>
      </c>
      <c r="C813" s="11" t="s">
        <v>1362</v>
      </c>
      <c r="D813" s="2" t="s">
        <v>99</v>
      </c>
      <c r="E813" s="2" t="s">
        <v>1404</v>
      </c>
      <c r="F813" s="11" t="s">
        <v>2049</v>
      </c>
      <c r="G813" s="49" t="s">
        <v>2050</v>
      </c>
      <c r="H813" s="2" t="s">
        <v>2051</v>
      </c>
      <c r="I813" s="12" t="s">
        <v>1392</v>
      </c>
      <c r="J813" s="22">
        <f>+Tabla1[[#This Row],[FECHA ENTRADA]]</f>
        <v>45753</v>
      </c>
      <c r="K813" s="22">
        <v>45769</v>
      </c>
      <c r="L813" s="23">
        <f>_xlfn.DAYS(Tabla1[[#This Row],[FECHA FIN ]],Tabla1[[#This Row],[FECHA INICIO]])</f>
        <v>16</v>
      </c>
      <c r="M813" s="12"/>
      <c r="N813" s="12">
        <f>1811.6/17</f>
        <v>106.56470588235294</v>
      </c>
      <c r="O813" s="24">
        <f>(Tabla1[[#This Row],[COSTO FIJO ]]/30)*Tabla1[[#This Row],[TOTAL DIAS PROYECTO]]+(Tabla1[[#This Row],[COSTO TEMPORAL]])</f>
        <v>56.83450980392157</v>
      </c>
      <c r="P813" s="12"/>
      <c r="Q813" s="12">
        <f>+(Tabla1[[#This Row],[COSTO COCHE]]/30)*Tabla1[[#This Row],[TOTAL DIAS PROYECTO]]</f>
        <v>0</v>
      </c>
      <c r="R813" s="12">
        <f>+Tabla1[[#This Row],[COSTO TOTAL ALOJAMIENTO]]+Tabla1[[#This Row],[COSTO TOTAL COCHE]]</f>
        <v>56.83450980392157</v>
      </c>
      <c r="S813" s="2" t="s">
        <v>84</v>
      </c>
      <c r="T813" s="14" t="s">
        <v>528</v>
      </c>
      <c r="U813" s="14">
        <v>45753</v>
      </c>
      <c r="V813" s="14">
        <v>45769</v>
      </c>
      <c r="W813" s="2"/>
      <c r="X813" s="2"/>
      <c r="Y813" s="11"/>
      <c r="Z813" s="2" t="s">
        <v>36</v>
      </c>
      <c r="AA813" s="13" t="s">
        <v>10418</v>
      </c>
      <c r="AB813" s="13" t="s">
        <v>10419</v>
      </c>
    </row>
    <row r="814" spans="1:28" ht="15" customHeight="1">
      <c r="A814" s="2" t="s">
        <v>9019</v>
      </c>
      <c r="B814" s="2" t="s">
        <v>368</v>
      </c>
      <c r="C814" s="11" t="s">
        <v>1710</v>
      </c>
      <c r="D814" s="2" t="s">
        <v>99</v>
      </c>
      <c r="E814" s="2" t="s">
        <v>1404</v>
      </c>
      <c r="F814" s="11" t="s">
        <v>2049</v>
      </c>
      <c r="G814" s="49" t="s">
        <v>2050</v>
      </c>
      <c r="H814" s="2" t="s">
        <v>2051</v>
      </c>
      <c r="I814" s="12" t="s">
        <v>1392</v>
      </c>
      <c r="J814" s="22">
        <f>+Tabla1[[#This Row],[FECHA ENTRADA]]</f>
        <v>45753</v>
      </c>
      <c r="K814" s="22">
        <v>45769</v>
      </c>
      <c r="L814" s="23">
        <f>_xlfn.DAYS(Tabla1[[#This Row],[FECHA FIN ]],Tabla1[[#This Row],[FECHA INICIO]])</f>
        <v>16</v>
      </c>
      <c r="M814" s="12"/>
      <c r="N814" s="24"/>
      <c r="O814" s="24">
        <f>(Tabla1[[#This Row],[COSTO FIJO ]]/30)*Tabla1[[#This Row],[TOTAL DIAS PROYECTO]]+(Tabla1[[#This Row],[COSTO TEMPORAL]])</f>
        <v>0</v>
      </c>
      <c r="P814" s="12"/>
      <c r="Q814" s="12">
        <f>+(Tabla1[[#This Row],[COSTO COCHE]]/30)*Tabla1[[#This Row],[TOTAL DIAS PROYECTO]]</f>
        <v>0</v>
      </c>
      <c r="R814" s="12">
        <f>+Tabla1[[#This Row],[COSTO TOTAL ALOJAMIENTO]]+Tabla1[[#This Row],[COSTO TOTAL COCHE]]</f>
        <v>0</v>
      </c>
      <c r="S814" s="2" t="s">
        <v>84</v>
      </c>
      <c r="T814" s="14" t="s">
        <v>44</v>
      </c>
      <c r="U814" s="14">
        <v>45753</v>
      </c>
      <c r="V814" s="14">
        <v>45769</v>
      </c>
      <c r="W814" s="2"/>
      <c r="X814" s="2"/>
      <c r="Y814" s="11"/>
      <c r="Z814" s="2" t="s">
        <v>36</v>
      </c>
      <c r="AA814" s="13" t="s">
        <v>10418</v>
      </c>
      <c r="AB814" s="13" t="s">
        <v>10419</v>
      </c>
    </row>
    <row r="815" spans="1:28" ht="15" customHeight="1">
      <c r="A815" s="2" t="s">
        <v>9002</v>
      </c>
      <c r="B815" s="2" t="s">
        <v>1457</v>
      </c>
      <c r="C815" s="31" t="s">
        <v>1659</v>
      </c>
      <c r="D815" s="2" t="s">
        <v>72</v>
      </c>
      <c r="E815" s="10" t="s">
        <v>1458</v>
      </c>
      <c r="F815" s="11" t="s">
        <v>2052</v>
      </c>
      <c r="G815" s="49" t="s">
        <v>2053</v>
      </c>
      <c r="H815" s="2" t="s">
        <v>1461</v>
      </c>
      <c r="I815" s="12" t="s">
        <v>1288</v>
      </c>
      <c r="J815" s="22">
        <f>+Tabla1[[#This Row],[FECHA ENTRADA]]</f>
        <v>45775</v>
      </c>
      <c r="K815" s="8">
        <v>45769</v>
      </c>
      <c r="L815" s="23">
        <f>_xlfn.DAYS(Tabla1[[#This Row],[FECHA FIN ]],Tabla1[[#This Row],[FECHA INICIO]])</f>
        <v>-6</v>
      </c>
      <c r="M815" s="12"/>
      <c r="N815" s="24">
        <v>575</v>
      </c>
      <c r="O815" s="24">
        <f>(Tabla1[[#This Row],[COSTO FIJO ]]/30)*Tabla1[[#This Row],[TOTAL DIAS PROYECTO]]+(Tabla1[[#This Row],[COSTO TEMPORAL]])</f>
        <v>-115</v>
      </c>
      <c r="P815" s="12"/>
      <c r="Q815" s="12">
        <f>+(Tabla1[[#This Row],[COSTO COCHE]]/30)*Tabla1[[#This Row],[TOTAL DIAS PROYECTO]]</f>
        <v>0</v>
      </c>
      <c r="R815" s="12">
        <f>+Tabla1[[#This Row],[COSTO TOTAL ALOJAMIENTO]]+Tabla1[[#This Row],[COSTO TOTAL COCHE]]</f>
        <v>-115</v>
      </c>
      <c r="S815" s="2"/>
      <c r="T815" s="2" t="s">
        <v>528</v>
      </c>
      <c r="U815" s="14">
        <v>45775</v>
      </c>
      <c r="V815" s="25">
        <v>45805</v>
      </c>
      <c r="W815" s="2"/>
      <c r="X815" s="2"/>
      <c r="Y815" s="150"/>
      <c r="Z815" s="2" t="s">
        <v>36</v>
      </c>
      <c r="AA815" s="13" t="s">
        <v>10421</v>
      </c>
      <c r="AB815" s="13">
        <v>5113412</v>
      </c>
    </row>
    <row r="816" spans="1:28" ht="15" customHeight="1">
      <c r="A816" s="2" t="s">
        <v>8642</v>
      </c>
      <c r="B816" s="2" t="s">
        <v>711</v>
      </c>
      <c r="C816" s="11" t="s">
        <v>2054</v>
      </c>
      <c r="D816" s="2" t="s">
        <v>30</v>
      </c>
      <c r="E816" s="2" t="s">
        <v>648</v>
      </c>
      <c r="F816" s="11"/>
      <c r="G816" s="46"/>
      <c r="H816" s="2" t="s">
        <v>2055</v>
      </c>
      <c r="I816" s="12" t="s">
        <v>96</v>
      </c>
      <c r="J816" s="41">
        <f>+Tabla1[[#This Row],[FECHA ENTRADA]]</f>
        <v>46230</v>
      </c>
      <c r="K816" s="22">
        <v>46230</v>
      </c>
      <c r="L816" s="42">
        <f>_xlfn.DAYS(Tabla1[[#This Row],[FECHA FIN ]],Tabla1[[#This Row],[FECHA INICIO]])</f>
        <v>0</v>
      </c>
      <c r="M816" s="12"/>
      <c r="N816" s="28">
        <v>0</v>
      </c>
      <c r="O816" s="28">
        <f>(Tabla1[[#This Row],[COSTO FIJO ]]/30)*Tabla1[[#This Row],[TOTAL DIAS PROYECTO]]+(Tabla1[[#This Row],[COSTO TEMPORAL]])</f>
        <v>0</v>
      </c>
      <c r="P816" s="12"/>
      <c r="Q816" s="12">
        <f>+(Tabla1[[#This Row],[COSTO COCHE]]/30)*Tabla1[[#This Row],[TOTAL DIAS PROYECTO]]</f>
        <v>0</v>
      </c>
      <c r="R816" s="12">
        <f>+Tabla1[[#This Row],[COSTO TOTAL ALOJAMIENTO]]+Tabla1[[#This Row],[COSTO TOTAL COCHE]]</f>
        <v>0</v>
      </c>
      <c r="S816" s="2"/>
      <c r="T816" s="14" t="s">
        <v>8</v>
      </c>
      <c r="U816" s="14">
        <v>46230</v>
      </c>
      <c r="V816" s="43"/>
      <c r="W816" s="12"/>
      <c r="X816" s="2"/>
      <c r="Y816" s="151" t="s">
        <v>2056</v>
      </c>
      <c r="Z816" s="2" t="s">
        <v>36</v>
      </c>
      <c r="AA816" s="13" t="s">
        <v>10387</v>
      </c>
      <c r="AB816" s="13" t="s">
        <v>10388</v>
      </c>
    </row>
    <row r="817" spans="1:28" ht="15" customHeight="1">
      <c r="A817" s="2" t="s">
        <v>9114</v>
      </c>
      <c r="B817" s="2" t="s">
        <v>28</v>
      </c>
      <c r="C817" s="11" t="s">
        <v>2057</v>
      </c>
      <c r="D817" s="2" t="s">
        <v>99</v>
      </c>
      <c r="E817" s="2" t="s">
        <v>855</v>
      </c>
      <c r="F817" s="11" t="s">
        <v>1937</v>
      </c>
      <c r="G817" s="11" t="s">
        <v>1938</v>
      </c>
      <c r="H817" s="2" t="s">
        <v>1939</v>
      </c>
      <c r="I817" s="10" t="s">
        <v>1940</v>
      </c>
      <c r="J817" s="41">
        <f>+Tabla1[[#This Row],[FECHA ENTRADA]]</f>
        <v>45747</v>
      </c>
      <c r="K817" s="22">
        <v>45770</v>
      </c>
      <c r="L817" s="42">
        <f>_xlfn.DAYS(Tabla1[[#This Row],[FECHA FIN ]],Tabla1[[#This Row],[FECHA INICIO]])</f>
        <v>23</v>
      </c>
      <c r="M817" s="12"/>
      <c r="N817" s="28"/>
      <c r="O817" s="28">
        <f>(Tabla1[[#This Row],[COSTO FIJO ]]/30)*Tabla1[[#This Row],[TOTAL DIAS PROYECTO]]+(Tabla1[[#This Row],[COSTO TEMPORAL]])</f>
        <v>0</v>
      </c>
      <c r="P817" s="12"/>
      <c r="Q817" s="12">
        <f>+(Tabla1[[#This Row],[COSTO COCHE]]/30)*Tabla1[[#This Row],[TOTAL DIAS PROYECTO]]</f>
        <v>0</v>
      </c>
      <c r="R817" s="12">
        <f>+Tabla1[[#This Row],[COSTO TOTAL ALOJAMIENTO]]+Tabla1[[#This Row],[COSTO TOTAL COCHE]]</f>
        <v>0</v>
      </c>
      <c r="S817" s="2"/>
      <c r="T817" s="2" t="s">
        <v>44</v>
      </c>
      <c r="U817" s="14">
        <v>45747</v>
      </c>
      <c r="V817" s="79">
        <v>45755</v>
      </c>
      <c r="W817" s="26"/>
      <c r="X817" s="2"/>
      <c r="Y817" s="11"/>
      <c r="Z817" s="2" t="s">
        <v>36</v>
      </c>
      <c r="AA817" s="13" t="s">
        <v>10401</v>
      </c>
      <c r="AB817" s="13" t="s">
        <v>10402</v>
      </c>
    </row>
    <row r="818" spans="1:28" ht="15" customHeight="1">
      <c r="A818" s="2" t="s">
        <v>8638</v>
      </c>
      <c r="B818" s="2" t="s">
        <v>28</v>
      </c>
      <c r="C818" s="11" t="s">
        <v>2058</v>
      </c>
      <c r="D818" s="2" t="s">
        <v>30</v>
      </c>
      <c r="E818" s="2" t="s">
        <v>31</v>
      </c>
      <c r="F818" s="11" t="s">
        <v>2059</v>
      </c>
      <c r="G818" s="46" t="s">
        <v>2060</v>
      </c>
      <c r="H818" s="2" t="s">
        <v>2061</v>
      </c>
      <c r="I818" s="12" t="s">
        <v>2062</v>
      </c>
      <c r="J818" s="41">
        <f>+Tabla1[[#This Row],[FECHA ENTRADA]]</f>
        <v>45769</v>
      </c>
      <c r="K818" s="8">
        <v>45770</v>
      </c>
      <c r="L818" s="13">
        <f>_xlfn.DAYS(Tabla1[[#This Row],[FECHA FIN ]],Tabla1[[#This Row],[FECHA INICIO]])</f>
        <v>1</v>
      </c>
      <c r="M818" s="12"/>
      <c r="N818" s="12"/>
      <c r="O818" s="12">
        <f>(Tabla1[[#This Row],[COSTO FIJO ]]/30)*Tabla1[[#This Row],[TOTAL DIAS PROYECTO]]+(Tabla1[[#This Row],[COSTO TEMPORAL]])</f>
        <v>0</v>
      </c>
      <c r="P818" s="12"/>
      <c r="Q818" s="12">
        <f>+(Tabla1[[#This Row],[COSTO COCHE]]/30)*Tabla1[[#This Row],[TOTAL DIAS PROYECTO]]</f>
        <v>0</v>
      </c>
      <c r="R818" s="12">
        <f>+Tabla1[[#This Row],[COSTO TOTAL ALOJAMIENTO]]+Tabla1[[#This Row],[COSTO TOTAL COCHE]]</f>
        <v>0</v>
      </c>
      <c r="S818" s="2" t="s">
        <v>403</v>
      </c>
      <c r="T818" s="2" t="s">
        <v>44</v>
      </c>
      <c r="U818" s="14">
        <v>45769</v>
      </c>
      <c r="V818" s="14">
        <v>45770</v>
      </c>
      <c r="W818" s="26"/>
      <c r="X818" s="2"/>
      <c r="Y818" s="18"/>
      <c r="Z818" s="2" t="s">
        <v>36</v>
      </c>
      <c r="AA818" s="13" t="s">
        <v>10323</v>
      </c>
      <c r="AB818" s="13" t="s">
        <v>10324</v>
      </c>
    </row>
    <row r="819" spans="1:28" ht="15" customHeight="1">
      <c r="A819" s="2" t="s">
        <v>9115</v>
      </c>
      <c r="B819" s="2" t="s">
        <v>28</v>
      </c>
      <c r="C819" s="107" t="s">
        <v>2063</v>
      </c>
      <c r="D819" s="2" t="s">
        <v>30</v>
      </c>
      <c r="E819" s="2" t="s">
        <v>245</v>
      </c>
      <c r="F819" s="11" t="s">
        <v>1952</v>
      </c>
      <c r="G819" t="s">
        <v>1953</v>
      </c>
      <c r="H819" s="2" t="s">
        <v>2064</v>
      </c>
      <c r="I819" s="12" t="s">
        <v>1538</v>
      </c>
      <c r="J819" s="41">
        <f>+Tabla1[[#This Row],[FECHA ENTRADA]]</f>
        <v>45628</v>
      </c>
      <c r="K819" s="22">
        <v>45821</v>
      </c>
      <c r="L819" s="42">
        <f>_xlfn.DAYS(Tabla1[[#This Row],[FECHA FIN ]],Tabla1[[#This Row],[FECHA INICIO]])</f>
        <v>193</v>
      </c>
      <c r="M819" s="12"/>
      <c r="N819" s="12">
        <v>200</v>
      </c>
      <c r="O819" s="28">
        <f>(Tabla1[[#This Row],[COSTO FIJO ]]/30)*Tabla1[[#This Row],[TOTAL DIAS PROYECTO]]+(Tabla1[[#This Row],[COSTO TEMPORAL]])</f>
        <v>1286.6666666666667</v>
      </c>
      <c r="P819" s="12">
        <f>1600/22</f>
        <v>72.727272727272734</v>
      </c>
      <c r="Q819" s="12">
        <f>+(Tabla1[[#This Row],[COSTO COCHE]]/30)*Tabla1[[#This Row],[TOTAL DIAS PROYECTO]]</f>
        <v>467.87878787878788</v>
      </c>
      <c r="R819" s="12">
        <f>+Tabla1[[#This Row],[COSTO TOTAL ALOJAMIENTO]]+Tabla1[[#This Row],[COSTO TOTAL COCHE]]</f>
        <v>1754.5454545454545</v>
      </c>
      <c r="S819" s="2"/>
      <c r="T819" s="2" t="s">
        <v>35</v>
      </c>
      <c r="U819" s="14">
        <v>45628</v>
      </c>
      <c r="V819" s="43"/>
      <c r="W819" s="26"/>
      <c r="X819" s="2">
        <v>10</v>
      </c>
      <c r="Y819" s="11"/>
      <c r="Z819" s="2" t="s">
        <v>36</v>
      </c>
      <c r="AA819" s="13" t="s">
        <v>10355</v>
      </c>
      <c r="AB819" s="13" t="s">
        <v>10356</v>
      </c>
    </row>
    <row r="820" spans="1:28" ht="15" customHeight="1">
      <c r="A820" s="2" t="s">
        <v>9116</v>
      </c>
      <c r="B820" s="2" t="s">
        <v>368</v>
      </c>
      <c r="C820" s="18" t="s">
        <v>2065</v>
      </c>
      <c r="D820" s="2" t="s">
        <v>30</v>
      </c>
      <c r="E820" s="2" t="s">
        <v>422</v>
      </c>
      <c r="F820" s="11" t="s">
        <v>697</v>
      </c>
      <c r="G820" s="11" t="s">
        <v>698</v>
      </c>
      <c r="H820" s="2" t="s">
        <v>1978</v>
      </c>
      <c r="I820" s="12" t="s">
        <v>1435</v>
      </c>
      <c r="J820" s="8">
        <f>+Tabla1[[#This Row],[FECHA ENTRADA]]</f>
        <v>45512</v>
      </c>
      <c r="K820" s="22">
        <v>45546</v>
      </c>
      <c r="L820" s="13">
        <f>_xlfn.DAYS(Tabla1[[#This Row],[FECHA FIN ]],Tabla1[[#This Row],[FECHA INICIO]])</f>
        <v>34</v>
      </c>
      <c r="M820" s="12"/>
      <c r="N820" s="12">
        <v>276</v>
      </c>
      <c r="O820" s="12">
        <f>(Tabla1[[#This Row],[COSTO FIJO ]]/30)*Tabla1[[#This Row],[TOTAL DIAS PROYECTO]]+(Tabla1[[#This Row],[COSTO TEMPORAL]])</f>
        <v>312.79999999999995</v>
      </c>
      <c r="P820" s="12"/>
      <c r="Q820" s="12">
        <f>+(Tabla1[[#This Row],[COSTO COCHE]]/30)*Tabla1[[#This Row],[TOTAL DIAS PROYECTO]]</f>
        <v>0</v>
      </c>
      <c r="R820" s="12">
        <f>+Tabla1[[#This Row],[COSTO TOTAL ALOJAMIENTO]]+Tabla1[[#This Row],[COSTO TOTAL COCHE]]</f>
        <v>312.79999999999995</v>
      </c>
      <c r="S820" s="2"/>
      <c r="T820" s="2" t="s">
        <v>613</v>
      </c>
      <c r="U820" s="14">
        <v>45512</v>
      </c>
      <c r="V820" s="14"/>
      <c r="W820" s="26"/>
      <c r="X820" s="2">
        <v>1</v>
      </c>
      <c r="Y820" s="18" t="s">
        <v>2066</v>
      </c>
      <c r="Z820" s="2" t="s">
        <v>36</v>
      </c>
      <c r="AA820" s="13">
        <v>-326.69799999999998</v>
      </c>
      <c r="AB820" s="13" t="s">
        <v>10373</v>
      </c>
    </row>
    <row r="821" spans="1:28" ht="15" customHeight="1">
      <c r="A821" s="2" t="s">
        <v>9075</v>
      </c>
      <c r="B821" s="30" t="s">
        <v>368</v>
      </c>
      <c r="C821" s="11" t="s">
        <v>1901</v>
      </c>
      <c r="D821" s="2" t="s">
        <v>30</v>
      </c>
      <c r="E821" s="2" t="s">
        <v>422</v>
      </c>
      <c r="F821" s="11" t="s">
        <v>1983</v>
      </c>
      <c r="G821" s="11" t="s">
        <v>2067</v>
      </c>
      <c r="H821" s="2" t="s">
        <v>1978</v>
      </c>
      <c r="I821" s="12" t="s">
        <v>1435</v>
      </c>
      <c r="J821" s="8">
        <f>+Tabla1[[#This Row],[FECHA ENTRADA]]</f>
        <v>45512</v>
      </c>
      <c r="K821" s="22">
        <v>45890</v>
      </c>
      <c r="L821" s="13">
        <f>_xlfn.DAYS(Tabla1[[#This Row],[FECHA FIN ]],Tabla1[[#This Row],[FECHA INICIO]])</f>
        <v>378</v>
      </c>
      <c r="M821" s="12"/>
      <c r="N821" s="12"/>
      <c r="O821" s="12">
        <f>(Tabla1[[#This Row],[COSTO FIJO ]]/30)*Tabla1[[#This Row],[TOTAL DIAS PROYECTO]]+(Tabla1[[#This Row],[COSTO TEMPORAL]])</f>
        <v>0</v>
      </c>
      <c r="P821" s="12"/>
      <c r="Q821" s="12">
        <f>+(Tabla1[[#This Row],[COSTO COCHE]]/30)*Tabla1[[#This Row],[TOTAL DIAS PROYECTO]]</f>
        <v>0</v>
      </c>
      <c r="R821" s="12">
        <f>+Tabla1[[#This Row],[COSTO TOTAL ALOJAMIENTO]]+Tabla1[[#This Row],[COSTO TOTAL COCHE]]</f>
        <v>0</v>
      </c>
      <c r="S821" s="2"/>
      <c r="T821" s="2" t="s">
        <v>44</v>
      </c>
      <c r="U821" s="14">
        <v>45512</v>
      </c>
      <c r="V821" s="14"/>
      <c r="W821" s="26"/>
      <c r="X821" s="2"/>
      <c r="Y821" s="18"/>
      <c r="Z821" s="2" t="s">
        <v>36</v>
      </c>
      <c r="AA821" s="13">
        <v>-326.69799999999998</v>
      </c>
      <c r="AB821" s="13" t="s">
        <v>10373</v>
      </c>
    </row>
    <row r="822" spans="1:28" ht="15" customHeight="1">
      <c r="A822" s="2" t="s">
        <v>9117</v>
      </c>
      <c r="B822" s="2" t="s">
        <v>368</v>
      </c>
      <c r="C822" s="11" t="s">
        <v>2068</v>
      </c>
      <c r="D822" s="2" t="s">
        <v>99</v>
      </c>
      <c r="E822" s="2" t="s">
        <v>2069</v>
      </c>
      <c r="F822" s="11" t="s">
        <v>2070</v>
      </c>
      <c r="G822" s="46" t="s">
        <v>2071</v>
      </c>
      <c r="H822" s="2" t="s">
        <v>2072</v>
      </c>
      <c r="I822" s="12" t="s">
        <v>2073</v>
      </c>
      <c r="J822" s="41">
        <f>+Tabla1[[#This Row],[FECHA ENTRADA]]</f>
        <v>45770</v>
      </c>
      <c r="K822" s="8">
        <v>45772</v>
      </c>
      <c r="L822" s="23">
        <f>_xlfn.DAYS(Tabla1[[#This Row],[FECHA FIN ]],Tabla1[[#This Row],[FECHA INICIO]])</f>
        <v>2</v>
      </c>
      <c r="M822" s="12"/>
      <c r="N822" s="12">
        <f>93.33/4</f>
        <v>23.3325</v>
      </c>
      <c r="O822" s="24">
        <f>(Tabla1[[#This Row],[COSTO FIJO ]]/30)*Tabla1[[#This Row],[TOTAL DIAS PROYECTO]]+(Tabla1[[#This Row],[COSTO TEMPORAL]])</f>
        <v>1.5554999999999999</v>
      </c>
      <c r="P822" s="12"/>
      <c r="Q822" s="12">
        <f>+(Tabla1[[#This Row],[COSTO COCHE]]/30)*Tabla1[[#This Row],[TOTAL DIAS PROYECTO]]</f>
        <v>0</v>
      </c>
      <c r="R822" s="12">
        <f>+Tabla1[[#This Row],[COSTO TOTAL ALOJAMIENTO]]+Tabla1[[#This Row],[COSTO TOTAL COCHE]]</f>
        <v>1.5554999999999999</v>
      </c>
      <c r="S822" s="2"/>
      <c r="T822" s="2" t="s">
        <v>528</v>
      </c>
      <c r="U822" s="14">
        <v>45770</v>
      </c>
      <c r="V822" s="25">
        <v>45772</v>
      </c>
      <c r="W822" s="26"/>
      <c r="X822" s="2"/>
      <c r="Y822" s="11" t="s">
        <v>1166</v>
      </c>
      <c r="Z822" s="2" t="s">
        <v>36</v>
      </c>
      <c r="AA822" s="13" t="e">
        <v>#N/A</v>
      </c>
      <c r="AB822" s="13" t="e">
        <v>#N/A</v>
      </c>
    </row>
    <row r="823" spans="1:28" ht="15" customHeight="1">
      <c r="A823" s="2" t="s">
        <v>8688</v>
      </c>
      <c r="B823" s="2" t="s">
        <v>368</v>
      </c>
      <c r="C823" s="11" t="s">
        <v>294</v>
      </c>
      <c r="D823" s="2" t="s">
        <v>99</v>
      </c>
      <c r="E823" s="2" t="s">
        <v>2069</v>
      </c>
      <c r="F823" s="11" t="s">
        <v>2070</v>
      </c>
      <c r="G823" s="46" t="s">
        <v>2071</v>
      </c>
      <c r="H823" s="2" t="s">
        <v>2072</v>
      </c>
      <c r="I823" s="12" t="s">
        <v>2073</v>
      </c>
      <c r="J823" s="41">
        <f>+Tabla1[[#This Row],[FECHA ENTRADA]]</f>
        <v>45770</v>
      </c>
      <c r="K823" s="8">
        <v>45772</v>
      </c>
      <c r="L823" s="23">
        <f>_xlfn.DAYS(Tabla1[[#This Row],[FECHA FIN ]],Tabla1[[#This Row],[FECHA INICIO]])</f>
        <v>2</v>
      </c>
      <c r="M823" s="12">
        <f>93.33/4</f>
        <v>23.3325</v>
      </c>
      <c r="N823" s="24"/>
      <c r="O823" s="24">
        <f>(Tabla1[[#This Row],[COSTO FIJO ]]/30)*Tabla1[[#This Row],[TOTAL DIAS PROYECTO]]+(Tabla1[[#This Row],[COSTO TEMPORAL]])</f>
        <v>23.3325</v>
      </c>
      <c r="P823" s="12"/>
      <c r="Q823" s="12">
        <f>+(Tabla1[[#This Row],[COSTO COCHE]]/30)*Tabla1[[#This Row],[TOTAL DIAS PROYECTO]]</f>
        <v>0</v>
      </c>
      <c r="R823" s="12">
        <f>+Tabla1[[#This Row],[COSTO TOTAL ALOJAMIENTO]]+Tabla1[[#This Row],[COSTO TOTAL COCHE]]</f>
        <v>23.3325</v>
      </c>
      <c r="S823" s="2"/>
      <c r="T823" s="2" t="s">
        <v>528</v>
      </c>
      <c r="U823" s="14">
        <v>45770</v>
      </c>
      <c r="V823" s="25">
        <v>45772</v>
      </c>
      <c r="W823" s="26"/>
      <c r="X823" s="2"/>
      <c r="Y823" s="11" t="s">
        <v>1166</v>
      </c>
      <c r="Z823" s="2" t="s">
        <v>36</v>
      </c>
      <c r="AA823" s="13" t="e">
        <v>#N/A</v>
      </c>
      <c r="AB823" s="13" t="e">
        <v>#N/A</v>
      </c>
    </row>
    <row r="824" spans="1:28" ht="15" customHeight="1">
      <c r="A824" s="2" t="s">
        <v>9118</v>
      </c>
      <c r="B824" s="2" t="s">
        <v>28</v>
      </c>
      <c r="C824" s="31" t="s">
        <v>2074</v>
      </c>
      <c r="D824" s="2" t="s">
        <v>99</v>
      </c>
      <c r="E824" s="2" t="s">
        <v>2075</v>
      </c>
      <c r="F824" s="11" t="s">
        <v>2076</v>
      </c>
      <c r="G824" s="46" t="s">
        <v>2077</v>
      </c>
      <c r="H824" s="2" t="s">
        <v>2078</v>
      </c>
      <c r="I824" s="10" t="s">
        <v>2079</v>
      </c>
      <c r="J824" s="22">
        <f>+Tabla1[[#This Row],[FECHA ENTRADA]]</f>
        <v>45734</v>
      </c>
      <c r="K824" s="22">
        <v>45772</v>
      </c>
      <c r="L824" s="23">
        <f>_xlfn.DAYS(Tabla1[[#This Row],[FECHA FIN ]],Tabla1[[#This Row],[FECHA INICIO]])</f>
        <v>38</v>
      </c>
      <c r="M824" s="12">
        <v>970.62</v>
      </c>
      <c r="N824" s="24"/>
      <c r="O824" s="24">
        <f>(Tabla1[[#This Row],[COSTO FIJO ]]/30)*Tabla1[[#This Row],[TOTAL DIAS PROYECTO]]+(Tabla1[[#This Row],[COSTO TEMPORAL]])</f>
        <v>970.62</v>
      </c>
      <c r="P824" s="12"/>
      <c r="Q824" s="12">
        <f>+(Tabla1[[#This Row],[COSTO COCHE]]/30)*Tabla1[[#This Row],[TOTAL DIAS PROYECTO]]</f>
        <v>0</v>
      </c>
      <c r="R824" s="12">
        <f>+Tabla1[[#This Row],[COSTO TOTAL ALOJAMIENTO]]+Tabla1[[#This Row],[COSTO TOTAL COCHE]]</f>
        <v>970.62</v>
      </c>
      <c r="S824" s="2"/>
      <c r="T824" s="2" t="s">
        <v>528</v>
      </c>
      <c r="U824" s="14">
        <v>45734</v>
      </c>
      <c r="V824" s="25">
        <v>45773</v>
      </c>
      <c r="W824" s="26"/>
      <c r="X824" s="2"/>
      <c r="Y824" t="s">
        <v>2080</v>
      </c>
      <c r="Z824" s="2" t="s">
        <v>36</v>
      </c>
      <c r="AA824" s="13" t="e">
        <v>#N/A</v>
      </c>
      <c r="AB824" s="13" t="e">
        <v>#N/A</v>
      </c>
    </row>
    <row r="825" spans="1:28" ht="15" customHeight="1">
      <c r="A825" s="2" t="s">
        <v>9119</v>
      </c>
      <c r="B825" s="2" t="s">
        <v>28</v>
      </c>
      <c r="C825" s="11" t="s">
        <v>2081</v>
      </c>
      <c r="D825" s="2" t="s">
        <v>99</v>
      </c>
      <c r="E825" s="2" t="s">
        <v>2075</v>
      </c>
      <c r="F825" s="11" t="s">
        <v>2076</v>
      </c>
      <c r="G825" s="46" t="s">
        <v>2077</v>
      </c>
      <c r="H825" s="2" t="s">
        <v>2078</v>
      </c>
      <c r="I825" s="10" t="s">
        <v>2079</v>
      </c>
      <c r="J825" s="22">
        <f>+Tabla1[[#This Row],[FECHA ENTRADA]]</f>
        <v>45734</v>
      </c>
      <c r="K825" s="22">
        <v>45772</v>
      </c>
      <c r="L825" s="23">
        <f>_xlfn.DAYS(Tabla1[[#This Row],[FECHA FIN ]],Tabla1[[#This Row],[FECHA INICIO]])</f>
        <v>38</v>
      </c>
      <c r="M825" s="12">
        <v>970.62</v>
      </c>
      <c r="N825" s="24"/>
      <c r="O825" s="24">
        <f>(Tabla1[[#This Row],[COSTO FIJO ]]/30)*Tabla1[[#This Row],[TOTAL DIAS PROYECTO]]+(Tabla1[[#This Row],[COSTO TEMPORAL]])</f>
        <v>970.62</v>
      </c>
      <c r="P825" s="12"/>
      <c r="Q825" s="12">
        <f>+(Tabla1[[#This Row],[COSTO COCHE]]/30)*Tabla1[[#This Row],[TOTAL DIAS PROYECTO]]</f>
        <v>0</v>
      </c>
      <c r="R825" s="12">
        <f>+Tabla1[[#This Row],[COSTO TOTAL ALOJAMIENTO]]+Tabla1[[#This Row],[COSTO TOTAL COCHE]]</f>
        <v>970.62</v>
      </c>
      <c r="S825" s="2"/>
      <c r="T825" s="2" t="s">
        <v>528</v>
      </c>
      <c r="U825" s="14">
        <v>45734</v>
      </c>
      <c r="V825" s="25">
        <v>45773</v>
      </c>
      <c r="W825" s="26"/>
      <c r="X825" s="2"/>
      <c r="Y825" t="s">
        <v>2080</v>
      </c>
      <c r="Z825" s="2" t="s">
        <v>36</v>
      </c>
      <c r="AA825" s="13" t="e">
        <v>#N/A</v>
      </c>
      <c r="AB825" s="13" t="e">
        <v>#N/A</v>
      </c>
    </row>
    <row r="826" spans="1:28" ht="15" customHeight="1">
      <c r="A826" s="2" t="s">
        <v>9120</v>
      </c>
      <c r="B826" s="2" t="s">
        <v>368</v>
      </c>
      <c r="C826" s="31" t="s">
        <v>2082</v>
      </c>
      <c r="D826" s="1" t="s">
        <v>30</v>
      </c>
      <c r="E826" s="2" t="s">
        <v>92</v>
      </c>
      <c r="F826" s="11" t="s">
        <v>1671</v>
      </c>
      <c r="G826" s="11" t="s">
        <v>804</v>
      </c>
      <c r="H826" s="2" t="s">
        <v>1559</v>
      </c>
      <c r="I826" s="12" t="s">
        <v>806</v>
      </c>
      <c r="J826" s="22">
        <f>+Tabla1[[#This Row],[FECHA ENTRADA]]</f>
        <v>45699</v>
      </c>
      <c r="K826" s="22">
        <v>45772</v>
      </c>
      <c r="L826" s="23">
        <f>_xlfn.DAYS(Tabla1[[#This Row],[FECHA FIN ]],Tabla1[[#This Row],[FECHA INICIO]])</f>
        <v>73</v>
      </c>
      <c r="M826" s="12">
        <f>1811.6/17</f>
        <v>106.56470588235294</v>
      </c>
      <c r="N826" s="20">
        <v>300</v>
      </c>
      <c r="O826" s="24">
        <f>(Tabla1[[#This Row],[COSTO FIJO ]]/30)*Tabla1[[#This Row],[TOTAL DIAS PROYECTO]]+(Tabla1[[#This Row],[COSTO TEMPORAL]])</f>
        <v>836.56470588235288</v>
      </c>
      <c r="P826" s="12">
        <f>651.6/4</f>
        <v>162.9</v>
      </c>
      <c r="Q826" s="12">
        <f>+(Tabla1[[#This Row],[COSTO COCHE]]/30)*Tabla1[[#This Row],[TOTAL DIAS PROYECTO]]</f>
        <v>396.39000000000004</v>
      </c>
      <c r="R826" s="12">
        <f>+Tabla1[[#This Row],[COSTO TOTAL ALOJAMIENTO]]+Tabla1[[#This Row],[COSTO TOTAL COCHE]]</f>
        <v>1232.954705882353</v>
      </c>
      <c r="S826" s="2"/>
      <c r="T826" s="2" t="s">
        <v>35</v>
      </c>
      <c r="U826" s="14">
        <v>45699</v>
      </c>
      <c r="V826" s="79"/>
      <c r="W826" s="26">
        <v>600</v>
      </c>
      <c r="X826" s="2">
        <v>5</v>
      </c>
      <c r="Y826" t="s">
        <v>2083</v>
      </c>
      <c r="Z826" s="2" t="s">
        <v>36</v>
      </c>
      <c r="AA826" s="13" t="s">
        <v>10336</v>
      </c>
      <c r="AB826" s="13" t="s">
        <v>10337</v>
      </c>
    </row>
    <row r="827" spans="1:28">
      <c r="A827" s="2" t="s">
        <v>8684</v>
      </c>
      <c r="B827" s="2" t="s">
        <v>368</v>
      </c>
      <c r="C827" s="11" t="s">
        <v>282</v>
      </c>
      <c r="D827" s="2" t="s">
        <v>30</v>
      </c>
      <c r="E827" s="2" t="s">
        <v>92</v>
      </c>
      <c r="F827" s="11" t="s">
        <v>2084</v>
      </c>
      <c r="G827" s="11" t="s">
        <v>804</v>
      </c>
      <c r="H827" s="2" t="s">
        <v>2085</v>
      </c>
      <c r="I827" s="12" t="s">
        <v>806</v>
      </c>
      <c r="J827" s="41">
        <f>+Tabla1[[#This Row],[FECHA ENTRADA]]</f>
        <v>45672</v>
      </c>
      <c r="K827" s="8">
        <v>45772</v>
      </c>
      <c r="L827" s="42">
        <f>_xlfn.DAYS(Tabla1[[#This Row],[FECHA FIN ]],Tabla1[[#This Row],[FECHA INICIO]])</f>
        <v>100</v>
      </c>
      <c r="M827" s="12"/>
      <c r="N827" s="12">
        <v>250</v>
      </c>
      <c r="O827" s="28">
        <f>(Tabla1[[#This Row],[COSTO FIJO ]]/30)*Tabla1[[#This Row],[TOTAL DIAS PROYECTO]]+(Tabla1[[#This Row],[COSTO TEMPORAL]])</f>
        <v>833.33333333333337</v>
      </c>
      <c r="P827" s="12">
        <f>651.6/4</f>
        <v>162.9</v>
      </c>
      <c r="Q827" s="12">
        <f>+(Tabla1[[#This Row],[COSTO COCHE]]/30)*Tabla1[[#This Row],[TOTAL DIAS PROYECTO]]</f>
        <v>543.00000000000011</v>
      </c>
      <c r="R827" s="12">
        <f>+Tabla1[[#This Row],[COSTO TOTAL ALOJAMIENTO]]+Tabla1[[#This Row],[COSTO TOTAL COCHE]]</f>
        <v>1376.3333333333335</v>
      </c>
      <c r="S827" s="2"/>
      <c r="T827" s="2" t="s">
        <v>35</v>
      </c>
      <c r="U827" s="14">
        <v>45672</v>
      </c>
      <c r="V827" s="43"/>
      <c r="W827" s="26"/>
      <c r="X827" s="2">
        <v>13</v>
      </c>
      <c r="Y827" t="s">
        <v>2083</v>
      </c>
      <c r="Z827" s="2" t="s">
        <v>36</v>
      </c>
      <c r="AA827" s="13" t="s">
        <v>10336</v>
      </c>
      <c r="AB827" s="13" t="s">
        <v>10337</v>
      </c>
    </row>
    <row r="828" spans="1:28">
      <c r="A828" s="2" t="s">
        <v>8929</v>
      </c>
      <c r="B828" s="2" t="s">
        <v>368</v>
      </c>
      <c r="C828" s="11" t="s">
        <v>1323</v>
      </c>
      <c r="D828" s="2" t="s">
        <v>30</v>
      </c>
      <c r="E828" s="2" t="s">
        <v>92</v>
      </c>
      <c r="F828" s="11" t="s">
        <v>2084</v>
      </c>
      <c r="G828" s="11" t="s">
        <v>804</v>
      </c>
      <c r="H828" s="2" t="s">
        <v>2085</v>
      </c>
      <c r="I828" s="12" t="s">
        <v>806</v>
      </c>
      <c r="J828" s="41">
        <f>+Tabla1[[#This Row],[FECHA ENTRADA]]</f>
        <v>45672</v>
      </c>
      <c r="K828" s="8">
        <v>45772</v>
      </c>
      <c r="L828" s="42">
        <f>_xlfn.DAYS(Tabla1[[#This Row],[FECHA FIN ]],Tabla1[[#This Row],[FECHA INICIO]])</f>
        <v>100</v>
      </c>
      <c r="M828" s="12"/>
      <c r="N828" s="12">
        <v>250</v>
      </c>
      <c r="O828" s="28">
        <f>(Tabla1[[#This Row],[COSTO FIJO ]]/30)*Tabla1[[#This Row],[TOTAL DIAS PROYECTO]]+(Tabla1[[#This Row],[COSTO TEMPORAL]])</f>
        <v>833.33333333333337</v>
      </c>
      <c r="P828" s="12">
        <f>651.6/4</f>
        <v>162.9</v>
      </c>
      <c r="Q828" s="12">
        <f>+(Tabla1[[#This Row],[COSTO COCHE]]/30)*Tabla1[[#This Row],[TOTAL DIAS PROYECTO]]</f>
        <v>543.00000000000011</v>
      </c>
      <c r="R828" s="12">
        <f>+Tabla1[[#This Row],[COSTO TOTAL ALOJAMIENTO]]+Tabla1[[#This Row],[COSTO TOTAL COCHE]]</f>
        <v>1376.3333333333335</v>
      </c>
      <c r="S828" s="2"/>
      <c r="T828" s="2" t="s">
        <v>35</v>
      </c>
      <c r="U828" s="14">
        <v>45672</v>
      </c>
      <c r="V828" s="43"/>
      <c r="W828" s="26">
        <v>500</v>
      </c>
      <c r="X828" s="2">
        <v>13</v>
      </c>
      <c r="Y828" t="s">
        <v>2083</v>
      </c>
      <c r="Z828" s="2" t="s">
        <v>36</v>
      </c>
      <c r="AA828" s="13" t="s">
        <v>10336</v>
      </c>
      <c r="AB828" s="13" t="s">
        <v>10337</v>
      </c>
    </row>
    <row r="829" spans="1:28" ht="15" customHeight="1">
      <c r="A829" s="2" t="s">
        <v>8924</v>
      </c>
      <c r="B829" s="10" t="s">
        <v>711</v>
      </c>
      <c r="C829" s="11" t="s">
        <v>1302</v>
      </c>
      <c r="D829" s="2" t="s">
        <v>99</v>
      </c>
      <c r="E829" s="2" t="s">
        <v>151</v>
      </c>
      <c r="F829" s="11" t="s">
        <v>1499</v>
      </c>
      <c r="G829" s="49" t="s">
        <v>1500</v>
      </c>
      <c r="H829" s="2" t="s">
        <v>2086</v>
      </c>
      <c r="I829" s="12" t="s">
        <v>1994</v>
      </c>
      <c r="J829" s="22">
        <f>+Tabla1[[#This Row],[FECHA ENTRADA]]</f>
        <v>45761</v>
      </c>
      <c r="K829" s="22">
        <v>45772</v>
      </c>
      <c r="L829" s="23">
        <f>_xlfn.DAYS(Tabla1[[#This Row],[FECHA FIN ]],Tabla1[[#This Row],[FECHA INICIO]])</f>
        <v>11</v>
      </c>
      <c r="M829" s="12"/>
      <c r="N829" s="12"/>
      <c r="O829" s="24">
        <f>(Tabla1[[#This Row],[COSTO FIJO ]]/30)*Tabla1[[#This Row],[TOTAL DIAS PROYECTO]]+(Tabla1[[#This Row],[COSTO TEMPORAL]])</f>
        <v>0</v>
      </c>
      <c r="P829" s="12"/>
      <c r="Q829" s="12">
        <f>+(Tabla1[[#This Row],[COSTO COCHE]]/30)*Tabla1[[#This Row],[TOTAL DIAS PROYECTO]]</f>
        <v>0</v>
      </c>
      <c r="R829" s="12">
        <f>+Tabla1[[#This Row],[COSTO TOTAL ALOJAMIENTO]]+Tabla1[[#This Row],[COSTO TOTAL COCHE]]</f>
        <v>0</v>
      </c>
      <c r="S829" s="2"/>
      <c r="T829" s="2" t="s">
        <v>35</v>
      </c>
      <c r="U829" s="14">
        <v>45761</v>
      </c>
      <c r="V829" s="25"/>
      <c r="W829" s="26"/>
      <c r="X829" s="2">
        <v>23</v>
      </c>
      <c r="Y829" s="152" t="s">
        <v>2087</v>
      </c>
      <c r="Z829" s="2" t="s">
        <v>36</v>
      </c>
      <c r="AA829" s="13" t="s">
        <v>10345</v>
      </c>
      <c r="AB829" s="13" t="s">
        <v>10346</v>
      </c>
    </row>
    <row r="830" spans="1:28" ht="15" customHeight="1">
      <c r="A830" s="2" t="s">
        <v>8999</v>
      </c>
      <c r="B830" s="30" t="s">
        <v>368</v>
      </c>
      <c r="C830" s="11" t="s">
        <v>1636</v>
      </c>
      <c r="D830" s="2" t="s">
        <v>30</v>
      </c>
      <c r="E830" s="2" t="s">
        <v>422</v>
      </c>
      <c r="F830" s="11" t="s">
        <v>1983</v>
      </c>
      <c r="G830" s="11" t="s">
        <v>2067</v>
      </c>
      <c r="H830" s="2" t="s">
        <v>1978</v>
      </c>
      <c r="I830" s="12" t="s">
        <v>1435</v>
      </c>
      <c r="J830" s="8">
        <f>+Tabla1[[#This Row],[FECHA ENTRADA]]</f>
        <v>45512</v>
      </c>
      <c r="K830" s="8"/>
      <c r="L830" s="13">
        <f>_xlfn.DAYS(Tabla1[[#This Row],[FECHA FIN ]],Tabla1[[#This Row],[FECHA INICIO]])</f>
        <v>-45512</v>
      </c>
      <c r="M830" s="12">
        <f>19+76+38</f>
        <v>133</v>
      </c>
      <c r="N830" s="12"/>
      <c r="O830" s="12">
        <f>(Tabla1[[#This Row],[COSTO FIJO ]]/30)*Tabla1[[#This Row],[TOTAL DIAS PROYECTO]]+(Tabla1[[#This Row],[COSTO TEMPORAL]])</f>
        <v>133</v>
      </c>
      <c r="P830" s="12"/>
      <c r="Q830" s="12">
        <f>+(Tabla1[[#This Row],[COSTO COCHE]]/30)*Tabla1[[#This Row],[TOTAL DIAS PROYECTO]]</f>
        <v>0</v>
      </c>
      <c r="R830" s="12">
        <f>+Tabla1[[#This Row],[COSTO TOTAL ALOJAMIENTO]]+Tabla1[[#This Row],[COSTO TOTAL COCHE]]</f>
        <v>133</v>
      </c>
      <c r="S830" s="2"/>
      <c r="T830" s="2" t="s">
        <v>44</v>
      </c>
      <c r="U830" s="14">
        <v>45512</v>
      </c>
      <c r="V830" s="14"/>
      <c r="W830" s="26"/>
      <c r="X830" s="2"/>
      <c r="Y830" s="18"/>
      <c r="Z830" s="2" t="s">
        <v>36</v>
      </c>
      <c r="AA830" s="13">
        <v>-326.69799999999998</v>
      </c>
      <c r="AB830" s="13" t="s">
        <v>10373</v>
      </c>
    </row>
    <row r="831" spans="1:28" ht="15" customHeight="1">
      <c r="A831" s="2" t="s">
        <v>9121</v>
      </c>
      <c r="B831" s="2" t="s">
        <v>28</v>
      </c>
      <c r="C831" s="99" t="s">
        <v>2088</v>
      </c>
      <c r="D831" s="2" t="s">
        <v>30</v>
      </c>
      <c r="E831" s="2" t="s">
        <v>245</v>
      </c>
      <c r="F831" s="11" t="s">
        <v>1952</v>
      </c>
      <c r="G831" t="s">
        <v>1953</v>
      </c>
      <c r="H831" s="2" t="s">
        <v>2089</v>
      </c>
      <c r="I831" s="12" t="s">
        <v>1538</v>
      </c>
      <c r="J831" s="41">
        <f>+Tabla1[[#This Row],[FECHA ENTRADA]]</f>
        <v>45634</v>
      </c>
      <c r="K831" s="22">
        <v>45819</v>
      </c>
      <c r="L831" s="42">
        <f>_xlfn.DAYS(Tabla1[[#This Row],[FECHA FIN ]],Tabla1[[#This Row],[FECHA INICIO]])</f>
        <v>185</v>
      </c>
      <c r="M831" s="12"/>
      <c r="N831" s="24">
        <v>200</v>
      </c>
      <c r="O831" s="28">
        <f>(Tabla1[[#This Row],[COSTO FIJO ]]/30)*Tabla1[[#This Row],[TOTAL DIAS PROYECTO]]+(Tabla1[[#This Row],[COSTO TEMPORAL]])</f>
        <v>1233.3333333333335</v>
      </c>
      <c r="P831" s="12">
        <v>92.307692307692307</v>
      </c>
      <c r="Q831" s="12">
        <f>+(Tabla1[[#This Row],[COSTO COCHE]]/30)*Tabla1[[#This Row],[TOTAL DIAS PROYECTO]]</f>
        <v>569.23076923076928</v>
      </c>
      <c r="R831" s="12">
        <f>+Tabla1[[#This Row],[COSTO TOTAL ALOJAMIENTO]]+Tabla1[[#This Row],[COSTO TOTAL COCHE]]</f>
        <v>1802.5641025641028</v>
      </c>
      <c r="S831" s="2"/>
      <c r="T831" s="2" t="s">
        <v>35</v>
      </c>
      <c r="U831" s="14">
        <v>45634</v>
      </c>
      <c r="V831" s="43"/>
      <c r="W831" s="26">
        <v>600</v>
      </c>
      <c r="X831" s="2">
        <v>10</v>
      </c>
      <c r="Y831" s="11"/>
      <c r="Z831" s="2" t="s">
        <v>36</v>
      </c>
      <c r="AA831" s="13" t="s">
        <v>10355</v>
      </c>
      <c r="AB831" s="13" t="s">
        <v>10356</v>
      </c>
    </row>
    <row r="832" spans="1:28" ht="15" customHeight="1">
      <c r="A832" s="2" t="s">
        <v>9117</v>
      </c>
      <c r="B832" s="2" t="s">
        <v>368</v>
      </c>
      <c r="C832" s="11" t="s">
        <v>2068</v>
      </c>
      <c r="D832" s="2" t="s">
        <v>99</v>
      </c>
      <c r="E832" s="2" t="s">
        <v>2069</v>
      </c>
      <c r="F832" s="11" t="s">
        <v>2090</v>
      </c>
      <c r="G832" s="49" t="s">
        <v>2091</v>
      </c>
      <c r="H832" s="2" t="s">
        <v>2072</v>
      </c>
      <c r="I832" s="10" t="s">
        <v>2073</v>
      </c>
      <c r="J832" s="22">
        <f>+Tabla1[[#This Row],[FECHA ENTRADA]]</f>
        <v>45772</v>
      </c>
      <c r="K832" s="22">
        <v>45774</v>
      </c>
      <c r="L832" s="23">
        <f>_xlfn.DAYS(Tabla1[[#This Row],[FECHA FIN ]],Tabla1[[#This Row],[FECHA INICIO]])</f>
        <v>2</v>
      </c>
      <c r="M832" s="12"/>
      <c r="N832" s="12">
        <f>117.18/4</f>
        <v>29.295000000000002</v>
      </c>
      <c r="O832" s="24">
        <f>(Tabla1[[#This Row],[COSTO FIJO ]]/30)*Tabla1[[#This Row],[TOTAL DIAS PROYECTO]]+(Tabla1[[#This Row],[COSTO TEMPORAL]])</f>
        <v>1.9530000000000001</v>
      </c>
      <c r="P832" s="12">
        <v>100</v>
      </c>
      <c r="Q832" s="12">
        <f>+(Tabla1[[#This Row],[COSTO COCHE]]/30)*Tabla1[[#This Row],[TOTAL DIAS PROYECTO]]</f>
        <v>6.666666666666667</v>
      </c>
      <c r="R832" s="12">
        <f>+Tabla1[[#This Row],[COSTO TOTAL ALOJAMIENTO]]+Tabla1[[#This Row],[COSTO TOTAL COCHE]]</f>
        <v>8.6196666666666673</v>
      </c>
      <c r="S832" s="2" t="s">
        <v>84</v>
      </c>
      <c r="T832" s="2" t="s">
        <v>528</v>
      </c>
      <c r="U832" s="14">
        <v>45772</v>
      </c>
      <c r="V832" s="25">
        <v>45774</v>
      </c>
      <c r="W832" s="26"/>
      <c r="X832" s="2"/>
      <c r="Y832" s="11" t="s">
        <v>1166</v>
      </c>
      <c r="Z832" s="2" t="s">
        <v>36</v>
      </c>
      <c r="AA832" s="13" t="e">
        <v>#N/A</v>
      </c>
      <c r="AB832" s="13" t="e">
        <v>#N/A</v>
      </c>
    </row>
    <row r="833" spans="1:28" ht="15" customHeight="1">
      <c r="A833" s="2" t="s">
        <v>8688</v>
      </c>
      <c r="B833" s="2" t="s">
        <v>368</v>
      </c>
      <c r="C833" s="11" t="s">
        <v>294</v>
      </c>
      <c r="D833" s="2" t="s">
        <v>99</v>
      </c>
      <c r="E833" s="2" t="s">
        <v>2069</v>
      </c>
      <c r="F833" s="11" t="s">
        <v>2090</v>
      </c>
      <c r="G833" s="49" t="s">
        <v>2091</v>
      </c>
      <c r="H833" s="2" t="s">
        <v>2072</v>
      </c>
      <c r="I833" s="10" t="s">
        <v>2073</v>
      </c>
      <c r="J833" s="22">
        <f>+Tabla1[[#This Row],[FECHA ENTRADA]]</f>
        <v>45772</v>
      </c>
      <c r="K833" s="22">
        <v>45774</v>
      </c>
      <c r="L833" s="23">
        <f>_xlfn.DAYS(Tabla1[[#This Row],[FECHA FIN ]],Tabla1[[#This Row],[FECHA INICIO]])</f>
        <v>2</v>
      </c>
      <c r="M833" s="12">
        <f>117.18/4</f>
        <v>29.295000000000002</v>
      </c>
      <c r="N833" s="24"/>
      <c r="O833" s="24">
        <f>(Tabla1[[#This Row],[COSTO FIJO ]]/30)*Tabla1[[#This Row],[TOTAL DIAS PROYECTO]]+(Tabla1[[#This Row],[COSTO TEMPORAL]])</f>
        <v>29.295000000000002</v>
      </c>
      <c r="P833" s="12">
        <v>100</v>
      </c>
      <c r="Q833" s="12">
        <f>+(Tabla1[[#This Row],[COSTO COCHE]]/30)*Tabla1[[#This Row],[TOTAL DIAS PROYECTO]]</f>
        <v>6.666666666666667</v>
      </c>
      <c r="R833" s="12">
        <f>+Tabla1[[#This Row],[COSTO TOTAL ALOJAMIENTO]]+Tabla1[[#This Row],[COSTO TOTAL COCHE]]</f>
        <v>35.961666666666666</v>
      </c>
      <c r="S833" s="2" t="s">
        <v>84</v>
      </c>
      <c r="T833" s="2" t="s">
        <v>528</v>
      </c>
      <c r="U833" s="14">
        <v>45772</v>
      </c>
      <c r="V833" s="25">
        <v>45774</v>
      </c>
      <c r="W833" s="26"/>
      <c r="X833" s="2"/>
      <c r="Y833" s="11" t="s">
        <v>1166</v>
      </c>
      <c r="Z833" s="2" t="s">
        <v>36</v>
      </c>
      <c r="AA833" s="13" t="e">
        <v>#N/A</v>
      </c>
      <c r="AB833" s="13" t="e">
        <v>#N/A</v>
      </c>
    </row>
    <row r="834" spans="1:28" ht="15" customHeight="1">
      <c r="A834" s="2" t="s">
        <v>9099</v>
      </c>
      <c r="B834" s="2" t="s">
        <v>368</v>
      </c>
      <c r="C834" s="11" t="s">
        <v>2022</v>
      </c>
      <c r="D834" s="2" t="s">
        <v>99</v>
      </c>
      <c r="E834" s="2" t="s">
        <v>109</v>
      </c>
      <c r="F834" s="11" t="s">
        <v>1793</v>
      </c>
      <c r="G834" s="21">
        <v>973266788</v>
      </c>
      <c r="H834" s="2" t="s">
        <v>2092</v>
      </c>
      <c r="I834" s="12" t="s">
        <v>42</v>
      </c>
      <c r="J834" s="22">
        <f>+Tabla1[[#This Row],[FECHA ENTRADA]]</f>
        <v>45692</v>
      </c>
      <c r="K834" s="22">
        <v>45821</v>
      </c>
      <c r="L834" s="23">
        <f>_xlfn.DAYS(Tabla1[[#This Row],[FECHA FIN ]],Tabla1[[#This Row],[FECHA INICIO]])</f>
        <v>129</v>
      </c>
      <c r="M834" s="12"/>
      <c r="N834" s="12">
        <f>1811.6/17</f>
        <v>106.56470588235294</v>
      </c>
      <c r="O834" s="24">
        <f>(Tabla1[[#This Row],[COSTO FIJO ]]/30)*Tabla1[[#This Row],[TOTAL DIAS PROYECTO]]+(Tabla1[[#This Row],[COSTO TEMPORAL]])</f>
        <v>458.22823529411767</v>
      </c>
      <c r="P834" s="12"/>
      <c r="Q834" s="12">
        <f>+(Tabla1[[#This Row],[COSTO COCHE]]/30)*Tabla1[[#This Row],[TOTAL DIAS PROYECTO]]</f>
        <v>0</v>
      </c>
      <c r="R834" s="12">
        <f>+Tabla1[[#This Row],[COSTO TOTAL ALOJAMIENTO]]+Tabla1[[#This Row],[COSTO TOTAL COCHE]]</f>
        <v>458.22823529411767</v>
      </c>
      <c r="S834" s="2"/>
      <c r="T834" s="2" t="s">
        <v>44</v>
      </c>
      <c r="U834" s="14">
        <v>45692</v>
      </c>
      <c r="V834" s="43">
        <v>45706</v>
      </c>
      <c r="W834" s="26"/>
      <c r="X834" s="2"/>
      <c r="Y834" s="11"/>
      <c r="Z834" s="2" t="s">
        <v>36</v>
      </c>
      <c r="AA834" s="13">
        <v>0.62217999999999996</v>
      </c>
      <c r="AB834" s="13" t="s">
        <v>10339</v>
      </c>
    </row>
    <row r="835" spans="1:28" ht="15" customHeight="1">
      <c r="A835" s="2" t="s">
        <v>9122</v>
      </c>
      <c r="B835" s="2" t="s">
        <v>368</v>
      </c>
      <c r="C835" s="11" t="s">
        <v>2093</v>
      </c>
      <c r="D835" s="2" t="s">
        <v>99</v>
      </c>
      <c r="E835" s="2" t="s">
        <v>109</v>
      </c>
      <c r="F835" s="11" t="s">
        <v>1793</v>
      </c>
      <c r="G835" s="21">
        <v>973266788</v>
      </c>
      <c r="H835" s="2" t="s">
        <v>2007</v>
      </c>
      <c r="I835" s="12" t="s">
        <v>42</v>
      </c>
      <c r="J835" s="22">
        <f>+Tabla1[[#This Row],[FECHA ENTRADA]]</f>
        <v>45692</v>
      </c>
      <c r="K835" s="22">
        <v>45706</v>
      </c>
      <c r="L835" s="23">
        <f>_xlfn.DAYS(Tabla1[[#This Row],[FECHA FIN ]],Tabla1[[#This Row],[FECHA INICIO]])</f>
        <v>14</v>
      </c>
      <c r="M835" s="12"/>
      <c r="N835" s="12"/>
      <c r="O835" s="24">
        <f>(Tabla1[[#This Row],[COSTO FIJO ]]/30)*Tabla1[[#This Row],[TOTAL DIAS PROYECTO]]+(Tabla1[[#This Row],[COSTO TEMPORAL]])</f>
        <v>0</v>
      </c>
      <c r="P835" s="12"/>
      <c r="Q835" s="12">
        <f>+(Tabla1[[#This Row],[COSTO COCHE]]/30)*Tabla1[[#This Row],[TOTAL DIAS PROYECTO]]</f>
        <v>0</v>
      </c>
      <c r="R835" s="12">
        <f>+Tabla1[[#This Row],[COSTO TOTAL ALOJAMIENTO]]+Tabla1[[#This Row],[COSTO TOTAL COCHE]]</f>
        <v>0</v>
      </c>
      <c r="S835" s="2"/>
      <c r="T835" s="2" t="s">
        <v>44</v>
      </c>
      <c r="U835" s="14">
        <v>45692</v>
      </c>
      <c r="V835" s="43">
        <v>45706</v>
      </c>
      <c r="W835" s="26"/>
      <c r="X835" s="2"/>
      <c r="Y835" s="11"/>
      <c r="Z835" s="2" t="s">
        <v>36</v>
      </c>
      <c r="AA835" s="13">
        <v>0.62217999999999996</v>
      </c>
      <c r="AB835" s="13" t="s">
        <v>10339</v>
      </c>
    </row>
    <row r="836" spans="1:28" ht="15" customHeight="1">
      <c r="A836" s="2" t="s">
        <v>9059</v>
      </c>
      <c r="B836" s="2" t="s">
        <v>368</v>
      </c>
      <c r="C836" s="11" t="s">
        <v>1827</v>
      </c>
      <c r="D836" s="2" t="s">
        <v>30</v>
      </c>
      <c r="E836" s="2" t="s">
        <v>109</v>
      </c>
      <c r="F836" s="11" t="s">
        <v>1793</v>
      </c>
      <c r="G836" s="21">
        <v>973266788</v>
      </c>
      <c r="H836" s="2" t="s">
        <v>1829</v>
      </c>
      <c r="I836" s="12" t="s">
        <v>1830</v>
      </c>
      <c r="J836" s="41">
        <f>+Tabla1[[#This Row],[FECHA ENTRADA]]</f>
        <v>45697</v>
      </c>
      <c r="K836" s="22">
        <v>45699</v>
      </c>
      <c r="L836" s="42">
        <f>_xlfn.DAYS(Tabla1[[#This Row],[FECHA FIN ]],Tabla1[[#This Row],[FECHA INICIO]])</f>
        <v>2</v>
      </c>
      <c r="M836" s="12"/>
      <c r="N836" s="12"/>
      <c r="O836" s="28">
        <f>(Tabla1[[#This Row],[COSTO FIJO ]]/30)*Tabla1[[#This Row],[TOTAL DIAS PROYECTO]]+(Tabla1[[#This Row],[COSTO TEMPORAL]])</f>
        <v>0</v>
      </c>
      <c r="P836" s="12"/>
      <c r="Q836" s="12">
        <f>+(Tabla1[[#This Row],[COSTO COCHE]]/30)*Tabla1[[#This Row],[TOTAL DIAS PROYECTO]]</f>
        <v>0</v>
      </c>
      <c r="R836" s="12">
        <f>+Tabla1[[#This Row],[COSTO TOTAL ALOJAMIENTO]]+Tabla1[[#This Row],[COSTO TOTAL COCHE]]</f>
        <v>0</v>
      </c>
      <c r="S836" s="2"/>
      <c r="T836" s="2" t="s">
        <v>44</v>
      </c>
      <c r="U836" s="14">
        <v>45697</v>
      </c>
      <c r="V836" s="43">
        <v>45700</v>
      </c>
      <c r="W836" s="26"/>
      <c r="X836" s="2"/>
      <c r="Y836" s="11" t="s">
        <v>1166</v>
      </c>
      <c r="Z836" s="2" t="s">
        <v>36</v>
      </c>
      <c r="AA836" s="13">
        <v>0.62217999999999996</v>
      </c>
      <c r="AB836" s="13" t="s">
        <v>10339</v>
      </c>
    </row>
    <row r="837" spans="1:28" ht="15" customHeight="1">
      <c r="A837" s="2" t="s">
        <v>9123</v>
      </c>
      <c r="B837" s="2" t="s">
        <v>368</v>
      </c>
      <c r="C837" s="11" t="s">
        <v>2094</v>
      </c>
      <c r="D837" s="2" t="s">
        <v>30</v>
      </c>
      <c r="E837" s="2" t="s">
        <v>109</v>
      </c>
      <c r="F837" s="11" t="s">
        <v>1793</v>
      </c>
      <c r="G837" s="21">
        <v>973266788</v>
      </c>
      <c r="H837" s="2" t="s">
        <v>2095</v>
      </c>
      <c r="I837" s="12" t="s">
        <v>1830</v>
      </c>
      <c r="J837" s="22">
        <f>+Tabla1[[#This Row],[FECHA ENTRADA]]</f>
        <v>45697</v>
      </c>
      <c r="K837" s="22">
        <v>45699</v>
      </c>
      <c r="L837" s="23">
        <f>_xlfn.DAYS(Tabla1[[#This Row],[FECHA FIN ]],Tabla1[[#This Row],[FECHA INICIO]])</f>
        <v>2</v>
      </c>
      <c r="M837" s="12"/>
      <c r="N837" s="12"/>
      <c r="O837" s="24">
        <f>(Tabla1[[#This Row],[COSTO FIJO ]]/30)*Tabla1[[#This Row],[TOTAL DIAS PROYECTO]]+(Tabla1[[#This Row],[COSTO TEMPORAL]])</f>
        <v>0</v>
      </c>
      <c r="P837" s="12"/>
      <c r="Q837" s="12">
        <f>+(Tabla1[[#This Row],[COSTO COCHE]]/30)*Tabla1[[#This Row],[TOTAL DIAS PROYECTO]]</f>
        <v>0</v>
      </c>
      <c r="R837" s="12">
        <f>+Tabla1[[#This Row],[COSTO TOTAL ALOJAMIENTO]]+Tabla1[[#This Row],[COSTO TOTAL COCHE]]</f>
        <v>0</v>
      </c>
      <c r="S837" s="2"/>
      <c r="T837" s="2" t="s">
        <v>44</v>
      </c>
      <c r="U837" s="14">
        <v>45697</v>
      </c>
      <c r="V837" s="43">
        <v>45700</v>
      </c>
      <c r="W837" s="26"/>
      <c r="X837" s="2"/>
      <c r="Y837" s="11" t="s">
        <v>1166</v>
      </c>
      <c r="Z837" s="2" t="s">
        <v>36</v>
      </c>
      <c r="AA837" s="13">
        <v>0.62217999999999996</v>
      </c>
      <c r="AB837" s="13" t="s">
        <v>10339</v>
      </c>
    </row>
    <row r="838" spans="1:28" ht="15" customHeight="1">
      <c r="A838" s="2" t="s">
        <v>9124</v>
      </c>
      <c r="B838" s="2" t="s">
        <v>28</v>
      </c>
      <c r="C838" s="11" t="s">
        <v>2096</v>
      </c>
      <c r="D838" s="2" t="s">
        <v>30</v>
      </c>
      <c r="E838" s="2" t="s">
        <v>87</v>
      </c>
      <c r="F838" s="11" t="s">
        <v>946</v>
      </c>
      <c r="G838" s="11" t="s">
        <v>947</v>
      </c>
      <c r="H838" s="2" t="s">
        <v>569</v>
      </c>
      <c r="I838" s="12" t="s">
        <v>570</v>
      </c>
      <c r="J838" s="8">
        <f>+Tabla1[[#This Row],[FECHA ENTRADA]]</f>
        <v>45487</v>
      </c>
      <c r="K838" s="8">
        <v>45774</v>
      </c>
      <c r="L838" s="13">
        <f>_xlfn.DAYS(Tabla1[[#This Row],[FECHA FIN ]],Tabla1[[#This Row],[FECHA INICIO]])</f>
        <v>287</v>
      </c>
      <c r="M838" s="12"/>
      <c r="N838" s="12">
        <f>1682.5/6</f>
        <v>280.41666666666669</v>
      </c>
      <c r="O838" s="12">
        <f>(Tabla1[[#This Row],[COSTO FIJO ]]/30)*Tabla1[[#This Row],[TOTAL DIAS PROYECTO]]+(Tabla1[[#This Row],[COSTO TEMPORAL]])</f>
        <v>2682.6527777777783</v>
      </c>
      <c r="P838" s="12"/>
      <c r="Q838" s="12">
        <f>+(Tabla1[[#This Row],[COSTO COCHE]]/30)*Tabla1[[#This Row],[TOTAL DIAS PROYECTO]]</f>
        <v>0</v>
      </c>
      <c r="R838" s="12">
        <f>+Tabla1[[#This Row],[COSTO TOTAL ALOJAMIENTO]]+Tabla1[[#This Row],[COSTO TOTAL COCHE]]</f>
        <v>2682.6527777777783</v>
      </c>
      <c r="S838" s="2"/>
      <c r="T838" s="2" t="s">
        <v>35</v>
      </c>
      <c r="U838" s="14">
        <v>45487</v>
      </c>
      <c r="V838" s="14"/>
      <c r="W838" s="26"/>
      <c r="X838" s="2">
        <v>4</v>
      </c>
      <c r="Y838" s="11" t="s">
        <v>2097</v>
      </c>
      <c r="Z838" s="2" t="s">
        <v>36</v>
      </c>
      <c r="AA838" s="13" t="s">
        <v>10335</v>
      </c>
      <c r="AB838" s="13">
        <v>404.16500000000002</v>
      </c>
    </row>
    <row r="839" spans="1:28" ht="15" customHeight="1">
      <c r="A839" s="2" t="s">
        <v>8980</v>
      </c>
      <c r="B839" s="2" t="s">
        <v>28</v>
      </c>
      <c r="C839" s="99" t="s">
        <v>1578</v>
      </c>
      <c r="D839" s="2" t="s">
        <v>30</v>
      </c>
      <c r="E839" s="2" t="s">
        <v>87</v>
      </c>
      <c r="F839" s="11" t="s">
        <v>946</v>
      </c>
      <c r="G839" s="11" t="s">
        <v>947</v>
      </c>
      <c r="H839" s="2" t="s">
        <v>569</v>
      </c>
      <c r="I839" s="12" t="s">
        <v>570</v>
      </c>
      <c r="J839" s="8">
        <f>+Tabla1[[#This Row],[FECHA ENTRADA]]</f>
        <v>45487</v>
      </c>
      <c r="K839" s="8">
        <v>45774</v>
      </c>
      <c r="L839" s="13">
        <f>_xlfn.DAYS(Tabla1[[#This Row],[FECHA FIN ]],Tabla1[[#This Row],[FECHA INICIO]])</f>
        <v>287</v>
      </c>
      <c r="M839" s="12">
        <f>1682.5/6</f>
        <v>280.41666666666669</v>
      </c>
      <c r="N839" s="24"/>
      <c r="O839" s="12">
        <f>(Tabla1[[#This Row],[COSTO FIJO ]]/30)*Tabla1[[#This Row],[TOTAL DIAS PROYECTO]]+(Tabla1[[#This Row],[COSTO TEMPORAL]])</f>
        <v>280.41666666666669</v>
      </c>
      <c r="P839" s="12"/>
      <c r="Q839" s="12">
        <f>+(Tabla1[[#This Row],[COSTO COCHE]]/30)*Tabla1[[#This Row],[TOTAL DIAS PROYECTO]]</f>
        <v>0</v>
      </c>
      <c r="R839" s="12">
        <f>+Tabla1[[#This Row],[COSTO TOTAL ALOJAMIENTO]]+Tabla1[[#This Row],[COSTO TOTAL COCHE]]</f>
        <v>280.41666666666669</v>
      </c>
      <c r="S839" s="2"/>
      <c r="T839" s="2" t="s">
        <v>35</v>
      </c>
      <c r="U839" s="14">
        <v>45487</v>
      </c>
      <c r="V839" s="14"/>
      <c r="W839" s="26">
        <v>950</v>
      </c>
      <c r="X839" s="2">
        <v>4</v>
      </c>
      <c r="Y839" s="11" t="s">
        <v>2098</v>
      </c>
      <c r="Z839" s="2" t="s">
        <v>36</v>
      </c>
      <c r="AA839" s="13" t="s">
        <v>10335</v>
      </c>
      <c r="AB839" s="13">
        <v>404.16500000000002</v>
      </c>
    </row>
    <row r="840" spans="1:28">
      <c r="A840" s="2" t="s">
        <v>8933</v>
      </c>
      <c r="B840" s="2" t="s">
        <v>28</v>
      </c>
      <c r="C840" s="31" t="s">
        <v>1339</v>
      </c>
      <c r="D840" s="2" t="s">
        <v>99</v>
      </c>
      <c r="E840" s="2" t="s">
        <v>626</v>
      </c>
      <c r="F840" s="11" t="s">
        <v>1964</v>
      </c>
      <c r="G840" s="100" t="s">
        <v>1409</v>
      </c>
      <c r="H840" s="2" t="s">
        <v>2099</v>
      </c>
      <c r="I840" s="12" t="s">
        <v>570</v>
      </c>
      <c r="J840" s="41">
        <f>+Tabla1[[#This Row],[FECHA ENTRADA]]</f>
        <v>45739</v>
      </c>
      <c r="K840" s="41">
        <v>45774</v>
      </c>
      <c r="L840" s="42">
        <f>_xlfn.DAYS(Tabla1[[#This Row],[FECHA FIN ]],Tabla1[[#This Row],[FECHA INICIO]])</f>
        <v>35</v>
      </c>
      <c r="M840" s="12">
        <f>1811.6/17</f>
        <v>106.56470588235294</v>
      </c>
      <c r="N840" s="28">
        <v>400</v>
      </c>
      <c r="O840" s="28">
        <f>(Tabla1[[#This Row],[COSTO FIJO ]]/30)*Tabla1[[#This Row],[TOTAL DIAS PROYECTO]]+(Tabla1[[#This Row],[COSTO TEMPORAL]])</f>
        <v>573.23137254901962</v>
      </c>
      <c r="P840" s="12"/>
      <c r="Q840" s="12">
        <f>+(Tabla1[[#This Row],[COSTO COCHE]]/30)*Tabla1[[#This Row],[TOTAL DIAS PROYECTO]]</f>
        <v>0</v>
      </c>
      <c r="R840" s="12">
        <f>+Tabla1[[#This Row],[COSTO TOTAL ALOJAMIENTO]]+Tabla1[[#This Row],[COSTO TOTAL COCHE]]</f>
        <v>573.23137254901962</v>
      </c>
      <c r="S840" s="2"/>
      <c r="T840" s="2" t="s">
        <v>35</v>
      </c>
      <c r="U840" s="14">
        <v>45739</v>
      </c>
      <c r="V840" s="43"/>
      <c r="W840" s="26">
        <v>500</v>
      </c>
      <c r="X840" s="2">
        <v>5</v>
      </c>
      <c r="Y840" s="11"/>
      <c r="Z840" s="2" t="s">
        <v>36</v>
      </c>
      <c r="AA840" s="13" t="s">
        <v>10385</v>
      </c>
      <c r="AB840" s="13" t="s">
        <v>10386</v>
      </c>
    </row>
    <row r="841" spans="1:28" ht="15" customHeight="1">
      <c r="A841" s="2" t="s">
        <v>9125</v>
      </c>
      <c r="B841" s="2" t="s">
        <v>28</v>
      </c>
      <c r="C841" s="11" t="s">
        <v>2100</v>
      </c>
      <c r="D841" s="2" t="s">
        <v>30</v>
      </c>
      <c r="E841" s="2" t="s">
        <v>87</v>
      </c>
      <c r="F841" s="11" t="s">
        <v>88</v>
      </c>
      <c r="G841" s="11" t="s">
        <v>89</v>
      </c>
      <c r="H841" s="2" t="s">
        <v>569</v>
      </c>
      <c r="I841" s="12" t="s">
        <v>570</v>
      </c>
      <c r="J841" s="8">
        <f>+Tabla1[[#This Row],[FECHA ENTRADA]]</f>
        <v>45487</v>
      </c>
      <c r="K841" s="8">
        <v>45774</v>
      </c>
      <c r="L841" s="13">
        <f>_xlfn.DAYS(Tabla1[[#This Row],[FECHA FIN ]],Tabla1[[#This Row],[FECHA INICIO]])</f>
        <v>287</v>
      </c>
      <c r="M841" s="12"/>
      <c r="N841" s="12"/>
      <c r="O841" s="12">
        <f>(Tabla1[[#This Row],[COSTO FIJO ]]/30)*Tabla1[[#This Row],[TOTAL DIAS PROYECTO]]+(Tabla1[[#This Row],[COSTO TEMPORAL]])</f>
        <v>0</v>
      </c>
      <c r="P841" s="12"/>
      <c r="Q841" s="12">
        <f>+(Tabla1[[#This Row],[COSTO COCHE]]/30)*Tabla1[[#This Row],[TOTAL DIAS PROYECTO]]</f>
        <v>0</v>
      </c>
      <c r="R841" s="12">
        <f>+Tabla1[[#This Row],[COSTO TOTAL ALOJAMIENTO]]+Tabla1[[#This Row],[COSTO TOTAL COCHE]]</f>
        <v>0</v>
      </c>
      <c r="S841" s="2"/>
      <c r="T841" s="2" t="s">
        <v>35</v>
      </c>
      <c r="U841" s="14">
        <v>45487</v>
      </c>
      <c r="V841" s="14"/>
      <c r="W841" s="26"/>
      <c r="X841" s="2"/>
      <c r="Y841" s="11" t="s">
        <v>2101</v>
      </c>
      <c r="Z841" s="2" t="s">
        <v>36</v>
      </c>
      <c r="AA841" s="13" t="s">
        <v>10335</v>
      </c>
      <c r="AB841" s="13">
        <v>404.16500000000002</v>
      </c>
    </row>
    <row r="842" spans="1:28">
      <c r="A842" s="2" t="s">
        <v>9126</v>
      </c>
      <c r="B842" s="2" t="s">
        <v>711</v>
      </c>
      <c r="C842" s="11" t="s">
        <v>2102</v>
      </c>
      <c r="D842" s="2" t="s">
        <v>30</v>
      </c>
      <c r="E842" s="2" t="s">
        <v>648</v>
      </c>
      <c r="F842" s="11" t="s">
        <v>2103</v>
      </c>
      <c r="G842" s="118" t="s">
        <v>1545</v>
      </c>
      <c r="H842" s="2" t="s">
        <v>2104</v>
      </c>
      <c r="I842" s="12" t="s">
        <v>96</v>
      </c>
      <c r="J842" s="22">
        <f>+Tabla1[[#This Row],[FECHA ENTRADA]]</f>
        <v>45938</v>
      </c>
      <c r="K842" s="22">
        <v>46082</v>
      </c>
      <c r="L842" s="23">
        <f>_xlfn.DAYS(Tabla1[[#This Row],[FECHA FIN ]],Tabla1[[#This Row],[FECHA INICIO]])</f>
        <v>144</v>
      </c>
      <c r="M842" s="12"/>
      <c r="N842" s="20">
        <v>240</v>
      </c>
      <c r="O842" s="24">
        <f>(Tabla1[[#This Row],[COSTO FIJO ]]/30)*Tabla1[[#This Row],[TOTAL DIAS PROYECTO]]+(Tabla1[[#This Row],[COSTO TEMPORAL]])</f>
        <v>1152</v>
      </c>
      <c r="P842" s="12"/>
      <c r="Q842" s="12">
        <f>+(Tabla1[[#This Row],[COSTO COCHE]]/30)*Tabla1[[#This Row],[TOTAL DIAS PROYECTO]]</f>
        <v>0</v>
      </c>
      <c r="R842" s="12">
        <f>+Tabla1[[#This Row],[COSTO TOTAL ALOJAMIENTO]]+Tabla1[[#This Row],[COSTO TOTAL COCHE]]</f>
        <v>1152</v>
      </c>
      <c r="S842" s="2"/>
      <c r="T842" s="14" t="s">
        <v>35</v>
      </c>
      <c r="U842" s="14">
        <v>45938</v>
      </c>
      <c r="V842" s="79"/>
      <c r="W842" s="71"/>
      <c r="X842" s="2">
        <v>1</v>
      </c>
      <c r="Y842" s="11" t="s">
        <v>2105</v>
      </c>
      <c r="Z842" s="2" t="s">
        <v>36</v>
      </c>
      <c r="AA842" s="13" t="s">
        <v>10387</v>
      </c>
      <c r="AB842" s="13" t="s">
        <v>10388</v>
      </c>
    </row>
    <row r="843" spans="1:28">
      <c r="A843" s="2" t="s">
        <v>8989</v>
      </c>
      <c r="B843" s="2" t="s">
        <v>606</v>
      </c>
      <c r="C843" s="31" t="s">
        <v>1606</v>
      </c>
      <c r="D843" s="2" t="s">
        <v>30</v>
      </c>
      <c r="E843" s="2" t="s">
        <v>87</v>
      </c>
      <c r="F843" s="11"/>
      <c r="G843" s="46"/>
      <c r="H843" s="2" t="s">
        <v>2106</v>
      </c>
      <c r="I843" s="12" t="s">
        <v>2107</v>
      </c>
      <c r="J843" s="41">
        <f>+Tabla1[[#This Row],[FECHA ENTRADA]]</f>
        <v>46100</v>
      </c>
      <c r="K843" s="22">
        <v>46266</v>
      </c>
      <c r="L843" s="42">
        <f>_xlfn.DAYS(Tabla1[[#This Row],[FECHA FIN ]],Tabla1[[#This Row],[FECHA INICIO]])</f>
        <v>166</v>
      </c>
      <c r="M843" s="12"/>
      <c r="N843" s="28">
        <v>300</v>
      </c>
      <c r="O843" s="28">
        <f>(Tabla1[[#This Row],[COSTO FIJO ]]/30)*Tabla1[[#This Row],[TOTAL DIAS PROYECTO]]+(Tabla1[[#This Row],[COSTO TEMPORAL]])</f>
        <v>1660</v>
      </c>
      <c r="P843" s="12"/>
      <c r="Q843" s="12">
        <f>+(Tabla1[[#This Row],[COSTO COCHE]]/30)*Tabla1[[#This Row],[TOTAL DIAS PROYECTO]]</f>
        <v>0</v>
      </c>
      <c r="R843" s="12">
        <f>+Tabla1[[#This Row],[COSTO TOTAL ALOJAMIENTO]]+Tabla1[[#This Row],[COSTO TOTAL COCHE]]</f>
        <v>1660</v>
      </c>
      <c r="S843" s="2"/>
      <c r="T843" s="14" t="s">
        <v>58</v>
      </c>
      <c r="U843" s="14">
        <v>46100</v>
      </c>
      <c r="V843" s="43"/>
      <c r="W843" s="12"/>
      <c r="X843" s="2"/>
      <c r="Y843" s="11" t="s">
        <v>2108</v>
      </c>
      <c r="Z843" s="2" t="s">
        <v>702</v>
      </c>
      <c r="AA843" s="13" t="s">
        <v>10335</v>
      </c>
      <c r="AB843" s="13">
        <v>404.16500000000002</v>
      </c>
    </row>
    <row r="844" spans="1:28" ht="15" customHeight="1">
      <c r="A844" s="2" t="s">
        <v>8742</v>
      </c>
      <c r="B844" s="2" t="s">
        <v>28</v>
      </c>
      <c r="C844" s="11" t="s">
        <v>535</v>
      </c>
      <c r="D844" s="2" t="s">
        <v>30</v>
      </c>
      <c r="E844" s="2" t="s">
        <v>415</v>
      </c>
      <c r="F844" s="11" t="s">
        <v>1290</v>
      </c>
      <c r="G844" t="s">
        <v>1291</v>
      </c>
      <c r="H844" s="2" t="s">
        <v>2109</v>
      </c>
      <c r="I844" s="12" t="s">
        <v>800</v>
      </c>
      <c r="J844" s="41">
        <f>+Tabla1[[#This Row],[FECHA ENTRADA]]</f>
        <v>45669</v>
      </c>
      <c r="K844" s="8">
        <v>45775</v>
      </c>
      <c r="L844" s="42">
        <f>_xlfn.DAYS(Tabla1[[#This Row],[FECHA FIN ]],Tabla1[[#This Row],[FECHA INICIO]])</f>
        <v>106</v>
      </c>
      <c r="M844" s="12"/>
      <c r="N844" s="12">
        <v>145</v>
      </c>
      <c r="O844" s="28">
        <f>(Tabla1[[#This Row],[COSTO FIJO ]]/30)*Tabla1[[#This Row],[TOTAL DIAS PROYECTO]]+(Tabla1[[#This Row],[COSTO TEMPORAL]])</f>
        <v>512.33333333333326</v>
      </c>
      <c r="P844" s="12">
        <f>732.9/12</f>
        <v>61.074999999999996</v>
      </c>
      <c r="Q844" s="12">
        <f>+(Tabla1[[#This Row],[COSTO COCHE]]/30)*Tabla1[[#This Row],[TOTAL DIAS PROYECTO]]</f>
        <v>215.79833333333332</v>
      </c>
      <c r="R844" s="12">
        <f>+Tabla1[[#This Row],[COSTO TOTAL ALOJAMIENTO]]+Tabla1[[#This Row],[COSTO TOTAL COCHE]]</f>
        <v>728.13166666666655</v>
      </c>
      <c r="S844" s="2"/>
      <c r="T844" s="2" t="s">
        <v>35</v>
      </c>
      <c r="U844" s="14">
        <v>45669</v>
      </c>
      <c r="V844" s="43"/>
      <c r="W844" s="26">
        <v>580</v>
      </c>
      <c r="X844" s="2">
        <v>1</v>
      </c>
      <c r="Y844" s="31" t="s">
        <v>1292</v>
      </c>
      <c r="Z844" s="2" t="s">
        <v>36</v>
      </c>
      <c r="AA844" s="13">
        <v>-0.37739</v>
      </c>
      <c r="AB844" s="13" t="s">
        <v>10372</v>
      </c>
    </row>
    <row r="845" spans="1:28" ht="15" customHeight="1">
      <c r="A845" s="2" t="s">
        <v>9002</v>
      </c>
      <c r="B845" s="2" t="s">
        <v>1457</v>
      </c>
      <c r="C845" s="31" t="s">
        <v>1659</v>
      </c>
      <c r="D845" s="2" t="s">
        <v>72</v>
      </c>
      <c r="E845" s="10" t="s">
        <v>1458</v>
      </c>
      <c r="F845" s="11" t="s">
        <v>1925</v>
      </c>
      <c r="G845" t="s">
        <v>1926</v>
      </c>
      <c r="H845" s="2" t="s">
        <v>1461</v>
      </c>
      <c r="I845" s="12" t="s">
        <v>1288</v>
      </c>
      <c r="J845" s="41">
        <f>+Tabla1[[#This Row],[FECHA ENTRADA]]</f>
        <v>45744</v>
      </c>
      <c r="K845" s="41">
        <v>45775</v>
      </c>
      <c r="L845" s="42">
        <f>_xlfn.DAYS(Tabla1[[#This Row],[FECHA FIN ]],Tabla1[[#This Row],[FECHA INICIO]])</f>
        <v>31</v>
      </c>
      <c r="M845" s="12">
        <f>2411/4</f>
        <v>602.75</v>
      </c>
      <c r="N845" s="24"/>
      <c r="O845" s="28">
        <f>(Tabla1[[#This Row],[COSTO FIJO ]]/30)*Tabla1[[#This Row],[TOTAL DIAS PROYECTO]]+(Tabla1[[#This Row],[COSTO TEMPORAL]])</f>
        <v>602.75</v>
      </c>
      <c r="P845" s="12"/>
      <c r="Q845" s="12">
        <f>+(Tabla1[[#This Row],[COSTO COCHE]]/30)*Tabla1[[#This Row],[TOTAL DIAS PROYECTO]]</f>
        <v>0</v>
      </c>
      <c r="R845" s="12">
        <f>+Tabla1[[#This Row],[COSTO TOTAL ALOJAMIENTO]]+Tabla1[[#This Row],[COSTO TOTAL COCHE]]</f>
        <v>602.75</v>
      </c>
      <c r="S845" s="2"/>
      <c r="T845" s="2" t="s">
        <v>528</v>
      </c>
      <c r="U845" s="14">
        <v>45744</v>
      </c>
      <c r="V845" s="43">
        <v>45775</v>
      </c>
      <c r="W845" s="26"/>
      <c r="X845" s="2"/>
      <c r="Y845" s="11"/>
      <c r="Z845" s="2" t="s">
        <v>36</v>
      </c>
      <c r="AA845" s="13" t="s">
        <v>10421</v>
      </c>
      <c r="AB845" s="13">
        <v>5113412</v>
      </c>
    </row>
    <row r="846" spans="1:28" ht="15" customHeight="1">
      <c r="A846" s="2" t="s">
        <v>9051</v>
      </c>
      <c r="B846" s="2" t="s">
        <v>368</v>
      </c>
      <c r="C846" s="11" t="s">
        <v>1812</v>
      </c>
      <c r="D846" s="2" t="s">
        <v>72</v>
      </c>
      <c r="E846" s="10" t="s">
        <v>1458</v>
      </c>
      <c r="F846" s="11" t="s">
        <v>1925</v>
      </c>
      <c r="G846" t="s">
        <v>1926</v>
      </c>
      <c r="H846" s="2" t="s">
        <v>1927</v>
      </c>
      <c r="I846" s="12" t="s">
        <v>1288</v>
      </c>
      <c r="J846" s="41">
        <f>+Tabla1[[#This Row],[FECHA ENTRADA]]</f>
        <v>45744</v>
      </c>
      <c r="K846" s="41">
        <v>45775</v>
      </c>
      <c r="L846" s="42">
        <f>_xlfn.DAYS(Tabla1[[#This Row],[FECHA FIN ]],Tabla1[[#This Row],[FECHA INICIO]])</f>
        <v>31</v>
      </c>
      <c r="M846" s="12">
        <f>2411/4</f>
        <v>602.75</v>
      </c>
      <c r="N846" s="24"/>
      <c r="O846" s="28">
        <f>(Tabla1[[#This Row],[COSTO FIJO ]]/30)*Tabla1[[#This Row],[TOTAL DIAS PROYECTO]]+(Tabla1[[#This Row],[COSTO TEMPORAL]])</f>
        <v>602.75</v>
      </c>
      <c r="P846" s="12"/>
      <c r="Q846" s="12">
        <f>+(Tabla1[[#This Row],[COSTO COCHE]]/30)*Tabla1[[#This Row],[TOTAL DIAS PROYECTO]]</f>
        <v>0</v>
      </c>
      <c r="R846" s="12">
        <f>+Tabla1[[#This Row],[COSTO TOTAL ALOJAMIENTO]]+Tabla1[[#This Row],[COSTO TOTAL COCHE]]</f>
        <v>602.75</v>
      </c>
      <c r="S846" s="2"/>
      <c r="T846" s="2" t="s">
        <v>528</v>
      </c>
      <c r="U846" s="14">
        <v>45744</v>
      </c>
      <c r="V846" s="43">
        <v>45775</v>
      </c>
      <c r="W846" s="26"/>
      <c r="X846" s="2"/>
      <c r="Y846" s="11"/>
      <c r="Z846" s="2" t="s">
        <v>36</v>
      </c>
      <c r="AA846" s="13" t="s">
        <v>10421</v>
      </c>
      <c r="AB846" s="13">
        <v>5113412</v>
      </c>
    </row>
    <row r="847" spans="1:28" ht="15" customHeight="1">
      <c r="A847" s="2" t="s">
        <v>9052</v>
      </c>
      <c r="B847" s="2" t="s">
        <v>368</v>
      </c>
      <c r="C847" s="11" t="s">
        <v>1813</v>
      </c>
      <c r="D847" s="2" t="s">
        <v>72</v>
      </c>
      <c r="E847" s="10" t="s">
        <v>1458</v>
      </c>
      <c r="F847" s="11" t="s">
        <v>1925</v>
      </c>
      <c r="G847" t="s">
        <v>1926</v>
      </c>
      <c r="H847" s="2" t="s">
        <v>1927</v>
      </c>
      <c r="I847" s="12" t="s">
        <v>1288</v>
      </c>
      <c r="J847" s="41">
        <f>+Tabla1[[#This Row],[FECHA ENTRADA]]</f>
        <v>45744</v>
      </c>
      <c r="K847" s="41">
        <v>45775</v>
      </c>
      <c r="L847" s="42">
        <f>_xlfn.DAYS(Tabla1[[#This Row],[FECHA FIN ]],Tabla1[[#This Row],[FECHA INICIO]])</f>
        <v>31</v>
      </c>
      <c r="M847" s="12">
        <f>2411/4</f>
        <v>602.75</v>
      </c>
      <c r="N847" s="24"/>
      <c r="O847" s="28">
        <f>(Tabla1[[#This Row],[COSTO FIJO ]]/30)*Tabla1[[#This Row],[TOTAL DIAS PROYECTO]]+(Tabla1[[#This Row],[COSTO TEMPORAL]])</f>
        <v>602.75</v>
      </c>
      <c r="P847" s="12"/>
      <c r="Q847" s="12">
        <f>+(Tabla1[[#This Row],[COSTO COCHE]]/30)*Tabla1[[#This Row],[TOTAL DIAS PROYECTO]]</f>
        <v>0</v>
      </c>
      <c r="R847" s="12">
        <f>+Tabla1[[#This Row],[COSTO TOTAL ALOJAMIENTO]]+Tabla1[[#This Row],[COSTO TOTAL COCHE]]</f>
        <v>602.75</v>
      </c>
      <c r="S847" s="2"/>
      <c r="T847" s="2" t="s">
        <v>528</v>
      </c>
      <c r="U847" s="14">
        <v>45744</v>
      </c>
      <c r="V847" s="43">
        <v>45775</v>
      </c>
      <c r="W847" s="26"/>
      <c r="X847" s="2"/>
      <c r="Y847" s="11"/>
      <c r="Z847" s="2" t="s">
        <v>36</v>
      </c>
      <c r="AA847" s="13" t="s">
        <v>10421</v>
      </c>
      <c r="AB847" s="13">
        <v>5113412</v>
      </c>
    </row>
    <row r="848" spans="1:28" ht="15" customHeight="1">
      <c r="A848" s="2" t="s">
        <v>9127</v>
      </c>
      <c r="B848" s="2" t="s">
        <v>711</v>
      </c>
      <c r="C848" s="31" t="s">
        <v>2110</v>
      </c>
      <c r="D848" s="2" t="s">
        <v>30</v>
      </c>
      <c r="E848" s="2" t="s">
        <v>127</v>
      </c>
      <c r="F848" s="11" t="s">
        <v>128</v>
      </c>
      <c r="G848" s="49" t="s">
        <v>2111</v>
      </c>
      <c r="H848" s="2" t="s">
        <v>2112</v>
      </c>
      <c r="I848" s="12" t="s">
        <v>96</v>
      </c>
      <c r="J848" s="41">
        <f>+Tabla1[[#This Row],[FECHA ENTRADA]]</f>
        <v>45921</v>
      </c>
      <c r="K848" s="41">
        <v>46069</v>
      </c>
      <c r="L848" s="42">
        <f>_xlfn.DAYS(Tabla1[[#This Row],[FECHA FIN ]],Tabla1[[#This Row],[FECHA INICIO]])</f>
        <v>148</v>
      </c>
      <c r="M848" s="12"/>
      <c r="N848" s="12">
        <v>312.5</v>
      </c>
      <c r="O848" s="28">
        <f>(Tabla1[[#This Row],[COSTO FIJO ]]/30)*Tabla1[[#This Row],[TOTAL DIAS PROYECTO]]+(Tabla1[[#This Row],[COSTO TEMPORAL]])</f>
        <v>1541.6666666666665</v>
      </c>
      <c r="P848" s="12"/>
      <c r="Q848" s="12">
        <f>+(Tabla1[[#This Row],[COSTO COCHE]]/30)*Tabla1[[#This Row],[TOTAL DIAS PROYECTO]]</f>
        <v>0</v>
      </c>
      <c r="R848" s="12">
        <f>+Tabla1[[#This Row],[COSTO TOTAL ALOJAMIENTO]]+Tabla1[[#This Row],[COSTO TOTAL COCHE]]</f>
        <v>1541.6666666666665</v>
      </c>
      <c r="S848" s="2"/>
      <c r="T848" s="14" t="s">
        <v>35</v>
      </c>
      <c r="U848" s="14">
        <v>45921</v>
      </c>
      <c r="V848" s="43"/>
      <c r="W848" s="71">
        <v>1000</v>
      </c>
      <c r="X848" s="2">
        <v>1</v>
      </c>
      <c r="Y848" s="11" t="s">
        <v>2113</v>
      </c>
      <c r="Z848" s="2" t="s">
        <v>36</v>
      </c>
      <c r="AA848" s="13" t="s">
        <v>10342</v>
      </c>
      <c r="AB848" s="13" t="s">
        <v>10343</v>
      </c>
    </row>
    <row r="849" spans="1:28" ht="15" customHeight="1">
      <c r="A849" s="2" t="s">
        <v>9008</v>
      </c>
      <c r="B849" s="2" t="s">
        <v>368</v>
      </c>
      <c r="C849" s="11" t="s">
        <v>1682</v>
      </c>
      <c r="D849" s="2" t="s">
        <v>30</v>
      </c>
      <c r="E849" s="2" t="s">
        <v>151</v>
      </c>
      <c r="F849" s="11" t="s">
        <v>2114</v>
      </c>
      <c r="G849" s="11" t="s">
        <v>227</v>
      </c>
      <c r="H849" s="2" t="s">
        <v>2115</v>
      </c>
      <c r="I849" s="12" t="s">
        <v>989</v>
      </c>
      <c r="J849" s="22">
        <f>+Tabla1[[#This Row],[FECHA ENTRADA]]</f>
        <v>45769</v>
      </c>
      <c r="K849" s="22">
        <v>45776</v>
      </c>
      <c r="L849" s="42">
        <f>_xlfn.DAYS(Tabla1[[#This Row],[FECHA FIN ]],Tabla1[[#This Row],[FECHA INICIO]])</f>
        <v>7</v>
      </c>
      <c r="M849" s="12"/>
      <c r="N849" s="28">
        <v>350</v>
      </c>
      <c r="O849" s="28">
        <f>(Tabla1[[#This Row],[COSTO FIJO ]]/30)*Tabla1[[#This Row],[TOTAL DIAS PROYECTO]]+(Tabla1[[#This Row],[COSTO TEMPORAL]])</f>
        <v>81.666666666666657</v>
      </c>
      <c r="P849" s="12"/>
      <c r="Q849" s="12">
        <f>+(Tabla1[[#This Row],[COSTO COCHE]]/30)*Tabla1[[#This Row],[TOTAL DIAS PROYECTO]]</f>
        <v>0</v>
      </c>
      <c r="R849" s="12">
        <f>+Tabla1[[#This Row],[COSTO TOTAL ALOJAMIENTO]]+Tabla1[[#This Row],[COSTO TOTAL COCHE]]</f>
        <v>81.666666666666657</v>
      </c>
      <c r="S849" s="2"/>
      <c r="T849" s="14" t="s">
        <v>35</v>
      </c>
      <c r="U849" s="14">
        <v>45769</v>
      </c>
      <c r="V849" s="75"/>
      <c r="W849" s="2"/>
      <c r="X849" s="2">
        <v>1</v>
      </c>
      <c r="Y849" s="11"/>
      <c r="Z849" s="2" t="s">
        <v>36</v>
      </c>
      <c r="AA849" s="13" t="s">
        <v>10345</v>
      </c>
      <c r="AB849" s="42" t="s">
        <v>10346</v>
      </c>
    </row>
    <row r="850" spans="1:28" ht="15" customHeight="1">
      <c r="A850" s="2" t="s">
        <v>9128</v>
      </c>
      <c r="B850" s="2" t="s">
        <v>28</v>
      </c>
      <c r="C850" s="11" t="s">
        <v>2116</v>
      </c>
      <c r="D850" s="2" t="s">
        <v>99</v>
      </c>
      <c r="E850" s="2" t="s">
        <v>259</v>
      </c>
      <c r="F850" s="11" t="s">
        <v>2117</v>
      </c>
      <c r="G850" s="21">
        <v>976109595</v>
      </c>
      <c r="H850" s="2" t="s">
        <v>2118</v>
      </c>
      <c r="I850" t="s">
        <v>2119</v>
      </c>
      <c r="J850" s="22">
        <f>+Tabla1[[#This Row],[FECHA ENTRADA]]</f>
        <v>45756</v>
      </c>
      <c r="K850" s="22">
        <v>45776</v>
      </c>
      <c r="L850" s="23">
        <f>_xlfn.DAYS(Tabla1[[#This Row],[FECHA FIN ]],Tabla1[[#This Row],[FECHA INICIO]])</f>
        <v>20</v>
      </c>
      <c r="M850" s="12"/>
      <c r="N850" s="12"/>
      <c r="O850" s="24">
        <f>(Tabla1[[#This Row],[COSTO FIJO ]]/30)*Tabla1[[#This Row],[TOTAL DIAS PROYECTO]]+(Tabla1[[#This Row],[COSTO TEMPORAL]])</f>
        <v>0</v>
      </c>
      <c r="P850" s="12"/>
      <c r="Q850" s="12">
        <f>+(Tabla1[[#This Row],[COSTO COCHE]]/30)*Tabla1[[#This Row],[TOTAL DIAS PROYECTO]]</f>
        <v>0</v>
      </c>
      <c r="R850" s="12">
        <f>+Tabla1[[#This Row],[COSTO TOTAL ALOJAMIENTO]]+Tabla1[[#This Row],[COSTO TOTAL COCHE]]</f>
        <v>0</v>
      </c>
      <c r="S850" s="2"/>
      <c r="T850" s="2" t="s">
        <v>35</v>
      </c>
      <c r="U850" s="14">
        <v>45756</v>
      </c>
      <c r="V850" s="25"/>
      <c r="W850" s="26"/>
      <c r="X850" s="2"/>
      <c r="Y850" s="11" t="s">
        <v>2120</v>
      </c>
      <c r="Z850" s="2" t="s">
        <v>36</v>
      </c>
      <c r="AA850" s="13">
        <v>-0.87734000000000001</v>
      </c>
      <c r="AB850" s="13" t="s">
        <v>10359</v>
      </c>
    </row>
    <row r="851" spans="1:28" ht="15" customHeight="1">
      <c r="A851" s="2" t="s">
        <v>9014</v>
      </c>
      <c r="B851" s="2" t="s">
        <v>28</v>
      </c>
      <c r="C851" s="11" t="s">
        <v>1701</v>
      </c>
      <c r="D851" s="2" t="s">
        <v>99</v>
      </c>
      <c r="E851" s="2" t="s">
        <v>259</v>
      </c>
      <c r="F851" s="11" t="s">
        <v>2117</v>
      </c>
      <c r="G851" s="21">
        <v>976109595</v>
      </c>
      <c r="H851" s="2" t="s">
        <v>2118</v>
      </c>
      <c r="I851" t="s">
        <v>2119</v>
      </c>
      <c r="J851" s="22">
        <f>+Tabla1[[#This Row],[FECHA ENTRADA]]</f>
        <v>45756</v>
      </c>
      <c r="K851" s="22">
        <v>45776</v>
      </c>
      <c r="L851" s="23">
        <f>_xlfn.DAYS(Tabla1[[#This Row],[FECHA FIN ]],Tabla1[[#This Row],[FECHA INICIO]])</f>
        <v>20</v>
      </c>
      <c r="M851" s="12"/>
      <c r="N851" s="12"/>
      <c r="O851" s="24">
        <f>(Tabla1[[#This Row],[COSTO FIJO ]]/30)*Tabla1[[#This Row],[TOTAL DIAS PROYECTO]]+(Tabla1[[#This Row],[COSTO TEMPORAL]])</f>
        <v>0</v>
      </c>
      <c r="P851" s="12"/>
      <c r="Q851" s="12">
        <f>+(Tabla1[[#This Row],[COSTO COCHE]]/30)*Tabla1[[#This Row],[TOTAL DIAS PROYECTO]]</f>
        <v>0</v>
      </c>
      <c r="R851" s="12">
        <f>+Tabla1[[#This Row],[COSTO TOTAL ALOJAMIENTO]]+Tabla1[[#This Row],[COSTO TOTAL COCHE]]</f>
        <v>0</v>
      </c>
      <c r="S851" s="2"/>
      <c r="T851" s="2" t="s">
        <v>35</v>
      </c>
      <c r="U851" s="14">
        <v>45756</v>
      </c>
      <c r="V851" s="25"/>
      <c r="W851" s="26"/>
      <c r="X851" s="2"/>
      <c r="Y851" s="11" t="s">
        <v>2120</v>
      </c>
      <c r="Z851" s="2" t="s">
        <v>36</v>
      </c>
      <c r="AA851" s="13">
        <v>-0.87734000000000001</v>
      </c>
      <c r="AB851" s="13" t="s">
        <v>10359</v>
      </c>
    </row>
    <row r="852" spans="1:28" ht="15" customHeight="1">
      <c r="A852" s="2" t="s">
        <v>9129</v>
      </c>
      <c r="B852" s="2" t="s">
        <v>28</v>
      </c>
      <c r="C852" s="11" t="s">
        <v>2121</v>
      </c>
      <c r="D852" s="2" t="s">
        <v>99</v>
      </c>
      <c r="E852" s="2" t="s">
        <v>259</v>
      </c>
      <c r="F852" s="11" t="s">
        <v>2117</v>
      </c>
      <c r="G852" s="21">
        <v>976109595</v>
      </c>
      <c r="H852" s="2" t="s">
        <v>2118</v>
      </c>
      <c r="I852" t="s">
        <v>2119</v>
      </c>
      <c r="J852" s="22">
        <f>+Tabla1[[#This Row],[FECHA ENTRADA]]</f>
        <v>45756</v>
      </c>
      <c r="K852" s="22">
        <v>45776</v>
      </c>
      <c r="L852" s="23">
        <f>_xlfn.DAYS(Tabla1[[#This Row],[FECHA FIN ]],Tabla1[[#This Row],[FECHA INICIO]])</f>
        <v>20</v>
      </c>
      <c r="M852" s="12"/>
      <c r="N852" s="24"/>
      <c r="O852" s="24">
        <f>(Tabla1[[#This Row],[COSTO FIJO ]]/30)*Tabla1[[#This Row],[TOTAL DIAS PROYECTO]]+(Tabla1[[#This Row],[COSTO TEMPORAL]])</f>
        <v>0</v>
      </c>
      <c r="P852" s="12"/>
      <c r="Q852" s="12">
        <f>+(Tabla1[[#This Row],[COSTO COCHE]]/30)*Tabla1[[#This Row],[TOTAL DIAS PROYECTO]]</f>
        <v>0</v>
      </c>
      <c r="R852" s="12">
        <f>+Tabla1[[#This Row],[COSTO TOTAL ALOJAMIENTO]]+Tabla1[[#This Row],[COSTO TOTAL COCHE]]</f>
        <v>0</v>
      </c>
      <c r="S852" s="2"/>
      <c r="T852" s="2" t="s">
        <v>35</v>
      </c>
      <c r="U852" s="14">
        <v>45756</v>
      </c>
      <c r="V852" s="25"/>
      <c r="W852" s="26"/>
      <c r="X852" s="2"/>
      <c r="Y852" s="11" t="s">
        <v>2120</v>
      </c>
      <c r="Z852" s="2" t="s">
        <v>36</v>
      </c>
      <c r="AA852" s="13">
        <v>-0.87734000000000001</v>
      </c>
      <c r="AB852" s="13" t="s">
        <v>10359</v>
      </c>
    </row>
    <row r="853" spans="1:28" ht="15" customHeight="1">
      <c r="A853" s="2" t="s">
        <v>9037</v>
      </c>
      <c r="B853" s="2" t="s">
        <v>28</v>
      </c>
      <c r="C853" s="18" t="s">
        <v>1770</v>
      </c>
      <c r="D853" s="2" t="s">
        <v>30</v>
      </c>
      <c r="E853" s="2" t="s">
        <v>55</v>
      </c>
      <c r="F853" s="11"/>
      <c r="G853" s="11"/>
      <c r="H853" s="2">
        <v>2023</v>
      </c>
      <c r="I853" s="2" t="s">
        <v>236</v>
      </c>
      <c r="J853" s="8">
        <v>45122</v>
      </c>
      <c r="K853" s="22">
        <v>45777</v>
      </c>
      <c r="L853" s="13">
        <f>_xlfn.DAYS(Tabla1[[#This Row],[FECHA FIN ]],Tabla1[[#This Row],[FECHA INICIO]])</f>
        <v>655</v>
      </c>
      <c r="M853" s="12"/>
      <c r="N853" s="12">
        <v>300</v>
      </c>
      <c r="O853" s="12">
        <f>(Tabla1[[#This Row],[COSTO FIJO ]]/30)*Tabla1[[#This Row],[TOTAL DIAS PROYECTO]]+(Tabla1[[#This Row],[COSTO TEMPORAL]])</f>
        <v>6550</v>
      </c>
      <c r="P853" s="12"/>
      <c r="Q853" s="12">
        <f>+(Tabla1[[#This Row],[COSTO COCHE]]/30)*Tabla1[[#This Row],[TOTAL DIAS PROYECTO]]</f>
        <v>0</v>
      </c>
      <c r="R853" s="12">
        <f>+Tabla1[[#This Row],[COSTO TOTAL ALOJAMIENTO]]+Tabla1[[#This Row],[COSTO TOTAL COCHE]]</f>
        <v>6550</v>
      </c>
      <c r="S853" s="2"/>
      <c r="T853" s="2" t="s">
        <v>58</v>
      </c>
      <c r="U853" s="14"/>
      <c r="V853" s="14"/>
      <c r="W853" s="2"/>
      <c r="X853" s="2"/>
      <c r="Y853" s="18" t="s">
        <v>2122</v>
      </c>
      <c r="Z853" s="2" t="s">
        <v>36</v>
      </c>
      <c r="AA853" s="13" t="s">
        <v>10327</v>
      </c>
      <c r="AB853" s="13" t="s">
        <v>10328</v>
      </c>
    </row>
    <row r="854" spans="1:28">
      <c r="A854" s="2" t="s">
        <v>8757</v>
      </c>
      <c r="B854" s="2" t="s">
        <v>28</v>
      </c>
      <c r="C854" s="99" t="s">
        <v>617</v>
      </c>
      <c r="D854" s="2" t="s">
        <v>30</v>
      </c>
      <c r="E854" s="2" t="s">
        <v>370</v>
      </c>
      <c r="F854" s="11" t="s">
        <v>2123</v>
      </c>
      <c r="G854" s="11" t="s">
        <v>2124</v>
      </c>
      <c r="H854" s="2" t="s">
        <v>619</v>
      </c>
      <c r="I854" s="12" t="s">
        <v>406</v>
      </c>
      <c r="J854" s="8">
        <v>45534</v>
      </c>
      <c r="K854" s="8">
        <v>45777</v>
      </c>
      <c r="L854" s="13">
        <f>_xlfn.DAYS(Tabla1[[#This Row],[FECHA FIN ]],Tabla1[[#This Row],[FECHA INICIO]])</f>
        <v>243</v>
      </c>
      <c r="M854" s="12"/>
      <c r="N854" s="12">
        <v>450</v>
      </c>
      <c r="O854" s="12">
        <f>(Tabla1[[#This Row],[COSTO FIJO ]]/30)*Tabla1[[#This Row],[TOTAL DIAS PROYECTO]]+(Tabla1[[#This Row],[COSTO TEMPORAL]])</f>
        <v>3645</v>
      </c>
      <c r="P854" s="12"/>
      <c r="Q854" s="12">
        <f>+(Tabla1[[#This Row],[COSTO COCHE]]/30)*Tabla1[[#This Row],[TOTAL DIAS PROYECTO]]</f>
        <v>0</v>
      </c>
      <c r="R854" s="12">
        <f>+Tabla1[[#This Row],[COSTO TOTAL ALOJAMIENTO]]+Tabla1[[#This Row],[COSTO TOTAL COCHE]]</f>
        <v>3645</v>
      </c>
      <c r="S854" s="2"/>
      <c r="T854" s="2" t="s">
        <v>35</v>
      </c>
      <c r="U854" s="14">
        <v>45487</v>
      </c>
      <c r="V854" s="14">
        <v>45490</v>
      </c>
      <c r="W854" s="26"/>
      <c r="X854" s="2">
        <v>1</v>
      </c>
      <c r="Y854" s="11" t="s">
        <v>2125</v>
      </c>
      <c r="Z854" s="2" t="s">
        <v>36</v>
      </c>
      <c r="AA854" s="13" t="s">
        <v>10368</v>
      </c>
      <c r="AB854" s="13" t="s">
        <v>10369</v>
      </c>
    </row>
    <row r="855" spans="1:28">
      <c r="A855" s="2" t="s">
        <v>9130</v>
      </c>
      <c r="B855" s="2" t="s">
        <v>368</v>
      </c>
      <c r="C855" s="11" t="s">
        <v>2126</v>
      </c>
      <c r="D855" s="2" t="s">
        <v>99</v>
      </c>
      <c r="E855" s="2" t="s">
        <v>55</v>
      </c>
      <c r="F855" s="11" t="s">
        <v>2127</v>
      </c>
      <c r="G855" s="49" t="s">
        <v>2128</v>
      </c>
      <c r="H855" s="2" t="s">
        <v>2129</v>
      </c>
      <c r="I855" s="10" t="s">
        <v>1316</v>
      </c>
      <c r="J855" s="22">
        <f>+Tabla1[[#This Row],[FECHA ENTRADA]]</f>
        <v>45741</v>
      </c>
      <c r="K855" s="22">
        <v>45777</v>
      </c>
      <c r="L855" s="23">
        <f>_xlfn.DAYS(Tabla1[[#This Row],[FECHA FIN ]],Tabla1[[#This Row],[FECHA INICIO]])</f>
        <v>36</v>
      </c>
      <c r="M855" s="12"/>
      <c r="N855" s="24">
        <v>400</v>
      </c>
      <c r="O855" s="24">
        <f>(Tabla1[[#This Row],[COSTO FIJO ]]/30)*Tabla1[[#This Row],[TOTAL DIAS PROYECTO]]+(Tabla1[[#This Row],[COSTO TEMPORAL]])</f>
        <v>480</v>
      </c>
      <c r="P855" s="12"/>
      <c r="Q855" s="12">
        <f>+(Tabla1[[#This Row],[COSTO COCHE]]/30)*Tabla1[[#This Row],[TOTAL DIAS PROYECTO]]</f>
        <v>0</v>
      </c>
      <c r="R855" s="12">
        <f>+Tabla1[[#This Row],[COSTO TOTAL ALOJAMIENTO]]+Tabla1[[#This Row],[COSTO TOTAL COCHE]]</f>
        <v>480</v>
      </c>
      <c r="S855" s="2"/>
      <c r="T855" s="2" t="s">
        <v>35</v>
      </c>
      <c r="U855" s="14">
        <v>45741</v>
      </c>
      <c r="V855" s="25"/>
      <c r="W855" s="26"/>
      <c r="X855" s="2">
        <v>1</v>
      </c>
      <c r="Y855" s="11" t="s">
        <v>1120</v>
      </c>
      <c r="Z855" s="2" t="s">
        <v>36</v>
      </c>
      <c r="AA855" s="13" t="s">
        <v>10327</v>
      </c>
      <c r="AB855" s="13" t="s">
        <v>10328</v>
      </c>
    </row>
    <row r="856" spans="1:28" ht="15" customHeight="1">
      <c r="A856" s="2" t="s">
        <v>8783</v>
      </c>
      <c r="B856" s="2" t="s">
        <v>368</v>
      </c>
      <c r="C856" s="11" t="s">
        <v>748</v>
      </c>
      <c r="D856" s="2" t="s">
        <v>30</v>
      </c>
      <c r="E856" s="2" t="s">
        <v>855</v>
      </c>
      <c r="F856" s="11" t="s">
        <v>1285</v>
      </c>
      <c r="G856" s="46" t="s">
        <v>1286</v>
      </c>
      <c r="H856" s="2" t="s">
        <v>1287</v>
      </c>
      <c r="I856" s="91" t="s">
        <v>1288</v>
      </c>
      <c r="J856" s="41">
        <f>+Tabla1[[#This Row],[FECHA ENTRADA]]</f>
        <v>45664</v>
      </c>
      <c r="K856" s="8">
        <v>45777</v>
      </c>
      <c r="L856" s="42">
        <f>_xlfn.DAYS(Tabla1[[#This Row],[FECHA FIN ]],Tabla1[[#This Row],[FECHA INICIO]])</f>
        <v>113</v>
      </c>
      <c r="M856" s="12"/>
      <c r="N856" s="12"/>
      <c r="O856" s="28">
        <f>(Tabla1[[#This Row],[COSTO FIJO ]]/30)*Tabla1[[#This Row],[TOTAL DIAS PROYECTO]]+(Tabla1[[#This Row],[COSTO TEMPORAL]])</f>
        <v>0</v>
      </c>
      <c r="P856" s="12">
        <v>75</v>
      </c>
      <c r="Q856" s="12">
        <f>+(Tabla1[[#This Row],[COSTO COCHE]]/30)*Tabla1[[#This Row],[TOTAL DIAS PROYECTO]]</f>
        <v>282.5</v>
      </c>
      <c r="R856" s="12">
        <f>+Tabla1[[#This Row],[COSTO TOTAL ALOJAMIENTO]]+Tabla1[[#This Row],[COSTO TOTAL COCHE]]</f>
        <v>282.5</v>
      </c>
      <c r="S856" s="2"/>
      <c r="T856" s="2" t="s">
        <v>44</v>
      </c>
      <c r="U856" s="14">
        <v>45664</v>
      </c>
      <c r="V856" s="43">
        <v>45750</v>
      </c>
      <c r="W856" s="26"/>
      <c r="X856" s="2"/>
      <c r="Y856" s="11" t="s">
        <v>2130</v>
      </c>
      <c r="Z856" s="2" t="s">
        <v>36</v>
      </c>
      <c r="AA856" s="13" t="s">
        <v>10401</v>
      </c>
      <c r="AB856" s="13" t="s">
        <v>10402</v>
      </c>
    </row>
    <row r="857" spans="1:28" ht="15" customHeight="1">
      <c r="A857" s="2" t="s">
        <v>9131</v>
      </c>
      <c r="B857" s="2" t="s">
        <v>28</v>
      </c>
      <c r="C857" s="11" t="s">
        <v>2131</v>
      </c>
      <c r="D857" s="2" t="s">
        <v>30</v>
      </c>
      <c r="E857" s="2" t="s">
        <v>985</v>
      </c>
      <c r="F857" s="11" t="s">
        <v>2132</v>
      </c>
      <c r="G857" s="21" t="s">
        <v>2133</v>
      </c>
      <c r="H857" s="2" t="s">
        <v>2134</v>
      </c>
      <c r="I857" s="12" t="s">
        <v>249</v>
      </c>
      <c r="J857" s="41">
        <f>+Tabla1[[#This Row],[FECHA ENTRADA]]</f>
        <v>45742</v>
      </c>
      <c r="K857" s="8">
        <v>45811</v>
      </c>
      <c r="L857" s="42">
        <f>_xlfn.DAYS(Tabla1[[#This Row],[FECHA FIN ]],Tabla1[[#This Row],[FECHA INICIO]])</f>
        <v>69</v>
      </c>
      <c r="M857" s="12"/>
      <c r="N857" s="12"/>
      <c r="O857" s="28">
        <f>(Tabla1[[#This Row],[COSTO FIJO ]]/30)*Tabla1[[#This Row],[TOTAL DIAS PROYECTO]]+(Tabla1[[#This Row],[COSTO TEMPORAL]])</f>
        <v>0</v>
      </c>
      <c r="P857" s="12"/>
      <c r="Q857" s="12">
        <f>+(Tabla1[[#This Row],[COSTO COCHE]]/30)*Tabla1[[#This Row],[TOTAL DIAS PROYECTO]]</f>
        <v>0</v>
      </c>
      <c r="R857" s="12">
        <f>+Tabla1[[#This Row],[COSTO TOTAL ALOJAMIENTO]]+Tabla1[[#This Row],[COSTO TOTAL COCHE]]</f>
        <v>0</v>
      </c>
      <c r="S857" s="2" t="s">
        <v>84</v>
      </c>
      <c r="T857" s="2" t="s">
        <v>528</v>
      </c>
      <c r="U857" s="14">
        <v>45742</v>
      </c>
      <c r="V857" s="43">
        <v>45777</v>
      </c>
      <c r="W857" s="26"/>
      <c r="X857" s="2"/>
      <c r="Y857" s="11" t="s">
        <v>1166</v>
      </c>
      <c r="Z857" s="2" t="s">
        <v>36</v>
      </c>
      <c r="AA857" s="13" t="s">
        <v>10407</v>
      </c>
      <c r="AB857" s="13" t="s">
        <v>10408</v>
      </c>
    </row>
    <row r="858" spans="1:28" ht="15" customHeight="1">
      <c r="A858" s="2" t="s">
        <v>8920</v>
      </c>
      <c r="B858" s="2" t="s">
        <v>368</v>
      </c>
      <c r="C858" s="11" t="s">
        <v>1279</v>
      </c>
      <c r="D858" s="2" t="s">
        <v>30</v>
      </c>
      <c r="E858" s="2" t="s">
        <v>985</v>
      </c>
      <c r="F858" s="11" t="s">
        <v>2135</v>
      </c>
      <c r="G858" s="21" t="s">
        <v>987</v>
      </c>
      <c r="H858" s="2" t="s">
        <v>1128</v>
      </c>
      <c r="I858" s="12" t="s">
        <v>989</v>
      </c>
      <c r="J858" s="41">
        <f>+Tabla1[[#This Row],[FECHA ENTRADA]]</f>
        <v>45653</v>
      </c>
      <c r="K858" s="41">
        <v>45777</v>
      </c>
      <c r="L858" s="42">
        <f>_xlfn.DAYS(Tabla1[[#This Row],[FECHA FIN ]],Tabla1[[#This Row],[FECHA INICIO]])</f>
        <v>124</v>
      </c>
      <c r="M858" s="12"/>
      <c r="N858" s="12"/>
      <c r="O858" s="28">
        <f>(Tabla1[[#This Row],[COSTO FIJO ]]/30)*Tabla1[[#This Row],[TOTAL DIAS PROYECTO]]+(Tabla1[[#This Row],[COSTO TEMPORAL]])</f>
        <v>0</v>
      </c>
      <c r="P858" s="12"/>
      <c r="Q858" s="12">
        <f>+(Tabla1[[#This Row],[COSTO COCHE]]/30)*Tabla1[[#This Row],[TOTAL DIAS PROYECTO]]</f>
        <v>0</v>
      </c>
      <c r="R858" s="12">
        <f>+Tabla1[[#This Row],[COSTO TOTAL ALOJAMIENTO]]+Tabla1[[#This Row],[COSTO TOTAL COCHE]]</f>
        <v>0</v>
      </c>
      <c r="S858" s="2"/>
      <c r="T858" s="2" t="s">
        <v>44</v>
      </c>
      <c r="U858" s="14">
        <v>45653</v>
      </c>
      <c r="V858" s="43">
        <v>45777</v>
      </c>
      <c r="W858" s="26"/>
      <c r="X858" s="2">
        <v>30</v>
      </c>
      <c r="Y858" s="11" t="s">
        <v>2136</v>
      </c>
      <c r="Z858" s="2" t="s">
        <v>36</v>
      </c>
      <c r="AA858" s="13" t="s">
        <v>10407</v>
      </c>
      <c r="AB858" s="13" t="s">
        <v>10408</v>
      </c>
    </row>
    <row r="859" spans="1:28" ht="15" customHeight="1">
      <c r="A859" s="2" t="s">
        <v>9065</v>
      </c>
      <c r="B859" s="2" t="s">
        <v>368</v>
      </c>
      <c r="C859" s="11" t="s">
        <v>1850</v>
      </c>
      <c r="D859" s="2" t="s">
        <v>30</v>
      </c>
      <c r="E859" s="2" t="s">
        <v>985</v>
      </c>
      <c r="F859" s="11" t="s">
        <v>2135</v>
      </c>
      <c r="G859" s="21" t="s">
        <v>987</v>
      </c>
      <c r="H859" s="2" t="s">
        <v>1851</v>
      </c>
      <c r="I859" s="12" t="s">
        <v>989</v>
      </c>
      <c r="J859" s="41">
        <f>+Tabla1[[#This Row],[FECHA ENTRADA]]</f>
        <v>45732</v>
      </c>
      <c r="K859" s="41">
        <v>45777</v>
      </c>
      <c r="L859" s="42">
        <f>_xlfn.DAYS(Tabla1[[#This Row],[FECHA FIN ]],Tabla1[[#This Row],[FECHA INICIO]])</f>
        <v>45</v>
      </c>
      <c r="M859" s="12"/>
      <c r="N859" s="12">
        <v>216.66666666666666</v>
      </c>
      <c r="O859" s="28">
        <f>(Tabla1[[#This Row],[COSTO FIJO ]]/30)*Tabla1[[#This Row],[TOTAL DIAS PROYECTO]]+(Tabla1[[#This Row],[COSTO TEMPORAL]])</f>
        <v>325</v>
      </c>
      <c r="P859" s="12"/>
      <c r="Q859" s="12">
        <f>+(Tabla1[[#This Row],[COSTO COCHE]]/30)*Tabla1[[#This Row],[TOTAL DIAS PROYECTO]]</f>
        <v>0</v>
      </c>
      <c r="R859" s="12">
        <f>+Tabla1[[#This Row],[COSTO TOTAL ALOJAMIENTO]]+Tabla1[[#This Row],[COSTO TOTAL COCHE]]</f>
        <v>325</v>
      </c>
      <c r="S859" s="2"/>
      <c r="T859" s="2" t="s">
        <v>44</v>
      </c>
      <c r="U859" s="14">
        <v>45732</v>
      </c>
      <c r="V859" s="43">
        <v>45777</v>
      </c>
      <c r="W859" s="26"/>
      <c r="X859" s="2">
        <v>30</v>
      </c>
      <c r="Y859" s="11" t="s">
        <v>2137</v>
      </c>
      <c r="Z859" s="2" t="s">
        <v>36</v>
      </c>
      <c r="AA859" s="13" t="s">
        <v>10407</v>
      </c>
      <c r="AB859" s="13" t="s">
        <v>10408</v>
      </c>
    </row>
    <row r="860" spans="1:28" ht="15" customHeight="1">
      <c r="A860" s="2" t="s">
        <v>9132</v>
      </c>
      <c r="B860" s="2" t="s">
        <v>28</v>
      </c>
      <c r="C860" s="11" t="s">
        <v>2138</v>
      </c>
      <c r="D860" s="2" t="s">
        <v>30</v>
      </c>
      <c r="E860" s="2" t="s">
        <v>985</v>
      </c>
      <c r="F860" s="11" t="s">
        <v>2139</v>
      </c>
      <c r="G860" s="21" t="s">
        <v>2133</v>
      </c>
      <c r="H860" s="2" t="s">
        <v>2134</v>
      </c>
      <c r="I860" s="12" t="s">
        <v>249</v>
      </c>
      <c r="J860" s="41">
        <f>+Tabla1[[#This Row],[FECHA ENTRADA]]</f>
        <v>45747</v>
      </c>
      <c r="K860" s="8">
        <v>45777</v>
      </c>
      <c r="L860" s="42">
        <f>_xlfn.DAYS(Tabla1[[#This Row],[FECHA FIN ]],Tabla1[[#This Row],[FECHA INICIO]])</f>
        <v>30</v>
      </c>
      <c r="M860" s="12"/>
      <c r="N860" s="12"/>
      <c r="O860" s="28">
        <f>(Tabla1[[#This Row],[COSTO FIJO ]]/30)*Tabla1[[#This Row],[TOTAL DIAS PROYECTO]]+(Tabla1[[#This Row],[COSTO TEMPORAL]])</f>
        <v>0</v>
      </c>
      <c r="P860" s="12"/>
      <c r="Q860" s="12">
        <f>+(Tabla1[[#This Row],[COSTO COCHE]]/30)*Tabla1[[#This Row],[TOTAL DIAS PROYECTO]]</f>
        <v>0</v>
      </c>
      <c r="R860" s="12">
        <f>+Tabla1[[#This Row],[COSTO TOTAL ALOJAMIENTO]]+Tabla1[[#This Row],[COSTO TOTAL COCHE]]</f>
        <v>0</v>
      </c>
      <c r="S860" s="2" t="s">
        <v>84</v>
      </c>
      <c r="T860" s="2" t="s">
        <v>528</v>
      </c>
      <c r="U860" s="14">
        <v>45747</v>
      </c>
      <c r="V860" s="79">
        <v>45777</v>
      </c>
      <c r="W860" s="26"/>
      <c r="X860" s="2"/>
      <c r="Y860" s="11" t="s">
        <v>1166</v>
      </c>
      <c r="Z860" s="2" t="s">
        <v>36</v>
      </c>
      <c r="AA860" s="13" t="s">
        <v>10407</v>
      </c>
      <c r="AB860" s="13" t="s">
        <v>10408</v>
      </c>
    </row>
    <row r="861" spans="1:28" ht="15" customHeight="1">
      <c r="A861" s="2" t="s">
        <v>8638</v>
      </c>
      <c r="B861" s="2" t="s">
        <v>28</v>
      </c>
      <c r="C861" s="11" t="s">
        <v>2140</v>
      </c>
      <c r="D861" s="2" t="s">
        <v>30</v>
      </c>
      <c r="E861" s="2" t="s">
        <v>985</v>
      </c>
      <c r="F861" s="11" t="s">
        <v>2139</v>
      </c>
      <c r="G861" s="21" t="s">
        <v>2133</v>
      </c>
      <c r="H861" s="2" t="s">
        <v>2134</v>
      </c>
      <c r="I861" s="12" t="s">
        <v>249</v>
      </c>
      <c r="J861" s="41">
        <f>+Tabla1[[#This Row],[FECHA ENTRADA]]</f>
        <v>45747</v>
      </c>
      <c r="K861" s="8">
        <v>45777</v>
      </c>
      <c r="L861" s="42">
        <f>_xlfn.DAYS(Tabla1[[#This Row],[FECHA FIN ]],Tabla1[[#This Row],[FECHA INICIO]])</f>
        <v>30</v>
      </c>
      <c r="M861" s="12">
        <f>1917.6/4</f>
        <v>479.4</v>
      </c>
      <c r="N861" s="24"/>
      <c r="O861" s="28">
        <f>(Tabla1[[#This Row],[COSTO FIJO ]]/30)*Tabla1[[#This Row],[TOTAL DIAS PROYECTO]]+(Tabla1[[#This Row],[COSTO TEMPORAL]])</f>
        <v>479.4</v>
      </c>
      <c r="P861" s="12"/>
      <c r="Q861" s="12">
        <f>+(Tabla1[[#This Row],[COSTO COCHE]]/30)*Tabla1[[#This Row],[TOTAL DIAS PROYECTO]]</f>
        <v>0</v>
      </c>
      <c r="R861" s="12">
        <f>+Tabla1[[#This Row],[COSTO TOTAL ALOJAMIENTO]]+Tabla1[[#This Row],[COSTO TOTAL COCHE]]</f>
        <v>479.4</v>
      </c>
      <c r="S861" s="2" t="s">
        <v>84</v>
      </c>
      <c r="T861" s="2" t="s">
        <v>528</v>
      </c>
      <c r="U861" s="14">
        <v>45747</v>
      </c>
      <c r="V861" s="43">
        <v>45777</v>
      </c>
      <c r="W861" s="26"/>
      <c r="X861" s="2"/>
      <c r="Y861" s="11" t="s">
        <v>1166</v>
      </c>
      <c r="Z861" s="2" t="s">
        <v>36</v>
      </c>
      <c r="AA861" s="13" t="s">
        <v>10407</v>
      </c>
      <c r="AB861" s="13" t="s">
        <v>10408</v>
      </c>
    </row>
    <row r="862" spans="1:28" ht="15" customHeight="1">
      <c r="A862" s="2" t="s">
        <v>8909</v>
      </c>
      <c r="B862" s="2" t="s">
        <v>368</v>
      </c>
      <c r="C862" s="11" t="s">
        <v>1237</v>
      </c>
      <c r="D862" s="2" t="s">
        <v>741</v>
      </c>
      <c r="E862" s="10" t="s">
        <v>79</v>
      </c>
      <c r="F862" s="11" t="s">
        <v>142</v>
      </c>
      <c r="G862" s="49" t="s">
        <v>2141</v>
      </c>
      <c r="H862" s="2" t="s">
        <v>2142</v>
      </c>
      <c r="I862" s="29" t="s">
        <v>145</v>
      </c>
      <c r="J862" s="22">
        <f>+Tabla1[[#This Row],[FECHA ENTRADA]]</f>
        <v>45683</v>
      </c>
      <c r="K862" s="8">
        <v>45777</v>
      </c>
      <c r="L862" s="23">
        <f>_xlfn.DAYS(Tabla1[[#This Row],[FECHA FIN ]],Tabla1[[#This Row],[FECHA INICIO]])</f>
        <v>94</v>
      </c>
      <c r="M862" s="12"/>
      <c r="N862" s="24">
        <f>6098.81/9</f>
        <v>677.64555555555557</v>
      </c>
      <c r="O862" s="24">
        <f>(Tabla1[[#This Row],[COSTO FIJO ]]/30)*Tabla1[[#This Row],[TOTAL DIAS PROYECTO]]+(Tabla1[[#This Row],[COSTO TEMPORAL]])</f>
        <v>2123.2894074074075</v>
      </c>
      <c r="P862" s="12"/>
      <c r="Q862" s="12">
        <f>+(Tabla1[[#This Row],[COSTO COCHE]]/30)*Tabla1[[#This Row],[TOTAL DIAS PROYECTO]]</f>
        <v>0</v>
      </c>
      <c r="R862" s="12">
        <f>+Tabla1[[#This Row],[COSTO TOTAL ALOJAMIENTO]]+Tabla1[[#This Row],[COSTO TOTAL COCHE]]</f>
        <v>2123.2894074074075</v>
      </c>
      <c r="S862" s="2"/>
      <c r="T862" s="2" t="s">
        <v>44</v>
      </c>
      <c r="U862" s="14">
        <v>45683</v>
      </c>
      <c r="V862" s="43">
        <v>45777</v>
      </c>
      <c r="W862" s="26"/>
      <c r="X862" s="2"/>
      <c r="Y862" s="11">
        <v>424</v>
      </c>
      <c r="Z862" s="2" t="s">
        <v>36</v>
      </c>
      <c r="AA862" s="13" t="s">
        <v>10333</v>
      </c>
      <c r="AB862" s="13" t="s">
        <v>10334</v>
      </c>
    </row>
    <row r="863" spans="1:28" ht="15" customHeight="1">
      <c r="A863" s="2" t="s">
        <v>9133</v>
      </c>
      <c r="B863" s="2" t="s">
        <v>28</v>
      </c>
      <c r="C863" s="11" t="s">
        <v>2143</v>
      </c>
      <c r="D863" s="2" t="s">
        <v>99</v>
      </c>
      <c r="E863" s="2" t="s">
        <v>213</v>
      </c>
      <c r="F863" s="11" t="s">
        <v>2144</v>
      </c>
      <c r="G863" s="49" t="s">
        <v>2145</v>
      </c>
      <c r="H863" s="2" t="s">
        <v>2146</v>
      </c>
      <c r="I863" s="12" t="s">
        <v>2147</v>
      </c>
      <c r="J863" s="22">
        <f>+Tabla1[[#This Row],[FECHA ENTRADA]]</f>
        <v>45742</v>
      </c>
      <c r="K863" s="22">
        <v>45777</v>
      </c>
      <c r="L863" s="23">
        <f>_xlfn.DAYS(Tabla1[[#This Row],[FECHA FIN ]],Tabla1[[#This Row],[FECHA INICIO]])</f>
        <v>35</v>
      </c>
      <c r="M863" s="12">
        <f>1811.6/17</f>
        <v>106.56470588235294</v>
      </c>
      <c r="N863" s="12">
        <f>228+146.25+615</f>
        <v>989.25</v>
      </c>
      <c r="O863" s="24">
        <f>(Tabla1[[#This Row],[COSTO FIJO ]]/30)*Tabla1[[#This Row],[TOTAL DIAS PROYECTO]]+(Tabla1[[#This Row],[COSTO TEMPORAL]])</f>
        <v>1260.6897058823529</v>
      </c>
      <c r="P863" s="12"/>
      <c r="Q863" s="12">
        <f>+(Tabla1[[#This Row],[COSTO COCHE]]/30)*Tabla1[[#This Row],[TOTAL DIAS PROYECTO]]</f>
        <v>0</v>
      </c>
      <c r="R863" s="12">
        <f>+Tabla1[[#This Row],[COSTO TOTAL ALOJAMIENTO]]+Tabla1[[#This Row],[COSTO TOTAL COCHE]]</f>
        <v>1260.6897058823529</v>
      </c>
      <c r="S863" s="2" t="s">
        <v>403</v>
      </c>
      <c r="T863" s="2" t="s">
        <v>44</v>
      </c>
      <c r="U863" s="14">
        <v>45742</v>
      </c>
      <c r="V863" s="25">
        <v>45779</v>
      </c>
      <c r="W863" s="26"/>
      <c r="X863" s="2"/>
      <c r="Y863" s="11"/>
      <c r="Z863" s="2" t="s">
        <v>36</v>
      </c>
      <c r="AA863" s="13" t="s">
        <v>10349</v>
      </c>
      <c r="AB863" s="13" t="s">
        <v>10350</v>
      </c>
    </row>
    <row r="864" spans="1:28">
      <c r="A864" s="2" t="s">
        <v>9134</v>
      </c>
      <c r="B864" s="2" t="s">
        <v>28</v>
      </c>
      <c r="C864" s="99" t="s">
        <v>2148</v>
      </c>
      <c r="D864" s="2" t="s">
        <v>30</v>
      </c>
      <c r="E864" s="2" t="s">
        <v>31</v>
      </c>
      <c r="F864" s="11"/>
      <c r="G864" s="11"/>
      <c r="H864" s="2">
        <v>2023</v>
      </c>
      <c r="I864" s="2" t="s">
        <v>385</v>
      </c>
      <c r="J864" s="8">
        <v>45258</v>
      </c>
      <c r="K864" s="22">
        <v>45777</v>
      </c>
      <c r="L864" s="13">
        <f>_xlfn.DAYS(Tabla1[[#This Row],[FECHA FIN ]],Tabla1[[#This Row],[FECHA INICIO]])</f>
        <v>519</v>
      </c>
      <c r="M864" s="2"/>
      <c r="N864" s="12">
        <v>300</v>
      </c>
      <c r="O864" s="12">
        <f>(Tabla1[[#This Row],[COSTO FIJO ]]/30)*Tabla1[[#This Row],[TOTAL DIAS PROYECTO]]+(Tabla1[[#This Row],[COSTO TEMPORAL]])</f>
        <v>5190</v>
      </c>
      <c r="P864" s="12"/>
      <c r="Q864" s="12">
        <f>+(Tabla1[[#This Row],[COSTO COCHE]]/30)*Tabla1[[#This Row],[TOTAL DIAS PROYECTO]]</f>
        <v>0</v>
      </c>
      <c r="R864" s="12">
        <f>+Tabla1[[#This Row],[COSTO TOTAL ALOJAMIENTO]]+Tabla1[[#This Row],[COSTO TOTAL COCHE]]</f>
        <v>5190</v>
      </c>
      <c r="S864" s="2"/>
      <c r="T864" s="2" t="s">
        <v>58</v>
      </c>
      <c r="U864" s="14"/>
      <c r="V864" s="14"/>
      <c r="W864" s="15"/>
      <c r="X864" s="16"/>
      <c r="Y864" s="11" t="s">
        <v>2149</v>
      </c>
      <c r="Z864" s="2" t="s">
        <v>36</v>
      </c>
      <c r="AA864" s="13" t="s">
        <v>10323</v>
      </c>
      <c r="AB864" s="13" t="s">
        <v>10324</v>
      </c>
    </row>
    <row r="865" spans="1:28">
      <c r="A865" s="2" t="s">
        <v>9135</v>
      </c>
      <c r="B865" s="2" t="s">
        <v>28</v>
      </c>
      <c r="C865" s="11" t="s">
        <v>2150</v>
      </c>
      <c r="D865" s="2" t="s">
        <v>30</v>
      </c>
      <c r="E865" s="2" t="s">
        <v>31</v>
      </c>
      <c r="F865" s="11"/>
      <c r="G865" s="11"/>
      <c r="H865" s="2">
        <v>2023</v>
      </c>
      <c r="I865" s="2" t="s">
        <v>385</v>
      </c>
      <c r="J865" s="8">
        <v>44933</v>
      </c>
      <c r="K865" s="22">
        <v>45777</v>
      </c>
      <c r="L865" s="13">
        <f>_xlfn.DAYS(Tabla1[[#This Row],[FECHA FIN ]],Tabla1[[#This Row],[FECHA INICIO]])</f>
        <v>844</v>
      </c>
      <c r="M865" s="2"/>
      <c r="N865" s="12">
        <v>300</v>
      </c>
      <c r="O865" s="12">
        <f>(Tabla1[[#This Row],[COSTO FIJO ]]/30)*Tabla1[[#This Row],[TOTAL DIAS PROYECTO]]+(Tabla1[[#This Row],[COSTO TEMPORAL]])</f>
        <v>8440</v>
      </c>
      <c r="P865" s="12"/>
      <c r="Q865" s="12">
        <f>+(Tabla1[[#This Row],[COSTO COCHE]]/30)*Tabla1[[#This Row],[TOTAL DIAS PROYECTO]]</f>
        <v>0</v>
      </c>
      <c r="R865" s="12">
        <f>+Tabla1[[#This Row],[COSTO TOTAL ALOJAMIENTO]]+Tabla1[[#This Row],[COSTO TOTAL COCHE]]</f>
        <v>8440</v>
      </c>
      <c r="S865" s="2"/>
      <c r="T865" s="2" t="s">
        <v>58</v>
      </c>
      <c r="U865" s="14"/>
      <c r="V865" s="14"/>
      <c r="W865" s="15"/>
      <c r="X865" s="16"/>
      <c r="Y865" s="11" t="s">
        <v>2151</v>
      </c>
      <c r="Z865" s="2" t="s">
        <v>36</v>
      </c>
      <c r="AA865" s="13" t="s">
        <v>10323</v>
      </c>
      <c r="AB865" s="13" t="s">
        <v>10324</v>
      </c>
    </row>
    <row r="866" spans="1:28">
      <c r="A866" s="2" t="s">
        <v>9136</v>
      </c>
      <c r="B866" s="2" t="s">
        <v>28</v>
      </c>
      <c r="C866" s="145" t="s">
        <v>2152</v>
      </c>
      <c r="D866" s="2" t="s">
        <v>30</v>
      </c>
      <c r="E866" s="2" t="s">
        <v>245</v>
      </c>
      <c r="F866" s="11" t="s">
        <v>2153</v>
      </c>
      <c r="G866" s="46" t="s">
        <v>2154</v>
      </c>
      <c r="H866" s="2" t="s">
        <v>2155</v>
      </c>
      <c r="I866" s="12" t="s">
        <v>1538</v>
      </c>
      <c r="J866" s="41">
        <f>+Tabla1[[#This Row],[FECHA ENTRADA]]</f>
        <v>45663</v>
      </c>
      <c r="K866" s="22">
        <v>45800</v>
      </c>
      <c r="L866" s="42">
        <f>_xlfn.DAYS(Tabla1[[#This Row],[FECHA FIN ]],Tabla1[[#This Row],[FECHA INICIO]])</f>
        <v>137</v>
      </c>
      <c r="M866" s="12"/>
      <c r="N866" s="28">
        <v>266.66666666666669</v>
      </c>
      <c r="O866" s="28">
        <f>(Tabla1[[#This Row],[COSTO FIJO ]]/30)*Tabla1[[#This Row],[TOTAL DIAS PROYECTO]]+(Tabla1[[#This Row],[COSTO TEMPORAL]])</f>
        <v>1217.7777777777778</v>
      </c>
      <c r="P866" s="12">
        <v>92.307692307692307</v>
      </c>
      <c r="Q866" s="12">
        <f>+(Tabla1[[#This Row],[COSTO COCHE]]/30)*Tabla1[[#This Row],[TOTAL DIAS PROYECTO]]</f>
        <v>421.53846153846155</v>
      </c>
      <c r="R866" s="12">
        <f>+Tabla1[[#This Row],[COSTO TOTAL ALOJAMIENTO]]+Tabla1[[#This Row],[COSTO TOTAL COCHE]]</f>
        <v>1639.3162393162393</v>
      </c>
      <c r="S866" s="2"/>
      <c r="T866" s="2" t="s">
        <v>35</v>
      </c>
      <c r="U866" s="14">
        <v>45663</v>
      </c>
      <c r="V866" s="43"/>
      <c r="W866" s="26"/>
      <c r="X866" s="2">
        <v>5</v>
      </c>
      <c r="Y866" s="11" t="s">
        <v>2156</v>
      </c>
      <c r="Z866" s="2" t="s">
        <v>36</v>
      </c>
      <c r="AA866" s="13" t="s">
        <v>10355</v>
      </c>
      <c r="AB866" s="13" t="s">
        <v>10356</v>
      </c>
    </row>
    <row r="867" spans="1:28" ht="15" customHeight="1">
      <c r="A867" s="2" t="s">
        <v>8882</v>
      </c>
      <c r="B867" s="2" t="s">
        <v>368</v>
      </c>
      <c r="C867" s="11" t="s">
        <v>1151</v>
      </c>
      <c r="D867" s="2" t="s">
        <v>30</v>
      </c>
      <c r="E867" s="2" t="s">
        <v>109</v>
      </c>
      <c r="F867" s="11" t="s">
        <v>1793</v>
      </c>
      <c r="G867" s="21">
        <v>973266788</v>
      </c>
      <c r="H867" s="2" t="s">
        <v>1829</v>
      </c>
      <c r="I867" s="12" t="s">
        <v>1830</v>
      </c>
      <c r="J867" s="41">
        <f>+Tabla1[[#This Row],[FECHA ENTRADA]]</f>
        <v>45697</v>
      </c>
      <c r="K867" s="22">
        <v>45699</v>
      </c>
      <c r="L867" s="42">
        <f>_xlfn.DAYS(Tabla1[[#This Row],[FECHA FIN ]],Tabla1[[#This Row],[FECHA INICIO]])</f>
        <v>2</v>
      </c>
      <c r="M867" s="28"/>
      <c r="N867" s="20"/>
      <c r="O867" s="28">
        <f>(Tabla1[[#This Row],[COSTO FIJO ]]/30)*Tabla1[[#This Row],[TOTAL DIAS PROYECTO]]+(Tabla1[[#This Row],[COSTO TEMPORAL]])</f>
        <v>0</v>
      </c>
      <c r="P867" s="12"/>
      <c r="Q867" s="12">
        <f>+(Tabla1[[#This Row],[COSTO COCHE]]/30)*Tabla1[[#This Row],[TOTAL DIAS PROYECTO]]</f>
        <v>0</v>
      </c>
      <c r="R867" s="12">
        <f>+Tabla1[[#This Row],[COSTO TOTAL ALOJAMIENTO]]+Tabla1[[#This Row],[COSTO TOTAL COCHE]]</f>
        <v>0</v>
      </c>
      <c r="S867" s="2"/>
      <c r="T867" s="2" t="s">
        <v>44</v>
      </c>
      <c r="U867" s="14">
        <v>45697</v>
      </c>
      <c r="V867" s="43">
        <v>45700</v>
      </c>
      <c r="W867" s="26"/>
      <c r="X867" s="2"/>
      <c r="Y867" s="11" t="s">
        <v>1166</v>
      </c>
      <c r="Z867" s="2" t="s">
        <v>36</v>
      </c>
      <c r="AA867" s="13">
        <v>0.62217999999999996</v>
      </c>
      <c r="AB867" s="13" t="s">
        <v>10339</v>
      </c>
    </row>
    <row r="868" spans="1:28" ht="15" customHeight="1">
      <c r="A868" s="2" t="s">
        <v>9137</v>
      </c>
      <c r="B868" s="2" t="s">
        <v>368</v>
      </c>
      <c r="C868" s="11" t="s">
        <v>2157</v>
      </c>
      <c r="D868" s="2" t="s">
        <v>30</v>
      </c>
      <c r="E868" s="2" t="s">
        <v>109</v>
      </c>
      <c r="F868" s="11" t="s">
        <v>1793</v>
      </c>
      <c r="G868" s="21">
        <v>973266788</v>
      </c>
      <c r="H868" s="2" t="s">
        <v>2095</v>
      </c>
      <c r="I868" s="12" t="s">
        <v>1830</v>
      </c>
      <c r="J868" s="22">
        <f>+Tabla1[[#This Row],[FECHA ENTRADA]]</f>
        <v>45697</v>
      </c>
      <c r="K868" s="22">
        <v>45699</v>
      </c>
      <c r="L868" s="23">
        <f>_xlfn.DAYS(Tabla1[[#This Row],[FECHA FIN ]],Tabla1[[#This Row],[FECHA INICIO]])</f>
        <v>2</v>
      </c>
      <c r="M868" s="12"/>
      <c r="N868" s="20"/>
      <c r="O868" s="24">
        <f>(Tabla1[[#This Row],[COSTO FIJO ]]/30)*Tabla1[[#This Row],[TOTAL DIAS PROYECTO]]+(Tabla1[[#This Row],[COSTO TEMPORAL]])</f>
        <v>0</v>
      </c>
      <c r="P868" s="12"/>
      <c r="Q868" s="12">
        <f>+(Tabla1[[#This Row],[COSTO COCHE]]/30)*Tabla1[[#This Row],[TOTAL DIAS PROYECTO]]</f>
        <v>0</v>
      </c>
      <c r="R868" s="12">
        <f>+Tabla1[[#This Row],[COSTO TOTAL ALOJAMIENTO]]+Tabla1[[#This Row],[COSTO TOTAL COCHE]]</f>
        <v>0</v>
      </c>
      <c r="S868" s="2"/>
      <c r="T868" s="2" t="s">
        <v>44</v>
      </c>
      <c r="U868" s="14">
        <v>45697</v>
      </c>
      <c r="V868" s="43">
        <v>45700</v>
      </c>
      <c r="W868" s="26"/>
      <c r="X868" s="2"/>
      <c r="Y868" s="11" t="s">
        <v>1166</v>
      </c>
      <c r="Z868" s="2" t="s">
        <v>36</v>
      </c>
      <c r="AA868" s="13">
        <v>0.62217999999999996</v>
      </c>
      <c r="AB868" s="13" t="s">
        <v>10339</v>
      </c>
    </row>
    <row r="869" spans="1:28">
      <c r="A869" s="2" t="s">
        <v>8753</v>
      </c>
      <c r="B869" s="2" t="s">
        <v>28</v>
      </c>
      <c r="C869" s="11" t="s">
        <v>598</v>
      </c>
      <c r="D869" s="2" t="s">
        <v>99</v>
      </c>
      <c r="E869" s="2" t="s">
        <v>538</v>
      </c>
      <c r="F869" s="11" t="s">
        <v>1106</v>
      </c>
      <c r="G869" s="46"/>
      <c r="H869" s="2" t="s">
        <v>2158</v>
      </c>
      <c r="I869" s="12" t="s">
        <v>883</v>
      </c>
      <c r="J869" s="41">
        <f>+Tabla1[[#This Row],[FECHA ENTRADA]]</f>
        <v>45607</v>
      </c>
      <c r="K869" s="8">
        <v>45777</v>
      </c>
      <c r="L869" s="42">
        <f>_xlfn.DAYS(Tabla1[[#This Row],[FECHA FIN ]],Tabla1[[#This Row],[FECHA INICIO]])</f>
        <v>170</v>
      </c>
      <c r="M869" s="12"/>
      <c r="N869" s="12"/>
      <c r="O869" s="28">
        <f>(Tabla1[[#This Row],[COSTO FIJO ]]/30)*Tabla1[[#This Row],[TOTAL DIAS PROYECTO]]+(Tabla1[[#This Row],[COSTO TEMPORAL]])</f>
        <v>0</v>
      </c>
      <c r="P869" s="12"/>
      <c r="Q869" s="12">
        <f>+(Tabla1[[#This Row],[COSTO COCHE]]/30)*Tabla1[[#This Row],[TOTAL DIAS PROYECTO]]</f>
        <v>0</v>
      </c>
      <c r="R869" s="12">
        <f>+Tabla1[[#This Row],[COSTO TOTAL ALOJAMIENTO]]+Tabla1[[#This Row],[COSTO TOTAL COCHE]]</f>
        <v>0</v>
      </c>
      <c r="S869" s="2"/>
      <c r="T869" s="2" t="s">
        <v>8</v>
      </c>
      <c r="U869" s="14">
        <v>45607</v>
      </c>
      <c r="V869" s="43"/>
      <c r="W869" s="26"/>
      <c r="X869" s="2"/>
      <c r="Y869" s="11"/>
      <c r="Z869" s="2" t="s">
        <v>36</v>
      </c>
      <c r="AA869" s="13">
        <v>-378939</v>
      </c>
      <c r="AB869" s="13">
        <v>3776578</v>
      </c>
    </row>
    <row r="870" spans="1:28" ht="15" customHeight="1">
      <c r="A870" s="2" t="s">
        <v>9117</v>
      </c>
      <c r="B870" s="2" t="s">
        <v>368</v>
      </c>
      <c r="C870" s="11" t="s">
        <v>2068</v>
      </c>
      <c r="D870" s="2" t="s">
        <v>99</v>
      </c>
      <c r="E870" s="2" t="s">
        <v>2069</v>
      </c>
      <c r="F870" s="11" t="s">
        <v>2070</v>
      </c>
      <c r="G870" s="49" t="s">
        <v>2071</v>
      </c>
      <c r="H870" s="2" t="s">
        <v>2072</v>
      </c>
      <c r="I870" s="10" t="s">
        <v>2073</v>
      </c>
      <c r="J870" s="22">
        <f>+Tabla1[[#This Row],[FECHA ENTRADA]]</f>
        <v>45774</v>
      </c>
      <c r="K870" s="8">
        <v>45778</v>
      </c>
      <c r="L870" s="23">
        <f>_xlfn.DAYS(Tabla1[[#This Row],[FECHA FIN ]],Tabla1[[#This Row],[FECHA INICIO]])</f>
        <v>4</v>
      </c>
      <c r="M870" s="12"/>
      <c r="N870" s="12">
        <f>186.66/4</f>
        <v>46.664999999999999</v>
      </c>
      <c r="O870" s="24">
        <f>(Tabla1[[#This Row],[COSTO FIJO ]]/30)*Tabla1[[#This Row],[TOTAL DIAS PROYECTO]]+(Tabla1[[#This Row],[COSTO TEMPORAL]])</f>
        <v>6.2219999999999995</v>
      </c>
      <c r="P870" s="12"/>
      <c r="Q870" s="12">
        <f>+(Tabla1[[#This Row],[COSTO COCHE]]/30)*Tabla1[[#This Row],[TOTAL DIAS PROYECTO]]</f>
        <v>0</v>
      </c>
      <c r="R870" s="12">
        <f>+Tabla1[[#This Row],[COSTO TOTAL ALOJAMIENTO]]+Tabla1[[#This Row],[COSTO TOTAL COCHE]]</f>
        <v>6.2219999999999995</v>
      </c>
      <c r="S870" s="2"/>
      <c r="T870" s="2" t="s">
        <v>528</v>
      </c>
      <c r="U870" s="14">
        <v>45774</v>
      </c>
      <c r="V870" s="25">
        <v>45772</v>
      </c>
      <c r="W870" s="26"/>
      <c r="X870" s="2">
        <v>22</v>
      </c>
      <c r="Y870" s="11" t="s">
        <v>1166</v>
      </c>
      <c r="Z870" s="2" t="s">
        <v>36</v>
      </c>
      <c r="AA870" s="13" t="e">
        <v>#N/A</v>
      </c>
      <c r="AB870" s="13" t="e">
        <v>#N/A</v>
      </c>
    </row>
    <row r="871" spans="1:28" ht="15" customHeight="1">
      <c r="A871" s="2" t="s">
        <v>8688</v>
      </c>
      <c r="B871" s="2" t="s">
        <v>368</v>
      </c>
      <c r="C871" s="11" t="s">
        <v>294</v>
      </c>
      <c r="D871" s="2" t="s">
        <v>99</v>
      </c>
      <c r="E871" s="2" t="s">
        <v>2069</v>
      </c>
      <c r="F871" s="11" t="s">
        <v>2070</v>
      </c>
      <c r="G871" s="49" t="s">
        <v>2071</v>
      </c>
      <c r="H871" s="2" t="s">
        <v>2072</v>
      </c>
      <c r="I871" s="10" t="s">
        <v>2073</v>
      </c>
      <c r="J871" s="22">
        <f>+Tabla1[[#This Row],[FECHA ENTRADA]]</f>
        <v>45774</v>
      </c>
      <c r="K871" s="8">
        <v>45778</v>
      </c>
      <c r="L871" s="23">
        <f>_xlfn.DAYS(Tabla1[[#This Row],[FECHA FIN ]],Tabla1[[#This Row],[FECHA INICIO]])</f>
        <v>4</v>
      </c>
      <c r="M871" s="12">
        <f>186.66/4</f>
        <v>46.664999999999999</v>
      </c>
      <c r="N871" s="24"/>
      <c r="O871" s="24">
        <f>(Tabla1[[#This Row],[COSTO FIJO ]]/30)*Tabla1[[#This Row],[TOTAL DIAS PROYECTO]]+(Tabla1[[#This Row],[COSTO TEMPORAL]])</f>
        <v>46.664999999999999</v>
      </c>
      <c r="P871" s="12"/>
      <c r="Q871" s="12">
        <f>+(Tabla1[[#This Row],[COSTO COCHE]]/30)*Tabla1[[#This Row],[TOTAL DIAS PROYECTO]]</f>
        <v>0</v>
      </c>
      <c r="R871" s="12">
        <f>+Tabla1[[#This Row],[COSTO TOTAL ALOJAMIENTO]]+Tabla1[[#This Row],[COSTO TOTAL COCHE]]</f>
        <v>46.664999999999999</v>
      </c>
      <c r="S871" s="2"/>
      <c r="T871" s="2" t="s">
        <v>528</v>
      </c>
      <c r="U871" s="14">
        <v>45774</v>
      </c>
      <c r="V871" s="25">
        <v>45772</v>
      </c>
      <c r="W871" s="26"/>
      <c r="X871" s="2">
        <v>22</v>
      </c>
      <c r="Y871" s="11" t="s">
        <v>1166</v>
      </c>
      <c r="Z871" s="2" t="s">
        <v>36</v>
      </c>
      <c r="AA871" s="13" t="e">
        <v>#N/A</v>
      </c>
      <c r="AB871" s="13" t="e">
        <v>#N/A</v>
      </c>
    </row>
    <row r="872" spans="1:28" ht="15" customHeight="1">
      <c r="A872" s="2" t="s">
        <v>9138</v>
      </c>
      <c r="B872" s="2" t="s">
        <v>28</v>
      </c>
      <c r="C872" s="145" t="s">
        <v>2159</v>
      </c>
      <c r="D872" s="2" t="s">
        <v>30</v>
      </c>
      <c r="E872" s="2" t="s">
        <v>245</v>
      </c>
      <c r="F872" s="11" t="s">
        <v>2153</v>
      </c>
      <c r="G872" s="46" t="s">
        <v>2154</v>
      </c>
      <c r="H872" s="2" t="s">
        <v>2155</v>
      </c>
      <c r="I872" s="12" t="s">
        <v>1538</v>
      </c>
      <c r="J872" s="41">
        <f>+Tabla1[[#This Row],[FECHA ENTRADA]]</f>
        <v>45663</v>
      </c>
      <c r="K872" s="22">
        <v>45800</v>
      </c>
      <c r="L872" s="42">
        <f>_xlfn.DAYS(Tabla1[[#This Row],[FECHA FIN ]],Tabla1[[#This Row],[FECHA INICIO]])</f>
        <v>137</v>
      </c>
      <c r="M872" s="12"/>
      <c r="N872" s="28">
        <v>266.66666666666669</v>
      </c>
      <c r="O872" s="28">
        <f>(Tabla1[[#This Row],[COSTO FIJO ]]/30)*Tabla1[[#This Row],[TOTAL DIAS PROYECTO]]+(Tabla1[[#This Row],[COSTO TEMPORAL]])</f>
        <v>1217.7777777777778</v>
      </c>
      <c r="P872" s="12">
        <v>92.307692307692307</v>
      </c>
      <c r="Q872" s="12">
        <f>+(Tabla1[[#This Row],[COSTO COCHE]]/30)*Tabla1[[#This Row],[TOTAL DIAS PROYECTO]]</f>
        <v>421.53846153846155</v>
      </c>
      <c r="R872" s="12">
        <f>+Tabla1[[#This Row],[COSTO TOTAL ALOJAMIENTO]]+Tabla1[[#This Row],[COSTO TOTAL COCHE]]</f>
        <v>1639.3162393162393</v>
      </c>
      <c r="S872" s="2"/>
      <c r="T872" s="2" t="s">
        <v>35</v>
      </c>
      <c r="U872" s="14">
        <v>45663</v>
      </c>
      <c r="V872" s="43"/>
      <c r="W872" s="26">
        <v>1000</v>
      </c>
      <c r="X872" s="2">
        <v>5</v>
      </c>
      <c r="Y872" s="11" t="s">
        <v>2160</v>
      </c>
      <c r="Z872" s="2" t="s">
        <v>36</v>
      </c>
      <c r="AA872" s="13" t="s">
        <v>10355</v>
      </c>
      <c r="AB872" s="13" t="s">
        <v>10356</v>
      </c>
    </row>
    <row r="873" spans="1:28" ht="15" customHeight="1">
      <c r="A873" s="2" t="s">
        <v>9059</v>
      </c>
      <c r="B873" s="2" t="s">
        <v>368</v>
      </c>
      <c r="C873" s="11" t="s">
        <v>1827</v>
      </c>
      <c r="D873" s="2" t="s">
        <v>30</v>
      </c>
      <c r="E873" s="2" t="s">
        <v>109</v>
      </c>
      <c r="F873" s="11" t="s">
        <v>2161</v>
      </c>
      <c r="G873" s="46" t="s">
        <v>2162</v>
      </c>
      <c r="H873" s="2" t="s">
        <v>1829</v>
      </c>
      <c r="I873" s="12" t="s">
        <v>1830</v>
      </c>
      <c r="J873" s="41">
        <f>+Tabla1[[#This Row],[FECHA ENTRADA]]</f>
        <v>45699</v>
      </c>
      <c r="K873" s="8">
        <v>45774</v>
      </c>
      <c r="L873" s="42">
        <f>_xlfn.DAYS(Tabla1[[#This Row],[FECHA FIN ]],Tabla1[[#This Row],[FECHA INICIO]])</f>
        <v>75</v>
      </c>
      <c r="M873" s="12"/>
      <c r="N873" s="12"/>
      <c r="O873" s="28">
        <f>(Tabla1[[#This Row],[COSTO FIJO ]]/30)*Tabla1[[#This Row],[TOTAL DIAS PROYECTO]]+(Tabla1[[#This Row],[COSTO TEMPORAL]])</f>
        <v>0</v>
      </c>
      <c r="P873" s="12">
        <f>651.96/4</f>
        <v>162.99</v>
      </c>
      <c r="Q873" s="12">
        <f>+(Tabla1[[#This Row],[COSTO COCHE]]/30)*Tabla1[[#This Row],[TOTAL DIAS PROYECTO]]</f>
        <v>407.47500000000008</v>
      </c>
      <c r="R873" s="12">
        <f>+Tabla1[[#This Row],[COSTO TOTAL ALOJAMIENTO]]+Tabla1[[#This Row],[COSTO TOTAL COCHE]]</f>
        <v>407.47500000000008</v>
      </c>
      <c r="S873" s="2" t="s">
        <v>84</v>
      </c>
      <c r="T873" s="2" t="s">
        <v>44</v>
      </c>
      <c r="U873" s="14">
        <v>45699</v>
      </c>
      <c r="V873" s="43">
        <v>45788</v>
      </c>
      <c r="W873" s="26"/>
      <c r="X873" s="2"/>
      <c r="Y873" s="11"/>
      <c r="Z873" s="2" t="s">
        <v>36</v>
      </c>
      <c r="AA873" s="13">
        <v>0.62217999999999996</v>
      </c>
      <c r="AB873" s="13" t="s">
        <v>10339</v>
      </c>
    </row>
    <row r="874" spans="1:28" ht="15" customHeight="1">
      <c r="A874" s="2" t="s">
        <v>9127</v>
      </c>
      <c r="B874" s="2" t="s">
        <v>711</v>
      </c>
      <c r="C874" s="31" t="s">
        <v>2110</v>
      </c>
      <c r="D874" s="2" t="s">
        <v>30</v>
      </c>
      <c r="E874" s="2" t="s">
        <v>648</v>
      </c>
      <c r="F874" s="11" t="s">
        <v>712</v>
      </c>
      <c r="G874" t="s">
        <v>713</v>
      </c>
      <c r="H874" s="2" t="s">
        <v>2163</v>
      </c>
      <c r="I874" s="12" t="s">
        <v>96</v>
      </c>
      <c r="J874" s="41">
        <f>+Tabla1[[#This Row],[FECHA ENTRADA]]</f>
        <v>46069</v>
      </c>
      <c r="K874" s="22">
        <v>46069</v>
      </c>
      <c r="L874" s="42">
        <f>_xlfn.DAYS(Tabla1[[#This Row],[FECHA FIN ]],Tabla1[[#This Row],[FECHA INICIO]])</f>
        <v>0</v>
      </c>
      <c r="M874" s="12"/>
      <c r="N874" s="28">
        <v>100</v>
      </c>
      <c r="O874" s="28">
        <f>(Tabla1[[#This Row],[COSTO FIJO ]]/30)*Tabla1[[#This Row],[TOTAL DIAS PROYECTO]]+(Tabla1[[#This Row],[COSTO TEMPORAL]])</f>
        <v>0</v>
      </c>
      <c r="P874" s="12"/>
      <c r="Q874" s="12">
        <f>+(Tabla1[[#This Row],[COSTO COCHE]]/30)*Tabla1[[#This Row],[TOTAL DIAS PROYECTO]]</f>
        <v>0</v>
      </c>
      <c r="R874" s="12">
        <f>+Tabla1[[#This Row],[COSTO TOTAL ALOJAMIENTO]]+Tabla1[[#This Row],[COSTO TOTAL COCHE]]</f>
        <v>0</v>
      </c>
      <c r="S874" s="2"/>
      <c r="T874" s="14" t="s">
        <v>35</v>
      </c>
      <c r="U874" s="14">
        <v>46069</v>
      </c>
      <c r="V874" s="43"/>
      <c r="W874" s="12"/>
      <c r="X874" s="2">
        <v>14</v>
      </c>
      <c r="Y874" s="11" t="s">
        <v>2164</v>
      </c>
      <c r="Z874" s="2" t="s">
        <v>36</v>
      </c>
      <c r="AA874" s="13" t="s">
        <v>10387</v>
      </c>
      <c r="AB874" s="13" t="s">
        <v>10388</v>
      </c>
    </row>
    <row r="875" spans="1:28" ht="15" customHeight="1">
      <c r="A875" s="2" t="s">
        <v>9139</v>
      </c>
      <c r="B875" s="2" t="s">
        <v>368</v>
      </c>
      <c r="C875" s="11" t="s">
        <v>2165</v>
      </c>
      <c r="D875" s="2" t="s">
        <v>78</v>
      </c>
      <c r="E875" s="2" t="s">
        <v>1297</v>
      </c>
      <c r="F875" s="11" t="s">
        <v>2166</v>
      </c>
      <c r="G875" s="46" t="s">
        <v>2167</v>
      </c>
      <c r="H875" s="2" t="s">
        <v>2168</v>
      </c>
      <c r="I875" s="10" t="s">
        <v>1301</v>
      </c>
      <c r="J875" s="41">
        <f>+Tabla1[[#This Row],[FECHA ENTRADA]]</f>
        <v>45770</v>
      </c>
      <c r="K875" s="8">
        <v>45780</v>
      </c>
      <c r="L875" s="13">
        <f>_xlfn.DAYS(Tabla1[[#This Row],[FECHA FIN ]],Tabla1[[#This Row],[FECHA INICIO]])</f>
        <v>10</v>
      </c>
      <c r="M875" s="12"/>
      <c r="N875" s="28"/>
      <c r="O875" s="12">
        <f>(Tabla1[[#This Row],[COSTO FIJO ]]/30)*Tabla1[[#This Row],[TOTAL DIAS PROYECTO]]+(Tabla1[[#This Row],[COSTO TEMPORAL]])</f>
        <v>0</v>
      </c>
      <c r="P875" s="12"/>
      <c r="Q875" s="12">
        <f>+(Tabla1[[#This Row],[COSTO COCHE]]/30)*Tabla1[[#This Row],[TOTAL DIAS PROYECTO]]</f>
        <v>0</v>
      </c>
      <c r="R875" s="12">
        <f>+Tabla1[[#This Row],[COSTO TOTAL ALOJAMIENTO]]+Tabla1[[#This Row],[COSTO TOTAL COCHE]]</f>
        <v>0</v>
      </c>
      <c r="S875" s="2" t="s">
        <v>84</v>
      </c>
      <c r="T875" s="2" t="s">
        <v>528</v>
      </c>
      <c r="U875" s="14">
        <v>45770</v>
      </c>
      <c r="V875" s="14">
        <v>45801</v>
      </c>
      <c r="W875" s="26"/>
      <c r="X875" s="2"/>
      <c r="Y875" s="31"/>
      <c r="Z875" s="2" t="s">
        <v>36</v>
      </c>
      <c r="AA875" s="13" t="s">
        <v>10414</v>
      </c>
      <c r="AB875" s="13">
        <v>5094783</v>
      </c>
    </row>
    <row r="876" spans="1:28" ht="15" customHeight="1">
      <c r="A876" s="2" t="s">
        <v>9140</v>
      </c>
      <c r="B876" s="2" t="s">
        <v>368</v>
      </c>
      <c r="C876" s="11" t="s">
        <v>2169</v>
      </c>
      <c r="D876" s="2" t="s">
        <v>78</v>
      </c>
      <c r="E876" s="2" t="s">
        <v>1297</v>
      </c>
      <c r="F876" s="11" t="s">
        <v>2166</v>
      </c>
      <c r="G876" s="46" t="s">
        <v>2167</v>
      </c>
      <c r="H876" s="2" t="s">
        <v>2168</v>
      </c>
      <c r="I876" s="10" t="s">
        <v>1301</v>
      </c>
      <c r="J876" s="41">
        <f>+Tabla1[[#This Row],[FECHA ENTRADA]]</f>
        <v>45770</v>
      </c>
      <c r="K876" s="8">
        <v>45780</v>
      </c>
      <c r="L876" s="13">
        <f>_xlfn.DAYS(Tabla1[[#This Row],[FECHA FIN ]],Tabla1[[#This Row],[FECHA INICIO]])</f>
        <v>10</v>
      </c>
      <c r="M876" s="12"/>
      <c r="N876" s="12">
        <f>2136.31/4</f>
        <v>534.07749999999999</v>
      </c>
      <c r="O876" s="12">
        <f>(Tabla1[[#This Row],[COSTO FIJO ]]/30)*Tabla1[[#This Row],[TOTAL DIAS PROYECTO]]+(Tabla1[[#This Row],[COSTO TEMPORAL]])</f>
        <v>178.02583333333334</v>
      </c>
      <c r="P876" s="12"/>
      <c r="Q876" s="12">
        <f>+(Tabla1[[#This Row],[COSTO COCHE]]/30)*Tabla1[[#This Row],[TOTAL DIAS PROYECTO]]</f>
        <v>0</v>
      </c>
      <c r="R876" s="12">
        <f>+Tabla1[[#This Row],[COSTO TOTAL ALOJAMIENTO]]+Tabla1[[#This Row],[COSTO TOTAL COCHE]]</f>
        <v>178.02583333333334</v>
      </c>
      <c r="S876" s="2" t="s">
        <v>84</v>
      </c>
      <c r="T876" s="2" t="s">
        <v>528</v>
      </c>
      <c r="U876" s="14">
        <v>45770</v>
      </c>
      <c r="V876" s="14">
        <v>45801</v>
      </c>
      <c r="W876" s="26"/>
      <c r="X876" s="2"/>
      <c r="Y876" s="31"/>
      <c r="Z876" s="2" t="s">
        <v>36</v>
      </c>
      <c r="AA876" s="13" t="s">
        <v>10414</v>
      </c>
      <c r="AB876" s="13">
        <v>5094783</v>
      </c>
    </row>
    <row r="877" spans="1:28">
      <c r="A877" s="2" t="s">
        <v>8849</v>
      </c>
      <c r="B877" s="2" t="s">
        <v>368</v>
      </c>
      <c r="C877" s="31" t="s">
        <v>1010</v>
      </c>
      <c r="D877" s="2" t="s">
        <v>30</v>
      </c>
      <c r="E877" s="2" t="s">
        <v>826</v>
      </c>
      <c r="F877" s="11" t="s">
        <v>827</v>
      </c>
      <c r="G877" s="11" t="s">
        <v>828</v>
      </c>
      <c r="H877" s="2" t="s">
        <v>2170</v>
      </c>
      <c r="I877" s="12" t="s">
        <v>152</v>
      </c>
      <c r="J877" s="22">
        <f>+Tabla1[[#This Row],[FECHA ENTRADA]]</f>
        <v>45592</v>
      </c>
      <c r="K877" s="8">
        <v>45781</v>
      </c>
      <c r="L877" s="23">
        <f>_xlfn.DAYS(Tabla1[[#This Row],[FECHA FIN ]],Tabla1[[#This Row],[FECHA INICIO]])</f>
        <v>189</v>
      </c>
      <c r="M877" s="12"/>
      <c r="N877" s="20">
        <v>450</v>
      </c>
      <c r="O877" s="24">
        <f>(Tabla1[[#This Row],[COSTO FIJO ]]/30)*Tabla1[[#This Row],[TOTAL DIAS PROYECTO]]+(Tabla1[[#This Row],[COSTO TEMPORAL]])</f>
        <v>2835</v>
      </c>
      <c r="P877" s="12"/>
      <c r="Q877" s="12">
        <f>+(Tabla1[[#This Row],[COSTO COCHE]]/30)*Tabla1[[#This Row],[TOTAL DIAS PROYECTO]]</f>
        <v>0</v>
      </c>
      <c r="R877" s="12">
        <f>+Tabla1[[#This Row],[COSTO TOTAL ALOJAMIENTO]]+Tabla1[[#This Row],[COSTO TOTAL COCHE]]</f>
        <v>2835</v>
      </c>
      <c r="S877" s="2"/>
      <c r="T877" s="2" t="s">
        <v>35</v>
      </c>
      <c r="U877" s="14">
        <v>45592</v>
      </c>
      <c r="V877" s="79"/>
      <c r="W877" s="26"/>
      <c r="X877" s="2">
        <v>1</v>
      </c>
      <c r="Y877" s="11" t="s">
        <v>2171</v>
      </c>
      <c r="Z877" s="2" t="s">
        <v>36</v>
      </c>
      <c r="AA877" s="13" t="s">
        <v>10399</v>
      </c>
      <c r="AB877" s="13" t="s">
        <v>10400</v>
      </c>
    </row>
    <row r="878" spans="1:28" ht="15" customHeight="1">
      <c r="A878" s="2" t="s">
        <v>9141</v>
      </c>
      <c r="B878" s="2" t="s">
        <v>28</v>
      </c>
      <c r="C878" s="11" t="s">
        <v>2172</v>
      </c>
      <c r="D878" s="2" t="s">
        <v>99</v>
      </c>
      <c r="E878" s="153" t="s">
        <v>415</v>
      </c>
      <c r="F878" s="11" t="s">
        <v>2173</v>
      </c>
      <c r="G878" t="s">
        <v>2174</v>
      </c>
      <c r="H878" s="2" t="s">
        <v>2175</v>
      </c>
      <c r="I878" s="12" t="s">
        <v>2176</v>
      </c>
      <c r="J878" s="22">
        <f>+Tabla1[[#This Row],[FECHA ENTRADA]]</f>
        <v>45714</v>
      </c>
      <c r="K878" s="22">
        <v>45781</v>
      </c>
      <c r="L878" s="23">
        <f>_xlfn.DAYS(Tabla1[[#This Row],[FECHA FIN ]],Tabla1[[#This Row],[FECHA INICIO]])</f>
        <v>67</v>
      </c>
      <c r="M878" s="12"/>
      <c r="N878" s="20">
        <v>325</v>
      </c>
      <c r="O878" s="24">
        <f>(Tabla1[[#This Row],[COSTO FIJO ]]/30)*Tabla1[[#This Row],[TOTAL DIAS PROYECTO]]+(Tabla1[[#This Row],[COSTO TEMPORAL]])</f>
        <v>725.83333333333337</v>
      </c>
      <c r="P878" s="12"/>
      <c r="Q878" s="12">
        <f>+(Tabla1[[#This Row],[COSTO COCHE]]/30)*Tabla1[[#This Row],[TOTAL DIAS PROYECTO]]</f>
        <v>0</v>
      </c>
      <c r="R878" s="12">
        <f>+Tabla1[[#This Row],[COSTO TOTAL ALOJAMIENTO]]+Tabla1[[#This Row],[COSTO TOTAL COCHE]]</f>
        <v>725.83333333333337</v>
      </c>
      <c r="S878" s="2"/>
      <c r="T878" s="2" t="s">
        <v>44</v>
      </c>
      <c r="U878" s="14">
        <v>45714</v>
      </c>
      <c r="V878" s="25">
        <v>45781</v>
      </c>
      <c r="W878" s="26"/>
      <c r="X878" s="2">
        <v>15</v>
      </c>
      <c r="Y878" s="11" t="s">
        <v>2177</v>
      </c>
      <c r="Z878" s="2" t="s">
        <v>36</v>
      </c>
      <c r="AA878" s="13">
        <v>-0.37739</v>
      </c>
      <c r="AB878" s="13" t="s">
        <v>10372</v>
      </c>
    </row>
    <row r="879" spans="1:28" ht="15" customHeight="1">
      <c r="A879" s="2" t="s">
        <v>9132</v>
      </c>
      <c r="B879" s="2" t="s">
        <v>28</v>
      </c>
      <c r="C879" s="11" t="s">
        <v>2138</v>
      </c>
      <c r="D879" s="2" t="s">
        <v>30</v>
      </c>
      <c r="E879" s="2" t="s">
        <v>985</v>
      </c>
      <c r="F879" s="11" t="s">
        <v>2178</v>
      </c>
      <c r="G879" s="21" t="s">
        <v>2179</v>
      </c>
      <c r="H879" s="2" t="s">
        <v>2134</v>
      </c>
      <c r="I879" s="12" t="s">
        <v>249</v>
      </c>
      <c r="J879" s="41">
        <f>+Tabla1[[#This Row],[FECHA ENTRADA]]</f>
        <v>45776</v>
      </c>
      <c r="K879" s="8">
        <v>45781</v>
      </c>
      <c r="L879" s="23">
        <f>_xlfn.DAYS(Tabla1[[#This Row],[FECHA FIN ]],Tabla1[[#This Row],[FECHA INICIO]])</f>
        <v>5</v>
      </c>
      <c r="M879" s="12"/>
      <c r="N879" s="12">
        <f>1811.6/17</f>
        <v>106.56470588235294</v>
      </c>
      <c r="O879" s="24">
        <f>(Tabla1[[#This Row],[COSTO FIJO ]]/30)*Tabla1[[#This Row],[TOTAL DIAS PROYECTO]]+(Tabla1[[#This Row],[COSTO TEMPORAL]])</f>
        <v>17.760784313725491</v>
      </c>
      <c r="P879" s="12"/>
      <c r="Q879" s="12">
        <f>+(Tabla1[[#This Row],[COSTO COCHE]]/30)*Tabla1[[#This Row],[TOTAL DIAS PROYECTO]]</f>
        <v>0</v>
      </c>
      <c r="R879" s="12">
        <f>+Tabla1[[#This Row],[COSTO TOTAL ALOJAMIENTO]]+Tabla1[[#This Row],[COSTO TOTAL COCHE]]</f>
        <v>17.760784313725491</v>
      </c>
      <c r="S879" s="2"/>
      <c r="T879" s="2" t="s">
        <v>528</v>
      </c>
      <c r="U879" s="14">
        <v>45776</v>
      </c>
      <c r="V879" s="25">
        <v>45781</v>
      </c>
      <c r="W879" s="26"/>
      <c r="X879" s="2"/>
      <c r="Y879" s="11" t="s">
        <v>1166</v>
      </c>
      <c r="Z879" s="2" t="s">
        <v>36</v>
      </c>
      <c r="AA879" s="13" t="s">
        <v>10407</v>
      </c>
      <c r="AB879" s="13" t="s">
        <v>10408</v>
      </c>
    </row>
    <row r="880" spans="1:28" ht="15" customHeight="1">
      <c r="A880" s="2" t="s">
        <v>8676</v>
      </c>
      <c r="B880" s="2" t="s">
        <v>28</v>
      </c>
      <c r="C880" s="145" t="s">
        <v>244</v>
      </c>
      <c r="D880" s="2" t="s">
        <v>30</v>
      </c>
      <c r="E880" s="2" t="s">
        <v>245</v>
      </c>
      <c r="F880" s="11" t="s">
        <v>2153</v>
      </c>
      <c r="G880" s="46" t="s">
        <v>2154</v>
      </c>
      <c r="H880" s="2" t="s">
        <v>2180</v>
      </c>
      <c r="I880" s="12" t="s">
        <v>1538</v>
      </c>
      <c r="J880" s="41">
        <f>+Tabla1[[#This Row],[FECHA ENTRADA]]</f>
        <v>45671</v>
      </c>
      <c r="K880" s="22">
        <v>45800</v>
      </c>
      <c r="L880" s="42">
        <f>_xlfn.DAYS(Tabla1[[#This Row],[FECHA FIN ]],Tabla1[[#This Row],[FECHA INICIO]])</f>
        <v>129</v>
      </c>
      <c r="M880" s="12"/>
      <c r="N880" s="12">
        <v>266.66666666666669</v>
      </c>
      <c r="O880" s="28">
        <f>(Tabla1[[#This Row],[COSTO FIJO ]]/30)*Tabla1[[#This Row],[TOTAL DIAS PROYECTO]]+(Tabla1[[#This Row],[COSTO TEMPORAL]])</f>
        <v>1146.6666666666667</v>
      </c>
      <c r="P880" s="12">
        <v>76.92307692307692</v>
      </c>
      <c r="Q880" s="12">
        <f>+(Tabla1[[#This Row],[COSTO COCHE]]/30)*Tabla1[[#This Row],[TOTAL DIAS PROYECTO]]</f>
        <v>330.76923076923072</v>
      </c>
      <c r="R880" s="12">
        <f>+Tabla1[[#This Row],[COSTO TOTAL ALOJAMIENTO]]+Tabla1[[#This Row],[COSTO TOTAL COCHE]]</f>
        <v>1477.4358974358975</v>
      </c>
      <c r="S880" s="2"/>
      <c r="T880" s="2" t="s">
        <v>35</v>
      </c>
      <c r="U880" s="14">
        <v>45671</v>
      </c>
      <c r="V880" s="43"/>
      <c r="W880" s="26"/>
      <c r="X880" s="2">
        <v>5</v>
      </c>
      <c r="Y880" s="11" t="s">
        <v>2156</v>
      </c>
      <c r="Z880" s="2" t="s">
        <v>36</v>
      </c>
      <c r="AA880" s="13" t="s">
        <v>10355</v>
      </c>
      <c r="AB880" s="13" t="s">
        <v>10356</v>
      </c>
    </row>
    <row r="881" spans="1:28" ht="15" customHeight="1">
      <c r="A881" s="2" t="s">
        <v>8638</v>
      </c>
      <c r="B881" s="2" t="s">
        <v>28</v>
      </c>
      <c r="C881" s="11" t="s">
        <v>2140</v>
      </c>
      <c r="D881" s="2" t="s">
        <v>30</v>
      </c>
      <c r="E881" s="2" t="s">
        <v>985</v>
      </c>
      <c r="F881" s="11" t="s">
        <v>2178</v>
      </c>
      <c r="G881" s="21" t="s">
        <v>2179</v>
      </c>
      <c r="H881" s="2" t="s">
        <v>2134</v>
      </c>
      <c r="I881" s="12" t="s">
        <v>249</v>
      </c>
      <c r="J881" s="41">
        <f>+Tabla1[[#This Row],[FECHA ENTRADA]]</f>
        <v>45777</v>
      </c>
      <c r="K881" s="8">
        <v>45781</v>
      </c>
      <c r="L881" s="23">
        <f>_xlfn.DAYS(Tabla1[[#This Row],[FECHA FIN ]],Tabla1[[#This Row],[FECHA INICIO]])</f>
        <v>4</v>
      </c>
      <c r="M881" s="12">
        <f>1811.6/17</f>
        <v>106.56470588235294</v>
      </c>
      <c r="N881" s="12"/>
      <c r="O881" s="24">
        <f>(Tabla1[[#This Row],[COSTO FIJO ]]/30)*Tabla1[[#This Row],[TOTAL DIAS PROYECTO]]+(Tabla1[[#This Row],[COSTO TEMPORAL]])</f>
        <v>106.56470588235294</v>
      </c>
      <c r="P881" s="12"/>
      <c r="Q881" s="12">
        <f>+(Tabla1[[#This Row],[COSTO COCHE]]/30)*Tabla1[[#This Row],[TOTAL DIAS PROYECTO]]</f>
        <v>0</v>
      </c>
      <c r="R881" s="12">
        <f>+Tabla1[[#This Row],[COSTO TOTAL ALOJAMIENTO]]+Tabla1[[#This Row],[COSTO TOTAL COCHE]]</f>
        <v>106.56470588235294</v>
      </c>
      <c r="S881" s="2"/>
      <c r="T881" s="2" t="s">
        <v>528</v>
      </c>
      <c r="U881" s="14">
        <v>45777</v>
      </c>
      <c r="V881" s="25">
        <v>45781</v>
      </c>
      <c r="W881" s="26"/>
      <c r="X881" s="2"/>
      <c r="Y881" s="11" t="s">
        <v>1166</v>
      </c>
      <c r="Z881" s="2" t="s">
        <v>36</v>
      </c>
      <c r="AA881" s="13" t="s">
        <v>10407</v>
      </c>
      <c r="AB881" s="13" t="s">
        <v>10408</v>
      </c>
    </row>
    <row r="882" spans="1:28" ht="15" customHeight="1">
      <c r="A882" s="2" t="s">
        <v>8638</v>
      </c>
      <c r="B882" s="2" t="s">
        <v>28</v>
      </c>
      <c r="C882" s="11" t="s">
        <v>2181</v>
      </c>
      <c r="D882" s="2" t="s">
        <v>30</v>
      </c>
      <c r="E882" s="2" t="s">
        <v>985</v>
      </c>
      <c r="F882" s="11" t="s">
        <v>2178</v>
      </c>
      <c r="G882" s="21" t="s">
        <v>2179</v>
      </c>
      <c r="H882" s="2" t="s">
        <v>2134</v>
      </c>
      <c r="I882" s="12" t="s">
        <v>249</v>
      </c>
      <c r="J882" s="41">
        <f>+Tabla1[[#This Row],[FECHA ENTRADA]]</f>
        <v>45777</v>
      </c>
      <c r="K882" s="8">
        <v>45781</v>
      </c>
      <c r="L882" s="23">
        <f>_xlfn.DAYS(Tabla1[[#This Row],[FECHA FIN ]],Tabla1[[#This Row],[FECHA INICIO]])</f>
        <v>4</v>
      </c>
      <c r="M882" s="12">
        <f>1811.6/17</f>
        <v>106.56470588235294</v>
      </c>
      <c r="N882" s="12"/>
      <c r="O882" s="24">
        <f>(Tabla1[[#This Row],[COSTO FIJO ]]/30)*Tabla1[[#This Row],[TOTAL DIAS PROYECTO]]+(Tabla1[[#This Row],[COSTO TEMPORAL]])</f>
        <v>106.56470588235294</v>
      </c>
      <c r="P882" s="12"/>
      <c r="Q882" s="12">
        <f>+(Tabla1[[#This Row],[COSTO COCHE]]/30)*Tabla1[[#This Row],[TOTAL DIAS PROYECTO]]</f>
        <v>0</v>
      </c>
      <c r="R882" s="12">
        <f>+Tabla1[[#This Row],[COSTO TOTAL ALOJAMIENTO]]+Tabla1[[#This Row],[COSTO TOTAL COCHE]]</f>
        <v>106.56470588235294</v>
      </c>
      <c r="S882" s="2"/>
      <c r="T882" s="2" t="s">
        <v>528</v>
      </c>
      <c r="U882" s="14">
        <v>45777</v>
      </c>
      <c r="V882" s="25">
        <v>45781</v>
      </c>
      <c r="W882" s="26"/>
      <c r="X882" s="2"/>
      <c r="Y882" s="11" t="s">
        <v>1166</v>
      </c>
      <c r="Z882" s="2" t="s">
        <v>36</v>
      </c>
      <c r="AA882" s="13" t="s">
        <v>10407</v>
      </c>
      <c r="AB882" s="13" t="s">
        <v>10408</v>
      </c>
    </row>
    <row r="883" spans="1:28" ht="15.75">
      <c r="A883" s="2" t="s">
        <v>8653</v>
      </c>
      <c r="B883" s="2" t="s">
        <v>368</v>
      </c>
      <c r="C883" s="99" t="s">
        <v>147</v>
      </c>
      <c r="D883" s="2" t="s">
        <v>30</v>
      </c>
      <c r="E883" s="2" t="s">
        <v>826</v>
      </c>
      <c r="F883" s="11" t="s">
        <v>827</v>
      </c>
      <c r="G883" s="11" t="s">
        <v>828</v>
      </c>
      <c r="H883" s="2" t="s">
        <v>2170</v>
      </c>
      <c r="I883" s="12" t="s">
        <v>152</v>
      </c>
      <c r="J883" s="22">
        <f>+Tabla1[[#This Row],[FECHA ENTRADA]]</f>
        <v>45592</v>
      </c>
      <c r="K883" s="8">
        <v>45782</v>
      </c>
      <c r="L883" s="23">
        <f>_xlfn.DAYS(Tabla1[[#This Row],[FECHA FIN ]],Tabla1[[#This Row],[FECHA INICIO]])</f>
        <v>190</v>
      </c>
      <c r="M883" s="12"/>
      <c r="N883" s="20">
        <v>450</v>
      </c>
      <c r="O883" s="24">
        <f>(Tabla1[[#This Row],[COSTO FIJO ]]/30)*Tabla1[[#This Row],[TOTAL DIAS PROYECTO]]+(Tabla1[[#This Row],[COSTO TEMPORAL]])</f>
        <v>2850</v>
      </c>
      <c r="P883" s="12"/>
      <c r="Q883" s="12">
        <f>+(Tabla1[[#This Row],[COSTO COCHE]]/30)*Tabla1[[#This Row],[TOTAL DIAS PROYECTO]]</f>
        <v>0</v>
      </c>
      <c r="R883" s="12">
        <f>+Tabla1[[#This Row],[COSTO TOTAL ALOJAMIENTO]]+Tabla1[[#This Row],[COSTO TOTAL COCHE]]</f>
        <v>2850</v>
      </c>
      <c r="S883" s="2"/>
      <c r="T883" s="2" t="s">
        <v>35</v>
      </c>
      <c r="U883" s="14">
        <v>45592</v>
      </c>
      <c r="V883" s="79"/>
      <c r="W883" s="26"/>
      <c r="X883" s="2">
        <v>1</v>
      </c>
      <c r="Y883" s="154" t="s">
        <v>2182</v>
      </c>
      <c r="Z883" s="2" t="s">
        <v>36</v>
      </c>
      <c r="AA883" s="13" t="s">
        <v>10399</v>
      </c>
      <c r="AB883" s="13" t="s">
        <v>10400</v>
      </c>
    </row>
    <row r="884" spans="1:28" ht="15" customHeight="1">
      <c r="A884" s="2" t="s">
        <v>9088</v>
      </c>
      <c r="B884" s="2" t="s">
        <v>368</v>
      </c>
      <c r="C884" s="31" t="s">
        <v>1962</v>
      </c>
      <c r="D884" s="2" t="s">
        <v>30</v>
      </c>
      <c r="E884" s="2" t="s">
        <v>422</v>
      </c>
      <c r="F884" s="11" t="s">
        <v>2183</v>
      </c>
      <c r="G884" s="118" t="s">
        <v>698</v>
      </c>
      <c r="H884" s="2" t="s">
        <v>1931</v>
      </c>
      <c r="I884" s="30" t="s">
        <v>1932</v>
      </c>
      <c r="J884" s="8">
        <f>+Tabla1[[#This Row],[FECHA ENTRADA]]</f>
        <v>45513</v>
      </c>
      <c r="K884" s="8">
        <v>45944</v>
      </c>
      <c r="L884" s="13">
        <f>_xlfn.DAYS(Tabla1[[#This Row],[FECHA FIN ]],Tabla1[[#This Row],[FECHA INICIO]])</f>
        <v>431</v>
      </c>
      <c r="M884" s="12"/>
      <c r="N884" s="12">
        <v>316</v>
      </c>
      <c r="O884" s="12">
        <f>(Tabla1[[#This Row],[COSTO FIJO ]]/30)*Tabla1[[#This Row],[TOTAL DIAS PROYECTO]]+(Tabla1[[#This Row],[COSTO TEMPORAL]])</f>
        <v>4539.8666666666668</v>
      </c>
      <c r="P884" s="12">
        <v>80</v>
      </c>
      <c r="Q884" s="12">
        <f>+(Tabla1[[#This Row],[COSTO COCHE]]/30)*Tabla1[[#This Row],[TOTAL DIAS PROYECTO]]</f>
        <v>1149.3333333333333</v>
      </c>
      <c r="R884" s="12">
        <f>+Tabla1[[#This Row],[COSTO TOTAL ALOJAMIENTO]]+Tabla1[[#This Row],[COSTO TOTAL COCHE]]</f>
        <v>5689.2</v>
      </c>
      <c r="S884" s="2" t="s">
        <v>403</v>
      </c>
      <c r="T884" s="2" t="s">
        <v>35</v>
      </c>
      <c r="U884" s="14">
        <v>45513</v>
      </c>
      <c r="V884" s="14"/>
      <c r="W884" s="26"/>
      <c r="X884" s="2">
        <v>1</v>
      </c>
      <c r="Y884" s="11" t="s">
        <v>2184</v>
      </c>
      <c r="Z884" s="2" t="s">
        <v>36</v>
      </c>
      <c r="AA884" s="13">
        <v>-326.69799999999998</v>
      </c>
      <c r="AB884" s="13" t="s">
        <v>10373</v>
      </c>
    </row>
    <row r="885" spans="1:28" ht="15" customHeight="1">
      <c r="A885" s="2" t="s">
        <v>9087</v>
      </c>
      <c r="B885" s="2" t="s">
        <v>368</v>
      </c>
      <c r="C885" s="31" t="s">
        <v>1961</v>
      </c>
      <c r="D885" s="2" t="s">
        <v>30</v>
      </c>
      <c r="E885" s="2" t="s">
        <v>422</v>
      </c>
      <c r="F885" s="11" t="s">
        <v>2183</v>
      </c>
      <c r="G885" s="118" t="s">
        <v>698</v>
      </c>
      <c r="H885" s="2" t="s">
        <v>1931</v>
      </c>
      <c r="I885" s="30" t="s">
        <v>1932</v>
      </c>
      <c r="J885" s="8">
        <f>+Tabla1[[#This Row],[FECHA ENTRADA]]</f>
        <v>45513</v>
      </c>
      <c r="K885" s="8">
        <v>45944</v>
      </c>
      <c r="L885" s="13">
        <f>_xlfn.DAYS(Tabla1[[#This Row],[FECHA FIN ]],Tabla1[[#This Row],[FECHA INICIO]])</f>
        <v>431</v>
      </c>
      <c r="M885" s="12"/>
      <c r="N885" s="12">
        <v>316</v>
      </c>
      <c r="O885" s="12">
        <f>(Tabla1[[#This Row],[COSTO FIJO ]]/30)*Tabla1[[#This Row],[TOTAL DIAS PROYECTO]]+(Tabla1[[#This Row],[COSTO TEMPORAL]])</f>
        <v>4539.8666666666668</v>
      </c>
      <c r="P885" s="12">
        <v>80</v>
      </c>
      <c r="Q885" s="12">
        <f>+(Tabla1[[#This Row],[COSTO COCHE]]/30)*Tabla1[[#This Row],[TOTAL DIAS PROYECTO]]</f>
        <v>1149.3333333333333</v>
      </c>
      <c r="R885" s="12">
        <f>+Tabla1[[#This Row],[COSTO TOTAL ALOJAMIENTO]]+Tabla1[[#This Row],[COSTO TOTAL COCHE]]</f>
        <v>5689.2</v>
      </c>
      <c r="S885" s="2" t="s">
        <v>403</v>
      </c>
      <c r="T885" s="2" t="s">
        <v>35</v>
      </c>
      <c r="U885" s="14">
        <v>45513</v>
      </c>
      <c r="V885" s="14"/>
      <c r="W885" s="26"/>
      <c r="X885" s="2">
        <v>1</v>
      </c>
      <c r="Y885" s="11" t="s">
        <v>2185</v>
      </c>
      <c r="Z885" s="2" t="s">
        <v>36</v>
      </c>
      <c r="AA885" s="13">
        <v>-326.69799999999998</v>
      </c>
      <c r="AB885" s="13" t="s">
        <v>10373</v>
      </c>
    </row>
    <row r="886" spans="1:28">
      <c r="A886" s="2" t="s">
        <v>8642</v>
      </c>
      <c r="B886" s="2" t="s">
        <v>368</v>
      </c>
      <c r="C886" s="11" t="s">
        <v>2186</v>
      </c>
      <c r="D886" s="2" t="s">
        <v>99</v>
      </c>
      <c r="E886" s="2" t="s">
        <v>87</v>
      </c>
      <c r="F886" s="11" t="s">
        <v>946</v>
      </c>
      <c r="G886" s="11" t="s">
        <v>947</v>
      </c>
      <c r="H886" s="2" t="s">
        <v>2187</v>
      </c>
      <c r="I886" s="12" t="s">
        <v>1288</v>
      </c>
      <c r="J886" s="41">
        <f>+Tabla1[[#This Row],[FECHA ENTRADA]]</f>
        <v>45775</v>
      </c>
      <c r="K886" s="8">
        <v>45782</v>
      </c>
      <c r="L886" s="23">
        <f>_xlfn.DAYS(Tabla1[[#This Row],[FECHA FIN ]],Tabla1[[#This Row],[FECHA INICIO]])</f>
        <v>7</v>
      </c>
      <c r="M886" s="12"/>
      <c r="N886" s="12"/>
      <c r="O886" s="24">
        <f>(Tabla1[[#This Row],[COSTO FIJO ]]/30)*Tabla1[[#This Row],[TOTAL DIAS PROYECTO]]+(Tabla1[[#This Row],[COSTO TEMPORAL]])</f>
        <v>0</v>
      </c>
      <c r="P886" s="12"/>
      <c r="Q886" s="12">
        <f>+(Tabla1[[#This Row],[COSTO COCHE]]/30)*Tabla1[[#This Row],[TOTAL DIAS PROYECTO]]</f>
        <v>0</v>
      </c>
      <c r="R886" s="12">
        <f>+Tabla1[[#This Row],[COSTO TOTAL ALOJAMIENTO]]+Tabla1[[#This Row],[COSTO TOTAL COCHE]]</f>
        <v>0</v>
      </c>
      <c r="S886" s="2"/>
      <c r="T886" s="2" t="s">
        <v>35</v>
      </c>
      <c r="U886" s="14">
        <v>45775</v>
      </c>
      <c r="V886" s="25"/>
      <c r="W886" s="26"/>
      <c r="X886" s="2">
        <v>4</v>
      </c>
      <c r="Y886" s="11" t="s">
        <v>2188</v>
      </c>
      <c r="Z886" s="2" t="s">
        <v>36</v>
      </c>
      <c r="AA886" s="13" t="s">
        <v>10335</v>
      </c>
      <c r="AB886" s="13">
        <v>404.16500000000002</v>
      </c>
    </row>
    <row r="887" spans="1:28" ht="15" customHeight="1">
      <c r="A887" s="2" t="s">
        <v>8843</v>
      </c>
      <c r="B887" s="2" t="s">
        <v>28</v>
      </c>
      <c r="C887" s="31" t="s">
        <v>979</v>
      </c>
      <c r="D887" s="2" t="s">
        <v>30</v>
      </c>
      <c r="E887" s="2" t="s">
        <v>213</v>
      </c>
      <c r="F887" s="11" t="s">
        <v>871</v>
      </c>
      <c r="G887" s="11" t="s">
        <v>872</v>
      </c>
      <c r="H887" s="2" t="s">
        <v>2189</v>
      </c>
      <c r="I887" s="12" t="s">
        <v>2190</v>
      </c>
      <c r="J887" s="22">
        <f>+Tabla1[[#This Row],[FECHA ENTRADA]]</f>
        <v>45697</v>
      </c>
      <c r="K887" s="22">
        <v>45782</v>
      </c>
      <c r="L887" s="23">
        <f>_xlfn.DAYS(Tabla1[[#This Row],[FECHA FIN ]],Tabla1[[#This Row],[FECHA INICIO]])</f>
        <v>85</v>
      </c>
      <c r="M887" s="12">
        <f>1811.6/17</f>
        <v>106.56470588235294</v>
      </c>
      <c r="N887" s="24">
        <f>903.2/3</f>
        <v>301.06666666666666</v>
      </c>
      <c r="O887" s="24">
        <f>(Tabla1[[#This Row],[COSTO FIJO ]]/30)*Tabla1[[#This Row],[TOTAL DIAS PROYECTO]]+(Tabla1[[#This Row],[COSTO TEMPORAL]])</f>
        <v>959.58692810457524</v>
      </c>
      <c r="P887" s="12">
        <v>400</v>
      </c>
      <c r="Q887" s="12">
        <f>+(Tabla1[[#This Row],[COSTO COCHE]]/30)*Tabla1[[#This Row],[TOTAL DIAS PROYECTO]]</f>
        <v>1133.3333333333335</v>
      </c>
      <c r="R887" s="12">
        <f>+Tabla1[[#This Row],[COSTO TOTAL ALOJAMIENTO]]+Tabla1[[#This Row],[COSTO TOTAL COCHE]]</f>
        <v>2092.9202614379087</v>
      </c>
      <c r="S887" s="2"/>
      <c r="T887" s="2" t="s">
        <v>35</v>
      </c>
      <c r="U887" s="14">
        <v>45697</v>
      </c>
      <c r="V887" s="25"/>
      <c r="W887" s="26"/>
      <c r="X887" s="2">
        <v>4</v>
      </c>
      <c r="Y887" s="11" t="s">
        <v>2191</v>
      </c>
      <c r="Z887" s="2" t="s">
        <v>36</v>
      </c>
      <c r="AA887" s="13" t="s">
        <v>10349</v>
      </c>
      <c r="AB887" s="13" t="s">
        <v>10350</v>
      </c>
    </row>
    <row r="888" spans="1:28" ht="15" customHeight="1">
      <c r="A888" s="2" t="s">
        <v>9065</v>
      </c>
      <c r="B888" s="2" t="s">
        <v>368</v>
      </c>
      <c r="C888" s="11" t="s">
        <v>1850</v>
      </c>
      <c r="D888" s="2" t="s">
        <v>30</v>
      </c>
      <c r="E888" s="2" t="s">
        <v>985</v>
      </c>
      <c r="F888" s="11"/>
      <c r="G888" s="46"/>
      <c r="H888" s="2" t="s">
        <v>1851</v>
      </c>
      <c r="I888" s="12" t="s">
        <v>989</v>
      </c>
      <c r="J888" s="41">
        <f>+Tabla1[[#This Row],[FECHA ENTRADA]]</f>
        <v>45778</v>
      </c>
      <c r="K888" s="8">
        <v>45782</v>
      </c>
      <c r="L888" s="42">
        <f>_xlfn.DAYS(Tabla1[[#This Row],[FECHA FIN ]],Tabla1[[#This Row],[FECHA INICIO]])</f>
        <v>4</v>
      </c>
      <c r="M888" s="12"/>
      <c r="N888" s="12">
        <v>300</v>
      </c>
      <c r="O888" s="28">
        <f>(Tabla1[[#This Row],[COSTO FIJO ]]/30)*Tabla1[[#This Row],[TOTAL DIAS PROYECTO]]+(Tabla1[[#This Row],[COSTO TEMPORAL]])</f>
        <v>40</v>
      </c>
      <c r="P888" s="12"/>
      <c r="Q888" s="12">
        <f>+(Tabla1[[#This Row],[COSTO COCHE]]/30)*Tabla1[[#This Row],[TOTAL DIAS PROYECTO]]</f>
        <v>0</v>
      </c>
      <c r="R888" s="12">
        <f>+Tabla1[[#This Row],[COSTO TOTAL ALOJAMIENTO]]+Tabla1[[#This Row],[COSTO TOTAL COCHE]]</f>
        <v>40</v>
      </c>
      <c r="S888" s="2"/>
      <c r="T888" s="14" t="s">
        <v>58</v>
      </c>
      <c r="U888" s="14">
        <v>45778</v>
      </c>
      <c r="V888" s="75"/>
      <c r="W888" s="2"/>
      <c r="X888" s="2"/>
      <c r="Y888" s="11"/>
      <c r="Z888" s="2" t="s">
        <v>36</v>
      </c>
      <c r="AA888" s="13" t="s">
        <v>10407</v>
      </c>
      <c r="AB888" s="13" t="s">
        <v>10408</v>
      </c>
    </row>
    <row r="889" spans="1:28">
      <c r="A889" s="2" t="s">
        <v>9142</v>
      </c>
      <c r="B889" s="2" t="s">
        <v>368</v>
      </c>
      <c r="C889" s="11" t="s">
        <v>2192</v>
      </c>
      <c r="D889" s="2" t="s">
        <v>30</v>
      </c>
      <c r="E889" s="2" t="s">
        <v>985</v>
      </c>
      <c r="F889" s="11"/>
      <c r="G889" s="46"/>
      <c r="H889" s="2" t="s">
        <v>2193</v>
      </c>
      <c r="I889" s="12" t="s">
        <v>989</v>
      </c>
      <c r="J889" s="41">
        <f>+Tabla1[[#This Row],[FECHA ENTRADA]]</f>
        <v>45733</v>
      </c>
      <c r="K889" s="8">
        <v>45782</v>
      </c>
      <c r="L889" s="42">
        <f>_xlfn.DAYS(Tabla1[[#This Row],[FECHA FIN ]],Tabla1[[#This Row],[FECHA INICIO]])</f>
        <v>49</v>
      </c>
      <c r="M889" s="12"/>
      <c r="N889" s="12"/>
      <c r="O889" s="28">
        <f>(Tabla1[[#This Row],[COSTO FIJO ]]/30)*Tabla1[[#This Row],[TOTAL DIAS PROYECTO]]+(Tabla1[[#This Row],[COSTO TEMPORAL]])</f>
        <v>0</v>
      </c>
      <c r="P889" s="12"/>
      <c r="Q889" s="12">
        <f>+(Tabla1[[#This Row],[COSTO COCHE]]/30)*Tabla1[[#This Row],[TOTAL DIAS PROYECTO]]</f>
        <v>0</v>
      </c>
      <c r="R889" s="12">
        <f>+Tabla1[[#This Row],[COSTO TOTAL ALOJAMIENTO]]+Tabla1[[#This Row],[COSTO TOTAL COCHE]]</f>
        <v>0</v>
      </c>
      <c r="S889" s="2"/>
      <c r="T889" s="2" t="s">
        <v>58</v>
      </c>
      <c r="U889" s="14">
        <v>45733</v>
      </c>
      <c r="V889" s="43"/>
      <c r="W889" s="26"/>
      <c r="X889" s="2"/>
      <c r="Y889" s="11"/>
      <c r="Z889" s="2" t="s">
        <v>36</v>
      </c>
      <c r="AA889" s="13" t="s">
        <v>10407</v>
      </c>
      <c r="AB889" s="13" t="s">
        <v>10408</v>
      </c>
    </row>
    <row r="890" spans="1:28" ht="15" customHeight="1">
      <c r="A890" s="2" t="s">
        <v>9143</v>
      </c>
      <c r="B890" s="2" t="s">
        <v>368</v>
      </c>
      <c r="C890" s="11" t="s">
        <v>2194</v>
      </c>
      <c r="D890" s="2" t="s">
        <v>30</v>
      </c>
      <c r="E890" s="2" t="s">
        <v>87</v>
      </c>
      <c r="F890" s="11" t="s">
        <v>1864</v>
      </c>
      <c r="G890" s="11" t="s">
        <v>2195</v>
      </c>
      <c r="H890" s="2" t="s">
        <v>2196</v>
      </c>
      <c r="I890" s="12" t="s">
        <v>1288</v>
      </c>
      <c r="J890" s="41">
        <f>+Tabla1[[#This Row],[FECHA ENTRADA]]</f>
        <v>45775</v>
      </c>
      <c r="K890" s="22">
        <v>45782</v>
      </c>
      <c r="L890" s="23">
        <f>_xlfn.DAYS(Tabla1[[#This Row],[FECHA FIN ]],Tabla1[[#This Row],[FECHA INICIO]])</f>
        <v>7</v>
      </c>
      <c r="M890" s="20">
        <f>1752.5/6</f>
        <v>292.08333333333331</v>
      </c>
      <c r="N890" s="28"/>
      <c r="O890" s="24">
        <f>(Tabla1[[#This Row],[COSTO FIJO ]]/30)*Tabla1[[#This Row],[TOTAL DIAS PROYECTO]]+(Tabla1[[#This Row],[COSTO TEMPORAL]])</f>
        <v>292.08333333333331</v>
      </c>
      <c r="P890" s="12"/>
      <c r="Q890" s="12">
        <f>+(Tabla1[[#This Row],[COSTO COCHE]]/30)*Tabla1[[#This Row],[TOTAL DIAS PROYECTO]]</f>
        <v>0</v>
      </c>
      <c r="R890" s="12">
        <f>+Tabla1[[#This Row],[COSTO TOTAL ALOJAMIENTO]]+Tabla1[[#This Row],[COSTO TOTAL COCHE]]</f>
        <v>292.08333333333331</v>
      </c>
      <c r="S890" s="2"/>
      <c r="T890" s="2" t="s">
        <v>35</v>
      </c>
      <c r="U890" s="14">
        <v>45775</v>
      </c>
      <c r="V890" s="25"/>
      <c r="W890" s="26"/>
      <c r="X890" s="2">
        <v>7</v>
      </c>
      <c r="Y890" s="11" t="s">
        <v>2188</v>
      </c>
      <c r="Z890" s="2" t="s">
        <v>36</v>
      </c>
      <c r="AA890" s="13" t="s">
        <v>10335</v>
      </c>
      <c r="AB890" s="13">
        <v>404.16500000000002</v>
      </c>
    </row>
    <row r="891" spans="1:28">
      <c r="A891" s="2" t="s">
        <v>9144</v>
      </c>
      <c r="B891" s="2" t="s">
        <v>368</v>
      </c>
      <c r="C891" s="11" t="s">
        <v>2197</v>
      </c>
      <c r="D891" s="2" t="s">
        <v>30</v>
      </c>
      <c r="E891" s="2" t="s">
        <v>415</v>
      </c>
      <c r="F891" s="11" t="s">
        <v>2198</v>
      </c>
      <c r="G891" s="46" t="s">
        <v>2174</v>
      </c>
      <c r="H891" s="2" t="s">
        <v>2199</v>
      </c>
      <c r="I891" s="12" t="s">
        <v>2200</v>
      </c>
      <c r="J891" s="41">
        <f>+Tabla1[[#This Row],[FECHA ENTRADA]]</f>
        <v>45727</v>
      </c>
      <c r="K891" s="22">
        <v>45782</v>
      </c>
      <c r="L891" s="42">
        <f>_xlfn.DAYS(Tabla1[[#This Row],[FECHA FIN ]],Tabla1[[#This Row],[FECHA INICIO]])</f>
        <v>55</v>
      </c>
      <c r="M891" s="12">
        <f>1811.6/17</f>
        <v>106.56470588235294</v>
      </c>
      <c r="N891" s="20"/>
      <c r="O891" s="28">
        <f>(Tabla1[[#This Row],[COSTO FIJO ]]/30)*Tabla1[[#This Row],[TOTAL DIAS PROYECTO]]+(Tabla1[[#This Row],[COSTO TEMPORAL]])</f>
        <v>106.56470588235294</v>
      </c>
      <c r="P891" s="12">
        <f>666.59/5</f>
        <v>133.31800000000001</v>
      </c>
      <c r="Q891" s="12">
        <f>+(Tabla1[[#This Row],[COSTO COCHE]]/30)*Tabla1[[#This Row],[TOTAL DIAS PROYECTO]]</f>
        <v>244.41633333333334</v>
      </c>
      <c r="R891" s="12">
        <f>+Tabla1[[#This Row],[COSTO TOTAL ALOJAMIENTO]]+Tabla1[[#This Row],[COSTO TOTAL COCHE]]</f>
        <v>350.98103921568628</v>
      </c>
      <c r="S891" s="2"/>
      <c r="T891" s="2" t="s">
        <v>35</v>
      </c>
      <c r="U891" s="14">
        <v>45727</v>
      </c>
      <c r="V891" s="43"/>
      <c r="W891" s="26"/>
      <c r="X891" s="2">
        <v>8</v>
      </c>
      <c r="Y891" t="s">
        <v>2201</v>
      </c>
      <c r="Z891" s="2" t="s">
        <v>36</v>
      </c>
      <c r="AA891" s="13">
        <v>-0.37739</v>
      </c>
      <c r="AB891" s="13" t="s">
        <v>10372</v>
      </c>
    </row>
    <row r="892" spans="1:28">
      <c r="A892" s="2" t="s">
        <v>8638</v>
      </c>
      <c r="B892" s="2" t="s">
        <v>368</v>
      </c>
      <c r="C892" s="11" t="s">
        <v>2202</v>
      </c>
      <c r="D892" s="2" t="s">
        <v>30</v>
      </c>
      <c r="E892" s="2" t="s">
        <v>415</v>
      </c>
      <c r="F892" s="11" t="s">
        <v>2198</v>
      </c>
      <c r="G892" s="46" t="s">
        <v>2174</v>
      </c>
      <c r="H892" s="2" t="s">
        <v>2203</v>
      </c>
      <c r="I892" s="12" t="s">
        <v>2200</v>
      </c>
      <c r="J892" s="41">
        <f>+Tabla1[[#This Row],[FECHA ENTRADA]]</f>
        <v>45727</v>
      </c>
      <c r="K892" s="22">
        <v>45782</v>
      </c>
      <c r="L892" s="42">
        <f>_xlfn.DAYS(Tabla1[[#This Row],[FECHA FIN ]],Tabla1[[#This Row],[FECHA INICIO]])</f>
        <v>55</v>
      </c>
      <c r="M892" s="12">
        <f>1811.6/17</f>
        <v>106.56470588235294</v>
      </c>
      <c r="N892" s="20"/>
      <c r="O892" s="28">
        <f>(Tabla1[[#This Row],[COSTO FIJO ]]/30)*Tabla1[[#This Row],[TOTAL DIAS PROYECTO]]+(Tabla1[[#This Row],[COSTO TEMPORAL]])</f>
        <v>106.56470588235294</v>
      </c>
      <c r="P892" s="12">
        <f>666.59/5</f>
        <v>133.31800000000001</v>
      </c>
      <c r="Q892" s="12">
        <f>+(Tabla1[[#This Row],[COSTO COCHE]]/30)*Tabla1[[#This Row],[TOTAL DIAS PROYECTO]]</f>
        <v>244.41633333333334</v>
      </c>
      <c r="R892" s="12">
        <f>+Tabla1[[#This Row],[COSTO TOTAL ALOJAMIENTO]]+Tabla1[[#This Row],[COSTO TOTAL COCHE]]</f>
        <v>350.98103921568628</v>
      </c>
      <c r="S892" s="2"/>
      <c r="T892" s="2" t="s">
        <v>35</v>
      </c>
      <c r="U892" s="14">
        <v>45727</v>
      </c>
      <c r="V892" s="43"/>
      <c r="W892" s="26"/>
      <c r="X892" s="2">
        <v>8</v>
      </c>
      <c r="Y892" t="s">
        <v>2201</v>
      </c>
      <c r="Z892" s="2" t="s">
        <v>36</v>
      </c>
      <c r="AA892" s="13">
        <v>-0.37739</v>
      </c>
      <c r="AB892" s="13" t="s">
        <v>10372</v>
      </c>
    </row>
    <row r="893" spans="1:28">
      <c r="A893" s="2" t="s">
        <v>9145</v>
      </c>
      <c r="B893" s="2" t="s">
        <v>28</v>
      </c>
      <c r="C893" s="11" t="s">
        <v>2204</v>
      </c>
      <c r="D893" s="2" t="s">
        <v>99</v>
      </c>
      <c r="E893" s="2" t="s">
        <v>415</v>
      </c>
      <c r="F893" s="11"/>
      <c r="G893" s="49"/>
      <c r="H893" s="2" t="s">
        <v>2205</v>
      </c>
      <c r="I893" s="12" t="s">
        <v>490</v>
      </c>
      <c r="J893" s="22">
        <f>+Tabla1[[#This Row],[FECHA ENTRADA]]</f>
        <v>45692</v>
      </c>
      <c r="K893" s="22">
        <v>45783</v>
      </c>
      <c r="L893" s="23">
        <f>_xlfn.DAYS(Tabla1[[#This Row],[FECHA FIN ]],Tabla1[[#This Row],[FECHA INICIO]])</f>
        <v>91</v>
      </c>
      <c r="M893" s="12"/>
      <c r="N893" s="12">
        <v>300</v>
      </c>
      <c r="O893" s="24">
        <f>(Tabla1[[#This Row],[COSTO FIJO ]]/30)*Tabla1[[#This Row],[TOTAL DIAS PROYECTO]]+(Tabla1[[#This Row],[COSTO TEMPORAL]])</f>
        <v>910</v>
      </c>
      <c r="P893" s="12"/>
      <c r="Q893" s="12"/>
      <c r="R893" s="12">
        <f>+Tabla1[[#This Row],[COSTO TOTAL ALOJAMIENTO]]+Tabla1[[#This Row],[COSTO TOTAL COCHE]]</f>
        <v>910</v>
      </c>
      <c r="S893" s="2"/>
      <c r="T893" s="2" t="s">
        <v>58</v>
      </c>
      <c r="U893" s="14">
        <v>45692</v>
      </c>
      <c r="V893" s="25"/>
      <c r="W893" s="26"/>
      <c r="X893" s="2"/>
      <c r="Y893" s="11" t="s">
        <v>1120</v>
      </c>
      <c r="Z893" s="2" t="s">
        <v>36</v>
      </c>
      <c r="AA893" s="13">
        <v>-0.37739</v>
      </c>
      <c r="AB893" s="13" t="s">
        <v>10372</v>
      </c>
    </row>
    <row r="894" spans="1:28" ht="15" customHeight="1">
      <c r="A894" s="2" t="s">
        <v>9128</v>
      </c>
      <c r="B894" s="2" t="s">
        <v>28</v>
      </c>
      <c r="C894" s="11" t="s">
        <v>2116</v>
      </c>
      <c r="D894" s="2" t="s">
        <v>99</v>
      </c>
      <c r="E894" s="2" t="s">
        <v>259</v>
      </c>
      <c r="F894" s="11" t="s">
        <v>2206</v>
      </c>
      <c r="G894" s="49" t="s">
        <v>2207</v>
      </c>
      <c r="H894" s="2" t="s">
        <v>2118</v>
      </c>
      <c r="I894" t="s">
        <v>2119</v>
      </c>
      <c r="J894" s="41">
        <f>+Tabla1[[#This Row],[FECHA ENTRADA]]</f>
        <v>45776</v>
      </c>
      <c r="K894" s="41">
        <v>45783</v>
      </c>
      <c r="L894" s="42">
        <f>_xlfn.DAYS(Tabla1[[#This Row],[FECHA FIN ]],Tabla1[[#This Row],[FECHA INICIO]])</f>
        <v>7</v>
      </c>
      <c r="M894" s="12"/>
      <c r="N894" s="12">
        <v>175</v>
      </c>
      <c r="O894" s="28">
        <f>(Tabla1[[#This Row],[COSTO FIJO ]]/30)*Tabla1[[#This Row],[TOTAL DIAS PROYECTO]]+(Tabla1[[#This Row],[COSTO TEMPORAL]])</f>
        <v>40.833333333333329</v>
      </c>
      <c r="P894" s="12"/>
      <c r="Q894" s="12">
        <f>+(Tabla1[[#This Row],[COSTO COCHE]]/30)*Tabla1[[#This Row],[TOTAL DIAS PROYECTO]]</f>
        <v>0</v>
      </c>
      <c r="R894" s="12">
        <f>+Tabla1[[#This Row],[COSTO TOTAL ALOJAMIENTO]]+Tabla1[[#This Row],[COSTO TOTAL COCHE]]</f>
        <v>40.833333333333329</v>
      </c>
      <c r="S894" s="2"/>
      <c r="T894" s="14" t="s">
        <v>44</v>
      </c>
      <c r="U894" s="14">
        <v>45776</v>
      </c>
      <c r="V894" s="43">
        <v>45783</v>
      </c>
      <c r="W894" s="2"/>
      <c r="X894" s="2"/>
      <c r="Y894" s="11"/>
      <c r="Z894" s="2" t="s">
        <v>36</v>
      </c>
      <c r="AA894" s="13">
        <v>-0.87734000000000001</v>
      </c>
      <c r="AB894" s="13" t="s">
        <v>10359</v>
      </c>
    </row>
    <row r="895" spans="1:28" ht="15" customHeight="1">
      <c r="A895" s="2" t="s">
        <v>9146</v>
      </c>
      <c r="B895" s="2" t="s">
        <v>28</v>
      </c>
      <c r="C895" s="11" t="s">
        <v>2208</v>
      </c>
      <c r="D895" s="2" t="s">
        <v>30</v>
      </c>
      <c r="E895" s="2" t="s">
        <v>245</v>
      </c>
      <c r="F895" s="11" t="s">
        <v>2209</v>
      </c>
      <c r="G895" s="46" t="s">
        <v>2210</v>
      </c>
      <c r="H895" s="2" t="s">
        <v>2211</v>
      </c>
      <c r="I895" s="12" t="s">
        <v>249</v>
      </c>
      <c r="J895" s="41">
        <f>+Tabla1[[#This Row],[FECHA ENTRADA]]</f>
        <v>45685</v>
      </c>
      <c r="K895" s="22">
        <v>45744</v>
      </c>
      <c r="L895" s="42">
        <f>_xlfn.DAYS(Tabla1[[#This Row],[FECHA FIN ]],Tabla1[[#This Row],[FECHA INICIO]])</f>
        <v>59</v>
      </c>
      <c r="M895" s="12"/>
      <c r="N895" s="12"/>
      <c r="O895" s="28">
        <f>(Tabla1[[#This Row],[COSTO FIJO ]]/30)*Tabla1[[#This Row],[TOTAL DIAS PROYECTO]]+(Tabla1[[#This Row],[COSTO TEMPORAL]])</f>
        <v>0</v>
      </c>
      <c r="P895" s="12"/>
      <c r="Q895" s="12">
        <f>+(Tabla1[[#This Row],[COSTO COCHE]]/30)*Tabla1[[#This Row],[TOTAL DIAS PROYECTO]]</f>
        <v>0</v>
      </c>
      <c r="R895" s="12">
        <f>+Tabla1[[#This Row],[COSTO TOTAL ALOJAMIENTO]]+Tabla1[[#This Row],[COSTO TOTAL COCHE]]</f>
        <v>0</v>
      </c>
      <c r="S895" s="2" t="s">
        <v>84</v>
      </c>
      <c r="T895" s="2" t="s">
        <v>44</v>
      </c>
      <c r="U895" s="14">
        <v>45685</v>
      </c>
      <c r="V895" s="43">
        <v>45764</v>
      </c>
      <c r="W895" s="26"/>
      <c r="X895" s="2"/>
      <c r="Y895" s="11"/>
      <c r="Z895" s="2" t="s">
        <v>36</v>
      </c>
      <c r="AA895" s="13" t="s">
        <v>10355</v>
      </c>
      <c r="AB895" s="13" t="s">
        <v>10356</v>
      </c>
    </row>
    <row r="896" spans="1:28" ht="15" customHeight="1">
      <c r="A896" s="2" t="s">
        <v>9014</v>
      </c>
      <c r="B896" s="2" t="s">
        <v>28</v>
      </c>
      <c r="C896" s="11" t="s">
        <v>1701</v>
      </c>
      <c r="D896" s="2" t="s">
        <v>99</v>
      </c>
      <c r="E896" s="2" t="s">
        <v>259</v>
      </c>
      <c r="F896" s="11" t="s">
        <v>2206</v>
      </c>
      <c r="G896" s="46" t="s">
        <v>2207</v>
      </c>
      <c r="H896" s="2" t="s">
        <v>2118</v>
      </c>
      <c r="I896" s="30" t="s">
        <v>2119</v>
      </c>
      <c r="J896" s="41">
        <f>+Tabla1[[#This Row],[FECHA ENTRADA]]</f>
        <v>45776</v>
      </c>
      <c r="K896" s="41">
        <v>45783</v>
      </c>
      <c r="L896" s="42">
        <f>_xlfn.DAYS(Tabla1[[#This Row],[FECHA FIN ]],Tabla1[[#This Row],[FECHA INICIO]])</f>
        <v>7</v>
      </c>
      <c r="M896" s="12"/>
      <c r="N896" s="12"/>
      <c r="O896" s="28">
        <f>(Tabla1[[#This Row],[COSTO FIJO ]]/30)*Tabla1[[#This Row],[TOTAL DIAS PROYECTO]]+(Tabla1[[#This Row],[COSTO TEMPORAL]])</f>
        <v>0</v>
      </c>
      <c r="P896" s="12"/>
      <c r="Q896" s="12">
        <f>+(Tabla1[[#This Row],[COSTO COCHE]]/30)*Tabla1[[#This Row],[TOTAL DIAS PROYECTO]]</f>
        <v>0</v>
      </c>
      <c r="R896" s="12">
        <f>+Tabla1[[#This Row],[COSTO TOTAL ALOJAMIENTO]]+Tabla1[[#This Row],[COSTO TOTAL COCHE]]</f>
        <v>0</v>
      </c>
      <c r="S896" s="2"/>
      <c r="T896" s="14" t="s">
        <v>44</v>
      </c>
      <c r="U896" s="14">
        <v>45776</v>
      </c>
      <c r="V896" s="43">
        <v>45783</v>
      </c>
      <c r="W896" s="2"/>
      <c r="X896" s="2"/>
      <c r="Y896" s="11"/>
      <c r="Z896" s="2" t="s">
        <v>36</v>
      </c>
      <c r="AA896" s="13">
        <v>-0.87734000000000001</v>
      </c>
      <c r="AB896" s="13" t="s">
        <v>10359</v>
      </c>
    </row>
    <row r="897" spans="1:28" ht="15" customHeight="1">
      <c r="A897" s="2" t="s">
        <v>9129</v>
      </c>
      <c r="B897" s="2" t="s">
        <v>28</v>
      </c>
      <c r="C897" s="11" t="s">
        <v>2121</v>
      </c>
      <c r="D897" s="2" t="s">
        <v>99</v>
      </c>
      <c r="E897" s="2" t="s">
        <v>259</v>
      </c>
      <c r="F897" s="11" t="s">
        <v>2206</v>
      </c>
      <c r="G897" s="46" t="s">
        <v>2207</v>
      </c>
      <c r="H897" s="2" t="s">
        <v>2118</v>
      </c>
      <c r="I897" s="155" t="s">
        <v>2119</v>
      </c>
      <c r="J897" s="41">
        <f>+Tabla1[[#This Row],[FECHA ENTRADA]]</f>
        <v>45776</v>
      </c>
      <c r="K897" s="41">
        <v>45783</v>
      </c>
      <c r="L897" s="42">
        <f>_xlfn.DAYS(Tabla1[[#This Row],[FECHA FIN ]],Tabla1[[#This Row],[FECHA INICIO]])</f>
        <v>7</v>
      </c>
      <c r="M897" s="12">
        <v>175</v>
      </c>
      <c r="N897" s="28"/>
      <c r="O897" s="28">
        <f>(Tabla1[[#This Row],[COSTO FIJO ]]/30)*Tabla1[[#This Row],[TOTAL DIAS PROYECTO]]+(Tabla1[[#This Row],[COSTO TEMPORAL]])</f>
        <v>175</v>
      </c>
      <c r="P897" s="12"/>
      <c r="Q897" s="12">
        <f>+(Tabla1[[#This Row],[COSTO COCHE]]/30)*Tabla1[[#This Row],[TOTAL DIAS PROYECTO]]</f>
        <v>0</v>
      </c>
      <c r="R897" s="12">
        <f>+Tabla1[[#This Row],[COSTO TOTAL ALOJAMIENTO]]+Tabla1[[#This Row],[COSTO TOTAL COCHE]]</f>
        <v>175</v>
      </c>
      <c r="S897" s="2"/>
      <c r="T897" s="14" t="s">
        <v>44</v>
      </c>
      <c r="U897" s="14">
        <v>45776</v>
      </c>
      <c r="V897" s="43">
        <v>45783</v>
      </c>
      <c r="W897" s="2"/>
      <c r="X897" s="2"/>
      <c r="Y897" s="11"/>
      <c r="Z897" s="2" t="s">
        <v>36</v>
      </c>
      <c r="AA897" s="13">
        <v>-0.87734000000000001</v>
      </c>
      <c r="AB897" s="13" t="s">
        <v>10359</v>
      </c>
    </row>
    <row r="898" spans="1:28" ht="15" customHeight="1">
      <c r="A898" s="2" t="s">
        <v>9123</v>
      </c>
      <c r="B898" s="2" t="s">
        <v>368</v>
      </c>
      <c r="C898" s="11" t="s">
        <v>2094</v>
      </c>
      <c r="D898" s="2" t="s">
        <v>30</v>
      </c>
      <c r="E898" s="2" t="s">
        <v>109</v>
      </c>
      <c r="F898" s="11" t="s">
        <v>2161</v>
      </c>
      <c r="G898" s="46" t="s">
        <v>2162</v>
      </c>
      <c r="H898" s="2" t="s">
        <v>2095</v>
      </c>
      <c r="I898" s="12" t="s">
        <v>1830</v>
      </c>
      <c r="J898" s="41">
        <f>+Tabla1[[#This Row],[FECHA ENTRADA]]</f>
        <v>45699</v>
      </c>
      <c r="K898" s="8">
        <v>45774</v>
      </c>
      <c r="L898" s="42">
        <f>_xlfn.DAYS(Tabla1[[#This Row],[FECHA FIN ]],Tabla1[[#This Row],[FECHA INICIO]])</f>
        <v>75</v>
      </c>
      <c r="M898" s="12"/>
      <c r="N898" s="12"/>
      <c r="O898" s="28">
        <f>(Tabla1[[#This Row],[COSTO FIJO ]]/30)*Tabla1[[#This Row],[TOTAL DIAS PROYECTO]]+(Tabla1[[#This Row],[COSTO TEMPORAL]])</f>
        <v>0</v>
      </c>
      <c r="P898" s="12">
        <f>651.96/4</f>
        <v>162.99</v>
      </c>
      <c r="Q898" s="12">
        <f>+(Tabla1[[#This Row],[COSTO COCHE]]/30)*Tabla1[[#This Row],[TOTAL DIAS PROYECTO]]</f>
        <v>407.47500000000008</v>
      </c>
      <c r="R898" s="12">
        <f>+Tabla1[[#This Row],[COSTO TOTAL ALOJAMIENTO]]+Tabla1[[#This Row],[COSTO TOTAL COCHE]]</f>
        <v>407.47500000000008</v>
      </c>
      <c r="S898" s="2" t="s">
        <v>84</v>
      </c>
      <c r="T898" s="2" t="s">
        <v>44</v>
      </c>
      <c r="U898" s="14">
        <v>45699</v>
      </c>
      <c r="V898" s="43">
        <v>45788</v>
      </c>
      <c r="W898" s="26"/>
      <c r="X898" s="2"/>
      <c r="Y898" s="11"/>
      <c r="Z898" s="2" t="s">
        <v>36</v>
      </c>
      <c r="AA898" s="13">
        <v>0.62217999999999996</v>
      </c>
      <c r="AB898" s="13" t="s">
        <v>10339</v>
      </c>
    </row>
    <row r="899" spans="1:28" ht="15" customHeight="1">
      <c r="A899" s="2" t="s">
        <v>8848</v>
      </c>
      <c r="B899" s="2" t="s">
        <v>711</v>
      </c>
      <c r="C899" s="11" t="s">
        <v>1003</v>
      </c>
      <c r="D899" s="2" t="s">
        <v>99</v>
      </c>
      <c r="E899" s="2" t="s">
        <v>720</v>
      </c>
      <c r="F899" s="11" t="s">
        <v>1872</v>
      </c>
      <c r="G899" s="49" t="s">
        <v>1873</v>
      </c>
      <c r="H899" s="2" t="s">
        <v>1874</v>
      </c>
      <c r="I899" s="12" t="s">
        <v>506</v>
      </c>
      <c r="J899" s="22">
        <f>+Tabla1[[#This Row],[FECHA ENTRADA]]</f>
        <v>45764</v>
      </c>
      <c r="K899" s="22">
        <v>45783</v>
      </c>
      <c r="L899" s="23">
        <f>_xlfn.DAYS(Tabla1[[#This Row],[FECHA FIN ]],Tabla1[[#This Row],[FECHA INICIO]])</f>
        <v>19</v>
      </c>
      <c r="M899" s="12"/>
      <c r="N899" s="12">
        <v>250</v>
      </c>
      <c r="O899" s="24">
        <f>(Tabla1[[#This Row],[COSTO FIJO ]]/30)*Tabla1[[#This Row],[TOTAL DIAS PROYECTO]]+(Tabla1[[#This Row],[COSTO TEMPORAL]])</f>
        <v>158.33333333333334</v>
      </c>
      <c r="P899" s="12"/>
      <c r="Q899" s="12">
        <f>+(Tabla1[[#This Row],[COSTO COCHE]]/30)*Tabla1[[#This Row],[TOTAL DIAS PROYECTO]]</f>
        <v>0</v>
      </c>
      <c r="R899" s="12">
        <f>+Tabla1[[#This Row],[COSTO TOTAL ALOJAMIENTO]]+Tabla1[[#This Row],[COSTO TOTAL COCHE]]</f>
        <v>158.33333333333334</v>
      </c>
      <c r="S899" s="2"/>
      <c r="T899" s="2" t="s">
        <v>528</v>
      </c>
      <c r="U899" s="14">
        <v>45764</v>
      </c>
      <c r="V899" s="25">
        <v>45783</v>
      </c>
      <c r="W899" s="26"/>
      <c r="X899" s="2"/>
      <c r="Y899" s="11"/>
      <c r="Z899" s="2" t="s">
        <v>36</v>
      </c>
      <c r="AA899" s="13" t="s">
        <v>10394</v>
      </c>
      <c r="AB899" s="13" t="s">
        <v>10395</v>
      </c>
    </row>
    <row r="900" spans="1:28" ht="15" customHeight="1">
      <c r="A900" s="2" t="s">
        <v>8638</v>
      </c>
      <c r="B900" s="2" t="s">
        <v>28</v>
      </c>
      <c r="C900" s="156" t="s">
        <v>2181</v>
      </c>
      <c r="D900" s="2" t="s">
        <v>30</v>
      </c>
      <c r="E900" s="2" t="s">
        <v>985</v>
      </c>
      <c r="F900" s="11" t="s">
        <v>2132</v>
      </c>
      <c r="G900" s="21" t="s">
        <v>2133</v>
      </c>
      <c r="H900" s="157" t="s">
        <v>2134</v>
      </c>
      <c r="I900" s="158" t="s">
        <v>249</v>
      </c>
      <c r="J900" s="41">
        <f>+Tabla1[[#This Row],[FECHA ENTRADA]]</f>
        <v>45747</v>
      </c>
      <c r="K900" s="8">
        <v>45777</v>
      </c>
      <c r="L900" s="42">
        <f>_xlfn.DAYS(Tabla1[[#This Row],[FECHA FIN ]],Tabla1[[#This Row],[FECHA INICIO]])</f>
        <v>30</v>
      </c>
      <c r="M900" s="12">
        <f>2212.55/5</f>
        <v>442.51000000000005</v>
      </c>
      <c r="N900" s="24"/>
      <c r="O900" s="28">
        <f>(Tabla1[[#This Row],[COSTO FIJO ]]/30)*Tabla1[[#This Row],[TOTAL DIAS PROYECTO]]+(Tabla1[[#This Row],[COSTO TEMPORAL]])</f>
        <v>442.51000000000005</v>
      </c>
      <c r="P900" s="12"/>
      <c r="Q900" s="12">
        <f>+(Tabla1[[#This Row],[COSTO COCHE]]/30)*Tabla1[[#This Row],[TOTAL DIAS PROYECTO]]</f>
        <v>0</v>
      </c>
      <c r="R900" s="12">
        <f>+Tabla1[[#This Row],[COSTO TOTAL ALOJAMIENTO]]+Tabla1[[#This Row],[COSTO TOTAL COCHE]]</f>
        <v>442.51000000000005</v>
      </c>
      <c r="S900" s="2" t="s">
        <v>84</v>
      </c>
      <c r="T900" s="2" t="s">
        <v>528</v>
      </c>
      <c r="U900" s="14">
        <v>45747</v>
      </c>
      <c r="V900" s="43">
        <v>45777</v>
      </c>
      <c r="W900" s="26"/>
      <c r="X900" s="2"/>
      <c r="Y900" s="11" t="s">
        <v>1166</v>
      </c>
      <c r="Z900" s="2" t="s">
        <v>36</v>
      </c>
      <c r="AA900" s="13" t="s">
        <v>10407</v>
      </c>
      <c r="AB900" s="13" t="s">
        <v>10408</v>
      </c>
    </row>
    <row r="901" spans="1:28" ht="15" customHeight="1">
      <c r="A901" s="2" t="s">
        <v>9147</v>
      </c>
      <c r="B901" s="2" t="s">
        <v>28</v>
      </c>
      <c r="C901" s="11" t="s">
        <v>2212</v>
      </c>
      <c r="D901" s="2" t="s">
        <v>30</v>
      </c>
      <c r="E901" s="2" t="s">
        <v>985</v>
      </c>
      <c r="F901" s="11" t="s">
        <v>2213</v>
      </c>
      <c r="G901" s="46" t="s">
        <v>2133</v>
      </c>
      <c r="H901" s="2" t="s">
        <v>2134</v>
      </c>
      <c r="I901" s="12" t="s">
        <v>249</v>
      </c>
      <c r="J901" s="41">
        <f>+Tabla1[[#This Row],[FECHA ENTRADA]]</f>
        <v>45747</v>
      </c>
      <c r="K901" s="22">
        <v>45821</v>
      </c>
      <c r="L901" s="42">
        <f>_xlfn.DAYS(Tabla1[[#This Row],[FECHA FIN ]],Tabla1[[#This Row],[FECHA INICIO]])</f>
        <v>74</v>
      </c>
      <c r="M901" s="12"/>
      <c r="N901" s="12"/>
      <c r="O901" s="28">
        <f>(Tabla1[[#This Row],[COSTO FIJO ]]/30)*Tabla1[[#This Row],[TOTAL DIAS PROYECTO]]+(Tabla1[[#This Row],[COSTO TEMPORAL]])</f>
        <v>0</v>
      </c>
      <c r="P901" s="12"/>
      <c r="Q901" s="12">
        <f>+(Tabla1[[#This Row],[COSTO COCHE]]/30)*Tabla1[[#This Row],[TOTAL DIAS PROYECTO]]</f>
        <v>0</v>
      </c>
      <c r="R901" s="12">
        <f>+Tabla1[[#This Row],[COSTO TOTAL ALOJAMIENTO]]+Tabla1[[#This Row],[COSTO TOTAL COCHE]]</f>
        <v>0</v>
      </c>
      <c r="S901" s="2" t="s">
        <v>84</v>
      </c>
      <c r="T901" s="2" t="s">
        <v>528</v>
      </c>
      <c r="U901" s="14">
        <v>45747</v>
      </c>
      <c r="V901" s="43">
        <v>45777</v>
      </c>
      <c r="W901" s="26"/>
      <c r="X901" s="2"/>
      <c r="Y901" s="11" t="s">
        <v>1166</v>
      </c>
      <c r="Z901" s="2" t="s">
        <v>36</v>
      </c>
      <c r="AA901" s="13" t="s">
        <v>10407</v>
      </c>
      <c r="AB901" s="13" t="s">
        <v>10408</v>
      </c>
    </row>
    <row r="902" spans="1:28" ht="15" customHeight="1">
      <c r="A902" s="2" t="s">
        <v>8677</v>
      </c>
      <c r="B902" s="2" t="s">
        <v>28</v>
      </c>
      <c r="C902" s="11" t="s">
        <v>250</v>
      </c>
      <c r="D902" s="2" t="s">
        <v>30</v>
      </c>
      <c r="E902" s="2" t="s">
        <v>415</v>
      </c>
      <c r="F902" s="11" t="s">
        <v>487</v>
      </c>
      <c r="G902" s="46" t="s">
        <v>488</v>
      </c>
      <c r="H902" s="2" t="s">
        <v>2214</v>
      </c>
      <c r="I902" s="12" t="s">
        <v>490</v>
      </c>
      <c r="J902" s="22">
        <f>+Tabla1[[#This Row],[FECHA ENTRADA]]</f>
        <v>45697</v>
      </c>
      <c r="K902" s="22">
        <v>45705</v>
      </c>
      <c r="L902" s="23">
        <f>_xlfn.DAYS(Tabla1[[#This Row],[FECHA FIN ]],Tabla1[[#This Row],[FECHA INICIO]])</f>
        <v>8</v>
      </c>
      <c r="M902" s="12"/>
      <c r="N902" s="20">
        <v>575</v>
      </c>
      <c r="O902" s="24">
        <f>(Tabla1[[#This Row],[COSTO FIJO ]]/30)*Tabla1[[#This Row],[TOTAL DIAS PROYECTO]]+(Tabla1[[#This Row],[COSTO TEMPORAL]])</f>
        <v>153.33333333333334</v>
      </c>
      <c r="P902" s="12"/>
      <c r="Q902" s="12"/>
      <c r="R902" s="12">
        <f>+Tabla1[[#This Row],[COSTO TOTAL ALOJAMIENTO]]+Tabla1[[#This Row],[COSTO TOTAL COCHE]]</f>
        <v>153.33333333333334</v>
      </c>
      <c r="S902" s="2"/>
      <c r="T902" s="2" t="s">
        <v>35</v>
      </c>
      <c r="U902" s="14">
        <v>45697</v>
      </c>
      <c r="V902" s="79"/>
      <c r="W902" s="26"/>
      <c r="X902" s="2">
        <v>5</v>
      </c>
      <c r="Y902" s="11" t="s">
        <v>1573</v>
      </c>
      <c r="Z902" s="2" t="s">
        <v>36</v>
      </c>
      <c r="AA902" s="13">
        <v>-0.37739</v>
      </c>
      <c r="AB902" s="13" t="s">
        <v>10372</v>
      </c>
    </row>
    <row r="903" spans="1:28" ht="15" customHeight="1">
      <c r="A903" s="2" t="s">
        <v>8677</v>
      </c>
      <c r="B903" s="2" t="s">
        <v>28</v>
      </c>
      <c r="C903" s="11" t="s">
        <v>250</v>
      </c>
      <c r="D903" s="2" t="s">
        <v>30</v>
      </c>
      <c r="E903" s="2" t="s">
        <v>415</v>
      </c>
      <c r="F903" s="11"/>
      <c r="G903" s="49"/>
      <c r="H903" s="2" t="s">
        <v>2214</v>
      </c>
      <c r="I903" s="12" t="s">
        <v>490</v>
      </c>
      <c r="J903" s="22">
        <f>+Tabla1[[#This Row],[FECHA ENTRADA]]</f>
        <v>45705</v>
      </c>
      <c r="K903" s="8">
        <v>45783</v>
      </c>
      <c r="L903" s="23">
        <f>_xlfn.DAYS(Tabla1[[#This Row],[FECHA FIN ]],Tabla1[[#This Row],[FECHA INICIO]])</f>
        <v>78</v>
      </c>
      <c r="M903" s="12"/>
      <c r="N903" s="12">
        <v>300</v>
      </c>
      <c r="O903" s="24">
        <f>(Tabla1[[#This Row],[COSTO FIJO ]]/30)*Tabla1[[#This Row],[TOTAL DIAS PROYECTO]]+(Tabla1[[#This Row],[COSTO TEMPORAL]])</f>
        <v>780</v>
      </c>
      <c r="P903" s="12"/>
      <c r="Q903" s="12"/>
      <c r="R903" s="12">
        <f>+Tabla1[[#This Row],[COSTO TOTAL ALOJAMIENTO]]+Tabla1[[#This Row],[COSTO TOTAL COCHE]]</f>
        <v>780</v>
      </c>
      <c r="S903" s="2"/>
      <c r="T903" s="2" t="s">
        <v>58</v>
      </c>
      <c r="U903" s="14">
        <v>45705</v>
      </c>
      <c r="V903" s="25"/>
      <c r="W903" s="26"/>
      <c r="X903" s="2"/>
      <c r="Y903" s="11"/>
      <c r="Z903" s="2" t="s">
        <v>36</v>
      </c>
      <c r="AA903" s="13">
        <v>-0.37739</v>
      </c>
      <c r="AB903" s="13" t="s">
        <v>10372</v>
      </c>
    </row>
    <row r="904" spans="1:28">
      <c r="A904" s="2" t="s">
        <v>9008</v>
      </c>
      <c r="B904" s="2" t="s">
        <v>368</v>
      </c>
      <c r="C904" s="11" t="s">
        <v>1682</v>
      </c>
      <c r="D904" s="2" t="s">
        <v>30</v>
      </c>
      <c r="E904" s="2" t="s">
        <v>985</v>
      </c>
      <c r="F904" s="11"/>
      <c r="G904" s="21"/>
      <c r="H904" s="2" t="s">
        <v>1683</v>
      </c>
      <c r="I904" s="12" t="s">
        <v>989</v>
      </c>
      <c r="J904" s="41">
        <f>+Tabla1[[#This Row],[FECHA ENTRADA]]</f>
        <v>45776</v>
      </c>
      <c r="K904" s="41">
        <v>45783</v>
      </c>
      <c r="L904" s="23">
        <f>_xlfn.DAYS(Tabla1[[#This Row],[FECHA FIN ]],Tabla1[[#This Row],[FECHA INICIO]])</f>
        <v>7</v>
      </c>
      <c r="M904" s="12"/>
      <c r="N904" s="12"/>
      <c r="O904" s="28">
        <f>(Tabla1[[#This Row],[COSTO FIJO ]]/30)*Tabla1[[#This Row],[TOTAL DIAS PROYECTO]]+(Tabla1[[#This Row],[COSTO TEMPORAL]])</f>
        <v>0</v>
      </c>
      <c r="P904" s="12"/>
      <c r="Q904" s="12">
        <f>+(Tabla1[[#This Row],[COSTO COCHE]]/30)*Tabla1[[#This Row],[TOTAL DIAS PROYECTO]]</f>
        <v>0</v>
      </c>
      <c r="R904" s="12">
        <f>+Tabla1[[#This Row],[COSTO TOTAL ALOJAMIENTO]]+Tabla1[[#This Row],[COSTO TOTAL COCHE]]</f>
        <v>0</v>
      </c>
      <c r="S904" s="2"/>
      <c r="T904" s="14" t="s">
        <v>58</v>
      </c>
      <c r="U904" s="14">
        <v>45776</v>
      </c>
      <c r="V904" s="75"/>
      <c r="W904" s="2"/>
      <c r="X904" s="2"/>
      <c r="Y904" s="11" t="s">
        <v>2215</v>
      </c>
      <c r="Z904" s="2" t="s">
        <v>36</v>
      </c>
      <c r="AA904" s="13" t="s">
        <v>10407</v>
      </c>
      <c r="AB904" s="13" t="s">
        <v>10408</v>
      </c>
    </row>
    <row r="905" spans="1:28" ht="15" customHeight="1">
      <c r="A905" s="2" t="s">
        <v>8875</v>
      </c>
      <c r="B905" s="2" t="s">
        <v>28</v>
      </c>
      <c r="C905" s="31" t="s">
        <v>1125</v>
      </c>
      <c r="D905" s="2" t="s">
        <v>30</v>
      </c>
      <c r="E905" s="2" t="s">
        <v>648</v>
      </c>
      <c r="F905" s="11" t="s">
        <v>1544</v>
      </c>
      <c r="G905" s="11" t="s">
        <v>1545</v>
      </c>
      <c r="H905" s="2" t="s">
        <v>2216</v>
      </c>
      <c r="I905" s="12" t="s">
        <v>96</v>
      </c>
      <c r="J905" s="41">
        <f>+Tabla1[[#This Row],[FECHA ENTRADA]]</f>
        <v>45679</v>
      </c>
      <c r="K905" s="22">
        <v>45915</v>
      </c>
      <c r="L905" s="42">
        <f>_xlfn.DAYS(Tabla1[[#This Row],[FECHA FIN ]],Tabla1[[#This Row],[FECHA INICIO]])</f>
        <v>236</v>
      </c>
      <c r="M905" s="12"/>
      <c r="N905" s="12">
        <v>183.33333333333334</v>
      </c>
      <c r="O905" s="28">
        <f>(Tabla1[[#This Row],[COSTO FIJO ]]/30)*Tabla1[[#This Row],[TOTAL DIAS PROYECTO]]+(Tabla1[[#This Row],[COSTO TEMPORAL]])</f>
        <v>1442.2222222222224</v>
      </c>
      <c r="P905" s="12"/>
      <c r="Q905" s="12">
        <f>+(Tabla1[[#This Row],[COSTO COCHE]]/30)*Tabla1[[#This Row],[TOTAL DIAS PROYECTO]]</f>
        <v>0</v>
      </c>
      <c r="R905" s="12">
        <f>+Tabla1[[#This Row],[COSTO TOTAL ALOJAMIENTO]]+Tabla1[[#This Row],[COSTO TOTAL COCHE]]</f>
        <v>1442.2222222222224</v>
      </c>
      <c r="S905" s="2"/>
      <c r="T905" s="2" t="s">
        <v>35</v>
      </c>
      <c r="U905" s="14">
        <v>45679</v>
      </c>
      <c r="V905" s="79"/>
      <c r="W905" s="26">
        <v>550</v>
      </c>
      <c r="X905" s="2">
        <v>1</v>
      </c>
      <c r="Y905" s="11" t="s">
        <v>2217</v>
      </c>
      <c r="Z905" s="2" t="s">
        <v>36</v>
      </c>
      <c r="AA905" s="13" t="s">
        <v>10387</v>
      </c>
      <c r="AB905" s="13" t="s">
        <v>10388</v>
      </c>
    </row>
    <row r="906" spans="1:28" ht="15" customHeight="1">
      <c r="A906" s="117" t="s">
        <v>9148</v>
      </c>
      <c r="B906" s="117" t="s">
        <v>711</v>
      </c>
      <c r="C906" s="118" t="s">
        <v>2218</v>
      </c>
      <c r="D906" s="117" t="s">
        <v>99</v>
      </c>
      <c r="E906" s="117" t="s">
        <v>648</v>
      </c>
      <c r="F906" s="11" t="s">
        <v>2219</v>
      </c>
      <c r="G906" s="68" t="s">
        <v>2220</v>
      </c>
      <c r="H906" s="117" t="s">
        <v>2221</v>
      </c>
      <c r="I906" s="119" t="s">
        <v>96</v>
      </c>
      <c r="J906" s="120">
        <f>+Tabla1[[#This Row],[FECHA ENTRADA]]</f>
        <v>45963</v>
      </c>
      <c r="K906" s="120">
        <v>45968</v>
      </c>
      <c r="L906" s="122">
        <f>_xlfn.DAYS(Tabla1[[#This Row],[FECHA FIN ]],Tabla1[[#This Row],[FECHA INICIO]])</f>
        <v>5</v>
      </c>
      <c r="M906" s="119">
        <v>86.666666666666671</v>
      </c>
      <c r="N906" s="123"/>
      <c r="O906" s="123">
        <f>(Tabla1[[#This Row],[COSTO FIJO ]]/30)*Tabla1[[#This Row],[TOTAL DIAS PROYECTO]]+(Tabla1[[#This Row],[COSTO TEMPORAL]])</f>
        <v>86.666666666666671</v>
      </c>
      <c r="P906" s="119"/>
      <c r="Q906" s="119">
        <f>+(Tabla1[[#This Row],[COSTO COCHE]]/30)*Tabla1[[#This Row],[TOTAL DIAS PROYECTO]]</f>
        <v>0</v>
      </c>
      <c r="R906" s="119">
        <f>+Tabla1[[#This Row],[COSTO TOTAL ALOJAMIENTO]]+Tabla1[[#This Row],[COSTO TOTAL COCHE]]</f>
        <v>86.666666666666671</v>
      </c>
      <c r="S906" s="117"/>
      <c r="T906" s="124" t="s">
        <v>44</v>
      </c>
      <c r="U906" s="124">
        <v>45963</v>
      </c>
      <c r="V906" s="159">
        <v>45968</v>
      </c>
      <c r="W906" s="126"/>
      <c r="X906" s="117"/>
      <c r="Y906" s="118" t="s">
        <v>2222</v>
      </c>
      <c r="Z906" s="117" t="s">
        <v>36</v>
      </c>
      <c r="AA906" s="127" t="s">
        <v>10387</v>
      </c>
      <c r="AB906" s="127" t="s">
        <v>10388</v>
      </c>
    </row>
    <row r="907" spans="1:28" ht="15" customHeight="1">
      <c r="A907" s="2" t="s">
        <v>9149</v>
      </c>
      <c r="B907" s="2" t="s">
        <v>28</v>
      </c>
      <c r="C907" s="11" t="s">
        <v>2223</v>
      </c>
      <c r="D907" s="2" t="s">
        <v>30</v>
      </c>
      <c r="E907" s="2" t="s">
        <v>370</v>
      </c>
      <c r="F907" s="11" t="s">
        <v>1106</v>
      </c>
      <c r="G907" s="46"/>
      <c r="H907" s="2" t="s">
        <v>1107</v>
      </c>
      <c r="I907" s="12" t="s">
        <v>883</v>
      </c>
      <c r="J907" s="41">
        <f>+Tabla1[[#This Row],[FECHA ENTRADA]]</f>
        <v>45622</v>
      </c>
      <c r="K907" s="22">
        <v>45785</v>
      </c>
      <c r="L907" s="42">
        <f>_xlfn.DAYS(Tabla1[[#This Row],[FECHA FIN ]],Tabla1[[#This Row],[FECHA INICIO]])</f>
        <v>163</v>
      </c>
      <c r="M907" s="12"/>
      <c r="N907" s="12"/>
      <c r="O907" s="28">
        <f>(Tabla1[[#This Row],[COSTO FIJO ]]/30)*Tabla1[[#This Row],[TOTAL DIAS PROYECTO]]+(Tabla1[[#This Row],[COSTO TEMPORAL]])</f>
        <v>0</v>
      </c>
      <c r="P907" s="12"/>
      <c r="Q907" s="12">
        <f>+(Tabla1[[#This Row],[COSTO COCHE]]/30)*Tabla1[[#This Row],[TOTAL DIAS PROYECTO]]</f>
        <v>0</v>
      </c>
      <c r="R907" s="12">
        <f>+Tabla1[[#This Row],[COSTO TOTAL ALOJAMIENTO]]+Tabla1[[#This Row],[COSTO TOTAL COCHE]]</f>
        <v>0</v>
      </c>
      <c r="S907" s="2"/>
      <c r="T907" s="2" t="s">
        <v>8</v>
      </c>
      <c r="U907" s="14">
        <v>45622</v>
      </c>
      <c r="V907" s="43"/>
      <c r="W907" s="26"/>
      <c r="X907" s="2"/>
      <c r="Y907" s="11"/>
      <c r="Z907" s="2" t="s">
        <v>36</v>
      </c>
      <c r="AA907" s="13" t="s">
        <v>10368</v>
      </c>
      <c r="AB907" s="13" t="s">
        <v>10369</v>
      </c>
    </row>
    <row r="908" spans="1:28">
      <c r="A908" s="2" t="s">
        <v>9094</v>
      </c>
      <c r="B908" s="10" t="s">
        <v>711</v>
      </c>
      <c r="C908" s="31" t="s">
        <v>1992</v>
      </c>
      <c r="D908" s="2" t="s">
        <v>99</v>
      </c>
      <c r="E908" s="2" t="s">
        <v>734</v>
      </c>
      <c r="F908" s="11" t="s">
        <v>735</v>
      </c>
      <c r="G908" s="67" t="s">
        <v>736</v>
      </c>
      <c r="H908" s="2" t="s">
        <v>2224</v>
      </c>
      <c r="I908" s="12" t="s">
        <v>1994</v>
      </c>
      <c r="J908" s="22">
        <f>+Tabla1[[#This Row],[FECHA ENTRADA]]</f>
        <v>45761</v>
      </c>
      <c r="K908" s="22">
        <v>45786</v>
      </c>
      <c r="L908" s="23">
        <f>_xlfn.DAYS(Tabla1[[#This Row],[FECHA FIN ]],Tabla1[[#This Row],[FECHA INICIO]])</f>
        <v>25</v>
      </c>
      <c r="M908" s="12"/>
      <c r="N908" s="12">
        <v>260</v>
      </c>
      <c r="O908" s="24">
        <f>(Tabla1[[#This Row],[COSTO FIJO ]]/30)*Tabla1[[#This Row],[TOTAL DIAS PROYECTO]]+(Tabla1[[#This Row],[COSTO TEMPORAL]])</f>
        <v>216.66666666666666</v>
      </c>
      <c r="P908" s="12"/>
      <c r="Q908" s="12">
        <f>+(Tabla1[[#This Row],[COSTO COCHE]]/30)*Tabla1[[#This Row],[TOTAL DIAS PROYECTO]]</f>
        <v>0</v>
      </c>
      <c r="R908" s="12">
        <f>+Tabla1[[#This Row],[COSTO TOTAL ALOJAMIENTO]]+Tabla1[[#This Row],[COSTO TOTAL COCHE]]</f>
        <v>216.66666666666666</v>
      </c>
      <c r="S908" s="2"/>
      <c r="T908" s="2" t="s">
        <v>35</v>
      </c>
      <c r="U908" s="14">
        <v>45761</v>
      </c>
      <c r="V908" s="25"/>
      <c r="W908" s="26"/>
      <c r="X908" s="2">
        <v>1</v>
      </c>
      <c r="Y908" s="11"/>
      <c r="Z908" s="2" t="s">
        <v>36</v>
      </c>
      <c r="AA908" s="13" t="s">
        <v>10396</v>
      </c>
      <c r="AB908" s="13" t="s">
        <v>10397</v>
      </c>
    </row>
    <row r="909" spans="1:28" ht="15" customHeight="1">
      <c r="A909" s="2" t="s">
        <v>9008</v>
      </c>
      <c r="B909" s="2" t="s">
        <v>368</v>
      </c>
      <c r="C909" s="11" t="s">
        <v>1682</v>
      </c>
      <c r="D909" s="2" t="s">
        <v>99</v>
      </c>
      <c r="E909" s="2" t="s">
        <v>1987</v>
      </c>
      <c r="F909" s="11" t="s">
        <v>2225</v>
      </c>
      <c r="G909" s="21" t="s">
        <v>2226</v>
      </c>
      <c r="H909" s="2" t="s">
        <v>2115</v>
      </c>
      <c r="I909" s="12" t="s">
        <v>989</v>
      </c>
      <c r="J909" s="41">
        <f>+Tabla1[[#This Row],[FECHA ENTRADA]]</f>
        <v>45783</v>
      </c>
      <c r="K909" s="8">
        <v>45786</v>
      </c>
      <c r="L909" s="42">
        <f>_xlfn.DAYS(Tabla1[[#This Row],[FECHA FIN ]],Tabla1[[#This Row],[FECHA INICIO]])</f>
        <v>3</v>
      </c>
      <c r="M909" s="12"/>
      <c r="N909" s="28"/>
      <c r="O909" s="28">
        <f>(Tabla1[[#This Row],[COSTO FIJO ]]/30)*Tabla1[[#This Row],[TOTAL DIAS PROYECTO]]+(Tabla1[[#This Row],[COSTO TEMPORAL]])</f>
        <v>0</v>
      </c>
      <c r="P909" s="12"/>
      <c r="Q909" s="12">
        <f>+(Tabla1[[#This Row],[COSTO COCHE]]/30)*Tabla1[[#This Row],[TOTAL DIAS PROYECTO]]</f>
        <v>0</v>
      </c>
      <c r="R909" s="12">
        <f>+Tabla1[[#This Row],[COSTO TOTAL ALOJAMIENTO]]+Tabla1[[#This Row],[COSTO TOTAL COCHE]]</f>
        <v>0</v>
      </c>
      <c r="S909" s="2" t="s">
        <v>84</v>
      </c>
      <c r="T909" s="2" t="s">
        <v>44</v>
      </c>
      <c r="U909" s="14">
        <v>45783</v>
      </c>
      <c r="V909" s="25">
        <v>45786</v>
      </c>
      <c r="W909" s="2"/>
      <c r="X909" s="2"/>
      <c r="Y909" s="11"/>
      <c r="Z909" s="2" t="s">
        <v>36</v>
      </c>
      <c r="AA909" s="13" t="s">
        <v>10435</v>
      </c>
      <c r="AB909" s="13">
        <v>42.136150000000001</v>
      </c>
    </row>
    <row r="910" spans="1:28" ht="15" customHeight="1">
      <c r="A910" s="2" t="s">
        <v>9021</v>
      </c>
      <c r="B910" s="2" t="s">
        <v>368</v>
      </c>
      <c r="C910" s="11" t="s">
        <v>1715</v>
      </c>
      <c r="D910" s="2" t="s">
        <v>99</v>
      </c>
      <c r="E910" s="2" t="s">
        <v>1987</v>
      </c>
      <c r="F910" s="11" t="s">
        <v>2225</v>
      </c>
      <c r="G910" s="21" t="s">
        <v>2226</v>
      </c>
      <c r="H910" s="2" t="s">
        <v>2227</v>
      </c>
      <c r="I910" s="10" t="s">
        <v>2228</v>
      </c>
      <c r="J910" s="22">
        <f>+Tabla1[[#This Row],[FECHA ENTRADA]]</f>
        <v>45768</v>
      </c>
      <c r="K910" s="8">
        <v>45786</v>
      </c>
      <c r="L910" s="23">
        <f>_xlfn.DAYS(Tabla1[[#This Row],[FECHA FIN ]],Tabla1[[#This Row],[FECHA INICIO]])</f>
        <v>18</v>
      </c>
      <c r="M910" s="20">
        <f>182.59/2</f>
        <v>91.295000000000002</v>
      </c>
      <c r="N910" s="24"/>
      <c r="O910" s="24">
        <f>(Tabla1[[#This Row],[COSTO FIJO ]]/30)*Tabla1[[#This Row],[TOTAL DIAS PROYECTO]]+(Tabla1[[#This Row],[COSTO TEMPORAL]])</f>
        <v>91.295000000000002</v>
      </c>
      <c r="P910" s="12"/>
      <c r="Q910" s="12">
        <f>+(Tabla1[[#This Row],[COSTO COCHE]]/30)*Tabla1[[#This Row],[TOTAL DIAS PROYECTO]]</f>
        <v>0</v>
      </c>
      <c r="R910" s="12">
        <f>+Tabla1[[#This Row],[COSTO TOTAL ALOJAMIENTO]]+Tabla1[[#This Row],[COSTO TOTAL COCHE]]</f>
        <v>91.295000000000002</v>
      </c>
      <c r="S910" s="2" t="s">
        <v>84</v>
      </c>
      <c r="T910" s="2" t="s">
        <v>44</v>
      </c>
      <c r="U910" s="14">
        <v>45768</v>
      </c>
      <c r="V910" s="25">
        <v>45786</v>
      </c>
      <c r="W910" s="26"/>
      <c r="X910" s="2"/>
      <c r="Y910" s="11"/>
      <c r="Z910" s="2" t="s">
        <v>36</v>
      </c>
      <c r="AA910" s="13" t="s">
        <v>10435</v>
      </c>
      <c r="AB910" s="13">
        <v>42.136150000000001</v>
      </c>
    </row>
    <row r="911" spans="1:28" ht="15" customHeight="1">
      <c r="A911" s="2" t="s">
        <v>8938</v>
      </c>
      <c r="B911" s="2" t="s">
        <v>368</v>
      </c>
      <c r="C911" s="11" t="s">
        <v>1362</v>
      </c>
      <c r="D911" s="2" t="s">
        <v>99</v>
      </c>
      <c r="E911" s="2" t="s">
        <v>1404</v>
      </c>
      <c r="F911" s="11" t="s">
        <v>2049</v>
      </c>
      <c r="G911" s="21" t="s">
        <v>2050</v>
      </c>
      <c r="H911" s="2" t="s">
        <v>2051</v>
      </c>
      <c r="I911" s="12" t="s">
        <v>1392</v>
      </c>
      <c r="J911" s="22">
        <f>+Tabla1[[#This Row],[FECHA ENTRADA]]</f>
        <v>45769</v>
      </c>
      <c r="K911" s="8">
        <v>45786</v>
      </c>
      <c r="L911" s="23">
        <f>_xlfn.DAYS(Tabla1[[#This Row],[FECHA FIN ]],Tabla1[[#This Row],[FECHA INICIO]])</f>
        <v>17</v>
      </c>
      <c r="M911" s="12"/>
      <c r="N911" s="12"/>
      <c r="O911" s="24">
        <f>(Tabla1[[#This Row],[COSTO FIJO ]]/30)*Tabla1[[#This Row],[TOTAL DIAS PROYECTO]]+(Tabla1[[#This Row],[COSTO TEMPORAL]])</f>
        <v>0</v>
      </c>
      <c r="P911" s="12"/>
      <c r="Q911" s="12">
        <f>+(Tabla1[[#This Row],[COSTO COCHE]]/30)*Tabla1[[#This Row],[TOTAL DIAS PROYECTO]]</f>
        <v>0</v>
      </c>
      <c r="R911" s="12">
        <f>+Tabla1[[#This Row],[COSTO TOTAL ALOJAMIENTO]]+Tabla1[[#This Row],[COSTO TOTAL COCHE]]</f>
        <v>0</v>
      </c>
      <c r="S911" s="2"/>
      <c r="T911" s="14" t="s">
        <v>528</v>
      </c>
      <c r="U911" s="14">
        <v>45769</v>
      </c>
      <c r="V911" s="14">
        <v>45799</v>
      </c>
      <c r="W911" s="2"/>
      <c r="X911" s="2"/>
      <c r="Y911" s="11" t="s">
        <v>2229</v>
      </c>
      <c r="Z911" s="2" t="s">
        <v>36</v>
      </c>
      <c r="AA911" s="13" t="s">
        <v>10418</v>
      </c>
      <c r="AB911" s="13" t="s">
        <v>10419</v>
      </c>
    </row>
    <row r="912" spans="1:28" ht="15" customHeight="1">
      <c r="A912" s="2" t="s">
        <v>9019</v>
      </c>
      <c r="B912" s="2" t="s">
        <v>368</v>
      </c>
      <c r="C912" s="31" t="s">
        <v>1710</v>
      </c>
      <c r="D912" s="2" t="s">
        <v>99</v>
      </c>
      <c r="E912" s="2" t="s">
        <v>1404</v>
      </c>
      <c r="F912" s="11" t="s">
        <v>2049</v>
      </c>
      <c r="G912" s="21" t="s">
        <v>2050</v>
      </c>
      <c r="H912" s="2" t="s">
        <v>2051</v>
      </c>
      <c r="I912" s="12" t="s">
        <v>1392</v>
      </c>
      <c r="J912" s="22">
        <f>+Tabla1[[#This Row],[FECHA ENTRADA]]</f>
        <v>45769</v>
      </c>
      <c r="K912" s="22">
        <v>45788</v>
      </c>
      <c r="L912" s="23">
        <f>_xlfn.DAYS(Tabla1[[#This Row],[FECHA FIN ]],Tabla1[[#This Row],[FECHA INICIO]])</f>
        <v>19</v>
      </c>
      <c r="M912" s="12"/>
      <c r="N912" s="12">
        <v>450</v>
      </c>
      <c r="O912" s="24">
        <f>(Tabla1[[#This Row],[COSTO FIJO ]]/30)*Tabla1[[#This Row],[TOTAL DIAS PROYECTO]]+(Tabla1[[#This Row],[COSTO TEMPORAL]])</f>
        <v>285</v>
      </c>
      <c r="P912" s="12"/>
      <c r="Q912" s="12">
        <f>+(Tabla1[[#This Row],[COSTO COCHE]]/30)*Tabla1[[#This Row],[TOTAL DIAS PROYECTO]]</f>
        <v>0</v>
      </c>
      <c r="R912" s="12">
        <f>+Tabla1[[#This Row],[COSTO TOTAL ALOJAMIENTO]]+Tabla1[[#This Row],[COSTO TOTAL COCHE]]</f>
        <v>285</v>
      </c>
      <c r="S912" s="2"/>
      <c r="T912" s="14" t="s">
        <v>528</v>
      </c>
      <c r="U912" s="14">
        <v>45769</v>
      </c>
      <c r="V912" s="14">
        <v>45799</v>
      </c>
      <c r="W912" s="2"/>
      <c r="X912" s="2"/>
      <c r="Y912" s="11" t="s">
        <v>2229</v>
      </c>
      <c r="Z912" s="2" t="s">
        <v>36</v>
      </c>
      <c r="AA912" s="13" t="s">
        <v>10418</v>
      </c>
      <c r="AB912" s="13" t="s">
        <v>10419</v>
      </c>
    </row>
    <row r="913" spans="1:31">
      <c r="A913" s="2" t="s">
        <v>9150</v>
      </c>
      <c r="B913" s="2" t="s">
        <v>368</v>
      </c>
      <c r="C913" s="11" t="s">
        <v>2230</v>
      </c>
      <c r="D913" s="2" t="s">
        <v>99</v>
      </c>
      <c r="E913" s="10" t="s">
        <v>2231</v>
      </c>
      <c r="F913" s="11" t="s">
        <v>2232</v>
      </c>
      <c r="G913" s="49"/>
      <c r="H913" s="2" t="s">
        <v>2233</v>
      </c>
      <c r="I913" s="12" t="s">
        <v>637</v>
      </c>
      <c r="J913" s="22">
        <f>+Tabla1[[#This Row],[FECHA ENTRADA]]</f>
        <v>45783</v>
      </c>
      <c r="K913" s="22">
        <v>45788</v>
      </c>
      <c r="L913" s="23">
        <f>_xlfn.DAYS(Tabla1[[#This Row],[FECHA FIN ]],Tabla1[[#This Row],[FECHA INICIO]])</f>
        <v>5</v>
      </c>
      <c r="M913" s="12"/>
      <c r="N913" s="24"/>
      <c r="O913" s="24">
        <f>(Tabla1[[#This Row],[COSTO FIJO ]]/30)*Tabla1[[#This Row],[TOTAL DIAS PROYECTO]]+(Tabla1[[#This Row],[COSTO TEMPORAL]])</f>
        <v>0</v>
      </c>
      <c r="P913" s="12"/>
      <c r="Q913" s="12">
        <f>+(Tabla1[[#This Row],[COSTO COCHE]]/30)*Tabla1[[#This Row],[TOTAL DIAS PROYECTO]]</f>
        <v>0</v>
      </c>
      <c r="R913" s="12">
        <f>+Tabla1[[#This Row],[COSTO TOTAL ALOJAMIENTO]]+Tabla1[[#This Row],[COSTO TOTAL COCHE]]</f>
        <v>0</v>
      </c>
      <c r="S913" s="2"/>
      <c r="T913" s="2" t="s">
        <v>35</v>
      </c>
      <c r="U913" s="14">
        <v>45783</v>
      </c>
      <c r="V913" s="25"/>
      <c r="W913" s="26"/>
      <c r="X913" s="2"/>
      <c r="Y913" s="11" t="s">
        <v>2234</v>
      </c>
      <c r="Z913" s="2" t="s">
        <v>36</v>
      </c>
      <c r="AA913" s="13">
        <v>-8.6443499999999993</v>
      </c>
      <c r="AB913" s="23">
        <v>42.430999999999997</v>
      </c>
    </row>
    <row r="914" spans="1:31" ht="15" customHeight="1">
      <c r="A914" s="2" t="s">
        <v>9151</v>
      </c>
      <c r="B914" s="2" t="s">
        <v>28</v>
      </c>
      <c r="C914" s="11" t="s">
        <v>2235</v>
      </c>
      <c r="D914" s="2" t="s">
        <v>30</v>
      </c>
      <c r="E914" s="2" t="s">
        <v>380</v>
      </c>
      <c r="F914" s="11" t="s">
        <v>2236</v>
      </c>
      <c r="G914" s="30" t="s">
        <v>2237</v>
      </c>
      <c r="H914" s="2" t="s">
        <v>1890</v>
      </c>
      <c r="I914" s="12" t="s">
        <v>800</v>
      </c>
      <c r="J914" s="8">
        <f>+Tabla1[[#This Row],[FECHA ENTRADA]]</f>
        <v>45398</v>
      </c>
      <c r="K914" s="22">
        <v>45689</v>
      </c>
      <c r="L914" s="13">
        <f>_xlfn.DAYS(Tabla1[[#This Row],[FECHA FIN ]],Tabla1[[#This Row],[FECHA INICIO]])</f>
        <v>291</v>
      </c>
      <c r="M914" s="12"/>
      <c r="N914" s="12"/>
      <c r="O914" s="12">
        <f>(Tabla1[[#This Row],[COSTO FIJO ]]/30)*Tabla1[[#This Row],[TOTAL DIAS PROYECTO]]+(Tabla1[[#This Row],[COSTO TEMPORAL]])</f>
        <v>0</v>
      </c>
      <c r="P914" s="12"/>
      <c r="Q914" s="12">
        <f>+(Tabla1[[#This Row],[COSTO COCHE]]/30)*Tabla1[[#This Row],[TOTAL DIAS PROYECTO]]</f>
        <v>0</v>
      </c>
      <c r="R914" s="12">
        <f>+Tabla1[[#This Row],[COSTO TOTAL ALOJAMIENTO]]+Tabla1[[#This Row],[COSTO TOTAL COCHE]]</f>
        <v>0</v>
      </c>
      <c r="S914" s="2" t="s">
        <v>84</v>
      </c>
      <c r="T914" s="2" t="s">
        <v>35</v>
      </c>
      <c r="U914" s="14">
        <v>45398</v>
      </c>
      <c r="V914" s="14"/>
      <c r="W914" s="26"/>
      <c r="X914" s="16">
        <v>1</v>
      </c>
      <c r="Y914" s="11" t="s">
        <v>2238</v>
      </c>
      <c r="Z914" s="2" t="s">
        <v>36</v>
      </c>
      <c r="AA914" s="13" t="s">
        <v>10370</v>
      </c>
      <c r="AB914" s="13" t="s">
        <v>10371</v>
      </c>
    </row>
    <row r="915" spans="1:31" ht="15" customHeight="1">
      <c r="A915" s="2" t="s">
        <v>9006</v>
      </c>
      <c r="B915" s="2" t="s">
        <v>368</v>
      </c>
      <c r="C915" s="11" t="s">
        <v>1675</v>
      </c>
      <c r="D915" s="2" t="s">
        <v>30</v>
      </c>
      <c r="E915" s="2" t="s">
        <v>151</v>
      </c>
      <c r="F915" s="11"/>
      <c r="G915" s="46"/>
      <c r="H915" s="2" t="s">
        <v>2025</v>
      </c>
      <c r="I915" s="12" t="s">
        <v>1994</v>
      </c>
      <c r="J915" s="41">
        <f>+Tabla1[[#This Row],[FECHA ENTRADA]]</f>
        <v>45725</v>
      </c>
      <c r="K915" s="22">
        <v>45791</v>
      </c>
      <c r="L915" s="42">
        <f>_xlfn.DAYS(Tabla1[[#This Row],[FECHA FIN ]],Tabla1[[#This Row],[FECHA INICIO]])</f>
        <v>66</v>
      </c>
      <c r="M915" s="12"/>
      <c r="N915" s="12">
        <v>300</v>
      </c>
      <c r="O915" s="28">
        <f>(Tabla1[[#This Row],[COSTO FIJO ]]/30)*Tabla1[[#This Row],[TOTAL DIAS PROYECTO]]+(Tabla1[[#This Row],[COSTO TEMPORAL]])</f>
        <v>660</v>
      </c>
      <c r="P915" s="12"/>
      <c r="Q915" s="12">
        <f>+(Tabla1[[#This Row],[COSTO COCHE]]/30)*Tabla1[[#This Row],[TOTAL DIAS PROYECTO]]</f>
        <v>0</v>
      </c>
      <c r="R915" s="12">
        <f>+Tabla1[[#This Row],[COSTO TOTAL ALOJAMIENTO]]+Tabla1[[#This Row],[COSTO TOTAL COCHE]]</f>
        <v>660</v>
      </c>
      <c r="S915" s="2"/>
      <c r="T915" s="2" t="s">
        <v>58</v>
      </c>
      <c r="U915" s="14">
        <v>45725</v>
      </c>
      <c r="V915" s="43"/>
      <c r="W915" s="26"/>
      <c r="X915" s="2"/>
      <c r="Y915" s="11" t="s">
        <v>1995</v>
      </c>
      <c r="Z915" s="2" t="s">
        <v>36</v>
      </c>
      <c r="AA915" s="13" t="s">
        <v>10345</v>
      </c>
      <c r="AB915" s="13" t="s">
        <v>10346</v>
      </c>
    </row>
    <row r="916" spans="1:31">
      <c r="A916" s="2" t="s">
        <v>9006</v>
      </c>
      <c r="B916" s="10" t="s">
        <v>711</v>
      </c>
      <c r="C916" s="11" t="s">
        <v>1675</v>
      </c>
      <c r="D916" s="2" t="s">
        <v>30</v>
      </c>
      <c r="E916" s="2" t="s">
        <v>151</v>
      </c>
      <c r="F916" s="11"/>
      <c r="G916" s="49"/>
      <c r="H916" s="2" t="s">
        <v>2239</v>
      </c>
      <c r="I916" s="12" t="s">
        <v>1994</v>
      </c>
      <c r="J916" s="22">
        <f>+Tabla1[[#This Row],[FECHA ENTRADA]]</f>
        <v>45761</v>
      </c>
      <c r="K916" s="22">
        <v>45791</v>
      </c>
      <c r="L916" s="23">
        <f>_xlfn.DAYS(Tabla1[[#This Row],[FECHA FIN ]],Tabla1[[#This Row],[FECHA INICIO]])</f>
        <v>30</v>
      </c>
      <c r="M916" s="12"/>
      <c r="N916" s="12">
        <v>300</v>
      </c>
      <c r="O916" s="24">
        <f>(Tabla1[[#This Row],[COSTO FIJO ]]/30)*Tabla1[[#This Row],[TOTAL DIAS PROYECTO]]+(Tabla1[[#This Row],[COSTO TEMPORAL]])</f>
        <v>300</v>
      </c>
      <c r="P916" s="12">
        <f>613.47/4</f>
        <v>153.36750000000001</v>
      </c>
      <c r="Q916" s="12">
        <f>+(Tabla1[[#This Row],[COSTO COCHE]]/30)*Tabla1[[#This Row],[TOTAL DIAS PROYECTO]]</f>
        <v>153.36750000000001</v>
      </c>
      <c r="R916" s="12">
        <f>+Tabla1[[#This Row],[COSTO TOTAL ALOJAMIENTO]]+Tabla1[[#This Row],[COSTO TOTAL COCHE]]</f>
        <v>453.36750000000001</v>
      </c>
      <c r="S916" s="2"/>
      <c r="T916" s="2" t="s">
        <v>58</v>
      </c>
      <c r="U916" s="14">
        <v>45761</v>
      </c>
      <c r="V916" s="25"/>
      <c r="W916" s="26"/>
      <c r="X916" s="2"/>
      <c r="Y916" s="160" t="s">
        <v>2240</v>
      </c>
      <c r="Z916" s="2" t="s">
        <v>36</v>
      </c>
      <c r="AA916" s="13" t="s">
        <v>10345</v>
      </c>
      <c r="AB916" s="13" t="s">
        <v>10346</v>
      </c>
    </row>
    <row r="917" spans="1:31">
      <c r="A917" s="2" t="s">
        <v>9050</v>
      </c>
      <c r="B917" s="2" t="s">
        <v>368</v>
      </c>
      <c r="C917" s="11" t="s">
        <v>1809</v>
      </c>
      <c r="D917" s="2" t="s">
        <v>99</v>
      </c>
      <c r="E917" s="2" t="s">
        <v>31</v>
      </c>
      <c r="F917" s="11" t="s">
        <v>530</v>
      </c>
      <c r="G917" s="49" t="s">
        <v>531</v>
      </c>
      <c r="H917" s="2" t="s">
        <v>2241</v>
      </c>
      <c r="I917" s="10" t="s">
        <v>412</v>
      </c>
      <c r="J917" s="22">
        <f>+Tabla1[[#This Row],[FECHA ENTRADA]]</f>
        <v>45740</v>
      </c>
      <c r="K917" s="22">
        <v>45791</v>
      </c>
      <c r="L917" s="23">
        <f>_xlfn.DAYS(Tabla1[[#This Row],[FECHA FIN ]],Tabla1[[#This Row],[FECHA INICIO]])</f>
        <v>51</v>
      </c>
      <c r="M917" s="12"/>
      <c r="N917" s="12">
        <v>187.5</v>
      </c>
      <c r="O917" s="24">
        <f>(Tabla1[[#This Row],[COSTO FIJO ]]/30)*Tabla1[[#This Row],[TOTAL DIAS PROYECTO]]+(Tabla1[[#This Row],[COSTO TEMPORAL]])</f>
        <v>318.75</v>
      </c>
      <c r="P917" s="12"/>
      <c r="Q917" s="12">
        <f>+(Tabla1[[#This Row],[COSTO COCHE]]/30)*Tabla1[[#This Row],[TOTAL DIAS PROYECTO]]</f>
        <v>0</v>
      </c>
      <c r="R917" s="12">
        <f>+Tabla1[[#This Row],[COSTO TOTAL ALOJAMIENTO]]+Tabla1[[#This Row],[COSTO TOTAL COCHE]]</f>
        <v>318.75</v>
      </c>
      <c r="S917" s="2"/>
      <c r="T917" s="2" t="s">
        <v>35</v>
      </c>
      <c r="U917" s="14">
        <v>45740</v>
      </c>
      <c r="V917" s="25"/>
      <c r="W917" s="26"/>
      <c r="X917" s="2">
        <v>1</v>
      </c>
      <c r="Y917" t="s">
        <v>2242</v>
      </c>
      <c r="Z917" s="2" t="s">
        <v>36</v>
      </c>
      <c r="AA917" s="13" t="s">
        <v>10323</v>
      </c>
      <c r="AB917" s="13" t="s">
        <v>10324</v>
      </c>
    </row>
    <row r="918" spans="1:31" ht="15" customHeight="1">
      <c r="A918" s="2" t="s">
        <v>8713</v>
      </c>
      <c r="B918" s="2" t="s">
        <v>368</v>
      </c>
      <c r="C918" s="31" t="s">
        <v>408</v>
      </c>
      <c r="D918" s="2" t="s">
        <v>30</v>
      </c>
      <c r="E918" s="2" t="s">
        <v>422</v>
      </c>
      <c r="F918" s="11" t="s">
        <v>2183</v>
      </c>
      <c r="G918" s="118" t="s">
        <v>698</v>
      </c>
      <c r="H918" s="2" t="s">
        <v>1931</v>
      </c>
      <c r="I918" s="30" t="s">
        <v>1932</v>
      </c>
      <c r="J918" s="8">
        <f>+Tabla1[[#This Row],[FECHA ENTRADA]]</f>
        <v>45513</v>
      </c>
      <c r="K918" s="8">
        <v>45944</v>
      </c>
      <c r="L918" s="13">
        <f>_xlfn.DAYS(Tabla1[[#This Row],[FECHA FIN ]],Tabla1[[#This Row],[FECHA INICIO]])</f>
        <v>431</v>
      </c>
      <c r="M918" s="12"/>
      <c r="N918" s="12">
        <v>316</v>
      </c>
      <c r="O918" s="12">
        <f>(Tabla1[[#This Row],[COSTO FIJO ]]/30)*Tabla1[[#This Row],[TOTAL DIAS PROYECTO]]+(Tabla1[[#This Row],[COSTO TEMPORAL]])</f>
        <v>4539.8666666666668</v>
      </c>
      <c r="P918" s="12">
        <v>80</v>
      </c>
      <c r="Q918" s="12">
        <f>+(Tabla1[[#This Row],[COSTO COCHE]]/30)*Tabla1[[#This Row],[TOTAL DIAS PROYECTO]]</f>
        <v>1149.3333333333333</v>
      </c>
      <c r="R918" s="12">
        <f>+Tabla1[[#This Row],[COSTO TOTAL ALOJAMIENTO]]+Tabla1[[#This Row],[COSTO TOTAL COCHE]]</f>
        <v>5689.2</v>
      </c>
      <c r="S918" s="2" t="s">
        <v>403</v>
      </c>
      <c r="T918" s="2" t="s">
        <v>35</v>
      </c>
      <c r="U918" s="14">
        <v>45513</v>
      </c>
      <c r="V918" s="14"/>
      <c r="W918" s="26">
        <v>1580</v>
      </c>
      <c r="X918" s="2">
        <v>1</v>
      </c>
      <c r="Y918" s="11" t="s">
        <v>2185</v>
      </c>
      <c r="Z918" s="2" t="s">
        <v>36</v>
      </c>
      <c r="AA918" s="13">
        <v>-326.69799999999998</v>
      </c>
      <c r="AB918" s="13" t="s">
        <v>10373</v>
      </c>
    </row>
    <row r="919" spans="1:31" ht="15" customHeight="1">
      <c r="A919" s="2" t="s">
        <v>9152</v>
      </c>
      <c r="B919" s="2" t="s">
        <v>368</v>
      </c>
      <c r="C919" s="11" t="s">
        <v>2243</v>
      </c>
      <c r="D919" s="2" t="s">
        <v>30</v>
      </c>
      <c r="E919" s="2" t="s">
        <v>422</v>
      </c>
      <c r="F919" s="11" t="s">
        <v>2183</v>
      </c>
      <c r="G919" s="11" t="s">
        <v>698</v>
      </c>
      <c r="H919" s="2" t="s">
        <v>2244</v>
      </c>
      <c r="I919" s="30" t="s">
        <v>1932</v>
      </c>
      <c r="J919" s="8">
        <f>+Tabla1[[#This Row],[FECHA ENTRADA]]</f>
        <v>45524</v>
      </c>
      <c r="K919" s="22">
        <v>45602</v>
      </c>
      <c r="L919" s="13">
        <f>_xlfn.DAYS(Tabla1[[#This Row],[FECHA FIN ]],Tabla1[[#This Row],[FECHA INICIO]])</f>
        <v>78</v>
      </c>
      <c r="M919" s="12"/>
      <c r="N919" s="12"/>
      <c r="O919" s="12">
        <f>(Tabla1[[#This Row],[COSTO FIJO ]]/30)*Tabla1[[#This Row],[TOTAL DIAS PROYECTO]]+(Tabla1[[#This Row],[COSTO TEMPORAL]])</f>
        <v>0</v>
      </c>
      <c r="P919" s="12">
        <v>80</v>
      </c>
      <c r="Q919" s="12">
        <f>+(Tabla1[[#This Row],[COSTO COCHE]]/30)*Tabla1[[#This Row],[TOTAL DIAS PROYECTO]]</f>
        <v>208</v>
      </c>
      <c r="R919" s="12">
        <f>+Tabla1[[#This Row],[COSTO TOTAL ALOJAMIENTO]]+Tabla1[[#This Row],[COSTO TOTAL COCHE]]</f>
        <v>208</v>
      </c>
      <c r="S919" s="2"/>
      <c r="T919" s="2" t="s">
        <v>35</v>
      </c>
      <c r="U919" s="14">
        <v>45524</v>
      </c>
      <c r="V919" s="14"/>
      <c r="W919" s="26"/>
      <c r="X919" s="2">
        <v>1</v>
      </c>
      <c r="Y919" s="11"/>
      <c r="Z919" s="2" t="s">
        <v>36</v>
      </c>
      <c r="AA919" s="13">
        <v>-326.69799999999998</v>
      </c>
      <c r="AB919" s="13" t="s">
        <v>10373</v>
      </c>
    </row>
    <row r="920" spans="1:31" ht="15" customHeight="1">
      <c r="A920" s="2" t="s">
        <v>9153</v>
      </c>
      <c r="B920" s="2" t="s">
        <v>28</v>
      </c>
      <c r="C920" s="11" t="s">
        <v>2245</v>
      </c>
      <c r="D920" s="2" t="s">
        <v>30</v>
      </c>
      <c r="E920" s="2" t="s">
        <v>985</v>
      </c>
      <c r="F920" s="11" t="s">
        <v>2213</v>
      </c>
      <c r="G920" s="46" t="s">
        <v>2133</v>
      </c>
      <c r="H920" s="2" t="s">
        <v>2134</v>
      </c>
      <c r="I920" s="12" t="s">
        <v>249</v>
      </c>
      <c r="J920" s="41">
        <f>+Tabla1[[#This Row],[FECHA ENTRADA]]</f>
        <v>45747</v>
      </c>
      <c r="K920" s="22">
        <v>45821</v>
      </c>
      <c r="L920" s="42">
        <f>_xlfn.DAYS(Tabla1[[#This Row],[FECHA FIN ]],Tabla1[[#This Row],[FECHA INICIO]])</f>
        <v>74</v>
      </c>
      <c r="M920" s="12"/>
      <c r="N920" s="12"/>
      <c r="O920" s="28">
        <f>(Tabla1[[#This Row],[COSTO FIJO ]]/30)*Tabla1[[#This Row],[TOTAL DIAS PROYECTO]]+(Tabla1[[#This Row],[COSTO TEMPORAL]])</f>
        <v>0</v>
      </c>
      <c r="P920" s="12"/>
      <c r="Q920" s="12">
        <f>+(Tabla1[[#This Row],[COSTO COCHE]]/30)*Tabla1[[#This Row],[TOTAL DIAS PROYECTO]]</f>
        <v>0</v>
      </c>
      <c r="R920" s="12">
        <f>+Tabla1[[#This Row],[COSTO TOTAL ALOJAMIENTO]]+Tabla1[[#This Row],[COSTO TOTAL COCHE]]</f>
        <v>0</v>
      </c>
      <c r="S920" s="2" t="s">
        <v>84</v>
      </c>
      <c r="T920" s="2" t="s">
        <v>528</v>
      </c>
      <c r="U920" s="14">
        <v>45747</v>
      </c>
      <c r="V920" s="43">
        <v>45777</v>
      </c>
      <c r="W920" s="26"/>
      <c r="X920" s="2"/>
      <c r="Y920" s="11" t="s">
        <v>1166</v>
      </c>
      <c r="Z920" s="2" t="s">
        <v>36</v>
      </c>
      <c r="AA920" s="13" t="s">
        <v>10407</v>
      </c>
      <c r="AB920" s="13" t="s">
        <v>10408</v>
      </c>
    </row>
    <row r="921" spans="1:31" ht="15" customHeight="1">
      <c r="A921" s="2" t="s">
        <v>8824</v>
      </c>
      <c r="B921" s="2" t="s">
        <v>28</v>
      </c>
      <c r="C921" s="11" t="s">
        <v>911</v>
      </c>
      <c r="D921" s="2" t="s">
        <v>30</v>
      </c>
      <c r="E921" s="2" t="s">
        <v>253</v>
      </c>
      <c r="F921" s="11" t="s">
        <v>1692</v>
      </c>
      <c r="G921" s="30" t="s">
        <v>1693</v>
      </c>
      <c r="H921" s="2" t="s">
        <v>2246</v>
      </c>
      <c r="I921" s="12" t="s">
        <v>1232</v>
      </c>
      <c r="J921" s="41">
        <f>+Tabla1[[#This Row],[FECHA ENTRADA]]</f>
        <v>45663</v>
      </c>
      <c r="K921" s="41">
        <v>45791</v>
      </c>
      <c r="L921" s="42">
        <f>_xlfn.DAYS(Tabla1[[#This Row],[FECHA FIN ]],Tabla1[[#This Row],[FECHA INICIO]])</f>
        <v>128</v>
      </c>
      <c r="M921" s="12"/>
      <c r="N921" s="12"/>
      <c r="O921" s="28">
        <f>(Tabla1[[#This Row],[COSTO FIJO ]]/30)*Tabla1[[#This Row],[TOTAL DIAS PROYECTO]]+(Tabla1[[#This Row],[COSTO TEMPORAL]])</f>
        <v>0</v>
      </c>
      <c r="P921" s="12"/>
      <c r="Q921" s="12">
        <f>+(Tabla1[[#This Row],[COSTO COCHE]]/30)*Tabla1[[#This Row],[TOTAL DIAS PROYECTO]]</f>
        <v>0</v>
      </c>
      <c r="R921" s="12">
        <f>+Tabla1[[#This Row],[COSTO TOTAL ALOJAMIENTO]]+Tabla1[[#This Row],[COSTO TOTAL COCHE]]</f>
        <v>0</v>
      </c>
      <c r="S921" s="2"/>
      <c r="T921" s="2" t="s">
        <v>35</v>
      </c>
      <c r="U921" s="14">
        <v>45663</v>
      </c>
      <c r="V921" s="43">
        <v>45700</v>
      </c>
      <c r="W921" s="26"/>
      <c r="X921" s="2">
        <v>10</v>
      </c>
      <c r="Y921" s="11" t="s">
        <v>1166</v>
      </c>
      <c r="Z921" s="2" t="s">
        <v>36</v>
      </c>
      <c r="AA921" s="13" t="s">
        <v>10357</v>
      </c>
      <c r="AB921" s="13" t="s">
        <v>10358</v>
      </c>
    </row>
    <row r="922" spans="1:31">
      <c r="A922" s="2" t="s">
        <v>9154</v>
      </c>
      <c r="B922" s="2" t="s">
        <v>28</v>
      </c>
      <c r="C922" s="11" t="s">
        <v>2247</v>
      </c>
      <c r="D922" s="2" t="s">
        <v>30</v>
      </c>
      <c r="E922" s="2" t="s">
        <v>253</v>
      </c>
      <c r="F922" s="11" t="s">
        <v>1692</v>
      </c>
      <c r="G922" s="30" t="s">
        <v>1693</v>
      </c>
      <c r="H922" s="2" t="s">
        <v>1753</v>
      </c>
      <c r="I922" s="12" t="s">
        <v>1232</v>
      </c>
      <c r="J922" s="22">
        <f>+Tabla1[[#This Row],[FECHA ENTRADA]]</f>
        <v>45669</v>
      </c>
      <c r="K922" s="22">
        <v>45791</v>
      </c>
      <c r="L922" s="23">
        <f>_xlfn.DAYS(Tabla1[[#This Row],[FECHA FIN ]],Tabla1[[#This Row],[FECHA INICIO]])</f>
        <v>122</v>
      </c>
      <c r="M922" s="12"/>
      <c r="N922" s="12"/>
      <c r="O922" s="24">
        <f>(Tabla1[[#This Row],[COSTO FIJO ]]/30)*Tabla1[[#This Row],[TOTAL DIAS PROYECTO]]+(Tabla1[[#This Row],[COSTO TEMPORAL]])</f>
        <v>0</v>
      </c>
      <c r="P922" s="12"/>
      <c r="Q922" s="12">
        <f>+(Tabla1[[#This Row],[COSTO COCHE]]/30)*Tabla1[[#This Row],[TOTAL DIAS PROYECTO]]</f>
        <v>0</v>
      </c>
      <c r="R922" s="12">
        <f>+Tabla1[[#This Row],[COSTO TOTAL ALOJAMIENTO]]+Tabla1[[#This Row],[COSTO TOTAL COCHE]]</f>
        <v>0</v>
      </c>
      <c r="S922" s="2"/>
      <c r="T922" s="2" t="s">
        <v>35</v>
      </c>
      <c r="U922" s="14">
        <v>45669</v>
      </c>
      <c r="V922" s="25"/>
      <c r="W922" s="26"/>
      <c r="X922" s="2">
        <v>10</v>
      </c>
      <c r="Y922" s="11" t="s">
        <v>1166</v>
      </c>
      <c r="Z922" s="2" t="s">
        <v>36</v>
      </c>
      <c r="AA922" s="13" t="s">
        <v>10357</v>
      </c>
      <c r="AB922" s="13" t="s">
        <v>10358</v>
      </c>
    </row>
    <row r="923" spans="1:31">
      <c r="A923" s="2" t="s">
        <v>8985</v>
      </c>
      <c r="B923" s="2" t="s">
        <v>28</v>
      </c>
      <c r="C923" s="11" t="s">
        <v>1595</v>
      </c>
      <c r="D923" s="2" t="s">
        <v>99</v>
      </c>
      <c r="E923" s="2" t="s">
        <v>253</v>
      </c>
      <c r="F923" s="11" t="s">
        <v>1692</v>
      </c>
      <c r="G923" s="11" t="s">
        <v>1693</v>
      </c>
      <c r="H923" s="2" t="s">
        <v>1648</v>
      </c>
      <c r="I923" s="12" t="s">
        <v>256</v>
      </c>
      <c r="J923" s="22">
        <f>+Tabla1[[#This Row],[FECHA ENTRADA]]</f>
        <v>45755</v>
      </c>
      <c r="K923" s="41">
        <v>45791</v>
      </c>
      <c r="L923" s="42">
        <f>_xlfn.DAYS(Tabla1[[#This Row],[FECHA FIN ]],Tabla1[[#This Row],[FECHA INICIO]])</f>
        <v>36</v>
      </c>
      <c r="M923" s="12"/>
      <c r="N923" s="28">
        <v>480</v>
      </c>
      <c r="O923" s="28">
        <f>(Tabla1[[#This Row],[COSTO FIJO ]]/30)*Tabla1[[#This Row],[TOTAL DIAS PROYECTO]]+(Tabla1[[#This Row],[COSTO TEMPORAL]])</f>
        <v>576</v>
      </c>
      <c r="P923" s="12"/>
      <c r="Q923" s="12">
        <f>+(Tabla1[[#This Row],[COSTO COCHE]]/30)*Tabla1[[#This Row],[TOTAL DIAS PROYECTO]]</f>
        <v>0</v>
      </c>
      <c r="R923" s="12">
        <f>+Tabla1[[#This Row],[COSTO TOTAL ALOJAMIENTO]]+Tabla1[[#This Row],[COSTO TOTAL COCHE]]</f>
        <v>576</v>
      </c>
      <c r="S923" s="2"/>
      <c r="T923" s="2" t="s">
        <v>35</v>
      </c>
      <c r="U923" s="14">
        <v>45755</v>
      </c>
      <c r="V923" s="43"/>
      <c r="W923" s="26"/>
      <c r="X923" s="2">
        <v>10</v>
      </c>
      <c r="Y923" s="11" t="s">
        <v>1166</v>
      </c>
      <c r="Z923" s="2" t="s">
        <v>36</v>
      </c>
      <c r="AA923" s="13" t="s">
        <v>10357</v>
      </c>
      <c r="AB923" s="13" t="s">
        <v>10358</v>
      </c>
    </row>
    <row r="924" spans="1:31">
      <c r="A924" s="2" t="s">
        <v>8887</v>
      </c>
      <c r="B924" s="2" t="s">
        <v>28</v>
      </c>
      <c r="C924" s="11" t="s">
        <v>1169</v>
      </c>
      <c r="D924" s="2" t="s">
        <v>30</v>
      </c>
      <c r="E924" s="2" t="s">
        <v>1393</v>
      </c>
      <c r="F924" s="11" t="s">
        <v>2248</v>
      </c>
      <c r="G924" s="49" t="s">
        <v>2249</v>
      </c>
      <c r="H924" s="64" t="s">
        <v>1396</v>
      </c>
      <c r="I924" s="64" t="s">
        <v>1067</v>
      </c>
      <c r="J924" s="22">
        <f>+Tabla1[[#This Row],[FECHA ENTRADA]]</f>
        <v>45761</v>
      </c>
      <c r="K924" s="8">
        <v>45791</v>
      </c>
      <c r="L924" s="42">
        <f>_xlfn.DAYS(Tabla1[[#This Row],[FECHA FIN ]],Tabla1[[#This Row],[FECHA INICIO]])</f>
        <v>30</v>
      </c>
      <c r="M924" s="12"/>
      <c r="N924" s="20">
        <v>350</v>
      </c>
      <c r="O924" s="28">
        <f>(Tabla1[[#This Row],[COSTO FIJO ]]/30)*Tabla1[[#This Row],[TOTAL DIAS PROYECTO]]+(Tabla1[[#This Row],[COSTO TEMPORAL]])</f>
        <v>350</v>
      </c>
      <c r="P924" s="12">
        <v>133.33333333333334</v>
      </c>
      <c r="Q924" s="12">
        <f>+(Tabla1[[#This Row],[COSTO COCHE]]/30)*Tabla1[[#This Row],[TOTAL DIAS PROYECTO]]</f>
        <v>133.33333333333334</v>
      </c>
      <c r="R924" s="12">
        <f>+Tabla1[[#This Row],[COSTO TOTAL ALOJAMIENTO]]+Tabla1[[#This Row],[COSTO TOTAL COCHE]]</f>
        <v>483.33333333333337</v>
      </c>
      <c r="S924" s="2"/>
      <c r="T924" s="2" t="s">
        <v>35</v>
      </c>
      <c r="U924" s="14">
        <v>45761</v>
      </c>
      <c r="V924" s="43"/>
      <c r="W924" s="26"/>
      <c r="X924" s="2">
        <v>11</v>
      </c>
      <c r="Y924" s="11" t="s">
        <v>1166</v>
      </c>
      <c r="Z924" s="2" t="s">
        <v>36</v>
      </c>
      <c r="AA924" s="13" t="s">
        <v>10416</v>
      </c>
      <c r="AB924" s="13" t="s">
        <v>10417</v>
      </c>
    </row>
    <row r="925" spans="1:31">
      <c r="A925" s="2" t="s">
        <v>8889</v>
      </c>
      <c r="B925" s="2" t="s">
        <v>28</v>
      </c>
      <c r="C925" s="11" t="s">
        <v>1171</v>
      </c>
      <c r="D925" s="2" t="s">
        <v>30</v>
      </c>
      <c r="E925" s="2" t="s">
        <v>1393</v>
      </c>
      <c r="F925" s="11" t="s">
        <v>2248</v>
      </c>
      <c r="G925" s="46" t="s">
        <v>2249</v>
      </c>
      <c r="H925" s="2" t="s">
        <v>1396</v>
      </c>
      <c r="I925" s="12" t="s">
        <v>1067</v>
      </c>
      <c r="J925" s="22">
        <f>+Tabla1[[#This Row],[FECHA ENTRADA]]</f>
        <v>45763</v>
      </c>
      <c r="K925" s="8">
        <v>45791</v>
      </c>
      <c r="L925" s="42">
        <f>_xlfn.DAYS(Tabla1[[#This Row],[FECHA FIN ]],Tabla1[[#This Row],[FECHA INICIO]])</f>
        <v>28</v>
      </c>
      <c r="M925" s="12"/>
      <c r="N925" s="20">
        <v>350</v>
      </c>
      <c r="O925" s="28">
        <f>(Tabla1[[#This Row],[COSTO FIJO ]]/30)*Tabla1[[#This Row],[TOTAL DIAS PROYECTO]]+(Tabla1[[#This Row],[COSTO TEMPORAL]])</f>
        <v>326.66666666666663</v>
      </c>
      <c r="P925" s="12">
        <v>133.33333333333334</v>
      </c>
      <c r="Q925" s="12">
        <f>+(Tabla1[[#This Row],[COSTO COCHE]]/30)*Tabla1[[#This Row],[TOTAL DIAS PROYECTO]]</f>
        <v>124.44444444444446</v>
      </c>
      <c r="R925" s="12">
        <f>+Tabla1[[#This Row],[COSTO TOTAL ALOJAMIENTO]]+Tabla1[[#This Row],[COSTO TOTAL COCHE]]</f>
        <v>451.11111111111109</v>
      </c>
      <c r="S925" s="2"/>
      <c r="T925" s="2" t="s">
        <v>35</v>
      </c>
      <c r="U925" s="14">
        <v>45763</v>
      </c>
      <c r="V925" s="43"/>
      <c r="W925" s="26"/>
      <c r="X925" s="2">
        <v>11</v>
      </c>
      <c r="Y925" s="11" t="s">
        <v>1166</v>
      </c>
      <c r="Z925" s="2" t="s">
        <v>36</v>
      </c>
      <c r="AA925" s="13" t="s">
        <v>10416</v>
      </c>
      <c r="AB925" s="13" t="s">
        <v>10417</v>
      </c>
    </row>
    <row r="926" spans="1:31" ht="15" customHeight="1">
      <c r="A926" s="2" t="s">
        <v>9148</v>
      </c>
      <c r="B926" s="2" t="s">
        <v>711</v>
      </c>
      <c r="C926" s="11" t="s">
        <v>2218</v>
      </c>
      <c r="D926" s="2" t="s">
        <v>99</v>
      </c>
      <c r="E926" s="2" t="s">
        <v>648</v>
      </c>
      <c r="F926" s="11" t="s">
        <v>2250</v>
      </c>
      <c r="G926" s="46" t="s">
        <v>2251</v>
      </c>
      <c r="H926" s="2" t="s">
        <v>2221</v>
      </c>
      <c r="I926" s="12" t="s">
        <v>96</v>
      </c>
      <c r="J926" s="41">
        <f>+Tabla1[[#This Row],[FECHA ENTRADA]]</f>
        <v>45968</v>
      </c>
      <c r="K926" s="22">
        <v>45982</v>
      </c>
      <c r="L926" s="42">
        <f>_xlfn.DAYS(Tabla1[[#This Row],[FECHA FIN ]],Tabla1[[#This Row],[FECHA INICIO]])</f>
        <v>14</v>
      </c>
      <c r="M926" s="12">
        <f>678.13/3</f>
        <v>226.04333333333332</v>
      </c>
      <c r="N926" s="28"/>
      <c r="O926" s="28">
        <f>(Tabla1[[#This Row],[COSTO FIJO ]]/30)*Tabla1[[#This Row],[TOTAL DIAS PROYECTO]]+(Tabla1[[#This Row],[COSTO TEMPORAL]])</f>
        <v>226.04333333333332</v>
      </c>
      <c r="P926" s="12"/>
      <c r="Q926" s="12">
        <f>+(Tabla1[[#This Row],[COSTO COCHE]]/30)*Tabla1[[#This Row],[TOTAL DIAS PROYECTO]]</f>
        <v>0</v>
      </c>
      <c r="R926" s="12">
        <f>+Tabla1[[#This Row],[COSTO TOTAL ALOJAMIENTO]]+Tabla1[[#This Row],[COSTO TOTAL COCHE]]</f>
        <v>226.04333333333332</v>
      </c>
      <c r="S926" s="2" t="s">
        <v>403</v>
      </c>
      <c r="T926" s="14" t="s">
        <v>44</v>
      </c>
      <c r="U926" s="14">
        <v>45968</v>
      </c>
      <c r="V926" s="43">
        <v>45986</v>
      </c>
      <c r="W926" s="71"/>
      <c r="X926" s="2"/>
      <c r="Y926" s="11" t="s">
        <v>2252</v>
      </c>
      <c r="Z926" s="2" t="s">
        <v>36</v>
      </c>
      <c r="AA926" s="13" t="s">
        <v>10387</v>
      </c>
      <c r="AB926" s="13" t="s">
        <v>10388</v>
      </c>
      <c r="AE926">
        <v>8</v>
      </c>
    </row>
    <row r="927" spans="1:31" ht="15" customHeight="1">
      <c r="A927" s="2" t="s">
        <v>8882</v>
      </c>
      <c r="B927" s="2" t="s">
        <v>368</v>
      </c>
      <c r="C927" s="11" t="s">
        <v>1151</v>
      </c>
      <c r="D927" s="2" t="s">
        <v>30</v>
      </c>
      <c r="E927" s="2" t="s">
        <v>109</v>
      </c>
      <c r="F927" s="11" t="s">
        <v>2161</v>
      </c>
      <c r="G927" s="46" t="s">
        <v>2162</v>
      </c>
      <c r="H927" s="2" t="s">
        <v>1829</v>
      </c>
      <c r="I927" s="12" t="s">
        <v>1830</v>
      </c>
      <c r="J927" s="41">
        <f>+Tabla1[[#This Row],[FECHA ENTRADA]]</f>
        <v>45699</v>
      </c>
      <c r="K927" s="8">
        <v>45774</v>
      </c>
      <c r="L927" s="42">
        <f>_xlfn.DAYS(Tabla1[[#This Row],[FECHA FIN ]],Tabla1[[#This Row],[FECHA INICIO]])</f>
        <v>75</v>
      </c>
      <c r="M927" s="12"/>
      <c r="N927" s="12">
        <f>1536.26/4</f>
        <v>384.065</v>
      </c>
      <c r="O927" s="28">
        <f>(Tabla1[[#This Row],[COSTO FIJO ]]/30)*Tabla1[[#This Row],[TOTAL DIAS PROYECTO]]+(Tabla1[[#This Row],[COSTO TEMPORAL]])</f>
        <v>960.16250000000002</v>
      </c>
      <c r="P927" s="12">
        <f>651.96/4</f>
        <v>162.99</v>
      </c>
      <c r="Q927" s="12">
        <f>+(Tabla1[[#This Row],[COSTO COCHE]]/30)*Tabla1[[#This Row],[TOTAL DIAS PROYECTO]]</f>
        <v>407.47500000000008</v>
      </c>
      <c r="R927" s="12">
        <f>+Tabla1[[#This Row],[COSTO TOTAL ALOJAMIENTO]]+Tabla1[[#This Row],[COSTO TOTAL COCHE]]</f>
        <v>1367.6375</v>
      </c>
      <c r="S927" s="2" t="s">
        <v>84</v>
      </c>
      <c r="T927" s="2" t="s">
        <v>44</v>
      </c>
      <c r="U927" s="14">
        <v>45699</v>
      </c>
      <c r="V927" s="43">
        <v>45788</v>
      </c>
      <c r="W927" s="26"/>
      <c r="X927" s="2"/>
      <c r="Y927" s="11"/>
      <c r="Z927" s="2" t="s">
        <v>36</v>
      </c>
      <c r="AA927" s="13">
        <v>0.62217999999999996</v>
      </c>
      <c r="AB927" s="13" t="s">
        <v>10339</v>
      </c>
    </row>
    <row r="928" spans="1:31" ht="15" customHeight="1">
      <c r="A928" s="2" t="s">
        <v>9155</v>
      </c>
      <c r="B928" s="2" t="s">
        <v>711</v>
      </c>
      <c r="C928" s="11" t="s">
        <v>2253</v>
      </c>
      <c r="D928" s="2" t="s">
        <v>30</v>
      </c>
      <c r="E928" s="2" t="s">
        <v>648</v>
      </c>
      <c r="F928" s="11" t="s">
        <v>1544</v>
      </c>
      <c r="G928" s="118" t="s">
        <v>1545</v>
      </c>
      <c r="H928" s="2" t="s">
        <v>2254</v>
      </c>
      <c r="I928" s="12" t="s">
        <v>96</v>
      </c>
      <c r="J928" s="41">
        <f>+Tabla1[[#This Row],[FECHA ENTRADA]]</f>
        <v>45921</v>
      </c>
      <c r="K928" s="41">
        <v>45922</v>
      </c>
      <c r="L928" s="42">
        <f>_xlfn.DAYS(Tabla1[[#This Row],[FECHA FIN ]],Tabla1[[#This Row],[FECHA INICIO]])</f>
        <v>1</v>
      </c>
      <c r="M928" s="12"/>
      <c r="N928" s="20">
        <v>275</v>
      </c>
      <c r="O928" s="28">
        <f>(Tabla1[[#This Row],[COSTO FIJO ]]/30)*Tabla1[[#This Row],[TOTAL DIAS PROYECTO]]+(Tabla1[[#This Row],[COSTO TEMPORAL]])</f>
        <v>9.1666666666666661</v>
      </c>
      <c r="P928" s="12"/>
      <c r="Q928" s="12">
        <f>+(Tabla1[[#This Row],[COSTO COCHE]]/30)*Tabla1[[#This Row],[TOTAL DIAS PROYECTO]]</f>
        <v>0</v>
      </c>
      <c r="R928" s="12">
        <f>+Tabla1[[#This Row],[COSTO TOTAL ALOJAMIENTO]]+Tabla1[[#This Row],[COSTO TOTAL COCHE]]</f>
        <v>9.1666666666666661</v>
      </c>
      <c r="S928" s="2"/>
      <c r="T928" s="14" t="s">
        <v>35</v>
      </c>
      <c r="U928" s="14">
        <v>45921</v>
      </c>
      <c r="V928" s="43"/>
      <c r="W928" s="71"/>
      <c r="X928" s="2">
        <v>1</v>
      </c>
      <c r="Y928" s="11"/>
      <c r="Z928" s="2" t="s">
        <v>36</v>
      </c>
      <c r="AA928" s="13" t="s">
        <v>10387</v>
      </c>
      <c r="AB928" s="13" t="s">
        <v>10388</v>
      </c>
    </row>
    <row r="929" spans="1:28" ht="15" customHeight="1">
      <c r="A929" s="2" t="s">
        <v>9156</v>
      </c>
      <c r="B929" s="2" t="s">
        <v>368</v>
      </c>
      <c r="C929" s="11" t="s">
        <v>2255</v>
      </c>
      <c r="D929" s="2" t="s">
        <v>30</v>
      </c>
      <c r="E929" s="2" t="s">
        <v>31</v>
      </c>
      <c r="F929" s="11"/>
      <c r="G929" s="49"/>
      <c r="H929" s="2" t="s">
        <v>2256</v>
      </c>
      <c r="I929" s="12" t="s">
        <v>412</v>
      </c>
      <c r="J929" s="22">
        <f>+Tabla1[[#This Row],[FECHA ENTRADA]]</f>
        <v>45680</v>
      </c>
      <c r="K929" s="22">
        <v>45792</v>
      </c>
      <c r="L929" s="23">
        <f>_xlfn.DAYS(Tabla1[[#This Row],[FECHA FIN ]],Tabla1[[#This Row],[FECHA INICIO]])</f>
        <v>112</v>
      </c>
      <c r="M929" s="12"/>
      <c r="N929" s="12">
        <v>300</v>
      </c>
      <c r="O929" s="24">
        <f>(Tabla1[[#This Row],[COSTO FIJO ]]/30)*Tabla1[[#This Row],[TOTAL DIAS PROYECTO]]+(Tabla1[[#This Row],[COSTO TEMPORAL]])</f>
        <v>1120</v>
      </c>
      <c r="P929" s="12">
        <f>651.96/2</f>
        <v>325.98</v>
      </c>
      <c r="Q929" s="12">
        <f>+(Tabla1[[#This Row],[COSTO COCHE]]/30)*Tabla1[[#This Row],[TOTAL DIAS PROYECTO]]</f>
        <v>1216.9920000000002</v>
      </c>
      <c r="R929" s="12">
        <f>+Tabla1[[#This Row],[COSTO TOTAL ALOJAMIENTO]]+Tabla1[[#This Row],[COSTO TOTAL COCHE]]</f>
        <v>2336.9920000000002</v>
      </c>
      <c r="S929" s="2"/>
      <c r="T929" s="2" t="s">
        <v>58</v>
      </c>
      <c r="U929" s="14">
        <v>45680</v>
      </c>
      <c r="V929" s="25"/>
      <c r="W929" s="26"/>
      <c r="X929" s="2"/>
      <c r="Y929" t="s">
        <v>2257</v>
      </c>
      <c r="Z929" s="2" t="s">
        <v>36</v>
      </c>
      <c r="AA929" s="13" t="s">
        <v>10323</v>
      </c>
      <c r="AB929" s="13" t="s">
        <v>10324</v>
      </c>
    </row>
    <row r="930" spans="1:28">
      <c r="A930" s="2" t="s">
        <v>8786</v>
      </c>
      <c r="B930" s="2" t="s">
        <v>368</v>
      </c>
      <c r="C930" s="31" t="s">
        <v>762</v>
      </c>
      <c r="D930" s="2" t="s">
        <v>99</v>
      </c>
      <c r="E930" s="2" t="s">
        <v>55</v>
      </c>
      <c r="F930" s="11" t="s">
        <v>1653</v>
      </c>
      <c r="G930" s="11" t="s">
        <v>1440</v>
      </c>
      <c r="H930" s="2" t="s">
        <v>2129</v>
      </c>
      <c r="I930" s="12" t="s">
        <v>1316</v>
      </c>
      <c r="J930" s="22">
        <f>+Tabla1[[#This Row],[FECHA ENTRADA]]</f>
        <v>45741</v>
      </c>
      <c r="K930" s="22">
        <v>45792</v>
      </c>
      <c r="L930" s="23">
        <f>_xlfn.DAYS(Tabla1[[#This Row],[FECHA FIN ]],Tabla1[[#This Row],[FECHA INICIO]])</f>
        <v>51</v>
      </c>
      <c r="M930" s="12"/>
      <c r="N930" s="12"/>
      <c r="O930" s="24">
        <f>(Tabla1[[#This Row],[COSTO FIJO ]]/30)*Tabla1[[#This Row],[TOTAL DIAS PROYECTO]]+(Tabla1[[#This Row],[COSTO TEMPORAL]])</f>
        <v>0</v>
      </c>
      <c r="P930" s="12"/>
      <c r="Q930" s="12">
        <f>+(Tabla1[[#This Row],[COSTO COCHE]]/30)*Tabla1[[#This Row],[TOTAL DIAS PROYECTO]]</f>
        <v>0</v>
      </c>
      <c r="R930" s="12">
        <f>+Tabla1[[#This Row],[COSTO TOTAL ALOJAMIENTO]]+Tabla1[[#This Row],[COSTO TOTAL COCHE]]</f>
        <v>0</v>
      </c>
      <c r="S930" s="2"/>
      <c r="T930" s="2" t="s">
        <v>35</v>
      </c>
      <c r="U930" s="14">
        <v>45741</v>
      </c>
      <c r="V930" s="25"/>
      <c r="W930" s="26"/>
      <c r="X930" s="2">
        <v>1</v>
      </c>
      <c r="Y930" s="161" t="s">
        <v>2258</v>
      </c>
      <c r="Z930" s="2" t="s">
        <v>36</v>
      </c>
      <c r="AA930" s="13" t="s">
        <v>10327</v>
      </c>
      <c r="AB930" s="13" t="s">
        <v>10328</v>
      </c>
    </row>
    <row r="931" spans="1:28" ht="15" customHeight="1">
      <c r="A931" s="2" t="s">
        <v>8887</v>
      </c>
      <c r="B931" s="2" t="s">
        <v>28</v>
      </c>
      <c r="C931" s="11" t="s">
        <v>1169</v>
      </c>
      <c r="D931" s="2" t="s">
        <v>30</v>
      </c>
      <c r="E931" s="2" t="s">
        <v>1393</v>
      </c>
      <c r="F931" s="11" t="s">
        <v>2259</v>
      </c>
      <c r="G931" s="21" t="s">
        <v>2260</v>
      </c>
      <c r="H931" s="2" t="s">
        <v>1396</v>
      </c>
      <c r="I931" s="12" t="s">
        <v>1067</v>
      </c>
      <c r="J931" s="22">
        <f>+Tabla1[[#This Row],[FECHA ENTRADA]]</f>
        <v>45791</v>
      </c>
      <c r="K931" s="8">
        <v>45792</v>
      </c>
      <c r="L931" s="42">
        <f>_xlfn.DAYS(Tabla1[[#This Row],[FECHA FIN ]],Tabla1[[#This Row],[FECHA INICIO]])</f>
        <v>1</v>
      </c>
      <c r="M931" s="12">
        <f>84.99/3</f>
        <v>28.33</v>
      </c>
      <c r="N931" s="20"/>
      <c r="O931" s="28">
        <f>(Tabla1[[#This Row],[COSTO FIJO ]]/30)*Tabla1[[#This Row],[TOTAL DIAS PROYECTO]]+(Tabla1[[#This Row],[COSTO TEMPORAL]])</f>
        <v>28.33</v>
      </c>
      <c r="P931" s="12"/>
      <c r="Q931" s="12">
        <f>+(Tabla1[[#This Row],[COSTO COCHE]]/30)*Tabla1[[#This Row],[TOTAL DIAS PROYECTO]]</f>
        <v>0</v>
      </c>
      <c r="R931" s="12">
        <f>+Tabla1[[#This Row],[COSTO TOTAL ALOJAMIENTO]]+Tabla1[[#This Row],[COSTO TOTAL COCHE]]</f>
        <v>28.33</v>
      </c>
      <c r="S931" s="2"/>
      <c r="T931" s="2" t="s">
        <v>44</v>
      </c>
      <c r="U931" s="14">
        <v>45791</v>
      </c>
      <c r="V931" s="43">
        <v>45792</v>
      </c>
      <c r="W931" s="26"/>
      <c r="X931" s="2"/>
      <c r="Y931" s="11" t="s">
        <v>1166</v>
      </c>
      <c r="Z931" s="2" t="s">
        <v>36</v>
      </c>
      <c r="AA931" s="13" t="s">
        <v>10416</v>
      </c>
      <c r="AB931" s="13" t="s">
        <v>10417</v>
      </c>
    </row>
    <row r="932" spans="1:28" ht="15" customHeight="1">
      <c r="A932" s="2" t="s">
        <v>8889</v>
      </c>
      <c r="B932" s="2" t="s">
        <v>28</v>
      </c>
      <c r="C932" s="11" t="s">
        <v>1171</v>
      </c>
      <c r="D932" s="2" t="s">
        <v>30</v>
      </c>
      <c r="E932" s="2" t="s">
        <v>1393</v>
      </c>
      <c r="F932" s="11" t="s">
        <v>2259</v>
      </c>
      <c r="G932" s="21" t="s">
        <v>2260</v>
      </c>
      <c r="H932" s="2" t="s">
        <v>1396</v>
      </c>
      <c r="I932" s="12" t="s">
        <v>1067</v>
      </c>
      <c r="J932" s="22">
        <f>+Tabla1[[#This Row],[FECHA ENTRADA]]</f>
        <v>45791</v>
      </c>
      <c r="K932" s="8">
        <v>45792</v>
      </c>
      <c r="L932" s="42">
        <f>_xlfn.DAYS(Tabla1[[#This Row],[FECHA FIN ]],Tabla1[[#This Row],[FECHA INICIO]])</f>
        <v>1</v>
      </c>
      <c r="M932" s="12">
        <f>84.99/3</f>
        <v>28.33</v>
      </c>
      <c r="N932" s="20"/>
      <c r="O932" s="28">
        <f>(Tabla1[[#This Row],[COSTO FIJO ]]/30)*Tabla1[[#This Row],[TOTAL DIAS PROYECTO]]+(Tabla1[[#This Row],[COSTO TEMPORAL]])</f>
        <v>28.33</v>
      </c>
      <c r="P932" s="12"/>
      <c r="Q932" s="12">
        <f>+(Tabla1[[#This Row],[COSTO COCHE]]/30)*Tabla1[[#This Row],[TOTAL DIAS PROYECTO]]</f>
        <v>0</v>
      </c>
      <c r="R932" s="12">
        <f>+Tabla1[[#This Row],[COSTO TOTAL ALOJAMIENTO]]+Tabla1[[#This Row],[COSTO TOTAL COCHE]]</f>
        <v>28.33</v>
      </c>
      <c r="S932" s="2"/>
      <c r="T932" s="2" t="s">
        <v>44</v>
      </c>
      <c r="U932" s="14">
        <v>45791</v>
      </c>
      <c r="V932" s="43">
        <v>45792</v>
      </c>
      <c r="W932" s="26"/>
      <c r="X932" s="2"/>
      <c r="Y932" s="11" t="s">
        <v>1166</v>
      </c>
      <c r="Z932" s="2" t="s">
        <v>36</v>
      </c>
      <c r="AA932" s="13" t="s">
        <v>10416</v>
      </c>
      <c r="AB932" s="13" t="s">
        <v>10417</v>
      </c>
    </row>
    <row r="933" spans="1:28" ht="15" customHeight="1">
      <c r="A933" s="2" t="s">
        <v>9008</v>
      </c>
      <c r="B933" s="2" t="s">
        <v>368</v>
      </c>
      <c r="C933" s="11" t="s">
        <v>1682</v>
      </c>
      <c r="D933" s="2" t="s">
        <v>99</v>
      </c>
      <c r="E933" s="2" t="s">
        <v>1987</v>
      </c>
      <c r="F933" s="11" t="s">
        <v>2261</v>
      </c>
      <c r="G933" s="21" t="s">
        <v>2262</v>
      </c>
      <c r="H933" s="2" t="s">
        <v>2115</v>
      </c>
      <c r="I933" s="12" t="s">
        <v>989</v>
      </c>
      <c r="J933" s="22">
        <f>+Tabla1[[#This Row],[FECHA ENTRADA]]</f>
        <v>45786</v>
      </c>
      <c r="K933" s="8">
        <v>45792</v>
      </c>
      <c r="L933" s="23">
        <f>_xlfn.DAYS(Tabla1[[#This Row],[FECHA FIN ]],Tabla1[[#This Row],[FECHA INICIO]])</f>
        <v>6</v>
      </c>
      <c r="M933" s="12"/>
      <c r="N933" s="20"/>
      <c r="O933" s="24">
        <f>(Tabla1[[#This Row],[COSTO FIJO ]]/30)*Tabla1[[#This Row],[TOTAL DIAS PROYECTO]]+(Tabla1[[#This Row],[COSTO TEMPORAL]])</f>
        <v>0</v>
      </c>
      <c r="P933" s="12"/>
      <c r="Q933" s="12">
        <f>+(Tabla1[[#This Row],[COSTO COCHE]]/30)*Tabla1[[#This Row],[TOTAL DIAS PROYECTO]]</f>
        <v>0</v>
      </c>
      <c r="R933" s="12">
        <f>+Tabla1[[#This Row],[COSTO TOTAL ALOJAMIENTO]]+Tabla1[[#This Row],[COSTO TOTAL COCHE]]</f>
        <v>0</v>
      </c>
      <c r="S933" s="2"/>
      <c r="T933" s="2" t="s">
        <v>44</v>
      </c>
      <c r="U933" s="14">
        <v>45786</v>
      </c>
      <c r="V933" s="79">
        <v>45792</v>
      </c>
      <c r="W933" s="2"/>
      <c r="X933" s="2"/>
      <c r="Y933" s="11"/>
      <c r="Z933" s="2" t="s">
        <v>36</v>
      </c>
      <c r="AA933" s="13" t="s">
        <v>10435</v>
      </c>
      <c r="AB933" s="13">
        <v>42.136150000000001</v>
      </c>
    </row>
    <row r="934" spans="1:28" ht="15" customHeight="1">
      <c r="A934" s="2" t="s">
        <v>8638</v>
      </c>
      <c r="B934" s="2" t="s">
        <v>28</v>
      </c>
      <c r="C934" s="11" t="s">
        <v>2263</v>
      </c>
      <c r="D934" s="2" t="s">
        <v>99</v>
      </c>
      <c r="E934" s="2" t="s">
        <v>599</v>
      </c>
      <c r="F934" s="11" t="s">
        <v>600</v>
      </c>
      <c r="G934" s="11" t="s">
        <v>601</v>
      </c>
      <c r="H934" s="2" t="s">
        <v>2264</v>
      </c>
      <c r="I934" s="162" t="s">
        <v>603</v>
      </c>
      <c r="J934" s="22">
        <f>+Tabla1[[#This Row],[FECHA ENTRADA]]</f>
        <v>45741</v>
      </c>
      <c r="K934" s="22">
        <v>45792</v>
      </c>
      <c r="L934" s="23">
        <f>_xlfn.DAYS(Tabla1[[#This Row],[FECHA FIN ]],Tabla1[[#This Row],[FECHA INICIO]])</f>
        <v>51</v>
      </c>
      <c r="N934" s="20"/>
      <c r="O934" s="24">
        <f>(Tabla1[[#This Row],[COSTO FIJO ]]/30)*Tabla1[[#This Row],[TOTAL DIAS PROYECTO]]+(Tabla1[[#This Row],[COSTO TEMPORAL]])</f>
        <v>0</v>
      </c>
      <c r="P934" s="12"/>
      <c r="Q934" s="12">
        <f>+(Tabla1[[#This Row],[COSTO COCHE]]/30)*Tabla1[[#This Row],[TOTAL DIAS PROYECTO]]</f>
        <v>0</v>
      </c>
      <c r="R934" s="12">
        <f>+Tabla1[[#This Row],[COSTO TOTAL ALOJAMIENTO]]+Tabla1[[#This Row],[COSTO TOTAL COCHE]]</f>
        <v>0</v>
      </c>
      <c r="S934" s="2"/>
      <c r="T934" s="2" t="s">
        <v>528</v>
      </c>
      <c r="U934" s="14">
        <v>45741</v>
      </c>
      <c r="V934" s="25">
        <v>45792</v>
      </c>
      <c r="W934" s="26"/>
      <c r="X934" s="2"/>
      <c r="Y934" s="11"/>
      <c r="Z934" s="2" t="s">
        <v>36</v>
      </c>
      <c r="AA934" s="13" t="s">
        <v>10382</v>
      </c>
      <c r="AB934" s="13">
        <v>4038884</v>
      </c>
    </row>
    <row r="935" spans="1:28" ht="15" customHeight="1">
      <c r="A935" s="2" t="s">
        <v>9157</v>
      </c>
      <c r="B935" s="2" t="s">
        <v>368</v>
      </c>
      <c r="C935" s="31" t="s">
        <v>2265</v>
      </c>
      <c r="D935" s="2" t="s">
        <v>30</v>
      </c>
      <c r="E935" s="2" t="s">
        <v>422</v>
      </c>
      <c r="F935" s="11" t="s">
        <v>2183</v>
      </c>
      <c r="G935" s="118" t="s">
        <v>698</v>
      </c>
      <c r="H935" s="2" t="s">
        <v>2244</v>
      </c>
      <c r="I935" s="30" t="s">
        <v>1932</v>
      </c>
      <c r="J935" s="8">
        <f>+Tabla1[[#This Row],[FECHA ENTRADA]]</f>
        <v>45524</v>
      </c>
      <c r="K935" s="8">
        <v>45944</v>
      </c>
      <c r="L935" s="13">
        <f>_xlfn.DAYS(Tabla1[[#This Row],[FECHA FIN ]],Tabla1[[#This Row],[FECHA INICIO]])</f>
        <v>420</v>
      </c>
      <c r="M935" s="12"/>
      <c r="N935" s="12">
        <v>316</v>
      </c>
      <c r="O935" s="12">
        <f>(Tabla1[[#This Row],[COSTO FIJO ]]/30)*Tabla1[[#This Row],[TOTAL DIAS PROYECTO]]+(Tabla1[[#This Row],[COSTO TEMPORAL]])</f>
        <v>4424</v>
      </c>
      <c r="P935" s="12">
        <v>80</v>
      </c>
      <c r="Q935" s="12">
        <f>+(Tabla1[[#This Row],[COSTO COCHE]]/30)*Tabla1[[#This Row],[TOTAL DIAS PROYECTO]]</f>
        <v>1120</v>
      </c>
      <c r="R935" s="12">
        <f>+Tabla1[[#This Row],[COSTO TOTAL ALOJAMIENTO]]+Tabla1[[#This Row],[COSTO TOTAL COCHE]]</f>
        <v>5544</v>
      </c>
      <c r="S935" s="2"/>
      <c r="T935" s="2" t="s">
        <v>35</v>
      </c>
      <c r="U935" s="14">
        <v>45524</v>
      </c>
      <c r="V935" s="14"/>
      <c r="W935" s="26"/>
      <c r="X935" s="2">
        <v>1</v>
      </c>
      <c r="Y935" s="11" t="s">
        <v>2266</v>
      </c>
      <c r="Z935" s="2" t="s">
        <v>36</v>
      </c>
      <c r="AA935" s="13">
        <v>-326.69799999999998</v>
      </c>
      <c r="AB935" s="13" t="s">
        <v>10373</v>
      </c>
    </row>
    <row r="936" spans="1:28" ht="15" customHeight="1">
      <c r="A936" s="2" t="s">
        <v>8707</v>
      </c>
      <c r="B936" s="2" t="s">
        <v>368</v>
      </c>
      <c r="C936" s="18" t="s">
        <v>384</v>
      </c>
      <c r="D936" s="2" t="s">
        <v>30</v>
      </c>
      <c r="E936" s="2" t="s">
        <v>422</v>
      </c>
      <c r="F936" s="11" t="s">
        <v>956</v>
      </c>
      <c r="G936" s="11" t="s">
        <v>957</v>
      </c>
      <c r="H936" s="2" t="s">
        <v>2267</v>
      </c>
      <c r="I936" s="12" t="s">
        <v>1435</v>
      </c>
      <c r="J936" s="41">
        <f>+Tabla1[[#This Row],[FECHA ENTRADA]]</f>
        <v>45575</v>
      </c>
      <c r="K936" s="8">
        <v>45625</v>
      </c>
      <c r="L936" s="42">
        <f>_xlfn.DAYS(Tabla1[[#This Row],[FECHA FIN ]],Tabla1[[#This Row],[FECHA INICIO]])</f>
        <v>50</v>
      </c>
      <c r="M936" s="12"/>
      <c r="N936" s="12">
        <v>312.5</v>
      </c>
      <c r="O936" s="28">
        <f>(Tabla1[[#This Row],[COSTO FIJO ]]/30)*Tabla1[[#This Row],[TOTAL DIAS PROYECTO]]+(Tabla1[[#This Row],[COSTO TEMPORAL]])</f>
        <v>520.83333333333326</v>
      </c>
      <c r="P936" s="12"/>
      <c r="Q936" s="12">
        <f>+(Tabla1[[#This Row],[COSTO COCHE]]/30)*Tabla1[[#This Row],[TOTAL DIAS PROYECTO]]</f>
        <v>0</v>
      </c>
      <c r="R936" s="12">
        <f>+Tabla1[[#This Row],[COSTO TOTAL ALOJAMIENTO]]+Tabla1[[#This Row],[COSTO TOTAL COCHE]]</f>
        <v>520.83333333333326</v>
      </c>
      <c r="S936" s="2"/>
      <c r="T936" s="2" t="s">
        <v>35</v>
      </c>
      <c r="U936" s="14">
        <v>45575</v>
      </c>
      <c r="V936" s="25"/>
      <c r="W936" s="26"/>
      <c r="X936" s="2">
        <v>1</v>
      </c>
      <c r="Y936" s="11" t="s">
        <v>2268</v>
      </c>
      <c r="Z936" s="2" t="s">
        <v>36</v>
      </c>
      <c r="AA936" s="13">
        <v>-326.69799999999998</v>
      </c>
      <c r="AB936" s="13" t="s">
        <v>10373</v>
      </c>
    </row>
    <row r="937" spans="1:28" ht="15" customHeight="1">
      <c r="A937" s="2" t="s">
        <v>8891</v>
      </c>
      <c r="B937" s="30" t="s">
        <v>368</v>
      </c>
      <c r="C937" s="11" t="s">
        <v>1173</v>
      </c>
      <c r="D937" s="2" t="s">
        <v>30</v>
      </c>
      <c r="E937" s="2" t="s">
        <v>422</v>
      </c>
      <c r="F937" s="11" t="s">
        <v>1983</v>
      </c>
      <c r="G937" s="11" t="s">
        <v>2067</v>
      </c>
      <c r="H937" s="2" t="s">
        <v>2267</v>
      </c>
      <c r="I937" s="12" t="s">
        <v>1435</v>
      </c>
      <c r="J937" s="41">
        <f>+Tabla1[[#This Row],[FECHA ENTRADA]]</f>
        <v>45575</v>
      </c>
      <c r="K937" s="22">
        <v>45821</v>
      </c>
      <c r="L937" s="42">
        <f>_xlfn.DAYS(Tabla1[[#This Row],[FECHA FIN ]],Tabla1[[#This Row],[FECHA INICIO]])</f>
        <v>246</v>
      </c>
      <c r="M937" s="12"/>
      <c r="N937" s="12">
        <f>1811.6/17</f>
        <v>106.56470588235294</v>
      </c>
      <c r="O937" s="28">
        <f>(Tabla1[[#This Row],[COSTO FIJO ]]/30)*Tabla1[[#This Row],[TOTAL DIAS PROYECTO]]+(Tabla1[[#This Row],[COSTO TEMPORAL]])</f>
        <v>873.83058823529416</v>
      </c>
      <c r="P937" s="12"/>
      <c r="Q937" s="12">
        <f>+(Tabla1[[#This Row],[COSTO COCHE]]/30)*Tabla1[[#This Row],[TOTAL DIAS PROYECTO]]</f>
        <v>0</v>
      </c>
      <c r="R937" s="12">
        <f>+Tabla1[[#This Row],[COSTO TOTAL ALOJAMIENTO]]+Tabla1[[#This Row],[COSTO TOTAL COCHE]]</f>
        <v>873.83058823529416</v>
      </c>
      <c r="S937" s="2"/>
      <c r="T937" s="2" t="s">
        <v>44</v>
      </c>
      <c r="U937" s="14">
        <v>45575</v>
      </c>
      <c r="V937" s="25">
        <v>45581</v>
      </c>
      <c r="W937" s="26"/>
      <c r="X937" s="2"/>
      <c r="Y937" s="11"/>
      <c r="Z937" s="2" t="s">
        <v>36</v>
      </c>
      <c r="AA937" s="13">
        <v>-326.69799999999998</v>
      </c>
      <c r="AB937" s="13" t="s">
        <v>10373</v>
      </c>
    </row>
    <row r="938" spans="1:28" ht="15" customHeight="1">
      <c r="A938" s="2" t="s">
        <v>9130</v>
      </c>
      <c r="B938" s="2" t="s">
        <v>368</v>
      </c>
      <c r="C938" s="11" t="s">
        <v>2126</v>
      </c>
      <c r="D938" s="2" t="s">
        <v>99</v>
      </c>
      <c r="E938" s="2" t="s">
        <v>55</v>
      </c>
      <c r="F938" s="11" t="s">
        <v>231</v>
      </c>
      <c r="G938" s="11" t="s">
        <v>106</v>
      </c>
      <c r="H938" s="2" t="s">
        <v>2129</v>
      </c>
      <c r="I938" s="10" t="s">
        <v>1316</v>
      </c>
      <c r="J938" s="41">
        <f>+Tabla1[[#This Row],[FECHA ENTRADA]]</f>
        <v>45777</v>
      </c>
      <c r="K938" s="22">
        <v>45792</v>
      </c>
      <c r="L938" s="23">
        <f>_xlfn.DAYS(Tabla1[[#This Row],[FECHA FIN ]],Tabla1[[#This Row],[FECHA INICIO]])</f>
        <v>15</v>
      </c>
      <c r="M938" s="12"/>
      <c r="N938" s="12">
        <v>500</v>
      </c>
      <c r="O938" s="28">
        <f>(Tabla1[[#This Row],[COSTO FIJO ]]/30)*Tabla1[[#This Row],[TOTAL DIAS PROYECTO]]+(Tabla1[[#This Row],[COSTO TEMPORAL]])</f>
        <v>250.00000000000003</v>
      </c>
      <c r="P938" s="12"/>
      <c r="Q938" s="12">
        <f>+(Tabla1[[#This Row],[COSTO COCHE]]/30)*Tabla1[[#This Row],[TOTAL DIAS PROYECTO]]</f>
        <v>0</v>
      </c>
      <c r="R938" s="12">
        <f>+Tabla1[[#This Row],[COSTO TOTAL ALOJAMIENTO]]+Tabla1[[#This Row],[COSTO TOTAL COCHE]]</f>
        <v>250.00000000000003</v>
      </c>
      <c r="S938" s="2"/>
      <c r="T938" s="2" t="s">
        <v>35</v>
      </c>
      <c r="U938" s="14">
        <v>45777</v>
      </c>
      <c r="V938" s="75"/>
      <c r="W938" s="2"/>
      <c r="X938" s="2">
        <v>5</v>
      </c>
      <c r="Y938" s="161" t="s">
        <v>2258</v>
      </c>
      <c r="Z938" s="2" t="s">
        <v>36</v>
      </c>
      <c r="AA938" s="13" t="s">
        <v>10327</v>
      </c>
      <c r="AB938" s="13" t="s">
        <v>10328</v>
      </c>
    </row>
    <row r="939" spans="1:28" ht="15" customHeight="1">
      <c r="A939" s="2" t="s">
        <v>8638</v>
      </c>
      <c r="B939" s="2" t="s">
        <v>28</v>
      </c>
      <c r="C939" s="11" t="s">
        <v>2058</v>
      </c>
      <c r="D939" s="2" t="s">
        <v>30</v>
      </c>
      <c r="E939" s="2" t="s">
        <v>31</v>
      </c>
      <c r="F939" s="11" t="s">
        <v>451</v>
      </c>
      <c r="G939" s="21" t="s">
        <v>452</v>
      </c>
      <c r="H939" s="2" t="s">
        <v>2061</v>
      </c>
      <c r="I939" s="12" t="s">
        <v>2062</v>
      </c>
      <c r="J939" s="41">
        <f>+Tabla1[[#This Row],[FECHA ENTRADA]]</f>
        <v>45770</v>
      </c>
      <c r="K939" s="8">
        <v>45793</v>
      </c>
      <c r="L939" s="13">
        <f>_xlfn.DAYS(Tabla1[[#This Row],[FECHA FIN ]],Tabla1[[#This Row],[FECHA INICIO]])</f>
        <v>23</v>
      </c>
      <c r="M939" s="12"/>
      <c r="N939" s="12">
        <v>283.33</v>
      </c>
      <c r="O939" s="12">
        <f>(Tabla1[[#This Row],[COSTO FIJO ]]/30)*Tabla1[[#This Row],[TOTAL DIAS PROYECTO]]+(Tabla1[[#This Row],[COSTO TEMPORAL]])</f>
        <v>217.21966666666665</v>
      </c>
      <c r="P939" s="12">
        <v>120</v>
      </c>
      <c r="Q939" s="12">
        <f>+(Tabla1[[#This Row],[COSTO COCHE]]/30)*Tabla1[[#This Row],[TOTAL DIAS PROYECTO]]</f>
        <v>92</v>
      </c>
      <c r="R939" s="12">
        <f>+Tabla1[[#This Row],[COSTO TOTAL ALOJAMIENTO]]+Tabla1[[#This Row],[COSTO TOTAL COCHE]]</f>
        <v>309.21966666666663</v>
      </c>
      <c r="S939" s="2"/>
      <c r="T939" s="2" t="s">
        <v>35</v>
      </c>
      <c r="U939" s="14">
        <v>45770</v>
      </c>
      <c r="V939" s="14"/>
      <c r="W939" s="26"/>
      <c r="X939" s="2">
        <v>1</v>
      </c>
      <c r="Y939" s="18"/>
      <c r="Z939" s="2" t="s">
        <v>36</v>
      </c>
      <c r="AA939" s="13" t="s">
        <v>10323</v>
      </c>
      <c r="AB939" s="13" t="s">
        <v>10324</v>
      </c>
    </row>
    <row r="940" spans="1:28" ht="15" customHeight="1">
      <c r="A940" s="2" t="s">
        <v>9158</v>
      </c>
      <c r="B940" s="2" t="s">
        <v>28</v>
      </c>
      <c r="C940" s="34" t="s">
        <v>2269</v>
      </c>
      <c r="D940" s="2" t="s">
        <v>30</v>
      </c>
      <c r="E940" s="2" t="s">
        <v>31</v>
      </c>
      <c r="F940" s="11" t="s">
        <v>758</v>
      </c>
      <c r="G940" s="11" t="s">
        <v>759</v>
      </c>
      <c r="H940" s="2" t="s">
        <v>2061</v>
      </c>
      <c r="I940" s="12" t="s">
        <v>2062</v>
      </c>
      <c r="J940" s="41">
        <f>+Tabla1[[#This Row],[FECHA ENTRADA]]</f>
        <v>45769</v>
      </c>
      <c r="K940" s="8">
        <v>45793</v>
      </c>
      <c r="L940" s="13">
        <f>_xlfn.DAYS(Tabla1[[#This Row],[FECHA FIN ]],Tabla1[[#This Row],[FECHA INICIO]])</f>
        <v>24</v>
      </c>
      <c r="M940" s="12"/>
      <c r="N940" s="20">
        <v>212.5</v>
      </c>
      <c r="O940" s="12">
        <f>(Tabla1[[#This Row],[COSTO FIJO ]]/30)*Tabla1[[#This Row],[TOTAL DIAS PROYECTO]]+(Tabla1[[#This Row],[COSTO TEMPORAL]])</f>
        <v>170</v>
      </c>
      <c r="P940" s="12">
        <v>120</v>
      </c>
      <c r="Q940" s="12">
        <f>+(Tabla1[[#This Row],[COSTO COCHE]]/30)*Tabla1[[#This Row],[TOTAL DIAS PROYECTO]]</f>
        <v>96</v>
      </c>
      <c r="R940" s="12">
        <f>+Tabla1[[#This Row],[COSTO TOTAL ALOJAMIENTO]]+Tabla1[[#This Row],[COSTO TOTAL COCHE]]</f>
        <v>266</v>
      </c>
      <c r="S940" s="2"/>
      <c r="T940" s="2" t="s">
        <v>35</v>
      </c>
      <c r="U940" s="14">
        <v>45769</v>
      </c>
      <c r="V940" s="14"/>
      <c r="W940" s="26"/>
      <c r="X940" s="2">
        <v>1</v>
      </c>
      <c r="Y940" s="163" t="s">
        <v>2270</v>
      </c>
      <c r="Z940" s="2" t="s">
        <v>36</v>
      </c>
      <c r="AA940" s="13" t="s">
        <v>10323</v>
      </c>
      <c r="AB940" s="13" t="s">
        <v>10324</v>
      </c>
    </row>
    <row r="941" spans="1:28" ht="15" customHeight="1">
      <c r="A941" s="2" t="s">
        <v>8887</v>
      </c>
      <c r="B941" s="2" t="s">
        <v>28</v>
      </c>
      <c r="C941" s="11" t="s">
        <v>1169</v>
      </c>
      <c r="D941" s="2" t="s">
        <v>30</v>
      </c>
      <c r="E941" s="2" t="s">
        <v>1393</v>
      </c>
      <c r="F941" s="11" t="s">
        <v>2271</v>
      </c>
      <c r="G941" s="21" t="s">
        <v>2272</v>
      </c>
      <c r="H941" s="2" t="s">
        <v>1396</v>
      </c>
      <c r="I941" s="12" t="s">
        <v>1067</v>
      </c>
      <c r="J941" s="22">
        <f>+Tabla1[[#This Row],[FECHA ENTRADA]]</f>
        <v>45792</v>
      </c>
      <c r="K941" s="8">
        <v>45793</v>
      </c>
      <c r="L941" s="42">
        <f>_xlfn.DAYS(Tabla1[[#This Row],[FECHA FIN ]],Tabla1[[#This Row],[FECHA INICIO]])</f>
        <v>1</v>
      </c>
      <c r="M941" s="12">
        <v>25</v>
      </c>
      <c r="N941" s="20"/>
      <c r="O941" s="28">
        <f>(Tabla1[[#This Row],[COSTO FIJO ]]/30)*Tabla1[[#This Row],[TOTAL DIAS PROYECTO]]+(Tabla1[[#This Row],[COSTO TEMPORAL]])</f>
        <v>25</v>
      </c>
      <c r="P941" s="12"/>
      <c r="Q941" s="12">
        <f>+(Tabla1[[#This Row],[COSTO COCHE]]/30)*Tabla1[[#This Row],[TOTAL DIAS PROYECTO]]</f>
        <v>0</v>
      </c>
      <c r="R941" s="12">
        <f>+Tabla1[[#This Row],[COSTO TOTAL ALOJAMIENTO]]+Tabla1[[#This Row],[COSTO TOTAL COCHE]]</f>
        <v>25</v>
      </c>
      <c r="S941" s="2"/>
      <c r="T941" s="2" t="s">
        <v>44</v>
      </c>
      <c r="U941" s="14">
        <v>45792</v>
      </c>
      <c r="V941" s="43">
        <v>45793</v>
      </c>
      <c r="W941" s="26"/>
      <c r="X941" s="2"/>
      <c r="Y941" s="11" t="s">
        <v>1166</v>
      </c>
      <c r="Z941" s="2" t="s">
        <v>36</v>
      </c>
      <c r="AA941" s="13" t="s">
        <v>10416</v>
      </c>
      <c r="AB941" s="13" t="s">
        <v>10417</v>
      </c>
    </row>
    <row r="942" spans="1:28" ht="15" customHeight="1">
      <c r="A942" s="2" t="s">
        <v>8889</v>
      </c>
      <c r="B942" s="2" t="s">
        <v>28</v>
      </c>
      <c r="C942" s="11" t="s">
        <v>1171</v>
      </c>
      <c r="D942" s="2" t="s">
        <v>30</v>
      </c>
      <c r="E942" s="2" t="s">
        <v>1393</v>
      </c>
      <c r="F942" s="11" t="s">
        <v>2271</v>
      </c>
      <c r="G942" s="21" t="s">
        <v>2272</v>
      </c>
      <c r="H942" s="2" t="s">
        <v>1396</v>
      </c>
      <c r="I942" s="12" t="s">
        <v>1067</v>
      </c>
      <c r="J942" s="22">
        <f>+Tabla1[[#This Row],[FECHA ENTRADA]]</f>
        <v>45792</v>
      </c>
      <c r="K942" s="8">
        <v>45793</v>
      </c>
      <c r="L942" s="42">
        <f>_xlfn.DAYS(Tabla1[[#This Row],[FECHA FIN ]],Tabla1[[#This Row],[FECHA INICIO]])</f>
        <v>1</v>
      </c>
      <c r="M942" s="12">
        <v>25</v>
      </c>
      <c r="N942" s="20"/>
      <c r="O942" s="28">
        <f>(Tabla1[[#This Row],[COSTO FIJO ]]/30)*Tabla1[[#This Row],[TOTAL DIAS PROYECTO]]+(Tabla1[[#This Row],[COSTO TEMPORAL]])</f>
        <v>25</v>
      </c>
      <c r="P942" s="12"/>
      <c r="Q942" s="12">
        <f>+(Tabla1[[#This Row],[COSTO COCHE]]/30)*Tabla1[[#This Row],[TOTAL DIAS PROYECTO]]</f>
        <v>0</v>
      </c>
      <c r="R942" s="12">
        <f>+Tabla1[[#This Row],[COSTO TOTAL ALOJAMIENTO]]+Tabla1[[#This Row],[COSTO TOTAL COCHE]]</f>
        <v>25</v>
      </c>
      <c r="S942" s="2"/>
      <c r="T942" s="2" t="s">
        <v>44</v>
      </c>
      <c r="U942" s="14">
        <v>45792</v>
      </c>
      <c r="V942" s="43">
        <v>45793</v>
      </c>
      <c r="W942" s="26"/>
      <c r="X942" s="2"/>
      <c r="Y942" s="11" t="s">
        <v>1166</v>
      </c>
      <c r="Z942" s="2" t="s">
        <v>36</v>
      </c>
      <c r="AA942" s="13" t="s">
        <v>10416</v>
      </c>
      <c r="AB942" s="13" t="s">
        <v>10417</v>
      </c>
    </row>
    <row r="943" spans="1:28" ht="15" customHeight="1">
      <c r="A943" s="2" t="s">
        <v>9159</v>
      </c>
      <c r="B943" s="2" t="s">
        <v>28</v>
      </c>
      <c r="C943" s="31" t="s">
        <v>2273</v>
      </c>
      <c r="D943" s="2" t="s">
        <v>99</v>
      </c>
      <c r="E943" s="2" t="s">
        <v>415</v>
      </c>
      <c r="F943" s="11" t="s">
        <v>1943</v>
      </c>
      <c r="G943" s="21" t="s">
        <v>1944</v>
      </c>
      <c r="H943" s="2" t="s">
        <v>1945</v>
      </c>
      <c r="I943" s="10" t="s">
        <v>1946</v>
      </c>
      <c r="J943" s="22">
        <f>+Tabla1[[#This Row],[FECHA ENTRADA]]</f>
        <v>45756</v>
      </c>
      <c r="K943" s="8">
        <v>45793</v>
      </c>
      <c r="L943" s="23">
        <f>_xlfn.DAYS(Tabla1[[#This Row],[FECHA FIN ]],Tabla1[[#This Row],[FECHA INICIO]])</f>
        <v>37</v>
      </c>
      <c r="M943" s="12"/>
      <c r="N943" s="24">
        <v>500</v>
      </c>
      <c r="O943" s="24">
        <f>(Tabla1[[#This Row],[COSTO FIJO ]]/30)*Tabla1[[#This Row],[TOTAL DIAS PROYECTO]]+(Tabla1[[#This Row],[COSTO TEMPORAL]])</f>
        <v>616.66666666666674</v>
      </c>
      <c r="P943" s="12"/>
      <c r="Q943" s="12">
        <f>+(Tabla1[[#This Row],[COSTO COCHE]]/30)*Tabla1[[#This Row],[TOTAL DIAS PROYECTO]]</f>
        <v>0</v>
      </c>
      <c r="R943" s="12">
        <f>+Tabla1[[#This Row],[COSTO TOTAL ALOJAMIENTO]]+Tabla1[[#This Row],[COSTO TOTAL COCHE]]</f>
        <v>616.66666666666674</v>
      </c>
      <c r="S943" s="2"/>
      <c r="T943" s="2" t="s">
        <v>44</v>
      </c>
      <c r="U943" s="14">
        <v>45756</v>
      </c>
      <c r="V943" s="25">
        <v>45796</v>
      </c>
      <c r="W943" s="26"/>
      <c r="X943" s="2"/>
      <c r="Y943" s="11"/>
      <c r="Z943" s="2" t="s">
        <v>36</v>
      </c>
      <c r="AA943" s="13">
        <v>-0.37739</v>
      </c>
      <c r="AB943" s="13" t="s">
        <v>10372</v>
      </c>
    </row>
    <row r="944" spans="1:28" ht="15" customHeight="1">
      <c r="A944" s="2" t="s">
        <v>8781</v>
      </c>
      <c r="B944" s="2" t="s">
        <v>28</v>
      </c>
      <c r="C944" s="11" t="s">
        <v>746</v>
      </c>
      <c r="D944" s="2" t="s">
        <v>99</v>
      </c>
      <c r="E944" s="2" t="s">
        <v>415</v>
      </c>
      <c r="F944" s="11" t="s">
        <v>1943</v>
      </c>
      <c r="G944" s="46" t="s">
        <v>1944</v>
      </c>
      <c r="H944" s="2" t="s">
        <v>2274</v>
      </c>
      <c r="I944" s="10" t="s">
        <v>1946</v>
      </c>
      <c r="J944" s="22">
        <f>+Tabla1[[#This Row],[FECHA ENTRADA]]</f>
        <v>45760</v>
      </c>
      <c r="K944" s="8">
        <v>45793</v>
      </c>
      <c r="L944" s="23">
        <f>_xlfn.DAYS(Tabla1[[#This Row],[FECHA FIN ]],Tabla1[[#This Row],[FECHA INICIO]])</f>
        <v>33</v>
      </c>
      <c r="M944" s="12"/>
      <c r="N944" s="24">
        <v>500</v>
      </c>
      <c r="O944" s="24">
        <f>(Tabla1[[#This Row],[COSTO FIJO ]]/30)*Tabla1[[#This Row],[TOTAL DIAS PROYECTO]]+(Tabla1[[#This Row],[COSTO TEMPORAL]])</f>
        <v>550</v>
      </c>
      <c r="P944" s="12"/>
      <c r="Q944" s="12">
        <f>+(Tabla1[[#This Row],[COSTO COCHE]]/30)*Tabla1[[#This Row],[TOTAL DIAS PROYECTO]]</f>
        <v>0</v>
      </c>
      <c r="R944" s="12">
        <f>+Tabla1[[#This Row],[COSTO TOTAL ALOJAMIENTO]]+Tabla1[[#This Row],[COSTO TOTAL COCHE]]</f>
        <v>550</v>
      </c>
      <c r="S944" s="2"/>
      <c r="T944" s="2" t="s">
        <v>44</v>
      </c>
      <c r="U944" s="14">
        <v>45760</v>
      </c>
      <c r="V944" s="25">
        <v>45796</v>
      </c>
      <c r="W944" s="26"/>
      <c r="X944" s="2"/>
      <c r="Y944" s="11"/>
      <c r="Z944" s="2" t="s">
        <v>36</v>
      </c>
      <c r="AA944" s="13">
        <v>-0.37739</v>
      </c>
      <c r="AB944" s="13" t="s">
        <v>10372</v>
      </c>
    </row>
    <row r="945" spans="1:28" ht="15" customHeight="1">
      <c r="A945" s="2" t="s">
        <v>9083</v>
      </c>
      <c r="B945" s="2" t="s">
        <v>28</v>
      </c>
      <c r="C945" s="11" t="s">
        <v>1941</v>
      </c>
      <c r="D945" s="2" t="s">
        <v>30</v>
      </c>
      <c r="E945" s="2" t="s">
        <v>31</v>
      </c>
      <c r="F945" s="11" t="s">
        <v>2275</v>
      </c>
      <c r="G945" s="46" t="s">
        <v>2276</v>
      </c>
      <c r="H945" s="2" t="s">
        <v>2061</v>
      </c>
      <c r="I945" s="12" t="s">
        <v>2062</v>
      </c>
      <c r="J945" s="41">
        <f>+Tabla1[[#This Row],[FECHA ENTRADA]]</f>
        <v>45769</v>
      </c>
      <c r="K945" s="8">
        <v>45793</v>
      </c>
      <c r="L945" s="13">
        <f>_xlfn.DAYS(Tabla1[[#This Row],[FECHA FIN ]],Tabla1[[#This Row],[FECHA INICIO]])</f>
        <v>24</v>
      </c>
      <c r="M945" s="12">
        <v>330</v>
      </c>
      <c r="N945" s="24"/>
      <c r="O945" s="12">
        <f>(Tabla1[[#This Row],[COSTO FIJO ]]/30)*Tabla1[[#This Row],[TOTAL DIAS PROYECTO]]+(Tabla1[[#This Row],[COSTO TEMPORAL]])</f>
        <v>330</v>
      </c>
      <c r="P945" s="12">
        <v>120</v>
      </c>
      <c r="Q945" s="12">
        <f>+(Tabla1[[#This Row],[COSTO COCHE]]/30)*Tabla1[[#This Row],[TOTAL DIAS PROYECTO]]</f>
        <v>96</v>
      </c>
      <c r="R945" s="12">
        <f>+Tabla1[[#This Row],[COSTO TOTAL ALOJAMIENTO]]+Tabla1[[#This Row],[COSTO TOTAL COCHE]]</f>
        <v>426</v>
      </c>
      <c r="S945" s="2"/>
      <c r="T945" s="2" t="s">
        <v>44</v>
      </c>
      <c r="U945" s="14">
        <v>45769</v>
      </c>
      <c r="V945" s="14">
        <v>45800</v>
      </c>
      <c r="W945" s="26"/>
      <c r="X945" s="2"/>
      <c r="Y945" s="163" t="s">
        <v>2270</v>
      </c>
      <c r="Z945" s="2" t="s">
        <v>36</v>
      </c>
      <c r="AA945" s="13" t="s">
        <v>10323</v>
      </c>
      <c r="AB945" s="13" t="s">
        <v>10324</v>
      </c>
    </row>
    <row r="946" spans="1:28" ht="15" customHeight="1">
      <c r="A946" s="2" t="s">
        <v>9160</v>
      </c>
      <c r="B946" s="2" t="s">
        <v>28</v>
      </c>
      <c r="C946" s="11" t="s">
        <v>2277</v>
      </c>
      <c r="D946" s="2" t="s">
        <v>30</v>
      </c>
      <c r="E946" s="2" t="s">
        <v>31</v>
      </c>
      <c r="F946" s="11" t="s">
        <v>2275</v>
      </c>
      <c r="G946" s="46" t="s">
        <v>2276</v>
      </c>
      <c r="H946" s="2" t="s">
        <v>2061</v>
      </c>
      <c r="I946" s="12" t="s">
        <v>2062</v>
      </c>
      <c r="J946" s="41">
        <f>+Tabla1[[#This Row],[FECHA ENTRADA]]</f>
        <v>45769</v>
      </c>
      <c r="K946" s="8">
        <v>45793</v>
      </c>
      <c r="L946" s="13">
        <f>_xlfn.DAYS(Tabla1[[#This Row],[FECHA FIN ]],Tabla1[[#This Row],[FECHA INICIO]])</f>
        <v>24</v>
      </c>
      <c r="M946" s="12">
        <v>330</v>
      </c>
      <c r="N946" s="24"/>
      <c r="O946" s="12">
        <f>(Tabla1[[#This Row],[COSTO FIJO ]]/30)*Tabla1[[#This Row],[TOTAL DIAS PROYECTO]]+(Tabla1[[#This Row],[COSTO TEMPORAL]])</f>
        <v>330</v>
      </c>
      <c r="P946" s="12">
        <v>120</v>
      </c>
      <c r="Q946" s="12">
        <f>+(Tabla1[[#This Row],[COSTO COCHE]]/30)*Tabla1[[#This Row],[TOTAL DIAS PROYECTO]]</f>
        <v>96</v>
      </c>
      <c r="R946" s="12">
        <f>+Tabla1[[#This Row],[COSTO TOTAL ALOJAMIENTO]]+Tabla1[[#This Row],[COSTO TOTAL COCHE]]</f>
        <v>426</v>
      </c>
      <c r="S946" s="2"/>
      <c r="T946" s="2" t="s">
        <v>44</v>
      </c>
      <c r="U946" s="14">
        <v>45769</v>
      </c>
      <c r="V946" s="14">
        <v>45800</v>
      </c>
      <c r="W946" s="26"/>
      <c r="X946" s="2"/>
      <c r="Y946" s="163" t="s">
        <v>2270</v>
      </c>
      <c r="Z946" s="2" t="s">
        <v>36</v>
      </c>
      <c r="AA946" s="13" t="s">
        <v>10323</v>
      </c>
      <c r="AB946" s="13" t="s">
        <v>10324</v>
      </c>
    </row>
    <row r="947" spans="1:28" ht="15" customHeight="1">
      <c r="A947" s="2" t="s">
        <v>9069</v>
      </c>
      <c r="B947" s="2" t="s">
        <v>28</v>
      </c>
      <c r="C947" s="18" t="s">
        <v>1879</v>
      </c>
      <c r="D947" s="2" t="s">
        <v>30</v>
      </c>
      <c r="E947" s="2" t="s">
        <v>648</v>
      </c>
      <c r="F947" s="11" t="s">
        <v>2278</v>
      </c>
      <c r="G947" s="11" t="s">
        <v>1545</v>
      </c>
      <c r="H947" s="2" t="s">
        <v>2279</v>
      </c>
      <c r="I947" s="12" t="s">
        <v>96</v>
      </c>
      <c r="J947" s="8">
        <f>+Tabla1[[#This Row],[FECHA ENTRADA]]</f>
        <v>45434</v>
      </c>
      <c r="K947" s="8">
        <v>45478</v>
      </c>
      <c r="L947" s="13">
        <f>_xlfn.DAYS(Tabla1[[#This Row],[FECHA FIN ]],Tabla1[[#This Row],[FECHA INICIO]])</f>
        <v>44</v>
      </c>
      <c r="M947" s="12"/>
      <c r="N947" s="12">
        <v>240</v>
      </c>
      <c r="O947" s="12">
        <f>(Tabla1[[#This Row],[COSTO FIJO ]]/30)*Tabla1[[#This Row],[TOTAL DIAS PROYECTO]]+(Tabla1[[#This Row],[COSTO TEMPORAL]])</f>
        <v>352</v>
      </c>
      <c r="P947" s="12"/>
      <c r="Q947" s="12">
        <f>+(Tabla1[[#This Row],[COSTO COCHE]]/30)*Tabla1[[#This Row],[TOTAL DIAS PROYECTO]]</f>
        <v>0</v>
      </c>
      <c r="R947" s="12">
        <f>+Tabla1[[#This Row],[COSTO TOTAL ALOJAMIENTO]]+Tabla1[[#This Row],[COSTO TOTAL COCHE]]</f>
        <v>352</v>
      </c>
      <c r="S947" s="2"/>
      <c r="T947" s="2" t="s">
        <v>35</v>
      </c>
      <c r="U947" s="14">
        <v>45434</v>
      </c>
      <c r="V947" s="14"/>
      <c r="W947" s="26">
        <v>1200</v>
      </c>
      <c r="X947" s="2">
        <v>1</v>
      </c>
      <c r="Y947" s="18" t="s">
        <v>2280</v>
      </c>
      <c r="Z947" s="2" t="s">
        <v>36</v>
      </c>
      <c r="AA947" s="13" t="s">
        <v>10387</v>
      </c>
      <c r="AB947" s="13" t="s">
        <v>10388</v>
      </c>
    </row>
    <row r="948" spans="1:28" ht="15" customHeight="1">
      <c r="A948" s="2" t="s">
        <v>9137</v>
      </c>
      <c r="B948" s="2" t="s">
        <v>368</v>
      </c>
      <c r="C948" s="11" t="s">
        <v>2157</v>
      </c>
      <c r="D948" s="2" t="s">
        <v>30</v>
      </c>
      <c r="E948" s="2" t="s">
        <v>109</v>
      </c>
      <c r="F948" s="11" t="s">
        <v>2161</v>
      </c>
      <c r="G948" s="46" t="s">
        <v>2162</v>
      </c>
      <c r="H948" s="2" t="s">
        <v>2095</v>
      </c>
      <c r="I948" s="12" t="s">
        <v>1830</v>
      </c>
      <c r="J948" s="41">
        <f>+Tabla1[[#This Row],[FECHA ENTRADA]]</f>
        <v>45699</v>
      </c>
      <c r="K948" s="8">
        <v>45774</v>
      </c>
      <c r="L948" s="42">
        <f>_xlfn.DAYS(Tabla1[[#This Row],[FECHA FIN ]],Tabla1[[#This Row],[FECHA INICIO]])</f>
        <v>75</v>
      </c>
      <c r="M948" s="12"/>
      <c r="N948" s="12">
        <f>1536.26/4</f>
        <v>384.065</v>
      </c>
      <c r="O948" s="28">
        <f>(Tabla1[[#This Row],[COSTO FIJO ]]/30)*Tabla1[[#This Row],[TOTAL DIAS PROYECTO]]+(Tabla1[[#This Row],[COSTO TEMPORAL]])</f>
        <v>960.16250000000002</v>
      </c>
      <c r="P948" s="12">
        <f>651.96/4</f>
        <v>162.99</v>
      </c>
      <c r="Q948" s="12">
        <f>+(Tabla1[[#This Row],[COSTO COCHE]]/30)*Tabla1[[#This Row],[TOTAL DIAS PROYECTO]]</f>
        <v>407.47500000000008</v>
      </c>
      <c r="R948" s="12">
        <f>+Tabla1[[#This Row],[COSTO TOTAL ALOJAMIENTO]]+Tabla1[[#This Row],[COSTO TOTAL COCHE]]</f>
        <v>1367.6375</v>
      </c>
      <c r="S948" s="2" t="s">
        <v>84</v>
      </c>
      <c r="T948" s="2" t="s">
        <v>44</v>
      </c>
      <c r="U948" s="14">
        <v>45699</v>
      </c>
      <c r="V948" s="43">
        <v>45788</v>
      </c>
      <c r="W948" s="26"/>
      <c r="X948" s="2"/>
      <c r="Y948" s="11"/>
      <c r="Z948" s="2" t="s">
        <v>36</v>
      </c>
      <c r="AA948" s="13">
        <v>0.62217999999999996</v>
      </c>
      <c r="AB948" s="13" t="s">
        <v>10339</v>
      </c>
    </row>
    <row r="949" spans="1:28">
      <c r="A949" s="2" t="s">
        <v>9161</v>
      </c>
      <c r="B949" s="2" t="s">
        <v>28</v>
      </c>
      <c r="C949" s="11" t="s">
        <v>2281</v>
      </c>
      <c r="D949" s="2" t="s">
        <v>99</v>
      </c>
      <c r="E949" s="2" t="s">
        <v>538</v>
      </c>
      <c r="F949" s="11" t="s">
        <v>1106</v>
      </c>
      <c r="G949" s="46"/>
      <c r="H949" s="2" t="s">
        <v>2158</v>
      </c>
      <c r="I949" s="12" t="s">
        <v>883</v>
      </c>
      <c r="J949" s="41">
        <f>+Tabla1[[#This Row],[FECHA ENTRADA]]</f>
        <v>45607</v>
      </c>
      <c r="K949" s="22">
        <v>45793</v>
      </c>
      <c r="L949" s="42">
        <f>_xlfn.DAYS(Tabla1[[#This Row],[FECHA FIN ]],Tabla1[[#This Row],[FECHA INICIO]])</f>
        <v>186</v>
      </c>
      <c r="M949" s="12"/>
      <c r="N949" s="12"/>
      <c r="O949" s="28">
        <f>(Tabla1[[#This Row],[COSTO FIJO ]]/30)*Tabla1[[#This Row],[TOTAL DIAS PROYECTO]]+(Tabla1[[#This Row],[COSTO TEMPORAL]])</f>
        <v>0</v>
      </c>
      <c r="P949" s="12"/>
      <c r="Q949" s="12">
        <f>+(Tabla1[[#This Row],[COSTO COCHE]]/30)*Tabla1[[#This Row],[TOTAL DIAS PROYECTO]]</f>
        <v>0</v>
      </c>
      <c r="R949" s="12">
        <f>+Tabla1[[#This Row],[COSTO TOTAL ALOJAMIENTO]]+Tabla1[[#This Row],[COSTO TOTAL COCHE]]</f>
        <v>0</v>
      </c>
      <c r="S949" s="2"/>
      <c r="T949" s="2" t="s">
        <v>8</v>
      </c>
      <c r="U949" s="14">
        <v>45607</v>
      </c>
      <c r="V949" s="43"/>
      <c r="W949" s="26"/>
      <c r="X949" s="2"/>
      <c r="Y949" s="11"/>
      <c r="Z949" s="2" t="s">
        <v>36</v>
      </c>
      <c r="AA949" s="13">
        <v>-378939</v>
      </c>
      <c r="AB949" s="13">
        <v>3776578</v>
      </c>
    </row>
    <row r="950" spans="1:28" ht="15" customHeight="1">
      <c r="A950" s="2" t="s">
        <v>9142</v>
      </c>
      <c r="B950" s="2" t="s">
        <v>368</v>
      </c>
      <c r="C950" s="11" t="s">
        <v>2192</v>
      </c>
      <c r="D950" s="2" t="s">
        <v>99</v>
      </c>
      <c r="E950" s="10" t="s">
        <v>2231</v>
      </c>
      <c r="F950" s="11" t="s">
        <v>2232</v>
      </c>
      <c r="G950" s="49"/>
      <c r="H950" s="2" t="s">
        <v>2233</v>
      </c>
      <c r="I950" s="12" t="s">
        <v>637</v>
      </c>
      <c r="J950" s="22">
        <f>+Tabla1[[#This Row],[FECHA ENTRADA]]</f>
        <v>45783</v>
      </c>
      <c r="K950" s="22">
        <v>45793</v>
      </c>
      <c r="L950" s="23">
        <f>_xlfn.DAYS(Tabla1[[#This Row],[FECHA FIN ]],Tabla1[[#This Row],[FECHA INICIO]])</f>
        <v>10</v>
      </c>
      <c r="M950" s="12"/>
      <c r="N950" s="24"/>
      <c r="O950" s="24">
        <f>(Tabla1[[#This Row],[COSTO FIJO ]]/30)*Tabla1[[#This Row],[TOTAL DIAS PROYECTO]]+(Tabla1[[#This Row],[COSTO TEMPORAL]])</f>
        <v>0</v>
      </c>
      <c r="P950" s="12"/>
      <c r="Q950" s="12">
        <f>+(Tabla1[[#This Row],[COSTO COCHE]]/30)*Tabla1[[#This Row],[TOTAL DIAS PROYECTO]]</f>
        <v>0</v>
      </c>
      <c r="R950" s="12">
        <f>+Tabla1[[#This Row],[COSTO TOTAL ALOJAMIENTO]]+Tabla1[[#This Row],[COSTO TOTAL COCHE]]</f>
        <v>0</v>
      </c>
      <c r="S950" s="2"/>
      <c r="T950" s="2" t="s">
        <v>35</v>
      </c>
      <c r="U950" s="14">
        <v>45783</v>
      </c>
      <c r="V950" s="25"/>
      <c r="W950" s="26"/>
      <c r="X950" s="2"/>
      <c r="Y950" s="11" t="s">
        <v>2234</v>
      </c>
      <c r="Z950" s="2" t="s">
        <v>36</v>
      </c>
      <c r="AA950" s="13">
        <v>-8.6443499999999993</v>
      </c>
      <c r="AB950" s="23">
        <v>42.430999999999997</v>
      </c>
    </row>
    <row r="951" spans="1:28" ht="15" customHeight="1">
      <c r="A951" s="2" t="s">
        <v>9162</v>
      </c>
      <c r="B951" s="30" t="s">
        <v>368</v>
      </c>
      <c r="C951" s="18" t="s">
        <v>2282</v>
      </c>
      <c r="D951" s="2" t="s">
        <v>30</v>
      </c>
      <c r="E951" s="2" t="s">
        <v>422</v>
      </c>
      <c r="F951" s="11" t="s">
        <v>1983</v>
      </c>
      <c r="G951" s="11" t="s">
        <v>2067</v>
      </c>
      <c r="H951" s="2" t="s">
        <v>2267</v>
      </c>
      <c r="I951" s="12" t="s">
        <v>1435</v>
      </c>
      <c r="J951" s="41">
        <f>+Tabla1[[#This Row],[FECHA ENTRADA]]</f>
        <v>45575</v>
      </c>
      <c r="K951" s="22">
        <v>45821</v>
      </c>
      <c r="L951" s="42">
        <f>_xlfn.DAYS(Tabla1[[#This Row],[FECHA FIN ]],Tabla1[[#This Row],[FECHA INICIO]])</f>
        <v>246</v>
      </c>
      <c r="M951" s="12"/>
      <c r="N951" s="24"/>
      <c r="O951" s="28">
        <f>(Tabla1[[#This Row],[COSTO FIJO ]]/30)*Tabla1[[#This Row],[TOTAL DIAS PROYECTO]]+(Tabla1[[#This Row],[COSTO TEMPORAL]])</f>
        <v>0</v>
      </c>
      <c r="P951" s="12"/>
      <c r="Q951" s="12">
        <f>+(Tabla1[[#This Row],[COSTO COCHE]]/30)*Tabla1[[#This Row],[TOTAL DIAS PROYECTO]]</f>
        <v>0</v>
      </c>
      <c r="R951" s="12">
        <f>+Tabla1[[#This Row],[COSTO TOTAL ALOJAMIENTO]]+Tabla1[[#This Row],[COSTO TOTAL COCHE]]</f>
        <v>0</v>
      </c>
      <c r="S951" s="2"/>
      <c r="T951" s="2" t="s">
        <v>44</v>
      </c>
      <c r="U951" s="14">
        <v>45575</v>
      </c>
      <c r="V951" s="43">
        <v>45581</v>
      </c>
      <c r="W951" s="26"/>
      <c r="X951" s="2"/>
      <c r="Y951" s="11"/>
      <c r="Z951" s="2" t="s">
        <v>36</v>
      </c>
      <c r="AA951" s="13">
        <v>-326.69799999999998</v>
      </c>
      <c r="AB951" s="13" t="s">
        <v>10373</v>
      </c>
    </row>
    <row r="952" spans="1:28" ht="15" customHeight="1">
      <c r="A952" s="2" t="s">
        <v>8851</v>
      </c>
      <c r="B952" s="2" t="s">
        <v>978</v>
      </c>
      <c r="C952" s="11" t="s">
        <v>1017</v>
      </c>
      <c r="D952" s="2" t="s">
        <v>30</v>
      </c>
      <c r="E952" s="2" t="s">
        <v>259</v>
      </c>
      <c r="F952" s="11" t="s">
        <v>516</v>
      </c>
      <c r="G952" s="11" t="s">
        <v>517</v>
      </c>
      <c r="H952" s="2" t="s">
        <v>1216</v>
      </c>
      <c r="I952" s="12" t="s">
        <v>1217</v>
      </c>
      <c r="J952" s="41">
        <f>+Tabla1[[#This Row],[FECHA ENTRADA]]</f>
        <v>45644</v>
      </c>
      <c r="K952" s="41">
        <v>45853</v>
      </c>
      <c r="L952" s="42">
        <f>_xlfn.DAYS(Tabla1[[#This Row],[FECHA FIN ]],Tabla1[[#This Row],[FECHA INICIO]])</f>
        <v>209</v>
      </c>
      <c r="M952" s="12"/>
      <c r="N952" s="12"/>
      <c r="O952" s="28">
        <f>(Tabla1[[#This Row],[COSTO FIJO ]]/30)*Tabla1[[#This Row],[TOTAL DIAS PROYECTO]]+(Tabla1[[#This Row],[COSTO TEMPORAL]])</f>
        <v>0</v>
      </c>
      <c r="P952" s="12">
        <f>796.8/3</f>
        <v>265.59999999999997</v>
      </c>
      <c r="Q952" s="12">
        <f>+(Tabla1[[#This Row],[COSTO COCHE]]/30)*Tabla1[[#This Row],[TOTAL DIAS PROYECTO]]</f>
        <v>1850.3466666666664</v>
      </c>
      <c r="R952" s="12">
        <f>+Tabla1[[#This Row],[COSTO TOTAL ALOJAMIENTO]]+Tabla1[[#This Row],[COSTO TOTAL COCHE]]</f>
        <v>1850.3466666666664</v>
      </c>
      <c r="S952" s="2"/>
      <c r="T952" s="2" t="s">
        <v>35</v>
      </c>
      <c r="U952" s="14">
        <v>45644</v>
      </c>
      <c r="V952" s="43"/>
      <c r="W952" s="26"/>
      <c r="X952" s="2">
        <v>18</v>
      </c>
      <c r="Y952" s="11"/>
      <c r="Z952" s="2" t="s">
        <v>36</v>
      </c>
      <c r="AA952" s="13">
        <v>-0.87734000000000001</v>
      </c>
      <c r="AB952" s="13" t="s">
        <v>10359</v>
      </c>
    </row>
    <row r="953" spans="1:28" ht="15" customHeight="1">
      <c r="A953" s="2" t="s">
        <v>8904</v>
      </c>
      <c r="B953" s="2" t="s">
        <v>978</v>
      </c>
      <c r="C953" s="11" t="s">
        <v>1218</v>
      </c>
      <c r="D953" s="2" t="s">
        <v>30</v>
      </c>
      <c r="E953" s="2" t="s">
        <v>259</v>
      </c>
      <c r="F953" s="11" t="s">
        <v>516</v>
      </c>
      <c r="G953" s="11" t="s">
        <v>517</v>
      </c>
      <c r="H953" s="2" t="s">
        <v>1216</v>
      </c>
      <c r="I953" s="12" t="s">
        <v>1217</v>
      </c>
      <c r="J953" s="41">
        <f>+Tabla1[[#This Row],[FECHA ENTRADA]]</f>
        <v>45644</v>
      </c>
      <c r="K953" s="41">
        <v>45853</v>
      </c>
      <c r="L953" s="42">
        <f>_xlfn.DAYS(Tabla1[[#This Row],[FECHA FIN ]],Tabla1[[#This Row],[FECHA INICIO]])</f>
        <v>209</v>
      </c>
      <c r="M953" s="12"/>
      <c r="N953" s="12"/>
      <c r="O953" s="28">
        <f>(Tabla1[[#This Row],[COSTO FIJO ]]/30)*Tabla1[[#This Row],[TOTAL DIAS PROYECTO]]+(Tabla1[[#This Row],[COSTO TEMPORAL]])</f>
        <v>0</v>
      </c>
      <c r="P953" s="12">
        <f>796.8/3</f>
        <v>265.59999999999997</v>
      </c>
      <c r="Q953" s="12">
        <f>+(Tabla1[[#This Row],[COSTO COCHE]]/30)*Tabla1[[#This Row],[TOTAL DIAS PROYECTO]]</f>
        <v>1850.3466666666664</v>
      </c>
      <c r="R953" s="12">
        <f>+Tabla1[[#This Row],[COSTO TOTAL ALOJAMIENTO]]+Tabla1[[#This Row],[COSTO TOTAL COCHE]]</f>
        <v>1850.3466666666664</v>
      </c>
      <c r="S953" s="2"/>
      <c r="T953" s="2" t="s">
        <v>35</v>
      </c>
      <c r="U953" s="14">
        <v>45644</v>
      </c>
      <c r="V953" s="43"/>
      <c r="W953" s="26"/>
      <c r="X953" s="2">
        <v>18</v>
      </c>
      <c r="Y953" s="11"/>
      <c r="Z953" s="2" t="s">
        <v>36</v>
      </c>
      <c r="AA953" s="13">
        <v>-0.87734000000000001</v>
      </c>
      <c r="AB953" s="13" t="s">
        <v>10359</v>
      </c>
    </row>
    <row r="954" spans="1:28">
      <c r="A954" s="2" t="s">
        <v>9163</v>
      </c>
      <c r="B954" s="2" t="s">
        <v>368</v>
      </c>
      <c r="C954" s="11" t="s">
        <v>2283</v>
      </c>
      <c r="D954" s="2" t="s">
        <v>30</v>
      </c>
      <c r="E954" s="2" t="s">
        <v>31</v>
      </c>
      <c r="F954" s="11" t="s">
        <v>2284</v>
      </c>
      <c r="G954" s="11" t="s">
        <v>2285</v>
      </c>
      <c r="H954" s="2" t="s">
        <v>2286</v>
      </c>
      <c r="I954" s="12" t="s">
        <v>2287</v>
      </c>
      <c r="J954" s="22">
        <f>+Tabla1[[#This Row],[FECHA ENTRADA]]</f>
        <v>45795</v>
      </c>
      <c r="K954" s="8">
        <v>45795</v>
      </c>
      <c r="L954" s="13">
        <f>_xlfn.DAYS(Tabla1[[#This Row],[FECHA FIN ]],Tabla1[[#This Row],[FECHA INICIO]])</f>
        <v>0</v>
      </c>
      <c r="M954" s="12"/>
      <c r="N954" s="12"/>
      <c r="O954" s="12">
        <f>(Tabla1[[#This Row],[COSTO FIJO ]]/30)*Tabla1[[#This Row],[TOTAL DIAS PROYECTO]]+(Tabla1[[#This Row],[COSTO TEMPORAL]])</f>
        <v>0</v>
      </c>
      <c r="P954" s="12"/>
      <c r="Q954" s="12">
        <f>+(Tabla1[[#This Row],[COSTO COCHE]]/30)*Tabla1[[#This Row],[TOTAL DIAS PROYECTO]]</f>
        <v>0</v>
      </c>
      <c r="R954" s="12">
        <f>+Tabla1[[#This Row],[COSTO TOTAL ALOJAMIENTO]]+Tabla1[[#This Row],[COSTO TOTAL COCHE]]</f>
        <v>0</v>
      </c>
      <c r="S954" s="2"/>
      <c r="T954" s="2" t="s">
        <v>613</v>
      </c>
      <c r="U954" s="14">
        <v>45795</v>
      </c>
      <c r="V954" s="14"/>
      <c r="W954" s="26"/>
      <c r="X954" s="2">
        <v>15</v>
      </c>
      <c r="Y954" s="31"/>
      <c r="Z954" s="2" t="s">
        <v>36</v>
      </c>
      <c r="AA954" s="13" t="s">
        <v>10323</v>
      </c>
      <c r="AB954" s="13" t="s">
        <v>10324</v>
      </c>
    </row>
    <row r="955" spans="1:28" ht="15" customHeight="1">
      <c r="A955" s="2" t="s">
        <v>8862</v>
      </c>
      <c r="B955" s="30" t="s">
        <v>368</v>
      </c>
      <c r="C955" s="18" t="s">
        <v>1060</v>
      </c>
      <c r="D955" s="2" t="s">
        <v>30</v>
      </c>
      <c r="E955" s="2" t="s">
        <v>422</v>
      </c>
      <c r="F955" s="11" t="s">
        <v>1983</v>
      </c>
      <c r="G955" s="11" t="s">
        <v>2067</v>
      </c>
      <c r="H955" s="2" t="s">
        <v>2267</v>
      </c>
      <c r="I955" s="12" t="s">
        <v>1435</v>
      </c>
      <c r="J955" s="41">
        <f>+Tabla1[[#This Row],[FECHA ENTRADA]]</f>
        <v>45575</v>
      </c>
      <c r="K955" s="22">
        <v>45821</v>
      </c>
      <c r="L955" s="42">
        <f>_xlfn.DAYS(Tabla1[[#This Row],[FECHA FIN ]],Tabla1[[#This Row],[FECHA INICIO]])</f>
        <v>246</v>
      </c>
      <c r="M955" s="12"/>
      <c r="N955" s="20"/>
      <c r="O955" s="28">
        <f>(Tabla1[[#This Row],[COSTO FIJO ]]/30)*Tabla1[[#This Row],[TOTAL DIAS PROYECTO]]+(Tabla1[[#This Row],[COSTO TEMPORAL]])</f>
        <v>0</v>
      </c>
      <c r="P955" s="12"/>
      <c r="Q955" s="12">
        <f>+(Tabla1[[#This Row],[COSTO COCHE]]/30)*Tabla1[[#This Row],[TOTAL DIAS PROYECTO]]</f>
        <v>0</v>
      </c>
      <c r="R955" s="12">
        <f>+Tabla1[[#This Row],[COSTO TOTAL ALOJAMIENTO]]+Tabla1[[#This Row],[COSTO TOTAL COCHE]]</f>
        <v>0</v>
      </c>
      <c r="S955" s="2"/>
      <c r="T955" s="2" t="s">
        <v>44</v>
      </c>
      <c r="U955" s="14">
        <v>45575</v>
      </c>
      <c r="V955" s="43">
        <v>45581</v>
      </c>
      <c r="W955" s="26"/>
      <c r="X955" s="2"/>
      <c r="Y955" s="11"/>
      <c r="Z955" s="2" t="s">
        <v>36</v>
      </c>
      <c r="AA955" s="13">
        <v>-326.69799999999998</v>
      </c>
      <c r="AB955" s="13" t="s">
        <v>10373</v>
      </c>
    </row>
    <row r="956" spans="1:28" ht="15" customHeight="1">
      <c r="A956" s="2" t="s">
        <v>9164</v>
      </c>
      <c r="B956" s="30" t="s">
        <v>368</v>
      </c>
      <c r="C956" s="18" t="s">
        <v>2288</v>
      </c>
      <c r="D956" s="2" t="s">
        <v>30</v>
      </c>
      <c r="E956" s="2" t="s">
        <v>422</v>
      </c>
      <c r="F956" s="11" t="s">
        <v>1983</v>
      </c>
      <c r="G956" s="11" t="s">
        <v>2067</v>
      </c>
      <c r="H956" s="164" t="s">
        <v>2267</v>
      </c>
      <c r="I956" s="12" t="s">
        <v>1435</v>
      </c>
      <c r="J956" s="41">
        <f>+Tabla1[[#This Row],[FECHA ENTRADA]]</f>
        <v>45575</v>
      </c>
      <c r="K956" s="22">
        <v>45821</v>
      </c>
      <c r="L956" s="42">
        <f>_xlfn.DAYS(Tabla1[[#This Row],[FECHA FIN ]],Tabla1[[#This Row],[FECHA INICIO]])</f>
        <v>246</v>
      </c>
      <c r="M956" s="12"/>
      <c r="N956" s="20"/>
      <c r="O956" s="28">
        <f>(Tabla1[[#This Row],[COSTO FIJO ]]/30)*Tabla1[[#This Row],[TOTAL DIAS PROYECTO]]+(Tabla1[[#This Row],[COSTO TEMPORAL]])</f>
        <v>0</v>
      </c>
      <c r="P956" s="12"/>
      <c r="Q956" s="12">
        <f>+(Tabla1[[#This Row],[COSTO COCHE]]/30)*Tabla1[[#This Row],[TOTAL DIAS PROYECTO]]</f>
        <v>0</v>
      </c>
      <c r="R956" s="12">
        <f>+Tabla1[[#This Row],[COSTO TOTAL ALOJAMIENTO]]+Tabla1[[#This Row],[COSTO TOTAL COCHE]]</f>
        <v>0</v>
      </c>
      <c r="S956" s="2"/>
      <c r="T956" s="2" t="s">
        <v>44</v>
      </c>
      <c r="U956" s="14">
        <v>45575</v>
      </c>
      <c r="V956" s="25">
        <v>45581</v>
      </c>
      <c r="W956" s="26"/>
      <c r="X956" s="2"/>
      <c r="Y956" s="11"/>
      <c r="Z956" s="2" t="s">
        <v>36</v>
      </c>
      <c r="AA956" s="13">
        <v>-326.69799999999998</v>
      </c>
      <c r="AB956" s="13" t="s">
        <v>10373</v>
      </c>
    </row>
    <row r="957" spans="1:28" ht="15" customHeight="1">
      <c r="A957" s="2" t="s">
        <v>9165</v>
      </c>
      <c r="B957" s="2" t="s">
        <v>368</v>
      </c>
      <c r="C957" s="11" t="s">
        <v>2289</v>
      </c>
      <c r="D957" s="2" t="s">
        <v>30</v>
      </c>
      <c r="E957" s="2" t="s">
        <v>422</v>
      </c>
      <c r="F957" s="11" t="s">
        <v>956</v>
      </c>
      <c r="G957" s="11" t="s">
        <v>957</v>
      </c>
      <c r="H957" s="2" t="s">
        <v>2290</v>
      </c>
      <c r="I957" s="12" t="s">
        <v>1435</v>
      </c>
      <c r="J957" s="41">
        <f>+Tabla1[[#This Row],[FECHA ENTRADA]]</f>
        <v>45575</v>
      </c>
      <c r="K957" s="22">
        <v>45821</v>
      </c>
      <c r="L957" s="42">
        <f>_xlfn.DAYS(Tabla1[[#This Row],[FECHA FIN ]],Tabla1[[#This Row],[FECHA INICIO]])</f>
        <v>246</v>
      </c>
      <c r="M957" s="12"/>
      <c r="N957" s="12"/>
      <c r="O957" s="28">
        <f>(Tabla1[[#This Row],[COSTO FIJO ]]/30)*Tabla1[[#This Row],[TOTAL DIAS PROYECTO]]+(Tabla1[[#This Row],[COSTO TEMPORAL]])</f>
        <v>0</v>
      </c>
      <c r="P957" s="12"/>
      <c r="Q957" s="12">
        <f>+(Tabla1[[#This Row],[COSTO COCHE]]/30)*Tabla1[[#This Row],[TOTAL DIAS PROYECTO]]</f>
        <v>0</v>
      </c>
      <c r="R957" s="12">
        <f>+Tabla1[[#This Row],[COSTO TOTAL ALOJAMIENTO]]+Tabla1[[#This Row],[COSTO TOTAL COCHE]]</f>
        <v>0</v>
      </c>
      <c r="S957" s="2"/>
      <c r="T957" s="2" t="s">
        <v>35</v>
      </c>
      <c r="U957" s="14">
        <v>45575</v>
      </c>
      <c r="V957" s="43"/>
      <c r="W957" s="26"/>
      <c r="X957" s="2">
        <v>1</v>
      </c>
      <c r="Y957" s="11" t="s">
        <v>2268</v>
      </c>
      <c r="Z957" s="2" t="s">
        <v>36</v>
      </c>
      <c r="AA957" s="13">
        <v>-326.69799999999998</v>
      </c>
      <c r="AB957" s="13" t="s">
        <v>10373</v>
      </c>
    </row>
    <row r="958" spans="1:28" ht="15" customHeight="1">
      <c r="A958" s="2" t="s">
        <v>8793</v>
      </c>
      <c r="B958" s="30" t="s">
        <v>368</v>
      </c>
      <c r="C958" s="18" t="s">
        <v>788</v>
      </c>
      <c r="D958" s="2" t="s">
        <v>30</v>
      </c>
      <c r="E958" s="2" t="s">
        <v>422</v>
      </c>
      <c r="F958" s="11" t="s">
        <v>1983</v>
      </c>
      <c r="G958" s="11" t="s">
        <v>2067</v>
      </c>
      <c r="H958" s="2" t="s">
        <v>2290</v>
      </c>
      <c r="I958" s="12" t="s">
        <v>1435</v>
      </c>
      <c r="J958" s="41">
        <f>+Tabla1[[#This Row],[FECHA ENTRADA]]</f>
        <v>45575</v>
      </c>
      <c r="K958" s="41"/>
      <c r="L958" s="42">
        <f>_xlfn.DAYS(Tabla1[[#This Row],[FECHA FIN ]],Tabla1[[#This Row],[FECHA INICIO]])</f>
        <v>-45575</v>
      </c>
      <c r="M958" s="12">
        <v>114</v>
      </c>
      <c r="N958" s="20"/>
      <c r="O958" s="28">
        <f>(Tabla1[[#This Row],[COSTO FIJO ]]/30)*Tabla1[[#This Row],[TOTAL DIAS PROYECTO]]+(Tabla1[[#This Row],[COSTO TEMPORAL]])</f>
        <v>114</v>
      </c>
      <c r="P958" s="12"/>
      <c r="Q958" s="12">
        <f>+(Tabla1[[#This Row],[COSTO COCHE]]/30)*Tabla1[[#This Row],[TOTAL DIAS PROYECTO]]</f>
        <v>0</v>
      </c>
      <c r="R958" s="12">
        <f>+Tabla1[[#This Row],[COSTO TOTAL ALOJAMIENTO]]+Tabla1[[#This Row],[COSTO TOTAL COCHE]]</f>
        <v>114</v>
      </c>
      <c r="S958" s="2"/>
      <c r="T958" s="2" t="s">
        <v>44</v>
      </c>
      <c r="U958" s="14">
        <v>45575</v>
      </c>
      <c r="V958" s="43">
        <v>45581</v>
      </c>
      <c r="W958" s="26"/>
      <c r="X958" s="2"/>
      <c r="Y958" s="11"/>
      <c r="Z958" s="2" t="s">
        <v>36</v>
      </c>
      <c r="AA958" s="13">
        <v>-326.69799999999998</v>
      </c>
      <c r="AB958" s="13" t="s">
        <v>10373</v>
      </c>
    </row>
    <row r="959" spans="1:28" ht="15" customHeight="1">
      <c r="A959" s="2" t="s">
        <v>9166</v>
      </c>
      <c r="B959" s="30" t="s">
        <v>368</v>
      </c>
      <c r="C959" s="11" t="s">
        <v>2291</v>
      </c>
      <c r="D959" s="2" t="s">
        <v>30</v>
      </c>
      <c r="E959" s="2" t="s">
        <v>422</v>
      </c>
      <c r="F959" s="11" t="s">
        <v>1983</v>
      </c>
      <c r="G959" s="11" t="s">
        <v>2067</v>
      </c>
      <c r="H959" s="2" t="s">
        <v>2267</v>
      </c>
      <c r="I959" s="12" t="s">
        <v>1435</v>
      </c>
      <c r="J959" s="41">
        <f>+Tabla1[[#This Row],[FECHA ENTRADA]]</f>
        <v>45575</v>
      </c>
      <c r="K959" s="41"/>
      <c r="L959" s="42">
        <f>_xlfn.DAYS(Tabla1[[#This Row],[FECHA FIN ]],Tabla1[[#This Row],[FECHA INICIO]])</f>
        <v>-45575</v>
      </c>
      <c r="M959" s="12"/>
      <c r="N959" s="12">
        <v>114</v>
      </c>
      <c r="O959" s="28">
        <f>(Tabla1[[#This Row],[COSTO FIJO ]]/30)*Tabla1[[#This Row],[TOTAL DIAS PROYECTO]]+(Tabla1[[#This Row],[COSTO TEMPORAL]])</f>
        <v>-173185</v>
      </c>
      <c r="P959" s="12"/>
      <c r="Q959" s="12">
        <f>+(Tabla1[[#This Row],[COSTO COCHE]]/30)*Tabla1[[#This Row],[TOTAL DIAS PROYECTO]]</f>
        <v>0</v>
      </c>
      <c r="R959" s="12">
        <f>+Tabla1[[#This Row],[COSTO TOTAL ALOJAMIENTO]]+Tabla1[[#This Row],[COSTO TOTAL COCHE]]</f>
        <v>-173185</v>
      </c>
      <c r="S959" s="2"/>
      <c r="T959" s="2" t="s">
        <v>44</v>
      </c>
      <c r="U959" s="14">
        <v>45575</v>
      </c>
      <c r="V959" s="25">
        <v>45581</v>
      </c>
      <c r="W959" s="26"/>
      <c r="X959" s="2"/>
      <c r="Y959" s="11"/>
      <c r="Z959" s="2" t="s">
        <v>36</v>
      </c>
      <c r="AA959" s="13">
        <v>-326.69799999999998</v>
      </c>
      <c r="AB959" s="13" t="s">
        <v>10373</v>
      </c>
    </row>
    <row r="960" spans="1:28" ht="15" customHeight="1">
      <c r="A960" s="2" t="s">
        <v>9167</v>
      </c>
      <c r="B960" s="2" t="s">
        <v>368</v>
      </c>
      <c r="C960" s="31" t="s">
        <v>2292</v>
      </c>
      <c r="D960" s="2" t="s">
        <v>30</v>
      </c>
      <c r="E960" s="2" t="s">
        <v>422</v>
      </c>
      <c r="F960" s="11" t="s">
        <v>697</v>
      </c>
      <c r="G960" s="118" t="s">
        <v>698</v>
      </c>
      <c r="H960" s="2" t="s">
        <v>2293</v>
      </c>
      <c r="I960" s="30" t="s">
        <v>1932</v>
      </c>
      <c r="J960" s="22">
        <v>45578</v>
      </c>
      <c r="K960" s="8">
        <v>45944</v>
      </c>
      <c r="L960" s="23">
        <f>_xlfn.DAYS(Tabla1[[#This Row],[FECHA FIN ]],Tabla1[[#This Row],[FECHA INICIO]])</f>
        <v>366</v>
      </c>
      <c r="M960" s="12"/>
      <c r="N960" s="12">
        <v>460</v>
      </c>
      <c r="O960" s="24">
        <f>(Tabla1[[#This Row],[COSTO FIJO ]]/30)*Tabla1[[#This Row],[TOTAL DIAS PROYECTO]]+(Tabla1[[#This Row],[COSTO TEMPORAL]])</f>
        <v>5612</v>
      </c>
      <c r="P960" s="12">
        <v>80</v>
      </c>
      <c r="Q960" s="12">
        <f>+(Tabla1[[#This Row],[COSTO COCHE]]/30)*Tabla1[[#This Row],[TOTAL DIAS PROYECTO]]</f>
        <v>976</v>
      </c>
      <c r="R960" s="12">
        <f>+Tabla1[[#This Row],[COSTO TOTAL ALOJAMIENTO]]+Tabla1[[#This Row],[COSTO TOTAL COCHE]]</f>
        <v>6588</v>
      </c>
      <c r="S960" s="2"/>
      <c r="T960" s="2" t="s">
        <v>35</v>
      </c>
      <c r="U960" s="14">
        <v>45578</v>
      </c>
      <c r="V960" s="79"/>
      <c r="W960" s="26">
        <v>2760</v>
      </c>
      <c r="X960" s="2">
        <v>1</v>
      </c>
      <c r="Y960" s="11" t="s">
        <v>2294</v>
      </c>
      <c r="Z960" s="2" t="s">
        <v>36</v>
      </c>
      <c r="AA960" s="13">
        <v>-326.69799999999998</v>
      </c>
      <c r="AB960" s="13" t="s">
        <v>10373</v>
      </c>
    </row>
    <row r="961" spans="1:28" ht="15" customHeight="1">
      <c r="A961" s="2" t="s">
        <v>8695</v>
      </c>
      <c r="B961" s="2" t="s">
        <v>28</v>
      </c>
      <c r="C961" s="31" t="s">
        <v>319</v>
      </c>
      <c r="D961" s="2" t="s">
        <v>30</v>
      </c>
      <c r="E961" s="2" t="s">
        <v>422</v>
      </c>
      <c r="F961" s="11" t="s">
        <v>2295</v>
      </c>
      <c r="G961" s="30" t="s">
        <v>2296</v>
      </c>
      <c r="H961" s="2" t="s">
        <v>2297</v>
      </c>
      <c r="I961" s="2" t="s">
        <v>426</v>
      </c>
      <c r="J961" s="41">
        <f>+Tabla1[[#This Row],[FECHA ENTRADA]]</f>
        <v>45598</v>
      </c>
      <c r="K961" s="8">
        <v>45626</v>
      </c>
      <c r="L961" s="42">
        <f>_xlfn.DAYS(Tabla1[[#This Row],[FECHA FIN ]],Tabla1[[#This Row],[FECHA INICIO]])</f>
        <v>28</v>
      </c>
      <c r="M961" s="12">
        <f>228+38</f>
        <v>266</v>
      </c>
      <c r="N961" s="28">
        <v>400</v>
      </c>
      <c r="O961" s="28">
        <f>(Tabla1[[#This Row],[COSTO FIJO ]]/30)*Tabla1[[#This Row],[TOTAL DIAS PROYECTO]]+(Tabla1[[#This Row],[COSTO TEMPORAL]])</f>
        <v>639.33333333333337</v>
      </c>
      <c r="P961" s="12"/>
      <c r="Q961" s="12">
        <f>+(Tabla1[[#This Row],[COSTO COCHE]]/30)*Tabla1[[#This Row],[TOTAL DIAS PROYECTO]]</f>
        <v>0</v>
      </c>
      <c r="R961" s="12">
        <f>+Tabla1[[#This Row],[COSTO TOTAL ALOJAMIENTO]]+Tabla1[[#This Row],[COSTO TOTAL COCHE]]</f>
        <v>639.33333333333337</v>
      </c>
      <c r="S961" s="2"/>
      <c r="T961" s="2" t="s">
        <v>35</v>
      </c>
      <c r="U961" s="14">
        <v>45598</v>
      </c>
      <c r="V961" s="43"/>
      <c r="W961" s="26"/>
      <c r="X961" s="2">
        <v>1</v>
      </c>
      <c r="Y961" s="11" t="s">
        <v>2298</v>
      </c>
      <c r="Z961" s="2" t="s">
        <v>36</v>
      </c>
      <c r="AA961" s="13">
        <v>-326.69799999999998</v>
      </c>
      <c r="AB961" s="13" t="s">
        <v>10373</v>
      </c>
    </row>
    <row r="962" spans="1:28" ht="15" customHeight="1">
      <c r="A962" s="2" t="s">
        <v>9168</v>
      </c>
      <c r="B962" s="2" t="s">
        <v>368</v>
      </c>
      <c r="C962" s="11" t="s">
        <v>2299</v>
      </c>
      <c r="D962" s="2" t="s">
        <v>30</v>
      </c>
      <c r="E962" s="2" t="s">
        <v>422</v>
      </c>
      <c r="F962" s="11" t="s">
        <v>697</v>
      </c>
      <c r="G962" s="46" t="s">
        <v>698</v>
      </c>
      <c r="H962" s="2" t="s">
        <v>2300</v>
      </c>
      <c r="I962" s="12" t="s">
        <v>666</v>
      </c>
      <c r="J962" s="41">
        <f>+Tabla1[[#This Row],[FECHA ENTRADA]]</f>
        <v>45603</v>
      </c>
      <c r="K962" s="22">
        <v>45800</v>
      </c>
      <c r="L962" s="42">
        <f>_xlfn.DAYS(Tabla1[[#This Row],[FECHA FIN ]],Tabla1[[#This Row],[FECHA INICIO]])</f>
        <v>197</v>
      </c>
      <c r="M962" s="12"/>
      <c r="N962" s="12"/>
      <c r="O962" s="28">
        <f>(Tabla1[[#This Row],[COSTO FIJO ]]/30)*Tabla1[[#This Row],[TOTAL DIAS PROYECTO]]+(Tabla1[[#This Row],[COSTO TEMPORAL]])</f>
        <v>0</v>
      </c>
      <c r="P962" s="12"/>
      <c r="Q962" s="12">
        <f>+(Tabla1[[#This Row],[COSTO COCHE]]/30)*Tabla1[[#This Row],[TOTAL DIAS PROYECTO]]</f>
        <v>0</v>
      </c>
      <c r="R962" s="12">
        <f>+Tabla1[[#This Row],[COSTO TOTAL ALOJAMIENTO]]+Tabla1[[#This Row],[COSTO TOTAL COCHE]]</f>
        <v>0</v>
      </c>
      <c r="S962" s="2"/>
      <c r="T962" s="2" t="s">
        <v>35</v>
      </c>
      <c r="U962" s="14">
        <v>45603</v>
      </c>
      <c r="V962" s="43"/>
      <c r="W962" s="26"/>
      <c r="X962" s="2">
        <v>1</v>
      </c>
      <c r="Y962" s="11" t="s">
        <v>2301</v>
      </c>
      <c r="Z962" s="2" t="s">
        <v>36</v>
      </c>
      <c r="AA962" s="13">
        <v>-326.69799999999998</v>
      </c>
      <c r="AB962" s="13" t="s">
        <v>10373</v>
      </c>
    </row>
    <row r="963" spans="1:28" ht="15" customHeight="1">
      <c r="A963" s="2" t="s">
        <v>8708</v>
      </c>
      <c r="B963" s="2" t="s">
        <v>368</v>
      </c>
      <c r="C963" s="99" t="s">
        <v>388</v>
      </c>
      <c r="D963" s="2" t="s">
        <v>30</v>
      </c>
      <c r="E963" s="2" t="s">
        <v>422</v>
      </c>
      <c r="F963" s="11" t="s">
        <v>2183</v>
      </c>
      <c r="G963" s="11" t="s">
        <v>698</v>
      </c>
      <c r="H963" s="2" t="s">
        <v>2302</v>
      </c>
      <c r="I963" t="s">
        <v>1932</v>
      </c>
      <c r="J963" s="22">
        <f>+Tabla1[[#This Row],[FECHA ENTRADA]]</f>
        <v>45606</v>
      </c>
      <c r="K963" s="8">
        <v>45734</v>
      </c>
      <c r="L963" s="23">
        <f>_xlfn.DAYS(Tabla1[[#This Row],[FECHA FIN ]],Tabla1[[#This Row],[FECHA INICIO]])</f>
        <v>128</v>
      </c>
      <c r="M963" s="12"/>
      <c r="N963" s="12">
        <v>316</v>
      </c>
      <c r="O963" s="24">
        <f>(Tabla1[[#This Row],[COSTO FIJO ]]/30)*Tabla1[[#This Row],[TOTAL DIAS PROYECTO]]+(Tabla1[[#This Row],[COSTO TEMPORAL]])</f>
        <v>1348.2666666666667</v>
      </c>
      <c r="P963" s="12"/>
      <c r="Q963" s="12">
        <f>+(Tabla1[[#This Row],[COSTO COCHE]]/30)*Tabla1[[#This Row],[TOTAL DIAS PROYECTO]]</f>
        <v>0</v>
      </c>
      <c r="R963" s="12">
        <f>+Tabla1[[#This Row],[COSTO TOTAL ALOJAMIENTO]]+Tabla1[[#This Row],[COSTO TOTAL COCHE]]</f>
        <v>1348.2666666666667</v>
      </c>
      <c r="S963" s="2"/>
      <c r="T963" s="2" t="s">
        <v>35</v>
      </c>
      <c r="U963" s="14">
        <v>45606</v>
      </c>
      <c r="V963" s="25"/>
      <c r="W963" s="26"/>
      <c r="X963" s="2">
        <v>1</v>
      </c>
      <c r="Y963" s="11"/>
      <c r="Z963" s="2" t="s">
        <v>36</v>
      </c>
      <c r="AA963" s="13">
        <v>-326.69799999999998</v>
      </c>
      <c r="AB963" s="13" t="s">
        <v>10373</v>
      </c>
    </row>
    <row r="964" spans="1:28" ht="15" customHeight="1">
      <c r="A964" s="2" t="s">
        <v>9169</v>
      </c>
      <c r="B964" s="2" t="s">
        <v>28</v>
      </c>
      <c r="C964" s="18" t="s">
        <v>2303</v>
      </c>
      <c r="D964" s="2" t="s">
        <v>30</v>
      </c>
      <c r="E964" s="2" t="s">
        <v>253</v>
      </c>
      <c r="F964" s="11" t="s">
        <v>254</v>
      </c>
      <c r="G964" s="11" t="s">
        <v>255</v>
      </c>
      <c r="H964" s="2" t="s">
        <v>1262</v>
      </c>
      <c r="I964" s="12" t="s">
        <v>1263</v>
      </c>
      <c r="J964" s="22">
        <f>+Tabla1[[#This Row],[FECHA ENTRADA]]</f>
        <v>45616</v>
      </c>
      <c r="K964" s="22">
        <v>45821</v>
      </c>
      <c r="L964" s="23">
        <f>_xlfn.DAYS(Tabla1[[#This Row],[FECHA FIN ]],Tabla1[[#This Row],[FECHA INICIO]])</f>
        <v>205</v>
      </c>
      <c r="M964" s="12"/>
      <c r="N964" s="12">
        <f>1811.6/17</f>
        <v>106.56470588235294</v>
      </c>
      <c r="O964" s="24">
        <f>(Tabla1[[#This Row],[COSTO FIJO ]]/30)*Tabla1[[#This Row],[TOTAL DIAS PROYECTO]]+(Tabla1[[#This Row],[COSTO TEMPORAL]])</f>
        <v>728.19215686274515</v>
      </c>
      <c r="P964" s="12"/>
      <c r="Q964" s="12">
        <f>+(Tabla1[[#This Row],[COSTO COCHE]]/30)*Tabla1[[#This Row],[TOTAL DIAS PROYECTO]]</f>
        <v>0</v>
      </c>
      <c r="R964" s="12">
        <f>+Tabla1[[#This Row],[COSTO TOTAL ALOJAMIENTO]]+Tabla1[[#This Row],[COSTO TOTAL COCHE]]</f>
        <v>728.19215686274515</v>
      </c>
      <c r="S964" s="2"/>
      <c r="T964" s="2" t="s">
        <v>35</v>
      </c>
      <c r="U964" s="14">
        <v>45616</v>
      </c>
      <c r="V964" s="79"/>
      <c r="W964" s="26"/>
      <c r="X964" s="2">
        <v>1</v>
      </c>
      <c r="Y964" s="11"/>
      <c r="Z964" s="2" t="s">
        <v>36</v>
      </c>
      <c r="AA964" s="13" t="s">
        <v>10357</v>
      </c>
      <c r="AB964" s="13" t="s">
        <v>10358</v>
      </c>
    </row>
    <row r="965" spans="1:28" ht="15" customHeight="1">
      <c r="A965" s="2" t="s">
        <v>8933</v>
      </c>
      <c r="B965" s="2" t="s">
        <v>368</v>
      </c>
      <c r="C965" s="18" t="s">
        <v>1339</v>
      </c>
      <c r="D965" s="2" t="s">
        <v>30</v>
      </c>
      <c r="E965" s="2" t="s">
        <v>422</v>
      </c>
      <c r="F965" s="11" t="s">
        <v>697</v>
      </c>
      <c r="G965" s="11" t="s">
        <v>698</v>
      </c>
      <c r="H965" s="2" t="s">
        <v>2304</v>
      </c>
      <c r="I965" s="12" t="s">
        <v>670</v>
      </c>
      <c r="J965" s="41">
        <v>45626</v>
      </c>
      <c r="K965" s="8">
        <v>45639</v>
      </c>
      <c r="L965" s="42">
        <f>_xlfn.DAYS(Tabla1[[#This Row],[FECHA FIN ]],Tabla1[[#This Row],[FECHA INICIO]])</f>
        <v>13</v>
      </c>
      <c r="M965" s="12"/>
      <c r="N965" s="12">
        <v>345</v>
      </c>
      <c r="O965" s="28">
        <f>(Tabla1[[#This Row],[COSTO FIJO ]]/30)*Tabla1[[#This Row],[TOTAL DIAS PROYECTO]]+(Tabla1[[#This Row],[COSTO TEMPORAL]])</f>
        <v>149.5</v>
      </c>
      <c r="P965" s="12"/>
      <c r="Q965" s="12">
        <f>+(Tabla1[[#This Row],[COSTO COCHE]]/30)*Tabla1[[#This Row],[TOTAL DIAS PROYECTO]]</f>
        <v>0</v>
      </c>
      <c r="R965" s="12">
        <f>+Tabla1[[#This Row],[COSTO TOTAL ALOJAMIENTO]]+Tabla1[[#This Row],[COSTO TOTAL COCHE]]</f>
        <v>149.5</v>
      </c>
      <c r="S965" s="2"/>
      <c r="T965" s="2" t="s">
        <v>35</v>
      </c>
      <c r="U965" s="14">
        <v>45626</v>
      </c>
      <c r="V965" s="43"/>
      <c r="W965" s="26"/>
      <c r="X965" s="2">
        <v>1</v>
      </c>
      <c r="Y965" s="11"/>
      <c r="Z965" s="2" t="s">
        <v>36</v>
      </c>
      <c r="AA965" s="13">
        <v>-326.69799999999998</v>
      </c>
      <c r="AB965" s="13" t="s">
        <v>10373</v>
      </c>
    </row>
    <row r="966" spans="1:28" ht="15" customHeight="1">
      <c r="A966" s="2" t="s">
        <v>8695</v>
      </c>
      <c r="B966" s="2" t="s">
        <v>28</v>
      </c>
      <c r="C966" s="99" t="s">
        <v>319</v>
      </c>
      <c r="D966" s="2" t="s">
        <v>30</v>
      </c>
      <c r="E966" s="2" t="s">
        <v>422</v>
      </c>
      <c r="F966" s="11" t="s">
        <v>956</v>
      </c>
      <c r="G966" s="11" t="s">
        <v>957</v>
      </c>
      <c r="H966" s="2" t="s">
        <v>2297</v>
      </c>
      <c r="I966" s="2" t="s">
        <v>426</v>
      </c>
      <c r="J966" s="41">
        <v>45626</v>
      </c>
      <c r="K966" s="8">
        <v>45807</v>
      </c>
      <c r="L966" s="42">
        <f>_xlfn.DAYS(Tabla1[[#This Row],[FECHA FIN ]],Tabla1[[#This Row],[FECHA INICIO]])</f>
        <v>181</v>
      </c>
      <c r="M966" s="12"/>
      <c r="N966" s="20">
        <v>275</v>
      </c>
      <c r="O966" s="28">
        <f>(Tabla1[[#This Row],[COSTO FIJO ]]/30)*Tabla1[[#This Row],[TOTAL DIAS PROYECTO]]+(Tabla1[[#This Row],[COSTO TEMPORAL]])</f>
        <v>1659.1666666666665</v>
      </c>
      <c r="P966" s="12"/>
      <c r="Q966" s="12">
        <f>+(Tabla1[[#This Row],[COSTO COCHE]]/30)*Tabla1[[#This Row],[TOTAL DIAS PROYECTO]]</f>
        <v>0</v>
      </c>
      <c r="R966" s="12">
        <f>+Tabla1[[#This Row],[COSTO TOTAL ALOJAMIENTO]]+Tabla1[[#This Row],[COSTO TOTAL COCHE]]</f>
        <v>1659.1666666666665</v>
      </c>
      <c r="S966" s="2"/>
      <c r="T966" s="2" t="s">
        <v>35</v>
      </c>
      <c r="U966" s="14">
        <v>45598</v>
      </c>
      <c r="V966" s="43"/>
      <c r="W966" s="26">
        <v>2200</v>
      </c>
      <c r="X966" s="2">
        <v>1</v>
      </c>
      <c r="Y966" s="11" t="s">
        <v>1166</v>
      </c>
      <c r="Z966" s="2" t="s">
        <v>36</v>
      </c>
      <c r="AA966" s="13">
        <v>-326.69799999999998</v>
      </c>
      <c r="AB966" s="13" t="s">
        <v>10373</v>
      </c>
    </row>
    <row r="967" spans="1:28" ht="15" customHeight="1">
      <c r="A967" s="2" t="s">
        <v>9170</v>
      </c>
      <c r="B967" s="2" t="s">
        <v>28</v>
      </c>
      <c r="C967" s="18" t="s">
        <v>2305</v>
      </c>
      <c r="D967" s="2" t="s">
        <v>30</v>
      </c>
      <c r="E967" s="2" t="s">
        <v>422</v>
      </c>
      <c r="F967" s="11" t="s">
        <v>697</v>
      </c>
      <c r="G967" s="11" t="s">
        <v>698</v>
      </c>
      <c r="H967" s="2" t="s">
        <v>2306</v>
      </c>
      <c r="I967" s="2" t="s">
        <v>426</v>
      </c>
      <c r="J967" s="41">
        <f>+Tabla1[[#This Row],[FECHA ENTRADA]]</f>
        <v>45627</v>
      </c>
      <c r="K967" s="22">
        <v>45637</v>
      </c>
      <c r="L967" s="42">
        <f>_xlfn.DAYS(Tabla1[[#This Row],[FECHA FIN ]],Tabla1[[#This Row],[FECHA INICIO]])</f>
        <v>10</v>
      </c>
      <c r="M967" s="12"/>
      <c r="N967" s="24"/>
      <c r="O967" s="28">
        <f>(Tabla1[[#This Row],[COSTO FIJO ]]/30)*Tabla1[[#This Row],[TOTAL DIAS PROYECTO]]+(Tabla1[[#This Row],[COSTO TEMPORAL]])</f>
        <v>0</v>
      </c>
      <c r="P967" s="12"/>
      <c r="Q967" s="12">
        <f>+(Tabla1[[#This Row],[COSTO COCHE]]/30)*Tabla1[[#This Row],[TOTAL DIAS PROYECTO]]</f>
        <v>0</v>
      </c>
      <c r="R967" s="12">
        <f>+Tabla1[[#This Row],[COSTO TOTAL ALOJAMIENTO]]+Tabla1[[#This Row],[COSTO TOTAL COCHE]]</f>
        <v>0</v>
      </c>
      <c r="S967" s="2"/>
      <c r="T967" s="2" t="s">
        <v>35</v>
      </c>
      <c r="U967" s="14">
        <v>45627</v>
      </c>
      <c r="V967" s="43"/>
      <c r="W967" s="26"/>
      <c r="X967" s="2">
        <v>1</v>
      </c>
      <c r="Y967" s="11" t="s">
        <v>1120</v>
      </c>
      <c r="Z967" s="2" t="s">
        <v>36</v>
      </c>
      <c r="AA967" s="13">
        <v>-326.69799999999998</v>
      </c>
      <c r="AB967" s="13" t="s">
        <v>10373</v>
      </c>
    </row>
    <row r="968" spans="1:28" ht="15" customHeight="1">
      <c r="A968" s="2" t="s">
        <v>8764</v>
      </c>
      <c r="B968" s="2" t="s">
        <v>28</v>
      </c>
      <c r="C968" s="18" t="s">
        <v>644</v>
      </c>
      <c r="D968" s="2" t="s">
        <v>30</v>
      </c>
      <c r="E968" s="2" t="s">
        <v>422</v>
      </c>
      <c r="F968" s="11" t="s">
        <v>697</v>
      </c>
      <c r="G968" s="11" t="s">
        <v>698</v>
      </c>
      <c r="H968" s="2" t="s">
        <v>2306</v>
      </c>
      <c r="I968" s="2" t="s">
        <v>426</v>
      </c>
      <c r="J968" s="41">
        <f>+Tabla1[[#This Row],[FECHA ENTRADA]]</f>
        <v>45627</v>
      </c>
      <c r="K968" s="22">
        <v>45637</v>
      </c>
      <c r="L968" s="42">
        <f>_xlfn.DAYS(Tabla1[[#This Row],[FECHA FIN ]],Tabla1[[#This Row],[FECHA INICIO]])</f>
        <v>10</v>
      </c>
      <c r="M968" s="12"/>
      <c r="N968" s="12">
        <v>345</v>
      </c>
      <c r="O968" s="28">
        <f>(Tabla1[[#This Row],[COSTO FIJO ]]/30)*Tabla1[[#This Row],[TOTAL DIAS PROYECTO]]+(Tabla1[[#This Row],[COSTO TEMPORAL]])</f>
        <v>115</v>
      </c>
      <c r="P968" s="12"/>
      <c r="Q968" s="12">
        <f>+(Tabla1[[#This Row],[COSTO COCHE]]/30)*Tabla1[[#This Row],[TOTAL DIAS PROYECTO]]</f>
        <v>0</v>
      </c>
      <c r="R968" s="12">
        <f>+Tabla1[[#This Row],[COSTO TOTAL ALOJAMIENTO]]+Tabla1[[#This Row],[COSTO TOTAL COCHE]]</f>
        <v>115</v>
      </c>
      <c r="S968" s="2"/>
      <c r="T968" s="2" t="s">
        <v>35</v>
      </c>
      <c r="U968" s="14">
        <v>45627</v>
      </c>
      <c r="V968" s="43"/>
      <c r="W968" s="26"/>
      <c r="X968" s="2">
        <v>1</v>
      </c>
      <c r="Y968" s="11" t="s">
        <v>1120</v>
      </c>
      <c r="Z968" s="2" t="s">
        <v>36</v>
      </c>
      <c r="AA968" s="13">
        <v>-326.69799999999998</v>
      </c>
      <c r="AB968" s="13" t="s">
        <v>10373</v>
      </c>
    </row>
    <row r="969" spans="1:28" ht="15" customHeight="1">
      <c r="A969" s="2" t="s">
        <v>8969</v>
      </c>
      <c r="B969" s="2" t="s">
        <v>368</v>
      </c>
      <c r="C969" s="11" t="s">
        <v>1533</v>
      </c>
      <c r="D969" s="2" t="s">
        <v>99</v>
      </c>
      <c r="E969" s="2" t="s">
        <v>109</v>
      </c>
      <c r="F969" s="11" t="s">
        <v>2307</v>
      </c>
      <c r="G969" t="s">
        <v>2308</v>
      </c>
      <c r="H969" s="2" t="s">
        <v>2007</v>
      </c>
      <c r="I969" s="12" t="s">
        <v>42</v>
      </c>
      <c r="J969" s="22">
        <f>+Tabla1[[#This Row],[FECHA ENTRADA]]</f>
        <v>45706</v>
      </c>
      <c r="K969" s="22">
        <v>45730</v>
      </c>
      <c r="L969" s="23">
        <f>_xlfn.DAYS(Tabla1[[#This Row],[FECHA FIN ]],Tabla1[[#This Row],[FECHA INICIO]])</f>
        <v>24</v>
      </c>
      <c r="M969" s="12">
        <f>1808.18/4</f>
        <v>452.04500000000002</v>
      </c>
      <c r="N969" s="20"/>
      <c r="O969" s="24">
        <f>(Tabla1[[#This Row],[COSTO FIJO ]]/30)*Tabla1[[#This Row],[TOTAL DIAS PROYECTO]]+(Tabla1[[#This Row],[COSTO TEMPORAL]])</f>
        <v>452.04500000000002</v>
      </c>
      <c r="P969" s="12">
        <f>400/5</f>
        <v>80</v>
      </c>
      <c r="Q969" s="12">
        <f>+(Tabla1[[#This Row],[COSTO COCHE]]/30)*Tabla1[[#This Row],[TOTAL DIAS PROYECTO]]</f>
        <v>64</v>
      </c>
      <c r="R969" s="12">
        <f>+Tabla1[[#This Row],[COSTO TOTAL ALOJAMIENTO]]+Tabla1[[#This Row],[COSTO TOTAL COCHE]]</f>
        <v>516.04500000000007</v>
      </c>
      <c r="S969" s="2" t="s">
        <v>403</v>
      </c>
      <c r="T969" s="2" t="s">
        <v>44</v>
      </c>
      <c r="U969" s="14">
        <v>45706</v>
      </c>
      <c r="V969" s="25">
        <v>45730</v>
      </c>
      <c r="W969" s="26"/>
      <c r="X969" s="2"/>
      <c r="Y969" s="11" t="s">
        <v>1166</v>
      </c>
      <c r="Z969" s="2" t="s">
        <v>36</v>
      </c>
      <c r="AA969" s="13">
        <v>0.62217999999999996</v>
      </c>
      <c r="AB969" s="13" t="s">
        <v>10339</v>
      </c>
    </row>
    <row r="970" spans="1:28">
      <c r="A970" s="2" t="s">
        <v>8994</v>
      </c>
      <c r="B970" s="2" t="s">
        <v>368</v>
      </c>
      <c r="C970" s="11" t="s">
        <v>1617</v>
      </c>
      <c r="D970" s="2" t="s">
        <v>30</v>
      </c>
      <c r="E970" s="2" t="s">
        <v>55</v>
      </c>
      <c r="F970" s="11" t="s">
        <v>1776</v>
      </c>
      <c r="G970" s="87" t="s">
        <v>106</v>
      </c>
      <c r="H970" s="2" t="s">
        <v>1360</v>
      </c>
      <c r="I970" s="30" t="s">
        <v>1620</v>
      </c>
      <c r="J970" s="41">
        <f>+Tabla1[[#This Row],[FECHA ENTRADA]]</f>
        <v>45710</v>
      </c>
      <c r="K970" s="41">
        <v>45797</v>
      </c>
      <c r="L970" s="42">
        <f>_xlfn.DAYS(Tabla1[[#This Row],[FECHA FIN ]],Tabla1[[#This Row],[FECHA INICIO]])</f>
        <v>87</v>
      </c>
      <c r="M970" s="12"/>
      <c r="N970" s="28">
        <v>483.33333333333331</v>
      </c>
      <c r="O970" s="28">
        <f>(Tabla1[[#This Row],[COSTO FIJO ]]/30)*Tabla1[[#This Row],[TOTAL DIAS PROYECTO]]+(Tabla1[[#This Row],[COSTO TEMPORAL]])</f>
        <v>1401.6666666666667</v>
      </c>
      <c r="P970" s="12">
        <v>80</v>
      </c>
      <c r="Q970" s="12"/>
      <c r="R970" s="12">
        <f>+Tabla1[[#This Row],[COSTO TOTAL ALOJAMIENTO]]+Tabla1[[#This Row],[COSTO TOTAL COCHE]]</f>
        <v>1401.6666666666667</v>
      </c>
      <c r="S970" s="2"/>
      <c r="T970" s="2" t="s">
        <v>35</v>
      </c>
      <c r="U970" s="14">
        <v>45710</v>
      </c>
      <c r="V970" s="43"/>
      <c r="W970" s="26">
        <v>600</v>
      </c>
      <c r="X970" s="2">
        <v>1</v>
      </c>
      <c r="Y970" s="11" t="s">
        <v>2309</v>
      </c>
      <c r="Z970" s="2" t="s">
        <v>36</v>
      </c>
      <c r="AA970" s="13" t="s">
        <v>10327</v>
      </c>
      <c r="AB970" s="13" t="s">
        <v>10328</v>
      </c>
    </row>
    <row r="971" spans="1:28" ht="15" customHeight="1">
      <c r="A971" s="2" t="s">
        <v>9171</v>
      </c>
      <c r="B971" s="2" t="s">
        <v>28</v>
      </c>
      <c r="C971" s="11" t="s">
        <v>2310</v>
      </c>
      <c r="D971" s="2" t="s">
        <v>30</v>
      </c>
      <c r="E971" s="2" t="s">
        <v>245</v>
      </c>
      <c r="F971" s="11" t="s">
        <v>2209</v>
      </c>
      <c r="G971" s="46" t="s">
        <v>2210</v>
      </c>
      <c r="H971" s="2" t="s">
        <v>2211</v>
      </c>
      <c r="I971" s="12" t="s">
        <v>249</v>
      </c>
      <c r="J971" s="41">
        <f>+Tabla1[[#This Row],[FECHA ENTRADA]]</f>
        <v>45685</v>
      </c>
      <c r="K971" s="22">
        <v>45757</v>
      </c>
      <c r="L971" s="42">
        <f>_xlfn.DAYS(Tabla1[[#This Row],[FECHA FIN ]],Tabla1[[#This Row],[FECHA INICIO]])</f>
        <v>72</v>
      </c>
      <c r="M971" s="12"/>
      <c r="N971" s="12">
        <v>442.93</v>
      </c>
      <c r="O971" s="28">
        <f>(Tabla1[[#This Row],[COSTO FIJO ]]/30)*Tabla1[[#This Row],[TOTAL DIAS PROYECTO]]+(Tabla1[[#This Row],[COSTO TEMPORAL]])</f>
        <v>1063.0319999999999</v>
      </c>
      <c r="P971" s="12">
        <v>76.92307692307692</v>
      </c>
      <c r="Q971" s="12">
        <f>+(Tabla1[[#This Row],[COSTO COCHE]]/30)*Tabla1[[#This Row],[TOTAL DIAS PROYECTO]]</f>
        <v>184.61538461538458</v>
      </c>
      <c r="R971" s="12">
        <f>+Tabla1[[#This Row],[COSTO TOTAL ALOJAMIENTO]]+Tabla1[[#This Row],[COSTO TOTAL COCHE]]</f>
        <v>1247.6473846153845</v>
      </c>
      <c r="S971" s="2" t="s">
        <v>84</v>
      </c>
      <c r="T971" s="2" t="s">
        <v>44</v>
      </c>
      <c r="U971" s="14">
        <v>45685</v>
      </c>
      <c r="V971" s="43">
        <v>45764</v>
      </c>
      <c r="W971" s="26"/>
      <c r="X971" s="2"/>
      <c r="Y971" s="11" t="s">
        <v>2311</v>
      </c>
      <c r="Z971" s="2" t="s">
        <v>36</v>
      </c>
      <c r="AA971" s="13" t="s">
        <v>10355</v>
      </c>
      <c r="AB971" s="13" t="s">
        <v>10356</v>
      </c>
    </row>
    <row r="972" spans="1:28" ht="15" customHeight="1">
      <c r="A972" s="2" t="s">
        <v>9172</v>
      </c>
      <c r="B972" s="2" t="s">
        <v>28</v>
      </c>
      <c r="C972" s="11" t="s">
        <v>2312</v>
      </c>
      <c r="D972" s="2" t="s">
        <v>99</v>
      </c>
      <c r="E972" s="2" t="s">
        <v>253</v>
      </c>
      <c r="F972" s="11" t="s">
        <v>1984</v>
      </c>
      <c r="G972" s="49" t="s">
        <v>1985</v>
      </c>
      <c r="H972" s="2" t="s">
        <v>2313</v>
      </c>
      <c r="I972" s="12" t="s">
        <v>256</v>
      </c>
      <c r="J972" s="22">
        <f>+Tabla1[[#This Row],[FECHA ENTRADA]]</f>
        <v>45786</v>
      </c>
      <c r="K972" s="22">
        <v>45797</v>
      </c>
      <c r="L972" s="42">
        <f>_xlfn.DAYS(Tabla1[[#This Row],[FECHA FIN ]],Tabla1[[#This Row],[FECHA INICIO]])</f>
        <v>11</v>
      </c>
      <c r="M972" s="12"/>
      <c r="N972" s="28">
        <v>100</v>
      </c>
      <c r="O972" s="28">
        <f>(Tabla1[[#This Row],[COSTO FIJO ]]/30)*Tabla1[[#This Row],[TOTAL DIAS PROYECTO]]+(Tabla1[[#This Row],[COSTO TEMPORAL]])</f>
        <v>36.666666666666671</v>
      </c>
      <c r="P972" s="12"/>
      <c r="Q972" s="12">
        <f>+(Tabla1[[#This Row],[COSTO COCHE]]/30)*Tabla1[[#This Row],[TOTAL DIAS PROYECTO]]</f>
        <v>0</v>
      </c>
      <c r="R972" s="12">
        <f>+Tabla1[[#This Row],[COSTO TOTAL ALOJAMIENTO]]+Tabla1[[#This Row],[COSTO TOTAL COCHE]]</f>
        <v>36.666666666666671</v>
      </c>
      <c r="S972" s="2"/>
      <c r="T972" s="2" t="s">
        <v>528</v>
      </c>
      <c r="U972" s="14">
        <v>45786</v>
      </c>
      <c r="V972" s="43">
        <v>45797</v>
      </c>
      <c r="W972" s="26"/>
      <c r="X972" s="2"/>
      <c r="Y972" s="11" t="s">
        <v>1166</v>
      </c>
      <c r="Z972" s="2" t="s">
        <v>36</v>
      </c>
      <c r="AA972" s="13" t="s">
        <v>10357</v>
      </c>
      <c r="AB972" s="13" t="s">
        <v>10358</v>
      </c>
    </row>
    <row r="973" spans="1:28">
      <c r="A973" s="2" t="s">
        <v>8673</v>
      </c>
      <c r="B973" s="2" t="s">
        <v>368</v>
      </c>
      <c r="C973" s="11" t="s">
        <v>235</v>
      </c>
      <c r="D973" s="2" t="s">
        <v>30</v>
      </c>
      <c r="E973" s="2" t="s">
        <v>447</v>
      </c>
      <c r="F973" s="11"/>
      <c r="G973" s="49"/>
      <c r="H973" s="2" t="s">
        <v>842</v>
      </c>
      <c r="I973" s="12" t="s">
        <v>843</v>
      </c>
      <c r="J973" s="22">
        <v>45627</v>
      </c>
      <c r="K973" s="8">
        <v>45797</v>
      </c>
      <c r="L973" s="23">
        <f>_xlfn.DAYS(Tabla1[[#This Row],[FECHA FIN ]],Tabla1[[#This Row],[FECHA INICIO]])</f>
        <v>170</v>
      </c>
      <c r="M973" s="12"/>
      <c r="N973" s="12"/>
      <c r="O973" s="24">
        <f>(Tabla1[[#This Row],[COSTO FIJO ]]/30)*Tabla1[[#This Row],[TOTAL DIAS PROYECTO]]+(Tabla1[[#This Row],[COSTO TEMPORAL]])</f>
        <v>0</v>
      </c>
      <c r="P973" s="12">
        <f>1000/15</f>
        <v>66.666666666666671</v>
      </c>
      <c r="Q973" s="12">
        <f>+(Tabla1[[#This Row],[COSTO COCHE]]/30)*Tabla1[[#This Row],[TOTAL DIAS PROYECTO]]</f>
        <v>377.77777777777777</v>
      </c>
      <c r="R973" s="12">
        <f>+Tabla1[[#This Row],[COSTO TOTAL ALOJAMIENTO]]+Tabla1[[#This Row],[COSTO TOTAL COCHE]]</f>
        <v>377.77777777777777</v>
      </c>
      <c r="S973" s="2"/>
      <c r="T973" s="2" t="s">
        <v>58</v>
      </c>
      <c r="U973" s="14"/>
      <c r="V973" s="25"/>
      <c r="W973" s="26"/>
      <c r="X973" s="2"/>
      <c r="Y973" s="11" t="s">
        <v>2314</v>
      </c>
      <c r="Z973" s="2" t="s">
        <v>36</v>
      </c>
      <c r="AA973" s="13">
        <v>-697.06100000000004</v>
      </c>
      <c r="AB973" s="13" t="s">
        <v>10377</v>
      </c>
    </row>
    <row r="974" spans="1:28" ht="15" customHeight="1">
      <c r="A974" s="2" t="s">
        <v>9173</v>
      </c>
      <c r="B974" s="2" t="s">
        <v>368</v>
      </c>
      <c r="C974" s="11" t="s">
        <v>2315</v>
      </c>
      <c r="D974" s="2" t="s">
        <v>30</v>
      </c>
      <c r="E974" s="2" t="s">
        <v>55</v>
      </c>
      <c r="F974" s="11" t="s">
        <v>1439</v>
      </c>
      <c r="G974" s="46" t="s">
        <v>1440</v>
      </c>
      <c r="H974" s="2" t="s">
        <v>1622</v>
      </c>
      <c r="I974" s="30" t="s">
        <v>1620</v>
      </c>
      <c r="J974" s="41">
        <f>+Tabla1[[#This Row],[FECHA ENTRADA]]</f>
        <v>45678</v>
      </c>
      <c r="K974" s="41">
        <v>45797</v>
      </c>
      <c r="L974" s="42">
        <f>_xlfn.DAYS(Tabla1[[#This Row],[FECHA FIN ]],Tabla1[[#This Row],[FECHA INICIO]])</f>
        <v>119</v>
      </c>
      <c r="M974" s="12"/>
      <c r="N974" s="12"/>
      <c r="O974" s="28">
        <f>(Tabla1[[#This Row],[COSTO FIJO ]]/30)*Tabla1[[#This Row],[TOTAL DIAS PROYECTO]]+(Tabla1[[#This Row],[COSTO TEMPORAL]])</f>
        <v>0</v>
      </c>
      <c r="P974" s="12">
        <v>80</v>
      </c>
      <c r="Q974" s="12"/>
      <c r="R974" s="12">
        <f>+Tabla1[[#This Row],[COSTO TOTAL ALOJAMIENTO]]+Tabla1[[#This Row],[COSTO TOTAL COCHE]]</f>
        <v>0</v>
      </c>
      <c r="S974" s="2"/>
      <c r="T974" s="2" t="s">
        <v>35</v>
      </c>
      <c r="U974" s="14">
        <v>45678</v>
      </c>
      <c r="V974" s="25">
        <v>45755</v>
      </c>
      <c r="W974" s="26"/>
      <c r="X974" s="2">
        <v>19</v>
      </c>
      <c r="Y974" s="11" t="s">
        <v>2316</v>
      </c>
      <c r="Z974" s="2" t="s">
        <v>36</v>
      </c>
      <c r="AA974" s="13" t="s">
        <v>10327</v>
      </c>
      <c r="AB974" s="13" t="s">
        <v>10328</v>
      </c>
    </row>
    <row r="975" spans="1:28" ht="15" customHeight="1">
      <c r="A975" s="2" t="s">
        <v>8706</v>
      </c>
      <c r="B975" s="2" t="s">
        <v>368</v>
      </c>
      <c r="C975" s="11" t="s">
        <v>379</v>
      </c>
      <c r="D975" s="2" t="s">
        <v>30</v>
      </c>
      <c r="E975" s="2" t="s">
        <v>447</v>
      </c>
      <c r="F975" s="11"/>
      <c r="G975" s="46"/>
      <c r="H975" s="2" t="s">
        <v>2317</v>
      </c>
      <c r="I975" s="12" t="s">
        <v>843</v>
      </c>
      <c r="J975" s="41">
        <f>+Tabla1[[#This Row],[FECHA ENTRADA]]</f>
        <v>45658</v>
      </c>
      <c r="K975" s="8">
        <v>45797</v>
      </c>
      <c r="L975" s="42">
        <f>_xlfn.DAYS(Tabla1[[#This Row],[FECHA FIN ]],Tabla1[[#This Row],[FECHA INICIO]])</f>
        <v>139</v>
      </c>
      <c r="M975" s="12"/>
      <c r="N975" s="12">
        <v>300</v>
      </c>
      <c r="O975" s="28">
        <f>(Tabla1[[#This Row],[COSTO FIJO ]]/30)*Tabla1[[#This Row],[TOTAL DIAS PROYECTO]]+(Tabla1[[#This Row],[COSTO TEMPORAL]])</f>
        <v>1390</v>
      </c>
      <c r="P975" s="12">
        <f>1000/15</f>
        <v>66.666666666666671</v>
      </c>
      <c r="Q975" s="12">
        <f>+(Tabla1[[#This Row],[COSTO COCHE]]/30)*Tabla1[[#This Row],[TOTAL DIAS PROYECTO]]</f>
        <v>308.88888888888891</v>
      </c>
      <c r="R975" s="12">
        <f>+Tabla1[[#This Row],[COSTO TOTAL ALOJAMIENTO]]+Tabla1[[#This Row],[COSTO TOTAL COCHE]]</f>
        <v>1698.8888888888889</v>
      </c>
      <c r="S975" s="2"/>
      <c r="T975" s="2" t="s">
        <v>58</v>
      </c>
      <c r="U975" s="14">
        <v>45658</v>
      </c>
      <c r="V975" s="43"/>
      <c r="W975" s="26"/>
      <c r="X975" s="2"/>
      <c r="Y975" s="11" t="s">
        <v>2318</v>
      </c>
      <c r="Z975" s="2" t="s">
        <v>36</v>
      </c>
      <c r="AA975" s="13">
        <v>-697.06100000000004</v>
      </c>
      <c r="AB975" s="13" t="s">
        <v>10377</v>
      </c>
    </row>
    <row r="976" spans="1:28">
      <c r="A976" s="2" t="s">
        <v>9174</v>
      </c>
      <c r="B976" s="2" t="s">
        <v>28</v>
      </c>
      <c r="C976" s="31" t="s">
        <v>2319</v>
      </c>
      <c r="D976" s="2" t="s">
        <v>99</v>
      </c>
      <c r="E976" s="2" t="s">
        <v>253</v>
      </c>
      <c r="F976" s="11" t="s">
        <v>581</v>
      </c>
      <c r="G976" s="11" t="s">
        <v>255</v>
      </c>
      <c r="H976" s="2" t="s">
        <v>2320</v>
      </c>
      <c r="I976" s="12" t="s">
        <v>2321</v>
      </c>
      <c r="J976" s="22">
        <f>+Tabla1[[#This Row],[FECHA ENTRADA]]</f>
        <v>45783</v>
      </c>
      <c r="K976" s="22">
        <v>45798</v>
      </c>
      <c r="L976" s="23">
        <f>_xlfn.DAYS(Tabla1[[#This Row],[FECHA FIN ]],Tabla1[[#This Row],[FECHA INICIO]])</f>
        <v>15</v>
      </c>
      <c r="M976" s="12"/>
      <c r="N976" s="24">
        <v>216.66666666666666</v>
      </c>
      <c r="O976" s="24">
        <f>(Tabla1[[#This Row],[COSTO FIJO ]]/30)*Tabla1[[#This Row],[TOTAL DIAS PROYECTO]]+(Tabla1[[#This Row],[COSTO TEMPORAL]])</f>
        <v>108.33333333333333</v>
      </c>
      <c r="P976" s="12"/>
      <c r="Q976" s="12">
        <f>+(Tabla1[[#This Row],[COSTO COCHE]]/30)*Tabla1[[#This Row],[TOTAL DIAS PROYECTO]]</f>
        <v>0</v>
      </c>
      <c r="R976" s="12">
        <f>+Tabla1[[#This Row],[COSTO TOTAL ALOJAMIENTO]]+Tabla1[[#This Row],[COSTO TOTAL COCHE]]</f>
        <v>108.33333333333333</v>
      </c>
      <c r="S976" s="2"/>
      <c r="T976" s="2" t="s">
        <v>35</v>
      </c>
      <c r="U976" s="14">
        <v>45783</v>
      </c>
      <c r="V976" s="79"/>
      <c r="W976" s="26"/>
      <c r="X976" s="2">
        <v>1</v>
      </c>
      <c r="Y976" s="11" t="s">
        <v>2322</v>
      </c>
      <c r="Z976" s="2" t="s">
        <v>36</v>
      </c>
      <c r="AA976" s="13" t="s">
        <v>10357</v>
      </c>
      <c r="AB976" s="13" t="s">
        <v>10358</v>
      </c>
    </row>
    <row r="977" spans="1:28" ht="15" customHeight="1">
      <c r="A977" s="2" t="s">
        <v>9175</v>
      </c>
      <c r="B977" s="2" t="s">
        <v>711</v>
      </c>
      <c r="C977" s="69" t="s">
        <v>2323</v>
      </c>
      <c r="D977" s="2" t="s">
        <v>99</v>
      </c>
      <c r="E977" s="2" t="s">
        <v>648</v>
      </c>
      <c r="F977" s="11" t="s">
        <v>2103</v>
      </c>
      <c r="G977" s="118" t="s">
        <v>1545</v>
      </c>
      <c r="H977" s="2" t="s">
        <v>2324</v>
      </c>
      <c r="I977" s="12" t="s">
        <v>96</v>
      </c>
      <c r="J977" s="41">
        <f>+Tabla1[[#This Row],[FECHA ENTRADA]]</f>
        <v>45963</v>
      </c>
      <c r="K977" s="22">
        <v>46054</v>
      </c>
      <c r="L977" s="42">
        <f>_xlfn.DAYS(Tabla1[[#This Row],[FECHA FIN ]],Tabla1[[#This Row],[FECHA INICIO]])</f>
        <v>91</v>
      </c>
      <c r="M977" s="12"/>
      <c r="N977" s="12">
        <v>300</v>
      </c>
      <c r="O977" s="28">
        <f>(Tabla1[[#This Row],[COSTO FIJO ]]/30)*Tabla1[[#This Row],[TOTAL DIAS PROYECTO]]+(Tabla1[[#This Row],[COSTO TEMPORAL]])</f>
        <v>910</v>
      </c>
      <c r="P977" s="12"/>
      <c r="Q977" s="12">
        <f>+(Tabla1[[#This Row],[COSTO COCHE]]/30)*Tabla1[[#This Row],[TOTAL DIAS PROYECTO]]</f>
        <v>0</v>
      </c>
      <c r="R977" s="12">
        <f>+Tabla1[[#This Row],[COSTO TOTAL ALOJAMIENTO]]+Tabla1[[#This Row],[COSTO TOTAL COCHE]]</f>
        <v>910</v>
      </c>
      <c r="S977" s="2"/>
      <c r="T977" s="14" t="s">
        <v>35</v>
      </c>
      <c r="U977" s="14">
        <v>45963</v>
      </c>
      <c r="V977" s="43"/>
      <c r="W977" s="71">
        <v>1200</v>
      </c>
      <c r="X977" s="2">
        <v>1</v>
      </c>
      <c r="Y977" s="11" t="s">
        <v>2325</v>
      </c>
      <c r="Z977" s="2" t="s">
        <v>36</v>
      </c>
      <c r="AA977" s="13" t="s">
        <v>10387</v>
      </c>
      <c r="AB977" s="13" t="s">
        <v>10388</v>
      </c>
    </row>
    <row r="978" spans="1:28" ht="15" customHeight="1">
      <c r="A978" s="2" t="s">
        <v>9176</v>
      </c>
      <c r="B978" s="2" t="s">
        <v>28</v>
      </c>
      <c r="C978" s="11" t="s">
        <v>2326</v>
      </c>
      <c r="D978" s="2" t="s">
        <v>99</v>
      </c>
      <c r="E978" s="2" t="s">
        <v>253</v>
      </c>
      <c r="F978" s="11" t="s">
        <v>1984</v>
      </c>
      <c r="G978" s="49" t="s">
        <v>1985</v>
      </c>
      <c r="H978" s="2" t="s">
        <v>2313</v>
      </c>
      <c r="I978" s="12" t="s">
        <v>256</v>
      </c>
      <c r="J978" s="22">
        <f>+Tabla1[[#This Row],[FECHA ENTRADA]]</f>
        <v>45786</v>
      </c>
      <c r="K978" s="22">
        <v>45798</v>
      </c>
      <c r="L978" s="42">
        <f>_xlfn.DAYS(Tabla1[[#This Row],[FECHA FIN ]],Tabla1[[#This Row],[FECHA INICIO]])</f>
        <v>12</v>
      </c>
      <c r="M978" s="12"/>
      <c r="N978" s="12"/>
      <c r="O978" s="28">
        <f>(Tabla1[[#This Row],[COSTO FIJO ]]/30)*Tabla1[[#This Row],[TOTAL DIAS PROYECTO]]+(Tabla1[[#This Row],[COSTO TEMPORAL]])</f>
        <v>0</v>
      </c>
      <c r="P978" s="12"/>
      <c r="Q978" s="12">
        <f>+(Tabla1[[#This Row],[COSTO COCHE]]/30)*Tabla1[[#This Row],[TOTAL DIAS PROYECTO]]</f>
        <v>0</v>
      </c>
      <c r="R978" s="12">
        <f>+Tabla1[[#This Row],[COSTO TOTAL ALOJAMIENTO]]+Tabla1[[#This Row],[COSTO TOTAL COCHE]]</f>
        <v>0</v>
      </c>
      <c r="S978" s="2"/>
      <c r="T978" s="2" t="s">
        <v>528</v>
      </c>
      <c r="U978" s="14">
        <v>45786</v>
      </c>
      <c r="V978" s="43">
        <v>45798</v>
      </c>
      <c r="W978" s="26"/>
      <c r="X978" s="2"/>
      <c r="Y978" s="11" t="s">
        <v>1166</v>
      </c>
      <c r="Z978" s="2" t="s">
        <v>36</v>
      </c>
      <c r="AA978" s="13" t="s">
        <v>10357</v>
      </c>
      <c r="AB978" s="13" t="s">
        <v>10358</v>
      </c>
    </row>
    <row r="979" spans="1:28" ht="15" customHeight="1">
      <c r="A979" s="2" t="s">
        <v>9175</v>
      </c>
      <c r="B979" s="2" t="s">
        <v>711</v>
      </c>
      <c r="C979" s="31" t="s">
        <v>2323</v>
      </c>
      <c r="D979" s="2" t="s">
        <v>99</v>
      </c>
      <c r="E979" s="2" t="s">
        <v>648</v>
      </c>
      <c r="F979" s="11"/>
      <c r="G979" s="11"/>
      <c r="H979" s="2" t="s">
        <v>2324</v>
      </c>
      <c r="I979" s="12" t="s">
        <v>96</v>
      </c>
      <c r="J979" s="22">
        <f>+Tabla1[[#This Row],[FECHA ENTRADA]]</f>
        <v>46054</v>
      </c>
      <c r="K979" s="22">
        <v>46234</v>
      </c>
      <c r="L979" s="23">
        <f>_xlfn.DAYS(Tabla1[[#This Row],[FECHA FIN ]],Tabla1[[#This Row],[FECHA INICIO]])</f>
        <v>180</v>
      </c>
      <c r="M979" s="12"/>
      <c r="N979" s="20">
        <v>300</v>
      </c>
      <c r="O979" s="24">
        <f>(Tabla1[[#This Row],[COSTO FIJO ]]/30)*Tabla1[[#This Row],[TOTAL DIAS PROYECTO]]+(Tabla1[[#This Row],[COSTO TEMPORAL]])</f>
        <v>1800</v>
      </c>
      <c r="P979" s="12"/>
      <c r="Q979" s="12">
        <f>+(Tabla1[[#This Row],[COSTO COCHE]]/30)*Tabla1[[#This Row],[TOTAL DIAS PROYECTO]]</f>
        <v>0</v>
      </c>
      <c r="R979" s="12">
        <f>+Tabla1[[#This Row],[COSTO TOTAL ALOJAMIENTO]]+Tabla1[[#This Row],[COSTO TOTAL COCHE]]</f>
        <v>1800</v>
      </c>
      <c r="S979" s="2"/>
      <c r="T979" s="14" t="s">
        <v>58</v>
      </c>
      <c r="U979" s="14">
        <v>46054</v>
      </c>
      <c r="V979" s="79"/>
      <c r="W979" s="12"/>
      <c r="X979" s="2"/>
      <c r="Y979" s="11" t="s">
        <v>2327</v>
      </c>
      <c r="Z979" s="2" t="s">
        <v>36</v>
      </c>
      <c r="AA979" s="13" t="s">
        <v>10387</v>
      </c>
      <c r="AB979" s="13" t="s">
        <v>10388</v>
      </c>
    </row>
    <row r="980" spans="1:28" ht="15" customHeight="1">
      <c r="A980" s="2" t="s">
        <v>9177</v>
      </c>
      <c r="B980" s="2" t="s">
        <v>711</v>
      </c>
      <c r="C980" s="31" t="s">
        <v>2328</v>
      </c>
      <c r="D980" s="2" t="s">
        <v>30</v>
      </c>
      <c r="E980" s="2" t="s">
        <v>648</v>
      </c>
      <c r="F980" s="11" t="s">
        <v>2329</v>
      </c>
      <c r="G980" s="49" t="s">
        <v>2330</v>
      </c>
      <c r="H980" s="2" t="s">
        <v>2331</v>
      </c>
      <c r="I980" s="12" t="s">
        <v>96</v>
      </c>
      <c r="J980" s="22">
        <f>+Tabla1[[#This Row],[FECHA ENTRADA]]</f>
        <v>45943</v>
      </c>
      <c r="K980" s="8">
        <v>45951</v>
      </c>
      <c r="L980" s="23">
        <f>_xlfn.DAYS(Tabla1[[#This Row],[FECHA FIN ]],Tabla1[[#This Row],[FECHA INICIO]])</f>
        <v>8</v>
      </c>
      <c r="M980" s="12">
        <f>1106.94/3</f>
        <v>368.98</v>
      </c>
      <c r="N980" s="24"/>
      <c r="O980" s="24">
        <f>(Tabla1[[#This Row],[COSTO FIJO ]]/30)*Tabla1[[#This Row],[TOTAL DIAS PROYECTO]]+(Tabla1[[#This Row],[COSTO TEMPORAL]])</f>
        <v>368.98</v>
      </c>
      <c r="P980" s="12"/>
      <c r="Q980" s="12">
        <f>+(Tabla1[[#This Row],[COSTO COCHE]]/30)*Tabla1[[#This Row],[TOTAL DIAS PROYECTO]]</f>
        <v>0</v>
      </c>
      <c r="R980" s="12">
        <f>+Tabla1[[#This Row],[COSTO TOTAL ALOJAMIENTO]]+Tabla1[[#This Row],[COSTO TOTAL COCHE]]</f>
        <v>368.98</v>
      </c>
      <c r="S980" s="2" t="s">
        <v>84</v>
      </c>
      <c r="T980" s="14" t="s">
        <v>44</v>
      </c>
      <c r="U980" s="14">
        <v>45943</v>
      </c>
      <c r="V980" s="25">
        <v>45959</v>
      </c>
      <c r="W980" s="71"/>
      <c r="X980" s="2"/>
      <c r="Y980" s="11" t="s">
        <v>2332</v>
      </c>
      <c r="Z980" s="2" t="s">
        <v>36</v>
      </c>
      <c r="AA980" s="13" t="s">
        <v>10387</v>
      </c>
      <c r="AB980" s="13" t="s">
        <v>10388</v>
      </c>
    </row>
    <row r="981" spans="1:28" ht="15" customHeight="1">
      <c r="A981" s="2" t="s">
        <v>9178</v>
      </c>
      <c r="B981" s="2" t="s">
        <v>711</v>
      </c>
      <c r="C981" s="11" t="s">
        <v>2333</v>
      </c>
      <c r="D981" s="2" t="s">
        <v>99</v>
      </c>
      <c r="E981" s="2" t="s">
        <v>648</v>
      </c>
      <c r="F981" s="11" t="s">
        <v>2103</v>
      </c>
      <c r="G981" s="118" t="s">
        <v>1545</v>
      </c>
      <c r="H981" s="2" t="s">
        <v>2324</v>
      </c>
      <c r="I981" s="12" t="s">
        <v>96</v>
      </c>
      <c r="J981" s="41">
        <f>+Tabla1[[#This Row],[FECHA ENTRADA]]</f>
        <v>45963</v>
      </c>
      <c r="K981" s="22">
        <v>46082</v>
      </c>
      <c r="L981" s="42">
        <f>_xlfn.DAYS(Tabla1[[#This Row],[FECHA FIN ]],Tabla1[[#This Row],[FECHA INICIO]])</f>
        <v>119</v>
      </c>
      <c r="M981" s="12"/>
      <c r="N981" s="20">
        <v>240</v>
      </c>
      <c r="O981" s="28">
        <f>(Tabla1[[#This Row],[COSTO FIJO ]]/30)*Tabla1[[#This Row],[TOTAL DIAS PROYECTO]]+(Tabla1[[#This Row],[COSTO TEMPORAL]])</f>
        <v>952</v>
      </c>
      <c r="P981" s="12"/>
      <c r="Q981" s="12">
        <f>+(Tabla1[[#This Row],[COSTO COCHE]]/30)*Tabla1[[#This Row],[TOTAL DIAS PROYECTO]]</f>
        <v>0</v>
      </c>
      <c r="R981" s="12">
        <f>+Tabla1[[#This Row],[COSTO TOTAL ALOJAMIENTO]]+Tabla1[[#This Row],[COSTO TOTAL COCHE]]</f>
        <v>952</v>
      </c>
      <c r="S981" s="2"/>
      <c r="T981" s="14" t="s">
        <v>35</v>
      </c>
      <c r="U981" s="14">
        <v>45963</v>
      </c>
      <c r="V981" s="43"/>
      <c r="W981" s="71">
        <v>1200</v>
      </c>
      <c r="X981" s="2">
        <v>1</v>
      </c>
      <c r="Y981" s="11" t="s">
        <v>2334</v>
      </c>
      <c r="Z981" s="2" t="s">
        <v>36</v>
      </c>
      <c r="AA981" s="13" t="s">
        <v>10387</v>
      </c>
      <c r="AB981" s="13" t="s">
        <v>10388</v>
      </c>
    </row>
    <row r="982" spans="1:28" ht="15" customHeight="1">
      <c r="A982" s="2" t="s">
        <v>8890</v>
      </c>
      <c r="B982" s="2" t="s">
        <v>368</v>
      </c>
      <c r="C982" s="11" t="s">
        <v>1172</v>
      </c>
      <c r="D982" s="2" t="s">
        <v>99</v>
      </c>
      <c r="E982" s="2" t="s">
        <v>109</v>
      </c>
      <c r="F982" s="11" t="s">
        <v>2307</v>
      </c>
      <c r="G982" t="s">
        <v>2308</v>
      </c>
      <c r="H982" s="2" t="s">
        <v>2335</v>
      </c>
      <c r="I982" s="12" t="s">
        <v>42</v>
      </c>
      <c r="J982" s="22">
        <v>45706</v>
      </c>
      <c r="K982" s="22">
        <v>45730</v>
      </c>
      <c r="L982" s="23">
        <f>_xlfn.DAYS(Tabla1[[#This Row],[FECHA FIN ]],Tabla1[[#This Row],[FECHA INICIO]])</f>
        <v>24</v>
      </c>
      <c r="M982" s="12">
        <f>1808.18/4</f>
        <v>452.04500000000002</v>
      </c>
      <c r="N982" s="20"/>
      <c r="O982" s="24">
        <f>(Tabla1[[#This Row],[COSTO FIJO ]]/30)*Tabla1[[#This Row],[TOTAL DIAS PROYECTO]]+(Tabla1[[#This Row],[COSTO TEMPORAL]])</f>
        <v>452.04500000000002</v>
      </c>
      <c r="P982" s="12">
        <f>400/5</f>
        <v>80</v>
      </c>
      <c r="Q982" s="12">
        <f>+(Tabla1[[#This Row],[COSTO COCHE]]/30)*Tabla1[[#This Row],[TOTAL DIAS PROYECTO]]</f>
        <v>64</v>
      </c>
      <c r="R982" s="12">
        <f>+Tabla1[[#This Row],[COSTO TOTAL ALOJAMIENTO]]+Tabla1[[#This Row],[COSTO TOTAL COCHE]]</f>
        <v>516.04500000000007</v>
      </c>
      <c r="S982" s="2" t="s">
        <v>403</v>
      </c>
      <c r="T982" s="2" t="s">
        <v>44</v>
      </c>
      <c r="U982" s="14">
        <v>45706</v>
      </c>
      <c r="V982" s="25">
        <v>45730</v>
      </c>
      <c r="W982" s="26"/>
      <c r="X982" s="2"/>
      <c r="Y982" s="11" t="s">
        <v>1166</v>
      </c>
      <c r="Z982" s="2" t="s">
        <v>36</v>
      </c>
      <c r="AA982" s="13">
        <v>0.62217999999999996</v>
      </c>
      <c r="AB982" s="13" t="s">
        <v>10339</v>
      </c>
    </row>
    <row r="983" spans="1:28" ht="15" customHeight="1">
      <c r="A983" s="2" t="s">
        <v>9099</v>
      </c>
      <c r="B983" s="2" t="s">
        <v>368</v>
      </c>
      <c r="C983" s="165" t="s">
        <v>2022</v>
      </c>
      <c r="D983" s="2" t="s">
        <v>99</v>
      </c>
      <c r="E983" s="2" t="s">
        <v>109</v>
      </c>
      <c r="F983" s="11" t="s">
        <v>2307</v>
      </c>
      <c r="G983" t="s">
        <v>2308</v>
      </c>
      <c r="H983" s="2" t="s">
        <v>2092</v>
      </c>
      <c r="I983" s="12" t="s">
        <v>42</v>
      </c>
      <c r="J983" s="22">
        <f>+Tabla1[[#This Row],[FECHA ENTRADA]]</f>
        <v>45706</v>
      </c>
      <c r="K983" s="22">
        <v>45821</v>
      </c>
      <c r="L983" s="23">
        <f>_xlfn.DAYS(Tabla1[[#This Row],[FECHA FIN ]],Tabla1[[#This Row],[FECHA INICIO]])</f>
        <v>115</v>
      </c>
      <c r="M983" s="12"/>
      <c r="N983" s="12">
        <f>1811.6/17</f>
        <v>106.56470588235294</v>
      </c>
      <c r="O983" s="24">
        <f>(Tabla1[[#This Row],[COSTO FIJO ]]/30)*Tabla1[[#This Row],[TOTAL DIAS PROYECTO]]+(Tabla1[[#This Row],[COSTO TEMPORAL]])</f>
        <v>408.49803921568628</v>
      </c>
      <c r="P983" s="12">
        <f>400/5</f>
        <v>80</v>
      </c>
      <c r="Q983" s="12">
        <f>+(Tabla1[[#This Row],[COSTO COCHE]]/30)*Tabla1[[#This Row],[TOTAL DIAS PROYECTO]]</f>
        <v>306.66666666666663</v>
      </c>
      <c r="R983" s="12">
        <f>+Tabla1[[#This Row],[COSTO TOTAL ALOJAMIENTO]]+Tabla1[[#This Row],[COSTO TOTAL COCHE]]</f>
        <v>715.16470588235291</v>
      </c>
      <c r="S983" s="2" t="s">
        <v>403</v>
      </c>
      <c r="T983" s="2" t="s">
        <v>44</v>
      </c>
      <c r="U983" s="14">
        <v>45706</v>
      </c>
      <c r="V983" s="25">
        <v>45730</v>
      </c>
      <c r="W983" s="26"/>
      <c r="X983" s="2"/>
      <c r="Y983" s="11"/>
      <c r="Z983" s="2" t="s">
        <v>36</v>
      </c>
      <c r="AA983" s="13">
        <v>0.62217999999999996</v>
      </c>
      <c r="AB983" s="13" t="s">
        <v>10339</v>
      </c>
    </row>
    <row r="984" spans="1:28" ht="15" customHeight="1">
      <c r="A984" s="2" t="s">
        <v>9179</v>
      </c>
      <c r="B984" s="2" t="s">
        <v>368</v>
      </c>
      <c r="C984" s="11" t="s">
        <v>2336</v>
      </c>
      <c r="D984" s="2" t="s">
        <v>99</v>
      </c>
      <c r="E984" s="2" t="s">
        <v>109</v>
      </c>
      <c r="F984" s="11" t="s">
        <v>2307</v>
      </c>
      <c r="G984" t="s">
        <v>2308</v>
      </c>
      <c r="H984" s="2" t="s">
        <v>2335</v>
      </c>
      <c r="I984" s="12" t="s">
        <v>42</v>
      </c>
      <c r="J984" s="22">
        <f>+Tabla1[[#This Row],[FECHA ENTRADA]]</f>
        <v>45706</v>
      </c>
      <c r="K984" s="22">
        <v>45821</v>
      </c>
      <c r="L984" s="23">
        <f>_xlfn.DAYS(Tabla1[[#This Row],[FECHA FIN ]],Tabla1[[#This Row],[FECHA INICIO]])</f>
        <v>115</v>
      </c>
      <c r="M984" s="12"/>
      <c r="N984" s="24"/>
      <c r="O984" s="24">
        <f>(Tabla1[[#This Row],[COSTO FIJO ]]/30)*Tabla1[[#This Row],[TOTAL DIAS PROYECTO]]+(Tabla1[[#This Row],[COSTO TEMPORAL]])</f>
        <v>0</v>
      </c>
      <c r="P984" s="12">
        <f>400/5</f>
        <v>80</v>
      </c>
      <c r="Q984" s="12">
        <f>+(Tabla1[[#This Row],[COSTO COCHE]]/30)*Tabla1[[#This Row],[TOTAL DIAS PROYECTO]]</f>
        <v>306.66666666666663</v>
      </c>
      <c r="R984" s="12">
        <f>+Tabla1[[#This Row],[COSTO TOTAL ALOJAMIENTO]]+Tabla1[[#This Row],[COSTO TOTAL COCHE]]</f>
        <v>306.66666666666663</v>
      </c>
      <c r="S984" s="2"/>
      <c r="T984" s="2" t="s">
        <v>44</v>
      </c>
      <c r="U984" s="14">
        <v>45706</v>
      </c>
      <c r="V984" s="79">
        <v>45730</v>
      </c>
      <c r="W984" s="26"/>
      <c r="X984" s="2"/>
      <c r="Y984" s="11" t="s">
        <v>1166</v>
      </c>
      <c r="Z984" s="2" t="s">
        <v>36</v>
      </c>
      <c r="AA984" s="13">
        <v>0.62217999999999996</v>
      </c>
      <c r="AB984" s="13" t="s">
        <v>10339</v>
      </c>
    </row>
    <row r="985" spans="1:28" ht="15" customHeight="1">
      <c r="A985" s="2" t="s">
        <v>9122</v>
      </c>
      <c r="B985" s="2" t="s">
        <v>368</v>
      </c>
      <c r="C985" s="11" t="s">
        <v>2093</v>
      </c>
      <c r="D985" s="2" t="s">
        <v>99</v>
      </c>
      <c r="E985" s="2" t="s">
        <v>109</v>
      </c>
      <c r="F985" s="11" t="s">
        <v>2307</v>
      </c>
      <c r="G985" t="s">
        <v>2308</v>
      </c>
      <c r="H985" s="2" t="s">
        <v>2007</v>
      </c>
      <c r="I985" s="12" t="s">
        <v>42</v>
      </c>
      <c r="J985" s="22">
        <f>+Tabla1[[#This Row],[FECHA ENTRADA]]</f>
        <v>45706</v>
      </c>
      <c r="K985" s="22">
        <v>45730</v>
      </c>
      <c r="L985" s="23">
        <f>_xlfn.DAYS(Tabla1[[#This Row],[FECHA FIN ]],Tabla1[[#This Row],[FECHA INICIO]])</f>
        <v>24</v>
      </c>
      <c r="M985" s="12"/>
      <c r="N985" s="20"/>
      <c r="O985" s="24">
        <f>(Tabla1[[#This Row],[COSTO FIJO ]]/30)*Tabla1[[#This Row],[TOTAL DIAS PROYECTO]]+(Tabla1[[#This Row],[COSTO TEMPORAL]])</f>
        <v>0</v>
      </c>
      <c r="P985" s="12">
        <f>400/5</f>
        <v>80</v>
      </c>
      <c r="Q985" s="12">
        <f>+(Tabla1[[#This Row],[COSTO COCHE]]/30)*Tabla1[[#This Row],[TOTAL DIAS PROYECTO]]</f>
        <v>64</v>
      </c>
      <c r="R985" s="12">
        <f>+Tabla1[[#This Row],[COSTO TOTAL ALOJAMIENTO]]+Tabla1[[#This Row],[COSTO TOTAL COCHE]]</f>
        <v>64</v>
      </c>
      <c r="S985" s="2" t="s">
        <v>403</v>
      </c>
      <c r="T985" s="2" t="s">
        <v>44</v>
      </c>
      <c r="U985" s="14">
        <v>45706</v>
      </c>
      <c r="V985" s="25">
        <v>45730</v>
      </c>
      <c r="W985" s="26"/>
      <c r="X985" s="2"/>
      <c r="Y985" s="11" t="s">
        <v>1166</v>
      </c>
      <c r="Z985" s="2" t="s">
        <v>36</v>
      </c>
      <c r="AA985" s="13">
        <v>0.62217999999999996</v>
      </c>
      <c r="AB985" s="13" t="s">
        <v>10339</v>
      </c>
    </row>
    <row r="986" spans="1:28">
      <c r="A986" s="2" t="s">
        <v>9180</v>
      </c>
      <c r="B986" s="2" t="s">
        <v>28</v>
      </c>
      <c r="C986" s="11" t="s">
        <v>2337</v>
      </c>
      <c r="D986" s="2" t="s">
        <v>30</v>
      </c>
      <c r="E986" s="2" t="s">
        <v>31</v>
      </c>
      <c r="F986" s="11" t="s">
        <v>1004</v>
      </c>
      <c r="G986" s="51" t="s">
        <v>1005</v>
      </c>
      <c r="H986" s="2" t="s">
        <v>532</v>
      </c>
      <c r="I986" s="12" t="s">
        <v>527</v>
      </c>
      <c r="J986" s="8">
        <f>+Tabla1[[#This Row],[FECHA ENTRADA]]</f>
        <v>45517</v>
      </c>
      <c r="K986" s="22">
        <v>45821</v>
      </c>
      <c r="L986" s="13">
        <f>_xlfn.DAYS(Tabla1[[#This Row],[FECHA FIN ]],Tabla1[[#This Row],[FECHA INICIO]])</f>
        <v>304</v>
      </c>
      <c r="M986" s="12"/>
      <c r="N986" s="12">
        <f>1811.6/17</f>
        <v>106.56470588235294</v>
      </c>
      <c r="O986" s="12">
        <f>(Tabla1[[#This Row],[COSTO FIJO ]]/30)*Tabla1[[#This Row],[TOTAL DIAS PROYECTO]]+(Tabla1[[#This Row],[COSTO TEMPORAL]])</f>
        <v>1079.8556862745099</v>
      </c>
      <c r="P986" s="12">
        <f>+(((800*3)+520.54)*50%)/19</f>
        <v>76.856315789473683</v>
      </c>
      <c r="Q986" s="12">
        <f>+(Tabla1[[#This Row],[COSTO COCHE]]/30)*Tabla1[[#This Row],[TOTAL DIAS PROYECTO]]</f>
        <v>778.81066666666663</v>
      </c>
      <c r="R986" s="12">
        <f>+Tabla1[[#This Row],[COSTO TOTAL ALOJAMIENTO]]+Tabla1[[#This Row],[COSTO TOTAL COCHE]]</f>
        <v>1858.6663529411767</v>
      </c>
      <c r="S986" s="2"/>
      <c r="T986" s="2" t="s">
        <v>35</v>
      </c>
      <c r="U986" s="14">
        <v>45517</v>
      </c>
      <c r="V986" s="14"/>
      <c r="W986" s="26"/>
      <c r="X986" s="2">
        <v>1</v>
      </c>
      <c r="Y986" s="11" t="s">
        <v>2338</v>
      </c>
      <c r="Z986" s="2" t="s">
        <v>36</v>
      </c>
      <c r="AA986" s="13" t="s">
        <v>10323</v>
      </c>
      <c r="AB986" s="13" t="s">
        <v>10324</v>
      </c>
    </row>
    <row r="987" spans="1:28" ht="15" customHeight="1">
      <c r="A987" s="2" t="s">
        <v>9181</v>
      </c>
      <c r="B987" s="2" t="s">
        <v>28</v>
      </c>
      <c r="C987" s="31" t="s">
        <v>2339</v>
      </c>
      <c r="D987" s="2" t="s">
        <v>30</v>
      </c>
      <c r="E987" s="2" t="s">
        <v>253</v>
      </c>
      <c r="F987" s="11" t="s">
        <v>2340</v>
      </c>
      <c r="H987" s="2" t="s">
        <v>2341</v>
      </c>
      <c r="I987" s="12" t="s">
        <v>2342</v>
      </c>
      <c r="J987" s="41">
        <f>+Tabla1[[#This Row],[FECHA ENTRADA]]</f>
        <v>45781</v>
      </c>
      <c r="K987" s="22">
        <v>45799</v>
      </c>
      <c r="L987" s="23">
        <f>_xlfn.DAYS(Tabla1[[#This Row],[FECHA FIN ]],Tabla1[[#This Row],[FECHA INICIO]])</f>
        <v>18</v>
      </c>
      <c r="M987" s="12"/>
      <c r="N987" s="12">
        <v>300</v>
      </c>
      <c r="O987" s="24">
        <f>(Tabla1[[#This Row],[COSTO FIJO ]]/30)*Tabla1[[#This Row],[TOTAL DIAS PROYECTO]]+(Tabla1[[#This Row],[COSTO TEMPORAL]])</f>
        <v>180</v>
      </c>
      <c r="P987" s="12"/>
      <c r="Q987" s="12">
        <f>+(Tabla1[[#This Row],[COSTO COCHE]]/30)*Tabla1[[#This Row],[TOTAL DIAS PROYECTO]]</f>
        <v>0</v>
      </c>
      <c r="R987" s="12">
        <f>+Tabla1[[#This Row],[COSTO TOTAL ALOJAMIENTO]]+Tabla1[[#This Row],[COSTO TOTAL COCHE]]</f>
        <v>180</v>
      </c>
      <c r="S987" s="2"/>
      <c r="T987" s="2" t="s">
        <v>58</v>
      </c>
      <c r="U987" s="14">
        <v>45781</v>
      </c>
      <c r="V987" s="25"/>
      <c r="W987" s="26"/>
      <c r="X987" s="2">
        <v>5</v>
      </c>
      <c r="Y987" s="11"/>
      <c r="Z987" s="2" t="s">
        <v>36</v>
      </c>
      <c r="AA987" s="13" t="s">
        <v>10357</v>
      </c>
      <c r="AB987" s="13" t="s">
        <v>10358</v>
      </c>
    </row>
    <row r="988" spans="1:28" ht="15" customHeight="1">
      <c r="A988" s="2" t="s">
        <v>9182</v>
      </c>
      <c r="B988" s="2" t="s">
        <v>28</v>
      </c>
      <c r="C988" s="11" t="s">
        <v>2343</v>
      </c>
      <c r="D988" s="2" t="s">
        <v>30</v>
      </c>
      <c r="E988" s="2" t="s">
        <v>245</v>
      </c>
      <c r="F988" s="11" t="s">
        <v>2209</v>
      </c>
      <c r="G988" s="46" t="s">
        <v>2210</v>
      </c>
      <c r="H988" s="2" t="s">
        <v>2211</v>
      </c>
      <c r="I988" s="12" t="s">
        <v>249</v>
      </c>
      <c r="J988" s="41">
        <f>+Tabla1[[#This Row],[FECHA ENTRADA]]</f>
        <v>45685</v>
      </c>
      <c r="K988" s="22">
        <v>45764</v>
      </c>
      <c r="L988" s="42">
        <f>_xlfn.DAYS(Tabla1[[#This Row],[FECHA FIN ]],Tabla1[[#This Row],[FECHA INICIO]])</f>
        <v>79</v>
      </c>
      <c r="M988" s="12"/>
      <c r="N988" s="12">
        <v>442.93</v>
      </c>
      <c r="O988" s="28">
        <f>(Tabla1[[#This Row],[COSTO FIJO ]]/30)*Tabla1[[#This Row],[TOTAL DIAS PROYECTO]]+(Tabla1[[#This Row],[COSTO TEMPORAL]])</f>
        <v>1166.3823333333332</v>
      </c>
      <c r="P988" s="12">
        <v>76.92307692307692</v>
      </c>
      <c r="Q988" s="12">
        <f>+(Tabla1[[#This Row],[COSTO COCHE]]/30)*Tabla1[[#This Row],[TOTAL DIAS PROYECTO]]</f>
        <v>202.56410256410254</v>
      </c>
      <c r="R988" s="12">
        <f>+Tabla1[[#This Row],[COSTO TOTAL ALOJAMIENTO]]+Tabla1[[#This Row],[COSTO TOTAL COCHE]]</f>
        <v>1368.9464358974358</v>
      </c>
      <c r="S988" s="2" t="s">
        <v>84</v>
      </c>
      <c r="T988" s="2" t="s">
        <v>44</v>
      </c>
      <c r="U988" s="14">
        <v>45685</v>
      </c>
      <c r="V988" s="43">
        <v>45764</v>
      </c>
      <c r="W988" s="26"/>
      <c r="X988" s="2"/>
      <c r="Y988" s="11"/>
      <c r="Z988" s="2" t="s">
        <v>36</v>
      </c>
      <c r="AA988" s="13" t="s">
        <v>10355</v>
      </c>
      <c r="AB988" s="13" t="s">
        <v>10356</v>
      </c>
    </row>
    <row r="989" spans="1:28">
      <c r="A989" s="2" t="s">
        <v>9183</v>
      </c>
      <c r="B989" s="2" t="s">
        <v>28</v>
      </c>
      <c r="C989" s="11" t="s">
        <v>2344</v>
      </c>
      <c r="D989" s="2" t="s">
        <v>30</v>
      </c>
      <c r="E989" s="2" t="s">
        <v>61</v>
      </c>
      <c r="F989" s="11" t="s">
        <v>2345</v>
      </c>
      <c r="G989" s="11" t="s">
        <v>2346</v>
      </c>
      <c r="H989" s="2" t="s">
        <v>2347</v>
      </c>
      <c r="I989" s="12" t="s">
        <v>2348</v>
      </c>
      <c r="J989" s="22">
        <f>+Tabla1[[#This Row],[FECHA ENTRADA]]</f>
        <v>45769</v>
      </c>
      <c r="K989" s="8">
        <v>45799</v>
      </c>
      <c r="L989" s="13">
        <f>_xlfn.DAYS(Tabla1[[#This Row],[FECHA FIN ]],Tabla1[[#This Row],[FECHA INICIO]])</f>
        <v>30</v>
      </c>
      <c r="M989" s="12"/>
      <c r="N989" s="2"/>
      <c r="O989" s="12">
        <f>(Tabla1[[#This Row],[COSTO FIJO ]]/30)*Tabla1[[#This Row],[TOTAL DIAS PROYECTO]]+(Tabla1[[#This Row],[COSTO TEMPORAL]])</f>
        <v>0</v>
      </c>
      <c r="P989" s="12"/>
      <c r="Q989" s="12">
        <f>+(Tabla1[[#This Row],[COSTO COCHE]]/30)*Tabla1[[#This Row],[TOTAL DIAS PROYECTO]]</f>
        <v>0</v>
      </c>
      <c r="R989" s="12">
        <f>+Tabla1[[#This Row],[COSTO TOTAL ALOJAMIENTO]]+Tabla1[[#This Row],[COSTO TOTAL COCHE]]</f>
        <v>0</v>
      </c>
      <c r="S989" s="2"/>
      <c r="T989" s="2" t="s">
        <v>35</v>
      </c>
      <c r="U989" s="14">
        <v>45769</v>
      </c>
      <c r="V989" s="14"/>
      <c r="W989" s="15"/>
      <c r="X989" s="16">
        <v>15</v>
      </c>
      <c r="Y989" s="11" t="s">
        <v>1120</v>
      </c>
      <c r="Z989" s="2" t="s">
        <v>36</v>
      </c>
      <c r="AA989" s="13" t="s">
        <v>10329</v>
      </c>
      <c r="AB989" s="13" t="s">
        <v>10330</v>
      </c>
    </row>
    <row r="990" spans="1:28" ht="15" customHeight="1">
      <c r="A990" s="2" t="s">
        <v>9178</v>
      </c>
      <c r="B990" s="2" t="s">
        <v>711</v>
      </c>
      <c r="C990" s="69" t="s">
        <v>2333</v>
      </c>
      <c r="D990" s="2" t="s">
        <v>99</v>
      </c>
      <c r="E990" s="2" t="s">
        <v>648</v>
      </c>
      <c r="F990" s="11"/>
      <c r="G990" s="11"/>
      <c r="H990" s="2" t="s">
        <v>2324</v>
      </c>
      <c r="I990" s="12" t="s">
        <v>96</v>
      </c>
      <c r="J990" s="22">
        <f>+Tabla1[[#This Row],[FECHA ENTRADA]]</f>
        <v>46082</v>
      </c>
      <c r="K990" s="22">
        <v>46096</v>
      </c>
      <c r="L990" s="23">
        <f>_xlfn.DAYS(Tabla1[[#This Row],[FECHA FIN ]],Tabla1[[#This Row],[FECHA INICIO]])</f>
        <v>14</v>
      </c>
      <c r="M990" s="12"/>
      <c r="N990" s="20">
        <v>300</v>
      </c>
      <c r="O990" s="24">
        <f>(Tabla1[[#This Row],[COSTO FIJO ]]/30)*Tabla1[[#This Row],[TOTAL DIAS PROYECTO]]+(Tabla1[[#This Row],[COSTO TEMPORAL]])</f>
        <v>140</v>
      </c>
      <c r="P990" s="12"/>
      <c r="Q990" s="12">
        <f>+(Tabla1[[#This Row],[COSTO COCHE]]/30)*Tabla1[[#This Row],[TOTAL DIAS PROYECTO]]</f>
        <v>0</v>
      </c>
      <c r="R990" s="12">
        <f>+Tabla1[[#This Row],[COSTO TOTAL ALOJAMIENTO]]+Tabla1[[#This Row],[COSTO TOTAL COCHE]]</f>
        <v>140</v>
      </c>
      <c r="S990" s="2"/>
      <c r="T990" s="14" t="s">
        <v>58</v>
      </c>
      <c r="U990" s="14">
        <v>46082</v>
      </c>
      <c r="V990" s="79"/>
      <c r="W990" s="12"/>
      <c r="X990" s="2"/>
      <c r="Y990" s="11" t="s">
        <v>2349</v>
      </c>
      <c r="Z990" s="2" t="s">
        <v>36</v>
      </c>
      <c r="AA990" s="13" t="s">
        <v>10387</v>
      </c>
      <c r="AB990" s="13" t="s">
        <v>10388</v>
      </c>
    </row>
    <row r="991" spans="1:28" ht="15" customHeight="1">
      <c r="A991" s="2" t="s">
        <v>8684</v>
      </c>
      <c r="B991" s="2" t="s">
        <v>368</v>
      </c>
      <c r="C991" s="11" t="s">
        <v>282</v>
      </c>
      <c r="D991" s="2" t="s">
        <v>30</v>
      </c>
      <c r="E991" s="2" t="s">
        <v>1987</v>
      </c>
      <c r="F991" s="11" t="s">
        <v>2070</v>
      </c>
      <c r="G991" s="49" t="s">
        <v>2350</v>
      </c>
      <c r="H991" s="2" t="s">
        <v>2351</v>
      </c>
      <c r="I991" s="10" t="s">
        <v>2073</v>
      </c>
      <c r="J991" s="41">
        <f>+Tabla1[[#This Row],[FECHA ENTRADA]]</f>
        <v>45778</v>
      </c>
      <c r="K991" s="8">
        <v>45800</v>
      </c>
      <c r="L991" s="23">
        <f>_xlfn.DAYS(Tabla1[[#This Row],[FECHA FIN ]],Tabla1[[#This Row],[FECHA INICIO]])</f>
        <v>22</v>
      </c>
      <c r="M991" s="12"/>
      <c r="N991" s="24">
        <f>1026.66/4</f>
        <v>256.66500000000002</v>
      </c>
      <c r="O991" s="24">
        <f>(Tabla1[[#This Row],[COSTO FIJO ]]/30)*Tabla1[[#This Row],[TOTAL DIAS PROYECTO]]+(Tabla1[[#This Row],[COSTO TEMPORAL]])</f>
        <v>188.221</v>
      </c>
      <c r="P991" s="12">
        <f>651.6/4</f>
        <v>162.9</v>
      </c>
      <c r="Q991" s="12">
        <f>+(Tabla1[[#This Row],[COSTO COCHE]]/30)*Tabla1[[#This Row],[TOTAL DIAS PROYECTO]]</f>
        <v>119.46000000000001</v>
      </c>
      <c r="R991" s="12">
        <f>+Tabla1[[#This Row],[COSTO TOTAL ALOJAMIENTO]]+Tabla1[[#This Row],[COSTO TOTAL COCHE]]</f>
        <v>307.68100000000004</v>
      </c>
      <c r="S991" s="2"/>
      <c r="T991" s="2" t="s">
        <v>528</v>
      </c>
      <c r="U991" s="14">
        <v>45778</v>
      </c>
      <c r="V991" s="25">
        <v>45800</v>
      </c>
      <c r="W991" s="26"/>
      <c r="X991" s="2">
        <v>22</v>
      </c>
      <c r="Y991" s="11"/>
      <c r="Z991" s="2" t="s">
        <v>36</v>
      </c>
      <c r="AA991" s="13" t="s">
        <v>10435</v>
      </c>
      <c r="AB991" s="13">
        <v>42.136150000000001</v>
      </c>
    </row>
    <row r="992" spans="1:28" ht="15" customHeight="1">
      <c r="A992" s="2" t="s">
        <v>9021</v>
      </c>
      <c r="B992" s="2" t="s">
        <v>368</v>
      </c>
      <c r="C992" s="11" t="s">
        <v>1715</v>
      </c>
      <c r="D992" s="2" t="s">
        <v>99</v>
      </c>
      <c r="E992" s="2" t="s">
        <v>1987</v>
      </c>
      <c r="F992" s="11" t="s">
        <v>2225</v>
      </c>
      <c r="G992" s="21" t="s">
        <v>2226</v>
      </c>
      <c r="H992" s="2" t="s">
        <v>2227</v>
      </c>
      <c r="I992" s="10" t="s">
        <v>2228</v>
      </c>
      <c r="J992" s="22">
        <f>+Tabla1[[#This Row],[FECHA ENTRADA]]</f>
        <v>45788</v>
      </c>
      <c r="K992" s="22">
        <v>45800</v>
      </c>
      <c r="L992" s="23">
        <f>_xlfn.DAYS(Tabla1[[#This Row],[FECHA FIN ]],Tabla1[[#This Row],[FECHA INICIO]])</f>
        <v>12</v>
      </c>
      <c r="M992" s="12"/>
      <c r="N992" s="20"/>
      <c r="O992" s="24">
        <f>(Tabla1[[#This Row],[COSTO FIJO ]]/30)*Tabla1[[#This Row],[TOTAL DIAS PROYECTO]]+(Tabla1[[#This Row],[COSTO TEMPORAL]])</f>
        <v>0</v>
      </c>
      <c r="P992" s="12"/>
      <c r="Q992" s="12">
        <f>+(Tabla1[[#This Row],[COSTO COCHE]]/30)*Tabla1[[#This Row],[TOTAL DIAS PROYECTO]]</f>
        <v>0</v>
      </c>
      <c r="R992" s="12">
        <f>+Tabla1[[#This Row],[COSTO TOTAL ALOJAMIENTO]]+Tabla1[[#This Row],[COSTO TOTAL COCHE]]</f>
        <v>0</v>
      </c>
      <c r="S992" s="2"/>
      <c r="T992" s="2" t="s">
        <v>44</v>
      </c>
      <c r="U992" s="14">
        <v>45788</v>
      </c>
      <c r="V992" s="79">
        <v>45800</v>
      </c>
      <c r="W992" s="2"/>
      <c r="X992" s="2"/>
      <c r="Y992" s="11" t="s">
        <v>1166</v>
      </c>
      <c r="Z992" s="2" t="s">
        <v>36</v>
      </c>
      <c r="AA992" s="13" t="s">
        <v>10435</v>
      </c>
      <c r="AB992" s="13">
        <v>42.136150000000001</v>
      </c>
    </row>
    <row r="993" spans="1:28" ht="15" customHeight="1">
      <c r="A993" s="2" t="s">
        <v>9120</v>
      </c>
      <c r="B993" s="2" t="s">
        <v>368</v>
      </c>
      <c r="C993" s="11" t="s">
        <v>2082</v>
      </c>
      <c r="D993" s="2" t="s">
        <v>30</v>
      </c>
      <c r="E993" s="2" t="s">
        <v>1987</v>
      </c>
      <c r="F993" s="11" t="s">
        <v>2070</v>
      </c>
      <c r="G993" s="49" t="s">
        <v>2350</v>
      </c>
      <c r="H993" s="2" t="s">
        <v>2351</v>
      </c>
      <c r="I993" s="10" t="s">
        <v>2073</v>
      </c>
      <c r="J993" s="41">
        <f>+Tabla1[[#This Row],[FECHA ENTRADA]]</f>
        <v>45778</v>
      </c>
      <c r="K993" s="8">
        <v>45800</v>
      </c>
      <c r="L993" s="23">
        <f>_xlfn.DAYS(Tabla1[[#This Row],[FECHA FIN ]],Tabla1[[#This Row],[FECHA INICIO]])</f>
        <v>22</v>
      </c>
      <c r="M993" s="12"/>
      <c r="N993" s="24">
        <f>1026.66/4</f>
        <v>256.66500000000002</v>
      </c>
      <c r="O993" s="24">
        <f>(Tabla1[[#This Row],[COSTO FIJO ]]/30)*Tabla1[[#This Row],[TOTAL DIAS PROYECTO]]+(Tabla1[[#This Row],[COSTO TEMPORAL]])</f>
        <v>188.221</v>
      </c>
      <c r="P993" s="12">
        <f>651.6/4</f>
        <v>162.9</v>
      </c>
      <c r="Q993" s="12">
        <f>+(Tabla1[[#This Row],[COSTO COCHE]]/30)*Tabla1[[#This Row],[TOTAL DIAS PROYECTO]]</f>
        <v>119.46000000000001</v>
      </c>
      <c r="R993" s="12">
        <f>+Tabla1[[#This Row],[COSTO TOTAL ALOJAMIENTO]]+Tabla1[[#This Row],[COSTO TOTAL COCHE]]</f>
        <v>307.68100000000004</v>
      </c>
      <c r="S993" s="2"/>
      <c r="T993" s="2" t="s">
        <v>528</v>
      </c>
      <c r="U993" s="14">
        <v>45778</v>
      </c>
      <c r="V993" s="25">
        <v>45800</v>
      </c>
      <c r="W993" s="26"/>
      <c r="X993" s="2">
        <v>22</v>
      </c>
      <c r="Y993" s="11"/>
      <c r="Z993" s="2" t="s">
        <v>36</v>
      </c>
      <c r="AA993" s="13" t="s">
        <v>10435</v>
      </c>
      <c r="AB993" s="13">
        <v>42.136150000000001</v>
      </c>
    </row>
    <row r="994" spans="1:28">
      <c r="A994" s="2" t="s">
        <v>9184</v>
      </c>
      <c r="B994" s="2" t="s">
        <v>28</v>
      </c>
      <c r="C994" s="99" t="s">
        <v>2352</v>
      </c>
      <c r="D994" s="2" t="s">
        <v>72</v>
      </c>
      <c r="E994" s="2" t="s">
        <v>73</v>
      </c>
      <c r="F994" s="11"/>
      <c r="G994" s="11"/>
      <c r="H994" s="2" t="s">
        <v>1495</v>
      </c>
      <c r="I994" s="2" t="s">
        <v>332</v>
      </c>
      <c r="J994" s="8">
        <f>+Tabla1[[#This Row],[FECHA ENTRADA]]</f>
        <v>45403</v>
      </c>
      <c r="K994" s="8">
        <v>45800</v>
      </c>
      <c r="L994" s="13">
        <f>_xlfn.DAYS(Tabla1[[#This Row],[FECHA FIN ]],Tabla1[[#This Row],[FECHA INICIO]])</f>
        <v>397</v>
      </c>
      <c r="M994" s="12">
        <v>300</v>
      </c>
      <c r="N994" s="24"/>
      <c r="O994" s="12">
        <f>(Tabla1[[#This Row],[COSTO FIJO ]]/30)*Tabla1[[#This Row],[TOTAL DIAS PROYECTO]]+(Tabla1[[#This Row],[COSTO TEMPORAL]])</f>
        <v>300</v>
      </c>
      <c r="P994" s="12"/>
      <c r="Q994" s="12">
        <f>+(Tabla1[[#This Row],[COSTO COCHE]]/30)*Tabla1[[#This Row],[TOTAL DIAS PROYECTO]]</f>
        <v>0</v>
      </c>
      <c r="R994" s="12">
        <f>+Tabla1[[#This Row],[COSTO TOTAL ALOJAMIENTO]]+Tabla1[[#This Row],[COSTO TOTAL COCHE]]</f>
        <v>300</v>
      </c>
      <c r="S994" s="2"/>
      <c r="T994" s="2" t="s">
        <v>58</v>
      </c>
      <c r="U994" s="14">
        <v>45403</v>
      </c>
      <c r="V994" s="14"/>
      <c r="W994" s="2"/>
      <c r="X994" s="2"/>
      <c r="Y994" t="s">
        <v>2353</v>
      </c>
      <c r="Z994" s="2" t="s">
        <v>36</v>
      </c>
      <c r="AA994" s="13" t="s">
        <v>10331</v>
      </c>
      <c r="AB994" s="13" t="s">
        <v>10332</v>
      </c>
    </row>
    <row r="995" spans="1:28" ht="15" customHeight="1">
      <c r="A995" s="2" t="s">
        <v>9185</v>
      </c>
      <c r="B995" s="2" t="s">
        <v>28</v>
      </c>
      <c r="C995" s="11" t="s">
        <v>2354</v>
      </c>
      <c r="D995" s="2" t="s">
        <v>30</v>
      </c>
      <c r="E995" s="2" t="s">
        <v>626</v>
      </c>
      <c r="F995" s="11" t="s">
        <v>1964</v>
      </c>
      <c r="G995" s="146" t="s">
        <v>1409</v>
      </c>
      <c r="H995" s="2" t="s">
        <v>2355</v>
      </c>
      <c r="I995" s="12" t="s">
        <v>570</v>
      </c>
      <c r="J995" s="41">
        <f>+Tabla1[[#This Row],[FECHA ENTRADA]]</f>
        <v>45770</v>
      </c>
      <c r="K995" s="41">
        <v>45800</v>
      </c>
      <c r="L995" s="23">
        <f>_xlfn.DAYS(Tabla1[[#This Row],[FECHA FIN ]],Tabla1[[#This Row],[FECHA INICIO]])</f>
        <v>30</v>
      </c>
      <c r="M995" s="12"/>
      <c r="N995" s="12"/>
      <c r="O995" s="24">
        <f>(Tabla1[[#This Row],[COSTO FIJO ]]/30)*Tabla1[[#This Row],[TOTAL DIAS PROYECTO]]+(Tabla1[[#This Row],[COSTO TEMPORAL]])</f>
        <v>0</v>
      </c>
      <c r="P995" s="12"/>
      <c r="Q995" s="12">
        <f>+(Tabla1[[#This Row],[COSTO COCHE]]/30)*Tabla1[[#This Row],[TOTAL DIAS PROYECTO]]</f>
        <v>0</v>
      </c>
      <c r="R995" s="12">
        <f>+Tabla1[[#This Row],[COSTO TOTAL ALOJAMIENTO]]+Tabla1[[#This Row],[COSTO TOTAL COCHE]]</f>
        <v>0</v>
      </c>
      <c r="S995" s="2"/>
      <c r="T995" s="2" t="s">
        <v>35</v>
      </c>
      <c r="U995" s="14">
        <v>45770</v>
      </c>
      <c r="V995" s="25"/>
      <c r="W995" s="26"/>
      <c r="X995" s="2">
        <v>5</v>
      </c>
      <c r="Y995" s="11" t="s">
        <v>2356</v>
      </c>
      <c r="Z995" s="2" t="s">
        <v>36</v>
      </c>
      <c r="AA995" s="13" t="s">
        <v>10385</v>
      </c>
      <c r="AB995" s="13" t="s">
        <v>10386</v>
      </c>
    </row>
    <row r="996" spans="1:28">
      <c r="A996" s="2" t="s">
        <v>9125</v>
      </c>
      <c r="B996" s="2" t="s">
        <v>28</v>
      </c>
      <c r="C996" s="11" t="s">
        <v>2100</v>
      </c>
      <c r="D996" s="2" t="s">
        <v>30</v>
      </c>
      <c r="E996" s="2" t="s">
        <v>626</v>
      </c>
      <c r="F996" s="11" t="s">
        <v>1408</v>
      </c>
      <c r="G996" s="146" t="s">
        <v>1409</v>
      </c>
      <c r="H996" s="2" t="s">
        <v>2357</v>
      </c>
      <c r="I996" s="12" t="s">
        <v>570</v>
      </c>
      <c r="J996" s="41">
        <f>+Tabla1[[#This Row],[FECHA ENTRADA]]</f>
        <v>45774</v>
      </c>
      <c r="K996" s="41">
        <v>45800</v>
      </c>
      <c r="L996" s="23">
        <f>_xlfn.DAYS(Tabla1[[#This Row],[FECHA FIN ]],Tabla1[[#This Row],[FECHA INICIO]])</f>
        <v>26</v>
      </c>
      <c r="M996" s="12"/>
      <c r="N996" s="12"/>
      <c r="O996" s="24">
        <f>(Tabla1[[#This Row],[COSTO FIJO ]]/30)*Tabla1[[#This Row],[TOTAL DIAS PROYECTO]]+(Tabla1[[#This Row],[COSTO TEMPORAL]])</f>
        <v>0</v>
      </c>
      <c r="P996" s="12"/>
      <c r="Q996" s="12">
        <f>+(Tabla1[[#This Row],[COSTO COCHE]]/30)*Tabla1[[#This Row],[TOTAL DIAS PROYECTO]]</f>
        <v>0</v>
      </c>
      <c r="R996" s="12">
        <f>+Tabla1[[#This Row],[COSTO TOTAL ALOJAMIENTO]]+Tabla1[[#This Row],[COSTO TOTAL COCHE]]</f>
        <v>0</v>
      </c>
      <c r="S996" s="2"/>
      <c r="T996" s="2" t="s">
        <v>35</v>
      </c>
      <c r="U996" s="14">
        <v>45774</v>
      </c>
      <c r="V996" s="25"/>
      <c r="W996" s="26">
        <v>500</v>
      </c>
      <c r="X996" s="2">
        <v>5</v>
      </c>
      <c r="Y996" s="11" t="s">
        <v>1361</v>
      </c>
      <c r="Z996" s="2" t="s">
        <v>36</v>
      </c>
      <c r="AA996" s="13" t="s">
        <v>10385</v>
      </c>
      <c r="AB996" s="13" t="s">
        <v>10386</v>
      </c>
    </row>
    <row r="997" spans="1:28">
      <c r="A997" s="2" t="s">
        <v>9124</v>
      </c>
      <c r="B997" s="2" t="s">
        <v>28</v>
      </c>
      <c r="C997" s="11" t="s">
        <v>2096</v>
      </c>
      <c r="D997" s="2" t="s">
        <v>30</v>
      </c>
      <c r="E997" s="2" t="s">
        <v>626</v>
      </c>
      <c r="F997" s="11" t="s">
        <v>1964</v>
      </c>
      <c r="G997" s="146" t="s">
        <v>1409</v>
      </c>
      <c r="H997" s="2" t="s">
        <v>2357</v>
      </c>
      <c r="I997" s="12" t="s">
        <v>570</v>
      </c>
      <c r="J997" s="41">
        <f>+Tabla1[[#This Row],[FECHA ENTRADA]]</f>
        <v>45774</v>
      </c>
      <c r="K997" s="41">
        <v>45800</v>
      </c>
      <c r="L997" s="23">
        <f>_xlfn.DAYS(Tabla1[[#This Row],[FECHA FIN ]],Tabla1[[#This Row],[FECHA INICIO]])</f>
        <v>26</v>
      </c>
      <c r="M997" s="12"/>
      <c r="N997" s="12"/>
      <c r="O997" s="24">
        <f>(Tabla1[[#This Row],[COSTO FIJO ]]/30)*Tabla1[[#This Row],[TOTAL DIAS PROYECTO]]+(Tabla1[[#This Row],[COSTO TEMPORAL]])</f>
        <v>0</v>
      </c>
      <c r="P997" s="12"/>
      <c r="Q997" s="12">
        <f>+(Tabla1[[#This Row],[COSTO COCHE]]/30)*Tabla1[[#This Row],[TOTAL DIAS PROYECTO]]</f>
        <v>0</v>
      </c>
      <c r="R997" s="12">
        <f>+Tabla1[[#This Row],[COSTO TOTAL ALOJAMIENTO]]+Tabla1[[#This Row],[COSTO TOTAL COCHE]]</f>
        <v>0</v>
      </c>
      <c r="S997" s="2"/>
      <c r="T997" s="2" t="s">
        <v>35</v>
      </c>
      <c r="U997" s="14">
        <v>45774</v>
      </c>
      <c r="V997" s="25"/>
      <c r="W997" s="26"/>
      <c r="X997" s="2">
        <v>5</v>
      </c>
      <c r="Y997" s="11" t="s">
        <v>1361</v>
      </c>
      <c r="Z997" s="2" t="s">
        <v>36</v>
      </c>
      <c r="AA997" s="13" t="s">
        <v>10385</v>
      </c>
      <c r="AB997" s="13" t="s">
        <v>10386</v>
      </c>
    </row>
    <row r="998" spans="1:28">
      <c r="A998" s="2" t="s">
        <v>9183</v>
      </c>
      <c r="B998" s="2" t="s">
        <v>28</v>
      </c>
      <c r="C998" s="11" t="s">
        <v>2344</v>
      </c>
      <c r="D998" s="2" t="s">
        <v>30</v>
      </c>
      <c r="E998" s="2" t="s">
        <v>61</v>
      </c>
      <c r="F998" s="11"/>
      <c r="G998" s="49"/>
      <c r="H998" s="2" t="s">
        <v>2347</v>
      </c>
      <c r="I998" s="12" t="s">
        <v>2348</v>
      </c>
      <c r="J998" s="22">
        <f>+Tabla1[[#This Row],[FECHA ENTRADA]]</f>
        <v>45799</v>
      </c>
      <c r="K998" s="22">
        <v>45800</v>
      </c>
      <c r="L998" s="23">
        <f>_xlfn.DAYS(Tabla1[[#This Row],[FECHA FIN ]],Tabla1[[#This Row],[FECHA INICIO]])</f>
        <v>1</v>
      </c>
      <c r="M998" s="12"/>
      <c r="N998" s="12"/>
      <c r="O998" s="24">
        <f>(Tabla1[[#This Row],[COSTO FIJO ]]/30)*Tabla1[[#This Row],[TOTAL DIAS PROYECTO]]+(Tabla1[[#This Row],[COSTO TEMPORAL]])</f>
        <v>0</v>
      </c>
      <c r="P998" s="12"/>
      <c r="Q998" s="12">
        <f>+(Tabla1[[#This Row],[COSTO COCHE]]/30)*Tabla1[[#This Row],[TOTAL DIAS PROYECTO]]</f>
        <v>0</v>
      </c>
      <c r="R998" s="12">
        <f>+Tabla1[[#This Row],[COSTO TOTAL ALOJAMIENTO]]+Tabla1[[#This Row],[COSTO TOTAL COCHE]]</f>
        <v>0</v>
      </c>
      <c r="S998" s="2"/>
      <c r="T998" s="14" t="s">
        <v>58</v>
      </c>
      <c r="U998" s="14">
        <v>45799</v>
      </c>
      <c r="V998" s="98"/>
      <c r="W998" s="2"/>
      <c r="X998" s="2"/>
      <c r="Y998" t="s">
        <v>2358</v>
      </c>
      <c r="Z998" s="2" t="s">
        <v>36</v>
      </c>
      <c r="AA998" s="13" t="s">
        <v>10329</v>
      </c>
      <c r="AB998" s="13" t="s">
        <v>10330</v>
      </c>
    </row>
    <row r="999" spans="1:28">
      <c r="A999" s="2" t="s">
        <v>8719</v>
      </c>
      <c r="B999" s="2" t="s">
        <v>368</v>
      </c>
      <c r="C999" s="31" t="s">
        <v>438</v>
      </c>
      <c r="D999" s="2" t="s">
        <v>99</v>
      </c>
      <c r="E999" s="2" t="s">
        <v>87</v>
      </c>
      <c r="F999" s="11" t="s">
        <v>1864</v>
      </c>
      <c r="G999" s="11" t="s">
        <v>2195</v>
      </c>
      <c r="H999" s="2" t="s">
        <v>2359</v>
      </c>
      <c r="I999" s="10" t="s">
        <v>233</v>
      </c>
      <c r="J999" s="41">
        <f>+Tabla1[[#This Row],[FECHA ENTRADA]]</f>
        <v>45747</v>
      </c>
      <c r="K999" s="41">
        <v>45800</v>
      </c>
      <c r="L999" s="42">
        <f>_xlfn.DAYS(Tabla1[[#This Row],[FECHA FIN ]],Tabla1[[#This Row],[FECHA INICIO]])</f>
        <v>53</v>
      </c>
      <c r="M999" s="12"/>
      <c r="N999" s="20">
        <f>1752.5/6</f>
        <v>292.08333333333331</v>
      </c>
      <c r="O999" s="28">
        <f>(Tabla1[[#This Row],[COSTO FIJO ]]/30)*Tabla1[[#This Row],[TOTAL DIAS PROYECTO]]+(Tabla1[[#This Row],[COSTO TEMPORAL]])</f>
        <v>516.01388888888891</v>
      </c>
      <c r="P999" s="12">
        <v>133.33333333333334</v>
      </c>
      <c r="Q999" s="12">
        <f>+(Tabla1[[#This Row],[COSTO COCHE]]/30)*Tabla1[[#This Row],[TOTAL DIAS PROYECTO]]</f>
        <v>235.55555555555557</v>
      </c>
      <c r="R999" s="12">
        <f>+Tabla1[[#This Row],[COSTO TOTAL ALOJAMIENTO]]+Tabla1[[#This Row],[COSTO TOTAL COCHE]]</f>
        <v>751.56944444444446</v>
      </c>
      <c r="S999" s="2"/>
      <c r="T999" s="2" t="s">
        <v>35</v>
      </c>
      <c r="U999" s="14">
        <v>45747</v>
      </c>
      <c r="V999" s="43"/>
      <c r="W999" s="26"/>
      <c r="X999" s="2">
        <v>7</v>
      </c>
      <c r="Y999" s="11"/>
      <c r="Z999" s="2" t="s">
        <v>36</v>
      </c>
      <c r="AA999" s="13" t="s">
        <v>10335</v>
      </c>
      <c r="AB999" s="13">
        <v>404.16500000000002</v>
      </c>
    </row>
    <row r="1000" spans="1:28" ht="15" customHeight="1">
      <c r="A1000" s="2" t="s">
        <v>9178</v>
      </c>
      <c r="B1000" s="2" t="s">
        <v>711</v>
      </c>
      <c r="C1000" s="31" t="s">
        <v>2333</v>
      </c>
      <c r="D1000" s="2" t="s">
        <v>99</v>
      </c>
      <c r="E1000" s="2" t="s">
        <v>734</v>
      </c>
      <c r="F1000" s="11" t="s">
        <v>735</v>
      </c>
      <c r="G1000" s="118" t="s">
        <v>736</v>
      </c>
      <c r="H1000" s="2" t="s">
        <v>737</v>
      </c>
      <c r="I1000" s="12" t="s">
        <v>96</v>
      </c>
      <c r="J1000" s="41">
        <f>+Tabla1[[#This Row],[FECHA ENTRADA]]</f>
        <v>46096</v>
      </c>
      <c r="K1000" s="41">
        <v>46110</v>
      </c>
      <c r="L1000" s="42">
        <f>_xlfn.DAYS(Tabla1[[#This Row],[FECHA FIN ]],Tabla1[[#This Row],[FECHA INICIO]])</f>
        <v>14</v>
      </c>
      <c r="M1000" s="12"/>
      <c r="N1000" s="28">
        <v>260</v>
      </c>
      <c r="O1000" s="28">
        <f>(Tabla1[[#This Row],[COSTO FIJO ]]/30)*Tabla1[[#This Row],[TOTAL DIAS PROYECTO]]+(Tabla1[[#This Row],[COSTO TEMPORAL]])</f>
        <v>121.33333333333333</v>
      </c>
      <c r="P1000" s="12"/>
      <c r="Q1000" s="12">
        <f>+(Tabla1[[#This Row],[COSTO COCHE]]/30)*Tabla1[[#This Row],[TOTAL DIAS PROYECTO]]</f>
        <v>0</v>
      </c>
      <c r="R1000" s="12">
        <f>+Tabla1[[#This Row],[COSTO TOTAL ALOJAMIENTO]]+Tabla1[[#This Row],[COSTO TOTAL COCHE]]</f>
        <v>121.33333333333333</v>
      </c>
      <c r="S1000" s="2"/>
      <c r="T1000" s="14" t="s">
        <v>35</v>
      </c>
      <c r="U1000" s="14">
        <v>46096</v>
      </c>
      <c r="V1000" s="43"/>
      <c r="W1000" s="12"/>
      <c r="X1000" s="2">
        <v>5</v>
      </c>
      <c r="Y1000" s="11" t="s">
        <v>2360</v>
      </c>
      <c r="Z1000" s="2" t="s">
        <v>36</v>
      </c>
      <c r="AA1000" s="13" t="s">
        <v>10396</v>
      </c>
      <c r="AB1000" s="13" t="s">
        <v>10397</v>
      </c>
    </row>
    <row r="1001" spans="1:28">
      <c r="A1001" s="2" t="s">
        <v>9186</v>
      </c>
      <c r="B1001" s="2" t="s">
        <v>28</v>
      </c>
      <c r="C1001" s="11" t="s">
        <v>2361</v>
      </c>
      <c r="D1001" s="2" t="s">
        <v>30</v>
      </c>
      <c r="E1001" s="2" t="s">
        <v>245</v>
      </c>
      <c r="F1001" s="11" t="s">
        <v>2209</v>
      </c>
      <c r="G1001" s="46" t="s">
        <v>2210</v>
      </c>
      <c r="H1001" s="2" t="s">
        <v>2211</v>
      </c>
      <c r="I1001" s="12" t="s">
        <v>249</v>
      </c>
      <c r="J1001" s="41">
        <f>+Tabla1[[#This Row],[FECHA ENTRADA]]</f>
        <v>45685</v>
      </c>
      <c r="K1001" s="22">
        <v>45821</v>
      </c>
      <c r="L1001" s="42">
        <f>_xlfn.DAYS(Tabla1[[#This Row],[FECHA FIN ]],Tabla1[[#This Row],[FECHA INICIO]])</f>
        <v>136</v>
      </c>
      <c r="M1001" s="12"/>
      <c r="N1001" s="12">
        <f>1811.6/17</f>
        <v>106.56470588235294</v>
      </c>
      <c r="O1001" s="28">
        <f>(Tabla1[[#This Row],[COSTO FIJO ]]/30)*Tabla1[[#This Row],[TOTAL DIAS PROYECTO]]+(Tabla1[[#This Row],[COSTO TEMPORAL]])</f>
        <v>483.09333333333336</v>
      </c>
      <c r="P1001" s="12"/>
      <c r="Q1001" s="12">
        <f>+(Tabla1[[#This Row],[COSTO COCHE]]/30)*Tabla1[[#This Row],[TOTAL DIAS PROYECTO]]</f>
        <v>0</v>
      </c>
      <c r="R1001" s="12">
        <f>+Tabla1[[#This Row],[COSTO TOTAL ALOJAMIENTO]]+Tabla1[[#This Row],[COSTO TOTAL COCHE]]</f>
        <v>483.09333333333336</v>
      </c>
      <c r="S1001" s="2" t="s">
        <v>84</v>
      </c>
      <c r="T1001" s="2" t="s">
        <v>44</v>
      </c>
      <c r="U1001" s="14">
        <v>45685</v>
      </c>
      <c r="V1001" s="43">
        <v>45764</v>
      </c>
      <c r="W1001" s="26"/>
      <c r="X1001" s="2"/>
      <c r="Y1001" s="11"/>
      <c r="Z1001" s="2" t="s">
        <v>36</v>
      </c>
      <c r="AA1001" s="13" t="s">
        <v>10355</v>
      </c>
      <c r="AB1001" s="13" t="s">
        <v>10356</v>
      </c>
    </row>
    <row r="1002" spans="1:28" ht="15" customHeight="1">
      <c r="A1002" s="2" t="s">
        <v>9187</v>
      </c>
      <c r="B1002" s="2" t="s">
        <v>368</v>
      </c>
      <c r="C1002" s="11" t="s">
        <v>2362</v>
      </c>
      <c r="D1002" s="2" t="s">
        <v>30</v>
      </c>
      <c r="E1002" s="2" t="s">
        <v>31</v>
      </c>
      <c r="F1002" s="11" t="s">
        <v>2284</v>
      </c>
      <c r="G1002" s="11" t="s">
        <v>2285</v>
      </c>
      <c r="H1002" s="2" t="s">
        <v>2363</v>
      </c>
      <c r="I1002" s="12" t="s">
        <v>2287</v>
      </c>
      <c r="J1002" s="41">
        <f>+Tabla1[[#This Row],[FECHA ENTRADA]]</f>
        <v>45802</v>
      </c>
      <c r="K1002" s="8">
        <v>45800</v>
      </c>
      <c r="L1002" s="13">
        <f>_xlfn.DAYS(Tabla1[[#This Row],[FECHA FIN ]],Tabla1[[#This Row],[FECHA INICIO]])</f>
        <v>-2</v>
      </c>
      <c r="M1002" s="12"/>
      <c r="N1002" s="12"/>
      <c r="O1002" s="12">
        <f>(Tabla1[[#This Row],[COSTO FIJO ]]/30)*Tabla1[[#This Row],[TOTAL DIAS PROYECTO]]+(Tabla1[[#This Row],[COSTO TEMPORAL]])</f>
        <v>0</v>
      </c>
      <c r="P1002" s="12"/>
      <c r="Q1002" s="12">
        <f>+(Tabla1[[#This Row],[COSTO COCHE]]/30)*Tabla1[[#This Row],[TOTAL DIAS PROYECTO]]</f>
        <v>0</v>
      </c>
      <c r="R1002" s="12">
        <f>+Tabla1[[#This Row],[COSTO TOTAL ALOJAMIENTO]]+Tabla1[[#This Row],[COSTO TOTAL COCHE]]</f>
        <v>0</v>
      </c>
      <c r="S1002" s="2"/>
      <c r="T1002" s="2" t="s">
        <v>613</v>
      </c>
      <c r="U1002" s="14">
        <v>45802</v>
      </c>
      <c r="V1002" s="14"/>
      <c r="W1002" s="26"/>
      <c r="X1002" s="2">
        <v>15</v>
      </c>
      <c r="Y1002" t="s">
        <v>2364</v>
      </c>
      <c r="Z1002" s="2" t="s">
        <v>36</v>
      </c>
      <c r="AA1002" s="13" t="s">
        <v>10323</v>
      </c>
      <c r="AB1002" s="13" t="s">
        <v>10324</v>
      </c>
    </row>
    <row r="1003" spans="1:28">
      <c r="A1003" s="2" t="s">
        <v>9188</v>
      </c>
      <c r="B1003" s="2" t="s">
        <v>28</v>
      </c>
      <c r="C1003" s="11" t="s">
        <v>2365</v>
      </c>
      <c r="D1003" s="2" t="s">
        <v>72</v>
      </c>
      <c r="E1003" s="2" t="s">
        <v>73</v>
      </c>
      <c r="F1003" s="11" t="s">
        <v>74</v>
      </c>
      <c r="G1003" s="11" t="s">
        <v>75</v>
      </c>
      <c r="H1003" s="2" t="s">
        <v>2366</v>
      </c>
      <c r="I1003" s="12" t="s">
        <v>332</v>
      </c>
      <c r="J1003" s="41">
        <f>+Tabla1[[#This Row],[FECHA ENTRADA]]</f>
        <v>45747</v>
      </c>
      <c r="K1003" s="8">
        <v>45800</v>
      </c>
      <c r="L1003" s="42">
        <f>_xlfn.DAYS(Tabla1[[#This Row],[FECHA FIN ]],Tabla1[[#This Row],[FECHA INICIO]])</f>
        <v>53</v>
      </c>
      <c r="M1003" s="12"/>
      <c r="N1003" s="12"/>
      <c r="O1003" s="28">
        <f>(Tabla1[[#This Row],[COSTO FIJO ]]/30)*Tabla1[[#This Row],[TOTAL DIAS PROYECTO]]+(Tabla1[[#This Row],[COSTO TEMPORAL]])</f>
        <v>0</v>
      </c>
      <c r="P1003" s="12"/>
      <c r="Q1003" s="12">
        <f>+(Tabla1[[#This Row],[COSTO COCHE]]/30)*Tabla1[[#This Row],[TOTAL DIAS PROYECTO]]</f>
        <v>0</v>
      </c>
      <c r="R1003" s="12">
        <f>+Tabla1[[#This Row],[COSTO TOTAL ALOJAMIENTO]]+Tabla1[[#This Row],[COSTO TOTAL COCHE]]</f>
        <v>0</v>
      </c>
      <c r="S1003" s="2"/>
      <c r="T1003" s="2" t="s">
        <v>35</v>
      </c>
      <c r="U1003" s="14">
        <v>45747</v>
      </c>
      <c r="V1003" s="43"/>
      <c r="W1003" s="26"/>
      <c r="X1003" s="2"/>
      <c r="Y1003" t="s">
        <v>2367</v>
      </c>
      <c r="Z1003" s="2" t="s">
        <v>36</v>
      </c>
      <c r="AA1003" s="13" t="s">
        <v>10331</v>
      </c>
      <c r="AB1003" s="13" t="s">
        <v>10332</v>
      </c>
    </row>
    <row r="1004" spans="1:28" ht="15" customHeight="1">
      <c r="A1004" s="2" t="s">
        <v>8975</v>
      </c>
      <c r="B1004" s="2" t="s">
        <v>28</v>
      </c>
      <c r="C1004" s="11" t="s">
        <v>1567</v>
      </c>
      <c r="D1004" s="2" t="s">
        <v>30</v>
      </c>
      <c r="E1004" s="2" t="s">
        <v>31</v>
      </c>
      <c r="F1004" s="11" t="s">
        <v>344</v>
      </c>
      <c r="G1004" s="11" t="s">
        <v>345</v>
      </c>
      <c r="H1004" s="2" t="s">
        <v>2368</v>
      </c>
      <c r="I1004" s="12" t="s">
        <v>34</v>
      </c>
      <c r="J1004" s="22">
        <f>+Tabla1[[#This Row],[FECHA ENTRADA]]</f>
        <v>45737</v>
      </c>
      <c r="K1004" s="22">
        <v>45800</v>
      </c>
      <c r="L1004" s="23">
        <f>_xlfn.DAYS(Tabla1[[#This Row],[FECHA FIN ]],Tabla1[[#This Row],[FECHA INICIO]])</f>
        <v>63</v>
      </c>
      <c r="M1004" s="12"/>
      <c r="N1004" s="12"/>
      <c r="O1004" s="24">
        <f>(Tabla1[[#This Row],[COSTO FIJO ]]/30)*Tabla1[[#This Row],[TOTAL DIAS PROYECTO]]+(Tabla1[[#This Row],[COSTO TEMPORAL]])</f>
        <v>0</v>
      </c>
      <c r="P1004" s="12"/>
      <c r="Q1004" s="12">
        <f>+(Tabla1[[#This Row],[COSTO COCHE]]/30)*Tabla1[[#This Row],[TOTAL DIAS PROYECTO]]</f>
        <v>0</v>
      </c>
      <c r="R1004" s="12">
        <f>+Tabla1[[#This Row],[COSTO TOTAL ALOJAMIENTO]]+Tabla1[[#This Row],[COSTO TOTAL COCHE]]</f>
        <v>0</v>
      </c>
      <c r="S1004" s="2"/>
      <c r="T1004" s="2" t="s">
        <v>35</v>
      </c>
      <c r="U1004" s="14">
        <v>45737</v>
      </c>
      <c r="V1004" s="79"/>
      <c r="W1004" s="26"/>
      <c r="X1004" s="2"/>
      <c r="Y1004" s="11"/>
      <c r="Z1004" s="2" t="s">
        <v>36</v>
      </c>
      <c r="AA1004" s="13" t="s">
        <v>10323</v>
      </c>
      <c r="AB1004" s="13" t="s">
        <v>10324</v>
      </c>
    </row>
    <row r="1005" spans="1:28" ht="15" customHeight="1">
      <c r="A1005" s="2" t="s">
        <v>9189</v>
      </c>
      <c r="B1005" s="2" t="s">
        <v>1457</v>
      </c>
      <c r="C1005" s="11" t="s">
        <v>2369</v>
      </c>
      <c r="D1005" s="2" t="s">
        <v>72</v>
      </c>
      <c r="E1005" s="2" t="s">
        <v>73</v>
      </c>
      <c r="F1005" s="11" t="s">
        <v>74</v>
      </c>
      <c r="G1005" s="11" t="s">
        <v>75</v>
      </c>
      <c r="H1005" s="2">
        <v>2023</v>
      </c>
      <c r="I1005" s="2" t="s">
        <v>332</v>
      </c>
      <c r="J1005" s="8">
        <v>45122</v>
      </c>
      <c r="K1005" s="8">
        <v>45800</v>
      </c>
      <c r="L1005" s="13">
        <f>_xlfn.DAYS(Tabla1[[#This Row],[FECHA FIN ]],Tabla1[[#This Row],[FECHA INICIO]])</f>
        <v>678</v>
      </c>
      <c r="M1005" s="12"/>
      <c r="N1005" s="2"/>
      <c r="O1005" s="12">
        <f>(Tabla1[[#This Row],[COSTO FIJO ]]/30)*Tabla1[[#This Row],[TOTAL DIAS PROYECTO]]+(Tabla1[[#This Row],[COSTO TEMPORAL]])</f>
        <v>0</v>
      </c>
      <c r="P1005" s="12"/>
      <c r="Q1005" s="12">
        <f>+(Tabla1[[#This Row],[COSTO COCHE]]/30)*Tabla1[[#This Row],[TOTAL DIAS PROYECTO]]</f>
        <v>0</v>
      </c>
      <c r="R1005" s="12">
        <f>+Tabla1[[#This Row],[COSTO TOTAL ALOJAMIENTO]]+Tabla1[[#This Row],[COSTO TOTAL COCHE]]</f>
        <v>0</v>
      </c>
      <c r="S1005" s="2"/>
      <c r="T1005" s="2" t="s">
        <v>35</v>
      </c>
      <c r="U1005" s="14"/>
      <c r="V1005" s="14"/>
      <c r="W1005" s="15"/>
      <c r="X1005" s="16"/>
      <c r="Y1005" t="s">
        <v>2353</v>
      </c>
      <c r="Z1005" s="2" t="s">
        <v>36</v>
      </c>
      <c r="AA1005" s="13" t="s">
        <v>10331</v>
      </c>
      <c r="AB1005" s="13" t="s">
        <v>10332</v>
      </c>
    </row>
    <row r="1006" spans="1:28">
      <c r="A1006" s="2" t="s">
        <v>9190</v>
      </c>
      <c r="B1006" s="2" t="s">
        <v>28</v>
      </c>
      <c r="C1006" s="11" t="s">
        <v>2370</v>
      </c>
      <c r="D1006" s="2" t="s">
        <v>30</v>
      </c>
      <c r="E1006" s="2" t="s">
        <v>253</v>
      </c>
      <c r="F1006" s="11" t="s">
        <v>254</v>
      </c>
      <c r="G1006" s="11" t="s">
        <v>255</v>
      </c>
      <c r="H1006" s="2" t="s">
        <v>2371</v>
      </c>
      <c r="I1006" s="12" t="s">
        <v>582</v>
      </c>
      <c r="J1006" s="8">
        <f>+Tabla1[[#This Row],[FECHA ENTRADA]]</f>
        <v>45496</v>
      </c>
      <c r="K1006" s="22">
        <v>45801</v>
      </c>
      <c r="L1006" s="13">
        <v>289</v>
      </c>
      <c r="M1006" s="12"/>
      <c r="N1006" s="12"/>
      <c r="O1006" s="12">
        <f>(Tabla1[[#This Row],[COSTO FIJO ]]/30)*Tabla1[[#This Row],[TOTAL DIAS PROYECTO]]+(Tabla1[[#This Row],[COSTO TEMPORAL]])</f>
        <v>0</v>
      </c>
      <c r="P1006" s="12">
        <f>1304.98/7</f>
        <v>186.42571428571429</v>
      </c>
      <c r="Q1006" s="12">
        <f>+(Tabla1[[#This Row],[COSTO COCHE]]/30)*Tabla1[[#This Row],[TOTAL DIAS PROYECTO]]</f>
        <v>1795.9010476190479</v>
      </c>
      <c r="R1006" s="12">
        <f>+Tabla1[[#This Row],[COSTO TOTAL ALOJAMIENTO]]+Tabla1[[#This Row],[COSTO TOTAL COCHE]]</f>
        <v>1795.9010476190479</v>
      </c>
      <c r="S1006" s="2"/>
      <c r="T1006" s="2" t="s">
        <v>35</v>
      </c>
      <c r="U1006" s="14">
        <v>45496</v>
      </c>
      <c r="V1006" s="14"/>
      <c r="W1006" s="26"/>
      <c r="X1006" s="2">
        <v>1</v>
      </c>
      <c r="Y1006" s="11" t="s">
        <v>2372</v>
      </c>
      <c r="Z1006" s="2" t="s">
        <v>36</v>
      </c>
      <c r="AA1006" s="13" t="s">
        <v>10357</v>
      </c>
      <c r="AB1006" s="13" t="s">
        <v>10358</v>
      </c>
    </row>
    <row r="1007" spans="1:28">
      <c r="A1007" s="2" t="s">
        <v>8863</v>
      </c>
      <c r="B1007" s="2" t="s">
        <v>28</v>
      </c>
      <c r="C1007" s="11" t="s">
        <v>1062</v>
      </c>
      <c r="D1007" s="2" t="s">
        <v>30</v>
      </c>
      <c r="E1007" s="2" t="s">
        <v>415</v>
      </c>
      <c r="F1007" s="11"/>
      <c r="G1007" s="49"/>
      <c r="H1007" s="2" t="s">
        <v>1150</v>
      </c>
      <c r="I1007" s="12" t="s">
        <v>800</v>
      </c>
      <c r="J1007" s="22">
        <f>+Tabla1[[#This Row],[FECHA ENTRADA]]</f>
        <v>45778</v>
      </c>
      <c r="K1007" s="22">
        <v>45802</v>
      </c>
      <c r="L1007" s="23">
        <f>_xlfn.DAYS(Tabla1[[#This Row],[FECHA FIN ]],Tabla1[[#This Row],[FECHA INICIO]])</f>
        <v>24</v>
      </c>
      <c r="M1007" s="12"/>
      <c r="N1007" s="12"/>
      <c r="O1007" s="24">
        <f>(Tabla1[[#This Row],[COSTO FIJO ]]/30)*Tabla1[[#This Row],[TOTAL DIAS PROYECTO]]+(Tabla1[[#This Row],[COSTO TEMPORAL]])</f>
        <v>0</v>
      </c>
      <c r="P1007" s="12"/>
      <c r="Q1007" s="12">
        <f>+(Tabla1[[#This Row],[COSTO COCHE]]/30)*Tabla1[[#This Row],[TOTAL DIAS PROYECTO]]</f>
        <v>0</v>
      </c>
      <c r="R1007" s="12">
        <f>+Tabla1[[#This Row],[COSTO TOTAL ALOJAMIENTO]]+Tabla1[[#This Row],[COSTO TOTAL COCHE]]</f>
        <v>0</v>
      </c>
      <c r="S1007" s="2"/>
      <c r="T1007" s="2" t="s">
        <v>58</v>
      </c>
      <c r="U1007" s="14">
        <v>45778</v>
      </c>
      <c r="V1007" s="98"/>
      <c r="W1007" s="2"/>
      <c r="X1007" s="2"/>
      <c r="Y1007" s="11" t="s">
        <v>2373</v>
      </c>
      <c r="Z1007" s="2" t="s">
        <v>36</v>
      </c>
      <c r="AA1007" s="13">
        <v>-0.37739</v>
      </c>
      <c r="AB1007" s="13" t="s">
        <v>10372</v>
      </c>
    </row>
    <row r="1008" spans="1:28">
      <c r="A1008" s="2" t="s">
        <v>9191</v>
      </c>
      <c r="B1008" s="2" t="s">
        <v>28</v>
      </c>
      <c r="C1008" s="99" t="s">
        <v>2374</v>
      </c>
      <c r="D1008" s="2" t="s">
        <v>30</v>
      </c>
      <c r="E1008" s="2" t="s">
        <v>380</v>
      </c>
      <c r="F1008" s="11" t="s">
        <v>2236</v>
      </c>
      <c r="G1008" s="30" t="s">
        <v>2237</v>
      </c>
      <c r="H1008" s="2" t="s">
        <v>1890</v>
      </c>
      <c r="I1008" s="12" t="s">
        <v>800</v>
      </c>
      <c r="J1008" s="8">
        <f>+Tabla1[[#This Row],[FECHA ENTRADA]]</f>
        <v>45398</v>
      </c>
      <c r="K1008" s="22">
        <v>45755</v>
      </c>
      <c r="L1008" s="13">
        <f>_xlfn.DAYS(Tabla1[[#This Row],[FECHA FIN ]],Tabla1[[#This Row],[FECHA INICIO]])</f>
        <v>357</v>
      </c>
      <c r="M1008" s="12"/>
      <c r="N1008" s="12">
        <v>300</v>
      </c>
      <c r="O1008" s="12">
        <f>(Tabla1[[#This Row],[COSTO FIJO ]]/30)*Tabla1[[#This Row],[TOTAL DIAS PROYECTO]]+(Tabla1[[#This Row],[COSTO TEMPORAL]])</f>
        <v>3570</v>
      </c>
      <c r="P1008" s="12"/>
      <c r="Q1008" s="12">
        <f>+(Tabla1[[#This Row],[COSTO COCHE]]/30)*Tabla1[[#This Row],[TOTAL DIAS PROYECTO]]</f>
        <v>0</v>
      </c>
      <c r="R1008" s="12">
        <f>+Tabla1[[#This Row],[COSTO TOTAL ALOJAMIENTO]]+Tabla1[[#This Row],[COSTO TOTAL COCHE]]</f>
        <v>3570</v>
      </c>
      <c r="S1008" s="2" t="s">
        <v>84</v>
      </c>
      <c r="T1008" s="2" t="s">
        <v>35</v>
      </c>
      <c r="U1008" s="14">
        <v>45398</v>
      </c>
      <c r="V1008" s="14"/>
      <c r="W1008" s="26"/>
      <c r="X1008" s="16">
        <v>1</v>
      </c>
      <c r="Y1008" s="11" t="s">
        <v>2375</v>
      </c>
      <c r="Z1008" s="2" t="s">
        <v>36</v>
      </c>
      <c r="AA1008" s="13" t="s">
        <v>10370</v>
      </c>
      <c r="AB1008" s="13" t="s">
        <v>10371</v>
      </c>
    </row>
    <row r="1009" spans="1:28" ht="15" customHeight="1">
      <c r="A1009" s="2" t="s">
        <v>9125</v>
      </c>
      <c r="B1009" s="2" t="s">
        <v>28</v>
      </c>
      <c r="C1009" s="11" t="s">
        <v>2100</v>
      </c>
      <c r="D1009" s="2" t="s">
        <v>30</v>
      </c>
      <c r="E1009" s="2" t="s">
        <v>626</v>
      </c>
      <c r="F1009" s="11" t="s">
        <v>2376</v>
      </c>
      <c r="G1009" t="s">
        <v>2377</v>
      </c>
      <c r="H1009" s="2" t="s">
        <v>2357</v>
      </c>
      <c r="I1009" s="12" t="s">
        <v>570</v>
      </c>
      <c r="J1009" s="22">
        <f>+Tabla1[[#This Row],[FECHA ENTRADA]]</f>
        <v>45800</v>
      </c>
      <c r="K1009" s="22">
        <v>45802</v>
      </c>
      <c r="L1009" s="23">
        <f>_xlfn.DAYS(Tabla1[[#This Row],[FECHA FIN ]],Tabla1[[#This Row],[FECHA INICIO]])</f>
        <v>2</v>
      </c>
      <c r="M1009" s="12"/>
      <c r="N1009" s="12"/>
      <c r="O1009" s="24">
        <f>(Tabla1[[#This Row],[COSTO FIJO ]]/30)*Tabla1[[#This Row],[TOTAL DIAS PROYECTO]]+(Tabla1[[#This Row],[COSTO TEMPORAL]])</f>
        <v>0</v>
      </c>
      <c r="P1009" s="12"/>
      <c r="Q1009" s="12">
        <f>+(Tabla1[[#This Row],[COSTO COCHE]]/30)*Tabla1[[#This Row],[TOTAL DIAS PROYECTO]]</f>
        <v>0</v>
      </c>
      <c r="R1009" s="12">
        <f>+Tabla1[[#This Row],[COSTO TOTAL ALOJAMIENTO]]+Tabla1[[#This Row],[COSTO TOTAL COCHE]]</f>
        <v>0</v>
      </c>
      <c r="S1009" s="2"/>
      <c r="T1009" s="2" t="s">
        <v>44</v>
      </c>
      <c r="U1009" s="14">
        <v>45800</v>
      </c>
      <c r="V1009" s="25">
        <v>45802</v>
      </c>
      <c r="W1009" s="2"/>
      <c r="X1009" s="2"/>
      <c r="Y1009" s="11" t="s">
        <v>1361</v>
      </c>
      <c r="Z1009" s="2" t="s">
        <v>36</v>
      </c>
      <c r="AA1009" s="13" t="s">
        <v>10385</v>
      </c>
      <c r="AB1009" s="13" t="s">
        <v>10386</v>
      </c>
    </row>
    <row r="1010" spans="1:28" ht="15" customHeight="1">
      <c r="A1010" s="2" t="s">
        <v>9124</v>
      </c>
      <c r="B1010" s="2" t="s">
        <v>28</v>
      </c>
      <c r="C1010" s="11" t="s">
        <v>2096</v>
      </c>
      <c r="D1010" s="2" t="s">
        <v>30</v>
      </c>
      <c r="E1010" s="2" t="s">
        <v>626</v>
      </c>
      <c r="F1010" s="11" t="s">
        <v>2376</v>
      </c>
      <c r="G1010" t="s">
        <v>2377</v>
      </c>
      <c r="H1010" s="2" t="s">
        <v>2357</v>
      </c>
      <c r="I1010" s="12" t="s">
        <v>570</v>
      </c>
      <c r="J1010" s="22">
        <f>+Tabla1[[#This Row],[FECHA ENTRADA]]</f>
        <v>45800</v>
      </c>
      <c r="K1010" s="22">
        <v>45802</v>
      </c>
      <c r="L1010" s="23">
        <f>_xlfn.DAYS(Tabla1[[#This Row],[FECHA FIN ]],Tabla1[[#This Row],[FECHA INICIO]])</f>
        <v>2</v>
      </c>
      <c r="M1010" s="12"/>
      <c r="N1010" s="12"/>
      <c r="O1010" s="24">
        <f>(Tabla1[[#This Row],[COSTO FIJO ]]/30)*Tabla1[[#This Row],[TOTAL DIAS PROYECTO]]+(Tabla1[[#This Row],[COSTO TEMPORAL]])</f>
        <v>0</v>
      </c>
      <c r="P1010" s="12"/>
      <c r="Q1010" s="12">
        <f>+(Tabla1[[#This Row],[COSTO COCHE]]/30)*Tabla1[[#This Row],[TOTAL DIAS PROYECTO]]</f>
        <v>0</v>
      </c>
      <c r="R1010" s="12">
        <f>+Tabla1[[#This Row],[COSTO TOTAL ALOJAMIENTO]]+Tabla1[[#This Row],[COSTO TOTAL COCHE]]</f>
        <v>0</v>
      </c>
      <c r="S1010" s="2"/>
      <c r="T1010" s="2" t="s">
        <v>44</v>
      </c>
      <c r="U1010" s="14">
        <v>45800</v>
      </c>
      <c r="V1010" s="25">
        <v>45802</v>
      </c>
      <c r="W1010" s="2"/>
      <c r="X1010" s="2"/>
      <c r="Y1010" s="11" t="s">
        <v>1361</v>
      </c>
      <c r="Z1010" s="2" t="s">
        <v>36</v>
      </c>
      <c r="AA1010" s="13" t="s">
        <v>10385</v>
      </c>
      <c r="AB1010" s="13" t="s">
        <v>10386</v>
      </c>
    </row>
    <row r="1011" spans="1:28" ht="15" customHeight="1">
      <c r="A1011" s="2" t="s">
        <v>9185</v>
      </c>
      <c r="B1011" s="2" t="s">
        <v>28</v>
      </c>
      <c r="C1011" s="11" t="s">
        <v>2354</v>
      </c>
      <c r="D1011" s="2" t="s">
        <v>30</v>
      </c>
      <c r="E1011" s="2" t="s">
        <v>626</v>
      </c>
      <c r="F1011" s="11" t="s">
        <v>2376</v>
      </c>
      <c r="G1011" s="30" t="s">
        <v>2377</v>
      </c>
      <c r="H1011" s="2" t="s">
        <v>2355</v>
      </c>
      <c r="I1011" s="12" t="s">
        <v>570</v>
      </c>
      <c r="J1011" s="22">
        <f>+Tabla1[[#This Row],[FECHA ENTRADA]]</f>
        <v>45800</v>
      </c>
      <c r="K1011" s="22">
        <v>45802</v>
      </c>
      <c r="L1011" s="23">
        <f>_xlfn.DAYS(Tabla1[[#This Row],[FECHA FIN ]],Tabla1[[#This Row],[FECHA INICIO]])</f>
        <v>2</v>
      </c>
      <c r="M1011" s="12"/>
      <c r="N1011" s="12"/>
      <c r="O1011" s="24">
        <f>(Tabla1[[#This Row],[COSTO FIJO ]]/30)*Tabla1[[#This Row],[TOTAL DIAS PROYECTO]]+(Tabla1[[#This Row],[COSTO TEMPORAL]])</f>
        <v>0</v>
      </c>
      <c r="P1011" s="12"/>
      <c r="Q1011" s="12">
        <f>+(Tabla1[[#This Row],[COSTO COCHE]]/30)*Tabla1[[#This Row],[TOTAL DIAS PROYECTO]]</f>
        <v>0</v>
      </c>
      <c r="R1011" s="12">
        <f>+Tabla1[[#This Row],[COSTO TOTAL ALOJAMIENTO]]+Tabla1[[#This Row],[COSTO TOTAL COCHE]]</f>
        <v>0</v>
      </c>
      <c r="S1011" s="2"/>
      <c r="T1011" s="2" t="s">
        <v>44</v>
      </c>
      <c r="U1011" s="14">
        <v>45800</v>
      </c>
      <c r="V1011" s="25">
        <v>45802</v>
      </c>
      <c r="W1011" s="2"/>
      <c r="X1011" s="2"/>
      <c r="Y1011" s="11" t="s">
        <v>1361</v>
      </c>
      <c r="Z1011" s="2" t="s">
        <v>36</v>
      </c>
      <c r="AA1011" s="13" t="s">
        <v>10385</v>
      </c>
      <c r="AB1011" s="13" t="s">
        <v>10386</v>
      </c>
    </row>
    <row r="1012" spans="1:28" ht="15" customHeight="1">
      <c r="A1012" s="2" t="s">
        <v>8952</v>
      </c>
      <c r="B1012" s="2" t="s">
        <v>368</v>
      </c>
      <c r="C1012" s="11" t="s">
        <v>1442</v>
      </c>
      <c r="D1012" s="2" t="s">
        <v>99</v>
      </c>
      <c r="E1012" s="10" t="s">
        <v>2378</v>
      </c>
      <c r="F1012" s="11" t="s">
        <v>2379</v>
      </c>
      <c r="G1012" s="166" t="s">
        <v>2380</v>
      </c>
      <c r="H1012" s="2" t="s">
        <v>2381</v>
      </c>
      <c r="I1012" s="12" t="s">
        <v>1392</v>
      </c>
      <c r="J1012" s="22">
        <f>+Tabla1[[#This Row],[FECHA ENTRADA]]</f>
        <v>45788</v>
      </c>
      <c r="K1012" s="8">
        <v>45802</v>
      </c>
      <c r="L1012" s="23">
        <f>_xlfn.DAYS(Tabla1[[#This Row],[FECHA FIN ]],Tabla1[[#This Row],[FECHA INICIO]])</f>
        <v>14</v>
      </c>
      <c r="M1012" s="12"/>
      <c r="N1012" s="12">
        <f>914.08/5</f>
        <v>182.816</v>
      </c>
      <c r="O1012" s="24">
        <f>(Tabla1[[#This Row],[COSTO FIJO ]]/30)*Tabla1[[#This Row],[TOTAL DIAS PROYECTO]]+(Tabla1[[#This Row],[COSTO TEMPORAL]])</f>
        <v>85.314133333333331</v>
      </c>
      <c r="P1012" s="12"/>
      <c r="Q1012" s="12">
        <f>+(Tabla1[[#This Row],[COSTO COCHE]]/30)*Tabla1[[#This Row],[TOTAL DIAS PROYECTO]]</f>
        <v>0</v>
      </c>
      <c r="R1012" s="12">
        <f>+Tabla1[[#This Row],[COSTO TOTAL ALOJAMIENTO]]+Tabla1[[#This Row],[COSTO TOTAL COCHE]]</f>
        <v>85.314133333333331</v>
      </c>
      <c r="S1012" s="2" t="s">
        <v>84</v>
      </c>
      <c r="T1012" s="14" t="s">
        <v>44</v>
      </c>
      <c r="U1012" s="14">
        <v>45788</v>
      </c>
      <c r="V1012" s="14">
        <v>45804</v>
      </c>
      <c r="W1012" s="2"/>
      <c r="X1012" s="2"/>
      <c r="Y1012" t="s">
        <v>2382</v>
      </c>
      <c r="Z1012" s="2" t="s">
        <v>36</v>
      </c>
      <c r="AA1012" s="13" t="e">
        <v>#N/A</v>
      </c>
      <c r="AB1012" s="13" t="e">
        <v>#N/A</v>
      </c>
    </row>
    <row r="1013" spans="1:28" ht="15" customHeight="1">
      <c r="A1013" s="2" t="s">
        <v>8938</v>
      </c>
      <c r="B1013" s="2" t="s">
        <v>368</v>
      </c>
      <c r="C1013" s="11" t="s">
        <v>1362</v>
      </c>
      <c r="D1013" s="2" t="s">
        <v>99</v>
      </c>
      <c r="E1013" s="10" t="s">
        <v>2378</v>
      </c>
      <c r="F1013" s="11" t="s">
        <v>2379</v>
      </c>
      <c r="G1013" s="166" t="s">
        <v>2380</v>
      </c>
      <c r="H1013" s="2" t="s">
        <v>2381</v>
      </c>
      <c r="I1013" s="12" t="s">
        <v>1392</v>
      </c>
      <c r="J1013" s="41">
        <f>+Tabla1[[#This Row],[FECHA ENTRADA]]</f>
        <v>45788</v>
      </c>
      <c r="K1013" s="8">
        <v>45802</v>
      </c>
      <c r="L1013" s="13">
        <f>_xlfn.DAYS(Tabla1[[#This Row],[FECHA FIN ]],Tabla1[[#This Row],[FECHA INICIO]])</f>
        <v>14</v>
      </c>
      <c r="M1013" s="12"/>
      <c r="N1013" s="12">
        <f>914.08/5</f>
        <v>182.816</v>
      </c>
      <c r="O1013" s="12">
        <f>(Tabla1[[#This Row],[COSTO FIJO ]]/30)*Tabla1[[#This Row],[TOTAL DIAS PROYECTO]]+(Tabla1[[#This Row],[COSTO TEMPORAL]])</f>
        <v>85.314133333333331</v>
      </c>
      <c r="P1013" s="12"/>
      <c r="Q1013" s="12">
        <f>+(Tabla1[[#This Row],[COSTO COCHE]]/30)*Tabla1[[#This Row],[TOTAL DIAS PROYECTO]]</f>
        <v>0</v>
      </c>
      <c r="R1013" s="12">
        <f>+Tabla1[[#This Row],[COSTO TOTAL ALOJAMIENTO]]+Tabla1[[#This Row],[COSTO TOTAL COCHE]]</f>
        <v>85.314133333333331</v>
      </c>
      <c r="S1013" s="2" t="s">
        <v>84</v>
      </c>
      <c r="T1013" s="2" t="s">
        <v>44</v>
      </c>
      <c r="U1013" s="14">
        <v>45788</v>
      </c>
      <c r="V1013" s="14">
        <v>45804</v>
      </c>
      <c r="W1013" s="26"/>
      <c r="X1013" s="2"/>
      <c r="Y1013" t="s">
        <v>2382</v>
      </c>
      <c r="Z1013" s="2" t="s">
        <v>36</v>
      </c>
      <c r="AA1013" s="13" t="e">
        <v>#N/A</v>
      </c>
      <c r="AB1013" s="13" t="e">
        <v>#N/A</v>
      </c>
    </row>
    <row r="1014" spans="1:28" ht="15" customHeight="1">
      <c r="A1014" s="2" t="s">
        <v>8653</v>
      </c>
      <c r="B1014" s="2" t="s">
        <v>368</v>
      </c>
      <c r="C1014" s="31" t="s">
        <v>147</v>
      </c>
      <c r="D1014" s="2" t="s">
        <v>99</v>
      </c>
      <c r="E1014" s="10" t="s">
        <v>2378</v>
      </c>
      <c r="F1014" s="11" t="s">
        <v>2379</v>
      </c>
      <c r="G1014" s="166" t="s">
        <v>2380</v>
      </c>
      <c r="H1014" s="2" t="s">
        <v>2383</v>
      </c>
      <c r="I1014" s="12" t="s">
        <v>1392</v>
      </c>
      <c r="J1014" s="41">
        <f>+Tabla1[[#This Row],[FECHA ENTRADA]]</f>
        <v>45788</v>
      </c>
      <c r="K1014" s="8">
        <v>45802</v>
      </c>
      <c r="L1014" s="13">
        <f>_xlfn.DAYS(Tabla1[[#This Row],[FECHA FIN ]],Tabla1[[#This Row],[FECHA INICIO]])</f>
        <v>14</v>
      </c>
      <c r="M1014" s="12">
        <f>914.08/5</f>
        <v>182.816</v>
      </c>
      <c r="N1014" s="24"/>
      <c r="O1014" s="12">
        <f>(Tabla1[[#This Row],[COSTO FIJO ]]/30)*Tabla1[[#This Row],[TOTAL DIAS PROYECTO]]+(Tabla1[[#This Row],[COSTO TEMPORAL]])</f>
        <v>182.816</v>
      </c>
      <c r="P1014" s="12"/>
      <c r="Q1014" s="12">
        <f>+(Tabla1[[#This Row],[COSTO COCHE]]/30)*Tabla1[[#This Row],[TOTAL DIAS PROYECTO]]</f>
        <v>0</v>
      </c>
      <c r="R1014" s="12">
        <f>+Tabla1[[#This Row],[COSTO TOTAL ALOJAMIENTO]]+Tabla1[[#This Row],[COSTO TOTAL COCHE]]</f>
        <v>182.816</v>
      </c>
      <c r="S1014" s="2" t="s">
        <v>84</v>
      </c>
      <c r="T1014" s="2" t="s">
        <v>44</v>
      </c>
      <c r="U1014" s="14">
        <v>45788</v>
      </c>
      <c r="V1014" s="14">
        <v>45804</v>
      </c>
      <c r="W1014" s="26"/>
      <c r="X1014" s="2"/>
      <c r="Y1014" t="s">
        <v>2382</v>
      </c>
      <c r="Z1014" s="2" t="s">
        <v>36</v>
      </c>
      <c r="AA1014" s="13" t="e">
        <v>#N/A</v>
      </c>
      <c r="AB1014" s="13" t="e">
        <v>#N/A</v>
      </c>
    </row>
    <row r="1015" spans="1:28" ht="15" customHeight="1">
      <c r="A1015" s="2" t="s">
        <v>9082</v>
      </c>
      <c r="B1015" s="2" t="s">
        <v>368</v>
      </c>
      <c r="C1015" s="31" t="s">
        <v>1936</v>
      </c>
      <c r="D1015" s="2" t="s">
        <v>99</v>
      </c>
      <c r="E1015" s="10" t="s">
        <v>2378</v>
      </c>
      <c r="F1015" s="11" t="s">
        <v>2384</v>
      </c>
      <c r="G1015" s="21" t="s">
        <v>2385</v>
      </c>
      <c r="H1015" s="2" t="s">
        <v>2381</v>
      </c>
      <c r="I1015" s="12" t="s">
        <v>1392</v>
      </c>
      <c r="J1015" s="22">
        <f>+Tabla1[[#This Row],[FECHA ENTRADA]]</f>
        <v>45788</v>
      </c>
      <c r="K1015" s="8">
        <v>45802</v>
      </c>
      <c r="L1015" s="23">
        <f>_xlfn.DAYS(Tabla1[[#This Row],[FECHA FIN ]],Tabla1[[#This Row],[FECHA INICIO]])</f>
        <v>14</v>
      </c>
      <c r="M1015" s="12">
        <v>227.25</v>
      </c>
      <c r="N1015" s="12"/>
      <c r="O1015" s="24">
        <f>(Tabla1[[#This Row],[COSTO FIJO ]]/30)*Tabla1[[#This Row],[TOTAL DIAS PROYECTO]]+(Tabla1[[#This Row],[COSTO TEMPORAL]])</f>
        <v>227.25</v>
      </c>
      <c r="P1015" s="12"/>
      <c r="Q1015" s="12">
        <f>+(Tabla1[[#This Row],[COSTO COCHE]]/30)*Tabla1[[#This Row],[TOTAL DIAS PROYECTO]]</f>
        <v>0</v>
      </c>
      <c r="R1015" s="12">
        <f>+Tabla1[[#This Row],[COSTO TOTAL ALOJAMIENTO]]+Tabla1[[#This Row],[COSTO TOTAL COCHE]]</f>
        <v>227.25</v>
      </c>
      <c r="S1015" s="2" t="s">
        <v>84</v>
      </c>
      <c r="T1015" s="14" t="s">
        <v>44</v>
      </c>
      <c r="U1015" s="14">
        <v>45788</v>
      </c>
      <c r="V1015" s="14">
        <v>45804</v>
      </c>
      <c r="W1015" s="2"/>
      <c r="X1015" s="2"/>
      <c r="Y1015" t="s">
        <v>2382</v>
      </c>
      <c r="Z1015" s="2" t="s">
        <v>36</v>
      </c>
      <c r="AA1015" s="13" t="e">
        <v>#N/A</v>
      </c>
      <c r="AB1015" s="13" t="e">
        <v>#N/A</v>
      </c>
    </row>
    <row r="1016" spans="1:28">
      <c r="A1016" s="2" t="s">
        <v>8941</v>
      </c>
      <c r="B1016" s="2" t="s">
        <v>28</v>
      </c>
      <c r="C1016" s="11" t="s">
        <v>1372</v>
      </c>
      <c r="D1016" s="2" t="s">
        <v>30</v>
      </c>
      <c r="E1016" s="2" t="s">
        <v>415</v>
      </c>
      <c r="F1016" s="11"/>
      <c r="G1016" s="49"/>
      <c r="H1016" s="2" t="s">
        <v>1373</v>
      </c>
      <c r="I1016" s="12" t="s">
        <v>800</v>
      </c>
      <c r="J1016" s="22">
        <f>+Tabla1[[#This Row],[FECHA ENTRADA]]</f>
        <v>45778</v>
      </c>
      <c r="K1016" s="22">
        <v>45802</v>
      </c>
      <c r="L1016" s="23">
        <f>_xlfn.DAYS(Tabla1[[#This Row],[FECHA FIN ]],Tabla1[[#This Row],[FECHA INICIO]])</f>
        <v>24</v>
      </c>
      <c r="M1016" s="12"/>
      <c r="N1016" s="12"/>
      <c r="O1016" s="24">
        <f>(Tabla1[[#This Row],[COSTO FIJO ]]/30)*Tabla1[[#This Row],[TOTAL DIAS PROYECTO]]+(Tabla1[[#This Row],[COSTO TEMPORAL]])</f>
        <v>0</v>
      </c>
      <c r="P1016" s="12"/>
      <c r="Q1016" s="12">
        <f>+(Tabla1[[#This Row],[COSTO COCHE]]/30)*Tabla1[[#This Row],[TOTAL DIAS PROYECTO]]</f>
        <v>0</v>
      </c>
      <c r="R1016" s="12">
        <f>+Tabla1[[#This Row],[COSTO TOTAL ALOJAMIENTO]]+Tabla1[[#This Row],[COSTO TOTAL COCHE]]</f>
        <v>0</v>
      </c>
      <c r="S1016" s="2"/>
      <c r="T1016" s="2" t="s">
        <v>58</v>
      </c>
      <c r="U1016" s="14">
        <v>45778</v>
      </c>
      <c r="V1016" s="98"/>
      <c r="W1016" s="2"/>
      <c r="X1016" s="2"/>
      <c r="Y1016" s="11" t="s">
        <v>2373</v>
      </c>
      <c r="Z1016" s="2" t="s">
        <v>36</v>
      </c>
      <c r="AA1016" s="13">
        <v>-0.37739</v>
      </c>
      <c r="AB1016" s="13" t="s">
        <v>10372</v>
      </c>
    </row>
    <row r="1017" spans="1:28" ht="15" customHeight="1">
      <c r="A1017" s="2" t="s">
        <v>9021</v>
      </c>
      <c r="B1017" s="2" t="s">
        <v>368</v>
      </c>
      <c r="C1017" s="11" t="s">
        <v>1715</v>
      </c>
      <c r="D1017" s="2" t="s">
        <v>99</v>
      </c>
      <c r="E1017" s="2" t="s">
        <v>1987</v>
      </c>
      <c r="F1017" s="11" t="s">
        <v>2261</v>
      </c>
      <c r="G1017" s="21" t="s">
        <v>2262</v>
      </c>
      <c r="H1017" s="2" t="s">
        <v>2227</v>
      </c>
      <c r="I1017" s="12" t="s">
        <v>2228</v>
      </c>
      <c r="J1017" s="22">
        <f>+Tabla1[[#This Row],[FECHA ENTRADA]]</f>
        <v>45800</v>
      </c>
      <c r="K1017" s="22">
        <v>45803</v>
      </c>
      <c r="L1017" s="23">
        <f>_xlfn.DAYS(Tabla1[[#This Row],[FECHA FIN ]],Tabla1[[#This Row],[FECHA INICIO]])</f>
        <v>3</v>
      </c>
      <c r="M1017" s="12"/>
      <c r="N1017" s="24"/>
      <c r="O1017" s="24">
        <f>(Tabla1[[#This Row],[COSTO FIJO ]]/30)*Tabla1[[#This Row],[TOTAL DIAS PROYECTO]]+(Tabla1[[#This Row],[COSTO TEMPORAL]])</f>
        <v>0</v>
      </c>
      <c r="P1017" s="12"/>
      <c r="Q1017" s="12">
        <f>+(Tabla1[[#This Row],[COSTO COCHE]]/30)*Tabla1[[#This Row],[TOTAL DIAS PROYECTO]]</f>
        <v>0</v>
      </c>
      <c r="R1017" s="12">
        <f>+Tabla1[[#This Row],[COSTO TOTAL ALOJAMIENTO]]+Tabla1[[#This Row],[COSTO TOTAL COCHE]]</f>
        <v>0</v>
      </c>
      <c r="S1017" s="2"/>
      <c r="T1017" s="2" t="s">
        <v>44</v>
      </c>
      <c r="U1017" s="14">
        <v>45800</v>
      </c>
      <c r="V1017" s="79">
        <v>45803</v>
      </c>
      <c r="W1017" s="26"/>
      <c r="X1017" s="2"/>
      <c r="Y1017" s="11" t="s">
        <v>1166</v>
      </c>
      <c r="Z1017" s="2" t="s">
        <v>36</v>
      </c>
      <c r="AA1017" s="13" t="s">
        <v>10435</v>
      </c>
      <c r="AB1017" s="13">
        <v>42.136150000000001</v>
      </c>
    </row>
    <row r="1018" spans="1:28" ht="15" customHeight="1">
      <c r="A1018" s="2" t="s">
        <v>8976</v>
      </c>
      <c r="B1018" s="2" t="s">
        <v>368</v>
      </c>
      <c r="C1018" s="11" t="s">
        <v>1570</v>
      </c>
      <c r="D1018" s="2" t="s">
        <v>99</v>
      </c>
      <c r="E1018" s="2" t="s">
        <v>109</v>
      </c>
      <c r="F1018" s="11" t="s">
        <v>1793</v>
      </c>
      <c r="G1018" s="21">
        <v>973266788</v>
      </c>
      <c r="H1018" s="2" t="s">
        <v>2386</v>
      </c>
      <c r="I1018" s="12" t="s">
        <v>42</v>
      </c>
      <c r="J1018" s="41">
        <f>+Tabla1[[#This Row],[FECHA ENTRADA]]</f>
        <v>45707</v>
      </c>
      <c r="K1018" s="22">
        <v>45731</v>
      </c>
      <c r="L1018" s="42">
        <f>_xlfn.DAYS(Tabla1[[#This Row],[FECHA FIN ]],Tabla1[[#This Row],[FECHA INICIO]])</f>
        <v>24</v>
      </c>
      <c r="M1018" s="12"/>
      <c r="N1018" s="28"/>
      <c r="O1018" s="28">
        <f>(Tabla1[[#This Row],[COSTO FIJO ]]/30)*Tabla1[[#This Row],[TOTAL DIAS PROYECTO]]+(Tabla1[[#This Row],[COSTO TEMPORAL]])</f>
        <v>0</v>
      </c>
      <c r="P1018" s="12"/>
      <c r="Q1018" s="12">
        <f>+(Tabla1[[#This Row],[COSTO COCHE]]/30)*Tabla1[[#This Row],[TOTAL DIAS PROYECTO]]</f>
        <v>0</v>
      </c>
      <c r="R1018" s="12">
        <f>+Tabla1[[#This Row],[COSTO TOTAL ALOJAMIENTO]]+Tabla1[[#This Row],[COSTO TOTAL COCHE]]</f>
        <v>0</v>
      </c>
      <c r="S1018" s="2"/>
      <c r="T1018" s="2" t="s">
        <v>44</v>
      </c>
      <c r="U1018" s="14">
        <v>45707</v>
      </c>
      <c r="V1018" s="25">
        <v>45731</v>
      </c>
      <c r="W1018" s="26"/>
      <c r="X1018" s="2"/>
      <c r="Y1018" s="11"/>
      <c r="Z1018" s="2" t="s">
        <v>36</v>
      </c>
      <c r="AA1018" s="13">
        <v>0.62217999999999996</v>
      </c>
      <c r="AB1018" s="13" t="s">
        <v>10339</v>
      </c>
    </row>
    <row r="1019" spans="1:28" ht="15" customHeight="1">
      <c r="A1019" s="2" t="s">
        <v>9192</v>
      </c>
      <c r="B1019" s="2" t="s">
        <v>368</v>
      </c>
      <c r="C1019" s="11" t="s">
        <v>2387</v>
      </c>
      <c r="D1019" s="2" t="s">
        <v>99</v>
      </c>
      <c r="E1019" s="2" t="s">
        <v>109</v>
      </c>
      <c r="F1019" s="11" t="s">
        <v>1793</v>
      </c>
      <c r="G1019" s="21">
        <v>973266788</v>
      </c>
      <c r="H1019" s="2" t="s">
        <v>2386</v>
      </c>
      <c r="I1019" s="12" t="s">
        <v>42</v>
      </c>
      <c r="J1019" s="41">
        <f>+Tabla1[[#This Row],[FECHA ENTRADA]]</f>
        <v>45707</v>
      </c>
      <c r="K1019" s="22">
        <v>45737</v>
      </c>
      <c r="L1019" s="42">
        <f>_xlfn.DAYS(Tabla1[[#This Row],[FECHA FIN ]],Tabla1[[#This Row],[FECHA INICIO]])</f>
        <v>30</v>
      </c>
      <c r="M1019" s="12"/>
      <c r="N1019" s="12">
        <f>1811.6/17</f>
        <v>106.56470588235294</v>
      </c>
      <c r="O1019" s="28">
        <f>(Tabla1[[#This Row],[COSTO FIJO ]]/30)*Tabla1[[#This Row],[TOTAL DIAS PROYECTO]]+(Tabla1[[#This Row],[COSTO TEMPORAL]])</f>
        <v>106.56470588235294</v>
      </c>
      <c r="P1019" s="12"/>
      <c r="Q1019" s="12">
        <f>+(Tabla1[[#This Row],[COSTO COCHE]]/30)*Tabla1[[#This Row],[TOTAL DIAS PROYECTO]]</f>
        <v>0</v>
      </c>
      <c r="R1019" s="12">
        <f>+Tabla1[[#This Row],[COSTO TOTAL ALOJAMIENTO]]+Tabla1[[#This Row],[COSTO TOTAL COCHE]]</f>
        <v>106.56470588235294</v>
      </c>
      <c r="S1019" s="2"/>
      <c r="T1019" s="2" t="s">
        <v>44</v>
      </c>
      <c r="U1019" s="14">
        <v>45707</v>
      </c>
      <c r="V1019" s="25">
        <v>45737</v>
      </c>
      <c r="W1019" s="26"/>
      <c r="X1019" s="2"/>
      <c r="Y1019" s="11" t="s">
        <v>2388</v>
      </c>
      <c r="Z1019" s="2" t="s">
        <v>36</v>
      </c>
      <c r="AA1019" s="13">
        <v>0.62217999999999996</v>
      </c>
      <c r="AB1019" s="13" t="s">
        <v>10339</v>
      </c>
    </row>
    <row r="1020" spans="1:28" ht="15" customHeight="1">
      <c r="A1020" s="2" t="s">
        <v>9019</v>
      </c>
      <c r="B1020" s="2" t="s">
        <v>368</v>
      </c>
      <c r="C1020" s="31" t="s">
        <v>1710</v>
      </c>
      <c r="D1020" s="2" t="s">
        <v>99</v>
      </c>
      <c r="E1020" s="10" t="s">
        <v>2378</v>
      </c>
      <c r="F1020" s="11" t="s">
        <v>2379</v>
      </c>
      <c r="G1020" s="166" t="s">
        <v>2380</v>
      </c>
      <c r="H1020" s="2" t="s">
        <v>2381</v>
      </c>
      <c r="I1020" s="12" t="s">
        <v>1392</v>
      </c>
      <c r="J1020" s="41">
        <f>+Tabla1[[#This Row],[FECHA ENTRADA]]</f>
        <v>45788</v>
      </c>
      <c r="K1020" s="22">
        <v>45804</v>
      </c>
      <c r="L1020" s="13">
        <f>_xlfn.DAYS(Tabla1[[#This Row],[FECHA FIN ]],Tabla1[[#This Row],[FECHA INICIO]])</f>
        <v>16</v>
      </c>
      <c r="M1020" s="12"/>
      <c r="N1020" s="24"/>
      <c r="O1020" s="12">
        <f>(Tabla1[[#This Row],[COSTO FIJO ]]/30)*Tabla1[[#This Row],[TOTAL DIAS PROYECTO]]+(Tabla1[[#This Row],[COSTO TEMPORAL]])</f>
        <v>0</v>
      </c>
      <c r="P1020" s="12"/>
      <c r="Q1020" s="12">
        <f>+(Tabla1[[#This Row],[COSTO COCHE]]/30)*Tabla1[[#This Row],[TOTAL DIAS PROYECTO]]</f>
        <v>0</v>
      </c>
      <c r="R1020" s="12">
        <f>+Tabla1[[#This Row],[COSTO TOTAL ALOJAMIENTO]]+Tabla1[[#This Row],[COSTO TOTAL COCHE]]</f>
        <v>0</v>
      </c>
      <c r="S1020" s="2" t="s">
        <v>84</v>
      </c>
      <c r="T1020" s="2" t="s">
        <v>44</v>
      </c>
      <c r="U1020" s="14">
        <v>45788</v>
      </c>
      <c r="V1020" s="14">
        <v>45804</v>
      </c>
      <c r="W1020" s="26"/>
      <c r="X1020" s="2"/>
      <c r="Y1020" t="s">
        <v>2382</v>
      </c>
      <c r="Z1020" s="2" t="s">
        <v>36</v>
      </c>
      <c r="AA1020" s="13" t="e">
        <v>#N/A</v>
      </c>
      <c r="AB1020" s="13" t="e">
        <v>#N/A</v>
      </c>
    </row>
    <row r="1021" spans="1:28" ht="15" customHeight="1">
      <c r="A1021" s="2" t="s">
        <v>8642</v>
      </c>
      <c r="B1021" s="2" t="s">
        <v>606</v>
      </c>
      <c r="C1021" s="31" t="s">
        <v>2389</v>
      </c>
      <c r="D1021" s="2" t="s">
        <v>30</v>
      </c>
      <c r="E1021" s="2" t="s">
        <v>31</v>
      </c>
      <c r="F1021" s="11" t="s">
        <v>1206</v>
      </c>
      <c r="G1021" s="167" t="s">
        <v>1005</v>
      </c>
      <c r="H1021" s="2" t="s">
        <v>2390</v>
      </c>
      <c r="I1021" s="12" t="s">
        <v>2391</v>
      </c>
      <c r="J1021" s="22">
        <f>+Tabla1[[#This Row],[FECHA ENTRADA]]</f>
        <v>46238</v>
      </c>
      <c r="K1021" s="22">
        <v>46258</v>
      </c>
      <c r="L1021" s="23">
        <f>_xlfn.DAYS(Tabla1[[#This Row],[FECHA FIN ]],Tabla1[[#This Row],[FECHA INICIO]])</f>
        <v>20</v>
      </c>
      <c r="M1021" s="12"/>
      <c r="N1021" s="12">
        <v>416.66666666666669</v>
      </c>
      <c r="O1021" s="24">
        <f>(Tabla1[[#This Row],[COSTO FIJO ]]/30)*Tabla1[[#This Row],[TOTAL DIAS PROYECTO]]+(Tabla1[[#This Row],[COSTO TEMPORAL]])</f>
        <v>277.77777777777777</v>
      </c>
      <c r="P1021" s="12"/>
      <c r="Q1021" s="12">
        <f>+(Tabla1[[#This Row],[COSTO COCHE]]/30)*Tabla1[[#This Row],[TOTAL DIAS PROYECTO]]</f>
        <v>0</v>
      </c>
      <c r="R1021" s="12">
        <f>+Tabla1[[#This Row],[COSTO TOTAL ALOJAMIENTO]]+Tabla1[[#This Row],[COSTO TOTAL COCHE]]</f>
        <v>277.77777777777777</v>
      </c>
      <c r="S1021" s="2"/>
      <c r="T1021" s="14" t="s">
        <v>35</v>
      </c>
      <c r="U1021" s="14">
        <v>46238</v>
      </c>
      <c r="V1021" s="79"/>
      <c r="W1021" s="12"/>
      <c r="X1021" s="2">
        <v>1</v>
      </c>
      <c r="Y1021" s="168" t="s">
        <v>2392</v>
      </c>
      <c r="Z1021" s="2" t="s">
        <v>36</v>
      </c>
      <c r="AA1021" s="13" t="s">
        <v>10323</v>
      </c>
      <c r="AB1021" s="13" t="s">
        <v>10324</v>
      </c>
    </row>
    <row r="1022" spans="1:28" ht="15" customHeight="1">
      <c r="A1022" s="2" t="s">
        <v>9193</v>
      </c>
      <c r="B1022" s="2" t="s">
        <v>368</v>
      </c>
      <c r="C1022" s="11" t="s">
        <v>2393</v>
      </c>
      <c r="D1022" s="2" t="s">
        <v>30</v>
      </c>
      <c r="E1022" s="2" t="s">
        <v>422</v>
      </c>
      <c r="F1022" s="11" t="s">
        <v>956</v>
      </c>
      <c r="G1022" s="11" t="s">
        <v>957</v>
      </c>
      <c r="H1022" s="2" t="s">
        <v>912</v>
      </c>
      <c r="I1022" s="12" t="s">
        <v>913</v>
      </c>
      <c r="J1022" s="41">
        <v>45633</v>
      </c>
      <c r="K1022" s="22">
        <v>45821</v>
      </c>
      <c r="L1022" s="42">
        <f>_xlfn.DAYS(Tabla1[[#This Row],[FECHA FIN ]],Tabla1[[#This Row],[FECHA INICIO]])</f>
        <v>188</v>
      </c>
      <c r="M1022" s="12"/>
      <c r="N1022" s="12"/>
      <c r="O1022" s="28">
        <f>(Tabla1[[#This Row],[COSTO FIJO ]]/30)*Tabla1[[#This Row],[TOTAL DIAS PROYECTO]]+(Tabla1[[#This Row],[COSTO TEMPORAL]])</f>
        <v>0</v>
      </c>
      <c r="P1022" s="12"/>
      <c r="Q1022" s="12">
        <f>+(Tabla1[[#This Row],[COSTO COCHE]]/30)*Tabla1[[#This Row],[TOTAL DIAS PROYECTO]]</f>
        <v>0</v>
      </c>
      <c r="R1022" s="12">
        <f>+Tabla1[[#This Row],[COSTO TOTAL ALOJAMIENTO]]+Tabla1[[#This Row],[COSTO TOTAL COCHE]]</f>
        <v>0</v>
      </c>
      <c r="S1022" s="2"/>
      <c r="T1022" s="2" t="s">
        <v>35</v>
      </c>
      <c r="U1022" s="14">
        <v>45633</v>
      </c>
      <c r="V1022" s="43"/>
      <c r="W1022" s="26"/>
      <c r="X1022" s="2">
        <v>1</v>
      </c>
      <c r="Y1022" s="11" t="s">
        <v>1166</v>
      </c>
      <c r="Z1022" s="2" t="s">
        <v>36</v>
      </c>
      <c r="AA1022" s="13">
        <v>-326.69799999999998</v>
      </c>
      <c r="AB1022" s="13" t="s">
        <v>10373</v>
      </c>
    </row>
    <row r="1023" spans="1:28" ht="15" customHeight="1">
      <c r="A1023" s="2" t="s">
        <v>9170</v>
      </c>
      <c r="B1023" s="2" t="s">
        <v>28</v>
      </c>
      <c r="C1023" s="86" t="s">
        <v>2305</v>
      </c>
      <c r="D1023" s="2" t="s">
        <v>30</v>
      </c>
      <c r="E1023" s="2" t="s">
        <v>422</v>
      </c>
      <c r="F1023" s="11" t="s">
        <v>956</v>
      </c>
      <c r="G1023" s="11" t="s">
        <v>957</v>
      </c>
      <c r="H1023" s="2" t="s">
        <v>2306</v>
      </c>
      <c r="I1023" s="2" t="s">
        <v>426</v>
      </c>
      <c r="J1023" s="41">
        <v>45637</v>
      </c>
      <c r="K1023" s="22">
        <v>45681</v>
      </c>
      <c r="L1023" s="42">
        <f>_xlfn.DAYS(Tabla1[[#This Row],[FECHA FIN ]],Tabla1[[#This Row],[FECHA INICIO]])</f>
        <v>44</v>
      </c>
      <c r="M1023" s="12"/>
      <c r="N1023" s="24"/>
      <c r="O1023" s="28">
        <f>(Tabla1[[#This Row],[COSTO FIJO ]]/30)*Tabla1[[#This Row],[TOTAL DIAS PROYECTO]]+(Tabla1[[#This Row],[COSTO TEMPORAL]])</f>
        <v>0</v>
      </c>
      <c r="P1023" s="12"/>
      <c r="Q1023" s="12">
        <f>+(Tabla1[[#This Row],[COSTO COCHE]]/30)*Tabla1[[#This Row],[TOTAL DIAS PROYECTO]]</f>
        <v>0</v>
      </c>
      <c r="R1023" s="12">
        <f>+Tabla1[[#This Row],[COSTO TOTAL ALOJAMIENTO]]+Tabla1[[#This Row],[COSTO TOTAL COCHE]]</f>
        <v>0</v>
      </c>
      <c r="S1023" s="2"/>
      <c r="T1023" s="2" t="s">
        <v>35</v>
      </c>
      <c r="U1023" s="14">
        <v>45637</v>
      </c>
      <c r="V1023" s="43"/>
      <c r="W1023" s="26"/>
      <c r="X1023" s="2">
        <v>1</v>
      </c>
      <c r="Y1023" s="96">
        <v>45681</v>
      </c>
      <c r="Z1023" s="2" t="s">
        <v>36</v>
      </c>
      <c r="AA1023" s="13">
        <v>-326.69799999999998</v>
      </c>
      <c r="AB1023" s="13" t="s">
        <v>10373</v>
      </c>
    </row>
    <row r="1024" spans="1:28" ht="15" customHeight="1">
      <c r="A1024" s="2" t="s">
        <v>8764</v>
      </c>
      <c r="B1024" s="2" t="s">
        <v>28</v>
      </c>
      <c r="C1024" s="99" t="s">
        <v>644</v>
      </c>
      <c r="D1024" s="2" t="s">
        <v>30</v>
      </c>
      <c r="E1024" s="2" t="s">
        <v>422</v>
      </c>
      <c r="F1024" s="11" t="s">
        <v>956</v>
      </c>
      <c r="G1024" s="11" t="s">
        <v>957</v>
      </c>
      <c r="H1024" s="2" t="s">
        <v>2306</v>
      </c>
      <c r="I1024" s="2" t="s">
        <v>426</v>
      </c>
      <c r="J1024" s="41">
        <v>45637</v>
      </c>
      <c r="K1024" s="22">
        <v>45735</v>
      </c>
      <c r="L1024" s="42">
        <f>_xlfn.DAYS(Tabla1[[#This Row],[FECHA FIN ]],Tabla1[[#This Row],[FECHA INICIO]])</f>
        <v>98</v>
      </c>
      <c r="M1024" s="12"/>
      <c r="N1024" s="12">
        <v>250</v>
      </c>
      <c r="O1024" s="28">
        <f>(Tabla1[[#This Row],[COSTO FIJO ]]/30)*Tabla1[[#This Row],[TOTAL DIAS PROYECTO]]+(Tabla1[[#This Row],[COSTO TEMPORAL]])</f>
        <v>816.66666666666674</v>
      </c>
      <c r="P1024" s="12"/>
      <c r="Q1024" s="12">
        <f>+(Tabla1[[#This Row],[COSTO COCHE]]/30)*Tabla1[[#This Row],[TOTAL DIAS PROYECTO]]</f>
        <v>0</v>
      </c>
      <c r="R1024" s="12">
        <f>+Tabla1[[#This Row],[COSTO TOTAL ALOJAMIENTO]]+Tabla1[[#This Row],[COSTO TOTAL COCHE]]</f>
        <v>816.66666666666674</v>
      </c>
      <c r="S1024" s="2"/>
      <c r="T1024" s="2" t="s">
        <v>35</v>
      </c>
      <c r="U1024" s="14">
        <v>45637</v>
      </c>
      <c r="V1024" s="43"/>
      <c r="W1024" s="26"/>
      <c r="X1024" s="2">
        <v>1</v>
      </c>
      <c r="Y1024" s="11"/>
      <c r="Z1024" s="2" t="s">
        <v>36</v>
      </c>
      <c r="AA1024" s="13">
        <v>-326.69799999999998</v>
      </c>
      <c r="AB1024" s="13" t="s">
        <v>10373</v>
      </c>
    </row>
    <row r="1025" spans="1:28" ht="15" customHeight="1">
      <c r="A1025" s="2" t="s">
        <v>8707</v>
      </c>
      <c r="B1025" s="2" t="s">
        <v>368</v>
      </c>
      <c r="C1025" s="99" t="s">
        <v>384</v>
      </c>
      <c r="D1025" s="2" t="s">
        <v>30</v>
      </c>
      <c r="E1025" s="2" t="s">
        <v>422</v>
      </c>
      <c r="F1025" s="11" t="s">
        <v>697</v>
      </c>
      <c r="G1025" s="46" t="s">
        <v>698</v>
      </c>
      <c r="H1025" s="2" t="s">
        <v>2394</v>
      </c>
      <c r="I1025" s="12" t="s">
        <v>670</v>
      </c>
      <c r="J1025" s="41">
        <f>+Tabla1[[#This Row],[FECHA ENTRADA]]</f>
        <v>45638</v>
      </c>
      <c r="K1025" s="8">
        <f ca="1">TODAY()</f>
        <v>46260</v>
      </c>
      <c r="L1025" s="42">
        <f ca="1">_xlfn.DAYS(Tabla1[[#This Row],[FECHA FIN ]],Tabla1[[#This Row],[FECHA INICIO]])</f>
        <v>622</v>
      </c>
      <c r="M1025" s="12"/>
      <c r="N1025" s="12">
        <v>276</v>
      </c>
      <c r="O1025" s="28">
        <f ca="1">(Tabla1[[#This Row],[COSTO FIJO ]]/30)*Tabla1[[#This Row],[TOTAL DIAS PROYECTO]]+(Tabla1[[#This Row],[COSTO TEMPORAL]])</f>
        <v>5722.4</v>
      </c>
      <c r="P1025" s="12"/>
      <c r="Q1025" s="12">
        <f ca="1">+(Tabla1[[#This Row],[COSTO COCHE]]/30)*Tabla1[[#This Row],[TOTAL DIAS PROYECTO]]</f>
        <v>0</v>
      </c>
      <c r="R1025" s="12">
        <f ca="1">+Tabla1[[#This Row],[COSTO TOTAL ALOJAMIENTO]]+Tabla1[[#This Row],[COSTO TOTAL COCHE]]</f>
        <v>5722.4</v>
      </c>
      <c r="S1025" s="2"/>
      <c r="T1025" s="2" t="s">
        <v>35</v>
      </c>
      <c r="U1025" s="14">
        <v>45638</v>
      </c>
      <c r="V1025" s="43"/>
      <c r="W1025" s="26"/>
      <c r="X1025" s="2">
        <v>1</v>
      </c>
      <c r="Y1025" t="s">
        <v>2395</v>
      </c>
      <c r="Z1025" s="2" t="s">
        <v>36</v>
      </c>
      <c r="AA1025" s="13">
        <v>-326.69799999999998</v>
      </c>
      <c r="AB1025" s="13" t="s">
        <v>10373</v>
      </c>
    </row>
    <row r="1026" spans="1:28" ht="15" customHeight="1">
      <c r="A1026" s="2" t="s">
        <v>8905</v>
      </c>
      <c r="B1026" s="2" t="s">
        <v>368</v>
      </c>
      <c r="C1026" s="11" t="s">
        <v>1221</v>
      </c>
      <c r="D1026" s="2" t="s">
        <v>30</v>
      </c>
      <c r="E1026" s="2" t="s">
        <v>422</v>
      </c>
      <c r="F1026" s="11" t="s">
        <v>697</v>
      </c>
      <c r="G1026" s="46" t="s">
        <v>698</v>
      </c>
      <c r="H1026" s="2" t="s">
        <v>2394</v>
      </c>
      <c r="I1026" s="12" t="s">
        <v>670</v>
      </c>
      <c r="J1026" s="41">
        <f>+Tabla1[[#This Row],[FECHA ENTRADA]]</f>
        <v>45641</v>
      </c>
      <c r="K1026" s="22">
        <v>45698</v>
      </c>
      <c r="L1026" s="42">
        <f>_xlfn.DAYS(Tabla1[[#This Row],[FECHA FIN ]],Tabla1[[#This Row],[FECHA INICIO]])</f>
        <v>57</v>
      </c>
      <c r="M1026" s="12"/>
      <c r="N1026" s="12">
        <f>1811.6/17</f>
        <v>106.56470588235294</v>
      </c>
      <c r="O1026" s="28">
        <f>(Tabla1[[#This Row],[COSTO FIJO ]]/30)*Tabla1[[#This Row],[TOTAL DIAS PROYECTO]]+(Tabla1[[#This Row],[COSTO TEMPORAL]])</f>
        <v>202.47294117647058</v>
      </c>
      <c r="P1026" s="12"/>
      <c r="Q1026" s="12">
        <f>+(Tabla1[[#This Row],[COSTO COCHE]]/30)*Tabla1[[#This Row],[TOTAL DIAS PROYECTO]]</f>
        <v>0</v>
      </c>
      <c r="R1026" s="12">
        <f>+Tabla1[[#This Row],[COSTO TOTAL ALOJAMIENTO]]+Tabla1[[#This Row],[COSTO TOTAL COCHE]]</f>
        <v>202.47294117647058</v>
      </c>
      <c r="S1026" s="2"/>
      <c r="T1026" s="2" t="s">
        <v>35</v>
      </c>
      <c r="U1026" s="14">
        <v>45641</v>
      </c>
      <c r="V1026" s="43"/>
      <c r="W1026" s="26"/>
      <c r="X1026" s="2">
        <v>1</v>
      </c>
      <c r="Y1026" s="11"/>
      <c r="Z1026" s="2" t="s">
        <v>36</v>
      </c>
      <c r="AA1026" s="13">
        <v>-326.69799999999998</v>
      </c>
      <c r="AB1026" s="13" t="s">
        <v>10373</v>
      </c>
    </row>
    <row r="1027" spans="1:28" ht="15" customHeight="1">
      <c r="A1027" s="2" t="s">
        <v>9194</v>
      </c>
      <c r="B1027" s="2" t="s">
        <v>368</v>
      </c>
      <c r="C1027" s="11" t="s">
        <v>2396</v>
      </c>
      <c r="D1027" s="2" t="s">
        <v>30</v>
      </c>
      <c r="E1027" s="2" t="s">
        <v>422</v>
      </c>
      <c r="F1027" s="11" t="s">
        <v>697</v>
      </c>
      <c r="G1027" s="49" t="s">
        <v>698</v>
      </c>
      <c r="H1027" s="2" t="s">
        <v>2397</v>
      </c>
      <c r="I1027" s="12" t="s">
        <v>670</v>
      </c>
      <c r="J1027" s="41">
        <f>+Tabla1[[#This Row],[FECHA ENTRADA]]</f>
        <v>45641</v>
      </c>
      <c r="K1027" s="8">
        <f ca="1">TODAY()</f>
        <v>46260</v>
      </c>
      <c r="L1027" s="42">
        <f ca="1">_xlfn.DAYS(Tabla1[[#This Row],[FECHA FIN ]],Tabla1[[#This Row],[FECHA INICIO]])</f>
        <v>619</v>
      </c>
      <c r="M1027" s="12"/>
      <c r="N1027" s="12"/>
      <c r="O1027" s="28">
        <f ca="1">(Tabla1[[#This Row],[COSTO FIJO ]]/30)*Tabla1[[#This Row],[TOTAL DIAS PROYECTO]]+(Tabla1[[#This Row],[COSTO TEMPORAL]])</f>
        <v>0</v>
      </c>
      <c r="P1027" s="12"/>
      <c r="Q1027" s="12">
        <f ca="1">+(Tabla1[[#This Row],[COSTO COCHE]]/30)*Tabla1[[#This Row],[TOTAL DIAS PROYECTO]]</f>
        <v>0</v>
      </c>
      <c r="R1027" s="12">
        <f ca="1">+Tabla1[[#This Row],[COSTO TOTAL ALOJAMIENTO]]+Tabla1[[#This Row],[COSTO TOTAL COCHE]]</f>
        <v>0</v>
      </c>
      <c r="S1027" s="2"/>
      <c r="T1027" s="2" t="s">
        <v>35</v>
      </c>
      <c r="U1027" s="14">
        <v>45641</v>
      </c>
      <c r="V1027" s="43"/>
      <c r="W1027" s="26"/>
      <c r="X1027" s="2">
        <v>1</v>
      </c>
      <c r="Y1027" s="11"/>
      <c r="Z1027" s="2" t="s">
        <v>36</v>
      </c>
      <c r="AA1027" s="13">
        <v>-326.69799999999998</v>
      </c>
      <c r="AB1027" s="13" t="s">
        <v>10373</v>
      </c>
    </row>
    <row r="1028" spans="1:28" ht="15" customHeight="1">
      <c r="A1028" s="2" t="s">
        <v>9026</v>
      </c>
      <c r="B1028" s="2" t="s">
        <v>368</v>
      </c>
      <c r="C1028" s="169" t="s">
        <v>1726</v>
      </c>
      <c r="D1028" s="2" t="s">
        <v>30</v>
      </c>
      <c r="E1028" s="2" t="s">
        <v>422</v>
      </c>
      <c r="F1028" s="11" t="s">
        <v>1983</v>
      </c>
      <c r="G1028" s="46" t="s">
        <v>2067</v>
      </c>
      <c r="H1028" s="2" t="s">
        <v>2398</v>
      </c>
      <c r="I1028" s="12" t="s">
        <v>1576</v>
      </c>
      <c r="J1028" s="41">
        <f>+Tabla1[[#This Row],[FECHA ENTRADA]]</f>
        <v>45663</v>
      </c>
      <c r="K1028" s="22">
        <v>45666</v>
      </c>
      <c r="L1028" s="42">
        <f>_xlfn.DAYS(Tabla1[[#This Row],[FECHA FIN ]],Tabla1[[#This Row],[FECHA INICIO]])</f>
        <v>3</v>
      </c>
      <c r="M1028" s="12"/>
      <c r="N1028" s="12">
        <f>1811.6/17</f>
        <v>106.56470588235294</v>
      </c>
      <c r="O1028" s="28">
        <f>(Tabla1[[#This Row],[COSTO FIJO ]]/30)*Tabla1[[#This Row],[TOTAL DIAS PROYECTO]]+(Tabla1[[#This Row],[COSTO TEMPORAL]])</f>
        <v>10.656470588235294</v>
      </c>
      <c r="P1028" s="12"/>
      <c r="Q1028" s="12">
        <f>+(Tabla1[[#This Row],[COSTO COCHE]]/30)*Tabla1[[#This Row],[TOTAL DIAS PROYECTO]]</f>
        <v>0</v>
      </c>
      <c r="R1028" s="12">
        <f>+Tabla1[[#This Row],[COSTO TOTAL ALOJAMIENTO]]+Tabla1[[#This Row],[COSTO TOTAL COCHE]]</f>
        <v>10.656470588235294</v>
      </c>
      <c r="S1028" s="2"/>
      <c r="T1028" s="2" t="s">
        <v>44</v>
      </c>
      <c r="U1028" s="14">
        <v>45663</v>
      </c>
      <c r="V1028" s="43">
        <v>45666</v>
      </c>
      <c r="W1028" s="26"/>
      <c r="X1028" s="2"/>
      <c r="Y1028" s="11"/>
      <c r="Z1028" s="2" t="s">
        <v>36</v>
      </c>
      <c r="AA1028" s="13">
        <v>-326.69799999999998</v>
      </c>
      <c r="AB1028" s="13" t="s">
        <v>10373</v>
      </c>
    </row>
    <row r="1029" spans="1:28" ht="15" customHeight="1">
      <c r="A1029" s="2" t="s">
        <v>8933</v>
      </c>
      <c r="B1029" s="2" t="s">
        <v>368</v>
      </c>
      <c r="C1029" s="87" t="s">
        <v>1339</v>
      </c>
      <c r="D1029" s="2" t="s">
        <v>30</v>
      </c>
      <c r="E1029" s="2" t="s">
        <v>422</v>
      </c>
      <c r="F1029" s="11" t="s">
        <v>1375</v>
      </c>
      <c r="G1029" t="s">
        <v>1376</v>
      </c>
      <c r="H1029" s="2" t="s">
        <v>2300</v>
      </c>
      <c r="I1029" s="12" t="s">
        <v>666</v>
      </c>
      <c r="J1029" s="41">
        <f>+Tabla1[[#This Row],[FECHA ENTRADA]]</f>
        <v>45666</v>
      </c>
      <c r="K1029" s="41">
        <v>45726</v>
      </c>
      <c r="L1029" s="42">
        <f>_xlfn.DAYS(Tabla1[[#This Row],[FECHA FIN ]],Tabla1[[#This Row],[FECHA INICIO]])</f>
        <v>60</v>
      </c>
      <c r="M1029" s="12"/>
      <c r="N1029" s="28">
        <v>295</v>
      </c>
      <c r="O1029" s="28">
        <f>(Tabla1[[#This Row],[COSTO FIJO ]]/30)*Tabla1[[#This Row],[TOTAL DIAS PROYECTO]]+(Tabla1[[#This Row],[COSTO TEMPORAL]])</f>
        <v>590</v>
      </c>
      <c r="P1029" s="12"/>
      <c r="Q1029" s="12">
        <f>+(Tabla1[[#This Row],[COSTO COCHE]]/30)*Tabla1[[#This Row],[TOTAL DIAS PROYECTO]]</f>
        <v>0</v>
      </c>
      <c r="R1029" s="12">
        <f>+Tabla1[[#This Row],[COSTO TOTAL ALOJAMIENTO]]+Tabla1[[#This Row],[COSTO TOTAL COCHE]]</f>
        <v>590</v>
      </c>
      <c r="S1029" s="2"/>
      <c r="T1029" s="2" t="s">
        <v>35</v>
      </c>
      <c r="U1029" s="14">
        <v>45666</v>
      </c>
      <c r="V1029" s="43"/>
      <c r="W1029" s="26"/>
      <c r="X1029" s="2">
        <v>5</v>
      </c>
      <c r="Y1029" s="11"/>
      <c r="Z1029" s="2" t="s">
        <v>36</v>
      </c>
      <c r="AA1029" s="13">
        <v>-326.69799999999998</v>
      </c>
      <c r="AB1029" s="13" t="s">
        <v>10373</v>
      </c>
    </row>
    <row r="1030" spans="1:28" ht="15" customHeight="1">
      <c r="A1030" s="2" t="s">
        <v>8781</v>
      </c>
      <c r="B1030" s="2" t="s">
        <v>368</v>
      </c>
      <c r="C1030" s="86" t="s">
        <v>746</v>
      </c>
      <c r="D1030" s="2" t="s">
        <v>30</v>
      </c>
      <c r="E1030" s="2" t="s">
        <v>422</v>
      </c>
      <c r="F1030" s="11" t="s">
        <v>1375</v>
      </c>
      <c r="G1030" t="s">
        <v>1376</v>
      </c>
      <c r="H1030" s="2" t="s">
        <v>1341</v>
      </c>
      <c r="I1030" s="12" t="s">
        <v>666</v>
      </c>
      <c r="J1030" s="41">
        <f>+Tabla1[[#This Row],[FECHA ENTRADA]]</f>
        <v>45666</v>
      </c>
      <c r="K1030" s="41">
        <v>45726</v>
      </c>
      <c r="L1030" s="42">
        <f>_xlfn.DAYS(Tabla1[[#This Row],[FECHA FIN ]],Tabla1[[#This Row],[FECHA INICIO]])</f>
        <v>60</v>
      </c>
      <c r="M1030" s="12"/>
      <c r="N1030" s="28">
        <v>295</v>
      </c>
      <c r="O1030" s="28">
        <f>(Tabla1[[#This Row],[COSTO FIJO ]]/30)*Tabla1[[#This Row],[TOTAL DIAS PROYECTO]]+(Tabla1[[#This Row],[COSTO TEMPORAL]])</f>
        <v>590</v>
      </c>
      <c r="P1030" s="12"/>
      <c r="Q1030" s="12">
        <f>+(Tabla1[[#This Row],[COSTO COCHE]]/30)*Tabla1[[#This Row],[TOTAL DIAS PROYECTO]]</f>
        <v>0</v>
      </c>
      <c r="R1030" s="12">
        <f>+Tabla1[[#This Row],[COSTO TOTAL ALOJAMIENTO]]+Tabla1[[#This Row],[COSTO TOTAL COCHE]]</f>
        <v>590</v>
      </c>
      <c r="S1030" s="2"/>
      <c r="T1030" s="2" t="s">
        <v>35</v>
      </c>
      <c r="U1030" s="14">
        <v>45666</v>
      </c>
      <c r="V1030" s="43"/>
      <c r="W1030" s="26"/>
      <c r="X1030" s="2">
        <v>5</v>
      </c>
      <c r="Y1030" s="11"/>
      <c r="Z1030" s="2" t="s">
        <v>36</v>
      </c>
      <c r="AA1030" s="13">
        <v>-326.69799999999998</v>
      </c>
      <c r="AB1030" s="13" t="s">
        <v>10373</v>
      </c>
    </row>
    <row r="1031" spans="1:28" ht="15" customHeight="1">
      <c r="A1031" s="2" t="s">
        <v>9026</v>
      </c>
      <c r="B1031" s="2" t="s">
        <v>368</v>
      </c>
      <c r="C1031" s="11" t="s">
        <v>1726</v>
      </c>
      <c r="D1031" s="2" t="s">
        <v>30</v>
      </c>
      <c r="E1031" s="2" t="s">
        <v>422</v>
      </c>
      <c r="F1031" s="11" t="s">
        <v>1375</v>
      </c>
      <c r="G1031" s="30" t="s">
        <v>1376</v>
      </c>
      <c r="H1031" s="2" t="s">
        <v>2398</v>
      </c>
      <c r="I1031" s="12" t="s">
        <v>1576</v>
      </c>
      <c r="J1031" s="41">
        <v>45666</v>
      </c>
      <c r="K1031" s="22">
        <v>45725</v>
      </c>
      <c r="L1031" s="42">
        <f>_xlfn.DAYS(Tabla1[[#This Row],[FECHA FIN ]],Tabla1[[#This Row],[FECHA INICIO]])</f>
        <v>59</v>
      </c>
      <c r="M1031" s="12"/>
      <c r="N1031" s="12"/>
      <c r="O1031" s="28">
        <f>(Tabla1[[#This Row],[COSTO FIJO ]]/30)*Tabla1[[#This Row],[TOTAL DIAS PROYECTO]]+(Tabla1[[#This Row],[COSTO TEMPORAL]])</f>
        <v>0</v>
      </c>
      <c r="P1031" s="12"/>
      <c r="Q1031" s="12">
        <f>+(Tabla1[[#This Row],[COSTO COCHE]]/30)*Tabla1[[#This Row],[TOTAL DIAS PROYECTO]]</f>
        <v>0</v>
      </c>
      <c r="R1031" s="12">
        <f>+Tabla1[[#This Row],[COSTO TOTAL ALOJAMIENTO]]+Tabla1[[#This Row],[COSTO TOTAL COCHE]]</f>
        <v>0</v>
      </c>
      <c r="S1031" s="2"/>
      <c r="T1031" s="2" t="s">
        <v>35</v>
      </c>
      <c r="U1031" s="14">
        <v>45666</v>
      </c>
      <c r="V1031" s="43"/>
      <c r="W1031" s="26"/>
      <c r="X1031" s="2">
        <v>5</v>
      </c>
      <c r="Y1031" s="11"/>
      <c r="Z1031" s="2" t="s">
        <v>36</v>
      </c>
      <c r="AA1031" s="13">
        <v>-326.69799999999998</v>
      </c>
      <c r="AB1031" s="13" t="s">
        <v>10373</v>
      </c>
    </row>
    <row r="1032" spans="1:28" ht="15" customHeight="1">
      <c r="A1032" s="2" t="s">
        <v>8897</v>
      </c>
      <c r="B1032" s="2" t="s">
        <v>28</v>
      </c>
      <c r="C1032" s="11" t="s">
        <v>1195</v>
      </c>
      <c r="D1032" s="2" t="s">
        <v>30</v>
      </c>
      <c r="E1032" s="2" t="s">
        <v>31</v>
      </c>
      <c r="F1032" s="11" t="s">
        <v>2275</v>
      </c>
      <c r="G1032" s="46" t="s">
        <v>2276</v>
      </c>
      <c r="H1032" s="2" t="s">
        <v>2061</v>
      </c>
      <c r="I1032" s="12" t="s">
        <v>2062</v>
      </c>
      <c r="J1032" s="41">
        <f>+Tabla1[[#This Row],[FECHA ENTRADA]]</f>
        <v>45769</v>
      </c>
      <c r="K1032" s="8">
        <v>45805</v>
      </c>
      <c r="L1032" s="13">
        <f>_xlfn.DAYS(Tabla1[[#This Row],[FECHA FIN ]],Tabla1[[#This Row],[FECHA INICIO]])</f>
        <v>36</v>
      </c>
      <c r="M1032" s="12"/>
      <c r="N1032" s="12">
        <v>330</v>
      </c>
      <c r="O1032" s="12">
        <f>(Tabla1[[#This Row],[COSTO FIJO ]]/30)*Tabla1[[#This Row],[TOTAL DIAS PROYECTO]]+(Tabla1[[#This Row],[COSTO TEMPORAL]])</f>
        <v>396</v>
      </c>
      <c r="P1032" s="12">
        <v>120</v>
      </c>
      <c r="Q1032" s="12">
        <f>+(Tabla1[[#This Row],[COSTO COCHE]]/30)*Tabla1[[#This Row],[TOTAL DIAS PROYECTO]]</f>
        <v>144</v>
      </c>
      <c r="R1032" s="12">
        <f>+Tabla1[[#This Row],[COSTO TOTAL ALOJAMIENTO]]+Tabla1[[#This Row],[COSTO TOTAL COCHE]]</f>
        <v>540</v>
      </c>
      <c r="S1032" s="2"/>
      <c r="T1032" s="2" t="s">
        <v>44</v>
      </c>
      <c r="U1032" s="14">
        <v>45769</v>
      </c>
      <c r="V1032" s="14">
        <v>45805</v>
      </c>
      <c r="W1032" s="26"/>
      <c r="X1032" s="2"/>
      <c r="Y1032" s="170" t="s">
        <v>2399</v>
      </c>
      <c r="Z1032" s="2" t="s">
        <v>36</v>
      </c>
      <c r="AA1032" s="13" t="s">
        <v>10323</v>
      </c>
      <c r="AB1032" s="13" t="s">
        <v>10324</v>
      </c>
    </row>
    <row r="1033" spans="1:28" ht="15" customHeight="1">
      <c r="A1033" s="2" t="s">
        <v>9195</v>
      </c>
      <c r="B1033" s="2" t="s">
        <v>711</v>
      </c>
      <c r="C1033" s="31" t="s">
        <v>2400</v>
      </c>
      <c r="D1033" s="2" t="s">
        <v>99</v>
      </c>
      <c r="E1033" s="2" t="s">
        <v>985</v>
      </c>
      <c r="F1033" s="11"/>
      <c r="G1033" s="49"/>
      <c r="H1033" s="2" t="s">
        <v>2401</v>
      </c>
      <c r="I1033" s="12" t="s">
        <v>989</v>
      </c>
      <c r="J1033" s="22">
        <f>+Tabla1[[#This Row],[FECHA ENTRADA]]</f>
        <v>46095</v>
      </c>
      <c r="K1033" s="22">
        <v>46266</v>
      </c>
      <c r="L1033" s="23">
        <f>_xlfn.DAYS(Tabla1[[#This Row],[FECHA FIN ]],Tabla1[[#This Row],[FECHA INICIO]])</f>
        <v>171</v>
      </c>
      <c r="M1033" s="12"/>
      <c r="N1033" s="24">
        <v>300</v>
      </c>
      <c r="O1033" s="24">
        <f>(Tabla1[[#This Row],[COSTO FIJO ]]/30)*Tabla1[[#This Row],[TOTAL DIAS PROYECTO]]+(Tabla1[[#This Row],[COSTO TEMPORAL]])</f>
        <v>1710</v>
      </c>
      <c r="P1033" s="12"/>
      <c r="Q1033" s="12">
        <f>+(Tabla1[[#This Row],[COSTO COCHE]]/30)*Tabla1[[#This Row],[TOTAL DIAS PROYECTO]]</f>
        <v>0</v>
      </c>
      <c r="R1033" s="12">
        <f>+Tabla1[[#This Row],[COSTO TOTAL ALOJAMIENTO]]+Tabla1[[#This Row],[COSTO TOTAL COCHE]]</f>
        <v>1710</v>
      </c>
      <c r="S1033" s="2"/>
      <c r="T1033" s="14" t="s">
        <v>58</v>
      </c>
      <c r="U1033" s="14">
        <v>46095</v>
      </c>
      <c r="V1033" s="25"/>
      <c r="W1033" s="12"/>
      <c r="X1033" s="2"/>
      <c r="Y1033" s="11" t="s">
        <v>2402</v>
      </c>
      <c r="Z1033" s="2" t="s">
        <v>702</v>
      </c>
      <c r="AA1033" s="13" t="s">
        <v>10407</v>
      </c>
      <c r="AB1033" s="13" t="s">
        <v>10408</v>
      </c>
    </row>
    <row r="1034" spans="1:28" ht="15" customHeight="1">
      <c r="A1034" s="2" t="s">
        <v>9196</v>
      </c>
      <c r="B1034" t="s">
        <v>368</v>
      </c>
      <c r="C1034" s="87" t="s">
        <v>2403</v>
      </c>
      <c r="D1034" s="2" t="s">
        <v>30</v>
      </c>
      <c r="E1034" s="2" t="s">
        <v>109</v>
      </c>
      <c r="F1034" s="11" t="s">
        <v>898</v>
      </c>
      <c r="G1034" s="21" t="s">
        <v>899</v>
      </c>
      <c r="H1034" s="2" t="s">
        <v>1561</v>
      </c>
      <c r="I1034" s="29" t="s">
        <v>1562</v>
      </c>
      <c r="J1034" s="41">
        <f>+Tabla1[[#This Row],[FECHA ENTRADA]]</f>
        <v>45658</v>
      </c>
      <c r="K1034" s="22">
        <v>45821</v>
      </c>
      <c r="L1034" s="42">
        <f>_xlfn.DAYS(Tabla1[[#This Row],[FECHA FIN ]],Tabla1[[#This Row],[FECHA INICIO]])</f>
        <v>163</v>
      </c>
      <c r="M1034" s="12"/>
      <c r="N1034" s="24">
        <v>233.33333333333334</v>
      </c>
      <c r="O1034" s="28">
        <f>(Tabla1[[#This Row],[COSTO FIJO ]]/30)*Tabla1[[#This Row],[TOTAL DIAS PROYECTO]]+(Tabla1[[#This Row],[COSTO TEMPORAL]])</f>
        <v>1267.7777777777778</v>
      </c>
      <c r="P1034" s="12"/>
      <c r="Q1034" s="12">
        <f>+(Tabla1[[#This Row],[COSTO COCHE]]/30)*Tabla1[[#This Row],[TOTAL DIAS PROYECTO]]</f>
        <v>0</v>
      </c>
      <c r="R1034" s="12">
        <f>+Tabla1[[#This Row],[COSTO TOTAL ALOJAMIENTO]]+Tabla1[[#This Row],[COSTO TOTAL COCHE]]</f>
        <v>1267.7777777777778</v>
      </c>
      <c r="S1034" s="2"/>
      <c r="T1034" s="2" t="s">
        <v>35</v>
      </c>
      <c r="U1034" s="14">
        <v>45658</v>
      </c>
      <c r="V1034" s="43"/>
      <c r="W1034" s="26"/>
      <c r="X1034" s="2">
        <v>1</v>
      </c>
      <c r="Y1034" s="11" t="s">
        <v>2404</v>
      </c>
      <c r="Z1034" s="2" t="s">
        <v>36</v>
      </c>
      <c r="AA1034" s="13">
        <v>0.62217999999999996</v>
      </c>
      <c r="AB1034" s="13" t="s">
        <v>10339</v>
      </c>
    </row>
    <row r="1035" spans="1:28" ht="15" customHeight="1">
      <c r="A1035" s="2" t="s">
        <v>9051</v>
      </c>
      <c r="B1035" s="2" t="s">
        <v>368</v>
      </c>
      <c r="C1035" s="11" t="s">
        <v>1812</v>
      </c>
      <c r="D1035" s="2" t="s">
        <v>72</v>
      </c>
      <c r="E1035" s="10" t="s">
        <v>1458</v>
      </c>
      <c r="F1035" s="11" t="s">
        <v>2052</v>
      </c>
      <c r="G1035" s="49" t="s">
        <v>2053</v>
      </c>
      <c r="H1035" s="2" t="s">
        <v>1927</v>
      </c>
      <c r="I1035" s="12" t="s">
        <v>1288</v>
      </c>
      <c r="J1035" s="22">
        <f>+Tabla1[[#This Row],[FECHA ENTRADA]]</f>
        <v>45775</v>
      </c>
      <c r="K1035" s="8">
        <v>45805</v>
      </c>
      <c r="L1035" s="23">
        <f>_xlfn.DAYS(Tabla1[[#This Row],[FECHA FIN ]],Tabla1[[#This Row],[FECHA INICIO]])</f>
        <v>30</v>
      </c>
      <c r="M1035" s="24">
        <v>575</v>
      </c>
      <c r="N1035" s="24"/>
      <c r="O1035" s="24">
        <f>(Tabla1[[#This Row],[COSTO FIJO ]]/30)*Tabla1[[#This Row],[TOTAL DIAS PROYECTO]]+(Tabla1[[#This Row],[COSTO TEMPORAL]])</f>
        <v>575</v>
      </c>
      <c r="P1035" s="12"/>
      <c r="Q1035" s="12">
        <f>+(Tabla1[[#This Row],[COSTO COCHE]]/30)*Tabla1[[#This Row],[TOTAL DIAS PROYECTO]]</f>
        <v>0</v>
      </c>
      <c r="R1035" s="12">
        <f>+Tabla1[[#This Row],[COSTO TOTAL ALOJAMIENTO]]+Tabla1[[#This Row],[COSTO TOTAL COCHE]]</f>
        <v>575</v>
      </c>
      <c r="S1035" s="2"/>
      <c r="T1035" s="2" t="s">
        <v>528</v>
      </c>
      <c r="U1035" s="14">
        <v>45775</v>
      </c>
      <c r="V1035" s="25">
        <v>45805</v>
      </c>
      <c r="W1035" s="2"/>
      <c r="X1035" s="2"/>
      <c r="Y1035" s="150" t="s">
        <v>1361</v>
      </c>
      <c r="Z1035" s="2" t="s">
        <v>36</v>
      </c>
      <c r="AA1035" s="13" t="s">
        <v>10421</v>
      </c>
      <c r="AB1035" s="13">
        <v>5113412</v>
      </c>
    </row>
    <row r="1036" spans="1:28" ht="15" customHeight="1">
      <c r="A1036" s="2" t="s">
        <v>8978</v>
      </c>
      <c r="B1036" s="2" t="s">
        <v>368</v>
      </c>
      <c r="C1036" s="11" t="s">
        <v>1574</v>
      </c>
      <c r="D1036" s="2" t="s">
        <v>30</v>
      </c>
      <c r="E1036" s="2" t="s">
        <v>422</v>
      </c>
      <c r="F1036" s="11" t="s">
        <v>1375</v>
      </c>
      <c r="G1036" t="s">
        <v>1376</v>
      </c>
      <c r="H1036" s="2" t="s">
        <v>1575</v>
      </c>
      <c r="I1036" s="12" t="s">
        <v>1576</v>
      </c>
      <c r="J1036" s="41">
        <f>+Tabla1[[#This Row],[FECHA ENTRADA]]</f>
        <v>45699</v>
      </c>
      <c r="K1036" s="41">
        <v>45723</v>
      </c>
      <c r="L1036" s="42">
        <f>_xlfn.DAYS(Tabla1[[#This Row],[FECHA FIN ]],Tabla1[[#This Row],[FECHA INICIO]])</f>
        <v>24</v>
      </c>
      <c r="M1036" s="12"/>
      <c r="N1036" s="12"/>
      <c r="O1036" s="28">
        <f>(Tabla1[[#This Row],[COSTO FIJO ]]/30)*Tabla1[[#This Row],[TOTAL DIAS PROYECTO]]+(Tabla1[[#This Row],[COSTO TEMPORAL]])</f>
        <v>0</v>
      </c>
      <c r="P1036" s="12"/>
      <c r="Q1036" s="12">
        <f>+(Tabla1[[#This Row],[COSTO COCHE]]/30)*Tabla1[[#This Row],[TOTAL DIAS PROYECTO]]</f>
        <v>0</v>
      </c>
      <c r="R1036" s="12">
        <f>+Tabla1[[#This Row],[COSTO TOTAL ALOJAMIENTO]]+Tabla1[[#This Row],[COSTO TOTAL COCHE]]</f>
        <v>0</v>
      </c>
      <c r="S1036" s="2"/>
      <c r="T1036" s="2" t="s">
        <v>35</v>
      </c>
      <c r="U1036" s="14">
        <v>45699</v>
      </c>
      <c r="V1036" s="43"/>
      <c r="W1036" s="26"/>
      <c r="X1036" s="2">
        <v>5</v>
      </c>
      <c r="Y1036" s="11"/>
      <c r="Z1036" s="2" t="s">
        <v>36</v>
      </c>
      <c r="AA1036" s="13">
        <v>-326.69799999999998</v>
      </c>
      <c r="AB1036" s="13" t="s">
        <v>10373</v>
      </c>
    </row>
    <row r="1037" spans="1:28" ht="15" customHeight="1">
      <c r="A1037" s="2" t="s">
        <v>8979</v>
      </c>
      <c r="B1037" s="2" t="s">
        <v>368</v>
      </c>
      <c r="C1037" s="31" t="s">
        <v>1577</v>
      </c>
      <c r="D1037" s="2" t="s">
        <v>30</v>
      </c>
      <c r="E1037" s="2" t="s">
        <v>422</v>
      </c>
      <c r="F1037" s="11" t="s">
        <v>1375</v>
      </c>
      <c r="G1037" t="s">
        <v>1376</v>
      </c>
      <c r="H1037" s="2" t="s">
        <v>1575</v>
      </c>
      <c r="I1037" s="12" t="s">
        <v>1576</v>
      </c>
      <c r="J1037" s="41">
        <f>+Tabla1[[#This Row],[FECHA ENTRADA]]</f>
        <v>45699</v>
      </c>
      <c r="K1037" s="41">
        <v>45723</v>
      </c>
      <c r="L1037" s="42">
        <f>_xlfn.DAYS(Tabla1[[#This Row],[FECHA FIN ]],Tabla1[[#This Row],[FECHA INICIO]])</f>
        <v>24</v>
      </c>
      <c r="M1037" s="12"/>
      <c r="N1037" s="28">
        <v>295</v>
      </c>
      <c r="O1037" s="28">
        <f>(Tabla1[[#This Row],[COSTO FIJO ]]/30)*Tabla1[[#This Row],[TOTAL DIAS PROYECTO]]+(Tabla1[[#This Row],[COSTO TEMPORAL]])</f>
        <v>236</v>
      </c>
      <c r="P1037" s="12"/>
      <c r="Q1037" s="12">
        <f>+(Tabla1[[#This Row],[COSTO COCHE]]/30)*Tabla1[[#This Row],[TOTAL DIAS PROYECTO]]</f>
        <v>0</v>
      </c>
      <c r="R1037" s="12">
        <f>+Tabla1[[#This Row],[COSTO TOTAL ALOJAMIENTO]]+Tabla1[[#This Row],[COSTO TOTAL COCHE]]</f>
        <v>236</v>
      </c>
      <c r="S1037" s="2"/>
      <c r="T1037" s="2" t="s">
        <v>35</v>
      </c>
      <c r="U1037" s="14">
        <v>45699</v>
      </c>
      <c r="V1037" s="43"/>
      <c r="W1037" s="26"/>
      <c r="X1037" s="2">
        <v>5</v>
      </c>
      <c r="Y1037" s="11"/>
      <c r="Z1037" s="2" t="s">
        <v>36</v>
      </c>
      <c r="AA1037" s="13">
        <v>-326.69799999999998</v>
      </c>
      <c r="AB1037" s="13" t="s">
        <v>10373</v>
      </c>
    </row>
    <row r="1038" spans="1:28" ht="15" customHeight="1">
      <c r="A1038" s="2" t="s">
        <v>9052</v>
      </c>
      <c r="B1038" s="2" t="s">
        <v>368</v>
      </c>
      <c r="C1038" s="11" t="s">
        <v>1813</v>
      </c>
      <c r="D1038" s="2" t="s">
        <v>72</v>
      </c>
      <c r="E1038" s="10" t="s">
        <v>1458</v>
      </c>
      <c r="F1038" s="11" t="s">
        <v>2052</v>
      </c>
      <c r="G1038" s="49" t="s">
        <v>2053</v>
      </c>
      <c r="H1038" s="2" t="s">
        <v>1927</v>
      </c>
      <c r="I1038" s="12" t="s">
        <v>1288</v>
      </c>
      <c r="J1038" s="22">
        <f>+Tabla1[[#This Row],[FECHA ENTRADA]]</f>
        <v>45775</v>
      </c>
      <c r="K1038" s="8">
        <v>45805</v>
      </c>
      <c r="L1038" s="23">
        <f>_xlfn.DAYS(Tabla1[[#This Row],[FECHA FIN ]],Tabla1[[#This Row],[FECHA INICIO]])</f>
        <v>30</v>
      </c>
      <c r="M1038" s="24">
        <v>575</v>
      </c>
      <c r="N1038" s="24"/>
      <c r="O1038" s="24">
        <f>(Tabla1[[#This Row],[COSTO FIJO ]]/30)*Tabla1[[#This Row],[TOTAL DIAS PROYECTO]]+(Tabla1[[#This Row],[COSTO TEMPORAL]])</f>
        <v>575</v>
      </c>
      <c r="P1038" s="12"/>
      <c r="Q1038" s="12">
        <f>+(Tabla1[[#This Row],[COSTO COCHE]]/30)*Tabla1[[#This Row],[TOTAL DIAS PROYECTO]]</f>
        <v>0</v>
      </c>
      <c r="R1038" s="12">
        <f>+Tabla1[[#This Row],[COSTO TOTAL ALOJAMIENTO]]+Tabla1[[#This Row],[COSTO TOTAL COCHE]]</f>
        <v>575</v>
      </c>
      <c r="S1038" s="2"/>
      <c r="T1038" s="2" t="s">
        <v>528</v>
      </c>
      <c r="U1038" s="14">
        <v>45775</v>
      </c>
      <c r="V1038" s="25">
        <v>45805</v>
      </c>
      <c r="W1038" s="2"/>
      <c r="X1038" s="2"/>
      <c r="Y1038" s="150" t="s">
        <v>1361</v>
      </c>
      <c r="Z1038" s="2" t="s">
        <v>36</v>
      </c>
      <c r="AA1038" s="13" t="s">
        <v>10421</v>
      </c>
      <c r="AB1038" s="13">
        <v>5113412</v>
      </c>
    </row>
    <row r="1039" spans="1:28" ht="15" customHeight="1">
      <c r="A1039" s="2" t="s">
        <v>9066</v>
      </c>
      <c r="B1039" s="2" t="s">
        <v>28</v>
      </c>
      <c r="C1039" s="11" t="s">
        <v>1852</v>
      </c>
      <c r="D1039" s="2" t="s">
        <v>99</v>
      </c>
      <c r="E1039" s="2" t="s">
        <v>31</v>
      </c>
      <c r="F1039" s="11" t="s">
        <v>758</v>
      </c>
      <c r="G1039" s="11" t="s">
        <v>758</v>
      </c>
      <c r="H1039" s="2" t="s">
        <v>2405</v>
      </c>
      <c r="I1039" s="12" t="s">
        <v>347</v>
      </c>
      <c r="J1039" s="22">
        <f>+Tabla1[[#This Row],[FECHA ENTRADA]]</f>
        <v>45804</v>
      </c>
      <c r="K1039" s="8">
        <v>45806</v>
      </c>
      <c r="L1039" s="13">
        <f>_xlfn.DAYS(Tabla1[[#This Row],[FECHA FIN ]],Tabla1[[#This Row],[FECHA INICIO]])</f>
        <v>2</v>
      </c>
      <c r="M1039" s="12"/>
      <c r="N1039" s="12">
        <v>212.5</v>
      </c>
      <c r="O1039" s="12">
        <f>(Tabla1[[#This Row],[COSTO FIJO ]]/30)*Tabla1[[#This Row],[TOTAL DIAS PROYECTO]]+(Tabla1[[#This Row],[COSTO TEMPORAL]])</f>
        <v>14.166666666666666</v>
      </c>
      <c r="P1039" s="12"/>
      <c r="Q1039" s="12">
        <f>+(Tabla1[[#This Row],[COSTO COCHE]]/30)*Tabla1[[#This Row],[TOTAL DIAS PROYECTO]]</f>
        <v>0</v>
      </c>
      <c r="R1039" s="12">
        <f>+Tabla1[[#This Row],[COSTO TOTAL ALOJAMIENTO]]+Tabla1[[#This Row],[COSTO TOTAL COCHE]]</f>
        <v>14.166666666666666</v>
      </c>
      <c r="S1039" s="2"/>
      <c r="T1039" s="2" t="s">
        <v>35</v>
      </c>
      <c r="U1039" s="14">
        <v>45804</v>
      </c>
      <c r="V1039" s="14"/>
      <c r="W1039" s="26"/>
      <c r="X1039" s="16">
        <v>1</v>
      </c>
      <c r="Y1039" s="18"/>
      <c r="Z1039" s="2" t="s">
        <v>36</v>
      </c>
      <c r="AA1039" s="13" t="s">
        <v>10323</v>
      </c>
      <c r="AB1039" s="13" t="s">
        <v>10324</v>
      </c>
    </row>
    <row r="1040" spans="1:28">
      <c r="A1040" s="2" t="s">
        <v>9197</v>
      </c>
      <c r="B1040" s="2" t="s">
        <v>28</v>
      </c>
      <c r="C1040" s="11" t="s">
        <v>2406</v>
      </c>
      <c r="D1040" s="2" t="s">
        <v>99</v>
      </c>
      <c r="E1040" s="2" t="s">
        <v>31</v>
      </c>
      <c r="F1040" s="11" t="s">
        <v>758</v>
      </c>
      <c r="G1040" s="11" t="s">
        <v>758</v>
      </c>
      <c r="H1040" s="2" t="s">
        <v>2405</v>
      </c>
      <c r="I1040" s="12" t="s">
        <v>347</v>
      </c>
      <c r="J1040" s="22">
        <f>+Tabla1[[#This Row],[FECHA ENTRADA]]</f>
        <v>45804</v>
      </c>
      <c r="K1040" s="8">
        <v>45806</v>
      </c>
      <c r="L1040" s="13">
        <f>_xlfn.DAYS(Tabla1[[#This Row],[FECHA FIN ]],Tabla1[[#This Row],[FECHA INICIO]])</f>
        <v>2</v>
      </c>
      <c r="M1040" s="12"/>
      <c r="N1040" s="12">
        <v>212.5</v>
      </c>
      <c r="O1040" s="12">
        <f>(Tabla1[[#This Row],[COSTO FIJO ]]/30)*Tabla1[[#This Row],[TOTAL DIAS PROYECTO]]+(Tabla1[[#This Row],[COSTO TEMPORAL]])</f>
        <v>14.166666666666666</v>
      </c>
      <c r="P1040" s="12"/>
      <c r="Q1040" s="12">
        <f>+(Tabla1[[#This Row],[COSTO COCHE]]/30)*Tabla1[[#This Row],[TOTAL DIAS PROYECTO]]</f>
        <v>0</v>
      </c>
      <c r="R1040" s="12">
        <f>+Tabla1[[#This Row],[COSTO TOTAL ALOJAMIENTO]]+Tabla1[[#This Row],[COSTO TOTAL COCHE]]</f>
        <v>14.166666666666666</v>
      </c>
      <c r="S1040" s="2"/>
      <c r="T1040" s="2" t="s">
        <v>35</v>
      </c>
      <c r="U1040" s="14">
        <v>45804</v>
      </c>
      <c r="V1040" s="14"/>
      <c r="W1040" s="26"/>
      <c r="X1040" s="16">
        <v>1</v>
      </c>
      <c r="Y1040" s="18"/>
      <c r="Z1040" s="2" t="s">
        <v>36</v>
      </c>
      <c r="AA1040" s="13" t="s">
        <v>10323</v>
      </c>
      <c r="AB1040" s="13" t="s">
        <v>10324</v>
      </c>
    </row>
    <row r="1041" spans="1:28" ht="15" customHeight="1">
      <c r="A1041" s="2" t="s">
        <v>9198</v>
      </c>
      <c r="B1041" s="2" t="s">
        <v>28</v>
      </c>
      <c r="C1041" s="11" t="s">
        <v>2407</v>
      </c>
      <c r="D1041" s="2" t="s">
        <v>99</v>
      </c>
      <c r="E1041" s="2" t="s">
        <v>31</v>
      </c>
      <c r="F1041" s="11" t="s">
        <v>402</v>
      </c>
      <c r="G1041" s="49" t="s">
        <v>2408</v>
      </c>
      <c r="H1041" s="2" t="s">
        <v>2405</v>
      </c>
      <c r="I1041" s="12" t="s">
        <v>347</v>
      </c>
      <c r="J1041" s="22">
        <f>+Tabla1[[#This Row],[FECHA ENTRADA]]</f>
        <v>45804</v>
      </c>
      <c r="K1041" s="22">
        <v>45806</v>
      </c>
      <c r="L1041" s="13">
        <f>_xlfn.DAYS(Tabla1[[#This Row],[FECHA FIN ]],Tabla1[[#This Row],[FECHA INICIO]])</f>
        <v>2</v>
      </c>
      <c r="M1041" s="12"/>
      <c r="N1041" s="12"/>
      <c r="O1041" s="12">
        <f>(Tabla1[[#This Row],[COSTO FIJO ]]/30)*Tabla1[[#This Row],[TOTAL DIAS PROYECTO]]+(Tabla1[[#This Row],[COSTO TEMPORAL]])</f>
        <v>0</v>
      </c>
      <c r="P1041" s="12"/>
      <c r="Q1041" s="12">
        <f>+(Tabla1[[#This Row],[COSTO COCHE]]/30)*Tabla1[[#This Row],[TOTAL DIAS PROYECTO]]</f>
        <v>0</v>
      </c>
      <c r="R1041" s="12">
        <f>+Tabla1[[#This Row],[COSTO TOTAL ALOJAMIENTO]]+Tabla1[[#This Row],[COSTO TOTAL COCHE]]</f>
        <v>0</v>
      </c>
      <c r="S1041" s="2"/>
      <c r="T1041" s="2" t="s">
        <v>44</v>
      </c>
      <c r="U1041" s="14">
        <v>45804</v>
      </c>
      <c r="V1041" s="14">
        <v>45806</v>
      </c>
      <c r="W1041" s="26"/>
      <c r="X1041" s="16"/>
      <c r="Y1041" s="18"/>
      <c r="Z1041" s="2" t="s">
        <v>36</v>
      </c>
      <c r="AA1041" s="13" t="s">
        <v>10323</v>
      </c>
      <c r="AB1041" s="13" t="s">
        <v>10324</v>
      </c>
    </row>
    <row r="1042" spans="1:28" ht="15" customHeight="1">
      <c r="A1042" s="2" t="s">
        <v>8638</v>
      </c>
      <c r="B1042" s="2" t="s">
        <v>28</v>
      </c>
      <c r="C1042" s="11" t="s">
        <v>2409</v>
      </c>
      <c r="D1042" s="2" t="s">
        <v>99</v>
      </c>
      <c r="E1042" s="2" t="s">
        <v>31</v>
      </c>
      <c r="F1042" s="11" t="s">
        <v>402</v>
      </c>
      <c r="G1042" s="49" t="s">
        <v>2408</v>
      </c>
      <c r="H1042" s="2" t="s">
        <v>2405</v>
      </c>
      <c r="I1042" s="12" t="s">
        <v>347</v>
      </c>
      <c r="J1042" s="22">
        <f>+Tabla1[[#This Row],[FECHA ENTRADA]]</f>
        <v>45804</v>
      </c>
      <c r="K1042" s="8">
        <v>45806</v>
      </c>
      <c r="L1042" s="13">
        <f>_xlfn.DAYS(Tabla1[[#This Row],[FECHA FIN ]],Tabla1[[#This Row],[FECHA INICIO]])</f>
        <v>2</v>
      </c>
      <c r="M1042" s="12">
        <v>75</v>
      </c>
      <c r="N1042" s="12"/>
      <c r="O1042" s="12">
        <f>(Tabla1[[#This Row],[COSTO FIJO ]]/30)*Tabla1[[#This Row],[TOTAL DIAS PROYECTO]]+(Tabla1[[#This Row],[COSTO TEMPORAL]])</f>
        <v>75</v>
      </c>
      <c r="P1042" s="12"/>
      <c r="Q1042" s="12">
        <f>+(Tabla1[[#This Row],[COSTO COCHE]]/30)*Tabla1[[#This Row],[TOTAL DIAS PROYECTO]]</f>
        <v>0</v>
      </c>
      <c r="R1042" s="12">
        <f>+Tabla1[[#This Row],[COSTO TOTAL ALOJAMIENTO]]+Tabla1[[#This Row],[COSTO TOTAL COCHE]]</f>
        <v>75</v>
      </c>
      <c r="S1042" s="2"/>
      <c r="T1042" s="2" t="s">
        <v>44</v>
      </c>
      <c r="U1042" s="14">
        <v>45804</v>
      </c>
      <c r="V1042" s="14">
        <v>45806</v>
      </c>
      <c r="W1042" s="26"/>
      <c r="X1042" s="16"/>
      <c r="Y1042" s="18"/>
      <c r="Z1042" s="2" t="s">
        <v>36</v>
      </c>
      <c r="AA1042" s="13" t="s">
        <v>10323</v>
      </c>
      <c r="AB1042" s="13" t="s">
        <v>10324</v>
      </c>
    </row>
    <row r="1043" spans="1:28" ht="15" customHeight="1">
      <c r="A1043" s="2" t="s">
        <v>9085</v>
      </c>
      <c r="B1043" s="2" t="s">
        <v>711</v>
      </c>
      <c r="C1043" s="11" t="s">
        <v>1954</v>
      </c>
      <c r="D1043" s="2" t="s">
        <v>72</v>
      </c>
      <c r="E1043" s="2" t="s">
        <v>1955</v>
      </c>
      <c r="F1043" s="11" t="s">
        <v>2410</v>
      </c>
      <c r="G1043" s="46" t="s">
        <v>2411</v>
      </c>
      <c r="H1043" s="2" t="s">
        <v>1958</v>
      </c>
      <c r="I1043" s="12" t="s">
        <v>1959</v>
      </c>
      <c r="J1043" s="22">
        <f>+Tabla1[[#This Row],[FECHA ENTRADA]]</f>
        <v>45758</v>
      </c>
      <c r="K1043" s="8">
        <v>45806</v>
      </c>
      <c r="L1043" s="23">
        <f>_xlfn.DAYS(Tabla1[[#This Row],[FECHA FIN ]],Tabla1[[#This Row],[FECHA INICIO]])</f>
        <v>48</v>
      </c>
      <c r="M1043" s="12"/>
      <c r="N1043" s="24">
        <v>625.46</v>
      </c>
      <c r="O1043" s="24">
        <f>(Tabla1[[#This Row],[COSTO FIJO ]]/30)*Tabla1[[#This Row],[TOTAL DIAS PROYECTO]]+(Tabla1[[#This Row],[COSTO TEMPORAL]])</f>
        <v>1000.736</v>
      </c>
      <c r="P1043" s="12">
        <f>703.86/2</f>
        <v>351.93</v>
      </c>
      <c r="Q1043" s="12">
        <f>+(Tabla1[[#This Row],[COSTO COCHE]]/30)*Tabla1[[#This Row],[TOTAL DIAS PROYECTO]]</f>
        <v>563.08799999999997</v>
      </c>
      <c r="R1043" s="12">
        <f>+Tabla1[[#This Row],[COSTO TOTAL ALOJAMIENTO]]+Tabla1[[#This Row],[COSTO TOTAL COCHE]]</f>
        <v>1563.8240000000001</v>
      </c>
      <c r="S1043" s="2" t="s">
        <v>84</v>
      </c>
      <c r="T1043" s="2" t="s">
        <v>528</v>
      </c>
      <c r="U1043" s="14">
        <v>45758</v>
      </c>
      <c r="V1043" s="25">
        <v>45806</v>
      </c>
      <c r="W1043" s="2"/>
      <c r="X1043" s="2"/>
      <c r="Y1043" s="11"/>
      <c r="Z1043" s="2" t="s">
        <v>36</v>
      </c>
      <c r="AA1043" s="13" t="s">
        <v>10433</v>
      </c>
      <c r="AB1043" s="13" t="s">
        <v>10434</v>
      </c>
    </row>
    <row r="1044" spans="1:28" ht="15" customHeight="1">
      <c r="A1044" s="2" t="s">
        <v>9086</v>
      </c>
      <c r="B1044" s="2" t="s">
        <v>711</v>
      </c>
      <c r="C1044" s="11" t="s">
        <v>1960</v>
      </c>
      <c r="D1044" s="2" t="s">
        <v>72</v>
      </c>
      <c r="E1044" s="2" t="s">
        <v>1955</v>
      </c>
      <c r="F1044" s="11" t="s">
        <v>2410</v>
      </c>
      <c r="G1044" s="49" t="s">
        <v>2411</v>
      </c>
      <c r="H1044" s="2" t="s">
        <v>1958</v>
      </c>
      <c r="I1044" s="12" t="s">
        <v>1959</v>
      </c>
      <c r="J1044" s="22">
        <f>+Tabla1[[#This Row],[FECHA ENTRADA]]</f>
        <v>45758</v>
      </c>
      <c r="K1044" s="8">
        <v>45806</v>
      </c>
      <c r="L1044" s="23">
        <f>_xlfn.DAYS(Tabla1[[#This Row],[FECHA FIN ]],Tabla1[[#This Row],[FECHA INICIO]])</f>
        <v>48</v>
      </c>
      <c r="M1044" s="12"/>
      <c r="N1044" s="24">
        <v>625.46</v>
      </c>
      <c r="O1044" s="24">
        <f>(Tabla1[[#This Row],[COSTO FIJO ]]/30)*Tabla1[[#This Row],[TOTAL DIAS PROYECTO]]+(Tabla1[[#This Row],[COSTO TEMPORAL]])</f>
        <v>1000.736</v>
      </c>
      <c r="P1044" s="12">
        <f>703.86/2</f>
        <v>351.93</v>
      </c>
      <c r="Q1044" s="12">
        <f>+(Tabla1[[#This Row],[COSTO COCHE]]/30)*Tabla1[[#This Row],[TOTAL DIAS PROYECTO]]</f>
        <v>563.08799999999997</v>
      </c>
      <c r="R1044" s="12">
        <f>+Tabla1[[#This Row],[COSTO TOTAL ALOJAMIENTO]]+Tabla1[[#This Row],[COSTO TOTAL COCHE]]</f>
        <v>1563.8240000000001</v>
      </c>
      <c r="S1044" s="2" t="s">
        <v>84</v>
      </c>
      <c r="T1044" s="2" t="s">
        <v>528</v>
      </c>
      <c r="U1044" s="14">
        <v>45758</v>
      </c>
      <c r="V1044" s="25">
        <v>45806</v>
      </c>
      <c r="W1044" s="2"/>
      <c r="X1044" s="2"/>
      <c r="Y1044" s="11"/>
      <c r="Z1044" s="2" t="s">
        <v>36</v>
      </c>
      <c r="AA1044" s="13" t="s">
        <v>10433</v>
      </c>
      <c r="AB1044" s="13" t="s">
        <v>10434</v>
      </c>
    </row>
    <row r="1045" spans="1:28">
      <c r="A1045" s="2" t="s">
        <v>9199</v>
      </c>
      <c r="B1045" s="2" t="s">
        <v>28</v>
      </c>
      <c r="C1045" s="11" t="s">
        <v>2412</v>
      </c>
      <c r="D1045" s="2" t="s">
        <v>30</v>
      </c>
      <c r="E1045" s="2" t="s">
        <v>734</v>
      </c>
      <c r="F1045" s="11" t="s">
        <v>735</v>
      </c>
      <c r="G1045" s="30" t="s">
        <v>736</v>
      </c>
      <c r="H1045" s="2" t="s">
        <v>2413</v>
      </c>
      <c r="I1045" s="12" t="s">
        <v>152</v>
      </c>
      <c r="J1045" s="8">
        <v>45506</v>
      </c>
      <c r="K1045" s="22">
        <v>45807</v>
      </c>
      <c r="L1045" s="13">
        <f>_xlfn.DAYS(Tabla1[[#This Row],[FECHA FIN ]],Tabla1[[#This Row],[FECHA INICIO]])</f>
        <v>301</v>
      </c>
      <c r="M1045" s="12"/>
      <c r="N1045" s="12"/>
      <c r="O1045" s="12">
        <f>(Tabla1[[#This Row],[COSTO FIJO ]]/30)*Tabla1[[#This Row],[TOTAL DIAS PROYECTO]]+(Tabla1[[#This Row],[COSTO TEMPORAL]])</f>
        <v>0</v>
      </c>
      <c r="P1045" s="12">
        <f>622.04/2</f>
        <v>311.02</v>
      </c>
      <c r="Q1045" s="12">
        <f>+(Tabla1[[#This Row],[COSTO COCHE]]/30)*Tabla1[[#This Row],[TOTAL DIAS PROYECTO]]</f>
        <v>3120.5673333333334</v>
      </c>
      <c r="R1045" s="12">
        <f>+Tabla1[[#This Row],[COSTO TOTAL ALOJAMIENTO]]+Tabla1[[#This Row],[COSTO TOTAL COCHE]]</f>
        <v>3120.5673333333334</v>
      </c>
      <c r="S1045" s="2"/>
      <c r="T1045" s="2" t="s">
        <v>35</v>
      </c>
      <c r="U1045" s="14">
        <v>45414</v>
      </c>
      <c r="V1045" s="14"/>
      <c r="W1045" s="26"/>
      <c r="X1045" s="2">
        <v>1</v>
      </c>
      <c r="Y1045" s="11" t="s">
        <v>2414</v>
      </c>
      <c r="Z1045" s="2" t="s">
        <v>36</v>
      </c>
      <c r="AA1045" s="13" t="s">
        <v>10396</v>
      </c>
      <c r="AB1045" s="13" t="s">
        <v>10397</v>
      </c>
    </row>
    <row r="1046" spans="1:28" ht="15" customHeight="1">
      <c r="A1046" s="2" t="s">
        <v>8849</v>
      </c>
      <c r="B1046" s="2" t="s">
        <v>368</v>
      </c>
      <c r="C1046" s="11" t="s">
        <v>1010</v>
      </c>
      <c r="D1046" s="2" t="s">
        <v>30</v>
      </c>
      <c r="E1046" s="2" t="s">
        <v>734</v>
      </c>
      <c r="F1046" s="11" t="s">
        <v>735</v>
      </c>
      <c r="G1046" s="30" t="s">
        <v>736</v>
      </c>
      <c r="H1046" s="2" t="s">
        <v>2170</v>
      </c>
      <c r="I1046" s="12" t="s">
        <v>152</v>
      </c>
      <c r="J1046" s="41">
        <f>+Tabla1[[#This Row],[FECHA ENTRADA]]</f>
        <v>45781</v>
      </c>
      <c r="K1046" s="8">
        <v>45807</v>
      </c>
      <c r="L1046" s="42">
        <f>_xlfn.DAYS(Tabla1[[#This Row],[FECHA FIN ]],Tabla1[[#This Row],[FECHA INICIO]])</f>
        <v>26</v>
      </c>
      <c r="M1046" s="12"/>
      <c r="N1046" s="12"/>
      <c r="O1046" s="28">
        <f>(Tabla1[[#This Row],[COSTO FIJO ]]/30)*Tabla1[[#This Row],[TOTAL DIAS PROYECTO]]+(Tabla1[[#This Row],[COSTO TEMPORAL]])</f>
        <v>0</v>
      </c>
      <c r="P1046" s="12">
        <f>622.04/2</f>
        <v>311.02</v>
      </c>
      <c r="Q1046" s="12">
        <f>+(Tabla1[[#This Row],[COSTO COCHE]]/30)*Tabla1[[#This Row],[TOTAL DIAS PROYECTO]]</f>
        <v>269.55066666666664</v>
      </c>
      <c r="R1046" s="12">
        <f>+Tabla1[[#This Row],[COSTO TOTAL ALOJAMIENTO]]+Tabla1[[#This Row],[COSTO TOTAL COCHE]]</f>
        <v>269.55066666666664</v>
      </c>
      <c r="S1046" s="2"/>
      <c r="T1046" s="2" t="s">
        <v>35</v>
      </c>
      <c r="U1046" s="14">
        <v>45781</v>
      </c>
      <c r="V1046" s="75"/>
      <c r="W1046" s="2"/>
      <c r="X1046" s="2">
        <v>1</v>
      </c>
      <c r="Y1046" s="11"/>
      <c r="Z1046" s="2" t="s">
        <v>36</v>
      </c>
      <c r="AA1046" s="13" t="s">
        <v>10396</v>
      </c>
      <c r="AB1046" s="13" t="s">
        <v>10397</v>
      </c>
    </row>
    <row r="1047" spans="1:28">
      <c r="A1047" s="2" t="s">
        <v>9200</v>
      </c>
      <c r="B1047" s="2" t="s">
        <v>368</v>
      </c>
      <c r="C1047" s="11" t="s">
        <v>2415</v>
      </c>
      <c r="D1047" s="2" t="s">
        <v>30</v>
      </c>
      <c r="E1047" s="2" t="s">
        <v>422</v>
      </c>
      <c r="F1047" s="11" t="s">
        <v>1375</v>
      </c>
      <c r="G1047" t="s">
        <v>1376</v>
      </c>
      <c r="H1047" s="2" t="s">
        <v>1575</v>
      </c>
      <c r="I1047" s="12" t="s">
        <v>1576</v>
      </c>
      <c r="J1047" s="41">
        <f>+Tabla1[[#This Row],[FECHA ENTRADA]]</f>
        <v>45699</v>
      </c>
      <c r="K1047" s="22">
        <v>45821</v>
      </c>
      <c r="L1047" s="42">
        <f>_xlfn.DAYS(Tabla1[[#This Row],[FECHA FIN ]],Tabla1[[#This Row],[FECHA INICIO]])</f>
        <v>122</v>
      </c>
      <c r="M1047" s="12"/>
      <c r="N1047" s="12"/>
      <c r="O1047" s="28">
        <f>(Tabla1[[#This Row],[COSTO FIJO ]]/30)*Tabla1[[#This Row],[TOTAL DIAS PROYECTO]]+(Tabla1[[#This Row],[COSTO TEMPORAL]])</f>
        <v>0</v>
      </c>
      <c r="P1047" s="12"/>
      <c r="Q1047" s="12">
        <f>+(Tabla1[[#This Row],[COSTO COCHE]]/30)*Tabla1[[#This Row],[TOTAL DIAS PROYECTO]]</f>
        <v>0</v>
      </c>
      <c r="R1047" s="12">
        <f>+Tabla1[[#This Row],[COSTO TOTAL ALOJAMIENTO]]+Tabla1[[#This Row],[COSTO TOTAL COCHE]]</f>
        <v>0</v>
      </c>
      <c r="S1047" s="2"/>
      <c r="T1047" s="2" t="s">
        <v>35</v>
      </c>
      <c r="U1047" s="14">
        <v>45699</v>
      </c>
      <c r="V1047" s="43"/>
      <c r="W1047" s="26"/>
      <c r="X1047" s="2">
        <v>5</v>
      </c>
      <c r="Y1047" s="11"/>
      <c r="Z1047" s="2" t="s">
        <v>36</v>
      </c>
      <c r="AA1047" s="13">
        <v>-326.69799999999998</v>
      </c>
      <c r="AB1047" s="13" t="s">
        <v>10373</v>
      </c>
    </row>
    <row r="1048" spans="1:28">
      <c r="A1048" s="2" t="s">
        <v>8964</v>
      </c>
      <c r="B1048" s="2" t="s">
        <v>28</v>
      </c>
      <c r="C1048" s="11" t="s">
        <v>1519</v>
      </c>
      <c r="D1048" s="33" t="s">
        <v>30</v>
      </c>
      <c r="E1048" s="2" t="s">
        <v>31</v>
      </c>
      <c r="F1048" s="11"/>
      <c r="G1048" s="34"/>
      <c r="H1048" s="33" t="s">
        <v>2416</v>
      </c>
      <c r="I1048" s="2" t="s">
        <v>52</v>
      </c>
      <c r="J1048" s="8">
        <f>+Tabla1[[#This Row],[FECHA ENTRADA]]</f>
        <v>45452</v>
      </c>
      <c r="K1048" s="22">
        <v>45807</v>
      </c>
      <c r="L1048" s="13">
        <f>_xlfn.DAYS(Tabla1[[#This Row],[FECHA FIN ]],Tabla1[[#This Row],[FECHA INICIO]])</f>
        <v>355</v>
      </c>
      <c r="M1048" s="12"/>
      <c r="N1048" s="12">
        <v>300</v>
      </c>
      <c r="O1048" s="36">
        <f>(Tabla1[[#This Row],[COSTO FIJO ]]/30)*Tabla1[[#This Row],[TOTAL DIAS PROYECTO]]+(Tabla1[[#This Row],[COSTO TEMPORAL]])</f>
        <v>3550</v>
      </c>
      <c r="P1048" s="36"/>
      <c r="Q1048" s="36">
        <f>+(Tabla1[[#This Row],[COSTO COCHE]]/30)*Tabla1[[#This Row],[TOTAL DIAS PROYECTO]]</f>
        <v>0</v>
      </c>
      <c r="R1048" s="36">
        <f>+Tabla1[[#This Row],[COSTO TOTAL ALOJAMIENTO]]+Tabla1[[#This Row],[COSTO TOTAL COCHE]]</f>
        <v>3550</v>
      </c>
      <c r="S1048" s="33"/>
      <c r="T1048" s="33" t="s">
        <v>58</v>
      </c>
      <c r="U1048" s="37">
        <v>45452</v>
      </c>
      <c r="V1048" s="14"/>
      <c r="W1048" s="40"/>
      <c r="X1048" s="33"/>
      <c r="Y1048" s="18" t="s">
        <v>2417</v>
      </c>
      <c r="Z1048" s="33" t="s">
        <v>36</v>
      </c>
      <c r="AA1048" s="13" t="s">
        <v>10323</v>
      </c>
      <c r="AB1048" s="13" t="s">
        <v>10324</v>
      </c>
    </row>
    <row r="1049" spans="1:28" ht="15" customHeight="1">
      <c r="A1049" s="2" t="s">
        <v>9201</v>
      </c>
      <c r="B1049" s="2" t="s">
        <v>28</v>
      </c>
      <c r="C1049" s="11" t="s">
        <v>2418</v>
      </c>
      <c r="D1049" s="2" t="s">
        <v>30</v>
      </c>
      <c r="E1049" s="2" t="s">
        <v>213</v>
      </c>
      <c r="F1049" s="11"/>
      <c r="G1049" s="11"/>
      <c r="H1049" s="2">
        <v>2023</v>
      </c>
      <c r="I1049" s="2" t="s">
        <v>52</v>
      </c>
      <c r="J1049" s="8">
        <f>+Tabla1[[#This Row],[FECHA ENTRADA]]</f>
        <v>45323</v>
      </c>
      <c r="K1049" s="22">
        <v>45807</v>
      </c>
      <c r="L1049" s="13">
        <f>_xlfn.DAYS(Tabla1[[#This Row],[FECHA FIN ]],Tabla1[[#This Row],[FECHA INICIO]])</f>
        <v>484</v>
      </c>
      <c r="M1049" s="12"/>
      <c r="N1049" s="12">
        <v>300</v>
      </c>
      <c r="O1049" s="12">
        <f>(Tabla1[[#This Row],[COSTO FIJO ]]/30)*Tabla1[[#This Row],[TOTAL DIAS PROYECTO]]+(Tabla1[[#This Row],[COSTO TEMPORAL]])</f>
        <v>4840</v>
      </c>
      <c r="P1049" s="12"/>
      <c r="Q1049" s="12">
        <f>+(Tabla1[[#This Row],[COSTO COCHE]]/30)*Tabla1[[#This Row],[TOTAL DIAS PROYECTO]]</f>
        <v>0</v>
      </c>
      <c r="R1049" s="12">
        <f>+Tabla1[[#This Row],[COSTO TOTAL ALOJAMIENTO]]+Tabla1[[#This Row],[COSTO TOTAL COCHE]]</f>
        <v>4840</v>
      </c>
      <c r="S1049" s="2"/>
      <c r="T1049" s="2" t="s">
        <v>58</v>
      </c>
      <c r="U1049" s="8">
        <v>45323</v>
      </c>
      <c r="V1049" s="14"/>
      <c r="W1049" s="2"/>
      <c r="X1049" s="2"/>
      <c r="Y1049" s="11"/>
      <c r="Z1049" s="2" t="s">
        <v>36</v>
      </c>
      <c r="AA1049" s="13" t="s">
        <v>10349</v>
      </c>
      <c r="AB1049" s="13" t="s">
        <v>10350</v>
      </c>
    </row>
    <row r="1050" spans="1:28">
      <c r="A1050" s="2" t="s">
        <v>9202</v>
      </c>
      <c r="B1050" s="2" t="s">
        <v>28</v>
      </c>
      <c r="C1050" s="11" t="s">
        <v>2419</v>
      </c>
      <c r="D1050" s="2" t="s">
        <v>30</v>
      </c>
      <c r="E1050" s="2" t="s">
        <v>151</v>
      </c>
      <c r="F1050" s="11"/>
      <c r="G1050" s="46"/>
      <c r="H1050" s="2" t="s">
        <v>1260</v>
      </c>
      <c r="I1050" s="12" t="s">
        <v>152</v>
      </c>
      <c r="J1050" s="41">
        <f>+Tabla1[[#This Row],[FECHA ENTRADA]]</f>
        <v>45716</v>
      </c>
      <c r="K1050" s="22">
        <v>45807</v>
      </c>
      <c r="L1050" s="42">
        <f>_xlfn.DAYS(Tabla1[[#This Row],[FECHA FIN ]],Tabla1[[#This Row],[FECHA INICIO]])</f>
        <v>91</v>
      </c>
      <c r="M1050" s="12"/>
      <c r="N1050" s="12">
        <v>300</v>
      </c>
      <c r="O1050" s="28">
        <f>(Tabla1[[#This Row],[COSTO FIJO ]]/30)*Tabla1[[#This Row],[TOTAL DIAS PROYECTO]]+(Tabla1[[#This Row],[COSTO TEMPORAL]])</f>
        <v>910</v>
      </c>
      <c r="P1050" s="12"/>
      <c r="Q1050" s="12">
        <f>+(Tabla1[[#This Row],[COSTO COCHE]]/30)*Tabla1[[#This Row],[TOTAL DIAS PROYECTO]]</f>
        <v>0</v>
      </c>
      <c r="R1050" s="12">
        <f>+Tabla1[[#This Row],[COSTO TOTAL ALOJAMIENTO]]+Tabla1[[#This Row],[COSTO TOTAL COCHE]]</f>
        <v>910</v>
      </c>
      <c r="S1050" s="2"/>
      <c r="T1050" s="2" t="s">
        <v>58</v>
      </c>
      <c r="U1050" s="14">
        <v>45716</v>
      </c>
      <c r="V1050" s="43"/>
      <c r="W1050" s="26"/>
      <c r="X1050" s="2"/>
      <c r="Y1050" s="11"/>
      <c r="Z1050" s="2" t="s">
        <v>36</v>
      </c>
      <c r="AA1050" s="13" t="s">
        <v>10345</v>
      </c>
      <c r="AB1050" s="13" t="s">
        <v>10346</v>
      </c>
    </row>
    <row r="1051" spans="1:28" ht="15" customHeight="1">
      <c r="A1051" s="2" t="s">
        <v>9203</v>
      </c>
      <c r="B1051" s="2" t="s">
        <v>28</v>
      </c>
      <c r="C1051" s="18" t="s">
        <v>2420</v>
      </c>
      <c r="D1051" s="2" t="s">
        <v>30</v>
      </c>
      <c r="E1051" s="2" t="s">
        <v>31</v>
      </c>
      <c r="F1051" s="11"/>
      <c r="G1051" s="11"/>
      <c r="H1051" s="2">
        <v>2023</v>
      </c>
      <c r="I1051" s="2" t="s">
        <v>52</v>
      </c>
      <c r="J1051" s="8">
        <f>+Tabla1[[#This Row],[FECHA ENTRADA]]</f>
        <v>45371</v>
      </c>
      <c r="K1051" s="22">
        <v>45807</v>
      </c>
      <c r="L1051" s="13">
        <f>_xlfn.DAYS(Tabla1[[#This Row],[FECHA FIN ]],Tabla1[[#This Row],[FECHA INICIO]])</f>
        <v>436</v>
      </c>
      <c r="M1051" s="12"/>
      <c r="N1051" s="12">
        <v>300</v>
      </c>
      <c r="O1051" s="12">
        <f>(Tabla1[[#This Row],[COSTO FIJO ]]/30)*Tabla1[[#This Row],[TOTAL DIAS PROYECTO]]+(Tabla1[[#This Row],[COSTO TEMPORAL]])</f>
        <v>4360</v>
      </c>
      <c r="P1051" s="12"/>
      <c r="Q1051" s="12">
        <f>+(Tabla1[[#This Row],[COSTO COCHE]]/30)*Tabla1[[#This Row],[TOTAL DIAS PROYECTO]]</f>
        <v>0</v>
      </c>
      <c r="R1051" s="12">
        <f>+Tabla1[[#This Row],[COSTO TOTAL ALOJAMIENTO]]+Tabla1[[#This Row],[COSTO TOTAL COCHE]]</f>
        <v>4360</v>
      </c>
      <c r="S1051" s="2"/>
      <c r="T1051" s="2" t="s">
        <v>58</v>
      </c>
      <c r="U1051" s="14">
        <v>45371</v>
      </c>
      <c r="V1051" s="14"/>
      <c r="W1051" s="15"/>
      <c r="X1051" s="16"/>
      <c r="Y1051" s="18" t="s">
        <v>2421</v>
      </c>
      <c r="Z1051" s="2" t="s">
        <v>36</v>
      </c>
      <c r="AA1051" s="13" t="s">
        <v>10323</v>
      </c>
      <c r="AB1051" s="13" t="s">
        <v>10324</v>
      </c>
    </row>
    <row r="1052" spans="1:28" ht="15" customHeight="1">
      <c r="A1052" s="2" t="s">
        <v>8642</v>
      </c>
      <c r="B1052" s="2" t="s">
        <v>28</v>
      </c>
      <c r="C1052" s="86" t="s">
        <v>705</v>
      </c>
      <c r="D1052" s="2" t="s">
        <v>30</v>
      </c>
      <c r="E1052" s="2" t="s">
        <v>151</v>
      </c>
      <c r="F1052" s="11"/>
      <c r="G1052" s="46"/>
      <c r="H1052" s="2" t="s">
        <v>2422</v>
      </c>
      <c r="I1052" s="12" t="s">
        <v>152</v>
      </c>
      <c r="J1052" s="41">
        <f>+Tabla1[[#This Row],[FECHA ENTRADA]]</f>
        <v>45550</v>
      </c>
      <c r="K1052" s="8">
        <v>45807</v>
      </c>
      <c r="L1052" s="42">
        <f>_xlfn.DAYS(Tabla1[[#This Row],[FECHA FIN ]],Tabla1[[#This Row],[FECHA INICIO]])</f>
        <v>257</v>
      </c>
      <c r="M1052" s="12"/>
      <c r="N1052" s="12">
        <v>300</v>
      </c>
      <c r="O1052" s="28">
        <f>(Tabla1[[#This Row],[COSTO FIJO ]]/30)*Tabla1[[#This Row],[TOTAL DIAS PROYECTO]]+(Tabla1[[#This Row],[COSTO TEMPORAL]])</f>
        <v>2570</v>
      </c>
      <c r="P1052" s="12"/>
      <c r="Q1052" s="12">
        <f>+(Tabla1[[#This Row],[COSTO COCHE]]/30)*Tabla1[[#This Row],[TOTAL DIAS PROYECTO]]</f>
        <v>0</v>
      </c>
      <c r="R1052" s="12">
        <f>+Tabla1[[#This Row],[COSTO TOTAL ALOJAMIENTO]]+Tabla1[[#This Row],[COSTO TOTAL COCHE]]</f>
        <v>2570</v>
      </c>
      <c r="S1052" s="2"/>
      <c r="T1052" s="2" t="s">
        <v>58</v>
      </c>
      <c r="U1052" s="14">
        <v>45550</v>
      </c>
      <c r="V1052" s="75">
        <v>45611</v>
      </c>
      <c r="W1052" s="26"/>
      <c r="X1052" s="2">
        <v>12</v>
      </c>
      <c r="Y1052" s="31" t="s">
        <v>2423</v>
      </c>
      <c r="Z1052" s="2" t="s">
        <v>36</v>
      </c>
      <c r="AA1052" s="13" t="s">
        <v>10345</v>
      </c>
      <c r="AB1052" s="13" t="s">
        <v>10346</v>
      </c>
    </row>
    <row r="1053" spans="1:28" ht="15" customHeight="1">
      <c r="A1053" s="2" t="s">
        <v>9204</v>
      </c>
      <c r="B1053" s="2" t="s">
        <v>28</v>
      </c>
      <c r="C1053" s="99" t="s">
        <v>2424</v>
      </c>
      <c r="D1053" s="2" t="s">
        <v>72</v>
      </c>
      <c r="E1053" s="2" t="s">
        <v>73</v>
      </c>
      <c r="F1053" s="11"/>
      <c r="G1053" s="11"/>
      <c r="H1053" s="2" t="s">
        <v>1495</v>
      </c>
      <c r="I1053" s="2" t="s">
        <v>332</v>
      </c>
      <c r="J1053" s="8">
        <f>+Tabla1[[#This Row],[FECHA ENTRADA]]</f>
        <v>45403</v>
      </c>
      <c r="K1053" s="22">
        <v>45807</v>
      </c>
      <c r="L1053" s="13">
        <f>_xlfn.DAYS(Tabla1[[#This Row],[FECHA FIN ]],Tabla1[[#This Row],[FECHA INICIO]])</f>
        <v>404</v>
      </c>
      <c r="M1053" s="12"/>
      <c r="N1053" s="12">
        <v>300</v>
      </c>
      <c r="O1053" s="12">
        <f>(Tabla1[[#This Row],[COSTO FIJO ]]/30)*Tabla1[[#This Row],[TOTAL DIAS PROYECTO]]+(Tabla1[[#This Row],[COSTO TEMPORAL]])</f>
        <v>4040</v>
      </c>
      <c r="P1053" s="12"/>
      <c r="Q1053" s="12">
        <f>+(Tabla1[[#This Row],[COSTO COCHE]]/30)*Tabla1[[#This Row],[TOTAL DIAS PROYECTO]]</f>
        <v>0</v>
      </c>
      <c r="R1053" s="12">
        <f>+Tabla1[[#This Row],[COSTO TOTAL ALOJAMIENTO]]+Tabla1[[#This Row],[COSTO TOTAL COCHE]]</f>
        <v>4040</v>
      </c>
      <c r="S1053" s="2"/>
      <c r="T1053" s="2" t="s">
        <v>58</v>
      </c>
      <c r="U1053" s="14">
        <v>45403</v>
      </c>
      <c r="V1053" s="14"/>
      <c r="W1053" s="2"/>
      <c r="X1053" s="2"/>
      <c r="Y1053" s="11"/>
      <c r="Z1053" s="2" t="s">
        <v>36</v>
      </c>
      <c r="AA1053" s="13" t="s">
        <v>10331</v>
      </c>
      <c r="AB1053" s="13" t="s">
        <v>10332</v>
      </c>
    </row>
    <row r="1054" spans="1:28" ht="15" customHeight="1">
      <c r="A1054" s="2" t="s">
        <v>8717</v>
      </c>
      <c r="B1054" s="2" t="s">
        <v>28</v>
      </c>
      <c r="C1054" s="86" t="s">
        <v>433</v>
      </c>
      <c r="D1054" s="2" t="s">
        <v>30</v>
      </c>
      <c r="E1054" s="2" t="s">
        <v>734</v>
      </c>
      <c r="F1054" s="11"/>
      <c r="G1054" s="30"/>
      <c r="H1054" s="2" t="s">
        <v>434</v>
      </c>
      <c r="I1054" s="12" t="s">
        <v>152</v>
      </c>
      <c r="J1054" s="8">
        <f>+Tabla1[[#This Row],[FECHA ENTRADA]]</f>
        <v>45458</v>
      </c>
      <c r="K1054" s="22">
        <v>45807</v>
      </c>
      <c r="L1054" s="13">
        <f>_xlfn.DAYS(Tabla1[[#This Row],[FECHA FIN ]],Tabla1[[#This Row],[FECHA INICIO]])</f>
        <v>349</v>
      </c>
      <c r="M1054" s="12"/>
      <c r="N1054" s="12">
        <v>300</v>
      </c>
      <c r="O1054" s="12">
        <f>(Tabla1[[#This Row],[COSTO FIJO ]]/30)*Tabla1[[#This Row],[TOTAL DIAS PROYECTO]]+(Tabla1[[#This Row],[COSTO TEMPORAL]])</f>
        <v>3490</v>
      </c>
      <c r="P1054" s="12">
        <f>3067.87/22</f>
        <v>139.44863636363635</v>
      </c>
      <c r="Q1054" s="12">
        <f>+(Tabla1[[#This Row],[COSTO COCHE]]/30)*Tabla1[[#This Row],[TOTAL DIAS PROYECTO]]</f>
        <v>1622.2524696969697</v>
      </c>
      <c r="R1054" s="12">
        <f>+Tabla1[[#This Row],[COSTO TOTAL ALOJAMIENTO]]+Tabla1[[#This Row],[COSTO TOTAL COCHE]]</f>
        <v>5112.2524696969695</v>
      </c>
      <c r="S1054" s="2"/>
      <c r="T1054" s="2" t="s">
        <v>58</v>
      </c>
      <c r="U1054" s="14">
        <v>45458</v>
      </c>
      <c r="V1054" s="14"/>
      <c r="W1054" s="26"/>
      <c r="X1054" s="2">
        <v>1</v>
      </c>
      <c r="Y1054" s="11" t="s">
        <v>435</v>
      </c>
      <c r="Z1054" s="2" t="s">
        <v>36</v>
      </c>
      <c r="AA1054" s="13" t="s">
        <v>10396</v>
      </c>
      <c r="AB1054" s="13" t="s">
        <v>10397</v>
      </c>
    </row>
    <row r="1055" spans="1:28" ht="15" customHeight="1">
      <c r="A1055" s="2" t="s">
        <v>9205</v>
      </c>
      <c r="B1055" s="2" t="s">
        <v>28</v>
      </c>
      <c r="C1055" s="99" t="s">
        <v>2425</v>
      </c>
      <c r="D1055" s="2" t="s">
        <v>30</v>
      </c>
      <c r="E1055" s="2" t="s">
        <v>259</v>
      </c>
      <c r="F1055" s="11"/>
      <c r="G1055" s="11"/>
      <c r="H1055" s="2" t="s">
        <v>2426</v>
      </c>
      <c r="I1055" s="12" t="s">
        <v>263</v>
      </c>
      <c r="J1055" s="8">
        <f>+Tabla1[[#This Row],[FECHA ENTRADA]]</f>
        <v>45457</v>
      </c>
      <c r="K1055" s="22">
        <v>45807</v>
      </c>
      <c r="L1055" s="13">
        <f>_xlfn.DAYS(Tabla1[[#This Row],[FECHA FIN ]],Tabla1[[#This Row],[FECHA INICIO]])</f>
        <v>350</v>
      </c>
      <c r="M1055" s="12"/>
      <c r="N1055" s="12">
        <v>300</v>
      </c>
      <c r="O1055" s="12">
        <f>(Tabla1[[#This Row],[COSTO FIJO ]]/30)*Tabla1[[#This Row],[TOTAL DIAS PROYECTO]]+(Tabla1[[#This Row],[COSTO TEMPORAL]])</f>
        <v>3500</v>
      </c>
      <c r="P1055" s="12">
        <v>100</v>
      </c>
      <c r="Q1055" s="12">
        <f>+(Tabla1[[#This Row],[COSTO COCHE]]/30)*Tabla1[[#This Row],[TOTAL DIAS PROYECTO]]</f>
        <v>1166.6666666666667</v>
      </c>
      <c r="R1055" s="12">
        <f>+Tabla1[[#This Row],[COSTO TOTAL ALOJAMIENTO]]+Tabla1[[#This Row],[COSTO TOTAL COCHE]]</f>
        <v>4666.666666666667</v>
      </c>
      <c r="S1055" s="2"/>
      <c r="T1055" s="2" t="s">
        <v>58</v>
      </c>
      <c r="U1055" s="14">
        <v>45457</v>
      </c>
      <c r="V1055" s="14"/>
      <c r="W1055" s="26"/>
      <c r="X1055" s="2">
        <v>14</v>
      </c>
      <c r="Y1055" s="11" t="s">
        <v>2427</v>
      </c>
      <c r="Z1055" s="2" t="s">
        <v>36</v>
      </c>
      <c r="AA1055" s="13">
        <v>-0.87734000000000001</v>
      </c>
      <c r="AB1055" s="13" t="s">
        <v>10359</v>
      </c>
    </row>
    <row r="1056" spans="1:28" ht="15" customHeight="1">
      <c r="A1056" s="2" t="s">
        <v>9206</v>
      </c>
      <c r="B1056" s="2" t="s">
        <v>28</v>
      </c>
      <c r="C1056" s="86" t="s">
        <v>2428</v>
      </c>
      <c r="D1056" s="2" t="s">
        <v>30</v>
      </c>
      <c r="E1056" s="2" t="s">
        <v>734</v>
      </c>
      <c r="F1056" s="11"/>
      <c r="G1056" s="46"/>
      <c r="H1056" s="2" t="s">
        <v>2413</v>
      </c>
      <c r="I1056" s="12" t="s">
        <v>152</v>
      </c>
      <c r="J1056" s="41">
        <f>+Tabla1[[#This Row],[FECHA ENTRADA]]</f>
        <v>45626</v>
      </c>
      <c r="K1056" s="22">
        <v>45807</v>
      </c>
      <c r="L1056" s="42">
        <f>_xlfn.DAYS(Tabla1[[#This Row],[FECHA FIN ]],Tabla1[[#This Row],[FECHA INICIO]])</f>
        <v>181</v>
      </c>
      <c r="M1056" s="12"/>
      <c r="N1056" s="12">
        <v>300</v>
      </c>
      <c r="O1056" s="28">
        <f>(Tabla1[[#This Row],[COSTO FIJO ]]/30)*Tabla1[[#This Row],[TOTAL DIAS PROYECTO]]+(Tabla1[[#This Row],[COSTO TEMPORAL]])</f>
        <v>1810</v>
      </c>
      <c r="P1056" s="12"/>
      <c r="Q1056" s="12">
        <f>+(Tabla1[[#This Row],[COSTO COCHE]]/30)*Tabla1[[#This Row],[TOTAL DIAS PROYECTO]]</f>
        <v>0</v>
      </c>
      <c r="R1056" s="12">
        <f>+Tabla1[[#This Row],[COSTO TOTAL ALOJAMIENTO]]+Tabla1[[#This Row],[COSTO TOTAL COCHE]]</f>
        <v>1810</v>
      </c>
      <c r="S1056" s="2"/>
      <c r="T1056" s="2" t="s">
        <v>58</v>
      </c>
      <c r="U1056" s="14">
        <v>45626</v>
      </c>
      <c r="V1056" s="43"/>
      <c r="W1056" s="26"/>
      <c r="X1056" s="2"/>
      <c r="Y1056" s="11" t="s">
        <v>2429</v>
      </c>
      <c r="Z1056" s="2" t="s">
        <v>36</v>
      </c>
      <c r="AA1056" s="13" t="s">
        <v>10396</v>
      </c>
      <c r="AB1056" s="13" t="s">
        <v>10397</v>
      </c>
    </row>
    <row r="1057" spans="1:28" ht="15" customHeight="1">
      <c r="A1057" s="2" t="s">
        <v>9207</v>
      </c>
      <c r="B1057" s="2" t="s">
        <v>28</v>
      </c>
      <c r="C1057" s="11" t="s">
        <v>2430</v>
      </c>
      <c r="D1057" s="2" t="s">
        <v>99</v>
      </c>
      <c r="E1057" s="2" t="s">
        <v>259</v>
      </c>
      <c r="F1057" s="11"/>
      <c r="G1057" s="49"/>
      <c r="H1057" s="2" t="s">
        <v>2431</v>
      </c>
      <c r="I1057" s="12" t="s">
        <v>263</v>
      </c>
      <c r="J1057" s="22">
        <f>+Tabla1[[#This Row],[FECHA ENTRADA]]</f>
        <v>45765</v>
      </c>
      <c r="K1057" s="22">
        <v>45807</v>
      </c>
      <c r="L1057" s="23">
        <f>_xlfn.DAYS(Tabla1[[#This Row],[FECHA FIN ]],Tabla1[[#This Row],[FECHA INICIO]])</f>
        <v>42</v>
      </c>
      <c r="M1057" s="12"/>
      <c r="N1057" s="12">
        <v>300</v>
      </c>
      <c r="O1057" s="24">
        <f>(Tabla1[[#This Row],[COSTO FIJO ]]/30)*Tabla1[[#This Row],[TOTAL DIAS PROYECTO]]+(Tabla1[[#This Row],[COSTO TEMPORAL]])</f>
        <v>420</v>
      </c>
      <c r="P1057" s="12">
        <v>133.33333333333334</v>
      </c>
      <c r="Q1057" s="12">
        <f>+(Tabla1[[#This Row],[COSTO COCHE]]/30)*Tabla1[[#This Row],[TOTAL DIAS PROYECTO]]</f>
        <v>186.66666666666669</v>
      </c>
      <c r="R1057" s="12">
        <f>+Tabla1[[#This Row],[COSTO TOTAL ALOJAMIENTO]]+Tabla1[[#This Row],[COSTO TOTAL COCHE]]</f>
        <v>606.66666666666674</v>
      </c>
      <c r="S1057" s="2"/>
      <c r="T1057" s="14" t="s">
        <v>58</v>
      </c>
      <c r="U1057" s="14">
        <v>45765</v>
      </c>
      <c r="V1057" s="98"/>
      <c r="W1057" s="2"/>
      <c r="X1057" s="2"/>
      <c r="Y1057" s="11"/>
      <c r="Z1057" s="2" t="s">
        <v>36</v>
      </c>
      <c r="AA1057" s="13">
        <v>-0.87734000000000001</v>
      </c>
      <c r="AB1057" s="13" t="s">
        <v>10359</v>
      </c>
    </row>
    <row r="1058" spans="1:28">
      <c r="A1058" s="2" t="s">
        <v>9208</v>
      </c>
      <c r="B1058" s="2" t="s">
        <v>28</v>
      </c>
      <c r="C1058" s="11" t="s">
        <v>2432</v>
      </c>
      <c r="D1058" s="2" t="s">
        <v>99</v>
      </c>
      <c r="E1058" s="2" t="s">
        <v>259</v>
      </c>
      <c r="F1058" s="11"/>
      <c r="G1058" s="49"/>
      <c r="H1058" s="2" t="s">
        <v>2431</v>
      </c>
      <c r="I1058" s="12" t="s">
        <v>263</v>
      </c>
      <c r="J1058" s="22">
        <f>+Tabla1[[#This Row],[FECHA ENTRADA]]</f>
        <v>45769</v>
      </c>
      <c r="K1058" s="22">
        <v>45807</v>
      </c>
      <c r="L1058" s="23">
        <f>_xlfn.DAYS(Tabla1[[#This Row],[FECHA FIN ]],Tabla1[[#This Row],[FECHA INICIO]])</f>
        <v>38</v>
      </c>
      <c r="M1058" s="12"/>
      <c r="N1058" s="12">
        <v>300</v>
      </c>
      <c r="O1058" s="24">
        <f>(Tabla1[[#This Row],[COSTO FIJO ]]/30)*Tabla1[[#This Row],[TOTAL DIAS PROYECTO]]+(Tabla1[[#This Row],[COSTO TEMPORAL]])</f>
        <v>380</v>
      </c>
      <c r="P1058" s="12"/>
      <c r="Q1058" s="12">
        <f>+(Tabla1[[#This Row],[COSTO COCHE]]/30)*Tabla1[[#This Row],[TOTAL DIAS PROYECTO]]</f>
        <v>0</v>
      </c>
      <c r="R1058" s="12">
        <f>+Tabla1[[#This Row],[COSTO TOTAL ALOJAMIENTO]]+Tabla1[[#This Row],[COSTO TOTAL COCHE]]</f>
        <v>380</v>
      </c>
      <c r="S1058" s="2"/>
      <c r="T1058" s="14" t="s">
        <v>58</v>
      </c>
      <c r="U1058" s="14">
        <v>45769</v>
      </c>
      <c r="V1058" s="98"/>
      <c r="W1058" s="2"/>
      <c r="X1058" s="2"/>
      <c r="Y1058" s="11"/>
      <c r="Z1058" s="2" t="s">
        <v>36</v>
      </c>
      <c r="AA1058" s="13">
        <v>-0.87734000000000001</v>
      </c>
      <c r="AB1058" s="13" t="s">
        <v>10359</v>
      </c>
    </row>
    <row r="1059" spans="1:28" ht="15" customHeight="1">
      <c r="A1059" s="2" t="s">
        <v>8897</v>
      </c>
      <c r="B1059" s="2" t="s">
        <v>28</v>
      </c>
      <c r="C1059" s="11" t="s">
        <v>1195</v>
      </c>
      <c r="D1059" s="2" t="s">
        <v>30</v>
      </c>
      <c r="E1059" s="2" t="s">
        <v>31</v>
      </c>
      <c r="F1059" s="11" t="s">
        <v>2433</v>
      </c>
      <c r="G1059" s="49" t="s">
        <v>2434</v>
      </c>
      <c r="H1059" s="2" t="s">
        <v>2061</v>
      </c>
      <c r="I1059" s="12" t="s">
        <v>2062</v>
      </c>
      <c r="J1059" s="22">
        <f>+Tabla1[[#This Row],[FECHA ENTRADA]]</f>
        <v>45805</v>
      </c>
      <c r="K1059" s="8">
        <v>45807</v>
      </c>
      <c r="L1059" s="13">
        <f>_xlfn.DAYS(Tabla1[[#This Row],[FECHA FIN ]],Tabla1[[#This Row],[FECHA INICIO]])</f>
        <v>2</v>
      </c>
      <c r="M1059" s="12"/>
      <c r="N1059" s="12">
        <v>54.75</v>
      </c>
      <c r="O1059" s="12">
        <f>(Tabla1[[#This Row],[COSTO FIJO ]]/30)*Tabla1[[#This Row],[TOTAL DIAS PROYECTO]]+(Tabla1[[#This Row],[COSTO TEMPORAL]])</f>
        <v>3.65</v>
      </c>
      <c r="P1059" s="12"/>
      <c r="Q1059" s="12">
        <f>+(Tabla1[[#This Row],[COSTO COCHE]]/30)*Tabla1[[#This Row],[TOTAL DIAS PROYECTO]]</f>
        <v>0</v>
      </c>
      <c r="R1059" s="12">
        <f>+Tabla1[[#This Row],[COSTO TOTAL ALOJAMIENTO]]+Tabla1[[#This Row],[COSTO TOTAL COCHE]]</f>
        <v>3.65</v>
      </c>
      <c r="S1059" s="2"/>
      <c r="T1059" s="2" t="s">
        <v>44</v>
      </c>
      <c r="U1059" s="14">
        <v>45805</v>
      </c>
      <c r="V1059" s="14">
        <v>45807</v>
      </c>
      <c r="W1059" s="26"/>
      <c r="X1059" s="2"/>
      <c r="Y1059" s="170" t="s">
        <v>2435</v>
      </c>
      <c r="Z1059" s="2" t="s">
        <v>36</v>
      </c>
      <c r="AA1059" s="13" t="s">
        <v>10323</v>
      </c>
      <c r="AB1059" s="13" t="s">
        <v>10324</v>
      </c>
    </row>
    <row r="1060" spans="1:28" ht="15" customHeight="1">
      <c r="A1060" s="2" t="s">
        <v>8848</v>
      </c>
      <c r="B1060" s="2" t="s">
        <v>711</v>
      </c>
      <c r="C1060" s="11" t="s">
        <v>1003</v>
      </c>
      <c r="D1060" s="2" t="s">
        <v>99</v>
      </c>
      <c r="E1060" s="2" t="s">
        <v>720</v>
      </c>
      <c r="F1060" s="11" t="s">
        <v>2436</v>
      </c>
      <c r="G1060" t="s">
        <v>2437</v>
      </c>
      <c r="H1060" s="2" t="s">
        <v>1874</v>
      </c>
      <c r="I1060" s="12" t="s">
        <v>506</v>
      </c>
      <c r="J1060" s="22">
        <f>+Tabla1[[#This Row],[FECHA ENTRADA]]</f>
        <v>45784</v>
      </c>
      <c r="K1060" s="22">
        <v>45807</v>
      </c>
      <c r="L1060" s="23">
        <f>_xlfn.DAYS(Tabla1[[#This Row],[FECHA FIN ]],Tabla1[[#This Row],[FECHA INICIO]])</f>
        <v>23</v>
      </c>
      <c r="M1060" s="12">
        <v>285</v>
      </c>
      <c r="N1060" s="24"/>
      <c r="O1060" s="24">
        <f>(Tabla1[[#This Row],[COSTO FIJO ]]/30)*Tabla1[[#This Row],[TOTAL DIAS PROYECTO]]+(Tabla1[[#This Row],[COSTO TEMPORAL]])</f>
        <v>285</v>
      </c>
      <c r="P1060" s="12">
        <f>613.47/3</f>
        <v>204.49</v>
      </c>
      <c r="Q1060" s="12">
        <f>+(Tabla1[[#This Row],[COSTO COCHE]]/30)*Tabla1[[#This Row],[TOTAL DIAS PROYECTO]]</f>
        <v>156.77566666666667</v>
      </c>
      <c r="R1060" s="12">
        <f>+Tabla1[[#This Row],[COSTO TOTAL ALOJAMIENTO]]+Tabla1[[#This Row],[COSTO TOTAL COCHE]]</f>
        <v>441.77566666666667</v>
      </c>
      <c r="S1060" s="2"/>
      <c r="T1060" s="2" t="s">
        <v>528</v>
      </c>
      <c r="U1060" s="14">
        <v>45784</v>
      </c>
      <c r="V1060" s="25">
        <v>45807</v>
      </c>
      <c r="W1060" s="2"/>
      <c r="X1060" s="2"/>
      <c r="Y1060" s="11" t="s">
        <v>2438</v>
      </c>
      <c r="Z1060" s="2" t="s">
        <v>36</v>
      </c>
      <c r="AA1060" s="13" t="s">
        <v>10394</v>
      </c>
      <c r="AB1060" s="13" t="s">
        <v>10395</v>
      </c>
    </row>
    <row r="1061" spans="1:28" ht="15" customHeight="1">
      <c r="A1061" s="2" t="s">
        <v>8638</v>
      </c>
      <c r="B1061" s="2" t="s">
        <v>28</v>
      </c>
      <c r="C1061" s="31" t="s">
        <v>2439</v>
      </c>
      <c r="D1061" s="2" t="s">
        <v>30</v>
      </c>
      <c r="E1061" s="2" t="s">
        <v>939</v>
      </c>
      <c r="F1061" s="11" t="s">
        <v>2440</v>
      </c>
      <c r="G1061" s="49" t="s">
        <v>2441</v>
      </c>
      <c r="H1061" s="2" t="s">
        <v>2442</v>
      </c>
      <c r="I1061" s="12" t="s">
        <v>2443</v>
      </c>
      <c r="J1061" s="22">
        <f>+Tabla1[[#This Row],[FECHA ENTRADA]]</f>
        <v>45797</v>
      </c>
      <c r="K1061" s="22">
        <v>45807</v>
      </c>
      <c r="L1061" s="23">
        <f>_xlfn.DAYS(Tabla1[[#This Row],[FECHA FIN ]],Tabla1[[#This Row],[FECHA INICIO]])</f>
        <v>10</v>
      </c>
      <c r="M1061" s="12"/>
      <c r="N1061" s="24"/>
      <c r="O1061" s="24">
        <f>(Tabla1[[#This Row],[COSTO FIJO ]]/30)*Tabla1[[#This Row],[TOTAL DIAS PROYECTO]]+(Tabla1[[#This Row],[COSTO TEMPORAL]])</f>
        <v>0</v>
      </c>
      <c r="P1061" s="12"/>
      <c r="Q1061" s="12">
        <f>+(Tabla1[[#This Row],[COSTO COCHE]]/30)*Tabla1[[#This Row],[TOTAL DIAS PROYECTO]]</f>
        <v>0</v>
      </c>
      <c r="R1061" s="12">
        <f>+Tabla1[[#This Row],[COSTO TOTAL ALOJAMIENTO]]+Tabla1[[#This Row],[COSTO TOTAL COCHE]]</f>
        <v>0</v>
      </c>
      <c r="S1061" s="2"/>
      <c r="T1061" s="2" t="s">
        <v>44</v>
      </c>
      <c r="U1061" s="14">
        <v>45797</v>
      </c>
      <c r="V1061" s="25">
        <v>45813</v>
      </c>
      <c r="W1061" s="26"/>
      <c r="X1061" s="2"/>
      <c r="Y1061" t="s">
        <v>2444</v>
      </c>
      <c r="Z1061" s="2" t="s">
        <v>36</v>
      </c>
      <c r="AA1061" s="13" t="s">
        <v>10405</v>
      </c>
      <c r="AB1061" s="13" t="s">
        <v>10406</v>
      </c>
    </row>
    <row r="1062" spans="1:28" ht="15" customHeight="1">
      <c r="A1062" s="2" t="s">
        <v>9209</v>
      </c>
      <c r="B1062" s="2" t="s">
        <v>28</v>
      </c>
      <c r="C1062" s="11" t="s">
        <v>2445</v>
      </c>
      <c r="D1062" s="2" t="s">
        <v>30</v>
      </c>
      <c r="E1062" s="2" t="s">
        <v>151</v>
      </c>
      <c r="F1062" s="11"/>
      <c r="G1062" s="46"/>
      <c r="H1062" s="2" t="s">
        <v>2446</v>
      </c>
      <c r="I1062" s="12" t="s">
        <v>152</v>
      </c>
      <c r="J1062" s="41">
        <f>+Tabla1[[#This Row],[FECHA ENTRADA]]</f>
        <v>45644</v>
      </c>
      <c r="K1062" s="22">
        <v>45807</v>
      </c>
      <c r="L1062" s="42">
        <f>_xlfn.DAYS(Tabla1[[#This Row],[FECHA FIN ]],Tabla1[[#This Row],[FECHA INICIO]])</f>
        <v>163</v>
      </c>
      <c r="M1062" s="12"/>
      <c r="N1062" s="12">
        <v>300</v>
      </c>
      <c r="O1062" s="28">
        <f>(Tabla1[[#This Row],[COSTO FIJO ]]/30)*Tabla1[[#This Row],[TOTAL DIAS PROYECTO]]+(Tabla1[[#This Row],[COSTO TEMPORAL]])</f>
        <v>1630</v>
      </c>
      <c r="P1062" s="12"/>
      <c r="Q1062" s="12">
        <f>+(Tabla1[[#This Row],[COSTO COCHE]]/30)*Tabla1[[#This Row],[TOTAL DIAS PROYECTO]]</f>
        <v>0</v>
      </c>
      <c r="R1062" s="12">
        <f>+Tabla1[[#This Row],[COSTO TOTAL ALOJAMIENTO]]+Tabla1[[#This Row],[COSTO TOTAL COCHE]]</f>
        <v>1630</v>
      </c>
      <c r="S1062" s="2"/>
      <c r="T1062" s="2" t="s">
        <v>58</v>
      </c>
      <c r="U1062" s="14">
        <v>45644</v>
      </c>
      <c r="V1062" s="43"/>
      <c r="W1062" s="26"/>
      <c r="X1062" s="2"/>
      <c r="Y1062" s="11"/>
      <c r="Z1062" s="2" t="s">
        <v>36</v>
      </c>
      <c r="AA1062" s="13" t="s">
        <v>10345</v>
      </c>
      <c r="AB1062" s="13" t="s">
        <v>10346</v>
      </c>
    </row>
    <row r="1063" spans="1:28">
      <c r="A1063" s="2" t="s">
        <v>9210</v>
      </c>
      <c r="B1063" s="2" t="s">
        <v>28</v>
      </c>
      <c r="C1063" s="11" t="s">
        <v>2447</v>
      </c>
      <c r="D1063" s="2" t="s">
        <v>99</v>
      </c>
      <c r="E1063" s="2" t="s">
        <v>259</v>
      </c>
      <c r="F1063" s="11"/>
      <c r="G1063" s="49" t="s">
        <v>2448</v>
      </c>
      <c r="H1063" s="2" t="s">
        <v>2449</v>
      </c>
      <c r="I1063" s="12" t="s">
        <v>263</v>
      </c>
      <c r="J1063" s="22">
        <f>+Tabla1[[#This Row],[FECHA ENTRADA]]</f>
        <v>45747</v>
      </c>
      <c r="K1063" s="22">
        <v>45807</v>
      </c>
      <c r="L1063" s="23">
        <f>_xlfn.DAYS(Tabla1[[#This Row],[FECHA FIN ]],Tabla1[[#This Row],[FECHA INICIO]])</f>
        <v>60</v>
      </c>
      <c r="M1063" s="12"/>
      <c r="N1063" s="12">
        <v>300</v>
      </c>
      <c r="O1063" s="24">
        <f>(Tabla1[[#This Row],[COSTO FIJO ]]/30)*Tabla1[[#This Row],[TOTAL DIAS PROYECTO]]+(Tabla1[[#This Row],[COSTO TEMPORAL]])</f>
        <v>600</v>
      </c>
      <c r="P1063" s="12">
        <v>133.33333333333334</v>
      </c>
      <c r="Q1063" s="12">
        <f>+(Tabla1[[#This Row],[COSTO COCHE]]/30)*Tabla1[[#This Row],[TOTAL DIAS PROYECTO]]</f>
        <v>266.66666666666669</v>
      </c>
      <c r="R1063" s="12">
        <f>+Tabla1[[#This Row],[COSTO TOTAL ALOJAMIENTO]]+Tabla1[[#This Row],[COSTO TOTAL COCHE]]</f>
        <v>866.66666666666674</v>
      </c>
      <c r="S1063" s="2"/>
      <c r="T1063" s="2" t="s">
        <v>58</v>
      </c>
      <c r="U1063" s="14">
        <v>45747</v>
      </c>
      <c r="V1063" s="25"/>
      <c r="W1063" s="26"/>
      <c r="X1063" s="2"/>
      <c r="Y1063" s="11"/>
      <c r="Z1063" s="2" t="s">
        <v>36</v>
      </c>
      <c r="AA1063" s="13">
        <v>-0.87734000000000001</v>
      </c>
      <c r="AB1063" s="13" t="s">
        <v>10359</v>
      </c>
    </row>
    <row r="1064" spans="1:28" ht="15" customHeight="1">
      <c r="A1064" s="2" t="s">
        <v>8638</v>
      </c>
      <c r="B1064" s="2" t="s">
        <v>28</v>
      </c>
      <c r="C1064" s="11" t="s">
        <v>2450</v>
      </c>
      <c r="D1064" s="2" t="s">
        <v>30</v>
      </c>
      <c r="E1064" s="2" t="s">
        <v>422</v>
      </c>
      <c r="F1064" s="11" t="s">
        <v>2451</v>
      </c>
      <c r="G1064" s="49" t="s">
        <v>2452</v>
      </c>
      <c r="H1064" s="2" t="s">
        <v>2453</v>
      </c>
      <c r="I1064" s="12" t="s">
        <v>2454</v>
      </c>
      <c r="J1064" s="137">
        <f>+Tabla1[[#This Row],[FECHA ENTRADA]]</f>
        <v>45720</v>
      </c>
      <c r="K1064" s="22">
        <v>45821</v>
      </c>
      <c r="L1064" s="138">
        <f>_xlfn.DAYS(Tabla1[[#This Row],[FECHA FIN ]],Tabla1[[#This Row],[FECHA INICIO]])</f>
        <v>101</v>
      </c>
      <c r="M1064" s="12"/>
      <c r="N1064" s="12"/>
      <c r="O1064" s="140">
        <f>(Tabla1[[#This Row],[COSTO FIJO ]]/30)*Tabla1[[#This Row],[TOTAL DIAS PROYECTO]]+(Tabla1[[#This Row],[COSTO TEMPORAL]])</f>
        <v>0</v>
      </c>
      <c r="P1064" s="139"/>
      <c r="Q1064" s="139">
        <f>+(Tabla1[[#This Row],[COSTO COCHE]]/30)*Tabla1[[#This Row],[TOTAL DIAS PROYECTO]]</f>
        <v>0</v>
      </c>
      <c r="R1064" s="139">
        <f>+Tabla1[[#This Row],[COSTO TOTAL ALOJAMIENTO]]+Tabla1[[#This Row],[COSTO TOTAL COCHE]]</f>
        <v>0</v>
      </c>
      <c r="S1064" s="116" t="s">
        <v>403</v>
      </c>
      <c r="T1064" s="116" t="s">
        <v>44</v>
      </c>
      <c r="U1064" s="141">
        <v>45720</v>
      </c>
      <c r="V1064" s="142">
        <v>45747</v>
      </c>
      <c r="W1064" s="143"/>
      <c r="X1064" s="116"/>
      <c r="Y1064" s="171" t="s">
        <v>2455</v>
      </c>
      <c r="Z1064" s="116" t="s">
        <v>36</v>
      </c>
      <c r="AA1064" s="134">
        <v>-326.69799999999998</v>
      </c>
      <c r="AB1064" s="134" t="s">
        <v>10373</v>
      </c>
    </row>
    <row r="1065" spans="1:28" ht="15" customHeight="1">
      <c r="A1065" s="2" t="s">
        <v>9211</v>
      </c>
      <c r="B1065" s="2" t="s">
        <v>28</v>
      </c>
      <c r="C1065" s="11" t="s">
        <v>2456</v>
      </c>
      <c r="D1065" s="2" t="s">
        <v>30</v>
      </c>
      <c r="E1065" s="2" t="s">
        <v>213</v>
      </c>
      <c r="F1065" s="11"/>
      <c r="G1065" s="11"/>
      <c r="H1065" s="2">
        <v>2023</v>
      </c>
      <c r="I1065" s="2" t="s">
        <v>52</v>
      </c>
      <c r="J1065" s="8">
        <f>+Tabla1[[#This Row],[FECHA ENTRADA]]</f>
        <v>45122</v>
      </c>
      <c r="K1065" s="22">
        <v>45807</v>
      </c>
      <c r="L1065" s="13">
        <f>_xlfn.DAYS(Tabla1[[#This Row],[FECHA FIN ]],Tabla1[[#This Row],[FECHA INICIO]])</f>
        <v>685</v>
      </c>
      <c r="M1065" s="12"/>
      <c r="N1065" s="12"/>
      <c r="O1065" s="12">
        <f>(Tabla1[[#This Row],[COSTO FIJO ]]/30)*Tabla1[[#This Row],[TOTAL DIAS PROYECTO]]+(Tabla1[[#This Row],[COSTO TEMPORAL]])</f>
        <v>0</v>
      </c>
      <c r="P1065" s="12"/>
      <c r="Q1065" s="12">
        <f>+(Tabla1[[#This Row],[COSTO COCHE]]/30)*Tabla1[[#This Row],[TOTAL DIAS PROYECTO]]</f>
        <v>0</v>
      </c>
      <c r="R1065" s="12">
        <f>+Tabla1[[#This Row],[COSTO TOTAL ALOJAMIENTO]]+Tabla1[[#This Row],[COSTO TOTAL COCHE]]</f>
        <v>0</v>
      </c>
      <c r="S1065" s="2"/>
      <c r="T1065" s="2" t="s">
        <v>58</v>
      </c>
      <c r="U1065" s="8">
        <v>45122</v>
      </c>
      <c r="V1065" s="14"/>
      <c r="W1065" s="2"/>
      <c r="X1065" s="2"/>
      <c r="Y1065" s="11"/>
      <c r="Z1065" s="2" t="s">
        <v>36</v>
      </c>
      <c r="AA1065" s="13" t="s">
        <v>10349</v>
      </c>
      <c r="AB1065" s="13" t="s">
        <v>10350</v>
      </c>
    </row>
    <row r="1066" spans="1:28" ht="15" customHeight="1">
      <c r="A1066" s="2" t="s">
        <v>8638</v>
      </c>
      <c r="B1066" s="2" t="s">
        <v>28</v>
      </c>
      <c r="C1066" s="11" t="s">
        <v>2457</v>
      </c>
      <c r="D1066" s="2" t="s">
        <v>78</v>
      </c>
      <c r="E1066" s="2" t="s">
        <v>79</v>
      </c>
      <c r="F1066" s="11" t="s">
        <v>142</v>
      </c>
      <c r="G1066" s="11" t="s">
        <v>143</v>
      </c>
      <c r="H1066" s="2" t="s">
        <v>144</v>
      </c>
      <c r="I1066" s="29" t="s">
        <v>145</v>
      </c>
      <c r="J1066" s="8">
        <f>+Tabla1[[#This Row],[FECHA ENTRADA]]</f>
        <v>45346</v>
      </c>
      <c r="K1066" s="8">
        <v>45807</v>
      </c>
      <c r="L1066" s="13">
        <f>_xlfn.DAYS(Tabla1[[#This Row],[FECHA FIN ]],Tabla1[[#This Row],[FECHA INICIO]])</f>
        <v>461</v>
      </c>
      <c r="M1066" s="12"/>
      <c r="N1066" s="12"/>
      <c r="O1066" s="12">
        <f>(Tabla1[[#This Row],[COSTO FIJO ]]/30)*Tabla1[[#This Row],[TOTAL DIAS PROYECTO]]+(Tabla1[[#This Row],[COSTO TEMPORAL]])</f>
        <v>0</v>
      </c>
      <c r="P1066" s="12"/>
      <c r="Q1066" s="12">
        <f>+(Tabla1[[#This Row],[COSTO COCHE]]/30)*Tabla1[[#This Row],[TOTAL DIAS PROYECTO]]</f>
        <v>0</v>
      </c>
      <c r="R1066" s="12">
        <f>+Tabla1[[#This Row],[COSTO TOTAL ALOJAMIENTO]]+Tabla1[[#This Row],[COSTO TOTAL COCHE]]</f>
        <v>0</v>
      </c>
      <c r="S1066" s="2"/>
      <c r="T1066" s="2" t="s">
        <v>44</v>
      </c>
      <c r="U1066" s="14">
        <v>45346</v>
      </c>
      <c r="V1066" s="25">
        <v>45839</v>
      </c>
      <c r="W1066" s="15"/>
      <c r="X1066" s="16"/>
      <c r="Y1066" t="s">
        <v>2458</v>
      </c>
      <c r="Z1066" s="2" t="s">
        <v>36</v>
      </c>
      <c r="AA1066" s="13" t="s">
        <v>10333</v>
      </c>
      <c r="AB1066" s="13" t="s">
        <v>10334</v>
      </c>
    </row>
    <row r="1067" spans="1:28" ht="15" customHeight="1">
      <c r="A1067" s="2" t="s">
        <v>8642</v>
      </c>
      <c r="B1067" s="2" t="s">
        <v>28</v>
      </c>
      <c r="C1067" s="11" t="s">
        <v>1652</v>
      </c>
      <c r="D1067" s="2" t="s">
        <v>30</v>
      </c>
      <c r="E1067" s="2" t="s">
        <v>151</v>
      </c>
      <c r="F1067" s="11"/>
      <c r="G1067" s="49"/>
      <c r="H1067" s="2" t="s">
        <v>1654</v>
      </c>
      <c r="I1067" s="12" t="s">
        <v>152</v>
      </c>
      <c r="J1067" s="22">
        <f>+Tabla1[[#This Row],[FECHA ENTRADA]]</f>
        <v>45712</v>
      </c>
      <c r="K1067" s="8">
        <v>45807</v>
      </c>
      <c r="L1067" s="23">
        <f>_xlfn.DAYS(Tabla1[[#This Row],[FECHA FIN ]],Tabla1[[#This Row],[FECHA INICIO]])</f>
        <v>95</v>
      </c>
      <c r="M1067" s="12"/>
      <c r="N1067" s="12"/>
      <c r="O1067" s="24">
        <f>(Tabla1[[#This Row],[COSTO FIJO ]]/30)*Tabla1[[#This Row],[TOTAL DIAS PROYECTO]]+(Tabla1[[#This Row],[COSTO TEMPORAL]])</f>
        <v>0</v>
      </c>
      <c r="P1067" s="12"/>
      <c r="Q1067" s="12">
        <f>+(Tabla1[[#This Row],[COSTO COCHE]]/30)*Tabla1[[#This Row],[TOTAL DIAS PROYECTO]]</f>
        <v>0</v>
      </c>
      <c r="R1067" s="12">
        <f>+Tabla1[[#This Row],[COSTO TOTAL ALOJAMIENTO]]+Tabla1[[#This Row],[COSTO TOTAL COCHE]]</f>
        <v>0</v>
      </c>
      <c r="S1067" s="2"/>
      <c r="T1067" s="2" t="s">
        <v>58</v>
      </c>
      <c r="U1067" s="14">
        <v>45712</v>
      </c>
      <c r="V1067" s="25"/>
      <c r="W1067" s="26"/>
      <c r="X1067" s="2"/>
      <c r="Y1067" s="11"/>
      <c r="Z1067" s="2" t="s">
        <v>36</v>
      </c>
      <c r="AA1067" s="13" t="s">
        <v>10345</v>
      </c>
      <c r="AB1067" s="13" t="s">
        <v>10346</v>
      </c>
    </row>
    <row r="1068" spans="1:28" ht="15" customHeight="1">
      <c r="A1068" s="2" t="s">
        <v>8637</v>
      </c>
      <c r="B1068" s="2" t="s">
        <v>28</v>
      </c>
      <c r="C1068" s="18" t="s">
        <v>54</v>
      </c>
      <c r="D1068" s="2" t="s">
        <v>30</v>
      </c>
      <c r="E1068" s="2" t="s">
        <v>92</v>
      </c>
      <c r="F1068" s="11" t="s">
        <v>93</v>
      </c>
      <c r="G1068" s="11" t="s">
        <v>94</v>
      </c>
      <c r="H1068" s="2" t="s">
        <v>2459</v>
      </c>
      <c r="I1068" s="12" t="s">
        <v>96</v>
      </c>
      <c r="J1068" s="8">
        <f>+Tabla1[[#This Row],[FECHA ENTRADA]]</f>
        <v>45375</v>
      </c>
      <c r="K1068" s="8">
        <v>45517</v>
      </c>
      <c r="L1068" s="13">
        <f>_xlfn.DAYS(Tabla1[[#This Row],[FECHA FIN ]],Tabla1[[#This Row],[FECHA INICIO]])</f>
        <v>142</v>
      </c>
      <c r="M1068" s="12"/>
      <c r="N1068" s="12">
        <v>312.5</v>
      </c>
      <c r="O1068" s="12">
        <f>(Tabla1[[#This Row],[COSTO FIJO ]]/30)*Tabla1[[#This Row],[TOTAL DIAS PROYECTO]]+(Tabla1[[#This Row],[COSTO TEMPORAL]])</f>
        <v>1479.1666666666665</v>
      </c>
      <c r="P1068" s="12"/>
      <c r="Q1068" s="12">
        <f>+(Tabla1[[#This Row],[COSTO COCHE]]/30)*Tabla1[[#This Row],[TOTAL DIAS PROYECTO]]</f>
        <v>0</v>
      </c>
      <c r="R1068" s="12">
        <f>+Tabla1[[#This Row],[COSTO TOTAL ALOJAMIENTO]]+Tabla1[[#This Row],[COSTO TOTAL COCHE]]</f>
        <v>1479.1666666666665</v>
      </c>
      <c r="S1068" s="2"/>
      <c r="T1068" s="2" t="s">
        <v>35</v>
      </c>
      <c r="U1068" s="14">
        <v>45375</v>
      </c>
      <c r="V1068" s="14"/>
      <c r="W1068" s="15"/>
      <c r="X1068" s="16">
        <v>11</v>
      </c>
      <c r="Y1068" s="18" t="s">
        <v>2460</v>
      </c>
      <c r="Z1068" s="2" t="s">
        <v>36</v>
      </c>
      <c r="AA1068" s="13" t="s">
        <v>10336</v>
      </c>
      <c r="AB1068" s="13" t="s">
        <v>10337</v>
      </c>
    </row>
    <row r="1069" spans="1:28">
      <c r="A1069" s="2" t="s">
        <v>9212</v>
      </c>
      <c r="B1069" s="2" t="s">
        <v>28</v>
      </c>
      <c r="C1069" s="11" t="s">
        <v>2461</v>
      </c>
      <c r="D1069" s="2" t="s">
        <v>30</v>
      </c>
      <c r="E1069" s="2" t="s">
        <v>648</v>
      </c>
      <c r="F1069" s="11"/>
      <c r="G1069" s="49"/>
      <c r="H1069" s="2" t="s">
        <v>2462</v>
      </c>
      <c r="I1069" s="12" t="s">
        <v>96</v>
      </c>
      <c r="J1069" s="22">
        <v>45532</v>
      </c>
      <c r="K1069" s="22">
        <v>45534</v>
      </c>
      <c r="L1069" s="23">
        <f>_xlfn.DAYS(Tabla1[[#This Row],[FECHA FIN ]],Tabla1[[#This Row],[FECHA INICIO]])</f>
        <v>2</v>
      </c>
      <c r="M1069" s="12">
        <v>144.66</v>
      </c>
      <c r="N1069" s="24"/>
      <c r="O1069" s="24">
        <f>(Tabla1[[#This Row],[COSTO FIJO ]]/30)*Tabla1[[#This Row],[TOTAL DIAS PROYECTO]]+(Tabla1[[#This Row],[COSTO TEMPORAL]])</f>
        <v>144.66</v>
      </c>
      <c r="P1069" s="12"/>
      <c r="Q1069" s="12">
        <f>+(Tabla1[[#This Row],[COSTO COCHE]]/30)*Tabla1[[#This Row],[TOTAL DIAS PROYECTO]]</f>
        <v>0</v>
      </c>
      <c r="R1069" s="12">
        <f>+Tabla1[[#This Row],[COSTO TOTAL ALOJAMIENTO]]+Tabla1[[#This Row],[COSTO TOTAL COCHE]]</f>
        <v>144.66</v>
      </c>
      <c r="S1069" s="2"/>
      <c r="T1069" s="2" t="s">
        <v>44</v>
      </c>
      <c r="U1069" s="14">
        <v>45532</v>
      </c>
      <c r="V1069" s="25">
        <v>45534</v>
      </c>
      <c r="W1069" s="26"/>
      <c r="X1069" s="2"/>
      <c r="Y1069" s="11"/>
      <c r="Z1069" s="2" t="s">
        <v>36</v>
      </c>
      <c r="AA1069" s="13" t="s">
        <v>10387</v>
      </c>
      <c r="AB1069" s="13" t="s">
        <v>10388</v>
      </c>
    </row>
    <row r="1070" spans="1:28" ht="15" customHeight="1">
      <c r="A1070" s="2" t="s">
        <v>8687</v>
      </c>
      <c r="B1070" s="2" t="s">
        <v>28</v>
      </c>
      <c r="C1070" s="11" t="s">
        <v>287</v>
      </c>
      <c r="D1070" s="2" t="s">
        <v>99</v>
      </c>
      <c r="E1070" s="2" t="s">
        <v>213</v>
      </c>
      <c r="F1070" s="11" t="s">
        <v>557</v>
      </c>
      <c r="G1070" s="11" t="s">
        <v>558</v>
      </c>
      <c r="H1070" s="2" t="s">
        <v>2463</v>
      </c>
      <c r="I1070" s="12" t="s">
        <v>52</v>
      </c>
      <c r="J1070" s="41">
        <f>+Tabla1[[#This Row],[FECHA ENTRADA]]</f>
        <v>45711</v>
      </c>
      <c r="K1070" s="41">
        <v>45807</v>
      </c>
      <c r="L1070" s="42">
        <f>_xlfn.DAYS(Tabla1[[#This Row],[FECHA FIN ]],Tabla1[[#This Row],[FECHA INICIO]])</f>
        <v>96</v>
      </c>
      <c r="M1070" s="12"/>
      <c r="N1070" s="12"/>
      <c r="O1070" s="28">
        <f>(Tabla1[[#This Row],[COSTO FIJO ]]/30)*Tabla1[[#This Row],[TOTAL DIAS PROYECTO]]+(Tabla1[[#This Row],[COSTO TEMPORAL]])</f>
        <v>0</v>
      </c>
      <c r="P1070" s="12"/>
      <c r="Q1070" s="12">
        <f>+(Tabla1[[#This Row],[COSTO COCHE]]/30)*Tabla1[[#This Row],[TOTAL DIAS PROYECTO]]</f>
        <v>0</v>
      </c>
      <c r="R1070" s="12">
        <f>+Tabla1[[#This Row],[COSTO TOTAL ALOJAMIENTO]]+Tabla1[[#This Row],[COSTO TOTAL COCHE]]</f>
        <v>0</v>
      </c>
      <c r="S1070" s="2"/>
      <c r="T1070" s="2" t="s">
        <v>35</v>
      </c>
      <c r="U1070" s="14">
        <v>45711</v>
      </c>
      <c r="V1070" s="43"/>
      <c r="W1070" s="172"/>
      <c r="X1070" s="2">
        <v>20</v>
      </c>
      <c r="Y1070" s="11"/>
      <c r="Z1070" s="2" t="s">
        <v>36</v>
      </c>
      <c r="AA1070" s="13" t="s">
        <v>10349</v>
      </c>
      <c r="AB1070" s="13" t="s">
        <v>10350</v>
      </c>
    </row>
    <row r="1071" spans="1:28" ht="15" customHeight="1">
      <c r="A1071" s="2" t="s">
        <v>9213</v>
      </c>
      <c r="B1071" s="2" t="s">
        <v>28</v>
      </c>
      <c r="C1071" s="169" t="s">
        <v>2464</v>
      </c>
      <c r="D1071" s="2" t="s">
        <v>99</v>
      </c>
      <c r="E1071" s="2" t="s">
        <v>259</v>
      </c>
      <c r="F1071" s="11" t="s">
        <v>260</v>
      </c>
      <c r="G1071" s="11" t="s">
        <v>261</v>
      </c>
      <c r="H1071" s="2" t="s">
        <v>2465</v>
      </c>
      <c r="I1071" s="12" t="s">
        <v>263</v>
      </c>
      <c r="J1071" s="41">
        <f>+Tabla1[[#This Row],[FECHA ENTRADA]]</f>
        <v>45774</v>
      </c>
      <c r="K1071" s="22">
        <v>45807</v>
      </c>
      <c r="L1071" s="23">
        <f>_xlfn.DAYS(Tabla1[[#This Row],[FECHA FIN ]],Tabla1[[#This Row],[FECHA INICIO]])</f>
        <v>33</v>
      </c>
      <c r="M1071" s="12"/>
      <c r="N1071" s="12"/>
      <c r="O1071" s="24">
        <f>(Tabla1[[#This Row],[COSTO FIJO ]]/30)*Tabla1[[#This Row],[TOTAL DIAS PROYECTO]]+(Tabla1[[#This Row],[COSTO TEMPORAL]])</f>
        <v>0</v>
      </c>
      <c r="P1071" s="12">
        <v>133.33333333333334</v>
      </c>
      <c r="Q1071" s="12">
        <f>+(Tabla1[[#This Row],[COSTO COCHE]]/30)*Tabla1[[#This Row],[TOTAL DIAS PROYECTO]]</f>
        <v>146.66666666666669</v>
      </c>
      <c r="R1071" s="12">
        <f>+Tabla1[[#This Row],[COSTO TOTAL ALOJAMIENTO]]+Tabla1[[#This Row],[COSTO TOTAL COCHE]]</f>
        <v>146.66666666666669</v>
      </c>
      <c r="S1071" s="2"/>
      <c r="T1071" s="2" t="s">
        <v>35</v>
      </c>
      <c r="U1071" s="14">
        <v>45774</v>
      </c>
      <c r="V1071" s="25"/>
      <c r="W1071" s="26"/>
      <c r="X1071" s="2">
        <v>20</v>
      </c>
      <c r="Y1071" s="11" t="s">
        <v>2466</v>
      </c>
      <c r="Z1071" s="2" t="s">
        <v>36</v>
      </c>
      <c r="AA1071" s="13">
        <v>-0.87734000000000001</v>
      </c>
      <c r="AB1071" s="13" t="s">
        <v>10359</v>
      </c>
    </row>
    <row r="1072" spans="1:28" ht="15" customHeight="1">
      <c r="A1072" s="2" t="s">
        <v>9214</v>
      </c>
      <c r="B1072" s="2" t="s">
        <v>28</v>
      </c>
      <c r="C1072" s="11" t="s">
        <v>2467</v>
      </c>
      <c r="D1072" s="2" t="s">
        <v>30</v>
      </c>
      <c r="E1072" s="2" t="s">
        <v>213</v>
      </c>
      <c r="F1072" s="11" t="s">
        <v>1971</v>
      </c>
      <c r="G1072" s="11" t="s">
        <v>558</v>
      </c>
      <c r="H1072" s="2" t="s">
        <v>1975</v>
      </c>
      <c r="I1072" s="2" t="s">
        <v>52</v>
      </c>
      <c r="J1072" s="8">
        <f>+Tabla1[[#This Row],[FECHA ENTRADA]]</f>
        <v>45473</v>
      </c>
      <c r="K1072" s="8">
        <v>45807</v>
      </c>
      <c r="L1072" s="13">
        <f>_xlfn.DAYS(Tabla1[[#This Row],[FECHA FIN ]],Tabla1[[#This Row],[FECHA INICIO]])</f>
        <v>334</v>
      </c>
      <c r="M1072" s="12"/>
      <c r="N1072" s="12">
        <v>750</v>
      </c>
      <c r="O1072" s="12">
        <f>(Tabla1[[#This Row],[COSTO FIJO ]]/30)*Tabla1[[#This Row],[TOTAL DIAS PROYECTO]]+(Tabla1[[#This Row],[COSTO TEMPORAL]])</f>
        <v>8350</v>
      </c>
      <c r="P1072" s="12"/>
      <c r="Q1072" s="12">
        <f>+(Tabla1[[#This Row],[COSTO COCHE]]/30)*Tabla1[[#This Row],[TOTAL DIAS PROYECTO]]</f>
        <v>0</v>
      </c>
      <c r="R1072" s="12">
        <f>+Tabla1[[#This Row],[COSTO TOTAL ALOJAMIENTO]]+Tabla1[[#This Row],[COSTO TOTAL COCHE]]</f>
        <v>8350</v>
      </c>
      <c r="S1072" s="2"/>
      <c r="T1072" s="2" t="s">
        <v>35</v>
      </c>
      <c r="U1072" s="14">
        <v>45473</v>
      </c>
      <c r="V1072" s="14"/>
      <c r="W1072" s="26">
        <v>1500</v>
      </c>
      <c r="X1072" s="2">
        <v>29</v>
      </c>
      <c r="Y1072" s="11"/>
      <c r="Z1072" s="33" t="s">
        <v>36</v>
      </c>
      <c r="AA1072" s="13" t="s">
        <v>10349</v>
      </c>
      <c r="AB1072" s="13" t="s">
        <v>10350</v>
      </c>
    </row>
    <row r="1073" spans="1:28" ht="15" customHeight="1">
      <c r="A1073" s="2" t="s">
        <v>9036</v>
      </c>
      <c r="B1073" s="2" t="s">
        <v>368</v>
      </c>
      <c r="C1073" s="11" t="s">
        <v>1765</v>
      </c>
      <c r="D1073" s="2" t="s">
        <v>30</v>
      </c>
      <c r="E1073" s="2" t="s">
        <v>734</v>
      </c>
      <c r="F1073" s="11" t="s">
        <v>2468</v>
      </c>
      <c r="G1073" s="49"/>
      <c r="H1073" s="2" t="s">
        <v>1766</v>
      </c>
      <c r="I1073" s="12" t="s">
        <v>152</v>
      </c>
      <c r="J1073" s="22">
        <f>+Tabla1[[#This Row],[FECHA ENTRADA]]</f>
        <v>45729</v>
      </c>
      <c r="K1073" s="22">
        <v>45807</v>
      </c>
      <c r="L1073" s="23">
        <f>_xlfn.DAYS(Tabla1[[#This Row],[FECHA FIN ]],Tabla1[[#This Row],[FECHA INICIO]])</f>
        <v>78</v>
      </c>
      <c r="M1073" s="12"/>
      <c r="N1073" s="12"/>
      <c r="O1073" s="24">
        <f>(Tabla1[[#This Row],[COSTO FIJO ]]/30)*Tabla1[[#This Row],[TOTAL DIAS PROYECTO]]+(Tabla1[[#This Row],[COSTO TEMPORAL]])</f>
        <v>0</v>
      </c>
      <c r="P1073" s="12"/>
      <c r="Q1073" s="12">
        <f>+(Tabla1[[#This Row],[COSTO COCHE]]/30)*Tabla1[[#This Row],[TOTAL DIAS PROYECTO]]</f>
        <v>0</v>
      </c>
      <c r="R1073" s="12">
        <f>+Tabla1[[#This Row],[COSTO TOTAL ALOJAMIENTO]]+Tabla1[[#This Row],[COSTO TOTAL COCHE]]</f>
        <v>0</v>
      </c>
      <c r="S1073" s="2"/>
      <c r="T1073" s="2" t="s">
        <v>35</v>
      </c>
      <c r="U1073" s="14">
        <v>45729</v>
      </c>
      <c r="V1073" s="25"/>
      <c r="W1073" s="26"/>
      <c r="X1073" s="2"/>
      <c r="Y1073" s="11"/>
      <c r="Z1073" s="2" t="s">
        <v>36</v>
      </c>
      <c r="AA1073" s="13" t="s">
        <v>10396</v>
      </c>
      <c r="AB1073" s="13" t="s">
        <v>10397</v>
      </c>
    </row>
    <row r="1074" spans="1:28">
      <c r="A1074" s="2" t="s">
        <v>9215</v>
      </c>
      <c r="B1074" s="2" t="s">
        <v>28</v>
      </c>
      <c r="C1074" s="11" t="s">
        <v>2469</v>
      </c>
      <c r="D1074" s="2" t="s">
        <v>30</v>
      </c>
      <c r="E1074" s="2" t="s">
        <v>734</v>
      </c>
      <c r="F1074" s="11" t="s">
        <v>2468</v>
      </c>
      <c r="G1074" s="11"/>
      <c r="H1074" s="2" t="s">
        <v>2413</v>
      </c>
      <c r="I1074" s="12" t="s">
        <v>152</v>
      </c>
      <c r="J1074" s="8">
        <f>+Tabla1[[#This Row],[FECHA ENTRADA]]</f>
        <v>45410</v>
      </c>
      <c r="K1074" s="22">
        <v>45807</v>
      </c>
      <c r="L1074" s="13">
        <f>_xlfn.DAYS(Tabla1[[#This Row],[FECHA FIN ]],Tabla1[[#This Row],[FECHA INICIO]])</f>
        <v>397</v>
      </c>
      <c r="M1074" s="12"/>
      <c r="N1074" s="12"/>
      <c r="O1074" s="12">
        <f>(Tabla1[[#This Row],[COSTO FIJO ]]/30)*Tabla1[[#This Row],[TOTAL DIAS PROYECTO]]+(Tabla1[[#This Row],[COSTO TEMPORAL]])</f>
        <v>0</v>
      </c>
      <c r="P1074" s="12"/>
      <c r="Q1074" s="12">
        <f>+(Tabla1[[#This Row],[COSTO COCHE]]/30)*Tabla1[[#This Row],[TOTAL DIAS PROYECTO]]</f>
        <v>0</v>
      </c>
      <c r="R1074" s="12">
        <f>+Tabla1[[#This Row],[COSTO TOTAL ALOJAMIENTO]]+Tabla1[[#This Row],[COSTO TOTAL COCHE]]</f>
        <v>0</v>
      </c>
      <c r="S1074" s="2"/>
      <c r="T1074" s="2" t="s">
        <v>35</v>
      </c>
      <c r="U1074" s="14">
        <v>45410</v>
      </c>
      <c r="V1074" s="14"/>
      <c r="W1074" s="2"/>
      <c r="X1074" s="2"/>
      <c r="Y1074" s="11" t="s">
        <v>2470</v>
      </c>
      <c r="Z1074" s="2" t="s">
        <v>36</v>
      </c>
      <c r="AA1074" s="13" t="s">
        <v>10396</v>
      </c>
      <c r="AB1074" s="13" t="s">
        <v>10397</v>
      </c>
    </row>
    <row r="1075" spans="1:28" ht="15" customHeight="1">
      <c r="A1075" s="2" t="s">
        <v>9216</v>
      </c>
      <c r="B1075" s="2" t="s">
        <v>368</v>
      </c>
      <c r="C1075" s="11" t="s">
        <v>2471</v>
      </c>
      <c r="D1075" s="2" t="s">
        <v>30</v>
      </c>
      <c r="E1075" s="2" t="s">
        <v>734</v>
      </c>
      <c r="F1075" s="11" t="s">
        <v>2468</v>
      </c>
      <c r="G1075" s="49"/>
      <c r="H1075" s="2" t="s">
        <v>2472</v>
      </c>
      <c r="I1075" s="12" t="s">
        <v>152</v>
      </c>
      <c r="J1075" s="22">
        <f>+Tabla1[[#This Row],[FECHA ENTRADA]]</f>
        <v>45641</v>
      </c>
      <c r="K1075" s="22">
        <v>45807</v>
      </c>
      <c r="L1075" s="23">
        <f>_xlfn.DAYS(Tabla1[[#This Row],[FECHA FIN ]],Tabla1[[#This Row],[FECHA INICIO]])</f>
        <v>166</v>
      </c>
      <c r="M1075" s="12"/>
      <c r="N1075" s="12"/>
      <c r="O1075" s="24">
        <f>(Tabla1[[#This Row],[COSTO FIJO ]]/30)*Tabla1[[#This Row],[TOTAL DIAS PROYECTO]]+(Tabla1[[#This Row],[COSTO TEMPORAL]])</f>
        <v>0</v>
      </c>
      <c r="P1075" s="12"/>
      <c r="Q1075" s="12">
        <f>+(Tabla1[[#This Row],[COSTO COCHE]]/30)*Tabla1[[#This Row],[TOTAL DIAS PROYECTO]]</f>
        <v>0</v>
      </c>
      <c r="R1075" s="12">
        <f>+Tabla1[[#This Row],[COSTO TOTAL ALOJAMIENTO]]+Tabla1[[#This Row],[COSTO TOTAL COCHE]]</f>
        <v>0</v>
      </c>
      <c r="S1075" s="2"/>
      <c r="T1075" s="2" t="s">
        <v>35</v>
      </c>
      <c r="U1075" s="14">
        <v>45641</v>
      </c>
      <c r="V1075" s="25"/>
      <c r="W1075" s="26"/>
      <c r="X1075" s="2"/>
      <c r="Y1075" s="11"/>
      <c r="Z1075" s="2" t="s">
        <v>36</v>
      </c>
      <c r="AA1075" s="13" t="s">
        <v>10396</v>
      </c>
      <c r="AB1075" s="13" t="s">
        <v>10397</v>
      </c>
    </row>
    <row r="1076" spans="1:28" ht="15" customHeight="1">
      <c r="A1076" s="2" t="s">
        <v>9150</v>
      </c>
      <c r="B1076" s="2" t="s">
        <v>28</v>
      </c>
      <c r="C1076" s="11" t="s">
        <v>2230</v>
      </c>
      <c r="D1076" s="2" t="s">
        <v>30</v>
      </c>
      <c r="E1076" s="2" t="s">
        <v>245</v>
      </c>
      <c r="F1076" s="11" t="s">
        <v>1021</v>
      </c>
      <c r="G1076" s="46" t="s">
        <v>1022</v>
      </c>
      <c r="H1076" s="2" t="s">
        <v>2199</v>
      </c>
      <c r="I1076" s="12" t="s">
        <v>2473</v>
      </c>
      <c r="J1076" s="22">
        <f>+Tabla1[[#This Row],[FECHA ENTRADA]]</f>
        <v>45697</v>
      </c>
      <c r="K1076" s="22">
        <v>45821</v>
      </c>
      <c r="L1076" s="23">
        <f>_xlfn.DAYS(Tabla1[[#This Row],[FECHA FIN ]],Tabla1[[#This Row],[FECHA INICIO]])</f>
        <v>124</v>
      </c>
      <c r="M1076" s="12"/>
      <c r="N1076" s="24"/>
      <c r="O1076" s="24">
        <f>(Tabla1[[#This Row],[COSTO FIJO ]]/30)*Tabla1[[#This Row],[TOTAL DIAS PROYECTO]]+(Tabla1[[#This Row],[COSTO TEMPORAL]])</f>
        <v>0</v>
      </c>
      <c r="P1076" s="12">
        <f>1600/22</f>
        <v>72.727272727272734</v>
      </c>
      <c r="Q1076" s="12">
        <f>+(Tabla1[[#This Row],[COSTO COCHE]]/30)*Tabla1[[#This Row],[TOTAL DIAS PROYECTO]]</f>
        <v>300.60606060606062</v>
      </c>
      <c r="R1076" s="12">
        <f>+Tabla1[[#This Row],[COSTO TOTAL ALOJAMIENTO]]+Tabla1[[#This Row],[COSTO TOTAL COCHE]]</f>
        <v>300.60606060606062</v>
      </c>
      <c r="S1076" s="2"/>
      <c r="T1076" s="2" t="s">
        <v>35</v>
      </c>
      <c r="U1076" s="14">
        <v>45697</v>
      </c>
      <c r="V1076" s="79"/>
      <c r="W1076" s="26"/>
      <c r="X1076" s="2">
        <v>1</v>
      </c>
      <c r="Y1076" s="11"/>
      <c r="Z1076" s="2" t="s">
        <v>36</v>
      </c>
      <c r="AA1076" s="13" t="s">
        <v>10355</v>
      </c>
      <c r="AB1076" s="13" t="s">
        <v>10356</v>
      </c>
    </row>
    <row r="1077" spans="1:28">
      <c r="A1077" s="2" t="s">
        <v>8961</v>
      </c>
      <c r="B1077" s="2" t="s">
        <v>28</v>
      </c>
      <c r="C1077" s="11" t="s">
        <v>1498</v>
      </c>
      <c r="D1077" s="2" t="s">
        <v>99</v>
      </c>
      <c r="E1077" s="2" t="s">
        <v>245</v>
      </c>
      <c r="F1077" s="11" t="s">
        <v>1021</v>
      </c>
      <c r="G1077" s="49" t="s">
        <v>1022</v>
      </c>
      <c r="H1077" s="2" t="s">
        <v>2474</v>
      </c>
      <c r="I1077" s="12" t="s">
        <v>249</v>
      </c>
      <c r="J1077" s="22">
        <f>+Tabla1[[#This Row],[FECHA ENTRADA]]</f>
        <v>45699</v>
      </c>
      <c r="K1077" s="22">
        <v>45734</v>
      </c>
      <c r="L1077" s="23">
        <f>_xlfn.DAYS(Tabla1[[#This Row],[FECHA FIN ]],Tabla1[[#This Row],[FECHA INICIO]])</f>
        <v>35</v>
      </c>
      <c r="M1077" s="12"/>
      <c r="N1077" s="24">
        <v>398.33333333333331</v>
      </c>
      <c r="O1077" s="24">
        <f>(Tabla1[[#This Row],[COSTO FIJO ]]/30)*Tabla1[[#This Row],[TOTAL DIAS PROYECTO]]+(Tabla1[[#This Row],[COSTO TEMPORAL]])</f>
        <v>464.72222222222217</v>
      </c>
      <c r="P1077" s="12">
        <f>1600/22</f>
        <v>72.727272727272734</v>
      </c>
      <c r="Q1077" s="12">
        <f>+(Tabla1[[#This Row],[COSTO COCHE]]/30)*Tabla1[[#This Row],[TOTAL DIAS PROYECTO]]</f>
        <v>84.848484848484844</v>
      </c>
      <c r="R1077" s="12">
        <f>+Tabla1[[#This Row],[COSTO TOTAL ALOJAMIENTO]]+Tabla1[[#This Row],[COSTO TOTAL COCHE]]</f>
        <v>549.57070707070704</v>
      </c>
      <c r="S1077" s="2"/>
      <c r="T1077" s="2" t="s">
        <v>35</v>
      </c>
      <c r="U1077" s="14">
        <v>45699</v>
      </c>
      <c r="V1077" s="25">
        <v>45706</v>
      </c>
      <c r="W1077" s="26"/>
      <c r="X1077" s="2">
        <v>1</v>
      </c>
      <c r="Y1077" s="11"/>
      <c r="Z1077" s="2" t="s">
        <v>36</v>
      </c>
      <c r="AA1077" s="13" t="s">
        <v>10355</v>
      </c>
      <c r="AB1077" s="13" t="s">
        <v>10356</v>
      </c>
    </row>
    <row r="1078" spans="1:28">
      <c r="A1078" s="2" t="s">
        <v>8638</v>
      </c>
      <c r="B1078" s="2" t="s">
        <v>28</v>
      </c>
      <c r="C1078" s="11" t="s">
        <v>2475</v>
      </c>
      <c r="D1078" s="2" t="s">
        <v>30</v>
      </c>
      <c r="E1078" s="2" t="s">
        <v>31</v>
      </c>
      <c r="F1078" s="11"/>
      <c r="G1078" s="11"/>
      <c r="H1078" s="2">
        <v>2023</v>
      </c>
      <c r="I1078" s="2" t="s">
        <v>385</v>
      </c>
      <c r="J1078" s="8">
        <v>45056</v>
      </c>
      <c r="K1078" s="8">
        <v>45808</v>
      </c>
      <c r="L1078" s="13">
        <f>_xlfn.DAYS(Tabla1[[#This Row],[FECHA FIN ]],Tabla1[[#This Row],[FECHA INICIO]])</f>
        <v>752</v>
      </c>
      <c r="M1078" s="2"/>
      <c r="N1078" s="12">
        <v>300</v>
      </c>
      <c r="O1078" s="12">
        <f>(Tabla1[[#This Row],[COSTO FIJO ]]/30)*Tabla1[[#This Row],[TOTAL DIAS PROYECTO]]+(Tabla1[[#This Row],[COSTO TEMPORAL]])</f>
        <v>7520</v>
      </c>
      <c r="P1078" s="12"/>
      <c r="Q1078" s="12">
        <f>+(Tabla1[[#This Row],[COSTO COCHE]]/30)*Tabla1[[#This Row],[TOTAL DIAS PROYECTO]]</f>
        <v>0</v>
      </c>
      <c r="R1078" s="12">
        <f>+Tabla1[[#This Row],[COSTO TOTAL ALOJAMIENTO]]+Tabla1[[#This Row],[COSTO TOTAL COCHE]]</f>
        <v>7520</v>
      </c>
      <c r="S1078" s="2"/>
      <c r="T1078" s="2" t="s">
        <v>58</v>
      </c>
      <c r="U1078" s="14"/>
      <c r="V1078" s="14"/>
      <c r="W1078" s="15"/>
      <c r="X1078" s="16"/>
      <c r="Y1078" s="11" t="s">
        <v>2476</v>
      </c>
      <c r="Z1078" s="2" t="s">
        <v>36</v>
      </c>
      <c r="AA1078" s="13" t="s">
        <v>10323</v>
      </c>
      <c r="AB1078" s="13" t="s">
        <v>10324</v>
      </c>
    </row>
    <row r="1079" spans="1:28">
      <c r="A1079" s="2" t="s">
        <v>9217</v>
      </c>
      <c r="B1079" s="2" t="s">
        <v>368</v>
      </c>
      <c r="C1079" s="11" t="s">
        <v>2477</v>
      </c>
      <c r="D1079" s="2" t="s">
        <v>30</v>
      </c>
      <c r="E1079" s="2" t="s">
        <v>985</v>
      </c>
      <c r="F1079" s="11"/>
      <c r="G1079" s="49"/>
      <c r="H1079" s="2" t="s">
        <v>2478</v>
      </c>
      <c r="I1079" s="12" t="s">
        <v>989</v>
      </c>
      <c r="J1079" s="22">
        <f>+Tabla1[[#This Row],[FECHA ENTRADA]]</f>
        <v>45745</v>
      </c>
      <c r="K1079" s="41">
        <v>45808</v>
      </c>
      <c r="L1079" s="23">
        <f>_xlfn.DAYS(Tabla1[[#This Row],[FECHA FIN ]],Tabla1[[#This Row],[FECHA INICIO]])</f>
        <v>63</v>
      </c>
      <c r="M1079" s="12"/>
      <c r="N1079" s="12">
        <v>300</v>
      </c>
      <c r="O1079" s="24">
        <f>(Tabla1[[#This Row],[COSTO FIJO ]]/30)*Tabla1[[#This Row],[TOTAL DIAS PROYECTO]]+(Tabla1[[#This Row],[COSTO TEMPORAL]])</f>
        <v>630</v>
      </c>
      <c r="P1079" s="12"/>
      <c r="Q1079" s="12">
        <f>+(Tabla1[[#This Row],[COSTO COCHE]]/30)*Tabla1[[#This Row],[TOTAL DIAS PROYECTO]]</f>
        <v>0</v>
      </c>
      <c r="R1079" s="12">
        <f>+Tabla1[[#This Row],[COSTO TOTAL ALOJAMIENTO]]+Tabla1[[#This Row],[COSTO TOTAL COCHE]]</f>
        <v>630</v>
      </c>
      <c r="S1079" s="2"/>
      <c r="T1079" s="14" t="s">
        <v>58</v>
      </c>
      <c r="U1079" s="14">
        <v>45745</v>
      </c>
      <c r="V1079" s="98"/>
      <c r="W1079" s="2"/>
      <c r="X1079" s="2"/>
      <c r="Y1079" s="11"/>
      <c r="Z1079" s="2" t="s">
        <v>36</v>
      </c>
      <c r="AA1079" s="13" t="s">
        <v>10407</v>
      </c>
      <c r="AB1079" s="13" t="s">
        <v>10408</v>
      </c>
    </row>
    <row r="1080" spans="1:28" ht="15" customHeight="1">
      <c r="A1080" s="2" t="s">
        <v>8887</v>
      </c>
      <c r="B1080" s="2" t="s">
        <v>28</v>
      </c>
      <c r="C1080" s="11" t="s">
        <v>1169</v>
      </c>
      <c r="D1080" s="2" t="s">
        <v>30</v>
      </c>
      <c r="E1080" s="2" t="s">
        <v>1393</v>
      </c>
      <c r="F1080" s="11" t="s">
        <v>2259</v>
      </c>
      <c r="G1080" s="21" t="s">
        <v>2260</v>
      </c>
      <c r="H1080" s="2" t="s">
        <v>1396</v>
      </c>
      <c r="I1080" s="12" t="s">
        <v>1067</v>
      </c>
      <c r="J1080" s="22">
        <f>+Tabla1[[#This Row],[FECHA ENTRADA]]</f>
        <v>45793</v>
      </c>
      <c r="K1080" s="8">
        <v>45808</v>
      </c>
      <c r="L1080" s="42">
        <f>_xlfn.DAYS(Tabla1[[#This Row],[FECHA FIN ]],Tabla1[[#This Row],[FECHA INICIO]])</f>
        <v>15</v>
      </c>
      <c r="M1080" s="12">
        <f>(840.07/3)+(84.997/3)</f>
        <v>308.35566666666671</v>
      </c>
      <c r="N1080" s="20"/>
      <c r="O1080" s="28">
        <f>(Tabla1[[#This Row],[COSTO FIJO ]]/30)*Tabla1[[#This Row],[TOTAL DIAS PROYECTO]]+(Tabla1[[#This Row],[COSTO TEMPORAL]])</f>
        <v>308.35566666666671</v>
      </c>
      <c r="P1080" s="12"/>
      <c r="Q1080" s="12">
        <f>+(Tabla1[[#This Row],[COSTO COCHE]]/30)*Tabla1[[#This Row],[TOTAL DIAS PROYECTO]]</f>
        <v>0</v>
      </c>
      <c r="R1080" s="12">
        <f>+Tabla1[[#This Row],[COSTO TOTAL ALOJAMIENTO]]+Tabla1[[#This Row],[COSTO TOTAL COCHE]]</f>
        <v>308.35566666666671</v>
      </c>
      <c r="S1080" s="2"/>
      <c r="T1080" s="2" t="s">
        <v>44</v>
      </c>
      <c r="U1080" s="14">
        <v>45793</v>
      </c>
      <c r="V1080" s="25">
        <v>45808</v>
      </c>
      <c r="W1080" s="26"/>
      <c r="X1080" s="2"/>
      <c r="Y1080" s="11" t="s">
        <v>2479</v>
      </c>
      <c r="Z1080" s="2" t="s">
        <v>36</v>
      </c>
      <c r="AA1080" s="13" t="s">
        <v>10416</v>
      </c>
      <c r="AB1080" s="13" t="s">
        <v>10417</v>
      </c>
    </row>
    <row r="1081" spans="1:28" ht="15" customHeight="1">
      <c r="A1081" s="2" t="s">
        <v>8889</v>
      </c>
      <c r="B1081" s="2" t="s">
        <v>28</v>
      </c>
      <c r="C1081" s="11" t="s">
        <v>1171</v>
      </c>
      <c r="D1081" s="2" t="s">
        <v>30</v>
      </c>
      <c r="E1081" s="2" t="s">
        <v>1393</v>
      </c>
      <c r="F1081" s="11" t="s">
        <v>2259</v>
      </c>
      <c r="G1081" s="21" t="s">
        <v>2260</v>
      </c>
      <c r="H1081" s="2" t="s">
        <v>1396</v>
      </c>
      <c r="I1081" s="12" t="s">
        <v>1067</v>
      </c>
      <c r="J1081" s="22">
        <f>+Tabla1[[#This Row],[FECHA ENTRADA]]</f>
        <v>45793</v>
      </c>
      <c r="K1081" s="8">
        <v>45808</v>
      </c>
      <c r="L1081" s="42">
        <f>_xlfn.DAYS(Tabla1[[#This Row],[FECHA FIN ]],Tabla1[[#This Row],[FECHA INICIO]])</f>
        <v>15</v>
      </c>
      <c r="M1081" s="12">
        <f>(840.07/3)+(84.997/3)</f>
        <v>308.35566666666671</v>
      </c>
      <c r="N1081" s="20"/>
      <c r="O1081" s="28">
        <f>(Tabla1[[#This Row],[COSTO FIJO ]]/30)*Tabla1[[#This Row],[TOTAL DIAS PROYECTO]]+(Tabla1[[#This Row],[COSTO TEMPORAL]])</f>
        <v>308.35566666666671</v>
      </c>
      <c r="P1081" s="12"/>
      <c r="Q1081" s="12">
        <f>+(Tabla1[[#This Row],[COSTO COCHE]]/30)*Tabla1[[#This Row],[TOTAL DIAS PROYECTO]]</f>
        <v>0</v>
      </c>
      <c r="R1081" s="12">
        <f>+Tabla1[[#This Row],[COSTO TOTAL ALOJAMIENTO]]+Tabla1[[#This Row],[COSTO TOTAL COCHE]]</f>
        <v>308.35566666666671</v>
      </c>
      <c r="S1081" s="2"/>
      <c r="T1081" s="2" t="s">
        <v>44</v>
      </c>
      <c r="U1081" s="14">
        <v>45793</v>
      </c>
      <c r="V1081" s="25">
        <v>45808</v>
      </c>
      <c r="W1081" s="26"/>
      <c r="X1081" s="2"/>
      <c r="Y1081" s="11" t="s">
        <v>2479</v>
      </c>
      <c r="Z1081" s="2" t="s">
        <v>36</v>
      </c>
      <c r="AA1081" s="13" t="s">
        <v>10416</v>
      </c>
      <c r="AB1081" s="13" t="s">
        <v>10417</v>
      </c>
    </row>
    <row r="1082" spans="1:28" ht="15" customHeight="1">
      <c r="A1082" s="2" t="s">
        <v>8642</v>
      </c>
      <c r="B1082" s="2" t="s">
        <v>368</v>
      </c>
      <c r="C1082" s="11" t="s">
        <v>2186</v>
      </c>
      <c r="D1082" s="2" t="s">
        <v>99</v>
      </c>
      <c r="E1082" s="2" t="s">
        <v>855</v>
      </c>
      <c r="F1082" s="11" t="s">
        <v>2480</v>
      </c>
      <c r="G1082" s="46" t="s">
        <v>2481</v>
      </c>
      <c r="H1082" s="2" t="s">
        <v>2187</v>
      </c>
      <c r="I1082" s="12" t="s">
        <v>1288</v>
      </c>
      <c r="J1082" s="41">
        <f>+Tabla1[[#This Row],[FECHA ENTRADA]]</f>
        <v>45782</v>
      </c>
      <c r="K1082" s="41">
        <v>45808</v>
      </c>
      <c r="L1082" s="42">
        <f>_xlfn.DAYS(Tabla1[[#This Row],[FECHA FIN ]],Tabla1[[#This Row],[FECHA INICIO]])</f>
        <v>26</v>
      </c>
      <c r="M1082" s="12"/>
      <c r="N1082" s="12"/>
      <c r="O1082" s="28">
        <f>(Tabla1[[#This Row],[COSTO FIJO ]]/30)*Tabla1[[#This Row],[TOTAL DIAS PROYECTO]]+(Tabla1[[#This Row],[COSTO TEMPORAL]])</f>
        <v>0</v>
      </c>
      <c r="P1082" s="12"/>
      <c r="Q1082" s="12">
        <f>+(Tabla1[[#This Row],[COSTO COCHE]]/30)*Tabla1[[#This Row],[TOTAL DIAS PROYECTO]]</f>
        <v>0</v>
      </c>
      <c r="R1082" s="12">
        <f>+Tabla1[[#This Row],[COSTO TOTAL ALOJAMIENTO]]+Tabla1[[#This Row],[COSTO TOTAL COCHE]]</f>
        <v>0</v>
      </c>
      <c r="S1082" s="2"/>
      <c r="T1082" s="14" t="s">
        <v>44</v>
      </c>
      <c r="U1082" s="14">
        <v>45782</v>
      </c>
      <c r="V1082" s="25">
        <v>45809</v>
      </c>
      <c r="W1082" s="2"/>
      <c r="X1082" s="2"/>
      <c r="Y1082" s="11"/>
      <c r="Z1082" s="2" t="s">
        <v>36</v>
      </c>
      <c r="AA1082" s="13" t="s">
        <v>10401</v>
      </c>
      <c r="AB1082" s="13" t="s">
        <v>10402</v>
      </c>
    </row>
    <row r="1083" spans="1:28" ht="15" customHeight="1">
      <c r="A1083" s="2" t="s">
        <v>9143</v>
      </c>
      <c r="B1083" s="2" t="s">
        <v>368</v>
      </c>
      <c r="C1083" s="11" t="s">
        <v>2194</v>
      </c>
      <c r="D1083" s="2" t="s">
        <v>99</v>
      </c>
      <c r="E1083" s="2" t="s">
        <v>855</v>
      </c>
      <c r="F1083" s="11" t="s">
        <v>2480</v>
      </c>
      <c r="G1083" s="46" t="s">
        <v>2481</v>
      </c>
      <c r="H1083" s="2" t="s">
        <v>2196</v>
      </c>
      <c r="I1083" s="12" t="s">
        <v>1288</v>
      </c>
      <c r="J1083" s="41">
        <f>+Tabla1[[#This Row],[FECHA ENTRADA]]</f>
        <v>45782</v>
      </c>
      <c r="K1083" s="41">
        <v>45808</v>
      </c>
      <c r="L1083" s="42">
        <f>_xlfn.DAYS(Tabla1[[#This Row],[FECHA FIN ]],Tabla1[[#This Row],[FECHA INICIO]])</f>
        <v>26</v>
      </c>
      <c r="M1083" s="28"/>
      <c r="N1083" s="28"/>
      <c r="O1083" s="28">
        <f>(Tabla1[[#This Row],[COSTO FIJO ]]/30)*Tabla1[[#This Row],[TOTAL DIAS PROYECTO]]+(Tabla1[[#This Row],[COSTO TEMPORAL]])</f>
        <v>0</v>
      </c>
      <c r="P1083" s="12"/>
      <c r="Q1083" s="12">
        <f>+(Tabla1[[#This Row],[COSTO COCHE]]/30)*Tabla1[[#This Row],[TOTAL DIAS PROYECTO]]</f>
        <v>0</v>
      </c>
      <c r="R1083" s="12">
        <f>+Tabla1[[#This Row],[COSTO TOTAL ALOJAMIENTO]]+Tabla1[[#This Row],[COSTO TOTAL COCHE]]</f>
        <v>0</v>
      </c>
      <c r="S1083" s="2"/>
      <c r="T1083" s="14" t="s">
        <v>44</v>
      </c>
      <c r="U1083" s="14">
        <v>45782</v>
      </c>
      <c r="V1083" s="25">
        <v>45809</v>
      </c>
      <c r="W1083" s="2"/>
      <c r="X1083" s="2"/>
      <c r="Y1083" s="11"/>
      <c r="Z1083" s="2" t="s">
        <v>36</v>
      </c>
      <c r="AA1083" s="13" t="s">
        <v>10401</v>
      </c>
      <c r="AB1083" s="13" t="s">
        <v>10402</v>
      </c>
    </row>
    <row r="1084" spans="1:28" ht="15" customHeight="1">
      <c r="A1084" s="2" t="s">
        <v>9212</v>
      </c>
      <c r="B1084" s="2" t="s">
        <v>28</v>
      </c>
      <c r="C1084" s="99" t="s">
        <v>2461</v>
      </c>
      <c r="D1084" s="2" t="s">
        <v>30</v>
      </c>
      <c r="E1084" s="2" t="s">
        <v>648</v>
      </c>
      <c r="F1084" s="11" t="s">
        <v>2482</v>
      </c>
      <c r="G1084" s="11" t="s">
        <v>1545</v>
      </c>
      <c r="H1084" s="2" t="s">
        <v>2462</v>
      </c>
      <c r="I1084" s="12" t="s">
        <v>96</v>
      </c>
      <c r="J1084" s="8">
        <f>+Tabla1[[#This Row],[FECHA ENTRADA]]</f>
        <v>45534</v>
      </c>
      <c r="K1084" s="8">
        <v>45775</v>
      </c>
      <c r="L1084" s="13">
        <f>_xlfn.DAYS(Tabla1[[#This Row],[FECHA FIN ]],Tabla1[[#This Row],[FECHA INICIO]])</f>
        <v>241</v>
      </c>
      <c r="M1084" s="12"/>
      <c r="N1084" s="12">
        <v>240</v>
      </c>
      <c r="O1084" s="12">
        <f>(Tabla1[[#This Row],[COSTO FIJO ]]/30)*Tabla1[[#This Row],[TOTAL DIAS PROYECTO]]+(Tabla1[[#This Row],[COSTO TEMPORAL]])</f>
        <v>1928</v>
      </c>
      <c r="P1084" s="12"/>
      <c r="Q1084" s="12">
        <f>+(Tabla1[[#This Row],[COSTO COCHE]]/30)*Tabla1[[#This Row],[TOTAL DIAS PROYECTO]]</f>
        <v>0</v>
      </c>
      <c r="R1084" s="12">
        <f>+Tabla1[[#This Row],[COSTO TOTAL ALOJAMIENTO]]+Tabla1[[#This Row],[COSTO TOTAL COCHE]]</f>
        <v>1928</v>
      </c>
      <c r="S1084" s="2"/>
      <c r="T1084" s="2" t="s">
        <v>35</v>
      </c>
      <c r="U1084" s="8">
        <v>45534</v>
      </c>
      <c r="V1084" s="8"/>
      <c r="W1084" s="26"/>
      <c r="X1084" s="2">
        <v>1</v>
      </c>
      <c r="Y1084" s="11" t="s">
        <v>2483</v>
      </c>
      <c r="Z1084" s="2" t="s">
        <v>36</v>
      </c>
      <c r="AA1084" s="13" t="s">
        <v>10387</v>
      </c>
      <c r="AB1084" s="13" t="s">
        <v>10388</v>
      </c>
    </row>
    <row r="1085" spans="1:28" ht="15" customHeight="1">
      <c r="A1085" s="2" t="s">
        <v>9218</v>
      </c>
      <c r="B1085" s="2" t="s">
        <v>711</v>
      </c>
      <c r="C1085" s="31" t="s">
        <v>2484</v>
      </c>
      <c r="D1085" s="2" t="s">
        <v>30</v>
      </c>
      <c r="E1085" s="2" t="s">
        <v>648</v>
      </c>
      <c r="F1085" s="11" t="s">
        <v>712</v>
      </c>
      <c r="G1085" t="s">
        <v>713</v>
      </c>
      <c r="H1085" s="2" t="s">
        <v>2485</v>
      </c>
      <c r="I1085" s="12" t="s">
        <v>96</v>
      </c>
      <c r="J1085" s="22">
        <f>+Tabla1[[#This Row],[FECHA ENTRADA]]</f>
        <v>45928</v>
      </c>
      <c r="K1085" s="22">
        <v>45930</v>
      </c>
      <c r="L1085" s="23">
        <f>_xlfn.DAYS(Tabla1[[#This Row],[FECHA FIN ]],Tabla1[[#This Row],[FECHA INICIO]])</f>
        <v>2</v>
      </c>
      <c r="M1085" s="12"/>
      <c r="N1085" s="24">
        <v>133.33333333333334</v>
      </c>
      <c r="O1085" s="24">
        <f>(Tabla1[[#This Row],[COSTO FIJO ]]/30)*Tabla1[[#This Row],[TOTAL DIAS PROYECTO]]+(Tabla1[[#This Row],[COSTO TEMPORAL]])</f>
        <v>8.8888888888888893</v>
      </c>
      <c r="P1085" s="12"/>
      <c r="Q1085" s="12">
        <f>+(Tabla1[[#This Row],[COSTO COCHE]]/30)*Tabla1[[#This Row],[TOTAL DIAS PROYECTO]]</f>
        <v>0</v>
      </c>
      <c r="R1085" s="12">
        <f>+Tabla1[[#This Row],[COSTO TOTAL ALOJAMIENTO]]+Tabla1[[#This Row],[COSTO TOTAL COCHE]]</f>
        <v>8.8888888888888893</v>
      </c>
      <c r="S1085" s="2"/>
      <c r="T1085" s="14" t="s">
        <v>35</v>
      </c>
      <c r="U1085" s="14">
        <v>45928</v>
      </c>
      <c r="V1085" s="25"/>
      <c r="W1085" s="71"/>
      <c r="X1085" s="2">
        <v>14</v>
      </c>
      <c r="Y1085" s="11" t="s">
        <v>2486</v>
      </c>
      <c r="Z1085" s="2" t="s">
        <v>36</v>
      </c>
      <c r="AA1085" s="13" t="s">
        <v>10387</v>
      </c>
      <c r="AB1085" s="13" t="s">
        <v>10388</v>
      </c>
    </row>
    <row r="1086" spans="1:28" ht="15" customHeight="1">
      <c r="A1086" s="2" t="s">
        <v>9219</v>
      </c>
      <c r="B1086" s="2" t="s">
        <v>368</v>
      </c>
      <c r="C1086" s="11" t="s">
        <v>2487</v>
      </c>
      <c r="D1086" s="2" t="s">
        <v>30</v>
      </c>
      <c r="E1086" s="2" t="s">
        <v>985</v>
      </c>
      <c r="F1086" s="11"/>
      <c r="G1086" s="49"/>
      <c r="H1086" s="2" t="s">
        <v>1128</v>
      </c>
      <c r="I1086" s="12" t="s">
        <v>989</v>
      </c>
      <c r="J1086" s="22">
        <f>+Tabla1[[#This Row],[FECHA ENTRADA]]</f>
        <v>45799</v>
      </c>
      <c r="K1086" s="41">
        <v>45808</v>
      </c>
      <c r="L1086" s="23">
        <f>_xlfn.DAYS(Tabla1[[#This Row],[FECHA FIN ]],Tabla1[[#This Row],[FECHA INICIO]])</f>
        <v>9</v>
      </c>
      <c r="M1086" s="12"/>
      <c r="N1086" s="12"/>
      <c r="O1086" s="24">
        <f>(Tabla1[[#This Row],[COSTO FIJO ]]/30)*Tabla1[[#This Row],[TOTAL DIAS PROYECTO]]+(Tabla1[[#This Row],[COSTO TEMPORAL]])</f>
        <v>0</v>
      </c>
      <c r="P1086" s="12"/>
      <c r="Q1086" s="12">
        <f>+(Tabla1[[#This Row],[COSTO COCHE]]/30)*Tabla1[[#This Row],[TOTAL DIAS PROYECTO]]</f>
        <v>0</v>
      </c>
      <c r="R1086" s="12">
        <f>+Tabla1[[#This Row],[COSTO TOTAL ALOJAMIENTO]]+Tabla1[[#This Row],[COSTO TOTAL COCHE]]</f>
        <v>0</v>
      </c>
      <c r="S1086" s="2"/>
      <c r="T1086" s="14" t="s">
        <v>58</v>
      </c>
      <c r="U1086" s="14">
        <v>45799</v>
      </c>
      <c r="V1086" s="98"/>
      <c r="W1086" s="2"/>
      <c r="X1086" s="2"/>
      <c r="Y1086" s="11" t="s">
        <v>2488</v>
      </c>
      <c r="Z1086" s="2" t="s">
        <v>36</v>
      </c>
      <c r="AA1086" s="13" t="s">
        <v>10407</v>
      </c>
      <c r="AB1086" s="13" t="s">
        <v>10408</v>
      </c>
    </row>
    <row r="1087" spans="1:28">
      <c r="A1087" s="2" t="s">
        <v>8638</v>
      </c>
      <c r="B1087" s="2" t="s">
        <v>28</v>
      </c>
      <c r="C1087" s="11" t="s">
        <v>1252</v>
      </c>
      <c r="D1087" s="2" t="s">
        <v>30</v>
      </c>
      <c r="E1087" s="2" t="s">
        <v>939</v>
      </c>
      <c r="F1087" s="11"/>
      <c r="G1087" s="46"/>
      <c r="H1087" s="2" t="s">
        <v>1254</v>
      </c>
      <c r="I1087" s="2" t="s">
        <v>1255</v>
      </c>
      <c r="J1087" s="41">
        <f>+Tabla1[[#This Row],[FECHA ENTRADA]]</f>
        <v>45646</v>
      </c>
      <c r="K1087" s="8">
        <v>45808</v>
      </c>
      <c r="L1087" s="42">
        <f>_xlfn.DAYS(Tabla1[[#This Row],[FECHA FIN ]],Tabla1[[#This Row],[FECHA INICIO]])</f>
        <v>162</v>
      </c>
      <c r="M1087" s="12"/>
      <c r="N1087" s="12"/>
      <c r="O1087" s="28">
        <f>(Tabla1[[#This Row],[COSTO FIJO ]]/30)*Tabla1[[#This Row],[TOTAL DIAS PROYECTO]]+(Tabla1[[#This Row],[COSTO TEMPORAL]])</f>
        <v>0</v>
      </c>
      <c r="P1087" s="12"/>
      <c r="Q1087" s="12">
        <f>+(Tabla1[[#This Row],[COSTO COCHE]]/30)*Tabla1[[#This Row],[TOTAL DIAS PROYECTO]]</f>
        <v>0</v>
      </c>
      <c r="R1087" s="12">
        <f>+Tabla1[[#This Row],[COSTO TOTAL ALOJAMIENTO]]+Tabla1[[#This Row],[COSTO TOTAL COCHE]]</f>
        <v>0</v>
      </c>
      <c r="S1087" s="2"/>
      <c r="T1087" s="2" t="s">
        <v>58</v>
      </c>
      <c r="U1087" s="14">
        <v>45646</v>
      </c>
      <c r="V1087" s="43"/>
      <c r="W1087" s="26"/>
      <c r="X1087" s="2"/>
      <c r="Y1087" s="11"/>
      <c r="Z1087" s="2" t="s">
        <v>36</v>
      </c>
      <c r="AA1087" s="13" t="s">
        <v>10405</v>
      </c>
      <c r="AB1087" s="13" t="s">
        <v>10406</v>
      </c>
    </row>
    <row r="1088" spans="1:28">
      <c r="A1088" s="2" t="s">
        <v>9220</v>
      </c>
      <c r="B1088" s="2" t="s">
        <v>28</v>
      </c>
      <c r="C1088" s="173" t="s">
        <v>2489</v>
      </c>
      <c r="D1088" s="2" t="s">
        <v>30</v>
      </c>
      <c r="E1088" s="2" t="s">
        <v>380</v>
      </c>
      <c r="F1088" s="11"/>
      <c r="G1088" s="11"/>
      <c r="H1088" s="2" t="s">
        <v>1890</v>
      </c>
      <c r="I1088" s="12" t="s">
        <v>800</v>
      </c>
      <c r="J1088" s="8">
        <f>+Tabla1[[#This Row],[FECHA ENTRADA]]</f>
        <v>45398</v>
      </c>
      <c r="K1088" s="8">
        <v>45822</v>
      </c>
      <c r="L1088" s="13">
        <f>_xlfn.DAYS(Tabla1[[#This Row],[FECHA FIN ]],Tabla1[[#This Row],[FECHA INICIO]])</f>
        <v>424</v>
      </c>
      <c r="M1088" s="12"/>
      <c r="N1088" s="12">
        <v>300</v>
      </c>
      <c r="O1088" s="12">
        <f>(Tabla1[[#This Row],[COSTO FIJO ]]/30)*Tabla1[[#This Row],[TOTAL DIAS PROYECTO]]+(Tabla1[[#This Row],[COSTO TEMPORAL]])</f>
        <v>4240</v>
      </c>
      <c r="P1088" s="12">
        <f>613.83/4</f>
        <v>153.45750000000001</v>
      </c>
      <c r="Q1088" s="12">
        <f>+(Tabla1[[#This Row],[COSTO COCHE]]/30)*Tabla1[[#This Row],[TOTAL DIAS PROYECTO]]</f>
        <v>2168.8660000000004</v>
      </c>
      <c r="R1088" s="12">
        <f>+Tabla1[[#This Row],[COSTO TOTAL ALOJAMIENTO]]+Tabla1[[#This Row],[COSTO TOTAL COCHE]]</f>
        <v>6408.866</v>
      </c>
      <c r="S1088" s="2"/>
      <c r="T1088" s="2" t="s">
        <v>58</v>
      </c>
      <c r="U1088" s="14">
        <v>45398</v>
      </c>
      <c r="V1088" s="14">
        <v>45493</v>
      </c>
      <c r="W1088" s="26"/>
      <c r="X1088" s="16"/>
      <c r="Y1088" s="11" t="s">
        <v>2490</v>
      </c>
      <c r="Z1088" s="2" t="s">
        <v>36</v>
      </c>
      <c r="AA1088" s="13" t="s">
        <v>10370</v>
      </c>
      <c r="AB1088" s="13" t="s">
        <v>10371</v>
      </c>
    </row>
    <row r="1089" spans="1:28">
      <c r="A1089" s="2" t="s">
        <v>9221</v>
      </c>
      <c r="B1089" s="2" t="s">
        <v>28</v>
      </c>
      <c r="C1089" s="11" t="s">
        <v>2491</v>
      </c>
      <c r="D1089" s="2" t="s">
        <v>30</v>
      </c>
      <c r="E1089" s="2" t="s">
        <v>225</v>
      </c>
      <c r="F1089" s="11" t="s">
        <v>1502</v>
      </c>
      <c r="G1089" s="11" t="s">
        <v>1505</v>
      </c>
      <c r="H1089" s="2" t="s">
        <v>1506</v>
      </c>
      <c r="I1089" s="2" t="s">
        <v>228</v>
      </c>
      <c r="J1089" s="8">
        <f>+Tabla1[[#This Row],[FECHA ENTRADA]]</f>
        <v>45340</v>
      </c>
      <c r="K1089" s="22">
        <v>45821</v>
      </c>
      <c r="L1089" s="13">
        <f>_xlfn.DAYS(Tabla1[[#This Row],[FECHA FIN ]],Tabla1[[#This Row],[FECHA INICIO]])</f>
        <v>481</v>
      </c>
      <c r="M1089" s="12"/>
      <c r="N1089" s="12"/>
      <c r="O1089" s="12">
        <f>(Tabla1[[#This Row],[COSTO FIJO ]]/30)*Tabla1[[#This Row],[TOTAL DIAS PROYECTO]]+(Tabla1[[#This Row],[COSTO TEMPORAL]])</f>
        <v>0</v>
      </c>
      <c r="P1089" s="12"/>
      <c r="Q1089" s="12">
        <f>+(Tabla1[[#This Row],[COSTO COCHE]]/30)*Tabla1[[#This Row],[TOTAL DIAS PROYECTO]]</f>
        <v>0</v>
      </c>
      <c r="R1089" s="12">
        <f>+Tabla1[[#This Row],[COSTO TOTAL ALOJAMIENTO]]+Tabla1[[#This Row],[COSTO TOTAL COCHE]]</f>
        <v>0</v>
      </c>
      <c r="S1089" s="2"/>
      <c r="T1089" s="2" t="s">
        <v>35</v>
      </c>
      <c r="U1089" s="14">
        <v>45340</v>
      </c>
      <c r="V1089" s="14"/>
      <c r="W1089" s="15"/>
      <c r="X1089" s="16">
        <v>20</v>
      </c>
      <c r="Y1089" s="18" t="s">
        <v>2492</v>
      </c>
      <c r="Z1089" s="2" t="s">
        <v>36</v>
      </c>
      <c r="AA1089" s="13" t="s">
        <v>10353</v>
      </c>
      <c r="AB1089" s="13" t="s">
        <v>10354</v>
      </c>
    </row>
    <row r="1090" spans="1:28">
      <c r="A1090" s="2" t="s">
        <v>9185</v>
      </c>
      <c r="B1090" s="2" t="s">
        <v>28</v>
      </c>
      <c r="C1090" s="11" t="s">
        <v>2354</v>
      </c>
      <c r="D1090" s="2" t="s">
        <v>30</v>
      </c>
      <c r="E1090" s="2" t="s">
        <v>626</v>
      </c>
      <c r="F1090" s="11" t="s">
        <v>1964</v>
      </c>
      <c r="G1090" s="146" t="s">
        <v>1409</v>
      </c>
      <c r="H1090" s="2" t="s">
        <v>2355</v>
      </c>
      <c r="I1090" s="12" t="s">
        <v>570</v>
      </c>
      <c r="J1090" s="22">
        <f>+Tabla1[[#This Row],[FECHA ENTRADA]]</f>
        <v>45802</v>
      </c>
      <c r="K1090" s="22">
        <v>45809</v>
      </c>
      <c r="L1090" s="23">
        <f>_xlfn.DAYS(Tabla1[[#This Row],[FECHA FIN ]],Tabla1[[#This Row],[FECHA INICIO]])</f>
        <v>7</v>
      </c>
      <c r="M1090" s="12"/>
      <c r="N1090" s="12"/>
      <c r="O1090" s="24">
        <f>(Tabla1[[#This Row],[COSTO FIJO ]]/30)*Tabla1[[#This Row],[TOTAL DIAS PROYECTO]]+(Tabla1[[#This Row],[COSTO TEMPORAL]])</f>
        <v>0</v>
      </c>
      <c r="P1090" s="12"/>
      <c r="Q1090" s="12">
        <f>+(Tabla1[[#This Row],[COSTO COCHE]]/30)*Tabla1[[#This Row],[TOTAL DIAS PROYECTO]]</f>
        <v>0</v>
      </c>
      <c r="R1090" s="12">
        <f>+Tabla1[[#This Row],[COSTO TOTAL ALOJAMIENTO]]+Tabla1[[#This Row],[COSTO TOTAL COCHE]]</f>
        <v>0</v>
      </c>
      <c r="S1090" s="2"/>
      <c r="T1090" s="2" t="s">
        <v>35</v>
      </c>
      <c r="U1090" s="14">
        <v>45802</v>
      </c>
      <c r="V1090" s="25"/>
      <c r="W1090" s="26"/>
      <c r="X1090" s="2">
        <v>5</v>
      </c>
      <c r="Y1090" s="11"/>
      <c r="Z1090" s="2" t="s">
        <v>36</v>
      </c>
      <c r="AA1090" s="13" t="s">
        <v>10385</v>
      </c>
      <c r="AB1090" s="13" t="s">
        <v>10386</v>
      </c>
    </row>
    <row r="1091" spans="1:28">
      <c r="A1091" s="2" t="s">
        <v>9222</v>
      </c>
      <c r="B1091" s="2" t="s">
        <v>28</v>
      </c>
      <c r="C1091" s="11" t="s">
        <v>2493</v>
      </c>
      <c r="D1091" s="2" t="s">
        <v>30</v>
      </c>
      <c r="E1091" s="2" t="s">
        <v>55</v>
      </c>
      <c r="F1091" s="11" t="s">
        <v>1439</v>
      </c>
      <c r="G1091" s="49" t="s">
        <v>1440</v>
      </c>
      <c r="H1091" s="2" t="s">
        <v>1799</v>
      </c>
      <c r="I1091" s="12" t="s">
        <v>236</v>
      </c>
      <c r="J1091" s="22">
        <f>+Tabla1[[#This Row],[FECHA ENTRADA]]</f>
        <v>45690</v>
      </c>
      <c r="K1091" s="22">
        <v>45809</v>
      </c>
      <c r="L1091" s="23">
        <f>_xlfn.DAYS(Tabla1[[#This Row],[FECHA FIN ]],Tabla1[[#This Row],[FECHA INICIO]])</f>
        <v>119</v>
      </c>
      <c r="M1091" s="12"/>
      <c r="N1091" s="12"/>
      <c r="O1091" s="24">
        <f>(Tabla1[[#This Row],[COSTO FIJO ]]/30)*Tabla1[[#This Row],[TOTAL DIAS PROYECTO]]+(Tabla1[[#This Row],[COSTO TEMPORAL]])</f>
        <v>0</v>
      </c>
      <c r="P1091" s="12"/>
      <c r="Q1091" s="12">
        <f>+(Tabla1[[#This Row],[COSTO COCHE]]/30)*Tabla1[[#This Row],[TOTAL DIAS PROYECTO]]</f>
        <v>0</v>
      </c>
      <c r="R1091" s="12">
        <f>+Tabla1[[#This Row],[COSTO TOTAL ALOJAMIENTO]]+Tabla1[[#This Row],[COSTO TOTAL COCHE]]</f>
        <v>0</v>
      </c>
      <c r="S1091" s="2"/>
      <c r="T1091" s="2" t="s">
        <v>613</v>
      </c>
      <c r="U1091" s="14">
        <v>45690</v>
      </c>
      <c r="V1091" s="25">
        <v>45755</v>
      </c>
      <c r="W1091" s="26"/>
      <c r="X1091" s="2">
        <v>19</v>
      </c>
      <c r="Y1091" s="11"/>
      <c r="Z1091" s="2" t="s">
        <v>36</v>
      </c>
      <c r="AA1091" s="13" t="s">
        <v>10327</v>
      </c>
      <c r="AB1091" s="13" t="s">
        <v>10328</v>
      </c>
    </row>
    <row r="1092" spans="1:28">
      <c r="A1092" s="2" t="s">
        <v>8638</v>
      </c>
      <c r="B1092" s="2" t="s">
        <v>368</v>
      </c>
      <c r="C1092" s="11" t="s">
        <v>2202</v>
      </c>
      <c r="D1092" s="2" t="s">
        <v>30</v>
      </c>
      <c r="E1092" s="2" t="s">
        <v>415</v>
      </c>
      <c r="F1092" s="11" t="s">
        <v>2173</v>
      </c>
      <c r="G1092" s="46" t="s">
        <v>2174</v>
      </c>
      <c r="H1092" s="2" t="s">
        <v>2203</v>
      </c>
      <c r="I1092" s="12" t="s">
        <v>2200</v>
      </c>
      <c r="J1092" s="41">
        <f>+Tabla1[[#This Row],[FECHA ENTRADA]]</f>
        <v>45783</v>
      </c>
      <c r="K1092" s="22">
        <v>45809</v>
      </c>
      <c r="L1092" s="42">
        <f>_xlfn.DAYS(Tabla1[[#This Row],[FECHA FIN ]],Tabla1[[#This Row],[FECHA INICIO]])</f>
        <v>26</v>
      </c>
      <c r="M1092" s="12"/>
      <c r="N1092" s="12"/>
      <c r="O1092" s="28">
        <f>(Tabla1[[#This Row],[COSTO FIJO ]]/30)*Tabla1[[#This Row],[TOTAL DIAS PROYECTO]]+(Tabla1[[#This Row],[COSTO TEMPORAL]])</f>
        <v>0</v>
      </c>
      <c r="P1092" s="12">
        <f>666.59/4</f>
        <v>166.64750000000001</v>
      </c>
      <c r="Q1092" s="12">
        <f>+(Tabla1[[#This Row],[COSTO COCHE]]/30)*Tabla1[[#This Row],[TOTAL DIAS PROYECTO]]</f>
        <v>144.42783333333335</v>
      </c>
      <c r="R1092" s="12">
        <f>+Tabla1[[#This Row],[COSTO TOTAL ALOJAMIENTO]]+Tabla1[[#This Row],[COSTO TOTAL COCHE]]</f>
        <v>144.42783333333335</v>
      </c>
      <c r="S1092" s="2"/>
      <c r="T1092" s="2" t="s">
        <v>35</v>
      </c>
      <c r="U1092" s="14">
        <v>45783</v>
      </c>
      <c r="V1092" s="43">
        <v>45817</v>
      </c>
      <c r="W1092" s="2"/>
      <c r="X1092" s="2"/>
      <c r="Y1092" s="174" t="s">
        <v>2494</v>
      </c>
      <c r="Z1092" s="2" t="s">
        <v>36</v>
      </c>
      <c r="AA1092" s="13">
        <v>-0.37739</v>
      </c>
      <c r="AB1092" s="13" t="s">
        <v>10372</v>
      </c>
    </row>
    <row r="1093" spans="1:28">
      <c r="A1093" s="2" t="s">
        <v>9223</v>
      </c>
      <c r="B1093" s="2" t="s">
        <v>28</v>
      </c>
      <c r="C1093" s="11" t="s">
        <v>2495</v>
      </c>
      <c r="D1093" s="2" t="s">
        <v>30</v>
      </c>
      <c r="E1093" s="2" t="s">
        <v>213</v>
      </c>
      <c r="F1093" s="11" t="s">
        <v>916</v>
      </c>
      <c r="G1093" s="11" t="s">
        <v>917</v>
      </c>
      <c r="H1093" s="2">
        <v>2023</v>
      </c>
      <c r="I1093" s="2" t="s">
        <v>918</v>
      </c>
      <c r="J1093" s="8">
        <v>45064</v>
      </c>
      <c r="K1093" s="8">
        <v>45809</v>
      </c>
      <c r="L1093" s="13">
        <f>_xlfn.DAYS(Tabla1[[#This Row],[FECHA FIN ]],Tabla1[[#This Row],[FECHA INICIO]])</f>
        <v>745</v>
      </c>
      <c r="M1093" s="12"/>
      <c r="N1093" s="28">
        <v>238.75</v>
      </c>
      <c r="O1093" s="12">
        <f>(Tabla1[[#This Row],[COSTO FIJO ]]/30)*Tabla1[[#This Row],[TOTAL DIAS PROYECTO]]+(Tabla1[[#This Row],[COSTO TEMPORAL]])</f>
        <v>5928.958333333333</v>
      </c>
      <c r="P1093" s="12"/>
      <c r="Q1093" s="12">
        <f>+(Tabla1[[#This Row],[COSTO COCHE]]/30)*Tabla1[[#This Row],[TOTAL DIAS PROYECTO]]</f>
        <v>0</v>
      </c>
      <c r="R1093" s="12">
        <f>+Tabla1[[#This Row],[COSTO TOTAL ALOJAMIENTO]]+Tabla1[[#This Row],[COSTO TOTAL COCHE]]</f>
        <v>5928.958333333333</v>
      </c>
      <c r="S1093" s="2"/>
      <c r="T1093" s="2" t="s">
        <v>35</v>
      </c>
      <c r="U1093" s="14"/>
      <c r="V1093" s="14"/>
      <c r="W1093" s="15"/>
      <c r="X1093" s="16"/>
      <c r="Y1093" s="11" t="s">
        <v>2496</v>
      </c>
      <c r="Z1093" s="2" t="s">
        <v>36</v>
      </c>
      <c r="AA1093" s="13" t="s">
        <v>10349</v>
      </c>
      <c r="AB1093" s="13" t="s">
        <v>10350</v>
      </c>
    </row>
    <row r="1094" spans="1:28" ht="15" customHeight="1">
      <c r="A1094" s="2" t="s">
        <v>9224</v>
      </c>
      <c r="B1094" s="2" t="s">
        <v>28</v>
      </c>
      <c r="C1094" s="11" t="s">
        <v>2497</v>
      </c>
      <c r="D1094" s="2" t="s">
        <v>30</v>
      </c>
      <c r="E1094" s="2" t="s">
        <v>31</v>
      </c>
      <c r="F1094" s="11" t="s">
        <v>2498</v>
      </c>
      <c r="G1094" s="30" t="s">
        <v>2499</v>
      </c>
      <c r="H1094" s="2" t="s">
        <v>2500</v>
      </c>
      <c r="I1094" s="12" t="s">
        <v>1101</v>
      </c>
      <c r="J1094" s="8">
        <f>+Tabla1[[#This Row],[FECHA ENTRADA]]</f>
        <v>45529</v>
      </c>
      <c r="K1094" s="8">
        <v>45810</v>
      </c>
      <c r="L1094" s="13">
        <f>_xlfn.DAYS(Tabla1[[#This Row],[FECHA FIN ]],Tabla1[[#This Row],[FECHA INICIO]])</f>
        <v>281</v>
      </c>
      <c r="M1094" s="12"/>
      <c r="N1094" s="12">
        <v>400</v>
      </c>
      <c r="O1094" s="12">
        <f>(Tabla1[[#This Row],[COSTO FIJO ]]/30)*Tabla1[[#This Row],[TOTAL DIAS PROYECTO]]+(Tabla1[[#This Row],[COSTO TEMPORAL]])</f>
        <v>3746.666666666667</v>
      </c>
      <c r="P1094" s="12"/>
      <c r="Q1094" s="12">
        <f>+(Tabla1[[#This Row],[COSTO COCHE]]/30)*Tabla1[[#This Row],[TOTAL DIAS PROYECTO]]</f>
        <v>0</v>
      </c>
      <c r="R1094" s="12">
        <f>+Tabla1[[#This Row],[COSTO TOTAL ALOJAMIENTO]]+Tabla1[[#This Row],[COSTO TOTAL COCHE]]</f>
        <v>3746.666666666667</v>
      </c>
      <c r="S1094" s="2"/>
      <c r="T1094" s="2" t="s">
        <v>35</v>
      </c>
      <c r="U1094" s="14">
        <v>45529</v>
      </c>
      <c r="V1094" s="14"/>
      <c r="W1094" s="26"/>
      <c r="X1094" s="2">
        <v>1</v>
      </c>
      <c r="Y1094" s="11" t="s">
        <v>2501</v>
      </c>
      <c r="Z1094" s="2" t="s">
        <v>36</v>
      </c>
      <c r="AA1094" s="13" t="s">
        <v>10323</v>
      </c>
      <c r="AB1094" s="13" t="s">
        <v>10324</v>
      </c>
    </row>
    <row r="1095" spans="1:28">
      <c r="A1095" s="2" t="s">
        <v>9225</v>
      </c>
      <c r="B1095" s="2" t="s">
        <v>368</v>
      </c>
      <c r="C1095" s="11" t="s">
        <v>2502</v>
      </c>
      <c r="D1095" s="2" t="s">
        <v>30</v>
      </c>
      <c r="E1095" s="2" t="s">
        <v>31</v>
      </c>
      <c r="F1095" s="11"/>
      <c r="G1095" s="11"/>
      <c r="H1095" s="2" t="s">
        <v>2503</v>
      </c>
      <c r="I1095" s="12" t="s">
        <v>1104</v>
      </c>
      <c r="J1095" s="41">
        <f>+Tabla1[[#This Row],[FECHA ENTRADA]]</f>
        <v>45602</v>
      </c>
      <c r="K1095" s="8">
        <v>45810</v>
      </c>
      <c r="L1095" s="42">
        <f>_xlfn.DAYS(Tabla1[[#This Row],[FECHA FIN ]],Tabla1[[#This Row],[FECHA INICIO]])</f>
        <v>208</v>
      </c>
      <c r="M1095" s="12"/>
      <c r="N1095" s="12">
        <v>300</v>
      </c>
      <c r="O1095" s="28">
        <f>(Tabla1[[#This Row],[COSTO FIJO ]]/30)*Tabla1[[#This Row],[TOTAL DIAS PROYECTO]]+(Tabla1[[#This Row],[COSTO TEMPORAL]])</f>
        <v>2080</v>
      </c>
      <c r="P1095" s="12"/>
      <c r="Q1095" s="12">
        <f>+(Tabla1[[#This Row],[COSTO COCHE]]/30)*Tabla1[[#This Row],[TOTAL DIAS PROYECTO]]</f>
        <v>0</v>
      </c>
      <c r="R1095" s="12">
        <f>+Tabla1[[#This Row],[COSTO TOTAL ALOJAMIENTO]]+Tabla1[[#This Row],[COSTO TOTAL COCHE]]</f>
        <v>2080</v>
      </c>
      <c r="S1095" s="2"/>
      <c r="T1095" s="2" t="s">
        <v>58</v>
      </c>
      <c r="U1095" s="14">
        <v>45602</v>
      </c>
      <c r="V1095" s="43"/>
      <c r="W1095" s="26"/>
      <c r="X1095" s="2"/>
      <c r="Y1095" s="11" t="s">
        <v>2504</v>
      </c>
      <c r="Z1095" s="2" t="s">
        <v>36</v>
      </c>
      <c r="AA1095" s="13" t="s">
        <v>10323</v>
      </c>
      <c r="AB1095" s="13" t="s">
        <v>10324</v>
      </c>
    </row>
    <row r="1096" spans="1:28" ht="15" customHeight="1">
      <c r="A1096" s="2" t="s">
        <v>8889</v>
      </c>
      <c r="B1096" s="2" t="s">
        <v>28</v>
      </c>
      <c r="C1096" s="11" t="s">
        <v>1171</v>
      </c>
      <c r="D1096" s="2" t="s">
        <v>30</v>
      </c>
      <c r="E1096" s="2" t="s">
        <v>1393</v>
      </c>
      <c r="F1096" s="11" t="s">
        <v>2259</v>
      </c>
      <c r="G1096" s="21" t="s">
        <v>2260</v>
      </c>
      <c r="H1096" s="2" t="s">
        <v>1396</v>
      </c>
      <c r="I1096" s="12" t="s">
        <v>1067</v>
      </c>
      <c r="J1096" s="22">
        <f>+Tabla1[[#This Row],[FECHA ENTRADA]]</f>
        <v>45808</v>
      </c>
      <c r="K1096" s="8">
        <v>45810</v>
      </c>
      <c r="L1096" s="42">
        <f>_xlfn.DAYS(Tabla1[[#This Row],[FECHA FIN ]],Tabla1[[#This Row],[FECHA INICIO]])</f>
        <v>2</v>
      </c>
      <c r="M1096" s="12"/>
      <c r="N1096" s="20"/>
      <c r="O1096" s="28">
        <f>(Tabla1[[#This Row],[COSTO FIJO ]]/30)*Tabla1[[#This Row],[TOTAL DIAS PROYECTO]]+(Tabla1[[#This Row],[COSTO TEMPORAL]])</f>
        <v>0</v>
      </c>
      <c r="P1096" s="12"/>
      <c r="Q1096" s="12">
        <f>+(Tabla1[[#This Row],[COSTO COCHE]]/30)*Tabla1[[#This Row],[TOTAL DIAS PROYECTO]]</f>
        <v>0</v>
      </c>
      <c r="R1096" s="12">
        <f>+Tabla1[[#This Row],[COSTO TOTAL ALOJAMIENTO]]+Tabla1[[#This Row],[COSTO TOTAL COCHE]]</f>
        <v>0</v>
      </c>
      <c r="S1096" s="2"/>
      <c r="T1096" s="2" t="s">
        <v>44</v>
      </c>
      <c r="U1096" s="14">
        <v>45808</v>
      </c>
      <c r="V1096" s="25">
        <v>45810</v>
      </c>
      <c r="W1096" s="26"/>
      <c r="X1096" s="2"/>
      <c r="Y1096" s="11" t="s">
        <v>1361</v>
      </c>
      <c r="Z1096" s="2" t="s">
        <v>36</v>
      </c>
      <c r="AA1096" s="13" t="s">
        <v>10416</v>
      </c>
      <c r="AB1096" s="13" t="s">
        <v>10417</v>
      </c>
    </row>
    <row r="1097" spans="1:28" ht="15" customHeight="1">
      <c r="A1097" s="2" t="s">
        <v>8887</v>
      </c>
      <c r="B1097" s="2" t="s">
        <v>28</v>
      </c>
      <c r="C1097" s="11" t="s">
        <v>1169</v>
      </c>
      <c r="D1097" s="2" t="s">
        <v>30</v>
      </c>
      <c r="E1097" s="2" t="s">
        <v>1393</v>
      </c>
      <c r="F1097" s="11" t="s">
        <v>2259</v>
      </c>
      <c r="G1097" s="21" t="s">
        <v>2260</v>
      </c>
      <c r="H1097" s="2" t="s">
        <v>1396</v>
      </c>
      <c r="I1097" s="12" t="s">
        <v>1067</v>
      </c>
      <c r="J1097" s="22">
        <f>+Tabla1[[#This Row],[FECHA ENTRADA]]</f>
        <v>45808</v>
      </c>
      <c r="K1097" s="8">
        <v>45810</v>
      </c>
      <c r="L1097" s="42">
        <f>_xlfn.DAYS(Tabla1[[#This Row],[FECHA FIN ]],Tabla1[[#This Row],[FECHA INICIO]])</f>
        <v>2</v>
      </c>
      <c r="M1097" s="12"/>
      <c r="N1097" s="20"/>
      <c r="O1097" s="28">
        <f>(Tabla1[[#This Row],[COSTO FIJO ]]/30)*Tabla1[[#This Row],[TOTAL DIAS PROYECTO]]+(Tabla1[[#This Row],[COSTO TEMPORAL]])</f>
        <v>0</v>
      </c>
      <c r="P1097" s="12"/>
      <c r="Q1097" s="12">
        <f>+(Tabla1[[#This Row],[COSTO COCHE]]/30)*Tabla1[[#This Row],[TOTAL DIAS PROYECTO]]</f>
        <v>0</v>
      </c>
      <c r="R1097" s="12">
        <f>+Tabla1[[#This Row],[COSTO TOTAL ALOJAMIENTO]]+Tabla1[[#This Row],[COSTO TOTAL COCHE]]</f>
        <v>0</v>
      </c>
      <c r="S1097" s="2"/>
      <c r="T1097" s="2" t="s">
        <v>44</v>
      </c>
      <c r="U1097" s="14">
        <v>45808</v>
      </c>
      <c r="V1097" s="25">
        <v>45810</v>
      </c>
      <c r="W1097" s="26"/>
      <c r="X1097" s="2"/>
      <c r="Y1097" s="11" t="s">
        <v>1361</v>
      </c>
      <c r="Z1097" s="2" t="s">
        <v>36</v>
      </c>
      <c r="AA1097" s="13" t="s">
        <v>10416</v>
      </c>
      <c r="AB1097" s="13" t="s">
        <v>10417</v>
      </c>
    </row>
    <row r="1098" spans="1:28">
      <c r="A1098" s="2" t="s">
        <v>9226</v>
      </c>
      <c r="B1098" s="2" t="s">
        <v>368</v>
      </c>
      <c r="C1098" s="11" t="s">
        <v>2505</v>
      </c>
      <c r="D1098" s="2" t="s">
        <v>30</v>
      </c>
      <c r="E1098" s="2" t="s">
        <v>447</v>
      </c>
      <c r="F1098" s="11"/>
      <c r="G1098" s="46"/>
      <c r="H1098" s="2" t="s">
        <v>842</v>
      </c>
      <c r="I1098" s="12" t="s">
        <v>843</v>
      </c>
      <c r="J1098" s="41">
        <v>45566</v>
      </c>
      <c r="K1098" s="8">
        <v>45811</v>
      </c>
      <c r="L1098" s="42">
        <f>_xlfn.DAYS(Tabla1[[#This Row],[FECHA FIN ]],Tabla1[[#This Row],[FECHA INICIO]])</f>
        <v>245</v>
      </c>
      <c r="M1098" s="12"/>
      <c r="N1098" s="12">
        <v>300</v>
      </c>
      <c r="O1098" s="28">
        <f>(Tabla1[[#This Row],[COSTO FIJO ]]/30)*Tabla1[[#This Row],[TOTAL DIAS PROYECTO]]+(Tabla1[[#This Row],[COSTO TEMPORAL]])</f>
        <v>2450</v>
      </c>
      <c r="P1098" s="12">
        <f t="shared" ref="P1098:P1104" si="0">1000/15</f>
        <v>66.666666666666671</v>
      </c>
      <c r="Q1098" s="12">
        <f>+(Tabla1[[#This Row],[COSTO COCHE]]/30)*Tabla1[[#This Row],[TOTAL DIAS PROYECTO]]</f>
        <v>544.44444444444446</v>
      </c>
      <c r="R1098" s="12">
        <f>+Tabla1[[#This Row],[COSTO TOTAL ALOJAMIENTO]]+Tabla1[[#This Row],[COSTO TOTAL COCHE]]</f>
        <v>2994.4444444444443</v>
      </c>
      <c r="S1098" s="2"/>
      <c r="T1098" s="2" t="s">
        <v>58</v>
      </c>
      <c r="U1098" s="14">
        <v>45566</v>
      </c>
      <c r="V1098" s="43"/>
      <c r="W1098" s="26"/>
      <c r="X1098" s="2">
        <v>1</v>
      </c>
      <c r="Y1098" s="67" t="s">
        <v>2506</v>
      </c>
      <c r="Z1098" s="2" t="s">
        <v>36</v>
      </c>
      <c r="AA1098" s="13">
        <v>-697.06100000000004</v>
      </c>
      <c r="AB1098" s="13" t="s">
        <v>10377</v>
      </c>
    </row>
    <row r="1099" spans="1:28">
      <c r="A1099" s="2" t="s">
        <v>8812</v>
      </c>
      <c r="B1099" s="2" t="s">
        <v>368</v>
      </c>
      <c r="C1099" s="11" t="s">
        <v>863</v>
      </c>
      <c r="D1099" s="2" t="s">
        <v>30</v>
      </c>
      <c r="E1099" s="2" t="s">
        <v>447</v>
      </c>
      <c r="F1099" s="11"/>
      <c r="G1099" s="46"/>
      <c r="H1099" s="2" t="s">
        <v>2507</v>
      </c>
      <c r="I1099" s="12" t="s">
        <v>843</v>
      </c>
      <c r="J1099" s="41">
        <f>+Tabla1[[#This Row],[FECHA ENTRADA]]</f>
        <v>45585</v>
      </c>
      <c r="K1099" s="8">
        <v>45811</v>
      </c>
      <c r="L1099" s="42">
        <f>_xlfn.DAYS(Tabla1[[#This Row],[FECHA FIN ]],Tabla1[[#This Row],[FECHA INICIO]])</f>
        <v>226</v>
      </c>
      <c r="M1099" s="12"/>
      <c r="N1099" s="12">
        <v>300</v>
      </c>
      <c r="O1099" s="28">
        <f>(Tabla1[[#This Row],[COSTO FIJO ]]/30)*Tabla1[[#This Row],[TOTAL DIAS PROYECTO]]+(Tabla1[[#This Row],[COSTO TEMPORAL]])</f>
        <v>2260</v>
      </c>
      <c r="P1099" s="12">
        <f t="shared" si="0"/>
        <v>66.666666666666671</v>
      </c>
      <c r="Q1099" s="12">
        <f>+(Tabla1[[#This Row],[COSTO COCHE]]/30)*Tabla1[[#This Row],[TOTAL DIAS PROYECTO]]</f>
        <v>502.22222222222223</v>
      </c>
      <c r="R1099" s="12">
        <f>+Tabla1[[#This Row],[COSTO TOTAL ALOJAMIENTO]]+Tabla1[[#This Row],[COSTO TOTAL COCHE]]</f>
        <v>2762.2222222222222</v>
      </c>
      <c r="S1099" s="2"/>
      <c r="T1099" s="2" t="s">
        <v>58</v>
      </c>
      <c r="U1099" s="14">
        <v>45585</v>
      </c>
      <c r="V1099" s="43"/>
      <c r="W1099" s="26"/>
      <c r="X1099" s="2">
        <v>1</v>
      </c>
      <c r="Y1099" s="11" t="s">
        <v>2508</v>
      </c>
      <c r="Z1099" s="2" t="s">
        <v>36</v>
      </c>
      <c r="AA1099" s="13">
        <v>-697.06100000000004</v>
      </c>
      <c r="AB1099" s="13" t="s">
        <v>10377</v>
      </c>
    </row>
    <row r="1100" spans="1:28">
      <c r="A1100" s="2" t="s">
        <v>9227</v>
      </c>
      <c r="B1100" s="2" t="s">
        <v>368</v>
      </c>
      <c r="C1100" s="11" t="s">
        <v>2509</v>
      </c>
      <c r="D1100" s="2" t="s">
        <v>30</v>
      </c>
      <c r="E1100" s="2" t="s">
        <v>447</v>
      </c>
      <c r="F1100" s="11"/>
      <c r="G1100" s="11"/>
      <c r="H1100" s="2" t="s">
        <v>2510</v>
      </c>
      <c r="I1100" s="12" t="s">
        <v>843</v>
      </c>
      <c r="J1100" s="41">
        <v>45568</v>
      </c>
      <c r="K1100" s="8">
        <v>45811</v>
      </c>
      <c r="L1100" s="13">
        <f>_xlfn.DAYS(Tabla1[[#This Row],[FECHA FIN ]],Tabla1[[#This Row],[FECHA INICIO]])</f>
        <v>243</v>
      </c>
      <c r="M1100" s="12"/>
      <c r="N1100" s="12">
        <v>300</v>
      </c>
      <c r="O1100" s="28">
        <f>(Tabla1[[#This Row],[COSTO FIJO ]]/30)*Tabla1[[#This Row],[TOTAL DIAS PROYECTO]]+(Tabla1[[#This Row],[COSTO TEMPORAL]])</f>
        <v>2430</v>
      </c>
      <c r="P1100" s="12">
        <f t="shared" si="0"/>
        <v>66.666666666666671</v>
      </c>
      <c r="Q1100" s="12">
        <f>+(Tabla1[[#This Row],[COSTO COCHE]]/30)*Tabla1[[#This Row],[TOTAL DIAS PROYECTO]]</f>
        <v>540</v>
      </c>
      <c r="R1100" s="12">
        <f>+Tabla1[[#This Row],[COSTO TOTAL ALOJAMIENTO]]+Tabla1[[#This Row],[COSTO TOTAL COCHE]]</f>
        <v>2970</v>
      </c>
      <c r="S1100" s="2"/>
      <c r="T1100" s="2" t="s">
        <v>58</v>
      </c>
      <c r="U1100" s="14">
        <v>45568</v>
      </c>
      <c r="V1100" s="43"/>
      <c r="W1100" s="26"/>
      <c r="X1100" s="2">
        <v>1</v>
      </c>
      <c r="Y1100" s="11" t="s">
        <v>2511</v>
      </c>
      <c r="Z1100" s="2" t="s">
        <v>36</v>
      </c>
      <c r="AA1100" s="13">
        <v>-697.06100000000004</v>
      </c>
      <c r="AB1100" s="13" t="s">
        <v>10377</v>
      </c>
    </row>
    <row r="1101" spans="1:28" ht="15" customHeight="1">
      <c r="A1101" s="2" t="s">
        <v>8790</v>
      </c>
      <c r="B1101" s="2" t="s">
        <v>368</v>
      </c>
      <c r="C1101" s="11" t="s">
        <v>776</v>
      </c>
      <c r="D1101" s="2" t="s">
        <v>30</v>
      </c>
      <c r="E1101" s="2" t="s">
        <v>447</v>
      </c>
      <c r="F1101" s="11"/>
      <c r="G1101" s="46"/>
      <c r="H1101" s="2" t="s">
        <v>842</v>
      </c>
      <c r="I1101" s="12" t="s">
        <v>843</v>
      </c>
      <c r="J1101" s="41">
        <v>45566</v>
      </c>
      <c r="K1101" s="8">
        <v>45811</v>
      </c>
      <c r="L1101" s="42">
        <f>_xlfn.DAYS(Tabla1[[#This Row],[FECHA FIN ]],Tabla1[[#This Row],[FECHA INICIO]])</f>
        <v>245</v>
      </c>
      <c r="M1101" s="12"/>
      <c r="N1101" s="12">
        <v>300</v>
      </c>
      <c r="O1101" s="28">
        <f>(Tabla1[[#This Row],[COSTO FIJO ]]/30)*Tabla1[[#This Row],[TOTAL DIAS PROYECTO]]+(Tabla1[[#This Row],[COSTO TEMPORAL]])</f>
        <v>2450</v>
      </c>
      <c r="P1101" s="12">
        <f t="shared" si="0"/>
        <v>66.666666666666671</v>
      </c>
      <c r="Q1101" s="12">
        <f>+(Tabla1[[#This Row],[COSTO COCHE]]/30)*Tabla1[[#This Row],[TOTAL DIAS PROYECTO]]</f>
        <v>544.44444444444446</v>
      </c>
      <c r="R1101" s="12">
        <f>+Tabla1[[#This Row],[COSTO TOTAL ALOJAMIENTO]]+Tabla1[[#This Row],[COSTO TOTAL COCHE]]</f>
        <v>2994.4444444444443</v>
      </c>
      <c r="S1101" s="2"/>
      <c r="T1101" s="2" t="s">
        <v>58</v>
      </c>
      <c r="U1101" s="14">
        <v>45566</v>
      </c>
      <c r="V1101" s="43"/>
      <c r="W1101" s="26"/>
      <c r="X1101" s="2">
        <v>1</v>
      </c>
      <c r="Y1101" s="11" t="s">
        <v>2512</v>
      </c>
      <c r="Z1101" s="2" t="s">
        <v>36</v>
      </c>
      <c r="AA1101" s="13">
        <v>-697.06100000000004</v>
      </c>
      <c r="AB1101" s="13" t="s">
        <v>10377</v>
      </c>
    </row>
    <row r="1102" spans="1:28">
      <c r="A1102" s="2" t="s">
        <v>8883</v>
      </c>
      <c r="B1102" s="2" t="s">
        <v>368</v>
      </c>
      <c r="C1102" s="175" t="s">
        <v>1156</v>
      </c>
      <c r="D1102" s="2" t="s">
        <v>30</v>
      </c>
      <c r="E1102" s="2" t="s">
        <v>447</v>
      </c>
      <c r="F1102" s="11"/>
      <c r="G1102" s="46"/>
      <c r="H1102" s="2" t="s">
        <v>2317</v>
      </c>
      <c r="I1102" s="12" t="s">
        <v>843</v>
      </c>
      <c r="J1102" s="41">
        <v>45627</v>
      </c>
      <c r="K1102" s="8">
        <v>45811</v>
      </c>
      <c r="L1102" s="42">
        <f>_xlfn.DAYS(Tabla1[[#This Row],[FECHA FIN ]],Tabla1[[#This Row],[FECHA INICIO]])</f>
        <v>184</v>
      </c>
      <c r="M1102" s="12"/>
      <c r="N1102" s="12">
        <v>300</v>
      </c>
      <c r="O1102" s="28">
        <f>(Tabla1[[#This Row],[COSTO FIJO ]]/30)*Tabla1[[#This Row],[TOTAL DIAS PROYECTO]]+(Tabla1[[#This Row],[COSTO TEMPORAL]])</f>
        <v>1840</v>
      </c>
      <c r="P1102" s="12">
        <f t="shared" si="0"/>
        <v>66.666666666666671</v>
      </c>
      <c r="Q1102" s="12">
        <f>+(Tabla1[[#This Row],[COSTO COCHE]]/30)*Tabla1[[#This Row],[TOTAL DIAS PROYECTO]]</f>
        <v>408.88888888888891</v>
      </c>
      <c r="R1102" s="12">
        <f>+Tabla1[[#This Row],[COSTO TOTAL ALOJAMIENTO]]+Tabla1[[#This Row],[COSTO TOTAL COCHE]]</f>
        <v>2248.8888888888887</v>
      </c>
      <c r="S1102" s="2"/>
      <c r="T1102" s="2" t="s">
        <v>58</v>
      </c>
      <c r="U1102" s="14">
        <v>45627</v>
      </c>
      <c r="V1102" s="43"/>
      <c r="W1102" s="26"/>
      <c r="X1102" s="2"/>
      <c r="Y1102" s="11"/>
      <c r="Z1102" s="2" t="s">
        <v>36</v>
      </c>
      <c r="AA1102" s="13">
        <v>-697.06100000000004</v>
      </c>
      <c r="AB1102" s="13" t="s">
        <v>10377</v>
      </c>
    </row>
    <row r="1103" spans="1:28" ht="15" customHeight="1">
      <c r="A1103" s="2" t="s">
        <v>8894</v>
      </c>
      <c r="B1103" s="2" t="s">
        <v>368</v>
      </c>
      <c r="C1103" s="99" t="s">
        <v>1177</v>
      </c>
      <c r="D1103" s="2" t="s">
        <v>30</v>
      </c>
      <c r="E1103" s="2" t="s">
        <v>447</v>
      </c>
      <c r="F1103" s="11"/>
      <c r="G1103" s="46"/>
      <c r="H1103" s="2" t="s">
        <v>842</v>
      </c>
      <c r="I1103" s="12" t="s">
        <v>843</v>
      </c>
      <c r="J1103" s="41">
        <v>45566</v>
      </c>
      <c r="K1103" s="8">
        <v>45811</v>
      </c>
      <c r="L1103" s="42">
        <f>_xlfn.DAYS(Tabla1[[#This Row],[FECHA FIN ]],Tabla1[[#This Row],[FECHA INICIO]])</f>
        <v>245</v>
      </c>
      <c r="M1103" s="12"/>
      <c r="N1103" s="12">
        <v>300</v>
      </c>
      <c r="O1103" s="28">
        <f>(Tabla1[[#This Row],[COSTO FIJO ]]/30)*Tabla1[[#This Row],[TOTAL DIAS PROYECTO]]+(Tabla1[[#This Row],[COSTO TEMPORAL]])</f>
        <v>2450</v>
      </c>
      <c r="P1103" s="12">
        <f t="shared" si="0"/>
        <v>66.666666666666671</v>
      </c>
      <c r="Q1103" s="12">
        <f>+(Tabla1[[#This Row],[COSTO COCHE]]/30)*Tabla1[[#This Row],[TOTAL DIAS PROYECTO]]</f>
        <v>544.44444444444446</v>
      </c>
      <c r="R1103" s="12">
        <f>+Tabla1[[#This Row],[COSTO TOTAL ALOJAMIENTO]]+Tabla1[[#This Row],[COSTO TOTAL COCHE]]</f>
        <v>2994.4444444444443</v>
      </c>
      <c r="S1103" s="2"/>
      <c r="T1103" s="2" t="s">
        <v>58</v>
      </c>
      <c r="U1103" s="14">
        <v>45566</v>
      </c>
      <c r="V1103" s="43"/>
      <c r="W1103" s="26"/>
      <c r="X1103" s="2">
        <v>1</v>
      </c>
      <c r="Y1103" s="11" t="s">
        <v>2513</v>
      </c>
      <c r="Z1103" s="2" t="s">
        <v>36</v>
      </c>
      <c r="AA1103" s="13">
        <v>-697.06100000000004</v>
      </c>
      <c r="AB1103" s="13" t="s">
        <v>10377</v>
      </c>
    </row>
    <row r="1104" spans="1:28">
      <c r="A1104" s="2" t="s">
        <v>8940</v>
      </c>
      <c r="B1104" s="2" t="s">
        <v>368</v>
      </c>
      <c r="C1104" s="86" t="s">
        <v>1371</v>
      </c>
      <c r="D1104" s="2" t="s">
        <v>30</v>
      </c>
      <c r="E1104" s="2" t="s">
        <v>447</v>
      </c>
      <c r="F1104" s="11"/>
      <c r="G1104" s="46"/>
      <c r="H1104" s="2" t="s">
        <v>842</v>
      </c>
      <c r="I1104" s="12" t="s">
        <v>843</v>
      </c>
      <c r="J1104" s="41">
        <f>+Tabla1[[#This Row],[FECHA ENTRADA]]</f>
        <v>45672</v>
      </c>
      <c r="K1104" s="8">
        <v>45811</v>
      </c>
      <c r="L1104" s="42">
        <f>_xlfn.DAYS(Tabla1[[#This Row],[FECHA FIN ]],Tabla1[[#This Row],[FECHA INICIO]])</f>
        <v>139</v>
      </c>
      <c r="M1104" s="12"/>
      <c r="N1104" s="12">
        <v>300</v>
      </c>
      <c r="O1104" s="28">
        <f>(Tabla1[[#This Row],[COSTO FIJO ]]/30)*Tabla1[[#This Row],[TOTAL DIAS PROYECTO]]+(Tabla1[[#This Row],[COSTO TEMPORAL]])</f>
        <v>1390</v>
      </c>
      <c r="P1104" s="12">
        <f t="shared" si="0"/>
        <v>66.666666666666671</v>
      </c>
      <c r="Q1104" s="12">
        <f>+(Tabla1[[#This Row],[COSTO COCHE]]/30)*Tabla1[[#This Row],[TOTAL DIAS PROYECTO]]</f>
        <v>308.88888888888891</v>
      </c>
      <c r="R1104" s="12">
        <f>+Tabla1[[#This Row],[COSTO TOTAL ALOJAMIENTO]]+Tabla1[[#This Row],[COSTO TOTAL COCHE]]</f>
        <v>1698.8888888888889</v>
      </c>
      <c r="S1104" s="2"/>
      <c r="T1104" s="2" t="s">
        <v>58</v>
      </c>
      <c r="U1104" s="14">
        <v>45672</v>
      </c>
      <c r="V1104" s="43"/>
      <c r="W1104" s="26"/>
      <c r="X1104" s="2"/>
      <c r="Y1104" s="161" t="s">
        <v>2514</v>
      </c>
      <c r="Z1104" s="2" t="s">
        <v>36</v>
      </c>
      <c r="AA1104" s="13">
        <v>-697.06100000000004</v>
      </c>
      <c r="AB1104" s="13" t="s">
        <v>10377</v>
      </c>
    </row>
    <row r="1105" spans="1:28" ht="15" customHeight="1">
      <c r="A1105" s="2" t="s">
        <v>9228</v>
      </c>
      <c r="B1105" s="2" t="s">
        <v>28</v>
      </c>
      <c r="C1105" s="11" t="s">
        <v>2515</v>
      </c>
      <c r="D1105" s="2" t="s">
        <v>30</v>
      </c>
      <c r="E1105" s="2" t="s">
        <v>985</v>
      </c>
      <c r="F1105" s="11" t="s">
        <v>2516</v>
      </c>
      <c r="G1105" s="21" t="s">
        <v>2133</v>
      </c>
      <c r="H1105" s="2" t="s">
        <v>2134</v>
      </c>
      <c r="I1105" s="12" t="s">
        <v>249</v>
      </c>
      <c r="J1105" s="41">
        <f>+Tabla1[[#This Row],[FECHA ENTRADA]]</f>
        <v>45747</v>
      </c>
      <c r="K1105" s="22">
        <v>45821</v>
      </c>
      <c r="L1105" s="42">
        <f>_xlfn.DAYS(Tabla1[[#This Row],[FECHA FIN ]],Tabla1[[#This Row],[FECHA INICIO]])</f>
        <v>74</v>
      </c>
      <c r="M1105" s="12"/>
      <c r="N1105" s="12"/>
      <c r="O1105" s="28">
        <f>(Tabla1[[#This Row],[COSTO FIJO ]]/30)*Tabla1[[#This Row],[TOTAL DIAS PROYECTO]]+(Tabla1[[#This Row],[COSTO TEMPORAL]])</f>
        <v>0</v>
      </c>
      <c r="P1105" s="12"/>
      <c r="Q1105" s="12">
        <f>+(Tabla1[[#This Row],[COSTO COCHE]]/30)*Tabla1[[#This Row],[TOTAL DIAS PROYECTO]]</f>
        <v>0</v>
      </c>
      <c r="R1105" s="12">
        <f>+Tabla1[[#This Row],[COSTO TOTAL ALOJAMIENTO]]+Tabla1[[#This Row],[COSTO TOTAL COCHE]]</f>
        <v>0</v>
      </c>
      <c r="S1105" s="2" t="s">
        <v>403</v>
      </c>
      <c r="T1105" s="2" t="s">
        <v>528</v>
      </c>
      <c r="U1105" s="14">
        <v>45747</v>
      </c>
      <c r="V1105" s="43">
        <v>45777</v>
      </c>
      <c r="W1105" s="26"/>
      <c r="X1105" s="2"/>
      <c r="Y1105" t="s">
        <v>2517</v>
      </c>
      <c r="Z1105" s="2" t="s">
        <v>36</v>
      </c>
      <c r="AA1105" s="13" t="s">
        <v>10407</v>
      </c>
      <c r="AB1105" s="13" t="s">
        <v>10408</v>
      </c>
    </row>
    <row r="1106" spans="1:28">
      <c r="A1106" s="2" t="s">
        <v>8823</v>
      </c>
      <c r="B1106" s="2" t="s">
        <v>368</v>
      </c>
      <c r="C1106" s="176" t="s">
        <v>906</v>
      </c>
      <c r="D1106" s="2" t="s">
        <v>30</v>
      </c>
      <c r="E1106" s="2" t="s">
        <v>447</v>
      </c>
      <c r="F1106" s="11"/>
      <c r="G1106" s="46"/>
      <c r="H1106" s="2" t="s">
        <v>1369</v>
      </c>
      <c r="I1106" s="12" t="s">
        <v>843</v>
      </c>
      <c r="J1106" s="41">
        <f>+Tabla1[[#This Row],[FECHA ENTRADA]]</f>
        <v>45672</v>
      </c>
      <c r="K1106" s="8">
        <v>45811</v>
      </c>
      <c r="L1106" s="42">
        <f>_xlfn.DAYS(Tabla1[[#This Row],[FECHA FIN ]],Tabla1[[#This Row],[FECHA INICIO]])</f>
        <v>139</v>
      </c>
      <c r="M1106" s="12"/>
      <c r="N1106" s="12">
        <v>300</v>
      </c>
      <c r="O1106" s="28">
        <f>(Tabla1[[#This Row],[COSTO FIJO ]]/30)*Tabla1[[#This Row],[TOTAL DIAS PROYECTO]]+(Tabla1[[#This Row],[COSTO TEMPORAL]])</f>
        <v>1390</v>
      </c>
      <c r="P1106" s="12">
        <f>1000/15</f>
        <v>66.666666666666671</v>
      </c>
      <c r="Q1106" s="12">
        <f>+(Tabla1[[#This Row],[COSTO COCHE]]/30)*Tabla1[[#This Row],[TOTAL DIAS PROYECTO]]</f>
        <v>308.88888888888891</v>
      </c>
      <c r="R1106" s="12">
        <f>+Tabla1[[#This Row],[COSTO TOTAL ALOJAMIENTO]]+Tabla1[[#This Row],[COSTO TOTAL COCHE]]</f>
        <v>1698.8888888888889</v>
      </c>
      <c r="S1106" s="2"/>
      <c r="T1106" s="2" t="s">
        <v>58</v>
      </c>
      <c r="U1106" s="14">
        <v>45672</v>
      </c>
      <c r="V1106" s="43"/>
      <c r="W1106" s="26"/>
      <c r="X1106" s="2"/>
      <c r="Y1106" s="11" t="s">
        <v>2518</v>
      </c>
      <c r="Z1106" s="2" t="s">
        <v>36</v>
      </c>
      <c r="AA1106" s="13">
        <v>-697.06100000000004</v>
      </c>
      <c r="AB1106" s="13" t="s">
        <v>10377</v>
      </c>
    </row>
    <row r="1107" spans="1:28" ht="15" customHeight="1">
      <c r="A1107" s="2" t="s">
        <v>9131</v>
      </c>
      <c r="B1107" s="2" t="s">
        <v>28</v>
      </c>
      <c r="C1107" s="11" t="s">
        <v>2131</v>
      </c>
      <c r="D1107" s="2" t="s">
        <v>30</v>
      </c>
      <c r="E1107" s="2" t="s">
        <v>985</v>
      </c>
      <c r="F1107" s="11" t="s">
        <v>2178</v>
      </c>
      <c r="G1107" s="21" t="s">
        <v>2179</v>
      </c>
      <c r="H1107" s="2" t="s">
        <v>2134</v>
      </c>
      <c r="I1107" s="12" t="s">
        <v>249</v>
      </c>
      <c r="J1107" s="41">
        <f>+Tabla1[[#This Row],[FECHA ENTRADA]]</f>
        <v>45776</v>
      </c>
      <c r="K1107" s="8">
        <v>45811</v>
      </c>
      <c r="L1107" s="23">
        <f>_xlfn.DAYS(Tabla1[[#This Row],[FECHA FIN ]],Tabla1[[#This Row],[FECHA INICIO]])</f>
        <v>35</v>
      </c>
      <c r="M1107" s="12"/>
      <c r="N1107" s="12"/>
      <c r="O1107" s="24">
        <f>(Tabla1[[#This Row],[COSTO FIJO ]]/30)*Tabla1[[#This Row],[TOTAL DIAS PROYECTO]]+(Tabla1[[#This Row],[COSTO TEMPORAL]])</f>
        <v>0</v>
      </c>
      <c r="P1107" s="12"/>
      <c r="Q1107" s="12">
        <f>+(Tabla1[[#This Row],[COSTO COCHE]]/30)*Tabla1[[#This Row],[TOTAL DIAS PROYECTO]]</f>
        <v>0</v>
      </c>
      <c r="R1107" s="12">
        <f>+Tabla1[[#This Row],[COSTO TOTAL ALOJAMIENTO]]+Tabla1[[#This Row],[COSTO TOTAL COCHE]]</f>
        <v>0</v>
      </c>
      <c r="S1107" s="2"/>
      <c r="T1107" s="2" t="s">
        <v>528</v>
      </c>
      <c r="U1107" s="14">
        <v>45776</v>
      </c>
      <c r="V1107" s="25">
        <v>45781</v>
      </c>
      <c r="W1107" s="26"/>
      <c r="X1107" s="2"/>
      <c r="Y1107" s="11" t="s">
        <v>1166</v>
      </c>
      <c r="Z1107" s="2" t="s">
        <v>36</v>
      </c>
      <c r="AA1107" s="13" t="s">
        <v>10407</v>
      </c>
      <c r="AB1107" s="13" t="s">
        <v>10408</v>
      </c>
    </row>
    <row r="1108" spans="1:28">
      <c r="A1108" s="2" t="s">
        <v>9229</v>
      </c>
      <c r="B1108" s="2" t="s">
        <v>368</v>
      </c>
      <c r="C1108" s="176" t="s">
        <v>2519</v>
      </c>
      <c r="D1108" s="2" t="s">
        <v>30</v>
      </c>
      <c r="E1108" s="2" t="s">
        <v>447</v>
      </c>
      <c r="F1108" s="11"/>
      <c r="G1108" s="46"/>
      <c r="H1108" s="2" t="s">
        <v>842</v>
      </c>
      <c r="I1108" s="12" t="s">
        <v>843</v>
      </c>
      <c r="J1108" s="41">
        <v>45566</v>
      </c>
      <c r="K1108" s="8">
        <v>45811</v>
      </c>
      <c r="L1108" s="42">
        <f>_xlfn.DAYS(Tabla1[[#This Row],[FECHA FIN ]],Tabla1[[#This Row],[FECHA INICIO]])</f>
        <v>245</v>
      </c>
      <c r="M1108" s="12"/>
      <c r="N1108" s="12">
        <v>300</v>
      </c>
      <c r="O1108" s="28">
        <f>(Tabla1[[#This Row],[COSTO FIJO ]]/30)*Tabla1[[#This Row],[TOTAL DIAS PROYECTO]]+(Tabla1[[#This Row],[COSTO TEMPORAL]])</f>
        <v>2450</v>
      </c>
      <c r="P1108" s="12">
        <f>1000/15</f>
        <v>66.666666666666671</v>
      </c>
      <c r="Q1108" s="12">
        <f>+(Tabla1[[#This Row],[COSTO COCHE]]/30)*Tabla1[[#This Row],[TOTAL DIAS PROYECTO]]</f>
        <v>544.44444444444446</v>
      </c>
      <c r="R1108" s="12">
        <f>+Tabla1[[#This Row],[COSTO TOTAL ALOJAMIENTO]]+Tabla1[[#This Row],[COSTO TOTAL COCHE]]</f>
        <v>2994.4444444444443</v>
      </c>
      <c r="S1108" s="2"/>
      <c r="T1108" s="2" t="s">
        <v>58</v>
      </c>
      <c r="U1108" s="14">
        <v>45566</v>
      </c>
      <c r="V1108" s="43"/>
      <c r="W1108" s="26"/>
      <c r="X1108" s="2">
        <v>1</v>
      </c>
      <c r="Y1108" s="11" t="s">
        <v>2520</v>
      </c>
      <c r="Z1108" s="2" t="s">
        <v>36</v>
      </c>
      <c r="AA1108" s="13">
        <v>-697.06100000000004</v>
      </c>
      <c r="AB1108" s="13" t="s">
        <v>10377</v>
      </c>
    </row>
    <row r="1109" spans="1:28" ht="15" customHeight="1">
      <c r="A1109" s="2" t="s">
        <v>9230</v>
      </c>
      <c r="B1109" s="2" t="s">
        <v>368</v>
      </c>
      <c r="C1109" s="86" t="s">
        <v>2521</v>
      </c>
      <c r="D1109" s="2" t="s">
        <v>30</v>
      </c>
      <c r="E1109" s="2" t="s">
        <v>447</v>
      </c>
      <c r="F1109" s="11"/>
      <c r="G1109" s="49"/>
      <c r="H1109" s="2" t="s">
        <v>842</v>
      </c>
      <c r="I1109" s="12" t="s">
        <v>843</v>
      </c>
      <c r="J1109" s="22">
        <f>+Tabla1[[#This Row],[FECHA ENTRADA]]</f>
        <v>45659</v>
      </c>
      <c r="K1109" s="8">
        <v>45811</v>
      </c>
      <c r="L1109" s="23">
        <f>_xlfn.DAYS(Tabla1[[#This Row],[FECHA FIN ]],Tabla1[[#This Row],[FECHA INICIO]])</f>
        <v>152</v>
      </c>
      <c r="M1109" s="12"/>
      <c r="N1109" s="12">
        <v>300</v>
      </c>
      <c r="O1109" s="24">
        <f>(Tabla1[[#This Row],[COSTO FIJO ]]/30)*Tabla1[[#This Row],[TOTAL DIAS PROYECTO]]+(Tabla1[[#This Row],[COSTO TEMPORAL]])</f>
        <v>1520</v>
      </c>
      <c r="P1109" s="12">
        <f>1000/15</f>
        <v>66.666666666666671</v>
      </c>
      <c r="Q1109" s="12">
        <f>+(Tabla1[[#This Row],[COSTO COCHE]]/30)*Tabla1[[#This Row],[TOTAL DIAS PROYECTO]]</f>
        <v>337.77777777777777</v>
      </c>
      <c r="R1109" s="12">
        <f>+Tabla1[[#This Row],[COSTO TOTAL ALOJAMIENTO]]+Tabla1[[#This Row],[COSTO TOTAL COCHE]]</f>
        <v>1857.7777777777778</v>
      </c>
      <c r="S1109" s="2"/>
      <c r="T1109" s="2" t="s">
        <v>58</v>
      </c>
      <c r="U1109" s="14">
        <v>45659</v>
      </c>
      <c r="V1109" s="25"/>
      <c r="W1109" s="26"/>
      <c r="X1109" s="2"/>
      <c r="Y1109" s="11" t="s">
        <v>2518</v>
      </c>
      <c r="Z1109" s="2" t="s">
        <v>36</v>
      </c>
      <c r="AA1109" s="13">
        <v>-697.06100000000004</v>
      </c>
      <c r="AB1109" s="13" t="s">
        <v>10377</v>
      </c>
    </row>
    <row r="1110" spans="1:28">
      <c r="A1110" s="2" t="s">
        <v>9231</v>
      </c>
      <c r="B1110" s="2" t="s">
        <v>368</v>
      </c>
      <c r="C1110" s="86" t="s">
        <v>2522</v>
      </c>
      <c r="D1110" s="2" t="s">
        <v>30</v>
      </c>
      <c r="E1110" s="2" t="s">
        <v>447</v>
      </c>
      <c r="F1110" s="11"/>
      <c r="G1110" s="46"/>
      <c r="H1110" s="2" t="s">
        <v>2507</v>
      </c>
      <c r="I1110" s="12" t="s">
        <v>843</v>
      </c>
      <c r="J1110" s="41">
        <f>+Tabla1[[#This Row],[FECHA ENTRADA]]</f>
        <v>45672</v>
      </c>
      <c r="K1110" s="8">
        <v>45811</v>
      </c>
      <c r="L1110" s="42">
        <f>_xlfn.DAYS(Tabla1[[#This Row],[FECHA FIN ]],Tabla1[[#This Row],[FECHA INICIO]])</f>
        <v>139</v>
      </c>
      <c r="M1110" s="12"/>
      <c r="N1110" s="12">
        <v>300</v>
      </c>
      <c r="O1110" s="28">
        <f>(Tabla1[[#This Row],[COSTO FIJO ]]/30)*Tabla1[[#This Row],[TOTAL DIAS PROYECTO]]+(Tabla1[[#This Row],[COSTO TEMPORAL]])</f>
        <v>1390</v>
      </c>
      <c r="P1110" s="12">
        <f>1000/15</f>
        <v>66.666666666666671</v>
      </c>
      <c r="Q1110" s="12">
        <f>+(Tabla1[[#This Row],[COSTO COCHE]]/30)*Tabla1[[#This Row],[TOTAL DIAS PROYECTO]]</f>
        <v>308.88888888888891</v>
      </c>
      <c r="R1110" s="12">
        <f>+Tabla1[[#This Row],[COSTO TOTAL ALOJAMIENTO]]+Tabla1[[#This Row],[COSTO TOTAL COCHE]]</f>
        <v>1698.8888888888889</v>
      </c>
      <c r="S1110" s="2"/>
      <c r="T1110" s="2" t="s">
        <v>58</v>
      </c>
      <c r="U1110" s="14">
        <v>45672</v>
      </c>
      <c r="V1110" s="43"/>
      <c r="W1110" s="26"/>
      <c r="X1110" s="2"/>
      <c r="Y1110" s="11" t="s">
        <v>2518</v>
      </c>
      <c r="Z1110" s="2" t="s">
        <v>36</v>
      </c>
      <c r="AA1110" s="13">
        <v>-697.06100000000004</v>
      </c>
      <c r="AB1110" s="13" t="s">
        <v>10377</v>
      </c>
    </row>
    <row r="1111" spans="1:28" ht="15" customHeight="1">
      <c r="A1111" s="2" t="s">
        <v>9232</v>
      </c>
      <c r="B1111" s="2" t="s">
        <v>368</v>
      </c>
      <c r="C1111" s="176" t="s">
        <v>2523</v>
      </c>
      <c r="D1111" s="2" t="s">
        <v>30</v>
      </c>
      <c r="E1111" s="2" t="s">
        <v>447</v>
      </c>
      <c r="F1111" s="11"/>
      <c r="G1111" s="46"/>
      <c r="H1111" s="2" t="s">
        <v>1369</v>
      </c>
      <c r="I1111" s="12" t="s">
        <v>843</v>
      </c>
      <c r="J1111" s="41">
        <f>+Tabla1[[#This Row],[FECHA ENTRADA]]</f>
        <v>45672</v>
      </c>
      <c r="K1111" s="8">
        <v>45811</v>
      </c>
      <c r="L1111" s="42">
        <f>_xlfn.DAYS(Tabla1[[#This Row],[FECHA FIN ]],Tabla1[[#This Row],[FECHA INICIO]])</f>
        <v>139</v>
      </c>
      <c r="M1111" s="12"/>
      <c r="N1111" s="12">
        <v>300</v>
      </c>
      <c r="O1111" s="28">
        <f>(Tabla1[[#This Row],[COSTO FIJO ]]/30)*Tabla1[[#This Row],[TOTAL DIAS PROYECTO]]+(Tabla1[[#This Row],[COSTO TEMPORAL]])</f>
        <v>1390</v>
      </c>
      <c r="P1111" s="12">
        <f>1000/15</f>
        <v>66.666666666666671</v>
      </c>
      <c r="Q1111" s="12">
        <f>+(Tabla1[[#This Row],[COSTO COCHE]]/30)*Tabla1[[#This Row],[TOTAL DIAS PROYECTO]]</f>
        <v>308.88888888888891</v>
      </c>
      <c r="R1111" s="12">
        <f>+Tabla1[[#This Row],[COSTO TOTAL ALOJAMIENTO]]+Tabla1[[#This Row],[COSTO TOTAL COCHE]]</f>
        <v>1698.8888888888889</v>
      </c>
      <c r="S1111" s="2"/>
      <c r="T1111" s="2" t="s">
        <v>58</v>
      </c>
      <c r="U1111" s="14">
        <v>45672</v>
      </c>
      <c r="V1111" s="43"/>
      <c r="W1111" s="26"/>
      <c r="X1111" s="2"/>
      <c r="Y1111" s="11" t="s">
        <v>2518</v>
      </c>
      <c r="Z1111" s="2" t="s">
        <v>36</v>
      </c>
      <c r="AA1111" s="13">
        <v>-697.06100000000004</v>
      </c>
      <c r="AB1111" s="13" t="s">
        <v>10377</v>
      </c>
    </row>
    <row r="1112" spans="1:28">
      <c r="A1112" s="2" t="s">
        <v>9233</v>
      </c>
      <c r="B1112" s="2" t="s">
        <v>368</v>
      </c>
      <c r="C1112" s="86" t="s">
        <v>2524</v>
      </c>
      <c r="D1112" s="2" t="s">
        <v>30</v>
      </c>
      <c r="E1112" s="2" t="s">
        <v>447</v>
      </c>
      <c r="F1112" s="11"/>
      <c r="G1112" s="49"/>
      <c r="H1112" s="2" t="s">
        <v>842</v>
      </c>
      <c r="I1112" s="12" t="s">
        <v>843</v>
      </c>
      <c r="J1112" s="22">
        <f>+Tabla1[[#This Row],[FECHA ENTRADA]]</f>
        <v>45659</v>
      </c>
      <c r="K1112" s="8">
        <v>45811</v>
      </c>
      <c r="L1112" s="23">
        <f>_xlfn.DAYS(Tabla1[[#This Row],[FECHA FIN ]],Tabla1[[#This Row],[FECHA INICIO]])</f>
        <v>152</v>
      </c>
      <c r="M1112" s="12"/>
      <c r="N1112" s="12">
        <v>300</v>
      </c>
      <c r="O1112" s="24">
        <f>(Tabla1[[#This Row],[COSTO FIJO ]]/30)*Tabla1[[#This Row],[TOTAL DIAS PROYECTO]]+(Tabla1[[#This Row],[COSTO TEMPORAL]])</f>
        <v>1520</v>
      </c>
      <c r="P1112" s="12">
        <f>1000/15</f>
        <v>66.666666666666671</v>
      </c>
      <c r="Q1112" s="12">
        <f>+(Tabla1[[#This Row],[COSTO COCHE]]/30)*Tabla1[[#This Row],[TOTAL DIAS PROYECTO]]</f>
        <v>337.77777777777777</v>
      </c>
      <c r="R1112" s="12">
        <f>+Tabla1[[#This Row],[COSTO TOTAL ALOJAMIENTO]]+Tabla1[[#This Row],[COSTO TOTAL COCHE]]</f>
        <v>1857.7777777777778</v>
      </c>
      <c r="S1112" s="2"/>
      <c r="T1112" s="2" t="s">
        <v>58</v>
      </c>
      <c r="U1112" s="14">
        <v>45659</v>
      </c>
      <c r="V1112" s="25"/>
      <c r="W1112" s="26"/>
      <c r="X1112" s="2"/>
      <c r="Y1112" s="11" t="s">
        <v>2518</v>
      </c>
      <c r="Z1112" s="2" t="s">
        <v>36</v>
      </c>
      <c r="AA1112" s="13">
        <v>-697.06100000000004</v>
      </c>
      <c r="AB1112" s="13" t="s">
        <v>10377</v>
      </c>
    </row>
    <row r="1113" spans="1:28" ht="15" customHeight="1">
      <c r="A1113" s="2" t="s">
        <v>9083</v>
      </c>
      <c r="B1113" s="2" t="s">
        <v>28</v>
      </c>
      <c r="C1113" s="11" t="s">
        <v>1941</v>
      </c>
      <c r="D1113" s="2" t="s">
        <v>30</v>
      </c>
      <c r="E1113" s="2" t="s">
        <v>151</v>
      </c>
      <c r="F1113" s="11" t="s">
        <v>1499</v>
      </c>
      <c r="G1113" s="11" t="s">
        <v>1500</v>
      </c>
      <c r="H1113" s="2" t="s">
        <v>2525</v>
      </c>
      <c r="I1113" s="12" t="s">
        <v>228</v>
      </c>
      <c r="J1113" s="22">
        <f>+Tabla1[[#This Row],[FECHA ENTRADA]]</f>
        <v>45809</v>
      </c>
      <c r="K1113" s="22">
        <v>45811</v>
      </c>
      <c r="L1113" s="42">
        <f>_xlfn.DAYS(Tabla1[[#This Row],[FECHA FIN ]],Tabla1[[#This Row],[FECHA INICIO]])</f>
        <v>2</v>
      </c>
      <c r="M1113" s="12"/>
      <c r="N1113" s="12"/>
      <c r="O1113" s="28">
        <f>(Tabla1[[#This Row],[COSTO FIJO ]]/30)*Tabla1[[#This Row],[TOTAL DIAS PROYECTO]]+(Tabla1[[#This Row],[COSTO TEMPORAL]])</f>
        <v>0</v>
      </c>
      <c r="P1113" s="12"/>
      <c r="Q1113" s="12">
        <f>+(Tabla1[[#This Row],[COSTO COCHE]]/30)*Tabla1[[#This Row],[TOTAL DIAS PROYECTO]]</f>
        <v>0</v>
      </c>
      <c r="R1113" s="12">
        <f>+Tabla1[[#This Row],[COSTO TOTAL ALOJAMIENTO]]+Tabla1[[#This Row],[COSTO TOTAL COCHE]]</f>
        <v>0</v>
      </c>
      <c r="S1113" s="2"/>
      <c r="T1113" s="2" t="s">
        <v>35</v>
      </c>
      <c r="U1113" s="14">
        <v>45809</v>
      </c>
      <c r="V1113" s="43"/>
      <c r="W1113" s="26"/>
      <c r="X1113" s="2">
        <v>28</v>
      </c>
      <c r="Y1113" s="11" t="s">
        <v>2526</v>
      </c>
      <c r="Z1113" s="2" t="s">
        <v>36</v>
      </c>
      <c r="AA1113" s="13" t="s">
        <v>10345</v>
      </c>
      <c r="AB1113" s="13" t="s">
        <v>10346</v>
      </c>
    </row>
    <row r="1114" spans="1:28" ht="15" customHeight="1">
      <c r="A1114" s="2" t="s">
        <v>8638</v>
      </c>
      <c r="B1114" s="2" t="s">
        <v>28</v>
      </c>
      <c r="C1114" s="86" t="s">
        <v>337</v>
      </c>
      <c r="D1114" s="2" t="s">
        <v>30</v>
      </c>
      <c r="E1114" s="2" t="s">
        <v>476</v>
      </c>
      <c r="F1114" s="11"/>
      <c r="G1114" s="11"/>
      <c r="H1114" s="2" t="s">
        <v>474</v>
      </c>
      <c r="I1114" s="12" t="s">
        <v>165</v>
      </c>
      <c r="J1114" s="8">
        <v>45245</v>
      </c>
      <c r="K1114" s="8">
        <v>45812</v>
      </c>
      <c r="L1114" s="13">
        <f>_xlfn.DAYS(Tabla1[[#This Row],[FECHA FIN ]],Tabla1[[#This Row],[FECHA INICIO]])</f>
        <v>567</v>
      </c>
      <c r="M1114" s="2"/>
      <c r="N1114" s="12">
        <v>300</v>
      </c>
      <c r="O1114" s="12">
        <f>(Tabla1[[#This Row],[COSTO FIJO ]]/30)*Tabla1[[#This Row],[TOTAL DIAS PROYECTO]]+(Tabla1[[#This Row],[COSTO TEMPORAL]])</f>
        <v>5670</v>
      </c>
      <c r="P1114" s="14"/>
      <c r="Q1114" s="12">
        <f>+(Tabla1[[#This Row],[COSTO COCHE]]/30)*Tabla1[[#This Row],[TOTAL DIAS PROYECTO]]</f>
        <v>0</v>
      </c>
      <c r="R1114" s="12">
        <f>+Tabla1[[#This Row],[COSTO TOTAL ALOJAMIENTO]]+Tabla1[[#This Row],[COSTO TOTAL COCHE]]</f>
        <v>5670</v>
      </c>
      <c r="S1114" s="14"/>
      <c r="T1114" s="26" t="s">
        <v>58</v>
      </c>
      <c r="U1114" s="2"/>
      <c r="V1114" s="11"/>
      <c r="W1114" s="2"/>
      <c r="X1114" s="2"/>
      <c r="Y1114" s="177" t="s">
        <v>2527</v>
      </c>
      <c r="Z1114" s="2" t="s">
        <v>36</v>
      </c>
      <c r="AA1114" s="13">
        <v>-7.8640699999999999</v>
      </c>
      <c r="AB1114" s="13">
        <v>42.336689999999997</v>
      </c>
    </row>
    <row r="1115" spans="1:28">
      <c r="A1115" s="2" t="s">
        <v>8638</v>
      </c>
      <c r="B1115" s="2" t="s">
        <v>28</v>
      </c>
      <c r="C1115" s="86" t="s">
        <v>2528</v>
      </c>
      <c r="D1115" s="2" t="s">
        <v>30</v>
      </c>
      <c r="E1115" s="2" t="s">
        <v>476</v>
      </c>
      <c r="F1115" s="11"/>
      <c r="G1115" s="11"/>
      <c r="H1115" s="2">
        <v>2023</v>
      </c>
      <c r="I1115" s="2" t="s">
        <v>165</v>
      </c>
      <c r="J1115" s="8">
        <f>+Tabla1[[#This Row],[FECHA ENTRADA]]</f>
        <v>45306</v>
      </c>
      <c r="K1115" s="8">
        <v>45812</v>
      </c>
      <c r="L1115" s="13">
        <f>_xlfn.DAYS(Tabla1[[#This Row],[FECHA FIN ]],Tabla1[[#This Row],[FECHA INICIO]])</f>
        <v>506</v>
      </c>
      <c r="M1115" s="2"/>
      <c r="N1115" s="12">
        <v>300</v>
      </c>
      <c r="O1115" s="12">
        <f>(Tabla1[[#This Row],[COSTO FIJO ]]/30)*Tabla1[[#This Row],[TOTAL DIAS PROYECTO]]+(Tabla1[[#This Row],[COSTO TEMPORAL]])</f>
        <v>5060</v>
      </c>
      <c r="P1115" s="12"/>
      <c r="Q1115" s="12">
        <f>+(Tabla1[[#This Row],[COSTO COCHE]]/30)*Tabla1[[#This Row],[TOTAL DIAS PROYECTO]]</f>
        <v>0</v>
      </c>
      <c r="R1115" s="12">
        <f>+Tabla1[[#This Row],[COSTO TOTAL ALOJAMIENTO]]+Tabla1[[#This Row],[COSTO TOTAL COCHE]]</f>
        <v>5060</v>
      </c>
      <c r="S1115" s="2"/>
      <c r="T1115" s="2" t="s">
        <v>58</v>
      </c>
      <c r="U1115" s="14">
        <v>45306</v>
      </c>
      <c r="V1115" s="14">
        <v>45348</v>
      </c>
      <c r="W1115" s="15"/>
      <c r="X1115" s="2"/>
      <c r="Y1115" s="11" t="s">
        <v>2529</v>
      </c>
      <c r="Z1115" s="2" t="s">
        <v>36</v>
      </c>
      <c r="AA1115" s="13">
        <v>-7.8640699999999999</v>
      </c>
      <c r="AB1115" s="13">
        <v>42.336689999999997</v>
      </c>
    </row>
    <row r="1116" spans="1:28">
      <c r="A1116" s="2" t="s">
        <v>8642</v>
      </c>
      <c r="B1116" s="2" t="s">
        <v>28</v>
      </c>
      <c r="C1116" s="18" t="s">
        <v>160</v>
      </c>
      <c r="D1116" s="2" t="s">
        <v>30</v>
      </c>
      <c r="E1116" s="2" t="s">
        <v>476</v>
      </c>
      <c r="F1116" s="11"/>
      <c r="G1116" s="46"/>
      <c r="H1116" s="2" t="s">
        <v>1489</v>
      </c>
      <c r="I1116" s="12" t="s">
        <v>165</v>
      </c>
      <c r="J1116" s="41">
        <f>+Tabla1[[#This Row],[FECHA ENTRADA]]</f>
        <v>45689</v>
      </c>
      <c r="K1116" s="8">
        <v>45812</v>
      </c>
      <c r="L1116" s="42">
        <f>_xlfn.DAYS(Tabla1[[#This Row],[FECHA FIN ]],Tabla1[[#This Row],[FECHA INICIO]])</f>
        <v>123</v>
      </c>
      <c r="M1116" s="12"/>
      <c r="N1116" s="12">
        <v>300</v>
      </c>
      <c r="O1116" s="28">
        <f>(Tabla1[[#This Row],[COSTO FIJO ]]/30)*Tabla1[[#This Row],[TOTAL DIAS PROYECTO]]+(Tabla1[[#This Row],[COSTO TEMPORAL]])</f>
        <v>1230</v>
      </c>
      <c r="P1116" s="12"/>
      <c r="Q1116" s="12">
        <f>+(Tabla1[[#This Row],[COSTO COCHE]]/30)*Tabla1[[#This Row],[TOTAL DIAS PROYECTO]]</f>
        <v>0</v>
      </c>
      <c r="R1116" s="12">
        <f>+Tabla1[[#This Row],[COSTO TOTAL ALOJAMIENTO]]+Tabla1[[#This Row],[COSTO TOTAL COCHE]]</f>
        <v>1230</v>
      </c>
      <c r="S1116" s="2"/>
      <c r="T1116" s="2" t="s">
        <v>58</v>
      </c>
      <c r="U1116" s="14">
        <v>45689</v>
      </c>
      <c r="V1116" s="43"/>
      <c r="W1116" s="26"/>
      <c r="X1116" s="2"/>
      <c r="Y1116" s="11"/>
      <c r="Z1116" s="2" t="s">
        <v>36</v>
      </c>
      <c r="AA1116" s="13">
        <v>-7.8640699999999999</v>
      </c>
      <c r="AB1116" s="13">
        <v>42.336689999999997</v>
      </c>
    </row>
    <row r="1117" spans="1:28" ht="15" customHeight="1">
      <c r="A1117" s="2" t="s">
        <v>9234</v>
      </c>
      <c r="B1117" s="2" t="s">
        <v>28</v>
      </c>
      <c r="C1117" s="86" t="s">
        <v>2530</v>
      </c>
      <c r="D1117" s="2" t="s">
        <v>30</v>
      </c>
      <c r="E1117" s="2" t="s">
        <v>476</v>
      </c>
      <c r="F1117" s="11"/>
      <c r="G1117" s="11"/>
      <c r="H1117" s="2">
        <v>2023</v>
      </c>
      <c r="I1117" s="2" t="s">
        <v>165</v>
      </c>
      <c r="J1117" s="8">
        <v>45124</v>
      </c>
      <c r="K1117" s="8">
        <v>45812</v>
      </c>
      <c r="L1117" s="13">
        <f>_xlfn.DAYS(Tabla1[[#This Row],[FECHA FIN ]],Tabla1[[#This Row],[FECHA INICIO]])</f>
        <v>688</v>
      </c>
      <c r="M1117" s="12"/>
      <c r="N1117" s="12">
        <v>300</v>
      </c>
      <c r="O1117" s="12">
        <f>(Tabla1[[#This Row],[COSTO FIJO ]]/30)*Tabla1[[#This Row],[TOTAL DIAS PROYECTO]]+(Tabla1[[#This Row],[COSTO TEMPORAL]])</f>
        <v>6880</v>
      </c>
      <c r="P1117" s="12"/>
      <c r="Q1117" s="12">
        <f>+(Tabla1[[#This Row],[COSTO COCHE]]/30)*Tabla1[[#This Row],[TOTAL DIAS PROYECTO]]</f>
        <v>0</v>
      </c>
      <c r="R1117" s="12">
        <f>+Tabla1[[#This Row],[COSTO TOTAL ALOJAMIENTO]]+Tabla1[[#This Row],[COSTO TOTAL COCHE]]</f>
        <v>6880</v>
      </c>
      <c r="S1117" s="2"/>
      <c r="T1117" s="2" t="s">
        <v>58</v>
      </c>
      <c r="U1117" s="14"/>
      <c r="V1117" s="14">
        <v>45336</v>
      </c>
      <c r="W1117" s="15"/>
      <c r="X1117" s="2"/>
      <c r="Y1117" s="11"/>
      <c r="Z1117" s="2" t="s">
        <v>36</v>
      </c>
      <c r="AA1117" s="13">
        <v>-7.8640699999999999</v>
      </c>
      <c r="AB1117" s="13">
        <v>42.336689999999997</v>
      </c>
    </row>
    <row r="1118" spans="1:28">
      <c r="A1118" s="2" t="s">
        <v>8638</v>
      </c>
      <c r="B1118" s="2" t="s">
        <v>28</v>
      </c>
      <c r="C1118" s="176" t="s">
        <v>2531</v>
      </c>
      <c r="D1118" s="2" t="s">
        <v>30</v>
      </c>
      <c r="E1118" s="2" t="s">
        <v>476</v>
      </c>
      <c r="F1118" s="11"/>
      <c r="G1118" s="11"/>
      <c r="H1118" s="2" t="s">
        <v>2532</v>
      </c>
      <c r="I1118" s="12" t="s">
        <v>165</v>
      </c>
      <c r="J1118" s="8">
        <f>+Tabla1[[#This Row],[FECHA ENTRADA]]</f>
        <v>45396</v>
      </c>
      <c r="K1118" s="8">
        <v>45812</v>
      </c>
      <c r="L1118" s="13">
        <f>_xlfn.DAYS(Tabla1[[#This Row],[FECHA FIN ]],Tabla1[[#This Row],[FECHA INICIO]])</f>
        <v>416</v>
      </c>
      <c r="M1118" s="12"/>
      <c r="N1118" s="12">
        <v>300</v>
      </c>
      <c r="O1118" s="12">
        <f>(Tabla1[[#This Row],[COSTO FIJO ]]/30)*Tabla1[[#This Row],[TOTAL DIAS PROYECTO]]+(Tabla1[[#This Row],[COSTO TEMPORAL]])</f>
        <v>4160</v>
      </c>
      <c r="P1118" s="12"/>
      <c r="Q1118" s="12">
        <f>+(Tabla1[[#This Row],[COSTO COCHE]]/30)*Tabla1[[#This Row],[TOTAL DIAS PROYECTO]]</f>
        <v>0</v>
      </c>
      <c r="R1118" s="12">
        <f>+Tabla1[[#This Row],[COSTO TOTAL ALOJAMIENTO]]+Tabla1[[#This Row],[COSTO TOTAL COCHE]]</f>
        <v>4160</v>
      </c>
      <c r="S1118" s="2"/>
      <c r="T1118" s="2" t="s">
        <v>646</v>
      </c>
      <c r="U1118" s="14">
        <v>45396</v>
      </c>
      <c r="V1118" s="14"/>
      <c r="W1118" s="26"/>
      <c r="X1118" s="2"/>
      <c r="Y1118" s="11" t="s">
        <v>2533</v>
      </c>
      <c r="Z1118" s="2" t="s">
        <v>36</v>
      </c>
      <c r="AA1118" s="13">
        <v>-7.8640699999999999</v>
      </c>
      <c r="AB1118" s="13">
        <v>42.336689999999997</v>
      </c>
    </row>
    <row r="1119" spans="1:28" ht="15" customHeight="1">
      <c r="A1119" s="2" t="s">
        <v>8638</v>
      </c>
      <c r="B1119" s="2" t="s">
        <v>28</v>
      </c>
      <c r="C1119" s="11" t="s">
        <v>2534</v>
      </c>
      <c r="D1119" s="2" t="s">
        <v>30</v>
      </c>
      <c r="E1119" s="2" t="s">
        <v>422</v>
      </c>
      <c r="F1119" s="11" t="s">
        <v>2451</v>
      </c>
      <c r="G1119" s="49" t="s">
        <v>2452</v>
      </c>
      <c r="H1119" s="2" t="s">
        <v>2453</v>
      </c>
      <c r="I1119" s="12" t="s">
        <v>2454</v>
      </c>
      <c r="J1119" s="137">
        <f>+Tabla1[[#This Row],[FECHA ENTRADA]]</f>
        <v>45720</v>
      </c>
      <c r="K1119" s="22">
        <v>45821</v>
      </c>
      <c r="L1119" s="138">
        <f>_xlfn.DAYS(Tabla1[[#This Row],[FECHA FIN ]],Tabla1[[#This Row],[FECHA INICIO]])</f>
        <v>101</v>
      </c>
      <c r="M1119" s="12"/>
      <c r="N1119" s="24"/>
      <c r="O1119" s="140">
        <f>(Tabla1[[#This Row],[COSTO FIJO ]]/30)*Tabla1[[#This Row],[TOTAL DIAS PROYECTO]]+(Tabla1[[#This Row],[COSTO TEMPORAL]])</f>
        <v>0</v>
      </c>
      <c r="P1119" s="139"/>
      <c r="Q1119" s="139">
        <f>+(Tabla1[[#This Row],[COSTO COCHE]]/30)*Tabla1[[#This Row],[TOTAL DIAS PROYECTO]]</f>
        <v>0</v>
      </c>
      <c r="R1119" s="139">
        <f>+Tabla1[[#This Row],[COSTO TOTAL ALOJAMIENTO]]+Tabla1[[#This Row],[COSTO TOTAL COCHE]]</f>
        <v>0</v>
      </c>
      <c r="S1119" s="116" t="s">
        <v>403</v>
      </c>
      <c r="T1119" s="116" t="s">
        <v>44</v>
      </c>
      <c r="U1119" s="141">
        <v>45720</v>
      </c>
      <c r="V1119" s="142">
        <v>45747</v>
      </c>
      <c r="W1119" s="143"/>
      <c r="X1119" s="116"/>
      <c r="Y1119" s="171" t="s">
        <v>2455</v>
      </c>
      <c r="Z1119" s="116" t="s">
        <v>36</v>
      </c>
      <c r="AA1119" s="134">
        <v>-326.69799999999998</v>
      </c>
      <c r="AB1119" s="134" t="s">
        <v>10373</v>
      </c>
    </row>
    <row r="1120" spans="1:28" ht="15" customHeight="1">
      <c r="A1120" s="2" t="s">
        <v>9235</v>
      </c>
      <c r="B1120" s="2" t="s">
        <v>28</v>
      </c>
      <c r="C1120" s="11" t="s">
        <v>2535</v>
      </c>
      <c r="D1120" s="2" t="s">
        <v>30</v>
      </c>
      <c r="E1120" s="2" t="s">
        <v>422</v>
      </c>
      <c r="F1120" s="11" t="s">
        <v>2451</v>
      </c>
      <c r="G1120" s="49" t="s">
        <v>2452</v>
      </c>
      <c r="H1120" s="2" t="s">
        <v>2453</v>
      </c>
      <c r="I1120" s="12" t="s">
        <v>2454</v>
      </c>
      <c r="J1120" s="137">
        <f>+Tabla1[[#This Row],[FECHA ENTRADA]]</f>
        <v>45720</v>
      </c>
      <c r="K1120" s="22">
        <v>45821</v>
      </c>
      <c r="L1120" s="138">
        <f>_xlfn.DAYS(Tabla1[[#This Row],[FECHA FIN ]],Tabla1[[#This Row],[FECHA INICIO]])</f>
        <v>101</v>
      </c>
      <c r="M1120" s="12"/>
      <c r="N1120" s="139"/>
      <c r="O1120" s="140">
        <f>(Tabla1[[#This Row],[COSTO FIJO ]]/30)*Tabla1[[#This Row],[TOTAL DIAS PROYECTO]]+(Tabla1[[#This Row],[COSTO TEMPORAL]])</f>
        <v>0</v>
      </c>
      <c r="P1120" s="139"/>
      <c r="Q1120" s="139">
        <f>+(Tabla1[[#This Row],[COSTO COCHE]]/30)*Tabla1[[#This Row],[TOTAL DIAS PROYECTO]]</f>
        <v>0</v>
      </c>
      <c r="R1120" s="139">
        <f>+Tabla1[[#This Row],[COSTO TOTAL ALOJAMIENTO]]+Tabla1[[#This Row],[COSTO TOTAL COCHE]]</f>
        <v>0</v>
      </c>
      <c r="S1120" s="116" t="s">
        <v>403</v>
      </c>
      <c r="T1120" s="116" t="s">
        <v>44</v>
      </c>
      <c r="U1120" s="141">
        <v>45720</v>
      </c>
      <c r="V1120" s="142">
        <v>45747</v>
      </c>
      <c r="W1120" s="143"/>
      <c r="X1120" s="116"/>
      <c r="Y1120" s="171" t="s">
        <v>2455</v>
      </c>
      <c r="Z1120" s="116" t="s">
        <v>36</v>
      </c>
      <c r="AA1120" s="134">
        <v>-326.69799999999998</v>
      </c>
      <c r="AB1120" s="134" t="s">
        <v>10373</v>
      </c>
    </row>
    <row r="1121" spans="1:28" ht="15" customHeight="1">
      <c r="A1121" s="2" t="s">
        <v>9009</v>
      </c>
      <c r="B1121" s="2" t="s">
        <v>368</v>
      </c>
      <c r="C1121" s="31" t="s">
        <v>1685</v>
      </c>
      <c r="D1121" s="2" t="s">
        <v>30</v>
      </c>
      <c r="E1121" s="2" t="s">
        <v>422</v>
      </c>
      <c r="F1121" s="11" t="s">
        <v>956</v>
      </c>
      <c r="G1121" s="11" t="s">
        <v>957</v>
      </c>
      <c r="H1121" s="2" t="s">
        <v>2536</v>
      </c>
      <c r="I1121" s="12" t="s">
        <v>913</v>
      </c>
      <c r="J1121" s="41">
        <f>+Tabla1[[#This Row],[FECHA ENTRADA]]</f>
        <v>45725</v>
      </c>
      <c r="K1121" s="41">
        <v>45726</v>
      </c>
      <c r="L1121" s="42">
        <f>_xlfn.DAYS(Tabla1[[#This Row],[FECHA FIN ]],Tabla1[[#This Row],[FECHA INICIO]])</f>
        <v>1</v>
      </c>
      <c r="M1121" s="12"/>
      <c r="N1121" s="28">
        <v>275</v>
      </c>
      <c r="O1121" s="28">
        <f>(Tabla1[[#This Row],[COSTO FIJO ]]/30)*Tabla1[[#This Row],[TOTAL DIAS PROYECTO]]+(Tabla1[[#This Row],[COSTO TEMPORAL]])</f>
        <v>9.1666666666666661</v>
      </c>
      <c r="P1121" s="12"/>
      <c r="Q1121" s="12">
        <f>+(Tabla1[[#This Row],[COSTO COCHE]]/30)*Tabla1[[#This Row],[TOTAL DIAS PROYECTO]]</f>
        <v>0</v>
      </c>
      <c r="R1121" s="12">
        <f>+Tabla1[[#This Row],[COSTO TOTAL ALOJAMIENTO]]+Tabla1[[#This Row],[COSTO TOTAL COCHE]]</f>
        <v>9.1666666666666661</v>
      </c>
      <c r="S1121" s="2"/>
      <c r="T1121" s="2" t="s">
        <v>35</v>
      </c>
      <c r="U1121" s="14">
        <v>45725</v>
      </c>
      <c r="V1121" s="43"/>
      <c r="W1121" s="26"/>
      <c r="X1121" s="2">
        <v>1</v>
      </c>
      <c r="Y1121" s="11"/>
      <c r="Z1121" s="2" t="s">
        <v>36</v>
      </c>
      <c r="AA1121" s="13">
        <v>-326.69799999999998</v>
      </c>
      <c r="AB1121" s="13" t="s">
        <v>10373</v>
      </c>
    </row>
    <row r="1122" spans="1:28" ht="15" customHeight="1">
      <c r="A1122" s="2" t="s">
        <v>8638</v>
      </c>
      <c r="B1122" s="2" t="s">
        <v>28</v>
      </c>
      <c r="C1122" s="31" t="s">
        <v>2537</v>
      </c>
      <c r="D1122" s="2" t="s">
        <v>30</v>
      </c>
      <c r="E1122" s="2" t="s">
        <v>422</v>
      </c>
      <c r="F1122" s="11" t="s">
        <v>697</v>
      </c>
      <c r="G1122" s="11" t="s">
        <v>698</v>
      </c>
      <c r="H1122" s="2" t="s">
        <v>2538</v>
      </c>
      <c r="I1122" s="12" t="s">
        <v>2342</v>
      </c>
      <c r="J1122" s="22">
        <f>+Tabla1[[#This Row],[FECHA ENTRADA]]</f>
        <v>45725</v>
      </c>
      <c r="K1122" s="22">
        <v>45761</v>
      </c>
      <c r="L1122" s="23">
        <f>_xlfn.DAYS(Tabla1[[#This Row],[FECHA FIN ]],Tabla1[[#This Row],[FECHA INICIO]])</f>
        <v>36</v>
      </c>
      <c r="M1122" s="12"/>
      <c r="N1122" s="12">
        <v>276</v>
      </c>
      <c r="O1122" s="24">
        <f>(Tabla1[[#This Row],[COSTO FIJO ]]/30)*Tabla1[[#This Row],[TOTAL DIAS PROYECTO]]+(Tabla1[[#This Row],[COSTO TEMPORAL]])</f>
        <v>331.2</v>
      </c>
      <c r="P1122" s="12"/>
      <c r="Q1122" s="12">
        <f>+(Tabla1[[#This Row],[COSTO COCHE]]/30)*Tabla1[[#This Row],[TOTAL DIAS PROYECTO]]</f>
        <v>0</v>
      </c>
      <c r="R1122" s="12">
        <f>+Tabla1[[#This Row],[COSTO TOTAL ALOJAMIENTO]]+Tabla1[[#This Row],[COSTO TOTAL COCHE]]</f>
        <v>331.2</v>
      </c>
      <c r="S1122" s="2"/>
      <c r="T1122" s="2" t="s">
        <v>35</v>
      </c>
      <c r="U1122" s="14">
        <v>45725</v>
      </c>
      <c r="V1122" s="25"/>
      <c r="W1122" s="26"/>
      <c r="X1122" s="2">
        <v>1</v>
      </c>
      <c r="Y1122" s="11" t="s">
        <v>2539</v>
      </c>
      <c r="Z1122" s="2" t="s">
        <v>36</v>
      </c>
      <c r="AA1122" s="13">
        <v>-326.69799999999998</v>
      </c>
      <c r="AB1122" s="13" t="s">
        <v>10373</v>
      </c>
    </row>
    <row r="1123" spans="1:28" ht="15" customHeight="1">
      <c r="A1123" s="2" t="s">
        <v>8638</v>
      </c>
      <c r="B1123" s="2" t="s">
        <v>28</v>
      </c>
      <c r="C1123" s="11" t="s">
        <v>2540</v>
      </c>
      <c r="D1123" s="2" t="s">
        <v>30</v>
      </c>
      <c r="E1123" s="2" t="s">
        <v>422</v>
      </c>
      <c r="F1123" s="11" t="s">
        <v>956</v>
      </c>
      <c r="G1123" s="11" t="s">
        <v>957</v>
      </c>
      <c r="H1123" s="2" t="s">
        <v>2538</v>
      </c>
      <c r="I1123" s="12" t="s">
        <v>2342</v>
      </c>
      <c r="J1123" s="22">
        <f>+Tabla1[[#This Row],[FECHA ENTRADA]]</f>
        <v>45725</v>
      </c>
      <c r="K1123" s="22">
        <v>45733</v>
      </c>
      <c r="L1123" s="23">
        <f>_xlfn.DAYS(Tabla1[[#This Row],[FECHA FIN ]],Tabla1[[#This Row],[FECHA INICIO]])</f>
        <v>8</v>
      </c>
      <c r="M1123" s="12"/>
      <c r="N1123" s="12"/>
      <c r="O1123" s="24">
        <f>(Tabla1[[#This Row],[COSTO FIJO ]]/30)*Tabla1[[#This Row],[TOTAL DIAS PROYECTO]]+(Tabla1[[#This Row],[COSTO TEMPORAL]])</f>
        <v>0</v>
      </c>
      <c r="P1123" s="12"/>
      <c r="Q1123" s="12">
        <f>+(Tabla1[[#This Row],[COSTO COCHE]]/30)*Tabla1[[#This Row],[TOTAL DIAS PROYECTO]]</f>
        <v>0</v>
      </c>
      <c r="R1123" s="12">
        <f>+Tabla1[[#This Row],[COSTO TOTAL ALOJAMIENTO]]+Tabla1[[#This Row],[COSTO TOTAL COCHE]]</f>
        <v>0</v>
      </c>
      <c r="S1123" s="2"/>
      <c r="T1123" s="2" t="s">
        <v>35</v>
      </c>
      <c r="U1123" s="14">
        <v>45725</v>
      </c>
      <c r="V1123" s="25"/>
      <c r="W1123" s="26"/>
      <c r="X1123" s="2">
        <v>1</v>
      </c>
      <c r="Y1123" s="11"/>
      <c r="Z1123" s="2" t="s">
        <v>36</v>
      </c>
      <c r="AA1123" s="13">
        <v>-326.69799999999998</v>
      </c>
      <c r="AB1123" s="13" t="s">
        <v>10373</v>
      </c>
    </row>
    <row r="1124" spans="1:28" ht="15" customHeight="1">
      <c r="A1124" s="2" t="s">
        <v>8638</v>
      </c>
      <c r="B1124" s="2" t="s">
        <v>28</v>
      </c>
      <c r="C1124" s="11" t="s">
        <v>2439</v>
      </c>
      <c r="D1124" s="2" t="s">
        <v>30</v>
      </c>
      <c r="E1124" s="2" t="s">
        <v>422</v>
      </c>
      <c r="F1124" s="11" t="s">
        <v>2541</v>
      </c>
      <c r="G1124" s="21" t="s">
        <v>2542</v>
      </c>
      <c r="H1124" s="2" t="s">
        <v>2543</v>
      </c>
      <c r="I1124" s="12" t="s">
        <v>2443</v>
      </c>
      <c r="J1124" s="41">
        <f>+Tabla1[[#This Row],[FECHA ENTRADA]]</f>
        <v>45725</v>
      </c>
      <c r="K1124" s="22">
        <v>45821</v>
      </c>
      <c r="L1124" s="42">
        <f>_xlfn.DAYS(Tabla1[[#This Row],[FECHA FIN ]],Tabla1[[#This Row],[FECHA INICIO]])</f>
        <v>96</v>
      </c>
      <c r="M1124" s="12"/>
      <c r="N1124" s="24"/>
      <c r="O1124" s="28">
        <f>(Tabla1[[#This Row],[COSTO FIJO ]]/30)*Tabla1[[#This Row],[TOTAL DIAS PROYECTO]]+(Tabla1[[#This Row],[COSTO TEMPORAL]])</f>
        <v>0</v>
      </c>
      <c r="P1124" s="12"/>
      <c r="Q1124" s="12">
        <f>+(Tabla1[[#This Row],[COSTO COCHE]]/30)*Tabla1[[#This Row],[TOTAL DIAS PROYECTO]]</f>
        <v>0</v>
      </c>
      <c r="R1124" s="12">
        <f>+Tabla1[[#This Row],[COSTO TOTAL ALOJAMIENTO]]+Tabla1[[#This Row],[COSTO TOTAL COCHE]]</f>
        <v>0</v>
      </c>
      <c r="S1124" s="2" t="s">
        <v>403</v>
      </c>
      <c r="T1124" s="2" t="s">
        <v>44</v>
      </c>
      <c r="U1124" s="14">
        <v>45725</v>
      </c>
      <c r="V1124" s="43">
        <v>45730</v>
      </c>
      <c r="W1124" s="26"/>
      <c r="X1124" s="2"/>
      <c r="Y1124" s="11" t="s">
        <v>1166</v>
      </c>
      <c r="Z1124" s="2" t="s">
        <v>36</v>
      </c>
      <c r="AA1124" s="13">
        <v>-326.69799999999998</v>
      </c>
      <c r="AB1124" s="13" t="s">
        <v>10373</v>
      </c>
    </row>
    <row r="1125" spans="1:28" ht="15" customHeight="1">
      <c r="A1125" s="2" t="s">
        <v>9236</v>
      </c>
      <c r="B1125" s="2" t="s">
        <v>28</v>
      </c>
      <c r="C1125" s="11" t="s">
        <v>2544</v>
      </c>
      <c r="D1125" s="2" t="s">
        <v>30</v>
      </c>
      <c r="E1125" s="2" t="s">
        <v>422</v>
      </c>
      <c r="F1125" s="11" t="s">
        <v>2541</v>
      </c>
      <c r="G1125" s="21" t="s">
        <v>2542</v>
      </c>
      <c r="H1125" s="2" t="s">
        <v>2543</v>
      </c>
      <c r="I1125" s="12" t="s">
        <v>2443</v>
      </c>
      <c r="J1125" s="41">
        <f>+Tabla1[[#This Row],[FECHA ENTRADA]]</f>
        <v>45725</v>
      </c>
      <c r="K1125" s="22">
        <v>45821</v>
      </c>
      <c r="L1125" s="42">
        <f>_xlfn.DAYS(Tabla1[[#This Row],[FECHA FIN ]],Tabla1[[#This Row],[FECHA INICIO]])</f>
        <v>96</v>
      </c>
      <c r="M1125" s="12"/>
      <c r="N1125" s="28"/>
      <c r="O1125" s="28">
        <f>(Tabla1[[#This Row],[COSTO FIJO ]]/30)*Tabla1[[#This Row],[TOTAL DIAS PROYECTO]]+(Tabla1[[#This Row],[COSTO TEMPORAL]])</f>
        <v>0</v>
      </c>
      <c r="P1125" s="12"/>
      <c r="Q1125" s="12">
        <f>+(Tabla1[[#This Row],[COSTO COCHE]]/30)*Tabla1[[#This Row],[TOTAL DIAS PROYECTO]]</f>
        <v>0</v>
      </c>
      <c r="R1125" s="12">
        <f>+Tabla1[[#This Row],[COSTO TOTAL ALOJAMIENTO]]+Tabla1[[#This Row],[COSTO TOTAL COCHE]]</f>
        <v>0</v>
      </c>
      <c r="S1125" s="2" t="s">
        <v>403</v>
      </c>
      <c r="T1125" s="2" t="s">
        <v>44</v>
      </c>
      <c r="U1125" s="14">
        <v>45725</v>
      </c>
      <c r="V1125" s="43">
        <v>45730</v>
      </c>
      <c r="W1125" s="26"/>
      <c r="X1125" s="2"/>
      <c r="Y1125" s="11" t="s">
        <v>1166</v>
      </c>
      <c r="Z1125" s="2" t="s">
        <v>36</v>
      </c>
      <c r="AA1125" s="13">
        <v>-326.69799999999998</v>
      </c>
      <c r="AB1125" s="13" t="s">
        <v>10373</v>
      </c>
    </row>
    <row r="1126" spans="1:28" ht="15" customHeight="1">
      <c r="A1126" s="2" t="s">
        <v>9237</v>
      </c>
      <c r="B1126" s="2" t="s">
        <v>368</v>
      </c>
      <c r="C1126" s="31" t="s">
        <v>2545</v>
      </c>
      <c r="D1126" s="2" t="s">
        <v>30</v>
      </c>
      <c r="E1126" s="2" t="s">
        <v>422</v>
      </c>
      <c r="F1126" s="11" t="s">
        <v>1375</v>
      </c>
      <c r="G1126" t="s">
        <v>1376</v>
      </c>
      <c r="H1126" s="2" t="s">
        <v>1575</v>
      </c>
      <c r="I1126" s="12" t="s">
        <v>1576</v>
      </c>
      <c r="J1126" s="41">
        <f>+Tabla1[[#This Row],[FECHA ENTRADA]]</f>
        <v>45699</v>
      </c>
      <c r="K1126" s="22">
        <v>45821</v>
      </c>
      <c r="L1126" s="42">
        <f>_xlfn.DAYS(Tabla1[[#This Row],[FECHA FIN ]],Tabla1[[#This Row],[FECHA INICIO]])</f>
        <v>122</v>
      </c>
      <c r="M1126" s="12"/>
      <c r="N1126" s="12"/>
      <c r="O1126" s="28">
        <f>(Tabla1[[#This Row],[COSTO FIJO ]]/30)*Tabla1[[#This Row],[TOTAL DIAS PROYECTO]]+(Tabla1[[#This Row],[COSTO TEMPORAL]])</f>
        <v>0</v>
      </c>
      <c r="P1126" s="12"/>
      <c r="Q1126" s="12">
        <f>+(Tabla1[[#This Row],[COSTO COCHE]]/30)*Tabla1[[#This Row],[TOTAL DIAS PROYECTO]]</f>
        <v>0</v>
      </c>
      <c r="R1126" s="12">
        <f>+Tabla1[[#This Row],[COSTO TOTAL ALOJAMIENTO]]+Tabla1[[#This Row],[COSTO TOTAL COCHE]]</f>
        <v>0</v>
      </c>
      <c r="S1126" s="2"/>
      <c r="T1126" s="2" t="s">
        <v>35</v>
      </c>
      <c r="U1126" s="14">
        <v>45699</v>
      </c>
      <c r="V1126" s="43"/>
      <c r="W1126" s="26"/>
      <c r="X1126" s="2">
        <v>5</v>
      </c>
      <c r="Y1126" s="11"/>
      <c r="Z1126" s="2" t="s">
        <v>36</v>
      </c>
      <c r="AA1126" s="13">
        <v>-326.69799999999998</v>
      </c>
      <c r="AB1126" s="13" t="s">
        <v>10373</v>
      </c>
    </row>
    <row r="1127" spans="1:28" ht="15" customHeight="1">
      <c r="A1127" s="2" t="s">
        <v>8638</v>
      </c>
      <c r="B1127" s="2" t="s">
        <v>28</v>
      </c>
      <c r="C1127" s="31" t="s">
        <v>2439</v>
      </c>
      <c r="D1127" s="2" t="s">
        <v>30</v>
      </c>
      <c r="E1127" s="2" t="s">
        <v>422</v>
      </c>
      <c r="F1127" s="11" t="s">
        <v>1375</v>
      </c>
      <c r="G1127" t="s">
        <v>1376</v>
      </c>
      <c r="H1127" s="2" t="s">
        <v>2543</v>
      </c>
      <c r="I1127" s="12" t="s">
        <v>2443</v>
      </c>
      <c r="J1127" s="22">
        <f>+Tabla1[[#This Row],[FECHA ENTRADA]]</f>
        <v>45730</v>
      </c>
      <c r="K1127" s="22">
        <v>45821</v>
      </c>
      <c r="L1127" s="23">
        <f>_xlfn.DAYS(Tabla1[[#This Row],[FECHA FIN ]],Tabla1[[#This Row],[FECHA INICIO]])</f>
        <v>91</v>
      </c>
      <c r="M1127" s="12"/>
      <c r="N1127" s="24">
        <v>238.88888888888889</v>
      </c>
      <c r="O1127" s="24">
        <f>(Tabla1[[#This Row],[COSTO FIJO ]]/30)*Tabla1[[#This Row],[TOTAL DIAS PROYECTO]]+(Tabla1[[#This Row],[COSTO TEMPORAL]])</f>
        <v>724.62962962962956</v>
      </c>
      <c r="P1127" s="12"/>
      <c r="Q1127" s="12">
        <f>+(Tabla1[[#This Row],[COSTO COCHE]]/30)*Tabla1[[#This Row],[TOTAL DIAS PROYECTO]]</f>
        <v>0</v>
      </c>
      <c r="R1127" s="12">
        <f>+Tabla1[[#This Row],[COSTO TOTAL ALOJAMIENTO]]+Tabla1[[#This Row],[COSTO TOTAL COCHE]]</f>
        <v>724.62962962962956</v>
      </c>
      <c r="S1127" s="2"/>
      <c r="T1127" s="2" t="s">
        <v>35</v>
      </c>
      <c r="U1127" s="14">
        <v>45730</v>
      </c>
      <c r="V1127" s="25"/>
      <c r="W1127" s="26"/>
      <c r="X1127" s="2">
        <v>5</v>
      </c>
      <c r="Y1127" t="s">
        <v>2444</v>
      </c>
      <c r="Z1127" s="2" t="s">
        <v>36</v>
      </c>
      <c r="AA1127" s="13">
        <v>-326.69799999999998</v>
      </c>
      <c r="AB1127" s="13" t="s">
        <v>10373</v>
      </c>
    </row>
    <row r="1128" spans="1:28" ht="15" customHeight="1">
      <c r="A1128" s="2" t="s">
        <v>8638</v>
      </c>
      <c r="B1128" s="2" t="s">
        <v>28</v>
      </c>
      <c r="C1128" s="31" t="s">
        <v>2540</v>
      </c>
      <c r="D1128" s="2" t="s">
        <v>30</v>
      </c>
      <c r="E1128" s="2" t="s">
        <v>422</v>
      </c>
      <c r="F1128" s="11" t="s">
        <v>697</v>
      </c>
      <c r="G1128" s="11" t="s">
        <v>698</v>
      </c>
      <c r="H1128" s="2" t="s">
        <v>2538</v>
      </c>
      <c r="I1128" s="12" t="s">
        <v>2342</v>
      </c>
      <c r="J1128" s="41">
        <f>+Tabla1[[#This Row],[FECHA ENTRADA]]</f>
        <v>45733</v>
      </c>
      <c r="K1128" s="22">
        <v>45762</v>
      </c>
      <c r="L1128" s="42">
        <f>_xlfn.DAYS(Tabla1[[#This Row],[FECHA FIN ]],Tabla1[[#This Row],[FECHA INICIO]])</f>
        <v>29</v>
      </c>
      <c r="M1128" s="12"/>
      <c r="N1128" s="12"/>
      <c r="O1128" s="28">
        <f>(Tabla1[[#This Row],[COSTO FIJO ]]/30)*Tabla1[[#This Row],[TOTAL DIAS PROYECTO]]+(Tabla1[[#This Row],[COSTO TEMPORAL]])</f>
        <v>0</v>
      </c>
      <c r="P1128" s="12"/>
      <c r="Q1128" s="12">
        <f>+(Tabla1[[#This Row],[COSTO COCHE]]/30)*Tabla1[[#This Row],[TOTAL DIAS PROYECTO]]</f>
        <v>0</v>
      </c>
      <c r="R1128" s="12">
        <f>+Tabla1[[#This Row],[COSTO TOTAL ALOJAMIENTO]]+Tabla1[[#This Row],[COSTO TOTAL COCHE]]</f>
        <v>0</v>
      </c>
      <c r="S1128" s="2"/>
      <c r="T1128" s="2" t="s">
        <v>35</v>
      </c>
      <c r="U1128" s="14">
        <v>45733</v>
      </c>
      <c r="V1128" s="43"/>
      <c r="W1128" s="26"/>
      <c r="X1128" s="2">
        <v>1</v>
      </c>
      <c r="Y1128" s="178" t="s">
        <v>2539</v>
      </c>
      <c r="Z1128" s="2" t="s">
        <v>36</v>
      </c>
      <c r="AA1128" s="13">
        <v>-326.69799999999998</v>
      </c>
      <c r="AB1128" s="13" t="s">
        <v>10373</v>
      </c>
    </row>
    <row r="1129" spans="1:28" ht="15" customHeight="1">
      <c r="A1129" s="2" t="s">
        <v>9236</v>
      </c>
      <c r="B1129" s="2" t="s">
        <v>28</v>
      </c>
      <c r="C1129" s="11" t="s">
        <v>2544</v>
      </c>
      <c r="D1129" s="2" t="s">
        <v>30</v>
      </c>
      <c r="E1129" s="2" t="s">
        <v>422</v>
      </c>
      <c r="F1129" s="11" t="s">
        <v>1375</v>
      </c>
      <c r="G1129" t="s">
        <v>1376</v>
      </c>
      <c r="H1129" s="2" t="s">
        <v>2543</v>
      </c>
      <c r="I1129" s="12" t="s">
        <v>2443</v>
      </c>
      <c r="J1129" s="22">
        <f>+Tabla1[[#This Row],[FECHA ENTRADA]]</f>
        <v>45730</v>
      </c>
      <c r="K1129" s="22">
        <v>45821</v>
      </c>
      <c r="L1129" s="23">
        <f>_xlfn.DAYS(Tabla1[[#This Row],[FECHA FIN ]],Tabla1[[#This Row],[FECHA INICIO]])</f>
        <v>91</v>
      </c>
      <c r="M1129" s="12"/>
      <c r="N1129" s="24"/>
      <c r="O1129" s="24">
        <f>(Tabla1[[#This Row],[COSTO FIJO ]]/30)*Tabla1[[#This Row],[TOTAL DIAS PROYECTO]]+(Tabla1[[#This Row],[COSTO TEMPORAL]])</f>
        <v>0</v>
      </c>
      <c r="P1129" s="12"/>
      <c r="Q1129" s="12">
        <f>+(Tabla1[[#This Row],[COSTO COCHE]]/30)*Tabla1[[#This Row],[TOTAL DIAS PROYECTO]]</f>
        <v>0</v>
      </c>
      <c r="R1129" s="12">
        <f>+Tabla1[[#This Row],[COSTO TOTAL ALOJAMIENTO]]+Tabla1[[#This Row],[COSTO TOTAL COCHE]]</f>
        <v>0</v>
      </c>
      <c r="S1129" s="2"/>
      <c r="T1129" s="2" t="s">
        <v>35</v>
      </c>
      <c r="U1129" s="14">
        <v>45730</v>
      </c>
      <c r="V1129" s="25"/>
      <c r="W1129" s="26"/>
      <c r="X1129" s="2">
        <v>5</v>
      </c>
      <c r="Y1129" s="11"/>
      <c r="Z1129" s="2" t="s">
        <v>36</v>
      </c>
      <c r="AA1129" s="13">
        <v>-326.69799999999998</v>
      </c>
      <c r="AB1129" s="13" t="s">
        <v>10373</v>
      </c>
    </row>
    <row r="1130" spans="1:28" ht="15" customHeight="1">
      <c r="A1130" s="2" t="s">
        <v>9193</v>
      </c>
      <c r="B1130" s="2" t="s">
        <v>368</v>
      </c>
      <c r="C1130" s="11" t="s">
        <v>2393</v>
      </c>
      <c r="D1130" s="2" t="s">
        <v>30</v>
      </c>
      <c r="E1130" s="2" t="s">
        <v>422</v>
      </c>
      <c r="F1130" s="11" t="s">
        <v>1375</v>
      </c>
      <c r="G1130" t="s">
        <v>1376</v>
      </c>
      <c r="H1130" s="2" t="s">
        <v>912</v>
      </c>
      <c r="I1130" s="29" t="s">
        <v>913</v>
      </c>
      <c r="J1130" s="41">
        <f>+Tabla1[[#This Row],[FECHA ENTRADA]]</f>
        <v>45733</v>
      </c>
      <c r="K1130" s="22">
        <v>45821</v>
      </c>
      <c r="L1130" s="42">
        <f>_xlfn.DAYS(Tabla1[[#This Row],[FECHA FIN ]],Tabla1[[#This Row],[FECHA INICIO]])</f>
        <v>88</v>
      </c>
      <c r="M1130" s="12"/>
      <c r="N1130" s="12"/>
      <c r="O1130" s="28">
        <f>(Tabla1[[#This Row],[COSTO FIJO ]]/30)*Tabla1[[#This Row],[TOTAL DIAS PROYECTO]]+(Tabla1[[#This Row],[COSTO TEMPORAL]])</f>
        <v>0</v>
      </c>
      <c r="P1130" s="12">
        <v>133.33333333333334</v>
      </c>
      <c r="Q1130" s="12">
        <f>+(Tabla1[[#This Row],[COSTO COCHE]]/30)*Tabla1[[#This Row],[TOTAL DIAS PROYECTO]]</f>
        <v>391.11111111111114</v>
      </c>
      <c r="R1130" s="12">
        <f>+Tabla1[[#This Row],[COSTO TOTAL ALOJAMIENTO]]+Tabla1[[#This Row],[COSTO TOTAL COCHE]]</f>
        <v>391.11111111111114</v>
      </c>
      <c r="S1130" s="2"/>
      <c r="T1130" s="2" t="s">
        <v>35</v>
      </c>
      <c r="U1130" s="14">
        <v>45733</v>
      </c>
      <c r="V1130" s="43"/>
      <c r="W1130" s="26"/>
      <c r="X1130" s="2">
        <v>5</v>
      </c>
      <c r="Y1130" s="11"/>
      <c r="Z1130" s="2" t="s">
        <v>36</v>
      </c>
      <c r="AA1130" s="13">
        <v>-326.69799999999998</v>
      </c>
      <c r="AB1130" s="13" t="s">
        <v>10373</v>
      </c>
    </row>
    <row r="1131" spans="1:28" ht="15" customHeight="1">
      <c r="A1131" s="2" t="s">
        <v>9165</v>
      </c>
      <c r="B1131" s="2" t="s">
        <v>368</v>
      </c>
      <c r="C1131" s="11" t="s">
        <v>2289</v>
      </c>
      <c r="D1131" s="2" t="s">
        <v>30</v>
      </c>
      <c r="E1131" s="2" t="s">
        <v>422</v>
      </c>
      <c r="F1131" s="11" t="s">
        <v>1375</v>
      </c>
      <c r="G1131" t="s">
        <v>1376</v>
      </c>
      <c r="H1131" s="2" t="s">
        <v>2546</v>
      </c>
      <c r="I1131" s="29" t="s">
        <v>913</v>
      </c>
      <c r="J1131" s="22">
        <f>+Tabla1[[#This Row],[FECHA ENTRADA]]</f>
        <v>45734</v>
      </c>
      <c r="K1131" s="22">
        <v>45821</v>
      </c>
      <c r="L1131" s="23">
        <f>_xlfn.DAYS(Tabla1[[#This Row],[FECHA FIN ]],Tabla1[[#This Row],[FECHA INICIO]])</f>
        <v>87</v>
      </c>
      <c r="M1131" s="12"/>
      <c r="N1131" s="12"/>
      <c r="O1131" s="24">
        <f>(Tabla1[[#This Row],[COSTO FIJO ]]/30)*Tabla1[[#This Row],[TOTAL DIAS PROYECTO]]+(Tabla1[[#This Row],[COSTO TEMPORAL]])</f>
        <v>0</v>
      </c>
      <c r="P1131" s="12">
        <v>133.33333333333334</v>
      </c>
      <c r="Q1131" s="12">
        <f>+(Tabla1[[#This Row],[COSTO COCHE]]/30)*Tabla1[[#This Row],[TOTAL DIAS PROYECTO]]</f>
        <v>386.66666666666669</v>
      </c>
      <c r="R1131" s="12">
        <f>+Tabla1[[#This Row],[COSTO TOTAL ALOJAMIENTO]]+Tabla1[[#This Row],[COSTO TOTAL COCHE]]</f>
        <v>386.66666666666669</v>
      </c>
      <c r="S1131" s="2"/>
      <c r="T1131" s="2" t="s">
        <v>35</v>
      </c>
      <c r="U1131" s="14">
        <v>45734</v>
      </c>
      <c r="V1131" s="25"/>
      <c r="W1131" s="26"/>
      <c r="X1131" s="2">
        <v>5</v>
      </c>
      <c r="Y1131" s="11"/>
      <c r="Z1131" s="2" t="s">
        <v>36</v>
      </c>
      <c r="AA1131" s="13">
        <v>-326.69799999999998</v>
      </c>
      <c r="AB1131" s="13" t="s">
        <v>10373</v>
      </c>
    </row>
    <row r="1132" spans="1:28" s="179" customFormat="1" ht="15" customHeight="1">
      <c r="A1132" s="2" t="s">
        <v>9023</v>
      </c>
      <c r="B1132" s="2" t="s">
        <v>368</v>
      </c>
      <c r="C1132" s="11" t="s">
        <v>1718</v>
      </c>
      <c r="D1132" s="2" t="s">
        <v>30</v>
      </c>
      <c r="E1132" s="2" t="s">
        <v>422</v>
      </c>
      <c r="F1132" s="11" t="s">
        <v>2183</v>
      </c>
      <c r="G1132" s="11" t="s">
        <v>698</v>
      </c>
      <c r="H1132" s="2" t="s">
        <v>2547</v>
      </c>
      <c r="I1132" t="s">
        <v>1932</v>
      </c>
      <c r="J1132" s="22">
        <f>+Tabla1[[#This Row],[FECHA ENTRADA]]</f>
        <v>45739</v>
      </c>
      <c r="K1132" s="22">
        <v>45769</v>
      </c>
      <c r="L1132" s="23">
        <f>_xlfn.DAYS(Tabla1[[#This Row],[FECHA FIN ]],Tabla1[[#This Row],[FECHA INICIO]])</f>
        <v>30</v>
      </c>
      <c r="M1132" s="12"/>
      <c r="N1132" s="12"/>
      <c r="O1132" s="24">
        <f>(Tabla1[[#This Row],[COSTO FIJO ]]/30)*Tabla1[[#This Row],[TOTAL DIAS PROYECTO]]+(Tabla1[[#This Row],[COSTO TEMPORAL]])</f>
        <v>0</v>
      </c>
      <c r="P1132" s="12"/>
      <c r="Q1132" s="12">
        <f>+(Tabla1[[#This Row],[COSTO COCHE]]/30)*Tabla1[[#This Row],[TOTAL DIAS PROYECTO]]</f>
        <v>0</v>
      </c>
      <c r="R1132" s="12">
        <f>+Tabla1[[#This Row],[COSTO TOTAL ALOJAMIENTO]]+Tabla1[[#This Row],[COSTO TOTAL COCHE]]</f>
        <v>0</v>
      </c>
      <c r="S1132" s="2" t="s">
        <v>403</v>
      </c>
      <c r="T1132" s="2" t="s">
        <v>35</v>
      </c>
      <c r="U1132" s="14">
        <v>45739</v>
      </c>
      <c r="V1132" s="25"/>
      <c r="W1132" s="26"/>
      <c r="X1132" s="2">
        <v>1</v>
      </c>
      <c r="Y1132" s="11"/>
      <c r="Z1132" s="2" t="s">
        <v>36</v>
      </c>
      <c r="AA1132" s="13">
        <v>-326.69799999999998</v>
      </c>
      <c r="AB1132" s="13" t="s">
        <v>10373</v>
      </c>
    </row>
    <row r="1133" spans="1:28" ht="15" customHeight="1">
      <c r="A1133" s="2" t="s">
        <v>8848</v>
      </c>
      <c r="B1133" s="2" t="s">
        <v>711</v>
      </c>
      <c r="C1133" s="11" t="s">
        <v>1003</v>
      </c>
      <c r="D1133" s="2" t="s">
        <v>99</v>
      </c>
      <c r="E1133" s="2" t="s">
        <v>720</v>
      </c>
      <c r="F1133" s="11" t="s">
        <v>2548</v>
      </c>
      <c r="G1133" s="21" t="s">
        <v>2549</v>
      </c>
      <c r="H1133" s="2" t="s">
        <v>1874</v>
      </c>
      <c r="I1133" s="12" t="s">
        <v>506</v>
      </c>
      <c r="J1133" s="22">
        <f>+Tabla1[[#This Row],[FECHA ENTRADA]]</f>
        <v>45807</v>
      </c>
      <c r="K1133" s="22">
        <v>45812</v>
      </c>
      <c r="L1133" s="23">
        <f>_xlfn.DAYS(Tabla1[[#This Row],[FECHA FIN ]],Tabla1[[#This Row],[FECHA INICIO]])</f>
        <v>5</v>
      </c>
      <c r="M1133" s="12"/>
      <c r="N1133" s="12">
        <f>80*5/3</f>
        <v>133.33333333333334</v>
      </c>
      <c r="O1133" s="24">
        <f>(Tabla1[[#This Row],[COSTO FIJO ]]/30)*Tabla1[[#This Row],[TOTAL DIAS PROYECTO]]+(Tabla1[[#This Row],[COSTO TEMPORAL]])</f>
        <v>22.222222222222221</v>
      </c>
      <c r="P1133" s="12">
        <f>613.47/3</f>
        <v>204.49</v>
      </c>
      <c r="Q1133" s="12">
        <f>+(Tabla1[[#This Row],[COSTO COCHE]]/30)*Tabla1[[#This Row],[TOTAL DIAS PROYECTO]]</f>
        <v>34.081666666666671</v>
      </c>
      <c r="R1133" s="12">
        <f>+Tabla1[[#This Row],[COSTO TOTAL ALOJAMIENTO]]+Tabla1[[#This Row],[COSTO TOTAL COCHE]]</f>
        <v>56.303888888888892</v>
      </c>
      <c r="S1133" s="2"/>
      <c r="T1133" s="2" t="s">
        <v>528</v>
      </c>
      <c r="U1133" s="14">
        <v>45807</v>
      </c>
      <c r="V1133" s="25">
        <v>45812</v>
      </c>
      <c r="W1133" s="2"/>
      <c r="X1133" s="2"/>
      <c r="Y1133" s="161" t="s">
        <v>2550</v>
      </c>
      <c r="Z1133" s="2" t="s">
        <v>36</v>
      </c>
      <c r="AA1133" s="13" t="s">
        <v>10394</v>
      </c>
      <c r="AB1133" s="13" t="s">
        <v>10395</v>
      </c>
    </row>
    <row r="1134" spans="1:28" ht="15" customHeight="1">
      <c r="A1134" s="2" t="s">
        <v>9238</v>
      </c>
      <c r="B1134" s="2" t="s">
        <v>368</v>
      </c>
      <c r="C1134" s="11" t="s">
        <v>2551</v>
      </c>
      <c r="D1134" s="2" t="s">
        <v>72</v>
      </c>
      <c r="E1134" s="10" t="s">
        <v>1458</v>
      </c>
      <c r="F1134" s="11" t="s">
        <v>2052</v>
      </c>
      <c r="G1134" s="49" t="s">
        <v>2053</v>
      </c>
      <c r="H1134" s="2" t="s">
        <v>2552</v>
      </c>
      <c r="I1134" s="12" t="s">
        <v>1288</v>
      </c>
      <c r="J1134" s="41">
        <f>+Tabla1[[#This Row],[FECHA ENTRADA]]</f>
        <v>45780</v>
      </c>
      <c r="K1134" s="22">
        <v>45813</v>
      </c>
      <c r="L1134" s="23">
        <f>_xlfn.DAYS(Tabla1[[#This Row],[FECHA FIN ]],Tabla1[[#This Row],[FECHA INICIO]])</f>
        <v>33</v>
      </c>
      <c r="M1134" s="12"/>
      <c r="N1134" s="12"/>
      <c r="O1134" s="24">
        <f>(Tabla1[[#This Row],[COSTO FIJO ]]/30)*Tabla1[[#This Row],[TOTAL DIAS PROYECTO]]+(Tabla1[[#This Row],[COSTO TEMPORAL]])</f>
        <v>0</v>
      </c>
      <c r="P1134" s="12"/>
      <c r="Q1134" s="12">
        <f>+(Tabla1[[#This Row],[COSTO COCHE]]/30)*Tabla1[[#This Row],[TOTAL DIAS PROYECTO]]</f>
        <v>0</v>
      </c>
      <c r="R1134" s="12">
        <f>+Tabla1[[#This Row],[COSTO TOTAL ALOJAMIENTO]]+Tabla1[[#This Row],[COSTO TOTAL COCHE]]</f>
        <v>0</v>
      </c>
      <c r="S1134" s="2"/>
      <c r="T1134" s="2" t="s">
        <v>528</v>
      </c>
      <c r="U1134" s="14">
        <v>45780</v>
      </c>
      <c r="V1134" s="25">
        <v>45805</v>
      </c>
      <c r="W1134" s="2"/>
      <c r="X1134" s="2"/>
      <c r="Y1134" s="150" t="s">
        <v>1361</v>
      </c>
      <c r="Z1134" s="2" t="s">
        <v>36</v>
      </c>
      <c r="AA1134" s="13" t="s">
        <v>10421</v>
      </c>
      <c r="AB1134" s="13">
        <v>5113412</v>
      </c>
    </row>
    <row r="1135" spans="1:28" ht="15" customHeight="1">
      <c r="A1135" s="2" t="s">
        <v>9239</v>
      </c>
      <c r="B1135" s="2" t="s">
        <v>28</v>
      </c>
      <c r="C1135" s="11" t="s">
        <v>2553</v>
      </c>
      <c r="D1135" s="2" t="s">
        <v>99</v>
      </c>
      <c r="E1135" s="2" t="s">
        <v>31</v>
      </c>
      <c r="F1135" s="11" t="s">
        <v>2275</v>
      </c>
      <c r="G1135" s="46" t="s">
        <v>2276</v>
      </c>
      <c r="H1135" s="2" t="s">
        <v>2554</v>
      </c>
      <c r="I1135" s="10" t="s">
        <v>385</v>
      </c>
      <c r="J1135" s="22">
        <f>+Tabla1[[#This Row],[FECHA ENTRADA]]</f>
        <v>45810</v>
      </c>
      <c r="K1135" s="22">
        <v>45813</v>
      </c>
      <c r="L1135" s="23">
        <f>_xlfn.DAYS(Tabla1[[#This Row],[FECHA FIN ]],Tabla1[[#This Row],[FECHA INICIO]])</f>
        <v>3</v>
      </c>
      <c r="M1135" s="12"/>
      <c r="N1135" s="24"/>
      <c r="O1135" s="24">
        <f>(Tabla1[[#This Row],[COSTO FIJO ]]/30)*Tabla1[[#This Row],[TOTAL DIAS PROYECTO]]+(Tabla1[[#This Row],[COSTO TEMPORAL]])</f>
        <v>0</v>
      </c>
      <c r="P1135" s="12"/>
      <c r="Q1135" s="12">
        <f>+(Tabla1[[#This Row],[COSTO COCHE]]/30)*Tabla1[[#This Row],[TOTAL DIAS PROYECTO]]</f>
        <v>0</v>
      </c>
      <c r="R1135" s="12">
        <f>+Tabla1[[#This Row],[COSTO TOTAL ALOJAMIENTO]]+Tabla1[[#This Row],[COSTO TOTAL COCHE]]</f>
        <v>0</v>
      </c>
      <c r="S1135" s="2"/>
      <c r="T1135" s="2" t="s">
        <v>44</v>
      </c>
      <c r="U1135" s="14">
        <v>45810</v>
      </c>
      <c r="V1135" s="25">
        <v>45813</v>
      </c>
      <c r="W1135" s="26"/>
      <c r="X1135" s="2"/>
      <c r="Z1135" s="2" t="s">
        <v>36</v>
      </c>
      <c r="AA1135" s="13" t="s">
        <v>10323</v>
      </c>
      <c r="AB1135" s="13" t="s">
        <v>10324</v>
      </c>
    </row>
    <row r="1136" spans="1:28" ht="15" customHeight="1">
      <c r="A1136" s="2" t="s">
        <v>9138</v>
      </c>
      <c r="B1136" s="2" t="s">
        <v>28</v>
      </c>
      <c r="C1136" s="11" t="s">
        <v>2159</v>
      </c>
      <c r="D1136" s="2" t="s">
        <v>99</v>
      </c>
      <c r="E1136" s="2" t="s">
        <v>31</v>
      </c>
      <c r="F1136" s="11" t="s">
        <v>2275</v>
      </c>
      <c r="G1136" s="46" t="s">
        <v>2276</v>
      </c>
      <c r="H1136" s="2" t="s">
        <v>2554</v>
      </c>
      <c r="I1136" s="10" t="s">
        <v>385</v>
      </c>
      <c r="J1136" s="22">
        <f>+Tabla1[[#This Row],[FECHA ENTRADA]]</f>
        <v>45810</v>
      </c>
      <c r="K1136" s="22">
        <v>45813</v>
      </c>
      <c r="L1136" s="23">
        <f>_xlfn.DAYS(Tabla1[[#This Row],[FECHA FIN ]],Tabla1[[#This Row],[FECHA INICIO]])</f>
        <v>3</v>
      </c>
      <c r="M1136" s="12"/>
      <c r="N1136" s="24"/>
      <c r="O1136" s="24">
        <f>(Tabla1[[#This Row],[COSTO FIJO ]]/30)*Tabla1[[#This Row],[TOTAL DIAS PROYECTO]]+(Tabla1[[#This Row],[COSTO TEMPORAL]])</f>
        <v>0</v>
      </c>
      <c r="P1136" s="12"/>
      <c r="Q1136" s="12">
        <f>+(Tabla1[[#This Row],[COSTO COCHE]]/30)*Tabla1[[#This Row],[TOTAL DIAS PROYECTO]]</f>
        <v>0</v>
      </c>
      <c r="R1136" s="12">
        <f>+Tabla1[[#This Row],[COSTO TOTAL ALOJAMIENTO]]+Tabla1[[#This Row],[COSTO TOTAL COCHE]]</f>
        <v>0</v>
      </c>
      <c r="S1136" s="2"/>
      <c r="T1136" s="2" t="s">
        <v>44</v>
      </c>
      <c r="U1136" s="14">
        <v>45810</v>
      </c>
      <c r="V1136" s="25">
        <v>45813</v>
      </c>
      <c r="W1136" s="26"/>
      <c r="X1136" s="2"/>
      <c r="Z1136" s="2" t="s">
        <v>36</v>
      </c>
      <c r="AA1136" s="13" t="s">
        <v>10323</v>
      </c>
      <c r="AB1136" s="13" t="s">
        <v>10324</v>
      </c>
    </row>
    <row r="1137" spans="1:28" ht="15" customHeight="1">
      <c r="A1137" s="2" t="s">
        <v>8970</v>
      </c>
      <c r="B1137" s="2" t="s">
        <v>28</v>
      </c>
      <c r="C1137" s="11" t="s">
        <v>1543</v>
      </c>
      <c r="D1137" s="2" t="s">
        <v>99</v>
      </c>
      <c r="E1137" s="2" t="s">
        <v>31</v>
      </c>
      <c r="F1137" s="11" t="s">
        <v>2275</v>
      </c>
      <c r="G1137" s="46" t="s">
        <v>2276</v>
      </c>
      <c r="H1137" s="2" t="s">
        <v>2554</v>
      </c>
      <c r="I1137" s="10" t="s">
        <v>385</v>
      </c>
      <c r="J1137" s="22">
        <f>+Tabla1[[#This Row],[FECHA ENTRADA]]</f>
        <v>45810</v>
      </c>
      <c r="K1137" s="22">
        <v>45813</v>
      </c>
      <c r="L1137" s="23">
        <f>_xlfn.DAYS(Tabla1[[#This Row],[FECHA FIN ]],Tabla1[[#This Row],[FECHA INICIO]])</f>
        <v>3</v>
      </c>
      <c r="M1137" s="12">
        <f>203.94/3</f>
        <v>67.98</v>
      </c>
      <c r="N1137" s="24"/>
      <c r="O1137" s="24">
        <f>(Tabla1[[#This Row],[COSTO FIJO ]]/30)*Tabla1[[#This Row],[TOTAL DIAS PROYECTO]]+(Tabla1[[#This Row],[COSTO TEMPORAL]])</f>
        <v>67.98</v>
      </c>
      <c r="P1137" s="12"/>
      <c r="Q1137" s="12">
        <f>+(Tabla1[[#This Row],[COSTO COCHE]]/30)*Tabla1[[#This Row],[TOTAL DIAS PROYECTO]]</f>
        <v>0</v>
      </c>
      <c r="R1137" s="12">
        <f>+Tabla1[[#This Row],[COSTO TOTAL ALOJAMIENTO]]+Tabla1[[#This Row],[COSTO TOTAL COCHE]]</f>
        <v>67.98</v>
      </c>
      <c r="S1137" s="2"/>
      <c r="T1137" s="2" t="s">
        <v>44</v>
      </c>
      <c r="U1137" s="14">
        <v>45810</v>
      </c>
      <c r="V1137" s="25">
        <v>45813</v>
      </c>
      <c r="W1137" s="26"/>
      <c r="X1137" s="2"/>
      <c r="Z1137" s="2" t="s">
        <v>36</v>
      </c>
      <c r="AA1137" s="13" t="s">
        <v>10323</v>
      </c>
      <c r="AB1137" s="13" t="s">
        <v>10324</v>
      </c>
    </row>
    <row r="1138" spans="1:28">
      <c r="A1138" s="2" t="s">
        <v>8966</v>
      </c>
      <c r="B1138" s="2" t="s">
        <v>368</v>
      </c>
      <c r="C1138" s="11" t="s">
        <v>1522</v>
      </c>
      <c r="D1138" s="2" t="s">
        <v>30</v>
      </c>
      <c r="E1138" s="2" t="s">
        <v>259</v>
      </c>
      <c r="F1138" s="11" t="s">
        <v>691</v>
      </c>
      <c r="G1138" t="s">
        <v>2555</v>
      </c>
      <c r="H1138" s="2" t="s">
        <v>1523</v>
      </c>
      <c r="I1138" s="12" t="s">
        <v>152</v>
      </c>
      <c r="J1138" s="41">
        <f>+Tabla1[[#This Row],[FECHA ENTRADA]]</f>
        <v>45692</v>
      </c>
      <c r="K1138" s="41">
        <v>45814</v>
      </c>
      <c r="L1138" s="42">
        <f>_xlfn.DAYS(Tabla1[[#This Row],[FECHA FIN ]],Tabla1[[#This Row],[FECHA INICIO]])</f>
        <v>122</v>
      </c>
      <c r="M1138" s="12"/>
      <c r="N1138" s="12"/>
      <c r="O1138" s="28">
        <f>(Tabla1[[#This Row],[COSTO FIJO ]]/30)*Tabla1[[#This Row],[TOTAL DIAS PROYECTO]]+(Tabla1[[#This Row],[COSTO TEMPORAL]])</f>
        <v>0</v>
      </c>
      <c r="P1138" s="12"/>
      <c r="Q1138" s="12">
        <f>+(Tabla1[[#This Row],[COSTO COCHE]]/30)*Tabla1[[#This Row],[TOTAL DIAS PROYECTO]]</f>
        <v>0</v>
      </c>
      <c r="R1138" s="12">
        <f>+Tabla1[[#This Row],[COSTO TOTAL ALOJAMIENTO]]+Tabla1[[#This Row],[COSTO TOTAL COCHE]]</f>
        <v>0</v>
      </c>
      <c r="S1138" s="2"/>
      <c r="T1138" s="2" t="s">
        <v>35</v>
      </c>
      <c r="U1138" s="14">
        <v>45692</v>
      </c>
      <c r="V1138" s="43"/>
      <c r="W1138" s="26"/>
      <c r="X1138" s="2">
        <v>1</v>
      </c>
      <c r="Y1138" s="11"/>
      <c r="Z1138" s="2" t="s">
        <v>36</v>
      </c>
      <c r="AA1138" s="13">
        <v>-0.87734000000000001</v>
      </c>
      <c r="AB1138" s="13" t="s">
        <v>10359</v>
      </c>
    </row>
    <row r="1139" spans="1:28" ht="15" customHeight="1">
      <c r="A1139" s="2" t="s">
        <v>9012</v>
      </c>
      <c r="B1139" s="2" t="s">
        <v>368</v>
      </c>
      <c r="C1139" s="11" t="s">
        <v>1696</v>
      </c>
      <c r="D1139" s="2" t="s">
        <v>30</v>
      </c>
      <c r="E1139" s="2" t="s">
        <v>1130</v>
      </c>
      <c r="F1139" s="11" t="s">
        <v>2012</v>
      </c>
      <c r="G1139" s="21" t="s">
        <v>2013</v>
      </c>
      <c r="H1139" s="2" t="s">
        <v>2556</v>
      </c>
      <c r="I1139" s="12" t="s">
        <v>1134</v>
      </c>
      <c r="J1139" s="22">
        <f>+Tabla1[[#This Row],[FECHA ENTRADA]]</f>
        <v>45698</v>
      </c>
      <c r="K1139" s="22">
        <v>45814</v>
      </c>
      <c r="L1139" s="23">
        <f>_xlfn.DAYS(Tabla1[[#This Row],[FECHA FIN ]],Tabla1[[#This Row],[FECHA INICIO]])</f>
        <v>116</v>
      </c>
      <c r="M1139" s="12"/>
      <c r="N1139" s="24">
        <v>350</v>
      </c>
      <c r="O1139" s="24">
        <f>(Tabla1[[#This Row],[COSTO FIJO ]]/30)*Tabla1[[#This Row],[TOTAL DIAS PROYECTO]]+(Tabla1[[#This Row],[COSTO TEMPORAL]])</f>
        <v>1353.3333333333333</v>
      </c>
      <c r="P1139" s="12"/>
      <c r="Q1139" s="12">
        <f>+(Tabla1[[#This Row],[COSTO COCHE]]/30)*Tabla1[[#This Row],[TOTAL DIAS PROYECTO]]</f>
        <v>0</v>
      </c>
      <c r="R1139" s="12">
        <f>+Tabla1[[#This Row],[COSTO TOTAL ALOJAMIENTO]]+Tabla1[[#This Row],[COSTO TOTAL COCHE]]</f>
        <v>1353.3333333333333</v>
      </c>
      <c r="S1139" s="2"/>
      <c r="T1139" s="2" t="s">
        <v>35</v>
      </c>
      <c r="U1139" s="14">
        <v>45698</v>
      </c>
      <c r="V1139" s="79"/>
      <c r="W1139" s="26">
        <v>350</v>
      </c>
      <c r="X1139" s="2">
        <v>1</v>
      </c>
      <c r="Y1139" s="11"/>
      <c r="Z1139" s="2" t="s">
        <v>36</v>
      </c>
      <c r="AA1139" s="13" t="s">
        <v>10412</v>
      </c>
      <c r="AB1139" s="13">
        <v>4200955</v>
      </c>
    </row>
    <row r="1140" spans="1:28" ht="15" customHeight="1">
      <c r="A1140" s="2" t="s">
        <v>8897</v>
      </c>
      <c r="B1140" s="2" t="s">
        <v>28</v>
      </c>
      <c r="C1140" s="11" t="s">
        <v>1195</v>
      </c>
      <c r="D1140" s="2" t="s">
        <v>30</v>
      </c>
      <c r="E1140" s="2" t="s">
        <v>31</v>
      </c>
      <c r="F1140" s="11" t="s">
        <v>451</v>
      </c>
      <c r="G1140" s="50" t="s">
        <v>452</v>
      </c>
      <c r="H1140" s="2" t="s">
        <v>2061</v>
      </c>
      <c r="I1140" s="12" t="s">
        <v>2062</v>
      </c>
      <c r="J1140" s="41">
        <f>+Tabla1[[#This Row],[FECHA ENTRADA]]</f>
        <v>45807</v>
      </c>
      <c r="K1140" s="22">
        <v>45814</v>
      </c>
      <c r="L1140" s="42">
        <f>_xlfn.DAYS(Tabla1[[#This Row],[FECHA FIN ]],Tabla1[[#This Row],[FECHA INICIO]])</f>
        <v>7</v>
      </c>
      <c r="M1140" s="12"/>
      <c r="N1140" s="12">
        <v>283.33</v>
      </c>
      <c r="O1140" s="28">
        <f>(Tabla1[[#This Row],[COSTO FIJO ]]/30)*Tabla1[[#This Row],[TOTAL DIAS PROYECTO]]+(Tabla1[[#This Row],[COSTO TEMPORAL]])</f>
        <v>66.11033333333333</v>
      </c>
      <c r="P1140" s="12"/>
      <c r="Q1140" s="12">
        <f>+(Tabla1[[#This Row],[COSTO COCHE]]/30)*Tabla1[[#This Row],[TOTAL DIAS PROYECTO]]</f>
        <v>0</v>
      </c>
      <c r="R1140" s="12">
        <f>+Tabla1[[#This Row],[COSTO TOTAL ALOJAMIENTO]]+Tabla1[[#This Row],[COSTO TOTAL COCHE]]</f>
        <v>66.11033333333333</v>
      </c>
      <c r="S1140" s="2"/>
      <c r="T1140" s="14" t="s">
        <v>35</v>
      </c>
      <c r="U1140" s="14">
        <v>45807</v>
      </c>
      <c r="V1140" s="75"/>
      <c r="W1140" s="2"/>
      <c r="X1140" s="2">
        <v>1</v>
      </c>
      <c r="Y1140" s="11"/>
      <c r="Z1140" s="2" t="s">
        <v>36</v>
      </c>
      <c r="AA1140" s="13" t="s">
        <v>10323</v>
      </c>
      <c r="AB1140" s="13" t="s">
        <v>10324</v>
      </c>
    </row>
    <row r="1141" spans="1:28" ht="15" customHeight="1">
      <c r="A1141" s="2" t="s">
        <v>9118</v>
      </c>
      <c r="B1141" s="2" t="s">
        <v>28</v>
      </c>
      <c r="C1141" s="11" t="s">
        <v>2074</v>
      </c>
      <c r="D1141" s="2" t="s">
        <v>30</v>
      </c>
      <c r="E1141" s="2" t="s">
        <v>151</v>
      </c>
      <c r="F1141" s="11" t="s">
        <v>1259</v>
      </c>
      <c r="G1141" s="46" t="s">
        <v>2557</v>
      </c>
      <c r="H1141" s="2" t="s">
        <v>2525</v>
      </c>
      <c r="I1141" s="12" t="s">
        <v>228</v>
      </c>
      <c r="J1141" s="22">
        <f>+Tabla1[[#This Row],[FECHA ENTRADA]]</f>
        <v>45809</v>
      </c>
      <c r="K1141" s="22">
        <v>45814</v>
      </c>
      <c r="L1141" s="42">
        <f>_xlfn.DAYS(Tabla1[[#This Row],[FECHA FIN ]],Tabla1[[#This Row],[FECHA INICIO]])</f>
        <v>5</v>
      </c>
      <c r="M1141" s="12">
        <v>41.25</v>
      </c>
      <c r="N1141" s="28"/>
      <c r="O1141" s="28">
        <f>(Tabla1[[#This Row],[COSTO FIJO ]]/30)*Tabla1[[#This Row],[TOTAL DIAS PROYECTO]]+(Tabla1[[#This Row],[COSTO TEMPORAL]])</f>
        <v>41.25</v>
      </c>
      <c r="P1141" s="12"/>
      <c r="Q1141" s="12">
        <f>+(Tabla1[[#This Row],[COSTO COCHE]]/30)*Tabla1[[#This Row],[TOTAL DIAS PROYECTO]]</f>
        <v>0</v>
      </c>
      <c r="R1141" s="12">
        <f>+Tabla1[[#This Row],[COSTO TOTAL ALOJAMIENTO]]+Tabla1[[#This Row],[COSTO TOTAL COCHE]]</f>
        <v>41.25</v>
      </c>
      <c r="S1141" s="2"/>
      <c r="T1141" s="2" t="s">
        <v>44</v>
      </c>
      <c r="U1141" s="14">
        <v>45809</v>
      </c>
      <c r="V1141" s="43">
        <v>45813</v>
      </c>
      <c r="W1141" s="26"/>
      <c r="X1141" s="2"/>
      <c r="Y1141" s="11"/>
      <c r="Z1141" s="2" t="s">
        <v>36</v>
      </c>
      <c r="AA1141" s="13" t="s">
        <v>10345</v>
      </c>
      <c r="AB1141" s="13" t="s">
        <v>10346</v>
      </c>
    </row>
    <row r="1142" spans="1:28" ht="15" customHeight="1">
      <c r="A1142" s="2" t="s">
        <v>9240</v>
      </c>
      <c r="B1142" s="2" t="s">
        <v>28</v>
      </c>
      <c r="C1142" s="11" t="s">
        <v>2558</v>
      </c>
      <c r="D1142" s="2" t="s">
        <v>30</v>
      </c>
      <c r="E1142" s="2" t="s">
        <v>939</v>
      </c>
      <c r="F1142" s="11" t="s">
        <v>2440</v>
      </c>
      <c r="G1142" s="49" t="s">
        <v>2441</v>
      </c>
      <c r="H1142" s="2" t="s">
        <v>2442</v>
      </c>
      <c r="I1142" s="12" t="s">
        <v>2443</v>
      </c>
      <c r="J1142" s="22">
        <f>+Tabla1[[#This Row],[FECHA ENTRADA]]</f>
        <v>45797</v>
      </c>
      <c r="K1142" s="22">
        <v>45815</v>
      </c>
      <c r="L1142" s="23">
        <f>_xlfn.DAYS(Tabla1[[#This Row],[FECHA FIN ]],Tabla1[[#This Row],[FECHA INICIO]])</f>
        <v>18</v>
      </c>
      <c r="M1142" s="12"/>
      <c r="N1142" s="24"/>
      <c r="O1142" s="24">
        <f>(Tabla1[[#This Row],[COSTO FIJO ]]/30)*Tabla1[[#This Row],[TOTAL DIAS PROYECTO]]+(Tabla1[[#This Row],[COSTO TEMPORAL]])</f>
        <v>0</v>
      </c>
      <c r="P1142" s="12"/>
      <c r="Q1142" s="12">
        <f>+(Tabla1[[#This Row],[COSTO COCHE]]/30)*Tabla1[[#This Row],[TOTAL DIAS PROYECTO]]</f>
        <v>0</v>
      </c>
      <c r="R1142" s="12">
        <f>+Tabla1[[#This Row],[COSTO TOTAL ALOJAMIENTO]]+Tabla1[[#This Row],[COSTO TOTAL COCHE]]</f>
        <v>0</v>
      </c>
      <c r="S1142" s="2"/>
      <c r="T1142" s="2" t="s">
        <v>44</v>
      </c>
      <c r="U1142" s="14">
        <v>45797</v>
      </c>
      <c r="V1142" s="25">
        <v>45815</v>
      </c>
      <c r="W1142" s="26"/>
      <c r="X1142" s="2"/>
      <c r="Z1142" s="2" t="s">
        <v>36</v>
      </c>
      <c r="AA1142" s="13" t="s">
        <v>10405</v>
      </c>
      <c r="AB1142" s="13" t="s">
        <v>10406</v>
      </c>
    </row>
    <row r="1143" spans="1:28" ht="15" customHeight="1">
      <c r="A1143" s="2" t="s">
        <v>9241</v>
      </c>
      <c r="B1143" s="2" t="s">
        <v>28</v>
      </c>
      <c r="C1143" s="11" t="s">
        <v>2559</v>
      </c>
      <c r="D1143" s="2" t="s">
        <v>30</v>
      </c>
      <c r="E1143" s="2" t="s">
        <v>939</v>
      </c>
      <c r="F1143" s="11" t="s">
        <v>2440</v>
      </c>
      <c r="G1143" s="49" t="s">
        <v>2441</v>
      </c>
      <c r="H1143" s="2" t="s">
        <v>2442</v>
      </c>
      <c r="I1143" s="12" t="s">
        <v>2443</v>
      </c>
      <c r="J1143" s="22">
        <f>+Tabla1[[#This Row],[FECHA ENTRADA]]</f>
        <v>45797</v>
      </c>
      <c r="K1143" s="22">
        <v>45815</v>
      </c>
      <c r="L1143" s="23">
        <f>_xlfn.DAYS(Tabla1[[#This Row],[FECHA FIN ]],Tabla1[[#This Row],[FECHA INICIO]])</f>
        <v>18</v>
      </c>
      <c r="M1143" s="12"/>
      <c r="N1143" s="12">
        <v>155.75</v>
      </c>
      <c r="O1143" s="24">
        <f>(Tabla1[[#This Row],[COSTO FIJO ]]/30)*Tabla1[[#This Row],[TOTAL DIAS PROYECTO]]+(Tabla1[[#This Row],[COSTO TEMPORAL]])</f>
        <v>93.449999999999989</v>
      </c>
      <c r="P1143" s="12"/>
      <c r="Q1143" s="12">
        <f>+(Tabla1[[#This Row],[COSTO COCHE]]/30)*Tabla1[[#This Row],[TOTAL DIAS PROYECTO]]</f>
        <v>0</v>
      </c>
      <c r="R1143" s="12">
        <f>+Tabla1[[#This Row],[COSTO TOTAL ALOJAMIENTO]]+Tabla1[[#This Row],[COSTO TOTAL COCHE]]</f>
        <v>93.449999999999989</v>
      </c>
      <c r="S1143" s="2"/>
      <c r="T1143" s="2" t="s">
        <v>44</v>
      </c>
      <c r="U1143" s="14">
        <v>45797</v>
      </c>
      <c r="V1143" s="25">
        <v>45815</v>
      </c>
      <c r="W1143" s="26"/>
      <c r="X1143" s="2"/>
      <c r="Z1143" s="2" t="s">
        <v>36</v>
      </c>
      <c r="AA1143" s="13" t="s">
        <v>10405</v>
      </c>
      <c r="AB1143" s="13" t="s">
        <v>10406</v>
      </c>
    </row>
    <row r="1144" spans="1:28" ht="15" customHeight="1">
      <c r="A1144" s="2" t="s">
        <v>9242</v>
      </c>
      <c r="B1144" s="2" t="s">
        <v>368</v>
      </c>
      <c r="C1144" s="31" t="s">
        <v>2560</v>
      </c>
      <c r="D1144" s="2" t="s">
        <v>30</v>
      </c>
      <c r="E1144" s="2" t="s">
        <v>1987</v>
      </c>
      <c r="F1144" s="11" t="s">
        <v>2561</v>
      </c>
      <c r="G1144" s="49" t="s">
        <v>2562</v>
      </c>
      <c r="H1144" s="2" t="s">
        <v>2351</v>
      </c>
      <c r="I1144" s="12" t="s">
        <v>2073</v>
      </c>
      <c r="J1144" s="22">
        <f>+Tabla1[[#This Row],[FECHA ENTRADA]]</f>
        <v>45800</v>
      </c>
      <c r="K1144" s="22">
        <v>45815</v>
      </c>
      <c r="L1144" s="23">
        <f>_xlfn.DAYS(Tabla1[[#This Row],[FECHA FIN ]],Tabla1[[#This Row],[FECHA INICIO]])</f>
        <v>15</v>
      </c>
      <c r="M1144" s="12"/>
      <c r="N1144" s="12"/>
      <c r="O1144" s="24">
        <f>(Tabla1[[#This Row],[COSTO FIJO ]]/30)*Tabla1[[#This Row],[TOTAL DIAS PROYECTO]]+(Tabla1[[#This Row],[COSTO TEMPORAL]])</f>
        <v>0</v>
      </c>
      <c r="P1144" s="12"/>
      <c r="Q1144" s="12">
        <f>+(Tabla1[[#This Row],[COSTO COCHE]]/30)*Tabla1[[#This Row],[TOTAL DIAS PROYECTO]]</f>
        <v>0</v>
      </c>
      <c r="R1144" s="12">
        <f>+Tabla1[[#This Row],[COSTO TOTAL ALOJAMIENTO]]+Tabla1[[#This Row],[COSTO TOTAL COCHE]]</f>
        <v>0</v>
      </c>
      <c r="S1144" s="2"/>
      <c r="T1144" s="2" t="s">
        <v>528</v>
      </c>
      <c r="U1144" s="14">
        <v>45800</v>
      </c>
      <c r="V1144" s="25">
        <v>45828</v>
      </c>
      <c r="W1144" s="26"/>
      <c r="X1144" s="2"/>
      <c r="Y1144" s="11"/>
      <c r="Z1144" s="2" t="s">
        <v>36</v>
      </c>
      <c r="AA1144" s="13" t="s">
        <v>10435</v>
      </c>
      <c r="AB1144" s="13">
        <v>42.136150000000001</v>
      </c>
    </row>
    <row r="1145" spans="1:28">
      <c r="A1145" s="2" t="s">
        <v>9243</v>
      </c>
      <c r="B1145" s="2" t="s">
        <v>28</v>
      </c>
      <c r="C1145" s="11" t="s">
        <v>2563</v>
      </c>
      <c r="D1145" s="2" t="s">
        <v>30</v>
      </c>
      <c r="E1145" s="2" t="s">
        <v>253</v>
      </c>
      <c r="F1145" s="11" t="s">
        <v>254</v>
      </c>
      <c r="G1145" s="11" t="s">
        <v>255</v>
      </c>
      <c r="H1145" s="2" t="s">
        <v>661</v>
      </c>
      <c r="I1145" s="2" t="s">
        <v>256</v>
      </c>
      <c r="J1145" s="8">
        <f>+Tabla1[[#This Row],[FECHA ENTRADA]]</f>
        <v>45340</v>
      </c>
      <c r="K1145" s="22">
        <v>45815</v>
      </c>
      <c r="L1145" s="13">
        <f>_xlfn.DAYS(Tabla1[[#This Row],[FECHA FIN ]],Tabla1[[#This Row],[FECHA INICIO]])</f>
        <v>475</v>
      </c>
      <c r="M1145" s="12"/>
      <c r="N1145" s="12"/>
      <c r="O1145" s="12">
        <f>(Tabla1[[#This Row],[COSTO FIJO ]]/30)*Tabla1[[#This Row],[TOTAL DIAS PROYECTO]]+(Tabla1[[#This Row],[COSTO TEMPORAL]])</f>
        <v>0</v>
      </c>
      <c r="P1145" s="12"/>
      <c r="Q1145" s="12">
        <f>+(Tabla1[[#This Row],[COSTO COCHE]]/30)*Tabla1[[#This Row],[TOTAL DIAS PROYECTO]]</f>
        <v>0</v>
      </c>
      <c r="R1145" s="12">
        <f>+Tabla1[[#This Row],[COSTO TOTAL ALOJAMIENTO]]+Tabla1[[#This Row],[COSTO TOTAL COCHE]]</f>
        <v>0</v>
      </c>
      <c r="S1145" s="2"/>
      <c r="T1145" s="2" t="s">
        <v>35</v>
      </c>
      <c r="U1145" s="14">
        <v>45340</v>
      </c>
      <c r="V1145" s="14"/>
      <c r="W1145" s="15"/>
      <c r="X1145" s="16"/>
      <c r="Y1145" s="18" t="s">
        <v>2564</v>
      </c>
      <c r="Z1145" s="2" t="s">
        <v>36</v>
      </c>
      <c r="AA1145" s="13" t="s">
        <v>10357</v>
      </c>
      <c r="AB1145" s="13" t="s">
        <v>10358</v>
      </c>
    </row>
    <row r="1146" spans="1:28">
      <c r="A1146" s="2" t="s">
        <v>9021</v>
      </c>
      <c r="B1146" s="2" t="s">
        <v>368</v>
      </c>
      <c r="C1146" s="11" t="s">
        <v>1715</v>
      </c>
      <c r="D1146" s="2" t="s">
        <v>30</v>
      </c>
      <c r="E1146" s="2" t="s">
        <v>422</v>
      </c>
      <c r="F1146" s="11" t="s">
        <v>956</v>
      </c>
      <c r="G1146" s="11" t="s">
        <v>957</v>
      </c>
      <c r="H1146" s="2" t="s">
        <v>2565</v>
      </c>
      <c r="I1146" s="12" t="s">
        <v>959</v>
      </c>
      <c r="J1146" s="41">
        <f>+Tabla1[[#This Row],[FECHA ENTRADA]]</f>
        <v>45741</v>
      </c>
      <c r="K1146" s="41">
        <v>45754</v>
      </c>
      <c r="L1146" s="42">
        <f>_xlfn.DAYS(Tabla1[[#This Row],[FECHA FIN ]],Tabla1[[#This Row],[FECHA INICIO]])</f>
        <v>13</v>
      </c>
      <c r="M1146" s="12"/>
      <c r="N1146" s="28">
        <v>275</v>
      </c>
      <c r="O1146" s="28">
        <f>(Tabla1[[#This Row],[COSTO FIJO ]]/30)*Tabla1[[#This Row],[TOTAL DIAS PROYECTO]]+(Tabla1[[#This Row],[COSTO TEMPORAL]])</f>
        <v>119.16666666666666</v>
      </c>
      <c r="P1146" s="12">
        <f>542.69/2</f>
        <v>271.34500000000003</v>
      </c>
      <c r="Q1146" s="12">
        <f>+(Tabla1[[#This Row],[COSTO COCHE]]/30)*Tabla1[[#This Row],[TOTAL DIAS PROYECTO]]</f>
        <v>117.58283333333335</v>
      </c>
      <c r="R1146" s="12">
        <f>+Tabla1[[#This Row],[COSTO TOTAL ALOJAMIENTO]]+Tabla1[[#This Row],[COSTO TOTAL COCHE]]</f>
        <v>236.74950000000001</v>
      </c>
      <c r="S1146" s="2"/>
      <c r="T1146" s="2" t="s">
        <v>35</v>
      </c>
      <c r="U1146" s="14">
        <v>45741</v>
      </c>
      <c r="V1146" s="43"/>
      <c r="W1146" s="26"/>
      <c r="X1146" s="2">
        <v>1</v>
      </c>
      <c r="Y1146" s="11"/>
      <c r="Z1146" s="2" t="s">
        <v>36</v>
      </c>
      <c r="AA1146" s="13">
        <v>-326.69799999999998</v>
      </c>
      <c r="AB1146" s="13" t="s">
        <v>10373</v>
      </c>
    </row>
    <row r="1147" spans="1:28" ht="15" customHeight="1">
      <c r="A1147" s="2" t="s">
        <v>9244</v>
      </c>
      <c r="B1147" s="2" t="s">
        <v>28</v>
      </c>
      <c r="C1147" s="11" t="s">
        <v>2566</v>
      </c>
      <c r="D1147" s="2" t="s">
        <v>30</v>
      </c>
      <c r="E1147" s="2" t="s">
        <v>127</v>
      </c>
      <c r="F1147" s="11" t="s">
        <v>1186</v>
      </c>
      <c r="G1147" s="32" t="s">
        <v>2567</v>
      </c>
      <c r="H1147" s="2" t="s">
        <v>2568</v>
      </c>
      <c r="I1147" s="12" t="s">
        <v>1201</v>
      </c>
      <c r="J1147" s="22">
        <f>+Tabla1[[#This Row],[FECHA ENTRADA]]</f>
        <v>45810</v>
      </c>
      <c r="K1147" s="41">
        <v>45816</v>
      </c>
      <c r="L1147" s="23">
        <f>_xlfn.DAYS(Tabla1[[#This Row],[FECHA FIN ]],Tabla1[[#This Row],[FECHA INICIO]])</f>
        <v>6</v>
      </c>
      <c r="M1147" s="12"/>
      <c r="N1147" s="12">
        <v>116.66666666666667</v>
      </c>
      <c r="O1147" s="24">
        <f>(Tabla1[[#This Row],[COSTO FIJO ]]/30)*Tabla1[[#This Row],[TOTAL DIAS PROYECTO]]+(Tabla1[[#This Row],[COSTO TEMPORAL]])</f>
        <v>23.333333333333332</v>
      </c>
      <c r="P1147" s="12"/>
      <c r="Q1147" s="12">
        <f>+(Tabla1[[#This Row],[COSTO COCHE]]/30)*Tabla1[[#This Row],[TOTAL DIAS PROYECTO]]</f>
        <v>0</v>
      </c>
      <c r="R1147" s="12">
        <f>+Tabla1[[#This Row],[COSTO TOTAL ALOJAMIENTO]]+Tabla1[[#This Row],[COSTO TOTAL COCHE]]</f>
        <v>23.333333333333332</v>
      </c>
      <c r="S1147" s="2"/>
      <c r="T1147" s="14" t="s">
        <v>44</v>
      </c>
      <c r="U1147" s="14">
        <v>45810</v>
      </c>
      <c r="V1147" s="180">
        <v>45816</v>
      </c>
      <c r="W1147" s="2"/>
      <c r="X1147" s="2"/>
      <c r="Y1147" s="11"/>
      <c r="Z1147" s="2" t="s">
        <v>36</v>
      </c>
      <c r="AA1147" s="13" t="s">
        <v>10342</v>
      </c>
      <c r="AB1147" s="13" t="s">
        <v>10343</v>
      </c>
    </row>
    <row r="1148" spans="1:28" ht="15" customHeight="1">
      <c r="A1148" s="2" t="s">
        <v>9245</v>
      </c>
      <c r="B1148" s="2" t="s">
        <v>28</v>
      </c>
      <c r="C1148" s="11" t="s">
        <v>2569</v>
      </c>
      <c r="D1148" s="2" t="s">
        <v>30</v>
      </c>
      <c r="E1148" s="2" t="s">
        <v>127</v>
      </c>
      <c r="F1148" s="11" t="s">
        <v>1186</v>
      </c>
      <c r="G1148" s="32" t="s">
        <v>2567</v>
      </c>
      <c r="H1148" s="2" t="s">
        <v>2568</v>
      </c>
      <c r="I1148" s="12" t="s">
        <v>1201</v>
      </c>
      <c r="J1148" s="22">
        <f>+Tabla1[[#This Row],[FECHA ENTRADA]]</f>
        <v>45810</v>
      </c>
      <c r="K1148" s="41">
        <v>45816</v>
      </c>
      <c r="L1148" s="23">
        <f>_xlfn.DAYS(Tabla1[[#This Row],[FECHA FIN ]],Tabla1[[#This Row],[FECHA INICIO]])</f>
        <v>6</v>
      </c>
      <c r="M1148" s="12"/>
      <c r="N1148" s="20">
        <v>116.67</v>
      </c>
      <c r="O1148" s="24">
        <f>(Tabla1[[#This Row],[COSTO FIJO ]]/30)*Tabla1[[#This Row],[TOTAL DIAS PROYECTO]]+(Tabla1[[#This Row],[COSTO TEMPORAL]])</f>
        <v>23.334000000000003</v>
      </c>
      <c r="P1148" s="12"/>
      <c r="Q1148" s="12">
        <f>+(Tabla1[[#This Row],[COSTO COCHE]]/30)*Tabla1[[#This Row],[TOTAL DIAS PROYECTO]]</f>
        <v>0</v>
      </c>
      <c r="R1148" s="12">
        <f>+Tabla1[[#This Row],[COSTO TOTAL ALOJAMIENTO]]+Tabla1[[#This Row],[COSTO TOTAL COCHE]]</f>
        <v>23.334000000000003</v>
      </c>
      <c r="S1148" s="2"/>
      <c r="T1148" s="14" t="s">
        <v>44</v>
      </c>
      <c r="U1148" s="14">
        <v>45810</v>
      </c>
      <c r="V1148" s="180">
        <v>45816</v>
      </c>
      <c r="W1148" s="2"/>
      <c r="X1148" s="2"/>
      <c r="Y1148" s="11"/>
      <c r="Z1148" s="2" t="s">
        <v>36</v>
      </c>
      <c r="AA1148" s="13" t="s">
        <v>10342</v>
      </c>
      <c r="AB1148" s="13" t="s">
        <v>10343</v>
      </c>
    </row>
    <row r="1149" spans="1:28" ht="15" customHeight="1">
      <c r="A1149" s="2" t="s">
        <v>8761</v>
      </c>
      <c r="B1149" s="2" t="s">
        <v>28</v>
      </c>
      <c r="C1149" s="11" t="s">
        <v>633</v>
      </c>
      <c r="D1149" s="2" t="s">
        <v>30</v>
      </c>
      <c r="E1149" s="2" t="s">
        <v>127</v>
      </c>
      <c r="F1149" s="11" t="s">
        <v>1186</v>
      </c>
      <c r="G1149" s="32" t="s">
        <v>2567</v>
      </c>
      <c r="H1149" s="2" t="s">
        <v>2568</v>
      </c>
      <c r="I1149" s="12" t="s">
        <v>1201</v>
      </c>
      <c r="J1149" s="22">
        <f>+Tabla1[[#This Row],[FECHA ENTRADA]]</f>
        <v>45810</v>
      </c>
      <c r="K1149" s="41">
        <v>45816</v>
      </c>
      <c r="L1149" s="23">
        <f>_xlfn.DAYS(Tabla1[[#This Row],[FECHA FIN ]],Tabla1[[#This Row],[FECHA INICIO]])</f>
        <v>6</v>
      </c>
      <c r="M1149" s="12"/>
      <c r="N1149" s="20">
        <v>116.67</v>
      </c>
      <c r="O1149" s="24">
        <f>(Tabla1[[#This Row],[COSTO FIJO ]]/30)*Tabla1[[#This Row],[TOTAL DIAS PROYECTO]]+(Tabla1[[#This Row],[COSTO TEMPORAL]])</f>
        <v>23.334000000000003</v>
      </c>
      <c r="P1149" s="12"/>
      <c r="Q1149" s="12">
        <f>+(Tabla1[[#This Row],[COSTO COCHE]]/30)*Tabla1[[#This Row],[TOTAL DIAS PROYECTO]]</f>
        <v>0</v>
      </c>
      <c r="R1149" s="12">
        <f>+Tabla1[[#This Row],[COSTO TOTAL ALOJAMIENTO]]+Tabla1[[#This Row],[COSTO TOTAL COCHE]]</f>
        <v>23.334000000000003</v>
      </c>
      <c r="S1149" s="2"/>
      <c r="T1149" s="14" t="s">
        <v>44</v>
      </c>
      <c r="U1149" s="14">
        <v>45810</v>
      </c>
      <c r="V1149" s="180">
        <v>45816</v>
      </c>
      <c r="W1149" s="2"/>
      <c r="X1149" s="2"/>
      <c r="Y1149" s="11"/>
      <c r="Z1149" s="2" t="s">
        <v>36</v>
      </c>
      <c r="AA1149" s="13" t="s">
        <v>10342</v>
      </c>
      <c r="AB1149" s="13" t="s">
        <v>10343</v>
      </c>
    </row>
    <row r="1150" spans="1:28" ht="15" customHeight="1">
      <c r="A1150" s="2" t="s">
        <v>9021</v>
      </c>
      <c r="B1150" s="2" t="s">
        <v>368</v>
      </c>
      <c r="C1150" s="11" t="s">
        <v>1715</v>
      </c>
      <c r="D1150" s="2" t="s">
        <v>99</v>
      </c>
      <c r="E1150" s="2" t="s">
        <v>2570</v>
      </c>
      <c r="F1150" s="11" t="s">
        <v>2571</v>
      </c>
      <c r="G1150" s="21" t="s">
        <v>2572</v>
      </c>
      <c r="H1150" s="2" t="s">
        <v>2573</v>
      </c>
      <c r="I1150" s="12" t="s">
        <v>2228</v>
      </c>
      <c r="J1150" s="22">
        <f>+Tabla1[[#This Row],[FECHA ENTRADA]]</f>
        <v>45803</v>
      </c>
      <c r="K1150" s="22">
        <v>45816</v>
      </c>
      <c r="L1150" s="23">
        <f>_xlfn.DAYS(Tabla1[[#This Row],[FECHA FIN ]],Tabla1[[#This Row],[FECHA INICIO]])</f>
        <v>13</v>
      </c>
      <c r="M1150" s="12"/>
      <c r="N1150" s="24">
        <v>408.5</v>
      </c>
      <c r="O1150" s="24">
        <f>(Tabla1[[#This Row],[COSTO FIJO ]]/30)*Tabla1[[#This Row],[TOTAL DIAS PROYECTO]]+(Tabla1[[#This Row],[COSTO TEMPORAL]])</f>
        <v>177.01666666666668</v>
      </c>
      <c r="P1150" s="12"/>
      <c r="Q1150" s="12">
        <f>+(Tabla1[[#This Row],[COSTO COCHE]]/30)*Tabla1[[#This Row],[TOTAL DIAS PROYECTO]]</f>
        <v>0</v>
      </c>
      <c r="R1150" s="12">
        <f>+Tabla1[[#This Row],[COSTO TOTAL ALOJAMIENTO]]+Tabla1[[#This Row],[COSTO TOTAL COCHE]]</f>
        <v>177.01666666666668</v>
      </c>
      <c r="S1150" s="2"/>
      <c r="T1150" s="2" t="s">
        <v>44</v>
      </c>
      <c r="U1150" s="14">
        <v>45803</v>
      </c>
      <c r="V1150" s="79">
        <v>45818</v>
      </c>
      <c r="W1150" s="26"/>
      <c r="X1150" s="2"/>
      <c r="Y1150" s="11" t="s">
        <v>2574</v>
      </c>
      <c r="Z1150" s="2" t="s">
        <v>36</v>
      </c>
      <c r="AA1150" s="13" t="e">
        <v>#N/A</v>
      </c>
      <c r="AB1150" s="13" t="e">
        <v>#N/A</v>
      </c>
    </row>
    <row r="1151" spans="1:28">
      <c r="A1151" s="2" t="s">
        <v>9049</v>
      </c>
      <c r="B1151" s="2" t="s">
        <v>368</v>
      </c>
      <c r="C1151" s="11" t="s">
        <v>1808</v>
      </c>
      <c r="D1151" s="2" t="s">
        <v>30</v>
      </c>
      <c r="E1151" s="2" t="s">
        <v>826</v>
      </c>
      <c r="F1151" s="11" t="s">
        <v>827</v>
      </c>
      <c r="G1151" s="11" t="s">
        <v>828</v>
      </c>
      <c r="H1151" s="2" t="s">
        <v>2575</v>
      </c>
      <c r="I1151" s="10" t="s">
        <v>152</v>
      </c>
      <c r="J1151" s="22">
        <f>+Tabla1[[#This Row],[FECHA ENTRADA]]</f>
        <v>45734</v>
      </c>
      <c r="K1151" s="22">
        <v>45817</v>
      </c>
      <c r="L1151" s="23">
        <f>_xlfn.DAYS(Tabla1[[#This Row],[FECHA FIN ]],Tabla1[[#This Row],[FECHA INICIO]])</f>
        <v>83</v>
      </c>
      <c r="M1151" s="12"/>
      <c r="N1151" s="12"/>
      <c r="O1151" s="24">
        <f>(Tabla1[[#This Row],[COSTO FIJO ]]/30)*Tabla1[[#This Row],[TOTAL DIAS PROYECTO]]+(Tabla1[[#This Row],[COSTO TEMPORAL]])</f>
        <v>0</v>
      </c>
      <c r="P1151" s="12">
        <f>651.96/2</f>
        <v>325.98</v>
      </c>
      <c r="Q1151" s="12">
        <f>+(Tabla1[[#This Row],[COSTO COCHE]]/30)*Tabla1[[#This Row],[TOTAL DIAS PROYECTO]]</f>
        <v>901.87800000000016</v>
      </c>
      <c r="R1151" s="12">
        <f>+Tabla1[[#This Row],[COSTO TOTAL ALOJAMIENTO]]+Tabla1[[#This Row],[COSTO TOTAL COCHE]]</f>
        <v>901.87800000000016</v>
      </c>
      <c r="S1151" s="2"/>
      <c r="T1151" s="2" t="s">
        <v>35</v>
      </c>
      <c r="U1151" s="14">
        <v>45734</v>
      </c>
      <c r="V1151" s="25"/>
      <c r="W1151" s="26"/>
      <c r="X1151" s="2">
        <v>1</v>
      </c>
      <c r="Y1151" s="11"/>
      <c r="Z1151" s="2" t="s">
        <v>36</v>
      </c>
      <c r="AA1151" s="13" t="s">
        <v>10399</v>
      </c>
      <c r="AB1151" s="13" t="s">
        <v>10400</v>
      </c>
    </row>
    <row r="1152" spans="1:28" ht="15" customHeight="1">
      <c r="A1152" s="2" t="s">
        <v>9172</v>
      </c>
      <c r="B1152" s="2" t="s">
        <v>28</v>
      </c>
      <c r="C1152" s="31" t="s">
        <v>2312</v>
      </c>
      <c r="D1152" s="2" t="s">
        <v>99</v>
      </c>
      <c r="E1152" s="2" t="s">
        <v>253</v>
      </c>
      <c r="F1152" s="11" t="s">
        <v>2576</v>
      </c>
      <c r="G1152" s="21" t="s">
        <v>2577</v>
      </c>
      <c r="H1152" s="2" t="s">
        <v>2313</v>
      </c>
      <c r="I1152" s="12" t="s">
        <v>256</v>
      </c>
      <c r="J1152" s="22">
        <f>+Tabla1[[#This Row],[FECHA ENTRADA]]</f>
        <v>45797</v>
      </c>
      <c r="K1152" s="8">
        <v>45817</v>
      </c>
      <c r="L1152" s="23">
        <f>_xlfn.DAYS(Tabla1[[#This Row],[FECHA FIN ]],Tabla1[[#This Row],[FECHA INICIO]])</f>
        <v>20</v>
      </c>
      <c r="M1152" s="12"/>
      <c r="N1152" s="24">
        <v>500</v>
      </c>
      <c r="O1152" s="24">
        <f>(Tabla1[[#This Row],[COSTO FIJO ]]/30)*Tabla1[[#This Row],[TOTAL DIAS PROYECTO]]+(Tabla1[[#This Row],[COSTO TEMPORAL]])</f>
        <v>333.33333333333337</v>
      </c>
      <c r="P1152" s="12"/>
      <c r="Q1152" s="12">
        <f>+(Tabla1[[#This Row],[COSTO COCHE]]/30)*Tabla1[[#This Row],[TOTAL DIAS PROYECTO]]</f>
        <v>0</v>
      </c>
      <c r="R1152" s="12">
        <f>+Tabla1[[#This Row],[COSTO TOTAL ALOJAMIENTO]]+Tabla1[[#This Row],[COSTO TOTAL COCHE]]</f>
        <v>333.33333333333337</v>
      </c>
      <c r="S1152" s="2"/>
      <c r="T1152" s="2" t="s">
        <v>613</v>
      </c>
      <c r="U1152" s="14">
        <v>45797</v>
      </c>
      <c r="V1152" s="25"/>
      <c r="W1152" s="26"/>
      <c r="X1152" s="2">
        <v>2</v>
      </c>
      <c r="Y1152" s="11"/>
      <c r="Z1152" s="2" t="s">
        <v>36</v>
      </c>
      <c r="AA1152" s="13" t="s">
        <v>10357</v>
      </c>
      <c r="AB1152" s="13" t="s">
        <v>10358</v>
      </c>
    </row>
    <row r="1153" spans="1:28" ht="15" customHeight="1">
      <c r="A1153" s="2" t="s">
        <v>9246</v>
      </c>
      <c r="B1153" s="2" t="s">
        <v>28</v>
      </c>
      <c r="C1153" s="11" t="s">
        <v>2578</v>
      </c>
      <c r="D1153" s="2" t="s">
        <v>99</v>
      </c>
      <c r="E1153" s="2" t="s">
        <v>245</v>
      </c>
      <c r="F1153" s="11" t="s">
        <v>1021</v>
      </c>
      <c r="G1153" s="49" t="s">
        <v>1022</v>
      </c>
      <c r="H1153" s="2" t="s">
        <v>2474</v>
      </c>
      <c r="I1153" s="12" t="s">
        <v>249</v>
      </c>
      <c r="J1153" s="22">
        <f>+Tabla1[[#This Row],[FECHA ENTRADA]]</f>
        <v>45699</v>
      </c>
      <c r="K1153" s="22">
        <v>45748</v>
      </c>
      <c r="L1153" s="23">
        <f>_xlfn.DAYS(Tabla1[[#This Row],[FECHA FIN ]],Tabla1[[#This Row],[FECHA INICIO]])</f>
        <v>49</v>
      </c>
      <c r="M1153" s="12"/>
      <c r="N1153" s="12"/>
      <c r="O1153" s="24">
        <f>(Tabla1[[#This Row],[COSTO FIJO ]]/30)*Tabla1[[#This Row],[TOTAL DIAS PROYECTO]]+(Tabla1[[#This Row],[COSTO TEMPORAL]])</f>
        <v>0</v>
      </c>
      <c r="P1153" s="12">
        <f>1600/22</f>
        <v>72.727272727272734</v>
      </c>
      <c r="Q1153" s="12">
        <f>+(Tabla1[[#This Row],[COSTO COCHE]]/30)*Tabla1[[#This Row],[TOTAL DIAS PROYECTO]]</f>
        <v>118.7878787878788</v>
      </c>
      <c r="R1153" s="12">
        <f>+Tabla1[[#This Row],[COSTO TOTAL ALOJAMIENTO]]+Tabla1[[#This Row],[COSTO TOTAL COCHE]]</f>
        <v>118.7878787878788</v>
      </c>
      <c r="S1153" s="2"/>
      <c r="T1153" s="2" t="s">
        <v>35</v>
      </c>
      <c r="U1153" s="14">
        <v>45699</v>
      </c>
      <c r="V1153" s="25"/>
      <c r="W1153" s="26"/>
      <c r="X1153" s="2">
        <v>1</v>
      </c>
      <c r="Y1153" s="11"/>
      <c r="Z1153" s="2" t="s">
        <v>36</v>
      </c>
      <c r="AA1153" s="13" t="s">
        <v>10355</v>
      </c>
      <c r="AB1153" s="13" t="s">
        <v>10356</v>
      </c>
    </row>
    <row r="1154" spans="1:28" ht="15" customHeight="1">
      <c r="A1154" s="2" t="s">
        <v>9247</v>
      </c>
      <c r="B1154" s="2" t="s">
        <v>28</v>
      </c>
      <c r="C1154" s="11" t="s">
        <v>2579</v>
      </c>
      <c r="D1154" s="2" t="s">
        <v>99</v>
      </c>
      <c r="E1154" s="2" t="s">
        <v>626</v>
      </c>
      <c r="F1154" s="11" t="s">
        <v>2376</v>
      </c>
      <c r="G1154" t="s">
        <v>2377</v>
      </c>
      <c r="H1154" s="2" t="s">
        <v>2580</v>
      </c>
      <c r="I1154" s="12" t="s">
        <v>570</v>
      </c>
      <c r="J1154" s="22">
        <f>+Tabla1[[#This Row],[FECHA ENTRADA]]</f>
        <v>45816</v>
      </c>
      <c r="K1154" s="22">
        <v>45817</v>
      </c>
      <c r="L1154" s="23">
        <f>_xlfn.DAYS(Tabla1[[#This Row],[FECHA FIN ]],Tabla1[[#This Row],[FECHA INICIO]])</f>
        <v>1</v>
      </c>
      <c r="M1154" s="12">
        <v>30</v>
      </c>
      <c r="N1154" s="20"/>
      <c r="O1154" s="24">
        <f>(Tabla1[[#This Row],[COSTO FIJO ]]/30)*Tabla1[[#This Row],[TOTAL DIAS PROYECTO]]+(Tabla1[[#This Row],[COSTO TEMPORAL]])</f>
        <v>30</v>
      </c>
      <c r="P1154" s="12"/>
      <c r="Q1154" s="12">
        <f>+(Tabla1[[#This Row],[COSTO COCHE]]/30)*Tabla1[[#This Row],[TOTAL DIAS PROYECTO]]</f>
        <v>0</v>
      </c>
      <c r="R1154" s="12">
        <f>+Tabla1[[#This Row],[COSTO TOTAL ALOJAMIENTO]]+Tabla1[[#This Row],[COSTO TOTAL COCHE]]</f>
        <v>30</v>
      </c>
      <c r="S1154" s="2"/>
      <c r="T1154" s="14" t="s">
        <v>44</v>
      </c>
      <c r="U1154" s="14">
        <v>45816</v>
      </c>
      <c r="V1154" s="79">
        <v>45817</v>
      </c>
      <c r="W1154" s="2"/>
      <c r="X1154" s="2"/>
      <c r="Y1154" s="11" t="s">
        <v>2581</v>
      </c>
      <c r="Z1154" s="2" t="s">
        <v>36</v>
      </c>
      <c r="AA1154" s="13" t="s">
        <v>10385</v>
      </c>
      <c r="AB1154" s="13" t="s">
        <v>10386</v>
      </c>
    </row>
    <row r="1155" spans="1:28">
      <c r="A1155" s="2" t="s">
        <v>8926</v>
      </c>
      <c r="B1155" s="2" t="s">
        <v>978</v>
      </c>
      <c r="C1155" s="11" t="s">
        <v>1310</v>
      </c>
      <c r="D1155" s="2" t="s">
        <v>30</v>
      </c>
      <c r="E1155" s="2" t="s">
        <v>259</v>
      </c>
      <c r="F1155" s="11" t="s">
        <v>516</v>
      </c>
      <c r="G1155" s="11" t="s">
        <v>517</v>
      </c>
      <c r="H1155" s="2" t="s">
        <v>1360</v>
      </c>
      <c r="I1155" s="12" t="s">
        <v>1217</v>
      </c>
      <c r="J1155" s="41">
        <f>+Tabla1[[#This Row],[FECHA ENTRADA]]</f>
        <v>45670</v>
      </c>
      <c r="K1155" s="41">
        <v>45695</v>
      </c>
      <c r="L1155" s="42">
        <f>_xlfn.DAYS(Tabla1[[#This Row],[FECHA FIN ]],Tabla1[[#This Row],[FECHA INICIO]])</f>
        <v>25</v>
      </c>
      <c r="M1155" s="12"/>
      <c r="N1155" s="12"/>
      <c r="O1155" s="28">
        <f>(Tabla1[[#This Row],[COSTO FIJO ]]/30)*Tabla1[[#This Row],[TOTAL DIAS PROYECTO]]+(Tabla1[[#This Row],[COSTO TEMPORAL]])</f>
        <v>0</v>
      </c>
      <c r="P1155" s="12">
        <f>796.8/3</f>
        <v>265.59999999999997</v>
      </c>
      <c r="Q1155" s="12">
        <f>+(Tabla1[[#This Row],[COSTO COCHE]]/30)*Tabla1[[#This Row],[TOTAL DIAS PROYECTO]]</f>
        <v>221.33333333333329</v>
      </c>
      <c r="R1155" s="12">
        <f>+Tabla1[[#This Row],[COSTO TOTAL ALOJAMIENTO]]+Tabla1[[#This Row],[COSTO TOTAL COCHE]]</f>
        <v>221.33333333333329</v>
      </c>
      <c r="S1155" s="2"/>
      <c r="T1155" s="2" t="s">
        <v>35</v>
      </c>
      <c r="U1155" s="14">
        <v>45670</v>
      </c>
      <c r="V1155" s="43"/>
      <c r="W1155" s="26"/>
      <c r="X1155" s="2">
        <v>13</v>
      </c>
      <c r="Y1155" s="11"/>
      <c r="Z1155" s="2" t="s">
        <v>36</v>
      </c>
      <c r="AA1155" s="13">
        <v>-0.87734000000000001</v>
      </c>
      <c r="AB1155" s="13" t="s">
        <v>10359</v>
      </c>
    </row>
    <row r="1156" spans="1:28" ht="15" customHeight="1">
      <c r="A1156" s="2" t="s">
        <v>9144</v>
      </c>
      <c r="B1156" s="2" t="s">
        <v>368</v>
      </c>
      <c r="C1156" s="11" t="s">
        <v>2197</v>
      </c>
      <c r="D1156" s="2" t="s">
        <v>30</v>
      </c>
      <c r="E1156" s="2" t="s">
        <v>415</v>
      </c>
      <c r="F1156" s="11" t="s">
        <v>2173</v>
      </c>
      <c r="G1156" s="46" t="s">
        <v>2174</v>
      </c>
      <c r="H1156" s="2" t="s">
        <v>2199</v>
      </c>
      <c r="I1156" s="12" t="s">
        <v>2200</v>
      </c>
      <c r="J1156" s="41">
        <f>+Tabla1[[#This Row],[FECHA ENTRADA]]</f>
        <v>45783</v>
      </c>
      <c r="K1156" s="22">
        <v>45817</v>
      </c>
      <c r="L1156" s="42">
        <f>_xlfn.DAYS(Tabla1[[#This Row],[FECHA FIN ]],Tabla1[[#This Row],[FECHA INICIO]])</f>
        <v>34</v>
      </c>
      <c r="M1156" s="12"/>
      <c r="N1156" s="12"/>
      <c r="O1156" s="28">
        <f>(Tabla1[[#This Row],[COSTO FIJO ]]/30)*Tabla1[[#This Row],[TOTAL DIAS PROYECTO]]+(Tabla1[[#This Row],[COSTO TEMPORAL]])</f>
        <v>0</v>
      </c>
      <c r="P1156" s="12">
        <f>666.59/4</f>
        <v>166.64750000000001</v>
      </c>
      <c r="Q1156" s="12">
        <f>+(Tabla1[[#This Row],[COSTO COCHE]]/30)*Tabla1[[#This Row],[TOTAL DIAS PROYECTO]]</f>
        <v>188.86716666666669</v>
      </c>
      <c r="R1156" s="12">
        <f>+Tabla1[[#This Row],[COSTO TOTAL ALOJAMIENTO]]+Tabla1[[#This Row],[COSTO TOTAL COCHE]]</f>
        <v>188.86716666666669</v>
      </c>
      <c r="S1156" s="2"/>
      <c r="T1156" s="2" t="s">
        <v>35</v>
      </c>
      <c r="U1156" s="14">
        <v>45783</v>
      </c>
      <c r="V1156" s="43">
        <v>45817</v>
      </c>
      <c r="W1156" s="2"/>
      <c r="X1156" s="2"/>
      <c r="Y1156" t="s">
        <v>2582</v>
      </c>
      <c r="Z1156" s="2" t="s">
        <v>36</v>
      </c>
      <c r="AA1156" s="13">
        <v>-0.37739</v>
      </c>
      <c r="AB1156" s="13" t="s">
        <v>10372</v>
      </c>
    </row>
    <row r="1157" spans="1:28" ht="15" customHeight="1">
      <c r="A1157" s="2" t="s">
        <v>8720</v>
      </c>
      <c r="B1157" s="2" t="s">
        <v>368</v>
      </c>
      <c r="C1157" s="11" t="s">
        <v>440</v>
      </c>
      <c r="D1157" s="2" t="s">
        <v>30</v>
      </c>
      <c r="E1157" s="2" t="s">
        <v>31</v>
      </c>
      <c r="F1157" s="11"/>
      <c r="G1157" s="50"/>
      <c r="H1157" s="2" t="s">
        <v>1246</v>
      </c>
      <c r="I1157" s="12" t="s">
        <v>1104</v>
      </c>
      <c r="J1157" s="8">
        <f>+Tabla1[[#This Row],[FECHA ENTRADA]]</f>
        <v>45511</v>
      </c>
      <c r="K1157" s="8">
        <v>45818</v>
      </c>
      <c r="L1157" s="42">
        <f>_xlfn.DAYS(Tabla1[[#This Row],[FECHA FIN ]],Tabla1[[#This Row],[FECHA INICIO]])</f>
        <v>307</v>
      </c>
      <c r="M1157" s="12"/>
      <c r="N1157" s="12">
        <v>300</v>
      </c>
      <c r="O1157" s="47">
        <f>(Tabla1[[#This Row],[COSTO FIJO ]]/30)*Tabla1[[#This Row],[TOTAL DIAS PROYECTO]]+(Tabla1[[#This Row],[COSTO TEMPORAL]])</f>
        <v>3070</v>
      </c>
      <c r="P1157" s="47"/>
      <c r="Q1157" s="47">
        <f>+(Tabla1[[#This Row],[COSTO COCHE]]/30)*Tabla1[[#This Row],[TOTAL DIAS PROYECTO]]</f>
        <v>0</v>
      </c>
      <c r="R1157" s="47">
        <f>+Tabla1[[#This Row],[COSTO TOTAL ALOJAMIENTO]]+Tabla1[[#This Row],[COSTO TOTAL COCHE]]</f>
        <v>3070</v>
      </c>
      <c r="S1157" s="2"/>
      <c r="T1157" s="2" t="s">
        <v>58</v>
      </c>
      <c r="U1157" s="14">
        <v>45511</v>
      </c>
      <c r="V1157" s="14"/>
      <c r="W1157" s="26"/>
      <c r="X1157" s="2"/>
      <c r="Y1157" s="11" t="s">
        <v>2583</v>
      </c>
      <c r="Z1157" s="2" t="s">
        <v>36</v>
      </c>
      <c r="AA1157" s="13" t="s">
        <v>10323</v>
      </c>
      <c r="AB1157" s="13" t="s">
        <v>10324</v>
      </c>
    </row>
    <row r="1158" spans="1:28" ht="15" customHeight="1">
      <c r="A1158" s="2" t="s">
        <v>9003</v>
      </c>
      <c r="B1158" s="2" t="s">
        <v>28</v>
      </c>
      <c r="C1158" s="86" t="s">
        <v>1660</v>
      </c>
      <c r="D1158" s="2" t="s">
        <v>30</v>
      </c>
      <c r="E1158" s="2" t="s">
        <v>31</v>
      </c>
      <c r="F1158" s="11" t="s">
        <v>1589</v>
      </c>
      <c r="G1158" s="34" t="s">
        <v>1590</v>
      </c>
      <c r="H1158" s="2">
        <v>2023</v>
      </c>
      <c r="I1158" s="12" t="s">
        <v>34</v>
      </c>
      <c r="J1158" s="41">
        <f>+Tabla1[[#This Row],[FECHA ENTRADA]]</f>
        <v>45714</v>
      </c>
      <c r="K1158" s="41">
        <v>45818</v>
      </c>
      <c r="L1158" s="42">
        <f>_xlfn.DAYS(Tabla1[[#This Row],[FECHA FIN ]],Tabla1[[#This Row],[FECHA INICIO]])</f>
        <v>104</v>
      </c>
      <c r="M1158" s="12"/>
      <c r="N1158" s="24">
        <v>350</v>
      </c>
      <c r="O1158" s="28">
        <f>(Tabla1[[#This Row],[COSTO FIJO ]]/30)*Tabla1[[#This Row],[TOTAL DIAS PROYECTO]]+(Tabla1[[#This Row],[COSTO TEMPORAL]])</f>
        <v>1213.3333333333333</v>
      </c>
      <c r="P1158" s="12"/>
      <c r="Q1158" s="12">
        <f>+(Tabla1[[#This Row],[COSTO COCHE]]/30)*Tabla1[[#This Row],[TOTAL DIAS PROYECTO]]</f>
        <v>0</v>
      </c>
      <c r="R1158" s="12">
        <f>+Tabla1[[#This Row],[COSTO TOTAL ALOJAMIENTO]]+Tabla1[[#This Row],[COSTO TOTAL COCHE]]</f>
        <v>1213.3333333333333</v>
      </c>
      <c r="S1158" s="2"/>
      <c r="T1158" s="2" t="s">
        <v>35</v>
      </c>
      <c r="U1158" s="14">
        <v>45714</v>
      </c>
      <c r="V1158" s="43"/>
      <c r="W1158" s="26">
        <v>175</v>
      </c>
      <c r="X1158" s="2">
        <v>5</v>
      </c>
      <c r="Y1158" s="11"/>
      <c r="Z1158" s="2" t="s">
        <v>36</v>
      </c>
      <c r="AA1158" s="13" t="s">
        <v>10323</v>
      </c>
      <c r="AB1158" s="13" t="s">
        <v>10324</v>
      </c>
    </row>
    <row r="1159" spans="1:28" ht="15" customHeight="1">
      <c r="A1159" s="2" t="s">
        <v>9248</v>
      </c>
      <c r="B1159" s="2" t="s">
        <v>368</v>
      </c>
      <c r="C1159" s="31" t="s">
        <v>2584</v>
      </c>
      <c r="D1159" s="2" t="s">
        <v>30</v>
      </c>
      <c r="E1159" s="2" t="s">
        <v>422</v>
      </c>
      <c r="F1159" s="11" t="s">
        <v>956</v>
      </c>
      <c r="G1159" s="11" t="s">
        <v>957</v>
      </c>
      <c r="H1159" s="2" t="s">
        <v>2565</v>
      </c>
      <c r="I1159" s="12" t="s">
        <v>959</v>
      </c>
      <c r="J1159" s="41">
        <f>+Tabla1[[#This Row],[FECHA ENTRADA]]</f>
        <v>45741</v>
      </c>
      <c r="K1159" s="41">
        <v>45773</v>
      </c>
      <c r="L1159" s="42">
        <f>_xlfn.DAYS(Tabla1[[#This Row],[FECHA FIN ]],Tabla1[[#This Row],[FECHA INICIO]])</f>
        <v>32</v>
      </c>
      <c r="M1159" s="12"/>
      <c r="N1159" s="20">
        <v>275</v>
      </c>
      <c r="O1159" s="28">
        <f>(Tabla1[[#This Row],[COSTO FIJO ]]/30)*Tabla1[[#This Row],[TOTAL DIAS PROYECTO]]+(Tabla1[[#This Row],[COSTO TEMPORAL]])</f>
        <v>293.33333333333331</v>
      </c>
      <c r="P1159" s="12">
        <f>542.69/2</f>
        <v>271.34500000000003</v>
      </c>
      <c r="Q1159" s="12">
        <f>+(Tabla1[[#This Row],[COSTO COCHE]]/30)*Tabla1[[#This Row],[TOTAL DIAS PROYECTO]]</f>
        <v>289.43466666666671</v>
      </c>
      <c r="R1159" s="12">
        <f>+Tabla1[[#This Row],[COSTO TOTAL ALOJAMIENTO]]+Tabla1[[#This Row],[COSTO TOTAL COCHE]]</f>
        <v>582.76800000000003</v>
      </c>
      <c r="S1159" s="2"/>
      <c r="T1159" s="2" t="s">
        <v>35</v>
      </c>
      <c r="U1159" s="14">
        <v>45741</v>
      </c>
      <c r="V1159" s="43"/>
      <c r="W1159" s="26"/>
      <c r="X1159" s="2">
        <v>1</v>
      </c>
      <c r="Y1159" s="11"/>
      <c r="Z1159" s="2" t="s">
        <v>36</v>
      </c>
      <c r="AA1159" s="13">
        <v>-326.69799999999998</v>
      </c>
      <c r="AB1159" s="13" t="s">
        <v>10373</v>
      </c>
    </row>
    <row r="1160" spans="1:28" ht="15" customHeight="1">
      <c r="A1160" s="2" t="s">
        <v>8638</v>
      </c>
      <c r="B1160" s="2" t="s">
        <v>28</v>
      </c>
      <c r="C1160" s="11" t="s">
        <v>2450</v>
      </c>
      <c r="D1160" s="2" t="s">
        <v>30</v>
      </c>
      <c r="E1160" s="2" t="s">
        <v>422</v>
      </c>
      <c r="F1160" s="11" t="s">
        <v>2585</v>
      </c>
      <c r="G1160" s="49" t="s">
        <v>2452</v>
      </c>
      <c r="H1160" s="2" t="s">
        <v>2453</v>
      </c>
      <c r="I1160" s="139" t="s">
        <v>2454</v>
      </c>
      <c r="J1160" s="22">
        <f>+Tabla1[[#This Row],[FECHA ENTRADA]]</f>
        <v>45747</v>
      </c>
      <c r="K1160" s="22">
        <v>45821</v>
      </c>
      <c r="L1160" s="23">
        <f>_xlfn.DAYS(Tabla1[[#This Row],[FECHA FIN ]],Tabla1[[#This Row],[FECHA INICIO]])</f>
        <v>74</v>
      </c>
      <c r="M1160" s="12"/>
      <c r="N1160" s="12"/>
      <c r="O1160" s="24">
        <f>(Tabla1[[#This Row],[COSTO FIJO ]]/30)*Tabla1[[#This Row],[TOTAL DIAS PROYECTO]]+(Tabla1[[#This Row],[COSTO TEMPORAL]])</f>
        <v>0</v>
      </c>
      <c r="P1160" s="12"/>
      <c r="Q1160" s="12">
        <f>+(Tabla1[[#This Row],[COSTO COCHE]]/30)*Tabla1[[#This Row],[TOTAL DIAS PROYECTO]]</f>
        <v>0</v>
      </c>
      <c r="R1160" s="12">
        <f>+Tabla1[[#This Row],[COSTO TOTAL ALOJAMIENTO]]+Tabla1[[#This Row],[COSTO TOTAL COCHE]]</f>
        <v>0</v>
      </c>
      <c r="S1160" s="2"/>
      <c r="T1160" s="2" t="s">
        <v>44</v>
      </c>
      <c r="U1160" s="14">
        <v>45747</v>
      </c>
      <c r="V1160" s="25">
        <v>45777</v>
      </c>
      <c r="W1160" s="26"/>
      <c r="X1160" s="2"/>
      <c r="Y1160" s="11"/>
      <c r="Z1160" s="2" t="s">
        <v>36</v>
      </c>
      <c r="AA1160" s="13">
        <v>-326.69799999999998</v>
      </c>
      <c r="AB1160" s="13" t="s">
        <v>10373</v>
      </c>
    </row>
    <row r="1161" spans="1:28" ht="15" customHeight="1">
      <c r="A1161" s="2" t="s">
        <v>9128</v>
      </c>
      <c r="B1161" s="2" t="s">
        <v>28</v>
      </c>
      <c r="C1161" s="11" t="s">
        <v>2116</v>
      </c>
      <c r="D1161" s="2" t="s">
        <v>99</v>
      </c>
      <c r="E1161" s="2" t="s">
        <v>259</v>
      </c>
      <c r="F1161" s="11" t="s">
        <v>2586</v>
      </c>
      <c r="G1161" t="s">
        <v>2587</v>
      </c>
      <c r="H1161" s="2" t="s">
        <v>2118</v>
      </c>
      <c r="I1161" t="s">
        <v>2119</v>
      </c>
      <c r="J1161" s="22">
        <f>+Tabla1[[#This Row],[FECHA ENTRADA]]</f>
        <v>45783</v>
      </c>
      <c r="K1161" s="22">
        <v>45819</v>
      </c>
      <c r="L1161" s="23">
        <f>_xlfn.DAYS(Tabla1[[#This Row],[FECHA FIN ]],Tabla1[[#This Row],[FECHA INICIO]])</f>
        <v>36</v>
      </c>
      <c r="M1161" s="12"/>
      <c r="N1161" s="12">
        <v>184.8</v>
      </c>
      <c r="O1161" s="24">
        <f>(Tabla1[[#This Row],[COSTO FIJO ]]/30)*Tabla1[[#This Row],[TOTAL DIAS PROYECTO]]+(Tabla1[[#This Row],[COSTO TEMPORAL]])</f>
        <v>221.76</v>
      </c>
      <c r="P1161" s="12">
        <f>651.96/4</f>
        <v>162.99</v>
      </c>
      <c r="Q1161" s="12">
        <f>+(Tabla1[[#This Row],[COSTO COCHE]]/30)*Tabla1[[#This Row],[TOTAL DIAS PROYECTO]]</f>
        <v>195.58800000000002</v>
      </c>
      <c r="R1161" s="12">
        <f>+Tabla1[[#This Row],[COSTO TOTAL ALOJAMIENTO]]+Tabla1[[#This Row],[COSTO TOTAL COCHE]]</f>
        <v>417.34800000000001</v>
      </c>
      <c r="S1161" s="2"/>
      <c r="T1161" s="14" t="s">
        <v>44</v>
      </c>
      <c r="U1161" s="14">
        <v>45783</v>
      </c>
      <c r="V1161" s="79">
        <v>45819</v>
      </c>
      <c r="W1161" s="2"/>
      <c r="X1161" s="2"/>
      <c r="Y1161" s="11" t="s">
        <v>2588</v>
      </c>
      <c r="Z1161" s="2" t="s">
        <v>36</v>
      </c>
      <c r="AA1161" s="13">
        <v>-0.87734000000000001</v>
      </c>
      <c r="AB1161" s="13" t="s">
        <v>10359</v>
      </c>
    </row>
    <row r="1162" spans="1:28" ht="15" customHeight="1">
      <c r="A1162" s="2" t="s">
        <v>9014</v>
      </c>
      <c r="B1162" s="2" t="s">
        <v>28</v>
      </c>
      <c r="C1162" s="11" t="s">
        <v>1701</v>
      </c>
      <c r="D1162" s="2" t="s">
        <v>99</v>
      </c>
      <c r="E1162" s="2" t="s">
        <v>259</v>
      </c>
      <c r="F1162" s="11" t="s">
        <v>2586</v>
      </c>
      <c r="G1162" t="s">
        <v>2587</v>
      </c>
      <c r="H1162" s="2" t="s">
        <v>2118</v>
      </c>
      <c r="I1162" t="s">
        <v>2119</v>
      </c>
      <c r="J1162" s="22">
        <f>+Tabla1[[#This Row],[FECHA ENTRADA]]</f>
        <v>45783</v>
      </c>
      <c r="K1162" s="22">
        <v>45819</v>
      </c>
      <c r="L1162" s="23">
        <f>_xlfn.DAYS(Tabla1[[#This Row],[FECHA FIN ]],Tabla1[[#This Row],[FECHA INICIO]])</f>
        <v>36</v>
      </c>
      <c r="M1162" s="12"/>
      <c r="N1162" s="12"/>
      <c r="O1162" s="24">
        <f>(Tabla1[[#This Row],[COSTO FIJO ]]/30)*Tabla1[[#This Row],[TOTAL DIAS PROYECTO]]+(Tabla1[[#This Row],[COSTO TEMPORAL]])</f>
        <v>0</v>
      </c>
      <c r="P1162" s="12">
        <f>651.96/4</f>
        <v>162.99</v>
      </c>
      <c r="Q1162" s="12">
        <f>+(Tabla1[[#This Row],[COSTO COCHE]]/30)*Tabla1[[#This Row],[TOTAL DIAS PROYECTO]]</f>
        <v>195.58800000000002</v>
      </c>
      <c r="R1162" s="12">
        <f>+Tabla1[[#This Row],[COSTO TOTAL ALOJAMIENTO]]+Tabla1[[#This Row],[COSTO TOTAL COCHE]]</f>
        <v>195.58800000000002</v>
      </c>
      <c r="S1162" s="2"/>
      <c r="T1162" s="14" t="s">
        <v>44</v>
      </c>
      <c r="U1162" s="14">
        <v>45783</v>
      </c>
      <c r="V1162" s="79">
        <v>45819</v>
      </c>
      <c r="W1162" s="2"/>
      <c r="X1162" s="2"/>
      <c r="Y1162" s="11" t="s">
        <v>2589</v>
      </c>
      <c r="Z1162" s="2" t="s">
        <v>36</v>
      </c>
      <c r="AA1162" s="13">
        <v>-0.87734000000000001</v>
      </c>
      <c r="AB1162" s="13" t="s">
        <v>10359</v>
      </c>
    </row>
    <row r="1163" spans="1:28" ht="15" customHeight="1">
      <c r="A1163" s="2" t="s">
        <v>9129</v>
      </c>
      <c r="B1163" s="2" t="s">
        <v>28</v>
      </c>
      <c r="C1163" s="31" t="s">
        <v>2121</v>
      </c>
      <c r="D1163" s="2" t="s">
        <v>99</v>
      </c>
      <c r="E1163" s="2" t="s">
        <v>259</v>
      </c>
      <c r="F1163" s="11" t="s">
        <v>2586</v>
      </c>
      <c r="G1163" t="s">
        <v>2587</v>
      </c>
      <c r="H1163" s="2" t="s">
        <v>2118</v>
      </c>
      <c r="I1163" t="s">
        <v>2119</v>
      </c>
      <c r="J1163" s="22">
        <f>+Tabla1[[#This Row],[FECHA ENTRADA]]</f>
        <v>45783</v>
      </c>
      <c r="K1163" s="22">
        <v>45819</v>
      </c>
      <c r="L1163" s="23">
        <f>_xlfn.DAYS(Tabla1[[#This Row],[FECHA FIN ]],Tabla1[[#This Row],[FECHA INICIO]])</f>
        <v>36</v>
      </c>
      <c r="M1163" s="12">
        <v>184.8</v>
      </c>
      <c r="N1163" s="20"/>
      <c r="O1163" s="24">
        <f>(Tabla1[[#This Row],[COSTO FIJO ]]/30)*Tabla1[[#This Row],[TOTAL DIAS PROYECTO]]+(Tabla1[[#This Row],[COSTO TEMPORAL]])</f>
        <v>184.8</v>
      </c>
      <c r="P1163" s="12">
        <f>651.96/4</f>
        <v>162.99</v>
      </c>
      <c r="Q1163" s="12">
        <f>+(Tabla1[[#This Row],[COSTO COCHE]]/30)*Tabla1[[#This Row],[TOTAL DIAS PROYECTO]]</f>
        <v>195.58800000000002</v>
      </c>
      <c r="R1163" s="12">
        <f>+Tabla1[[#This Row],[COSTO TOTAL ALOJAMIENTO]]+Tabla1[[#This Row],[COSTO TOTAL COCHE]]</f>
        <v>380.38800000000003</v>
      </c>
      <c r="S1163" s="2"/>
      <c r="T1163" s="14" t="s">
        <v>44</v>
      </c>
      <c r="U1163" s="14">
        <v>45783</v>
      </c>
      <c r="V1163" s="79">
        <v>45819</v>
      </c>
      <c r="W1163" s="2"/>
      <c r="X1163" s="2"/>
      <c r="Y1163" s="11" t="s">
        <v>2588</v>
      </c>
      <c r="Z1163" s="2" t="s">
        <v>36</v>
      </c>
      <c r="AA1163" s="13">
        <v>-0.87734000000000001</v>
      </c>
      <c r="AB1163" s="13" t="s">
        <v>10359</v>
      </c>
    </row>
    <row r="1164" spans="1:28" ht="15" customHeight="1">
      <c r="A1164" s="2" t="s">
        <v>8887</v>
      </c>
      <c r="B1164" s="2" t="s">
        <v>28</v>
      </c>
      <c r="C1164" s="11" t="s">
        <v>1169</v>
      </c>
      <c r="D1164" s="2" t="s">
        <v>30</v>
      </c>
      <c r="E1164" s="2" t="s">
        <v>1393</v>
      </c>
      <c r="F1164" s="11" t="s">
        <v>2590</v>
      </c>
      <c r="G1164" s="21" t="s">
        <v>2272</v>
      </c>
      <c r="H1164" s="2" t="s">
        <v>1396</v>
      </c>
      <c r="I1164" s="12" t="s">
        <v>1067</v>
      </c>
      <c r="J1164" s="22">
        <f>+Tabla1[[#This Row],[FECHA ENTRADA]]</f>
        <v>45810</v>
      </c>
      <c r="K1164" s="8">
        <v>45819</v>
      </c>
      <c r="L1164" s="42">
        <f>_xlfn.DAYS(Tabla1[[#This Row],[FECHA FIN ]],Tabla1[[#This Row],[FECHA INICIO]])</f>
        <v>9</v>
      </c>
      <c r="M1164" s="12"/>
      <c r="N1164" s="20"/>
      <c r="O1164" s="28">
        <f>(Tabla1[[#This Row],[COSTO FIJO ]]/30)*Tabla1[[#This Row],[TOTAL DIAS PROYECTO]]+(Tabla1[[#This Row],[COSTO TEMPORAL]])</f>
        <v>0</v>
      </c>
      <c r="P1164" s="12"/>
      <c r="Q1164" s="12">
        <f>+(Tabla1[[#This Row],[COSTO COCHE]]/30)*Tabla1[[#This Row],[TOTAL DIAS PROYECTO]]</f>
        <v>0</v>
      </c>
      <c r="R1164" s="12">
        <f>+Tabla1[[#This Row],[COSTO TOTAL ALOJAMIENTO]]+Tabla1[[#This Row],[COSTO TOTAL COCHE]]</f>
        <v>0</v>
      </c>
      <c r="S1164" s="2"/>
      <c r="T1164" s="2" t="s">
        <v>44</v>
      </c>
      <c r="U1164" s="14">
        <v>45810</v>
      </c>
      <c r="V1164" s="25">
        <v>45820</v>
      </c>
      <c r="W1164" s="26"/>
      <c r="X1164" s="2"/>
      <c r="Y1164" s="11"/>
      <c r="Z1164" s="2" t="s">
        <v>36</v>
      </c>
      <c r="AA1164" s="13" t="s">
        <v>10416</v>
      </c>
      <c r="AB1164" s="13" t="s">
        <v>10417</v>
      </c>
    </row>
    <row r="1165" spans="1:28" ht="15" customHeight="1">
      <c r="A1165" s="2" t="s">
        <v>8889</v>
      </c>
      <c r="B1165" s="2" t="s">
        <v>28</v>
      </c>
      <c r="C1165" s="11" t="s">
        <v>1171</v>
      </c>
      <c r="D1165" s="2" t="s">
        <v>30</v>
      </c>
      <c r="E1165" s="2" t="s">
        <v>1393</v>
      </c>
      <c r="F1165" s="11" t="s">
        <v>2590</v>
      </c>
      <c r="G1165" s="21" t="s">
        <v>2272</v>
      </c>
      <c r="H1165" s="2" t="s">
        <v>1396</v>
      </c>
      <c r="I1165" s="12" t="s">
        <v>1067</v>
      </c>
      <c r="J1165" s="22">
        <f>+Tabla1[[#This Row],[FECHA ENTRADA]]</f>
        <v>45810</v>
      </c>
      <c r="K1165" s="8">
        <v>45819</v>
      </c>
      <c r="L1165" s="42">
        <f>_xlfn.DAYS(Tabla1[[#This Row],[FECHA FIN ]],Tabla1[[#This Row],[FECHA INICIO]])</f>
        <v>9</v>
      </c>
      <c r="M1165" s="12"/>
      <c r="N1165" s="20"/>
      <c r="O1165" s="28">
        <f>(Tabla1[[#This Row],[COSTO FIJO ]]/30)*Tabla1[[#This Row],[TOTAL DIAS PROYECTO]]+(Tabla1[[#This Row],[COSTO TEMPORAL]])</f>
        <v>0</v>
      </c>
      <c r="P1165" s="12"/>
      <c r="Q1165" s="12">
        <f>+(Tabla1[[#This Row],[COSTO COCHE]]/30)*Tabla1[[#This Row],[TOTAL DIAS PROYECTO]]</f>
        <v>0</v>
      </c>
      <c r="R1165" s="12">
        <f>+Tabla1[[#This Row],[COSTO TOTAL ALOJAMIENTO]]+Tabla1[[#This Row],[COSTO TOTAL COCHE]]</f>
        <v>0</v>
      </c>
      <c r="S1165" s="2"/>
      <c r="T1165" s="2" t="s">
        <v>44</v>
      </c>
      <c r="U1165" s="14">
        <v>45810</v>
      </c>
      <c r="V1165" s="25">
        <v>45820</v>
      </c>
      <c r="W1165" s="26"/>
      <c r="X1165" s="2"/>
      <c r="Y1165" s="11"/>
      <c r="Z1165" s="2" t="s">
        <v>36</v>
      </c>
      <c r="AA1165" s="13" t="s">
        <v>10416</v>
      </c>
      <c r="AB1165" s="13" t="s">
        <v>10417</v>
      </c>
    </row>
    <row r="1166" spans="1:28" ht="15" customHeight="1">
      <c r="A1166" s="2" t="s">
        <v>9041</v>
      </c>
      <c r="B1166" s="2" t="s">
        <v>28</v>
      </c>
      <c r="C1166" s="11" t="s">
        <v>1782</v>
      </c>
      <c r="D1166" s="2" t="s">
        <v>30</v>
      </c>
      <c r="E1166" s="2" t="s">
        <v>151</v>
      </c>
      <c r="F1166" s="11" t="s">
        <v>1259</v>
      </c>
      <c r="G1166" s="21" t="s">
        <v>2557</v>
      </c>
      <c r="H1166" s="2" t="s">
        <v>2591</v>
      </c>
      <c r="I1166" s="12" t="s">
        <v>228</v>
      </c>
      <c r="J1166" s="22">
        <f>+Tabla1[[#This Row],[FECHA ENTRADA]]</f>
        <v>45817</v>
      </c>
      <c r="K1166" s="22">
        <v>45819</v>
      </c>
      <c r="L1166" s="23">
        <f>_xlfn.DAYS(Tabla1[[#This Row],[FECHA FIN ]],Tabla1[[#This Row],[FECHA INICIO]])</f>
        <v>2</v>
      </c>
      <c r="M1166" s="12"/>
      <c r="N1166" s="12"/>
      <c r="O1166" s="24">
        <f>(Tabla1[[#This Row],[COSTO FIJO ]]/30)*Tabla1[[#This Row],[TOTAL DIAS PROYECTO]]+(Tabla1[[#This Row],[COSTO TEMPORAL]])</f>
        <v>0</v>
      </c>
      <c r="P1166" s="12"/>
      <c r="Q1166" s="12">
        <f>+(Tabla1[[#This Row],[COSTO COCHE]]/30)*Tabla1[[#This Row],[TOTAL DIAS PROYECTO]]</f>
        <v>0</v>
      </c>
      <c r="R1166" s="12">
        <f>+Tabla1[[#This Row],[COSTO TOTAL ALOJAMIENTO]]+Tabla1[[#This Row],[COSTO TOTAL COCHE]]</f>
        <v>0</v>
      </c>
      <c r="S1166" s="2"/>
      <c r="T1166" s="14" t="s">
        <v>44</v>
      </c>
      <c r="U1166" s="14">
        <v>45817</v>
      </c>
      <c r="V1166" s="79">
        <v>45825</v>
      </c>
      <c r="W1166" s="2"/>
      <c r="X1166" s="2"/>
      <c r="Y1166" s="11"/>
      <c r="Z1166" s="2" t="s">
        <v>36</v>
      </c>
      <c r="AA1166" s="13" t="s">
        <v>10345</v>
      </c>
      <c r="AB1166" s="13" t="s">
        <v>10346</v>
      </c>
    </row>
    <row r="1167" spans="1:28" ht="15" customHeight="1">
      <c r="A1167" s="2" t="s">
        <v>9249</v>
      </c>
      <c r="B1167" s="2" t="s">
        <v>368</v>
      </c>
      <c r="C1167" s="11" t="s">
        <v>2592</v>
      </c>
      <c r="D1167" s="2" t="s">
        <v>99</v>
      </c>
      <c r="E1167" s="2" t="s">
        <v>127</v>
      </c>
      <c r="F1167" s="11" t="s">
        <v>820</v>
      </c>
      <c r="G1167" s="21" t="s">
        <v>1234</v>
      </c>
      <c r="H1167" s="2" t="s">
        <v>2593</v>
      </c>
      <c r="I1167" s="12" t="s">
        <v>2594</v>
      </c>
      <c r="J1167" s="41">
        <f>+Tabla1[[#This Row],[FECHA ENTRADA]]</f>
        <v>45819</v>
      </c>
      <c r="K1167" s="8">
        <v>45819</v>
      </c>
      <c r="L1167" s="42">
        <f>_xlfn.DAYS(Tabla1[[#This Row],[FECHA FIN ]],Tabla1[[#This Row],[FECHA INICIO]])</f>
        <v>0</v>
      </c>
      <c r="M1167" s="12"/>
      <c r="N1167" s="12"/>
      <c r="O1167" s="28">
        <f>(Tabla1[[#This Row],[COSTO FIJO ]]/30)*Tabla1[[#This Row],[TOTAL DIAS PROYECTO]]+(Tabla1[[#This Row],[COSTO TEMPORAL]])</f>
        <v>0</v>
      </c>
      <c r="P1167" s="12"/>
      <c r="Q1167" s="12">
        <f>+(Tabla1[[#This Row],[COSTO COCHE]]/30)*Tabla1[[#This Row],[TOTAL DIAS PROYECTO]]</f>
        <v>0</v>
      </c>
      <c r="R1167" s="12">
        <f>+Tabla1[[#This Row],[COSTO TOTAL ALOJAMIENTO]]+Tabla1[[#This Row],[COSTO TOTAL COCHE]]</f>
        <v>0</v>
      </c>
      <c r="S1167" s="2"/>
      <c r="T1167" s="2" t="s">
        <v>44</v>
      </c>
      <c r="U1167" s="14">
        <v>45819</v>
      </c>
      <c r="V1167" s="43">
        <v>45835</v>
      </c>
      <c r="W1167" s="2"/>
      <c r="X1167" s="2"/>
      <c r="Y1167" s="11" t="s">
        <v>852</v>
      </c>
      <c r="Z1167" s="2" t="s">
        <v>36</v>
      </c>
      <c r="AA1167" s="13" t="s">
        <v>10342</v>
      </c>
      <c r="AB1167" s="13" t="s">
        <v>10343</v>
      </c>
    </row>
    <row r="1168" spans="1:28">
      <c r="A1168" s="2" t="s">
        <v>9250</v>
      </c>
      <c r="B1168" s="2" t="s">
        <v>28</v>
      </c>
      <c r="C1168" s="31" t="s">
        <v>2595</v>
      </c>
      <c r="D1168" s="2" t="s">
        <v>99</v>
      </c>
      <c r="E1168" s="2" t="s">
        <v>245</v>
      </c>
      <c r="F1168" s="11" t="s">
        <v>1952</v>
      </c>
      <c r="G1168" t="s">
        <v>1953</v>
      </c>
      <c r="H1168" s="2" t="s">
        <v>2474</v>
      </c>
      <c r="I1168" s="12" t="s">
        <v>249</v>
      </c>
      <c r="J1168" s="22">
        <f>+Tabla1[[#This Row],[FECHA ENTRADA]]</f>
        <v>45699</v>
      </c>
      <c r="K1168" s="22">
        <v>45821</v>
      </c>
      <c r="L1168" s="23">
        <f>_xlfn.DAYS(Tabla1[[#This Row],[FECHA FIN ]],Tabla1[[#This Row],[FECHA INICIO]])</f>
        <v>122</v>
      </c>
      <c r="M1168" s="12"/>
      <c r="N1168" s="24">
        <v>200</v>
      </c>
      <c r="O1168" s="24">
        <f>(Tabla1[[#This Row],[COSTO FIJO ]]/30)*Tabla1[[#This Row],[TOTAL DIAS PROYECTO]]+(Tabla1[[#This Row],[COSTO TEMPORAL]])</f>
        <v>813.33333333333337</v>
      </c>
      <c r="P1168" s="12"/>
      <c r="Q1168" s="12">
        <f>+(Tabla1[[#This Row],[COSTO COCHE]]/30)*Tabla1[[#This Row],[TOTAL DIAS PROYECTO]]</f>
        <v>0</v>
      </c>
      <c r="R1168" s="12">
        <f>+Tabla1[[#This Row],[COSTO TOTAL ALOJAMIENTO]]+Tabla1[[#This Row],[COSTO TOTAL COCHE]]</f>
        <v>813.33333333333337</v>
      </c>
      <c r="S1168" s="2"/>
      <c r="T1168" s="2" t="s">
        <v>35</v>
      </c>
      <c r="U1168" s="14">
        <v>45699</v>
      </c>
      <c r="V1168" s="25"/>
      <c r="W1168" s="26"/>
      <c r="X1168" s="2">
        <v>10</v>
      </c>
      <c r="Y1168" s="11"/>
      <c r="Z1168" s="2" t="s">
        <v>36</v>
      </c>
      <c r="AA1168" s="13" t="s">
        <v>10355</v>
      </c>
      <c r="AB1168" s="13" t="s">
        <v>10356</v>
      </c>
    </row>
    <row r="1169" spans="1:28">
      <c r="A1169" s="2" t="s">
        <v>8961</v>
      </c>
      <c r="B1169" s="2" t="s">
        <v>28</v>
      </c>
      <c r="C1169" s="11" t="s">
        <v>1498</v>
      </c>
      <c r="D1169" s="2" t="s">
        <v>99</v>
      </c>
      <c r="E1169" s="2" t="s">
        <v>245</v>
      </c>
      <c r="F1169" s="11" t="s">
        <v>2596</v>
      </c>
      <c r="G1169" s="49" t="s">
        <v>2597</v>
      </c>
      <c r="H1169" s="2" t="s">
        <v>2474</v>
      </c>
      <c r="I1169" s="12" t="s">
        <v>249</v>
      </c>
      <c r="J1169" s="22">
        <f>+Tabla1[[#This Row],[FECHA ENTRADA]]</f>
        <v>45707</v>
      </c>
      <c r="K1169" s="22">
        <v>45737</v>
      </c>
      <c r="L1169" s="23">
        <f>_xlfn.DAYS(Tabla1[[#This Row],[FECHA FIN ]],Tabla1[[#This Row],[FECHA INICIO]])</f>
        <v>30</v>
      </c>
      <c r="M1169" s="12"/>
      <c r="N1169" s="12"/>
      <c r="O1169" s="24">
        <f>(Tabla1[[#This Row],[COSTO FIJO ]]/30)*Tabla1[[#This Row],[TOTAL DIAS PROYECTO]]+(Tabla1[[#This Row],[COSTO TEMPORAL]])</f>
        <v>0</v>
      </c>
      <c r="P1169" s="12">
        <f>1600/22</f>
        <v>72.727272727272734</v>
      </c>
      <c r="Q1169" s="12">
        <f>+(Tabla1[[#This Row],[COSTO COCHE]]/30)*Tabla1[[#This Row],[TOTAL DIAS PROYECTO]]</f>
        <v>72.727272727272734</v>
      </c>
      <c r="R1169" s="12">
        <f>+Tabla1[[#This Row],[COSTO TOTAL ALOJAMIENTO]]+Tabla1[[#This Row],[COSTO TOTAL COCHE]]</f>
        <v>72.727272727272734</v>
      </c>
      <c r="S1169" s="2"/>
      <c r="T1169" s="2" t="s">
        <v>35</v>
      </c>
      <c r="U1169" s="14">
        <v>45707</v>
      </c>
      <c r="V1169" s="79"/>
      <c r="W1169" s="26"/>
      <c r="X1169" s="2">
        <v>16</v>
      </c>
      <c r="Y1169" s="11"/>
      <c r="Z1169" s="2" t="s">
        <v>36</v>
      </c>
      <c r="AA1169" s="13" t="s">
        <v>10355</v>
      </c>
      <c r="AB1169" s="13" t="s">
        <v>10356</v>
      </c>
    </row>
    <row r="1170" spans="1:28" s="179" customFormat="1" ht="15" customHeight="1">
      <c r="A1170" s="2" t="s">
        <v>8774</v>
      </c>
      <c r="B1170" s="2" t="s">
        <v>28</v>
      </c>
      <c r="C1170" s="31" t="s">
        <v>694</v>
      </c>
      <c r="D1170" s="2" t="s">
        <v>30</v>
      </c>
      <c r="E1170" s="2" t="s">
        <v>855</v>
      </c>
      <c r="F1170" s="11" t="s">
        <v>856</v>
      </c>
      <c r="G1170" s="21" t="s">
        <v>857</v>
      </c>
      <c r="H1170" s="2" t="s">
        <v>1475</v>
      </c>
      <c r="I1170" s="12" t="s">
        <v>1201</v>
      </c>
      <c r="J1170" s="41">
        <f>+Tabla1[[#This Row],[FECHA ENTRADA]]</f>
        <v>45689</v>
      </c>
      <c r="K1170" s="8">
        <v>45820</v>
      </c>
      <c r="L1170" s="42">
        <f>_xlfn.DAYS(Tabla1[[#This Row],[FECHA FIN ]],Tabla1[[#This Row],[FECHA INICIO]])</f>
        <v>131</v>
      </c>
      <c r="M1170" s="12"/>
      <c r="N1170" s="28">
        <v>300</v>
      </c>
      <c r="O1170" s="28">
        <f>(Tabla1[[#This Row],[COSTO FIJO ]]/30)*Tabla1[[#This Row],[TOTAL DIAS PROYECTO]]+(Tabla1[[#This Row],[COSTO TEMPORAL]])</f>
        <v>1310</v>
      </c>
      <c r="P1170" s="12">
        <f>654.76/4</f>
        <v>163.69</v>
      </c>
      <c r="Q1170" s="12">
        <f>+(Tabla1[[#This Row],[COSTO COCHE]]/30)*Tabla1[[#This Row],[TOTAL DIAS PROYECTO]]</f>
        <v>714.77966666666669</v>
      </c>
      <c r="R1170" s="12">
        <f>+Tabla1[[#This Row],[COSTO TOTAL ALOJAMIENTO]]+Tabla1[[#This Row],[COSTO TOTAL COCHE]]</f>
        <v>2024.7796666666668</v>
      </c>
      <c r="S1170" s="2"/>
      <c r="T1170" s="2" t="s">
        <v>35</v>
      </c>
      <c r="U1170" s="14">
        <v>45689</v>
      </c>
      <c r="V1170" s="43"/>
      <c r="W1170" s="26"/>
      <c r="X1170" s="2">
        <v>1</v>
      </c>
      <c r="Y1170" s="160" t="s">
        <v>2598</v>
      </c>
      <c r="Z1170" s="2" t="s">
        <v>36</v>
      </c>
      <c r="AA1170" s="13" t="s">
        <v>10401</v>
      </c>
      <c r="AB1170" s="13" t="s">
        <v>10402</v>
      </c>
    </row>
    <row r="1171" spans="1:28" s="32" customFormat="1" ht="15" customHeight="1">
      <c r="A1171" s="2" t="s">
        <v>8638</v>
      </c>
      <c r="B1171" s="2" t="s">
        <v>28</v>
      </c>
      <c r="C1171" s="11" t="s">
        <v>2534</v>
      </c>
      <c r="D1171" s="2" t="s">
        <v>30</v>
      </c>
      <c r="E1171" s="2" t="s">
        <v>422</v>
      </c>
      <c r="F1171" s="11" t="s">
        <v>2585</v>
      </c>
      <c r="G1171" s="49" t="s">
        <v>2452</v>
      </c>
      <c r="H1171" s="2" t="s">
        <v>2453</v>
      </c>
      <c r="I1171" s="139" t="s">
        <v>2454</v>
      </c>
      <c r="J1171" s="22">
        <f>+Tabla1[[#This Row],[FECHA ENTRADA]]</f>
        <v>45747</v>
      </c>
      <c r="K1171" s="22">
        <v>45821</v>
      </c>
      <c r="L1171" s="23">
        <f>_xlfn.DAYS(Tabla1[[#This Row],[FECHA FIN ]],Tabla1[[#This Row],[FECHA INICIO]])</f>
        <v>74</v>
      </c>
      <c r="M1171" s="12"/>
      <c r="N1171" s="24"/>
      <c r="O1171" s="24">
        <f>(Tabla1[[#This Row],[COSTO FIJO ]]/30)*Tabla1[[#This Row],[TOTAL DIAS PROYECTO]]+(Tabla1[[#This Row],[COSTO TEMPORAL]])</f>
        <v>0</v>
      </c>
      <c r="P1171" s="12"/>
      <c r="Q1171" s="12">
        <f>+(Tabla1[[#This Row],[COSTO COCHE]]/30)*Tabla1[[#This Row],[TOTAL DIAS PROYECTO]]</f>
        <v>0</v>
      </c>
      <c r="R1171" s="12">
        <f>+Tabla1[[#This Row],[COSTO TOTAL ALOJAMIENTO]]+Tabla1[[#This Row],[COSTO TOTAL COCHE]]</f>
        <v>0</v>
      </c>
      <c r="S1171" s="2"/>
      <c r="T1171" s="2" t="s">
        <v>44</v>
      </c>
      <c r="U1171" s="14">
        <v>45747</v>
      </c>
      <c r="V1171" s="25">
        <v>45777</v>
      </c>
      <c r="W1171" s="26"/>
      <c r="X1171" s="2"/>
      <c r="Y1171" s="11"/>
      <c r="Z1171" s="2" t="s">
        <v>36</v>
      </c>
      <c r="AA1171" s="13">
        <v>-326.69799999999998</v>
      </c>
      <c r="AB1171" s="13" t="s">
        <v>10373</v>
      </c>
    </row>
    <row r="1172" spans="1:28" ht="15" customHeight="1">
      <c r="A1172" s="2" t="s">
        <v>9251</v>
      </c>
      <c r="B1172" s="2" t="s">
        <v>368</v>
      </c>
      <c r="C1172" s="31" t="s">
        <v>2599</v>
      </c>
      <c r="D1172" s="2" t="s">
        <v>161</v>
      </c>
      <c r="E1172" s="2" t="s">
        <v>2600</v>
      </c>
      <c r="F1172" s="11"/>
      <c r="G1172" s="21"/>
      <c r="H1172" s="2" t="s">
        <v>2601</v>
      </c>
      <c r="I1172" s="12" t="s">
        <v>1830</v>
      </c>
      <c r="J1172" s="22">
        <f>+Tabla1[[#This Row],[FECHA ENTRADA]]</f>
        <v>45804</v>
      </c>
      <c r="K1172" s="8">
        <v>45820</v>
      </c>
      <c r="L1172" s="23">
        <f>_xlfn.DAYS(Tabla1[[#This Row],[FECHA FIN ]],Tabla1[[#This Row],[FECHA INICIO]])</f>
        <v>16</v>
      </c>
      <c r="M1172" s="12"/>
      <c r="N1172" s="12">
        <v>300</v>
      </c>
      <c r="O1172" s="24">
        <f>(Tabla1[[#This Row],[COSTO FIJO ]]/30)*Tabla1[[#This Row],[TOTAL DIAS PROYECTO]]+(Tabla1[[#This Row],[COSTO TEMPORAL]])</f>
        <v>160</v>
      </c>
      <c r="P1172" s="12"/>
      <c r="Q1172" s="12">
        <f>+(Tabla1[[#This Row],[COSTO COCHE]]/30)*Tabla1[[#This Row],[TOTAL DIAS PROYECTO]]</f>
        <v>0</v>
      </c>
      <c r="R1172" s="12">
        <f>+Tabla1[[#This Row],[COSTO TOTAL ALOJAMIENTO]]+Tabla1[[#This Row],[COSTO TOTAL COCHE]]</f>
        <v>160</v>
      </c>
      <c r="S1172" s="2"/>
      <c r="T1172" s="2" t="s">
        <v>58</v>
      </c>
      <c r="U1172" s="14">
        <v>45804</v>
      </c>
      <c r="V1172" s="25"/>
      <c r="W1172" s="2"/>
      <c r="X1172" s="2"/>
      <c r="Y1172" s="150" t="s">
        <v>2602</v>
      </c>
      <c r="Z1172" s="2" t="s">
        <v>36</v>
      </c>
      <c r="AA1172" s="13" t="e">
        <v>#N/A</v>
      </c>
      <c r="AB1172" s="13" t="e">
        <v>#N/A</v>
      </c>
    </row>
    <row r="1173" spans="1:28" ht="15" customHeight="1">
      <c r="A1173" s="2" t="s">
        <v>9235</v>
      </c>
      <c r="B1173" s="2" t="s">
        <v>28</v>
      </c>
      <c r="C1173" s="11" t="s">
        <v>2535</v>
      </c>
      <c r="D1173" s="2" t="s">
        <v>30</v>
      </c>
      <c r="E1173" s="2" t="s">
        <v>422</v>
      </c>
      <c r="F1173" s="11" t="s">
        <v>2585</v>
      </c>
      <c r="G1173" s="49" t="s">
        <v>2603</v>
      </c>
      <c r="H1173" s="2" t="s">
        <v>2453</v>
      </c>
      <c r="I1173" s="139" t="s">
        <v>2454</v>
      </c>
      <c r="J1173" s="22">
        <f>+Tabla1[[#This Row],[FECHA ENTRADA]]</f>
        <v>45747</v>
      </c>
      <c r="K1173" s="22">
        <v>45821</v>
      </c>
      <c r="L1173" s="23">
        <f>_xlfn.DAYS(Tabla1[[#This Row],[FECHA FIN ]],Tabla1[[#This Row],[FECHA INICIO]])</f>
        <v>74</v>
      </c>
      <c r="M1173" s="12"/>
      <c r="N1173" s="24"/>
      <c r="O1173" s="24">
        <f>(Tabla1[[#This Row],[COSTO FIJO ]]/30)*Tabla1[[#This Row],[TOTAL DIAS PROYECTO]]+(Tabla1[[#This Row],[COSTO TEMPORAL]])</f>
        <v>0</v>
      </c>
      <c r="P1173" s="12"/>
      <c r="Q1173" s="12">
        <f>+(Tabla1[[#This Row],[COSTO COCHE]]/30)*Tabla1[[#This Row],[TOTAL DIAS PROYECTO]]</f>
        <v>0</v>
      </c>
      <c r="R1173" s="12">
        <f>+Tabla1[[#This Row],[COSTO TOTAL ALOJAMIENTO]]+Tabla1[[#This Row],[COSTO TOTAL COCHE]]</f>
        <v>0</v>
      </c>
      <c r="S1173" s="2"/>
      <c r="T1173" s="2" t="s">
        <v>44</v>
      </c>
      <c r="U1173" s="14">
        <v>45747</v>
      </c>
      <c r="V1173" s="25">
        <v>45777</v>
      </c>
      <c r="W1173" s="26"/>
      <c r="X1173" s="2"/>
      <c r="Y1173" s="11"/>
      <c r="Z1173" s="2" t="s">
        <v>36</v>
      </c>
      <c r="AA1173" s="13">
        <v>-326.69799999999998</v>
      </c>
      <c r="AB1173" s="13" t="s">
        <v>10373</v>
      </c>
    </row>
    <row r="1174" spans="1:28" ht="15" customHeight="1">
      <c r="A1174" s="2" t="s">
        <v>9252</v>
      </c>
      <c r="B1174" s="2" t="s">
        <v>368</v>
      </c>
      <c r="C1174" s="97" t="s">
        <v>2604</v>
      </c>
      <c r="D1174" s="2" t="s">
        <v>161</v>
      </c>
      <c r="E1174" s="2" t="s">
        <v>2600</v>
      </c>
      <c r="F1174" s="11"/>
      <c r="G1174" s="21"/>
      <c r="H1174" s="2" t="s">
        <v>2601</v>
      </c>
      <c r="I1174" s="12" t="s">
        <v>1830</v>
      </c>
      <c r="J1174" s="22">
        <f>+Tabla1[[#This Row],[FECHA ENTRADA]]</f>
        <v>45804</v>
      </c>
      <c r="K1174" s="8">
        <v>45820</v>
      </c>
      <c r="L1174" s="23">
        <f>_xlfn.DAYS(Tabla1[[#This Row],[FECHA FIN ]],Tabla1[[#This Row],[FECHA INICIO]])</f>
        <v>16</v>
      </c>
      <c r="M1174" s="12"/>
      <c r="N1174" s="12">
        <v>300</v>
      </c>
      <c r="O1174" s="24">
        <f>(Tabla1[[#This Row],[COSTO FIJO ]]/30)*Tabla1[[#This Row],[TOTAL DIAS PROYECTO]]+(Tabla1[[#This Row],[COSTO TEMPORAL]])</f>
        <v>160</v>
      </c>
      <c r="P1174" s="12"/>
      <c r="Q1174" s="12">
        <f>+(Tabla1[[#This Row],[COSTO COCHE]]/30)*Tabla1[[#This Row],[TOTAL DIAS PROYECTO]]</f>
        <v>0</v>
      </c>
      <c r="R1174" s="12">
        <f>+Tabla1[[#This Row],[COSTO TOTAL ALOJAMIENTO]]+Tabla1[[#This Row],[COSTO TOTAL COCHE]]</f>
        <v>160</v>
      </c>
      <c r="S1174" s="2"/>
      <c r="T1174" s="2" t="s">
        <v>58</v>
      </c>
      <c r="U1174" s="14">
        <v>45804</v>
      </c>
      <c r="V1174" s="25"/>
      <c r="W1174" s="2"/>
      <c r="X1174" s="2"/>
      <c r="Y1174" s="150" t="s">
        <v>2602</v>
      </c>
      <c r="Z1174" s="2" t="s">
        <v>36</v>
      </c>
      <c r="AA1174" s="13" t="e">
        <v>#N/A</v>
      </c>
      <c r="AB1174" s="13" t="e">
        <v>#N/A</v>
      </c>
    </row>
    <row r="1175" spans="1:28" ht="15" customHeight="1">
      <c r="A1175" s="2" t="s">
        <v>9031</v>
      </c>
      <c r="B1175" s="2" t="s">
        <v>368</v>
      </c>
      <c r="C1175" s="104" t="s">
        <v>1743</v>
      </c>
      <c r="D1175" s="2" t="s">
        <v>99</v>
      </c>
      <c r="E1175" s="2" t="s">
        <v>422</v>
      </c>
      <c r="F1175" s="11" t="s">
        <v>1375</v>
      </c>
      <c r="G1175" t="s">
        <v>1376</v>
      </c>
      <c r="H1175" s="2" t="s">
        <v>2605</v>
      </c>
      <c r="I1175" s="29" t="s">
        <v>913</v>
      </c>
      <c r="J1175" s="22">
        <f>+Tabla1[[#This Row],[FECHA ENTRADA]]</f>
        <v>45734</v>
      </c>
      <c r="K1175" s="22">
        <v>45821</v>
      </c>
      <c r="L1175" s="23">
        <f>_xlfn.DAYS(Tabla1[[#This Row],[FECHA FIN ]],Tabla1[[#This Row],[FECHA INICIO]])</f>
        <v>87</v>
      </c>
      <c r="M1175" s="12"/>
      <c r="N1175" s="24">
        <v>233.33333333333334</v>
      </c>
      <c r="O1175" s="24">
        <f>(Tabla1[[#This Row],[COSTO FIJO ]]/30)*Tabla1[[#This Row],[TOTAL DIAS PROYECTO]]+(Tabla1[[#This Row],[COSTO TEMPORAL]])</f>
        <v>676.66666666666663</v>
      </c>
      <c r="P1175" s="12">
        <v>133.33333333333334</v>
      </c>
      <c r="Q1175" s="12">
        <f>+(Tabla1[[#This Row],[COSTO COCHE]]/30)*Tabla1[[#This Row],[TOTAL DIAS PROYECTO]]</f>
        <v>386.66666666666669</v>
      </c>
      <c r="R1175" s="12">
        <f>+Tabla1[[#This Row],[COSTO TOTAL ALOJAMIENTO]]+Tabla1[[#This Row],[COSTO TOTAL COCHE]]</f>
        <v>1063.3333333333333</v>
      </c>
      <c r="S1175" s="2"/>
      <c r="T1175" s="2" t="s">
        <v>35</v>
      </c>
      <c r="U1175" s="14">
        <v>45734</v>
      </c>
      <c r="V1175" s="79"/>
      <c r="W1175" s="26"/>
      <c r="X1175" s="2">
        <v>5</v>
      </c>
      <c r="Y1175" s="11"/>
      <c r="Z1175" s="2" t="s">
        <v>36</v>
      </c>
      <c r="AA1175" s="13">
        <v>-326.69799999999998</v>
      </c>
      <c r="AB1175" s="13" t="s">
        <v>10373</v>
      </c>
    </row>
    <row r="1176" spans="1:28" ht="15" customHeight="1">
      <c r="A1176" s="2" t="s">
        <v>9253</v>
      </c>
      <c r="B1176" s="2" t="s">
        <v>28</v>
      </c>
      <c r="C1176" s="11" t="s">
        <v>2606</v>
      </c>
      <c r="D1176" s="2" t="s">
        <v>30</v>
      </c>
      <c r="E1176" s="2" t="s">
        <v>939</v>
      </c>
      <c r="F1176" s="11" t="s">
        <v>2440</v>
      </c>
      <c r="G1176" s="49" t="s">
        <v>2441</v>
      </c>
      <c r="H1176" s="2" t="s">
        <v>2442</v>
      </c>
      <c r="I1176" s="12" t="s">
        <v>2443</v>
      </c>
      <c r="J1176" s="22">
        <f>+Tabla1[[#This Row],[FECHA ENTRADA]]</f>
        <v>45797</v>
      </c>
      <c r="K1176" s="22">
        <v>45820</v>
      </c>
      <c r="L1176" s="23">
        <f>_xlfn.DAYS(Tabla1[[#This Row],[FECHA FIN ]],Tabla1[[#This Row],[FECHA INICIO]])</f>
        <v>23</v>
      </c>
      <c r="M1176" s="12"/>
      <c r="N1176" s="12">
        <v>155.75</v>
      </c>
      <c r="O1176" s="24">
        <f>(Tabla1[[#This Row],[COSTO FIJO ]]/30)*Tabla1[[#This Row],[TOTAL DIAS PROYECTO]]+(Tabla1[[#This Row],[COSTO TEMPORAL]])</f>
        <v>119.40833333333333</v>
      </c>
      <c r="P1176" s="12"/>
      <c r="Q1176" s="12">
        <f>+(Tabla1[[#This Row],[COSTO COCHE]]/30)*Tabla1[[#This Row],[TOTAL DIAS PROYECTO]]</f>
        <v>0</v>
      </c>
      <c r="R1176" s="12">
        <f>+Tabla1[[#This Row],[COSTO TOTAL ALOJAMIENTO]]+Tabla1[[#This Row],[COSTO TOTAL COCHE]]</f>
        <v>119.40833333333333</v>
      </c>
      <c r="S1176" s="2"/>
      <c r="T1176" s="2" t="s">
        <v>44</v>
      </c>
      <c r="U1176" s="14">
        <v>45797</v>
      </c>
      <c r="V1176" s="25">
        <v>45815</v>
      </c>
      <c r="W1176" s="26"/>
      <c r="X1176" s="2"/>
      <c r="Z1176" s="2" t="s">
        <v>36</v>
      </c>
      <c r="AA1176" s="13" t="s">
        <v>10405</v>
      </c>
      <c r="AB1176" s="13" t="s">
        <v>10406</v>
      </c>
    </row>
    <row r="1177" spans="1:28" ht="15" customHeight="1">
      <c r="A1177" s="2" t="s">
        <v>9254</v>
      </c>
      <c r="B1177" s="2" t="s">
        <v>368</v>
      </c>
      <c r="C1177" s="11" t="s">
        <v>2607</v>
      </c>
      <c r="D1177" s="2" t="s">
        <v>99</v>
      </c>
      <c r="E1177" s="2" t="s">
        <v>31</v>
      </c>
      <c r="F1177" s="11" t="s">
        <v>2608</v>
      </c>
      <c r="G1177" s="46">
        <v>34646052521</v>
      </c>
      <c r="H1177" s="2" t="s">
        <v>2609</v>
      </c>
      <c r="I1177" s="10" t="s">
        <v>1316</v>
      </c>
      <c r="J1177" s="22">
        <f>+Tabla1[[#This Row],[FECHA ENTRADA]]</f>
        <v>45810</v>
      </c>
      <c r="K1177" s="22">
        <v>45820</v>
      </c>
      <c r="L1177" s="23">
        <f>_xlfn.DAYS(Tabla1[[#This Row],[FECHA FIN ]],Tabla1[[#This Row],[FECHA INICIO]])</f>
        <v>10</v>
      </c>
      <c r="M1177" s="12">
        <f>934.5/4</f>
        <v>233.625</v>
      </c>
      <c r="N1177" s="28"/>
      <c r="O1177" s="24">
        <f>(Tabla1[[#This Row],[COSTO FIJO ]]/30)*Tabla1[[#This Row],[TOTAL DIAS PROYECTO]]+(Tabla1[[#This Row],[COSTO TEMPORAL]])</f>
        <v>233.625</v>
      </c>
      <c r="P1177" s="12"/>
      <c r="Q1177" s="12">
        <f>+(Tabla1[[#This Row],[COSTO COCHE]]/30)*Tabla1[[#This Row],[TOTAL DIAS PROYECTO]]</f>
        <v>0</v>
      </c>
      <c r="R1177" s="12">
        <f>+Tabla1[[#This Row],[COSTO TOTAL ALOJAMIENTO]]+Tabla1[[#This Row],[COSTO TOTAL COCHE]]</f>
        <v>233.625</v>
      </c>
      <c r="S1177" s="2" t="s">
        <v>84</v>
      </c>
      <c r="T1177" s="2" t="s">
        <v>44</v>
      </c>
      <c r="U1177" s="14">
        <v>45810</v>
      </c>
      <c r="V1177" s="25">
        <v>45820</v>
      </c>
      <c r="W1177" s="26"/>
      <c r="X1177" s="2"/>
      <c r="Z1177" s="2" t="s">
        <v>36</v>
      </c>
      <c r="AA1177" s="13" t="s">
        <v>10323</v>
      </c>
      <c r="AB1177" s="13" t="s">
        <v>10324</v>
      </c>
    </row>
    <row r="1178" spans="1:28" ht="15" customHeight="1">
      <c r="A1178" s="2" t="s">
        <v>9255</v>
      </c>
      <c r="B1178" s="2" t="s">
        <v>368</v>
      </c>
      <c r="C1178" s="104" t="s">
        <v>2610</v>
      </c>
      <c r="D1178" s="2" t="s">
        <v>99</v>
      </c>
      <c r="E1178" s="2" t="s">
        <v>31</v>
      </c>
      <c r="F1178" s="11" t="s">
        <v>2608</v>
      </c>
      <c r="G1178" s="46">
        <v>34646052521</v>
      </c>
      <c r="H1178" s="2" t="s">
        <v>2609</v>
      </c>
      <c r="I1178" s="10" t="s">
        <v>1316</v>
      </c>
      <c r="J1178" s="22">
        <f>+Tabla1[[#This Row],[FECHA ENTRADA]]</f>
        <v>45816</v>
      </c>
      <c r="K1178" s="22">
        <v>45820</v>
      </c>
      <c r="L1178" s="23">
        <f>_xlfn.DAYS(Tabla1[[#This Row],[FECHA FIN ]],Tabla1[[#This Row],[FECHA INICIO]])</f>
        <v>4</v>
      </c>
      <c r="N1178" s="24"/>
      <c r="O1178" s="24">
        <f>(Tabla1[[#This Row],[COSTO FIJO ]]/30)*Tabla1[[#This Row],[TOTAL DIAS PROYECTO]]+(Tabla1[[#This Row],[COSTO TEMPORAL]])</f>
        <v>0</v>
      </c>
      <c r="P1178" s="12"/>
      <c r="Q1178" s="12">
        <f>+(Tabla1[[#This Row],[COSTO COCHE]]/30)*Tabla1[[#This Row],[TOTAL DIAS PROYECTO]]</f>
        <v>0</v>
      </c>
      <c r="R1178" s="12">
        <f>+Tabla1[[#This Row],[COSTO TOTAL ALOJAMIENTO]]+Tabla1[[#This Row],[COSTO TOTAL COCHE]]</f>
        <v>0</v>
      </c>
      <c r="S1178" s="2" t="s">
        <v>84</v>
      </c>
      <c r="T1178" s="2" t="s">
        <v>44</v>
      </c>
      <c r="U1178" s="14">
        <v>45816</v>
      </c>
      <c r="V1178" s="25">
        <v>45820</v>
      </c>
      <c r="W1178" s="26"/>
      <c r="X1178" s="2"/>
      <c r="Z1178" s="2" t="s">
        <v>36</v>
      </c>
      <c r="AA1178" s="13" t="s">
        <v>10323</v>
      </c>
      <c r="AB1178" s="13" t="s">
        <v>10324</v>
      </c>
    </row>
    <row r="1179" spans="1:28" ht="15" customHeight="1">
      <c r="A1179" s="2" t="s">
        <v>9256</v>
      </c>
      <c r="B1179" s="2" t="s">
        <v>368</v>
      </c>
      <c r="C1179" s="104" t="s">
        <v>2611</v>
      </c>
      <c r="D1179" s="2" t="s">
        <v>99</v>
      </c>
      <c r="E1179" s="2" t="s">
        <v>31</v>
      </c>
      <c r="F1179" s="11" t="s">
        <v>2608</v>
      </c>
      <c r="G1179" s="46">
        <v>34646052521</v>
      </c>
      <c r="H1179" s="2" t="s">
        <v>2609</v>
      </c>
      <c r="I1179" s="10" t="s">
        <v>1316</v>
      </c>
      <c r="J1179" s="22">
        <f>+Tabla1[[#This Row],[FECHA ENTRADA]]</f>
        <v>45816</v>
      </c>
      <c r="K1179" s="22">
        <v>45820</v>
      </c>
      <c r="L1179" s="23">
        <f>_xlfn.DAYS(Tabla1[[#This Row],[FECHA FIN ]],Tabla1[[#This Row],[FECHA INICIO]])</f>
        <v>4</v>
      </c>
      <c r="M1179" s="12">
        <f>934.5/4</f>
        <v>233.625</v>
      </c>
      <c r="N1179" s="24"/>
      <c r="O1179" s="24">
        <f>(Tabla1[[#This Row],[COSTO FIJO ]]/30)*Tabla1[[#This Row],[TOTAL DIAS PROYECTO]]+(Tabla1[[#This Row],[COSTO TEMPORAL]])</f>
        <v>233.625</v>
      </c>
      <c r="P1179" s="12"/>
      <c r="Q1179" s="12">
        <f>+(Tabla1[[#This Row],[COSTO COCHE]]/30)*Tabla1[[#This Row],[TOTAL DIAS PROYECTO]]</f>
        <v>0</v>
      </c>
      <c r="R1179" s="12">
        <f>+Tabla1[[#This Row],[COSTO TOTAL ALOJAMIENTO]]+Tabla1[[#This Row],[COSTO TOTAL COCHE]]</f>
        <v>233.625</v>
      </c>
      <c r="S1179" s="2" t="s">
        <v>84</v>
      </c>
      <c r="T1179" s="2" t="s">
        <v>44</v>
      </c>
      <c r="U1179" s="14">
        <v>45816</v>
      </c>
      <c r="V1179" s="25">
        <v>45820</v>
      </c>
      <c r="W1179" s="26"/>
      <c r="X1179" s="2"/>
      <c r="Z1179" s="2" t="s">
        <v>36</v>
      </c>
      <c r="AA1179" s="13" t="s">
        <v>10323</v>
      </c>
      <c r="AB1179" s="13" t="s">
        <v>10324</v>
      </c>
    </row>
    <row r="1180" spans="1:28" ht="15" customHeight="1">
      <c r="A1180" s="2" t="s">
        <v>9160</v>
      </c>
      <c r="B1180" s="2" t="s">
        <v>368</v>
      </c>
      <c r="C1180" s="104" t="s">
        <v>2277</v>
      </c>
      <c r="D1180" s="2" t="s">
        <v>30</v>
      </c>
      <c r="E1180" s="2" t="s">
        <v>1130</v>
      </c>
      <c r="F1180" s="11" t="s">
        <v>2612</v>
      </c>
      <c r="G1180" s="21"/>
      <c r="H1180" s="2" t="s">
        <v>2613</v>
      </c>
      <c r="I1180" s="12" t="s">
        <v>2614</v>
      </c>
      <c r="J1180" s="22">
        <f>+Tabla1[[#This Row],[FECHA ENTRADA]]</f>
        <v>45816</v>
      </c>
      <c r="K1180" s="22">
        <v>45820</v>
      </c>
      <c r="L1180" s="23">
        <f>_xlfn.DAYS(Tabla1[[#This Row],[FECHA FIN ]],Tabla1[[#This Row],[FECHA INICIO]])</f>
        <v>4</v>
      </c>
      <c r="M1180" s="12">
        <v>118</v>
      </c>
      <c r="N1180" s="20"/>
      <c r="O1180" s="24">
        <f>(Tabla1[[#This Row],[COSTO FIJO ]]/30)*Tabla1[[#This Row],[TOTAL DIAS PROYECTO]]+(Tabla1[[#This Row],[COSTO TEMPORAL]])</f>
        <v>118</v>
      </c>
      <c r="P1180" s="12"/>
      <c r="Q1180" s="12">
        <f>+(Tabla1[[#This Row],[COSTO COCHE]]/30)*Tabla1[[#This Row],[TOTAL DIAS PROYECTO]]</f>
        <v>0</v>
      </c>
      <c r="R1180" s="12">
        <f>+Tabla1[[#This Row],[COSTO TOTAL ALOJAMIENTO]]+Tabla1[[#This Row],[COSTO TOTAL COCHE]]</f>
        <v>118</v>
      </c>
      <c r="S1180" s="2"/>
      <c r="T1180" s="14" t="s">
        <v>44</v>
      </c>
      <c r="U1180" s="14">
        <v>45816</v>
      </c>
      <c r="V1180" s="79">
        <v>45820</v>
      </c>
      <c r="W1180" s="2"/>
      <c r="X1180" s="2"/>
      <c r="Y1180" s="11" t="s">
        <v>2615</v>
      </c>
      <c r="Z1180" s="2" t="s">
        <v>36</v>
      </c>
      <c r="AA1180" s="13" t="s">
        <v>10412</v>
      </c>
      <c r="AB1180" s="13">
        <v>4200955</v>
      </c>
    </row>
    <row r="1181" spans="1:28" ht="15" customHeight="1">
      <c r="A1181" s="2" t="s">
        <v>8638</v>
      </c>
      <c r="B1181" s="2" t="s">
        <v>368</v>
      </c>
      <c r="C1181" s="104" t="s">
        <v>2616</v>
      </c>
      <c r="D1181" s="2" t="s">
        <v>30</v>
      </c>
      <c r="E1181" s="2" t="s">
        <v>1130</v>
      </c>
      <c r="F1181" s="11" t="s">
        <v>2612</v>
      </c>
      <c r="G1181" s="21"/>
      <c r="H1181" s="2" t="s">
        <v>2613</v>
      </c>
      <c r="I1181" s="12" t="s">
        <v>2614</v>
      </c>
      <c r="J1181" s="22">
        <f>+Tabla1[[#This Row],[FECHA ENTRADA]]</f>
        <v>45816</v>
      </c>
      <c r="K1181" s="22">
        <v>45820</v>
      </c>
      <c r="L1181" s="23">
        <f>_xlfn.DAYS(Tabla1[[#This Row],[FECHA FIN ]],Tabla1[[#This Row],[FECHA INICIO]])</f>
        <v>4</v>
      </c>
      <c r="M1181" s="12">
        <v>118</v>
      </c>
      <c r="N1181" s="20"/>
      <c r="O1181" s="24">
        <f>(Tabla1[[#This Row],[COSTO FIJO ]]/30)*Tabla1[[#This Row],[TOTAL DIAS PROYECTO]]+(Tabla1[[#This Row],[COSTO TEMPORAL]])</f>
        <v>118</v>
      </c>
      <c r="P1181" s="12"/>
      <c r="Q1181" s="12">
        <f>+(Tabla1[[#This Row],[COSTO COCHE]]/30)*Tabla1[[#This Row],[TOTAL DIAS PROYECTO]]</f>
        <v>0</v>
      </c>
      <c r="R1181" s="12">
        <f>+Tabla1[[#This Row],[COSTO TOTAL ALOJAMIENTO]]+Tabla1[[#This Row],[COSTO TOTAL COCHE]]</f>
        <v>118</v>
      </c>
      <c r="S1181" s="2"/>
      <c r="T1181" s="14" t="s">
        <v>44</v>
      </c>
      <c r="U1181" s="14">
        <v>45816</v>
      </c>
      <c r="V1181" s="79">
        <v>45820</v>
      </c>
      <c r="W1181" s="2"/>
      <c r="X1181" s="2"/>
      <c r="Y1181" s="11" t="s">
        <v>2615</v>
      </c>
      <c r="Z1181" s="2" t="s">
        <v>36</v>
      </c>
      <c r="AA1181" s="13" t="s">
        <v>10412</v>
      </c>
      <c r="AB1181" s="13">
        <v>4200955</v>
      </c>
    </row>
    <row r="1182" spans="1:28" ht="15" customHeight="1">
      <c r="A1182" s="2" t="s">
        <v>9130</v>
      </c>
      <c r="B1182" s="2" t="s">
        <v>28</v>
      </c>
      <c r="C1182" s="104" t="s">
        <v>2126</v>
      </c>
      <c r="D1182" s="2" t="s">
        <v>99</v>
      </c>
      <c r="E1182" s="2" t="s">
        <v>608</v>
      </c>
      <c r="F1182" s="11" t="s">
        <v>2617</v>
      </c>
      <c r="G1182" s="49" t="s">
        <v>2618</v>
      </c>
      <c r="H1182" s="2" t="s">
        <v>2619</v>
      </c>
      <c r="I1182" s="12" t="s">
        <v>292</v>
      </c>
      <c r="J1182" s="22">
        <f>+Tabla1[[#This Row],[FECHA ENTRADA]]</f>
        <v>45803</v>
      </c>
      <c r="K1182" s="8">
        <v>45820</v>
      </c>
      <c r="L1182" s="13">
        <f>_xlfn.DAYS(Tabla1[[#This Row],[FECHA FIN ]],Tabla1[[#This Row],[FECHA INICIO]])</f>
        <v>17</v>
      </c>
      <c r="M1182" s="12">
        <f>1042.8/3</f>
        <v>347.59999999999997</v>
      </c>
      <c r="N1182" s="12"/>
      <c r="O1182" s="12">
        <f>(Tabla1[[#This Row],[COSTO FIJO ]]/30)*Tabla1[[#This Row],[TOTAL DIAS PROYECTO]]+(Tabla1[[#This Row],[COSTO TEMPORAL]])</f>
        <v>347.59999999999997</v>
      </c>
      <c r="P1182" s="12"/>
      <c r="Q1182" s="12">
        <f>+(Tabla1[[#This Row],[COSTO COCHE]]/30)*Tabla1[[#This Row],[TOTAL DIAS PROYECTO]]</f>
        <v>0</v>
      </c>
      <c r="R1182" s="12">
        <f>+Tabla1[[#This Row],[COSTO TOTAL ALOJAMIENTO]]+Tabla1[[#This Row],[COSTO TOTAL COCHE]]</f>
        <v>347.59999999999997</v>
      </c>
      <c r="S1182" s="2"/>
      <c r="T1182" s="2" t="s">
        <v>44</v>
      </c>
      <c r="U1182" s="14">
        <v>45803</v>
      </c>
      <c r="V1182" s="14">
        <v>45820</v>
      </c>
      <c r="W1182" s="26"/>
      <c r="X1182" s="16"/>
      <c r="Y1182" s="18"/>
      <c r="Z1182" s="2" t="s">
        <v>36</v>
      </c>
      <c r="AA1182" s="13" t="s">
        <v>10383</v>
      </c>
      <c r="AB1182" s="13" t="s">
        <v>10384</v>
      </c>
    </row>
    <row r="1183" spans="1:28">
      <c r="A1183" s="2" t="s">
        <v>9257</v>
      </c>
      <c r="B1183" s="2" t="s">
        <v>28</v>
      </c>
      <c r="C1183" s="104" t="s">
        <v>2620</v>
      </c>
      <c r="D1183" s="2" t="s">
        <v>749</v>
      </c>
      <c r="E1183" s="2" t="s">
        <v>288</v>
      </c>
      <c r="F1183" s="11" t="s">
        <v>2621</v>
      </c>
      <c r="G1183" s="11" t="s">
        <v>2622</v>
      </c>
      <c r="H1183" s="2" t="s">
        <v>2623</v>
      </c>
      <c r="I1183" s="12" t="s">
        <v>753</v>
      </c>
      <c r="J1183" s="8">
        <f>+Tabla1[[#This Row],[FECHA ENTRADA]]</f>
        <v>45507</v>
      </c>
      <c r="K1183" s="8">
        <v>45610</v>
      </c>
      <c r="L1183" s="13">
        <f>_xlfn.DAYS(Tabla1[[#This Row],[FECHA FIN ]],Tabla1[[#This Row],[FECHA INICIO]])</f>
        <v>103</v>
      </c>
      <c r="M1183" s="12"/>
      <c r="N1183" s="12"/>
      <c r="O1183" s="12">
        <f>(Tabla1[[#This Row],[COSTO FIJO ]]/30)*Tabla1[[#This Row],[TOTAL DIAS PROYECTO]]+(Tabla1[[#This Row],[COSTO TEMPORAL]])</f>
        <v>0</v>
      </c>
      <c r="P1183" s="12">
        <f>8180.25/45</f>
        <v>181.78333333333333</v>
      </c>
      <c r="Q1183" s="12">
        <f>+(Tabla1[[#This Row],[COSTO COCHE]]/30)*Tabla1[[#This Row],[TOTAL DIAS PROYECTO]]</f>
        <v>624.12277777777774</v>
      </c>
      <c r="R1183" s="12">
        <f>+Tabla1[[#This Row],[COSTO TOTAL ALOJAMIENTO]]+Tabla1[[#This Row],[COSTO TOTAL COCHE]]</f>
        <v>624.12277777777774</v>
      </c>
      <c r="S1183" s="2"/>
      <c r="T1183" s="2" t="s">
        <v>35</v>
      </c>
      <c r="U1183" s="14">
        <v>45507</v>
      </c>
      <c r="V1183" s="14"/>
      <c r="W1183" s="26"/>
      <c r="X1183" s="2">
        <v>1</v>
      </c>
      <c r="Y1183" s="11" t="s">
        <v>2624</v>
      </c>
      <c r="Z1183" s="2" t="s">
        <v>36</v>
      </c>
      <c r="AA1183" s="13" t="s">
        <v>10362</v>
      </c>
      <c r="AB1183" s="13" t="s">
        <v>10363</v>
      </c>
    </row>
    <row r="1184" spans="1:28" ht="15" customHeight="1">
      <c r="A1184" s="2" t="s">
        <v>9258</v>
      </c>
      <c r="B1184" s="2" t="s">
        <v>28</v>
      </c>
      <c r="C1184" s="11" t="s">
        <v>2625</v>
      </c>
      <c r="D1184" s="2" t="s">
        <v>99</v>
      </c>
      <c r="E1184" s="2" t="s">
        <v>259</v>
      </c>
      <c r="F1184" s="11" t="s">
        <v>260</v>
      </c>
      <c r="G1184" s="11" t="s">
        <v>261</v>
      </c>
      <c r="H1184" s="2" t="s">
        <v>2626</v>
      </c>
      <c r="I1184" s="12" t="s">
        <v>263</v>
      </c>
      <c r="J1184" s="22">
        <f>+Tabla1[[#This Row],[FECHA ENTRADA]]</f>
        <v>45747</v>
      </c>
      <c r="K1184" s="22">
        <v>45820</v>
      </c>
      <c r="L1184" s="23">
        <f>_xlfn.DAYS(Tabla1[[#This Row],[FECHA FIN ]],Tabla1[[#This Row],[FECHA INICIO]])</f>
        <v>73</v>
      </c>
      <c r="M1184" s="12"/>
      <c r="N1184" s="12"/>
      <c r="O1184" s="24">
        <f>(Tabla1[[#This Row],[COSTO FIJO ]]/30)*Tabla1[[#This Row],[TOTAL DIAS PROYECTO]]+(Tabla1[[#This Row],[COSTO TEMPORAL]])</f>
        <v>0</v>
      </c>
      <c r="P1184" s="12">
        <v>133.33333333333334</v>
      </c>
      <c r="Q1184" s="12">
        <f>+(Tabla1[[#This Row],[COSTO COCHE]]/30)*Tabla1[[#This Row],[TOTAL DIAS PROYECTO]]</f>
        <v>324.44444444444446</v>
      </c>
      <c r="R1184" s="12">
        <f>+Tabla1[[#This Row],[COSTO TOTAL ALOJAMIENTO]]+Tabla1[[#This Row],[COSTO TOTAL COCHE]]</f>
        <v>324.44444444444446</v>
      </c>
      <c r="S1184" s="2"/>
      <c r="T1184" s="2" t="s">
        <v>35</v>
      </c>
      <c r="U1184" s="14">
        <v>45747</v>
      </c>
      <c r="V1184" s="25"/>
      <c r="W1184" s="26"/>
      <c r="X1184" s="2">
        <v>27</v>
      </c>
      <c r="Y1184" s="11" t="s">
        <v>2627</v>
      </c>
      <c r="Z1184" s="2" t="s">
        <v>36</v>
      </c>
      <c r="AA1184" s="13">
        <v>-0.87734000000000001</v>
      </c>
      <c r="AB1184" s="13" t="s">
        <v>10359</v>
      </c>
    </row>
    <row r="1185" spans="1:28" ht="15" customHeight="1">
      <c r="A1185" s="2" t="s">
        <v>9259</v>
      </c>
      <c r="B1185" s="2" t="s">
        <v>28</v>
      </c>
      <c r="C1185" s="115" t="s">
        <v>2628</v>
      </c>
      <c r="D1185" s="2" t="s">
        <v>30</v>
      </c>
      <c r="E1185" s="2" t="s">
        <v>370</v>
      </c>
      <c r="F1185" s="11" t="s">
        <v>2629</v>
      </c>
      <c r="G1185" s="11" t="s">
        <v>2630</v>
      </c>
      <c r="H1185" s="2" t="s">
        <v>2631</v>
      </c>
      <c r="I1185" s="2" t="s">
        <v>118</v>
      </c>
      <c r="J1185" s="8">
        <f>+Tabla1[[#This Row],[FECHA ENTRADA]]</f>
        <v>45312</v>
      </c>
      <c r="K1185" s="22">
        <v>45821</v>
      </c>
      <c r="L1185" s="13">
        <f>_xlfn.DAYS(Tabla1[[#This Row],[FECHA FIN ]],Tabla1[[#This Row],[FECHA INICIO]])</f>
        <v>509</v>
      </c>
      <c r="M1185" s="12"/>
      <c r="N1185" s="24"/>
      <c r="O1185" s="12">
        <f>(Tabla1[[#This Row],[COSTO FIJO ]]/30)*Tabla1[[#This Row],[TOTAL DIAS PROYECTO]]+(Tabla1[[#This Row],[COSTO TEMPORAL]])</f>
        <v>0</v>
      </c>
      <c r="P1185" s="12"/>
      <c r="Q1185" s="12">
        <f>+(Tabla1[[#This Row],[COSTO COCHE]]/30)*Tabla1[[#This Row],[TOTAL DIAS PROYECTO]]</f>
        <v>0</v>
      </c>
      <c r="R1185" s="12">
        <f>+Tabla1[[#This Row],[COSTO TOTAL ALOJAMIENTO]]+Tabla1[[#This Row],[COSTO TOTAL COCHE]]</f>
        <v>0</v>
      </c>
      <c r="S1185" s="2" t="s">
        <v>403</v>
      </c>
      <c r="T1185" s="2" t="s">
        <v>44</v>
      </c>
      <c r="U1185" s="14">
        <v>45312</v>
      </c>
      <c r="V1185" s="14">
        <v>45328</v>
      </c>
      <c r="W1185" s="15"/>
      <c r="X1185" s="16"/>
      <c r="Y1185" s="18"/>
      <c r="Z1185" s="2" t="s">
        <v>36</v>
      </c>
      <c r="AA1185" s="13" t="s">
        <v>10368</v>
      </c>
      <c r="AB1185" s="13" t="s">
        <v>10369</v>
      </c>
    </row>
    <row r="1186" spans="1:28" ht="15" customHeight="1">
      <c r="A1186" s="2" t="s">
        <v>8815</v>
      </c>
      <c r="B1186" s="2" t="s">
        <v>28</v>
      </c>
      <c r="C1186" s="115" t="s">
        <v>875</v>
      </c>
      <c r="D1186" s="2" t="s">
        <v>30</v>
      </c>
      <c r="E1186" s="2" t="s">
        <v>370</v>
      </c>
      <c r="F1186" s="11" t="s">
        <v>2629</v>
      </c>
      <c r="G1186" s="11" t="s">
        <v>2630</v>
      </c>
      <c r="H1186" s="2" t="s">
        <v>2631</v>
      </c>
      <c r="I1186" s="2" t="s">
        <v>118</v>
      </c>
      <c r="J1186" s="8">
        <f>+Tabla1[[#This Row],[FECHA ENTRADA]]</f>
        <v>45312</v>
      </c>
      <c r="K1186" s="22">
        <v>45821</v>
      </c>
      <c r="L1186" s="13">
        <f>_xlfn.DAYS(Tabla1[[#This Row],[FECHA FIN ]],Tabla1[[#This Row],[FECHA INICIO]])</f>
        <v>509</v>
      </c>
      <c r="M1186" s="12"/>
      <c r="N1186" s="24"/>
      <c r="O1186" s="12">
        <f>(Tabla1[[#This Row],[COSTO FIJO ]]/30)*Tabla1[[#This Row],[TOTAL DIAS PROYECTO]]+(Tabla1[[#This Row],[COSTO TEMPORAL]])</f>
        <v>0</v>
      </c>
      <c r="P1186" s="12"/>
      <c r="Q1186" s="12">
        <f>+(Tabla1[[#This Row],[COSTO COCHE]]/30)*Tabla1[[#This Row],[TOTAL DIAS PROYECTO]]</f>
        <v>0</v>
      </c>
      <c r="R1186" s="12">
        <f>+Tabla1[[#This Row],[COSTO TOTAL ALOJAMIENTO]]+Tabla1[[#This Row],[COSTO TOTAL COCHE]]</f>
        <v>0</v>
      </c>
      <c r="S1186" s="2" t="s">
        <v>403</v>
      </c>
      <c r="T1186" s="2" t="s">
        <v>44</v>
      </c>
      <c r="U1186" s="14">
        <v>45312</v>
      </c>
      <c r="V1186" s="14">
        <v>45328</v>
      </c>
      <c r="W1186" s="15"/>
      <c r="X1186" s="16"/>
      <c r="Y1186" s="18"/>
      <c r="Z1186" s="2" t="s">
        <v>36</v>
      </c>
      <c r="AA1186" s="13" t="s">
        <v>10368</v>
      </c>
      <c r="AB1186" s="13" t="s">
        <v>10369</v>
      </c>
    </row>
    <row r="1187" spans="1:28" s="32" customFormat="1" ht="15" customHeight="1">
      <c r="A1187" s="2" t="s">
        <v>8672</v>
      </c>
      <c r="B1187" s="2" t="s">
        <v>28</v>
      </c>
      <c r="C1187" s="115" t="s">
        <v>230</v>
      </c>
      <c r="D1187" s="2" t="s">
        <v>30</v>
      </c>
      <c r="E1187" s="2" t="s">
        <v>370</v>
      </c>
      <c r="F1187" s="11" t="s">
        <v>2629</v>
      </c>
      <c r="G1187" s="11" t="s">
        <v>2630</v>
      </c>
      <c r="H1187" s="2" t="s">
        <v>2631</v>
      </c>
      <c r="I1187" s="2" t="s">
        <v>118</v>
      </c>
      <c r="J1187" s="8">
        <f>+Tabla1[[#This Row],[FECHA ENTRADA]]</f>
        <v>45312</v>
      </c>
      <c r="K1187" s="22">
        <v>45821</v>
      </c>
      <c r="L1187" s="13">
        <f>_xlfn.DAYS(Tabla1[[#This Row],[FECHA FIN ]],Tabla1[[#This Row],[FECHA INICIO]])</f>
        <v>509</v>
      </c>
      <c r="M1187" s="12"/>
      <c r="N1187" s="20"/>
      <c r="O1187" s="12">
        <f>(Tabla1[[#This Row],[COSTO FIJO ]]/30)*Tabla1[[#This Row],[TOTAL DIAS PROYECTO]]+(Tabla1[[#This Row],[COSTO TEMPORAL]])</f>
        <v>0</v>
      </c>
      <c r="P1187" s="12"/>
      <c r="Q1187" s="12">
        <f>+(Tabla1[[#This Row],[COSTO COCHE]]/30)*Tabla1[[#This Row],[TOTAL DIAS PROYECTO]]</f>
        <v>0</v>
      </c>
      <c r="R1187" s="12">
        <f>+Tabla1[[#This Row],[COSTO TOTAL ALOJAMIENTO]]+Tabla1[[#This Row],[COSTO TOTAL COCHE]]</f>
        <v>0</v>
      </c>
      <c r="S1187" s="2" t="s">
        <v>403</v>
      </c>
      <c r="T1187" s="2" t="s">
        <v>44</v>
      </c>
      <c r="U1187" s="14">
        <v>45312</v>
      </c>
      <c r="V1187" s="14">
        <v>45328</v>
      </c>
      <c r="W1187" s="15"/>
      <c r="X1187" s="16"/>
      <c r="Y1187" s="18"/>
      <c r="Z1187" s="2" t="s">
        <v>36</v>
      </c>
      <c r="AA1187" s="13" t="s">
        <v>10368</v>
      </c>
      <c r="AB1187" s="13" t="s">
        <v>10369</v>
      </c>
    </row>
    <row r="1188" spans="1:28">
      <c r="A1188" s="2" t="s">
        <v>9166</v>
      </c>
      <c r="B1188" s="2" t="s">
        <v>28</v>
      </c>
      <c r="C1188" s="104" t="s">
        <v>2291</v>
      </c>
      <c r="D1188" s="2" t="s">
        <v>30</v>
      </c>
      <c r="E1188" s="2" t="s">
        <v>92</v>
      </c>
      <c r="F1188" s="11"/>
      <c r="G1188" s="11"/>
      <c r="H1188" s="2" t="s">
        <v>586</v>
      </c>
      <c r="I1188" s="12" t="s">
        <v>96</v>
      </c>
      <c r="J1188" s="8">
        <f>+Tabla1[[#This Row],[FECHA ENTRADA]]</f>
        <v>45319</v>
      </c>
      <c r="K1188" s="8">
        <v>45562</v>
      </c>
      <c r="L1188" s="13">
        <f>_xlfn.DAYS(Tabla1[[#This Row],[FECHA FIN ]],Tabla1[[#This Row],[FECHA INICIO]])</f>
        <v>243</v>
      </c>
      <c r="M1188" s="12"/>
      <c r="N1188" s="12">
        <v>300</v>
      </c>
      <c r="O1188" s="12">
        <f>(Tabla1[[#This Row],[COSTO FIJO ]]/30)*Tabla1[[#This Row],[TOTAL DIAS PROYECTO]]+(Tabla1[[#This Row],[COSTO TEMPORAL]])</f>
        <v>2430</v>
      </c>
      <c r="P1188" s="12"/>
      <c r="Q1188" s="12">
        <f>+(Tabla1[[#This Row],[COSTO COCHE]]/30)*Tabla1[[#This Row],[TOTAL DIAS PROYECTO]]</f>
        <v>0</v>
      </c>
      <c r="R1188" s="12">
        <f>+Tabla1[[#This Row],[COSTO TOTAL ALOJAMIENTO]]+Tabla1[[#This Row],[COSTO TOTAL COCHE]]</f>
        <v>2430</v>
      </c>
      <c r="S1188" s="2"/>
      <c r="T1188" s="2" t="s">
        <v>58</v>
      </c>
      <c r="U1188" s="14">
        <v>45319</v>
      </c>
      <c r="V1188" s="14"/>
      <c r="W1188" s="15"/>
      <c r="X1188" s="16">
        <v>28</v>
      </c>
      <c r="Y1188" s="11" t="s">
        <v>2632</v>
      </c>
      <c r="Z1188" s="2" t="s">
        <v>36</v>
      </c>
      <c r="AA1188" s="13" t="s">
        <v>10336</v>
      </c>
      <c r="AB1188" s="13" t="s">
        <v>10337</v>
      </c>
    </row>
    <row r="1189" spans="1:28" ht="15" customHeight="1">
      <c r="A1189" s="2" t="s">
        <v>9260</v>
      </c>
      <c r="B1189" s="2" t="s">
        <v>28</v>
      </c>
      <c r="C1189" s="11" t="s">
        <v>2633</v>
      </c>
      <c r="D1189" s="2" t="s">
        <v>30</v>
      </c>
      <c r="E1189" s="2" t="s">
        <v>370</v>
      </c>
      <c r="F1189" s="11" t="s">
        <v>2629</v>
      </c>
      <c r="G1189" s="11" t="s">
        <v>2630</v>
      </c>
      <c r="H1189" s="2" t="s">
        <v>2631</v>
      </c>
      <c r="I1189" s="2" t="s">
        <v>118</v>
      </c>
      <c r="J1189" s="8">
        <f>+Tabla1[[#This Row],[FECHA ENTRADA]]</f>
        <v>45312</v>
      </c>
      <c r="K1189" s="22">
        <v>45821</v>
      </c>
      <c r="L1189" s="13">
        <f>_xlfn.DAYS(Tabla1[[#This Row],[FECHA FIN ]],Tabla1[[#This Row],[FECHA INICIO]])</f>
        <v>509</v>
      </c>
      <c r="M1189" s="12"/>
      <c r="N1189" s="12">
        <f>1811.6/17</f>
        <v>106.56470588235294</v>
      </c>
      <c r="O1189" s="12">
        <f>(Tabla1[[#This Row],[COSTO FIJO ]]/30)*Tabla1[[#This Row],[TOTAL DIAS PROYECTO]]+(Tabla1[[#This Row],[COSTO TEMPORAL]])</f>
        <v>1808.0478431372549</v>
      </c>
      <c r="P1189" s="12"/>
      <c r="Q1189" s="12">
        <f>+(Tabla1[[#This Row],[COSTO COCHE]]/30)*Tabla1[[#This Row],[TOTAL DIAS PROYECTO]]</f>
        <v>0</v>
      </c>
      <c r="R1189" s="12">
        <f>+Tabla1[[#This Row],[COSTO TOTAL ALOJAMIENTO]]+Tabla1[[#This Row],[COSTO TOTAL COCHE]]</f>
        <v>1808.0478431372549</v>
      </c>
      <c r="S1189" s="2" t="s">
        <v>403</v>
      </c>
      <c r="T1189" s="2" t="s">
        <v>44</v>
      </c>
      <c r="U1189" s="14">
        <v>45312</v>
      </c>
      <c r="V1189" s="14">
        <v>45329</v>
      </c>
      <c r="W1189" s="15"/>
      <c r="X1189" s="16"/>
      <c r="Y1189" s="18"/>
      <c r="Z1189" s="2" t="s">
        <v>36</v>
      </c>
      <c r="AA1189" s="13" t="s">
        <v>10368</v>
      </c>
      <c r="AB1189" s="13" t="s">
        <v>10369</v>
      </c>
    </row>
    <row r="1190" spans="1:28" ht="15" customHeight="1">
      <c r="A1190" s="2" t="s">
        <v>9243</v>
      </c>
      <c r="B1190" s="2" t="s">
        <v>28</v>
      </c>
      <c r="C1190" s="18" t="s">
        <v>2563</v>
      </c>
      <c r="D1190" s="2" t="s">
        <v>30</v>
      </c>
      <c r="E1190" s="2" t="s">
        <v>370</v>
      </c>
      <c r="F1190" s="11" t="s">
        <v>2629</v>
      </c>
      <c r="G1190" s="11" t="s">
        <v>2630</v>
      </c>
      <c r="H1190" s="2" t="s">
        <v>2631</v>
      </c>
      <c r="I1190" s="2" t="s">
        <v>118</v>
      </c>
      <c r="J1190" s="8">
        <f>+Tabla1[[#This Row],[FECHA ENTRADA]]</f>
        <v>45312</v>
      </c>
      <c r="K1190" s="22">
        <v>45821</v>
      </c>
      <c r="L1190" s="13">
        <f>_xlfn.DAYS(Tabla1[[#This Row],[FECHA FIN ]],Tabla1[[#This Row],[FECHA INICIO]])</f>
        <v>509</v>
      </c>
      <c r="M1190" s="12"/>
      <c r="N1190" s="24"/>
      <c r="O1190" s="12">
        <f>(Tabla1[[#This Row],[COSTO FIJO ]]/30)*Tabla1[[#This Row],[TOTAL DIAS PROYECTO]]+(Tabla1[[#This Row],[COSTO TEMPORAL]])</f>
        <v>0</v>
      </c>
      <c r="P1190" s="12"/>
      <c r="Q1190" s="12">
        <f>+(Tabla1[[#This Row],[COSTO COCHE]]/30)*Tabla1[[#This Row],[TOTAL DIAS PROYECTO]]</f>
        <v>0</v>
      </c>
      <c r="R1190" s="12">
        <f>+Tabla1[[#This Row],[COSTO TOTAL ALOJAMIENTO]]+Tabla1[[#This Row],[COSTO TOTAL COCHE]]</f>
        <v>0</v>
      </c>
      <c r="S1190" s="2" t="s">
        <v>403</v>
      </c>
      <c r="T1190" s="2" t="s">
        <v>44</v>
      </c>
      <c r="U1190" s="14">
        <v>45312</v>
      </c>
      <c r="V1190" s="14">
        <v>45329</v>
      </c>
      <c r="W1190" s="15"/>
      <c r="X1190" s="16"/>
      <c r="Y1190" s="18"/>
      <c r="Z1190" s="2" t="s">
        <v>36</v>
      </c>
      <c r="AA1190" s="13" t="s">
        <v>10368</v>
      </c>
      <c r="AB1190" s="13" t="s">
        <v>10369</v>
      </c>
    </row>
    <row r="1191" spans="1:28" ht="15" customHeight="1">
      <c r="A1191" s="2" t="s">
        <v>8642</v>
      </c>
      <c r="B1191" s="2" t="s">
        <v>978</v>
      </c>
      <c r="C1191" s="104" t="s">
        <v>2634</v>
      </c>
      <c r="D1191" s="2" t="s">
        <v>99</v>
      </c>
      <c r="E1191" s="2" t="s">
        <v>422</v>
      </c>
      <c r="F1191" s="11" t="s">
        <v>1375</v>
      </c>
      <c r="G1191" t="s">
        <v>1376</v>
      </c>
      <c r="H1191" s="2" t="s">
        <v>2199</v>
      </c>
      <c r="I1191" s="12" t="s">
        <v>2473</v>
      </c>
      <c r="J1191" s="41">
        <f>+Tabla1[[#This Row],[FECHA ENTRADA]]</f>
        <v>45747</v>
      </c>
      <c r="K1191" s="22">
        <v>45821</v>
      </c>
      <c r="L1191" s="42">
        <f>_xlfn.DAYS(Tabla1[[#This Row],[FECHA FIN ]],Tabla1[[#This Row],[FECHA INICIO]])</f>
        <v>74</v>
      </c>
      <c r="M1191" s="12"/>
      <c r="N1191" s="24"/>
      <c r="O1191" s="28">
        <f>(Tabla1[[#This Row],[COSTO FIJO ]]/30)*Tabla1[[#This Row],[TOTAL DIAS PROYECTO]]+(Tabla1[[#This Row],[COSTO TEMPORAL]])</f>
        <v>0</v>
      </c>
      <c r="P1191" s="12"/>
      <c r="Q1191" s="12">
        <f>+(Tabla1[[#This Row],[COSTO COCHE]]/30)*Tabla1[[#This Row],[TOTAL DIAS PROYECTO]]</f>
        <v>0</v>
      </c>
      <c r="R1191" s="12">
        <f>+Tabla1[[#This Row],[COSTO TOTAL ALOJAMIENTO]]+Tabla1[[#This Row],[COSTO TOTAL COCHE]]</f>
        <v>0</v>
      </c>
      <c r="S1191" s="2"/>
      <c r="T1191" s="2" t="s">
        <v>35</v>
      </c>
      <c r="U1191" s="14">
        <v>45747</v>
      </c>
      <c r="V1191" s="43"/>
      <c r="W1191" s="26"/>
      <c r="X1191" s="2">
        <v>5</v>
      </c>
      <c r="Y1191" s="11" t="s">
        <v>2635</v>
      </c>
      <c r="Z1191" s="2" t="s">
        <v>36</v>
      </c>
      <c r="AA1191" s="13">
        <v>-326.69799999999998</v>
      </c>
      <c r="AB1191" s="13" t="s">
        <v>10373</v>
      </c>
    </row>
    <row r="1192" spans="1:28" ht="15" customHeight="1">
      <c r="A1192" s="2" t="s">
        <v>9261</v>
      </c>
      <c r="B1192" s="2" t="s">
        <v>28</v>
      </c>
      <c r="C1192" s="104" t="s">
        <v>2636</v>
      </c>
      <c r="D1192" s="2" t="s">
        <v>99</v>
      </c>
      <c r="E1192" s="2" t="s">
        <v>422</v>
      </c>
      <c r="F1192" s="11" t="s">
        <v>956</v>
      </c>
      <c r="G1192" s="11" t="s">
        <v>957</v>
      </c>
      <c r="H1192" s="2" t="s">
        <v>2637</v>
      </c>
      <c r="I1192" s="10" t="s">
        <v>2638</v>
      </c>
      <c r="J1192" s="41">
        <f>+Tabla1[[#This Row],[FECHA ENTRADA]]</f>
        <v>45748</v>
      </c>
      <c r="K1192" s="22">
        <v>45821</v>
      </c>
      <c r="L1192" s="42">
        <f>_xlfn.DAYS(Tabla1[[#This Row],[FECHA FIN ]],Tabla1[[#This Row],[FECHA INICIO]])</f>
        <v>73</v>
      </c>
      <c r="M1192" s="12"/>
      <c r="N1192" s="24"/>
      <c r="O1192" s="28">
        <f>(Tabla1[[#This Row],[COSTO FIJO ]]/30)*Tabla1[[#This Row],[TOTAL DIAS PROYECTO]]+(Tabla1[[#This Row],[COSTO TEMPORAL]])</f>
        <v>0</v>
      </c>
      <c r="P1192" s="12"/>
      <c r="Q1192" s="12">
        <f>+(Tabla1[[#This Row],[COSTO COCHE]]/30)*Tabla1[[#This Row],[TOTAL DIAS PROYECTO]]</f>
        <v>0</v>
      </c>
      <c r="R1192" s="12">
        <f>+Tabla1[[#This Row],[COSTO TOTAL ALOJAMIENTO]]+Tabla1[[#This Row],[COSTO TOTAL COCHE]]</f>
        <v>0</v>
      </c>
      <c r="S1192" s="2"/>
      <c r="T1192" s="2" t="s">
        <v>35</v>
      </c>
      <c r="U1192" s="14">
        <v>45748</v>
      </c>
      <c r="V1192" s="43"/>
      <c r="W1192" s="26"/>
      <c r="X1192" s="2">
        <v>1</v>
      </c>
      <c r="Y1192" s="11"/>
      <c r="Z1192" s="2" t="s">
        <v>36</v>
      </c>
      <c r="AA1192" s="13">
        <v>-326.69799999999998</v>
      </c>
      <c r="AB1192" s="13" t="s">
        <v>10373</v>
      </c>
    </row>
    <row r="1193" spans="1:28" ht="15" customHeight="1">
      <c r="A1193" s="2" t="s">
        <v>9262</v>
      </c>
      <c r="B1193" s="2" t="s">
        <v>28</v>
      </c>
      <c r="C1193" s="104" t="s">
        <v>2639</v>
      </c>
      <c r="D1193" s="2" t="s">
        <v>30</v>
      </c>
      <c r="E1193" s="2" t="s">
        <v>127</v>
      </c>
      <c r="F1193" s="11" t="s">
        <v>128</v>
      </c>
      <c r="G1193" s="11" t="s">
        <v>1900</v>
      </c>
      <c r="H1193" s="2" t="s">
        <v>376</v>
      </c>
      <c r="I1193" s="12" t="s">
        <v>377</v>
      </c>
      <c r="J1193" s="8">
        <f>+Tabla1[[#This Row],[FECHA ENTRADA]]</f>
        <v>45464</v>
      </c>
      <c r="K1193" s="22">
        <v>45821</v>
      </c>
      <c r="L1193" s="13">
        <f>_xlfn.DAYS(Tabla1[[#This Row],[FECHA FIN ]],Tabla1[[#This Row],[FECHA INICIO]])</f>
        <v>357</v>
      </c>
      <c r="M1193" s="12"/>
      <c r="N1193" s="12"/>
      <c r="O1193" s="12">
        <f>(Tabla1[[#This Row],[COSTO FIJO ]]/30)*Tabla1[[#This Row],[TOTAL DIAS PROYECTO]]+(Tabla1[[#This Row],[COSTO TEMPORAL]])</f>
        <v>0</v>
      </c>
      <c r="P1193" s="12"/>
      <c r="Q1193" s="12">
        <f>+(Tabla1[[#This Row],[COSTO COCHE]]/30)*Tabla1[[#This Row],[TOTAL DIAS PROYECTO]]</f>
        <v>0</v>
      </c>
      <c r="R1193" s="12">
        <f>+Tabla1[[#This Row],[COSTO TOTAL ALOJAMIENTO]]+Tabla1[[#This Row],[COSTO TOTAL COCHE]]</f>
        <v>0</v>
      </c>
      <c r="S1193" s="2"/>
      <c r="T1193" s="2" t="s">
        <v>35</v>
      </c>
      <c r="U1193" s="14">
        <v>45464</v>
      </c>
      <c r="V1193" s="14"/>
      <c r="W1193" s="26"/>
      <c r="X1193" s="2">
        <v>20</v>
      </c>
      <c r="Y1193" s="18" t="s">
        <v>1902</v>
      </c>
      <c r="Z1193" s="2" t="s">
        <v>36</v>
      </c>
      <c r="AA1193" s="13" t="s">
        <v>10342</v>
      </c>
      <c r="AB1193" s="13" t="s">
        <v>10343</v>
      </c>
    </row>
    <row r="1194" spans="1:28" ht="15" customHeight="1">
      <c r="A1194" s="2" t="s">
        <v>9263</v>
      </c>
      <c r="B1194" s="2" t="s">
        <v>28</v>
      </c>
      <c r="C1194" s="115" t="s">
        <v>2640</v>
      </c>
      <c r="D1194" s="2" t="s">
        <v>30</v>
      </c>
      <c r="E1194" s="2" t="s">
        <v>31</v>
      </c>
      <c r="F1194" s="11" t="s">
        <v>50</v>
      </c>
      <c r="G1194" s="11" t="s">
        <v>51</v>
      </c>
      <c r="H1194" s="2"/>
      <c r="I1194" s="2" t="s">
        <v>52</v>
      </c>
      <c r="J1194" s="8">
        <f>+Tabla1[[#This Row],[FECHA ENTRADA]]</f>
        <v>45322</v>
      </c>
      <c r="K1194" s="22">
        <v>45821</v>
      </c>
      <c r="L1194" s="13">
        <f>_xlfn.DAYS(Tabla1[[#This Row],[FECHA FIN ]],Tabla1[[#This Row],[FECHA INICIO]])</f>
        <v>499</v>
      </c>
      <c r="M1194" s="12"/>
      <c r="N1194" s="24"/>
      <c r="O1194" s="12">
        <f>(Tabla1[[#This Row],[COSTO FIJO ]]/30)*Tabla1[[#This Row],[TOTAL DIAS PROYECTO]]+(Tabla1[[#This Row],[COSTO TEMPORAL]])</f>
        <v>0</v>
      </c>
      <c r="P1194" s="12"/>
      <c r="Q1194" s="12">
        <f>+(Tabla1[[#This Row],[COSTO COCHE]]/30)*Tabla1[[#This Row],[TOTAL DIAS PROYECTO]]</f>
        <v>0</v>
      </c>
      <c r="R1194" s="12">
        <f>+Tabla1[[#This Row],[COSTO TOTAL ALOJAMIENTO]]+Tabla1[[#This Row],[COSTO TOTAL COCHE]]</f>
        <v>0</v>
      </c>
      <c r="S1194" s="2"/>
      <c r="T1194" s="2" t="s">
        <v>44</v>
      </c>
      <c r="U1194" s="14">
        <v>45322</v>
      </c>
      <c r="V1194" s="14">
        <v>45352</v>
      </c>
      <c r="W1194" s="15"/>
      <c r="X1194" s="16"/>
      <c r="Y1194" s="18" t="s">
        <v>53</v>
      </c>
      <c r="Z1194" s="2" t="s">
        <v>36</v>
      </c>
      <c r="AA1194" s="13" t="s">
        <v>10323</v>
      </c>
      <c r="AB1194" s="13" t="s">
        <v>10324</v>
      </c>
    </row>
    <row r="1195" spans="1:28" ht="15" customHeight="1">
      <c r="A1195" s="2" t="s">
        <v>9264</v>
      </c>
      <c r="B1195" s="2" t="s">
        <v>28</v>
      </c>
      <c r="C1195" s="18" t="s">
        <v>2641</v>
      </c>
      <c r="D1195" s="2" t="s">
        <v>72</v>
      </c>
      <c r="E1195" s="2" t="s">
        <v>73</v>
      </c>
      <c r="F1195" s="11" t="s">
        <v>2642</v>
      </c>
      <c r="G1195" s="11" t="s">
        <v>2643</v>
      </c>
      <c r="H1195" s="2" t="s">
        <v>188</v>
      </c>
      <c r="I1195" s="2" t="s">
        <v>189</v>
      </c>
      <c r="J1195" s="8">
        <f>+Tabla1[[#This Row],[FECHA ENTRADA]]</f>
        <v>45353</v>
      </c>
      <c r="K1195" s="22">
        <v>45821</v>
      </c>
      <c r="L1195" s="13">
        <f>_xlfn.DAYS(Tabla1[[#This Row],[FECHA FIN ]],Tabla1[[#This Row],[FECHA INICIO]])</f>
        <v>468</v>
      </c>
      <c r="M1195" s="12"/>
      <c r="N1195" s="20"/>
      <c r="O1195" s="12">
        <f>(Tabla1[[#This Row],[COSTO FIJO ]]/30)*Tabla1[[#This Row],[TOTAL DIAS PROYECTO]]+(Tabla1[[#This Row],[COSTO TEMPORAL]])</f>
        <v>0</v>
      </c>
      <c r="P1195" s="12"/>
      <c r="Q1195" s="12">
        <f>+(Tabla1[[#This Row],[COSTO COCHE]]/30)*Tabla1[[#This Row],[TOTAL DIAS PROYECTO]]</f>
        <v>0</v>
      </c>
      <c r="R1195" s="12">
        <f>+Tabla1[[#This Row],[COSTO TOTAL ALOJAMIENTO]]+Tabla1[[#This Row],[COSTO TOTAL COCHE]]</f>
        <v>0</v>
      </c>
      <c r="S1195" s="2"/>
      <c r="T1195" s="2" t="s">
        <v>44</v>
      </c>
      <c r="U1195" s="14">
        <v>45353</v>
      </c>
      <c r="V1195" s="14">
        <v>45356</v>
      </c>
      <c r="W1195" s="15"/>
      <c r="X1195" s="16"/>
      <c r="Y1195" s="18" t="s">
        <v>2644</v>
      </c>
      <c r="Z1195" s="2" t="s">
        <v>36</v>
      </c>
      <c r="AA1195" s="13" t="s">
        <v>10331</v>
      </c>
      <c r="AB1195" s="13" t="s">
        <v>10332</v>
      </c>
    </row>
    <row r="1196" spans="1:28" ht="15" customHeight="1">
      <c r="A1196" s="2" t="s">
        <v>8831</v>
      </c>
      <c r="B1196" s="2" t="s">
        <v>28</v>
      </c>
      <c r="C1196" s="115" t="s">
        <v>933</v>
      </c>
      <c r="D1196" s="2" t="s">
        <v>30</v>
      </c>
      <c r="E1196" s="2" t="s">
        <v>259</v>
      </c>
      <c r="F1196" s="11" t="s">
        <v>2645</v>
      </c>
      <c r="G1196" s="11"/>
      <c r="H1196" s="2" t="s">
        <v>2646</v>
      </c>
      <c r="I1196" s="12" t="s">
        <v>2647</v>
      </c>
      <c r="J1196" s="8">
        <f>+Tabla1[[#This Row],[FECHA ENTRADA]]</f>
        <v>45368</v>
      </c>
      <c r="K1196" s="22">
        <v>45821</v>
      </c>
      <c r="L1196" s="13">
        <f>_xlfn.DAYS(Tabla1[[#This Row],[FECHA FIN ]],Tabla1[[#This Row],[FECHA INICIO]])</f>
        <v>453</v>
      </c>
      <c r="M1196" s="12"/>
      <c r="N1196" s="20"/>
      <c r="O1196" s="12">
        <f>(Tabla1[[#This Row],[COSTO FIJO ]]/30)*Tabla1[[#This Row],[TOTAL DIAS PROYECTO]]+(Tabla1[[#This Row],[COSTO TEMPORAL]])</f>
        <v>0</v>
      </c>
      <c r="P1196" s="12"/>
      <c r="Q1196" s="12">
        <f>+(Tabla1[[#This Row],[COSTO COCHE]]/30)*Tabla1[[#This Row],[TOTAL DIAS PROYECTO]]</f>
        <v>0</v>
      </c>
      <c r="R1196" s="12">
        <f>+Tabla1[[#This Row],[COSTO TOTAL ALOJAMIENTO]]+Tabla1[[#This Row],[COSTO TOTAL COCHE]]</f>
        <v>0</v>
      </c>
      <c r="S1196" s="2"/>
      <c r="T1196" s="2" t="s">
        <v>44</v>
      </c>
      <c r="U1196" s="14">
        <v>45368</v>
      </c>
      <c r="V1196" s="14">
        <v>45374</v>
      </c>
      <c r="W1196" s="15"/>
      <c r="X1196" s="16"/>
      <c r="Y1196" s="18" t="s">
        <v>2648</v>
      </c>
      <c r="Z1196" s="2" t="s">
        <v>36</v>
      </c>
      <c r="AA1196" s="13">
        <v>-0.87734000000000001</v>
      </c>
      <c r="AB1196" s="13" t="s">
        <v>10359</v>
      </c>
    </row>
    <row r="1197" spans="1:28" ht="15" customHeight="1">
      <c r="A1197" s="2" t="s">
        <v>9265</v>
      </c>
      <c r="B1197" s="2" t="s">
        <v>28</v>
      </c>
      <c r="C1197" s="104" t="s">
        <v>2649</v>
      </c>
      <c r="D1197" s="2" t="s">
        <v>78</v>
      </c>
      <c r="E1197" s="2" t="s">
        <v>314</v>
      </c>
      <c r="F1197" s="11" t="s">
        <v>320</v>
      </c>
      <c r="G1197" s="11"/>
      <c r="H1197" s="2" t="s">
        <v>291</v>
      </c>
      <c r="I1197" s="12" t="s">
        <v>292</v>
      </c>
      <c r="J1197" s="8">
        <f>+Tabla1[[#This Row],[FECHA ENTRADA]]</f>
        <v>45367</v>
      </c>
      <c r="K1197" s="22">
        <v>45821</v>
      </c>
      <c r="L1197" s="13">
        <f>_xlfn.DAYS(Tabla1[[#This Row],[FECHA FIN ]],Tabla1[[#This Row],[FECHA INICIO]])</f>
        <v>454</v>
      </c>
      <c r="M1197" s="12"/>
      <c r="N1197" s="12">
        <f>1811.6/17</f>
        <v>106.56470588235294</v>
      </c>
      <c r="O1197" s="12">
        <f>(Tabla1[[#This Row],[COSTO FIJO ]]/30)*Tabla1[[#This Row],[TOTAL DIAS PROYECTO]]+(Tabla1[[#This Row],[COSTO TEMPORAL]])</f>
        <v>1612.6792156862746</v>
      </c>
      <c r="P1197" s="12"/>
      <c r="Q1197" s="12">
        <f>+(Tabla1[[#This Row],[COSTO COCHE]]/30)*Tabla1[[#This Row],[TOTAL DIAS PROYECTO]]</f>
        <v>0</v>
      </c>
      <c r="R1197" s="12">
        <f>+Tabla1[[#This Row],[COSTO TOTAL ALOJAMIENTO]]+Tabla1[[#This Row],[COSTO TOTAL COCHE]]</f>
        <v>1612.6792156862746</v>
      </c>
      <c r="S1197" s="2" t="s">
        <v>84</v>
      </c>
      <c r="T1197" s="2" t="s">
        <v>44</v>
      </c>
      <c r="U1197" s="14">
        <v>45367</v>
      </c>
      <c r="V1197" s="14">
        <v>45378</v>
      </c>
      <c r="W1197" s="15"/>
      <c r="X1197" s="16"/>
      <c r="Y1197" s="18" t="s">
        <v>125</v>
      </c>
      <c r="Z1197" s="2" t="s">
        <v>36</v>
      </c>
      <c r="AA1197" s="13">
        <v>392.40300000000002</v>
      </c>
      <c r="AB1197" s="13" t="s">
        <v>10366</v>
      </c>
    </row>
    <row r="1198" spans="1:28" ht="15" customHeight="1">
      <c r="A1198" s="2" t="s">
        <v>9266</v>
      </c>
      <c r="B1198" s="2" t="s">
        <v>28</v>
      </c>
      <c r="C1198" s="104" t="s">
        <v>2650</v>
      </c>
      <c r="D1198" s="2" t="s">
        <v>78</v>
      </c>
      <c r="E1198" s="2" t="s">
        <v>79</v>
      </c>
      <c r="F1198" s="11" t="s">
        <v>80</v>
      </c>
      <c r="G1198" s="11" t="s">
        <v>81</v>
      </c>
      <c r="H1198" s="2" t="s">
        <v>82</v>
      </c>
      <c r="I1198" s="2" t="s">
        <v>83</v>
      </c>
      <c r="J1198" s="8">
        <f>+Tabla1[[#This Row],[FECHA ENTRADA]]</f>
        <v>45353</v>
      </c>
      <c r="K1198" s="22">
        <v>45821</v>
      </c>
      <c r="L1198" s="13">
        <f>_xlfn.DAYS(Tabla1[[#This Row],[FECHA FIN ]],Tabla1[[#This Row],[FECHA INICIO]])</f>
        <v>468</v>
      </c>
      <c r="M1198" s="12"/>
      <c r="N1198" s="12">
        <v>495</v>
      </c>
      <c r="O1198" s="12">
        <f>(Tabla1[[#This Row],[COSTO FIJO ]]/30)*Tabla1[[#This Row],[TOTAL DIAS PROYECTO]]+(Tabla1[[#This Row],[COSTO TEMPORAL]])</f>
        <v>7722</v>
      </c>
      <c r="P1198" s="12"/>
      <c r="Q1198" s="12">
        <f>+(Tabla1[[#This Row],[COSTO COCHE]]/30)*Tabla1[[#This Row],[TOTAL DIAS PROYECTO]]</f>
        <v>0</v>
      </c>
      <c r="R1198" s="12">
        <f>+Tabla1[[#This Row],[COSTO TOTAL ALOJAMIENTO]]+Tabla1[[#This Row],[COSTO TOTAL COCHE]]</f>
        <v>7722</v>
      </c>
      <c r="S1198" s="2" t="s">
        <v>84</v>
      </c>
      <c r="T1198" s="2" t="s">
        <v>44</v>
      </c>
      <c r="U1198" s="14">
        <v>45353</v>
      </c>
      <c r="V1198" s="14">
        <v>45384</v>
      </c>
      <c r="W1198" s="15"/>
      <c r="X1198" s="16"/>
      <c r="Y1198" s="18" t="s">
        <v>85</v>
      </c>
      <c r="Z1198" s="2" t="s">
        <v>36</v>
      </c>
      <c r="AA1198" s="13" t="s">
        <v>10333</v>
      </c>
      <c r="AB1198" s="13" t="s">
        <v>10334</v>
      </c>
    </row>
    <row r="1199" spans="1:28" ht="15" customHeight="1">
      <c r="A1199" s="2" t="s">
        <v>9267</v>
      </c>
      <c r="B1199" s="2" t="s">
        <v>28</v>
      </c>
      <c r="C1199" s="115" t="s">
        <v>2651</v>
      </c>
      <c r="D1199" s="2" t="s">
        <v>78</v>
      </c>
      <c r="E1199" s="2" t="s">
        <v>79</v>
      </c>
      <c r="F1199" s="11" t="s">
        <v>80</v>
      </c>
      <c r="G1199" s="11" t="s">
        <v>81</v>
      </c>
      <c r="H1199" s="2" t="s">
        <v>2652</v>
      </c>
      <c r="I1199" s="2" t="s">
        <v>83</v>
      </c>
      <c r="J1199" s="8">
        <f>+Tabla1[[#This Row],[FECHA ENTRADA]]</f>
        <v>45353</v>
      </c>
      <c r="K1199" s="22">
        <v>45821</v>
      </c>
      <c r="L1199" s="13">
        <f>_xlfn.DAYS(Tabla1[[#This Row],[FECHA FIN ]],Tabla1[[#This Row],[FECHA INICIO]])</f>
        <v>468</v>
      </c>
      <c r="M1199" s="12"/>
      <c r="N1199" s="20"/>
      <c r="O1199" s="12">
        <f>(Tabla1[[#This Row],[COSTO FIJO ]]/30)*Tabla1[[#This Row],[TOTAL DIAS PROYECTO]]+(Tabla1[[#This Row],[COSTO TEMPORAL]])</f>
        <v>0</v>
      </c>
      <c r="P1199" s="12"/>
      <c r="Q1199" s="12">
        <f>+(Tabla1[[#This Row],[COSTO COCHE]]/30)*Tabla1[[#This Row],[TOTAL DIAS PROYECTO]]</f>
        <v>0</v>
      </c>
      <c r="R1199" s="12">
        <f>+Tabla1[[#This Row],[COSTO TOTAL ALOJAMIENTO]]+Tabla1[[#This Row],[COSTO TOTAL COCHE]]</f>
        <v>0</v>
      </c>
      <c r="S1199" s="2" t="s">
        <v>84</v>
      </c>
      <c r="T1199" s="2" t="s">
        <v>44</v>
      </c>
      <c r="U1199" s="14">
        <v>45353</v>
      </c>
      <c r="V1199" s="14">
        <v>45384</v>
      </c>
      <c r="W1199" s="15"/>
      <c r="X1199" s="16"/>
      <c r="Y1199" s="18" t="s">
        <v>85</v>
      </c>
      <c r="Z1199" s="2" t="s">
        <v>36</v>
      </c>
      <c r="AA1199" s="13" t="s">
        <v>10333</v>
      </c>
      <c r="AB1199" s="13" t="s">
        <v>10334</v>
      </c>
    </row>
    <row r="1200" spans="1:28" ht="15" customHeight="1">
      <c r="A1200" s="2" t="s">
        <v>9006</v>
      </c>
      <c r="B1200" s="2" t="s">
        <v>28</v>
      </c>
      <c r="C1200" s="104" t="s">
        <v>1675</v>
      </c>
      <c r="D1200" s="2" t="s">
        <v>72</v>
      </c>
      <c r="E1200" s="2" t="s">
        <v>2653</v>
      </c>
      <c r="F1200" s="11" t="s">
        <v>2654</v>
      </c>
      <c r="G1200" s="11"/>
      <c r="H1200" s="2" t="s">
        <v>2655</v>
      </c>
      <c r="I1200" s="2" t="s">
        <v>2656</v>
      </c>
      <c r="J1200" s="8">
        <f>+Tabla1[[#This Row],[FECHA ENTRADA]]</f>
        <v>45327</v>
      </c>
      <c r="K1200" s="22">
        <v>45821</v>
      </c>
      <c r="L1200" s="13">
        <f>_xlfn.DAYS(Tabla1[[#This Row],[FECHA FIN ]],Tabla1[[#This Row],[FECHA INICIO]])</f>
        <v>494</v>
      </c>
      <c r="M1200" s="12"/>
      <c r="N1200" s="12"/>
      <c r="O1200" s="12">
        <f>(Tabla1[[#This Row],[COSTO FIJO ]]/30)*Tabla1[[#This Row],[TOTAL DIAS PROYECTO]]+(Tabla1[[#This Row],[COSTO TEMPORAL]])</f>
        <v>0</v>
      </c>
      <c r="P1200" s="12"/>
      <c r="Q1200" s="12">
        <f>+(Tabla1[[#This Row],[COSTO COCHE]]/30)*Tabla1[[#This Row],[TOTAL DIAS PROYECTO]]</f>
        <v>0</v>
      </c>
      <c r="R1200" s="12">
        <f>+Tabla1[[#This Row],[COSTO TOTAL ALOJAMIENTO]]+Tabla1[[#This Row],[COSTO TOTAL COCHE]]</f>
        <v>0</v>
      </c>
      <c r="S1200" s="2" t="s">
        <v>84</v>
      </c>
      <c r="T1200" s="2" t="s">
        <v>44</v>
      </c>
      <c r="U1200" s="14">
        <v>45327</v>
      </c>
      <c r="V1200" s="14">
        <v>45390</v>
      </c>
      <c r="W1200" s="15"/>
      <c r="X1200" s="16">
        <v>3</v>
      </c>
      <c r="Y1200" s="18"/>
      <c r="Z1200" s="2" t="s">
        <v>36</v>
      </c>
      <c r="AA1200" s="13">
        <v>322.42399999999998</v>
      </c>
      <c r="AB1200" s="13" t="s">
        <v>10436</v>
      </c>
    </row>
    <row r="1201" spans="1:28" ht="15" customHeight="1">
      <c r="A1201" s="2" t="s">
        <v>9268</v>
      </c>
      <c r="B1201" s="2" t="s">
        <v>28</v>
      </c>
      <c r="C1201" s="18" t="s">
        <v>2657</v>
      </c>
      <c r="D1201" s="2" t="s">
        <v>72</v>
      </c>
      <c r="E1201" s="2" t="s">
        <v>2653</v>
      </c>
      <c r="F1201" s="11" t="s">
        <v>2654</v>
      </c>
      <c r="G1201" s="11"/>
      <c r="H1201" s="2" t="s">
        <v>2655</v>
      </c>
      <c r="I1201" s="2" t="s">
        <v>2656</v>
      </c>
      <c r="J1201" s="8">
        <f>+Tabla1[[#This Row],[FECHA ENTRADA]]</f>
        <v>45327</v>
      </c>
      <c r="K1201" s="22">
        <v>45821</v>
      </c>
      <c r="L1201" s="13">
        <f>_xlfn.DAYS(Tabla1[[#This Row],[FECHA FIN ]],Tabla1[[#This Row],[FECHA INICIO]])</f>
        <v>494</v>
      </c>
      <c r="M1201" s="12"/>
      <c r="N1201" s="12">
        <f>1811.6/17</f>
        <v>106.56470588235294</v>
      </c>
      <c r="O1201" s="12">
        <f>(Tabla1[[#This Row],[COSTO FIJO ]]/30)*Tabla1[[#This Row],[TOTAL DIAS PROYECTO]]+(Tabla1[[#This Row],[COSTO TEMPORAL]])</f>
        <v>1754.7654901960784</v>
      </c>
      <c r="P1201" s="12"/>
      <c r="Q1201" s="12">
        <f>+(Tabla1[[#This Row],[COSTO COCHE]]/30)*Tabla1[[#This Row],[TOTAL DIAS PROYECTO]]</f>
        <v>0</v>
      </c>
      <c r="R1201" s="12">
        <f>+Tabla1[[#This Row],[COSTO TOTAL ALOJAMIENTO]]+Tabla1[[#This Row],[COSTO TOTAL COCHE]]</f>
        <v>1754.7654901960784</v>
      </c>
      <c r="S1201" s="2" t="s">
        <v>84</v>
      </c>
      <c r="T1201" s="2" t="s">
        <v>44</v>
      </c>
      <c r="U1201" s="14">
        <v>45327</v>
      </c>
      <c r="V1201" s="14">
        <v>45390</v>
      </c>
      <c r="W1201" s="15"/>
      <c r="X1201" s="16">
        <v>3</v>
      </c>
      <c r="Y1201" s="18"/>
      <c r="Z1201" s="2" t="s">
        <v>36</v>
      </c>
      <c r="AA1201" s="13">
        <v>322.42399999999998</v>
      </c>
      <c r="AB1201" s="13" t="s">
        <v>10436</v>
      </c>
    </row>
    <row r="1202" spans="1:28" ht="15" customHeight="1">
      <c r="A1202" s="2" t="s">
        <v>9267</v>
      </c>
      <c r="B1202" s="2" t="s">
        <v>28</v>
      </c>
      <c r="C1202" s="18" t="s">
        <v>2651</v>
      </c>
      <c r="D1202" s="2" t="s">
        <v>78</v>
      </c>
      <c r="E1202" s="2" t="s">
        <v>79</v>
      </c>
      <c r="F1202" s="11" t="s">
        <v>142</v>
      </c>
      <c r="G1202" s="11" t="s">
        <v>143</v>
      </c>
      <c r="H1202" s="2" t="s">
        <v>2658</v>
      </c>
      <c r="I1202" s="29" t="s">
        <v>145</v>
      </c>
      <c r="J1202" s="8">
        <f>+Tabla1[[#This Row],[FECHA ENTRADA]]</f>
        <v>45366</v>
      </c>
      <c r="K1202" s="22">
        <v>45821</v>
      </c>
      <c r="L1202" s="13">
        <f>_xlfn.DAYS(Tabla1[[#This Row],[FECHA FIN ]],Tabla1[[#This Row],[FECHA INICIO]])</f>
        <v>455</v>
      </c>
      <c r="M1202" s="12"/>
      <c r="N1202" s="12">
        <v>772</v>
      </c>
      <c r="O1202" s="12">
        <f>(Tabla1[[#This Row],[COSTO FIJO ]]/30)*Tabla1[[#This Row],[TOTAL DIAS PROYECTO]]+(Tabla1[[#This Row],[COSTO TEMPORAL]])</f>
        <v>11708.666666666668</v>
      </c>
      <c r="P1202" s="12"/>
      <c r="Q1202" s="12">
        <f>+(Tabla1[[#This Row],[COSTO COCHE]]/30)*Tabla1[[#This Row],[TOTAL DIAS PROYECTO]]</f>
        <v>0</v>
      </c>
      <c r="R1202" s="12">
        <f>+Tabla1[[#This Row],[COSTO TOTAL ALOJAMIENTO]]+Tabla1[[#This Row],[COSTO TOTAL COCHE]]</f>
        <v>11708.666666666668</v>
      </c>
      <c r="S1202" s="2"/>
      <c r="T1202" s="2" t="s">
        <v>44</v>
      </c>
      <c r="U1202" s="14">
        <v>45366</v>
      </c>
      <c r="V1202" s="14">
        <v>45397</v>
      </c>
      <c r="W1202" s="15"/>
      <c r="X1202" s="16">
        <v>15</v>
      </c>
      <c r="Y1202" s="18" t="s">
        <v>2659</v>
      </c>
      <c r="Z1202" s="2" t="s">
        <v>36</v>
      </c>
      <c r="AA1202" s="13" t="s">
        <v>10333</v>
      </c>
      <c r="AB1202" s="13" t="s">
        <v>10334</v>
      </c>
    </row>
    <row r="1203" spans="1:28" ht="15" customHeight="1">
      <c r="A1203" s="2" t="s">
        <v>9269</v>
      </c>
      <c r="B1203" s="2" t="s">
        <v>28</v>
      </c>
      <c r="C1203" s="104" t="s">
        <v>2660</v>
      </c>
      <c r="D1203" s="2" t="s">
        <v>78</v>
      </c>
      <c r="E1203" s="2" t="s">
        <v>79</v>
      </c>
      <c r="F1203" s="11" t="s">
        <v>142</v>
      </c>
      <c r="G1203" s="11" t="s">
        <v>143</v>
      </c>
      <c r="H1203" s="2" t="s">
        <v>144</v>
      </c>
      <c r="I1203" s="29" t="s">
        <v>145</v>
      </c>
      <c r="J1203" s="8">
        <f>+Tabla1[[#This Row],[FECHA ENTRADA]]</f>
        <v>45346</v>
      </c>
      <c r="K1203" s="22">
        <v>45821</v>
      </c>
      <c r="L1203" s="13">
        <f>_xlfn.DAYS(Tabla1[[#This Row],[FECHA FIN ]],Tabla1[[#This Row],[FECHA INICIO]])</f>
        <v>475</v>
      </c>
      <c r="M1203" s="12"/>
      <c r="N1203" s="12"/>
      <c r="O1203" s="12">
        <f>(Tabla1[[#This Row],[COSTO FIJO ]]/30)*Tabla1[[#This Row],[TOTAL DIAS PROYECTO]]+(Tabla1[[#This Row],[COSTO TEMPORAL]])</f>
        <v>0</v>
      </c>
      <c r="P1203" s="12"/>
      <c r="Q1203" s="12">
        <f>+(Tabla1[[#This Row],[COSTO COCHE]]/30)*Tabla1[[#This Row],[TOTAL DIAS PROYECTO]]</f>
        <v>0</v>
      </c>
      <c r="R1203" s="12">
        <f>+Tabla1[[#This Row],[COSTO TOTAL ALOJAMIENTO]]+Tabla1[[#This Row],[COSTO TOTAL COCHE]]</f>
        <v>0</v>
      </c>
      <c r="S1203" s="2"/>
      <c r="T1203" s="2" t="s">
        <v>44</v>
      </c>
      <c r="U1203" s="14">
        <v>45346</v>
      </c>
      <c r="V1203" s="14">
        <v>45406</v>
      </c>
      <c r="W1203" s="15"/>
      <c r="X1203" s="16">
        <v>23</v>
      </c>
      <c r="Y1203" s="18" t="s">
        <v>2659</v>
      </c>
      <c r="Z1203" s="2" t="s">
        <v>36</v>
      </c>
      <c r="AA1203" s="13" t="s">
        <v>10333</v>
      </c>
      <c r="AB1203" s="13" t="s">
        <v>10334</v>
      </c>
    </row>
    <row r="1204" spans="1:28" ht="15" customHeight="1">
      <c r="A1204" s="2" t="s">
        <v>9260</v>
      </c>
      <c r="B1204" s="2" t="s">
        <v>28</v>
      </c>
      <c r="C1204" s="104" t="s">
        <v>2633</v>
      </c>
      <c r="D1204" s="2" t="s">
        <v>78</v>
      </c>
      <c r="E1204" s="2" t="s">
        <v>79</v>
      </c>
      <c r="F1204" s="11" t="s">
        <v>142</v>
      </c>
      <c r="G1204" s="11" t="s">
        <v>143</v>
      </c>
      <c r="H1204" s="2" t="s">
        <v>144</v>
      </c>
      <c r="I1204" s="29" t="s">
        <v>145</v>
      </c>
      <c r="J1204" s="8">
        <f>+Tabla1[[#This Row],[FECHA ENTRADA]]</f>
        <v>45346</v>
      </c>
      <c r="K1204" s="22">
        <v>45821</v>
      </c>
      <c r="L1204" s="13">
        <f>_xlfn.DAYS(Tabla1[[#This Row],[FECHA FIN ]],Tabla1[[#This Row],[FECHA INICIO]])</f>
        <v>475</v>
      </c>
      <c r="M1204" s="12"/>
      <c r="N1204" s="12">
        <f>1811.6/17</f>
        <v>106.56470588235294</v>
      </c>
      <c r="O1204" s="12">
        <f>(Tabla1[[#This Row],[COSTO FIJO ]]/30)*Tabla1[[#This Row],[TOTAL DIAS PROYECTO]]+(Tabla1[[#This Row],[COSTO TEMPORAL]])</f>
        <v>1687.2745098039215</v>
      </c>
      <c r="P1204" s="12"/>
      <c r="Q1204" s="12">
        <f>+(Tabla1[[#This Row],[COSTO COCHE]]/30)*Tabla1[[#This Row],[TOTAL DIAS PROYECTO]]</f>
        <v>0</v>
      </c>
      <c r="R1204" s="12">
        <f>+Tabla1[[#This Row],[COSTO TOTAL ALOJAMIENTO]]+Tabla1[[#This Row],[COSTO TOTAL COCHE]]</f>
        <v>1687.2745098039215</v>
      </c>
      <c r="S1204" s="2"/>
      <c r="T1204" s="2" t="s">
        <v>44</v>
      </c>
      <c r="U1204" s="14">
        <v>45346</v>
      </c>
      <c r="V1204" s="14">
        <v>45406</v>
      </c>
      <c r="W1204" s="15"/>
      <c r="X1204" s="16">
        <v>23</v>
      </c>
      <c r="Y1204" s="18" t="s">
        <v>146</v>
      </c>
      <c r="Z1204" s="2" t="s">
        <v>36</v>
      </c>
      <c r="AA1204" s="13" t="s">
        <v>10333</v>
      </c>
      <c r="AB1204" s="13" t="s">
        <v>10334</v>
      </c>
    </row>
    <row r="1205" spans="1:28" ht="15" customHeight="1">
      <c r="A1205" s="2" t="s">
        <v>9268</v>
      </c>
      <c r="B1205" s="2" t="s">
        <v>28</v>
      </c>
      <c r="C1205" s="115" t="s">
        <v>2657</v>
      </c>
      <c r="D1205" s="2" t="s">
        <v>78</v>
      </c>
      <c r="E1205" s="2" t="s">
        <v>314</v>
      </c>
      <c r="F1205" s="11" t="s">
        <v>2661</v>
      </c>
      <c r="G1205" s="11" t="s">
        <v>2662</v>
      </c>
      <c r="H1205" s="2" t="s">
        <v>291</v>
      </c>
      <c r="I1205" s="12" t="s">
        <v>292</v>
      </c>
      <c r="J1205" s="8">
        <f>+Tabla1[[#This Row],[FECHA ENTRADA]]</f>
        <v>45375</v>
      </c>
      <c r="K1205" s="22">
        <v>45821</v>
      </c>
      <c r="L1205" s="13">
        <f>_xlfn.DAYS(Tabla1[[#This Row],[FECHA FIN ]],Tabla1[[#This Row],[FECHA INICIO]])</f>
        <v>446</v>
      </c>
      <c r="M1205" s="12"/>
      <c r="N1205" s="12">
        <f>1811.6/17</f>
        <v>106.56470588235294</v>
      </c>
      <c r="O1205" s="12">
        <f>(Tabla1[[#This Row],[COSTO FIJO ]]/30)*Tabla1[[#This Row],[TOTAL DIAS PROYECTO]]+(Tabla1[[#This Row],[COSTO TEMPORAL]])</f>
        <v>1584.2619607843137</v>
      </c>
      <c r="P1205" s="12"/>
      <c r="Q1205" s="12">
        <f>+(Tabla1[[#This Row],[COSTO COCHE]]/30)*Tabla1[[#This Row],[TOTAL DIAS PROYECTO]]</f>
        <v>0</v>
      </c>
      <c r="R1205" s="12">
        <f>+Tabla1[[#This Row],[COSTO TOTAL ALOJAMIENTO]]+Tabla1[[#This Row],[COSTO TOTAL COCHE]]</f>
        <v>1584.2619607843137</v>
      </c>
      <c r="S1205" s="2" t="s">
        <v>84</v>
      </c>
      <c r="T1205" s="2" t="s">
        <v>44</v>
      </c>
      <c r="U1205" s="14">
        <v>45375</v>
      </c>
      <c r="V1205" s="14">
        <v>45406</v>
      </c>
      <c r="W1205" s="15"/>
      <c r="X1205" s="16"/>
      <c r="Y1205" s="18" t="s">
        <v>2663</v>
      </c>
      <c r="Z1205" s="2" t="s">
        <v>36</v>
      </c>
      <c r="AA1205" s="13">
        <v>392.40300000000002</v>
      </c>
      <c r="AB1205" s="13" t="s">
        <v>10366</v>
      </c>
    </row>
    <row r="1206" spans="1:28" ht="15" customHeight="1">
      <c r="A1206" s="2" t="s">
        <v>8788</v>
      </c>
      <c r="B1206" s="2" t="s">
        <v>28</v>
      </c>
      <c r="C1206" s="18" t="s">
        <v>765</v>
      </c>
      <c r="D1206" s="2" t="s">
        <v>78</v>
      </c>
      <c r="E1206" s="2" t="s">
        <v>79</v>
      </c>
      <c r="F1206" s="11" t="s">
        <v>142</v>
      </c>
      <c r="G1206" s="11" t="s">
        <v>2664</v>
      </c>
      <c r="H1206" s="2" t="s">
        <v>144</v>
      </c>
      <c r="I1206" s="29" t="s">
        <v>145</v>
      </c>
      <c r="J1206" s="8">
        <f>+Tabla1[[#This Row],[FECHA ENTRADA]]</f>
        <v>45346</v>
      </c>
      <c r="K1206" s="22">
        <v>45821</v>
      </c>
      <c r="L1206" s="13">
        <f>_xlfn.DAYS(Tabla1[[#This Row],[FECHA FIN ]],Tabla1[[#This Row],[FECHA INICIO]])</f>
        <v>475</v>
      </c>
      <c r="M1206" s="12"/>
      <c r="N1206" s="12">
        <f>1811.6/17</f>
        <v>106.56470588235294</v>
      </c>
      <c r="O1206" s="12">
        <f>(Tabla1[[#This Row],[COSTO FIJO ]]/30)*Tabla1[[#This Row],[TOTAL DIAS PROYECTO]]+(Tabla1[[#This Row],[COSTO TEMPORAL]])</f>
        <v>1687.2745098039215</v>
      </c>
      <c r="P1206" s="12"/>
      <c r="Q1206" s="12">
        <f>+(Tabla1[[#This Row],[COSTO COCHE]]/30)*Tabla1[[#This Row],[TOTAL DIAS PROYECTO]]</f>
        <v>0</v>
      </c>
      <c r="R1206" s="12">
        <f>+Tabla1[[#This Row],[COSTO TOTAL ALOJAMIENTO]]+Tabla1[[#This Row],[COSTO TOTAL COCHE]]</f>
        <v>1687.2745098039215</v>
      </c>
      <c r="S1206" s="2"/>
      <c r="T1206" s="2" t="s">
        <v>44</v>
      </c>
      <c r="U1206" s="14">
        <v>45346</v>
      </c>
      <c r="V1206" s="14">
        <v>45406</v>
      </c>
      <c r="W1206" s="15"/>
      <c r="X1206" s="16">
        <v>23</v>
      </c>
      <c r="Y1206" s="18" t="s">
        <v>2659</v>
      </c>
      <c r="Z1206" s="2" t="s">
        <v>36</v>
      </c>
      <c r="AA1206" s="13" t="s">
        <v>10333</v>
      </c>
      <c r="AB1206" s="13" t="s">
        <v>10334</v>
      </c>
    </row>
    <row r="1207" spans="1:28" ht="15" customHeight="1">
      <c r="A1207" s="2" t="s">
        <v>8642</v>
      </c>
      <c r="B1207" s="2" t="s">
        <v>28</v>
      </c>
      <c r="C1207" s="18" t="s">
        <v>2665</v>
      </c>
      <c r="D1207" s="2" t="s">
        <v>78</v>
      </c>
      <c r="E1207" s="2" t="s">
        <v>79</v>
      </c>
      <c r="F1207" s="11" t="s">
        <v>142</v>
      </c>
      <c r="G1207" s="11" t="s">
        <v>143</v>
      </c>
      <c r="H1207" s="2" t="s">
        <v>144</v>
      </c>
      <c r="I1207" s="29" t="s">
        <v>145</v>
      </c>
      <c r="J1207" s="8">
        <f>+Tabla1[[#This Row],[FECHA ENTRADA]]</f>
        <v>45346</v>
      </c>
      <c r="K1207" s="22">
        <v>45821</v>
      </c>
      <c r="L1207" s="13">
        <f>_xlfn.DAYS(Tabla1[[#This Row],[FECHA FIN ]],Tabla1[[#This Row],[FECHA INICIO]])</f>
        <v>475</v>
      </c>
      <c r="M1207" s="12"/>
      <c r="N1207" s="24"/>
      <c r="O1207" s="12">
        <f>(Tabla1[[#This Row],[COSTO FIJO ]]/30)*Tabla1[[#This Row],[TOTAL DIAS PROYECTO]]+(Tabla1[[#This Row],[COSTO TEMPORAL]])</f>
        <v>0</v>
      </c>
      <c r="P1207" s="12"/>
      <c r="Q1207" s="12">
        <f>+(Tabla1[[#This Row],[COSTO COCHE]]/30)*Tabla1[[#This Row],[TOTAL DIAS PROYECTO]]</f>
        <v>0</v>
      </c>
      <c r="R1207" s="12">
        <f>+Tabla1[[#This Row],[COSTO TOTAL ALOJAMIENTO]]+Tabla1[[#This Row],[COSTO TOTAL COCHE]]</f>
        <v>0</v>
      </c>
      <c r="S1207" s="2"/>
      <c r="T1207" s="2" t="s">
        <v>44</v>
      </c>
      <c r="U1207" s="14">
        <v>45346</v>
      </c>
      <c r="V1207" s="14">
        <v>45406</v>
      </c>
      <c r="W1207" s="15"/>
      <c r="X1207" s="16">
        <v>23</v>
      </c>
      <c r="Y1207" s="18" t="s">
        <v>2659</v>
      </c>
      <c r="Z1207" s="2" t="s">
        <v>36</v>
      </c>
      <c r="AA1207" s="13" t="s">
        <v>10333</v>
      </c>
      <c r="AB1207" s="13" t="s">
        <v>10334</v>
      </c>
    </row>
    <row r="1208" spans="1:28" ht="15" customHeight="1">
      <c r="A1208" s="2" t="s">
        <v>9270</v>
      </c>
      <c r="B1208" s="2" t="s">
        <v>28</v>
      </c>
      <c r="C1208" s="11" t="s">
        <v>2666</v>
      </c>
      <c r="D1208" s="2" t="s">
        <v>30</v>
      </c>
      <c r="E1208" s="2" t="s">
        <v>502</v>
      </c>
      <c r="F1208" s="11"/>
      <c r="G1208" s="49"/>
      <c r="H1208" s="2" t="s">
        <v>505</v>
      </c>
      <c r="I1208" s="12" t="s">
        <v>506</v>
      </c>
      <c r="J1208" s="22">
        <v>45448</v>
      </c>
      <c r="K1208" s="22">
        <v>45821</v>
      </c>
      <c r="L1208" s="23">
        <f>_xlfn.DAYS(Tabla1[[#This Row],[FECHA FIN ]],Tabla1[[#This Row],[FECHA INICIO]])</f>
        <v>373</v>
      </c>
      <c r="M1208" s="12"/>
      <c r="N1208" s="24"/>
      <c r="O1208" s="24">
        <f>(Tabla1[[#This Row],[COSTO FIJO ]]/30)*Tabla1[[#This Row],[TOTAL DIAS PROYECTO]]+(Tabla1[[#This Row],[COSTO TEMPORAL]])</f>
        <v>0</v>
      </c>
      <c r="P1208" s="12"/>
      <c r="Q1208" s="12">
        <f>+(Tabla1[[#This Row],[COSTO COCHE]]/30)*Tabla1[[#This Row],[TOTAL DIAS PROYECTO]]</f>
        <v>0</v>
      </c>
      <c r="R1208" s="12">
        <f>+Tabla1[[#This Row],[COSTO TOTAL ALOJAMIENTO]]+Tabla1[[#This Row],[COSTO TOTAL COCHE]]</f>
        <v>0</v>
      </c>
      <c r="S1208" s="2"/>
      <c r="T1208" s="2" t="s">
        <v>44</v>
      </c>
      <c r="U1208" s="14">
        <v>45448</v>
      </c>
      <c r="V1208" s="25">
        <v>45460</v>
      </c>
      <c r="W1208" s="26"/>
      <c r="X1208" s="2"/>
      <c r="Y1208" s="11"/>
      <c r="Z1208" s="2" t="s">
        <v>36</v>
      </c>
      <c r="AA1208" s="13" t="s">
        <v>10378</v>
      </c>
      <c r="AB1208" s="13" t="s">
        <v>10379</v>
      </c>
    </row>
    <row r="1209" spans="1:28" ht="15" customHeight="1">
      <c r="A1209" s="2" t="s">
        <v>9263</v>
      </c>
      <c r="B1209" s="2" t="s">
        <v>28</v>
      </c>
      <c r="C1209" s="18" t="s">
        <v>2640</v>
      </c>
      <c r="D1209" s="2" t="s">
        <v>78</v>
      </c>
      <c r="E1209" s="2" t="s">
        <v>79</v>
      </c>
      <c r="F1209" s="11" t="s">
        <v>142</v>
      </c>
      <c r="G1209" s="11" t="s">
        <v>143</v>
      </c>
      <c r="H1209" s="2" t="s">
        <v>144</v>
      </c>
      <c r="I1209" s="29" t="s">
        <v>145</v>
      </c>
      <c r="J1209" s="8">
        <f>+Tabla1[[#This Row],[FECHA ENTRADA]]</f>
        <v>45346</v>
      </c>
      <c r="K1209" s="22">
        <v>45821</v>
      </c>
      <c r="L1209" s="13">
        <f>_xlfn.DAYS(Tabla1[[#This Row],[FECHA FIN ]],Tabla1[[#This Row],[FECHA INICIO]])</f>
        <v>475</v>
      </c>
      <c r="M1209" s="12"/>
      <c r="N1209" s="24"/>
      <c r="O1209" s="12">
        <f>(Tabla1[[#This Row],[COSTO FIJO ]]/30)*Tabla1[[#This Row],[TOTAL DIAS PROYECTO]]+(Tabla1[[#This Row],[COSTO TEMPORAL]])</f>
        <v>0</v>
      </c>
      <c r="P1209" s="12"/>
      <c r="Q1209" s="12">
        <f>+(Tabla1[[#This Row],[COSTO COCHE]]/30)*Tabla1[[#This Row],[TOTAL DIAS PROYECTO]]</f>
        <v>0</v>
      </c>
      <c r="R1209" s="12">
        <f>+Tabla1[[#This Row],[COSTO TOTAL ALOJAMIENTO]]+Tabla1[[#This Row],[COSTO TOTAL COCHE]]</f>
        <v>0</v>
      </c>
      <c r="S1209" s="2"/>
      <c r="T1209" s="2" t="s">
        <v>44</v>
      </c>
      <c r="U1209" s="14">
        <v>45346</v>
      </c>
      <c r="V1209" s="14">
        <v>45406</v>
      </c>
      <c r="W1209" s="15"/>
      <c r="X1209" s="16">
        <v>23</v>
      </c>
      <c r="Y1209" s="18" t="s">
        <v>2659</v>
      </c>
      <c r="Z1209" s="2" t="s">
        <v>36</v>
      </c>
      <c r="AA1209" s="13" t="s">
        <v>10333</v>
      </c>
      <c r="AB1209" s="13" t="s">
        <v>10334</v>
      </c>
    </row>
    <row r="1210" spans="1:28">
      <c r="A1210" s="2" t="s">
        <v>8729</v>
      </c>
      <c r="B1210" s="2" t="s">
        <v>28</v>
      </c>
      <c r="C1210" s="11" t="s">
        <v>468</v>
      </c>
      <c r="D1210" s="2" t="s">
        <v>30</v>
      </c>
      <c r="E1210" s="2" t="s">
        <v>502</v>
      </c>
      <c r="F1210" s="11" t="s">
        <v>503</v>
      </c>
      <c r="G1210" s="11" t="s">
        <v>504</v>
      </c>
      <c r="H1210" s="2" t="s">
        <v>2667</v>
      </c>
      <c r="I1210" s="12" t="s">
        <v>506</v>
      </c>
      <c r="J1210" s="8">
        <f>+Tabla1[[#This Row],[FECHA ENTRADA]]</f>
        <v>45510</v>
      </c>
      <c r="K1210" s="8">
        <v>45534</v>
      </c>
      <c r="L1210" s="13">
        <f>_xlfn.DAYS(Tabla1[[#This Row],[FECHA FIN ]],Tabla1[[#This Row],[FECHA INICIO]])</f>
        <v>24</v>
      </c>
      <c r="M1210" s="12"/>
      <c r="N1210" s="12">
        <v>300</v>
      </c>
      <c r="O1210" s="12">
        <f>(Tabla1[[#This Row],[COSTO FIJO ]]/30)*Tabla1[[#This Row],[TOTAL DIAS PROYECTO]]+(Tabla1[[#This Row],[COSTO TEMPORAL]])</f>
        <v>240</v>
      </c>
      <c r="P1210" s="12"/>
      <c r="Q1210" s="12">
        <f>+(Tabla1[[#This Row],[COSTO COCHE]]/30)*Tabla1[[#This Row],[TOTAL DIAS PROYECTO]]</f>
        <v>0</v>
      </c>
      <c r="R1210" s="12">
        <f>+Tabla1[[#This Row],[COSTO TOTAL ALOJAMIENTO]]+Tabla1[[#This Row],[COSTO TOTAL COCHE]]</f>
        <v>240</v>
      </c>
      <c r="S1210" s="2"/>
      <c r="T1210" s="2" t="s">
        <v>35</v>
      </c>
      <c r="U1210" s="14">
        <v>45510</v>
      </c>
      <c r="V1210" s="14"/>
      <c r="W1210" s="26"/>
      <c r="X1210" s="2">
        <v>1</v>
      </c>
      <c r="Y1210" s="18" t="s">
        <v>2668</v>
      </c>
      <c r="Z1210" s="2" t="s">
        <v>36</v>
      </c>
      <c r="AA1210" s="13" t="s">
        <v>10378</v>
      </c>
      <c r="AB1210" s="13" t="s">
        <v>10379</v>
      </c>
    </row>
    <row r="1211" spans="1:28" ht="15" customHeight="1">
      <c r="A1211" s="2" t="s">
        <v>9271</v>
      </c>
      <c r="B1211" s="2" t="s">
        <v>28</v>
      </c>
      <c r="C1211" s="11" t="s">
        <v>2669</v>
      </c>
      <c r="D1211" s="2" t="s">
        <v>78</v>
      </c>
      <c r="E1211" s="2" t="s">
        <v>314</v>
      </c>
      <c r="F1211" s="11" t="s">
        <v>320</v>
      </c>
      <c r="G1211" s="11" t="s">
        <v>321</v>
      </c>
      <c r="H1211" s="2" t="s">
        <v>291</v>
      </c>
      <c r="I1211" s="12" t="s">
        <v>292</v>
      </c>
      <c r="J1211" s="8">
        <f>+Tabla1[[#This Row],[FECHA ENTRADA]]</f>
        <v>45367</v>
      </c>
      <c r="K1211" s="22">
        <v>45821</v>
      </c>
      <c r="L1211" s="13">
        <f>_xlfn.DAYS(Tabla1[[#This Row],[FECHA FIN ]],Tabla1[[#This Row],[FECHA INICIO]])</f>
        <v>454</v>
      </c>
      <c r="M1211" s="12"/>
      <c r="N1211" s="12">
        <f>1811.6/17</f>
        <v>106.56470588235294</v>
      </c>
      <c r="O1211" s="12">
        <f>(Tabla1[[#This Row],[COSTO FIJO ]]/30)*Tabla1[[#This Row],[TOTAL DIAS PROYECTO]]+(Tabla1[[#This Row],[COSTO TEMPORAL]])</f>
        <v>1612.6792156862746</v>
      </c>
      <c r="P1211" s="12"/>
      <c r="Q1211" s="12">
        <f>+(Tabla1[[#This Row],[COSTO COCHE]]/30)*Tabla1[[#This Row],[TOTAL DIAS PROYECTO]]</f>
        <v>0</v>
      </c>
      <c r="R1211" s="12">
        <f>+Tabla1[[#This Row],[COSTO TOTAL ALOJAMIENTO]]+Tabla1[[#This Row],[COSTO TOTAL COCHE]]</f>
        <v>1612.6792156862746</v>
      </c>
      <c r="S1211" s="2" t="s">
        <v>84</v>
      </c>
      <c r="T1211" s="2" t="s">
        <v>44</v>
      </c>
      <c r="U1211" s="14">
        <v>45367</v>
      </c>
      <c r="V1211" s="14">
        <v>45431</v>
      </c>
      <c r="W1211" s="15"/>
      <c r="X1211" s="16"/>
      <c r="Y1211" s="18" t="s">
        <v>2670</v>
      </c>
      <c r="Z1211" s="2" t="s">
        <v>36</v>
      </c>
      <c r="AA1211" s="13">
        <v>392.40300000000002</v>
      </c>
      <c r="AB1211" s="13" t="s">
        <v>10366</v>
      </c>
    </row>
    <row r="1212" spans="1:28" ht="15" customHeight="1">
      <c r="A1212" s="2" t="s">
        <v>9272</v>
      </c>
      <c r="B1212" s="2" t="s">
        <v>28</v>
      </c>
      <c r="C1212" s="104" t="s">
        <v>2671</v>
      </c>
      <c r="D1212" s="33" t="s">
        <v>78</v>
      </c>
      <c r="E1212" s="33" t="s">
        <v>314</v>
      </c>
      <c r="F1212" s="11" t="s">
        <v>996</v>
      </c>
      <c r="G1212" s="11" t="s">
        <v>997</v>
      </c>
      <c r="H1212" s="33" t="s">
        <v>291</v>
      </c>
      <c r="I1212" s="36" t="s">
        <v>292</v>
      </c>
      <c r="J1212" s="8">
        <f>+Tabla1[[#This Row],[FECHA ENTRADA]]</f>
        <v>45367</v>
      </c>
      <c r="K1212" s="22">
        <v>45821</v>
      </c>
      <c r="L1212" s="13">
        <f>_xlfn.DAYS(Tabla1[[#This Row],[FECHA FIN ]],Tabla1[[#This Row],[FECHA INICIO]])</f>
        <v>454</v>
      </c>
      <c r="M1212" s="12"/>
      <c r="N1212" s="12">
        <f>1811.6/17</f>
        <v>106.56470588235294</v>
      </c>
      <c r="O1212" s="36">
        <f>(Tabla1[[#This Row],[COSTO FIJO ]]/30)*Tabla1[[#This Row],[TOTAL DIAS PROYECTO]]+(Tabla1[[#This Row],[COSTO TEMPORAL]])</f>
        <v>1612.6792156862746</v>
      </c>
      <c r="P1212" s="36"/>
      <c r="Q1212" s="36">
        <f>+(Tabla1[[#This Row],[COSTO COCHE]]/30)*Tabla1[[#This Row],[TOTAL DIAS PROYECTO]]</f>
        <v>0</v>
      </c>
      <c r="R1212" s="36">
        <f>+Tabla1[[#This Row],[COSTO TOTAL ALOJAMIENTO]]+Tabla1[[#This Row],[COSTO TOTAL COCHE]]</f>
        <v>1612.6792156862746</v>
      </c>
      <c r="S1212" s="2" t="s">
        <v>84</v>
      </c>
      <c r="T1212" s="33" t="s">
        <v>44</v>
      </c>
      <c r="U1212" s="37">
        <v>45367</v>
      </c>
      <c r="V1212" s="37">
        <v>45462</v>
      </c>
      <c r="W1212" s="40"/>
      <c r="X1212" s="39"/>
      <c r="Y1212" s="18"/>
      <c r="Z1212" s="33" t="s">
        <v>36</v>
      </c>
      <c r="AA1212" s="13">
        <v>392.40300000000002</v>
      </c>
      <c r="AB1212" s="13" t="s">
        <v>10366</v>
      </c>
    </row>
    <row r="1213" spans="1:28" ht="15" customHeight="1">
      <c r="A1213" s="2" t="s">
        <v>9273</v>
      </c>
      <c r="B1213" s="2" t="s">
        <v>978</v>
      </c>
      <c r="C1213" s="104" t="s">
        <v>2672</v>
      </c>
      <c r="D1213" s="2" t="s">
        <v>30</v>
      </c>
      <c r="E1213" s="2" t="s">
        <v>31</v>
      </c>
      <c r="F1213" s="11" t="s">
        <v>451</v>
      </c>
      <c r="G1213" s="50" t="s">
        <v>452</v>
      </c>
      <c r="H1213" s="2"/>
      <c r="I1213" s="2" t="s">
        <v>978</v>
      </c>
      <c r="J1213" s="22">
        <f>+Tabla1[[#This Row],[FECHA ENTRADA]]</f>
        <v>45699</v>
      </c>
      <c r="K1213" s="22">
        <v>45821</v>
      </c>
      <c r="L1213" s="23">
        <f>_xlfn.DAYS(Tabla1[[#This Row],[FECHA FIN ]],Tabla1[[#This Row],[FECHA INICIO]])</f>
        <v>122</v>
      </c>
      <c r="M1213" s="12"/>
      <c r="N1213" s="12">
        <v>283.33</v>
      </c>
      <c r="O1213" s="24">
        <f>(Tabla1[[#This Row],[COSTO FIJO ]]/30)*Tabla1[[#This Row],[TOTAL DIAS PROYECTO]]+(Tabla1[[#This Row],[COSTO TEMPORAL]])</f>
        <v>1152.2086666666667</v>
      </c>
      <c r="P1213" s="12"/>
      <c r="Q1213" s="12">
        <f>+(Tabla1[[#This Row],[COSTO COCHE]]/30)*Tabla1[[#This Row],[TOTAL DIAS PROYECTO]]</f>
        <v>0</v>
      </c>
      <c r="R1213" s="12">
        <f>+Tabla1[[#This Row],[COSTO TOTAL ALOJAMIENTO]]+Tabla1[[#This Row],[COSTO TOTAL COCHE]]</f>
        <v>1152.2086666666667</v>
      </c>
      <c r="S1213" s="2"/>
      <c r="T1213" s="2" t="s">
        <v>35</v>
      </c>
      <c r="U1213" s="14">
        <v>45699</v>
      </c>
      <c r="V1213" s="25"/>
      <c r="W1213" s="26"/>
      <c r="X1213" s="2">
        <v>1</v>
      </c>
      <c r="Y1213" s="11"/>
      <c r="Z1213" s="2" t="s">
        <v>36</v>
      </c>
      <c r="AA1213" s="13" t="s">
        <v>10323</v>
      </c>
      <c r="AB1213" s="13" t="s">
        <v>10324</v>
      </c>
    </row>
    <row r="1214" spans="1:28" ht="15" customHeight="1">
      <c r="A1214" s="2" t="s">
        <v>9075</v>
      </c>
      <c r="B1214" s="2" t="s">
        <v>28</v>
      </c>
      <c r="C1214" s="104" t="s">
        <v>1901</v>
      </c>
      <c r="D1214" s="2" t="s">
        <v>72</v>
      </c>
      <c r="E1214" s="2" t="s">
        <v>218</v>
      </c>
      <c r="F1214" s="11" t="s">
        <v>2673</v>
      </c>
      <c r="G1214" s="11" t="s">
        <v>2674</v>
      </c>
      <c r="H1214" s="2" t="s">
        <v>2675</v>
      </c>
      <c r="I1214" s="12" t="s">
        <v>189</v>
      </c>
      <c r="J1214" s="8">
        <f>+Tabla1[[#This Row],[FECHA ENTRADA]]</f>
        <v>45447</v>
      </c>
      <c r="K1214" s="22">
        <v>45829</v>
      </c>
      <c r="L1214" s="13">
        <f>_xlfn.DAYS(Tabla1[[#This Row],[FECHA FIN ]],Tabla1[[#This Row],[FECHA INICIO]])</f>
        <v>382</v>
      </c>
      <c r="M1214" s="12"/>
      <c r="N1214" s="12"/>
      <c r="O1214" s="12">
        <f>(Tabla1[[#This Row],[COSTO FIJO ]]/30)*Tabla1[[#This Row],[TOTAL DIAS PROYECTO]]+(Tabla1[[#This Row],[COSTO TEMPORAL]])</f>
        <v>0</v>
      </c>
      <c r="P1214" s="12"/>
      <c r="Q1214" s="12">
        <f>+(Tabla1[[#This Row],[COSTO COCHE]]/30)*Tabla1[[#This Row],[TOTAL DIAS PROYECTO]]</f>
        <v>0</v>
      </c>
      <c r="R1214" s="12">
        <f>+Tabla1[[#This Row],[COSTO TOTAL ALOJAMIENTO]]+Tabla1[[#This Row],[COSTO TOTAL COCHE]]</f>
        <v>0</v>
      </c>
      <c r="S1214" s="2" t="s">
        <v>84</v>
      </c>
      <c r="T1214" s="2" t="s">
        <v>44</v>
      </c>
      <c r="U1214" s="14">
        <v>45447</v>
      </c>
      <c r="V1214" s="14">
        <v>45473</v>
      </c>
      <c r="W1214" s="26"/>
      <c r="X1214" s="2">
        <v>29</v>
      </c>
      <c r="Y1214" s="18"/>
      <c r="Z1214" s="2" t="s">
        <v>36</v>
      </c>
      <c r="AA1214" s="13" t="s">
        <v>10351</v>
      </c>
      <c r="AB1214" s="13" t="s">
        <v>10352</v>
      </c>
    </row>
    <row r="1215" spans="1:28" ht="15" customHeight="1">
      <c r="A1215" s="2" t="s">
        <v>9274</v>
      </c>
      <c r="B1215" s="2" t="s">
        <v>28</v>
      </c>
      <c r="C1215" s="104" t="s">
        <v>2676</v>
      </c>
      <c r="D1215" s="2" t="s">
        <v>30</v>
      </c>
      <c r="E1215" s="2" t="s">
        <v>502</v>
      </c>
      <c r="F1215" s="11" t="s">
        <v>1049</v>
      </c>
      <c r="G1215" s="11" t="s">
        <v>1050</v>
      </c>
      <c r="H1215" s="2" t="s">
        <v>2677</v>
      </c>
      <c r="I1215" s="12" t="s">
        <v>506</v>
      </c>
      <c r="J1215" s="22">
        <f>+Tabla1[[#This Row],[FECHA ENTRADA]]</f>
        <v>45669</v>
      </c>
      <c r="K1215" s="8">
        <v>45763</v>
      </c>
      <c r="L1215" s="23">
        <f>_xlfn.DAYS(Tabla1[[#This Row],[FECHA FIN ]],Tabla1[[#This Row],[FECHA INICIO]])</f>
        <v>94</v>
      </c>
      <c r="M1215" s="12"/>
      <c r="N1215" s="12">
        <v>216.66666666666666</v>
      </c>
      <c r="O1215" s="24">
        <f>(Tabla1[[#This Row],[COSTO FIJO ]]/30)*Tabla1[[#This Row],[TOTAL DIAS PROYECTO]]+(Tabla1[[#This Row],[COSTO TEMPORAL]])</f>
        <v>678.88888888888891</v>
      </c>
      <c r="P1215" s="12">
        <f>1156.52/8</f>
        <v>144.565</v>
      </c>
      <c r="Q1215" s="12">
        <f>+(Tabla1[[#This Row],[COSTO COCHE]]/30)*Tabla1[[#This Row],[TOTAL DIAS PROYECTO]]</f>
        <v>452.97033333333331</v>
      </c>
      <c r="R1215" s="12">
        <f>+Tabla1[[#This Row],[COSTO TOTAL ALOJAMIENTO]]+Tabla1[[#This Row],[COSTO TOTAL COCHE]]</f>
        <v>1131.8592222222223</v>
      </c>
      <c r="S1215" s="2"/>
      <c r="T1215" s="2" t="s">
        <v>35</v>
      </c>
      <c r="U1215" s="14">
        <v>45669</v>
      </c>
      <c r="V1215" s="25"/>
      <c r="W1215" s="26"/>
      <c r="X1215" s="2">
        <v>1</v>
      </c>
      <c r="Y1215" s="11"/>
      <c r="Z1215" s="2" t="s">
        <v>36</v>
      </c>
      <c r="AA1215" s="13" t="s">
        <v>10378</v>
      </c>
      <c r="AB1215" s="13" t="s">
        <v>10379</v>
      </c>
    </row>
    <row r="1216" spans="1:28" ht="15" customHeight="1">
      <c r="A1216" s="2" t="s">
        <v>9275</v>
      </c>
      <c r="B1216" s="2" t="s">
        <v>28</v>
      </c>
      <c r="C1216" s="18" t="s">
        <v>2678</v>
      </c>
      <c r="D1216" s="2" t="s">
        <v>72</v>
      </c>
      <c r="E1216" s="2" t="s">
        <v>218</v>
      </c>
      <c r="F1216" s="11" t="s">
        <v>186</v>
      </c>
      <c r="G1216" s="11" t="s">
        <v>187</v>
      </c>
      <c r="H1216" s="2" t="s">
        <v>188</v>
      </c>
      <c r="I1216" s="2" t="s">
        <v>189</v>
      </c>
      <c r="J1216" s="8">
        <f>+Tabla1[[#This Row],[FECHA ENTRADA]]</f>
        <v>45381</v>
      </c>
      <c r="K1216" s="22">
        <v>45821</v>
      </c>
      <c r="L1216" s="13">
        <f>_xlfn.DAYS(Tabla1[[#This Row],[FECHA FIN ]],Tabla1[[#This Row],[FECHA INICIO]])</f>
        <v>440</v>
      </c>
      <c r="M1216" s="12"/>
      <c r="N1216" s="24"/>
      <c r="O1216" s="12">
        <f>(Tabla1[[#This Row],[COSTO FIJO ]]/30)*Tabla1[[#This Row],[TOTAL DIAS PROYECTO]]+(Tabla1[[#This Row],[COSTO TEMPORAL]])</f>
        <v>0</v>
      </c>
      <c r="P1216" s="12"/>
      <c r="Q1216" s="12">
        <f>+(Tabla1[[#This Row],[COSTO COCHE]]/30)*Tabla1[[#This Row],[TOTAL DIAS PROYECTO]]</f>
        <v>0</v>
      </c>
      <c r="R1216" s="12">
        <f>+Tabla1[[#This Row],[COSTO TOTAL ALOJAMIENTO]]+Tabla1[[#This Row],[COSTO TOTAL COCHE]]</f>
        <v>0</v>
      </c>
      <c r="S1216" s="2" t="s">
        <v>84</v>
      </c>
      <c r="T1216" s="2" t="s">
        <v>44</v>
      </c>
      <c r="U1216" s="14">
        <v>45381</v>
      </c>
      <c r="V1216" s="14">
        <v>45473</v>
      </c>
      <c r="W1216" s="26"/>
      <c r="X1216" s="16"/>
      <c r="Y1216" s="18"/>
      <c r="Z1216" s="2" t="s">
        <v>36</v>
      </c>
      <c r="AA1216" s="13" t="s">
        <v>10351</v>
      </c>
      <c r="AB1216" s="13" t="s">
        <v>10352</v>
      </c>
    </row>
    <row r="1217" spans="1:28" ht="15" customHeight="1">
      <c r="A1217" s="2" t="s">
        <v>9205</v>
      </c>
      <c r="B1217" s="2" t="s">
        <v>28</v>
      </c>
      <c r="C1217" s="18" t="s">
        <v>2425</v>
      </c>
      <c r="D1217" s="2" t="s">
        <v>72</v>
      </c>
      <c r="E1217" s="2" t="s">
        <v>218</v>
      </c>
      <c r="F1217" s="11" t="s">
        <v>186</v>
      </c>
      <c r="G1217" s="11" t="s">
        <v>187</v>
      </c>
      <c r="H1217" s="2" t="s">
        <v>188</v>
      </c>
      <c r="I1217" s="2" t="s">
        <v>189</v>
      </c>
      <c r="J1217" s="8">
        <f>+Tabla1[[#This Row],[FECHA ENTRADA]]</f>
        <v>45396</v>
      </c>
      <c r="K1217" s="22">
        <v>45821</v>
      </c>
      <c r="L1217" s="13">
        <f>_xlfn.DAYS(Tabla1[[#This Row],[FECHA FIN ]],Tabla1[[#This Row],[FECHA INICIO]])</f>
        <v>425</v>
      </c>
      <c r="M1217" s="12"/>
      <c r="N1217" s="20"/>
      <c r="O1217" s="12">
        <f>(Tabla1[[#This Row],[COSTO FIJO ]]/30)*Tabla1[[#This Row],[TOTAL DIAS PROYECTO]]+(Tabla1[[#This Row],[COSTO TEMPORAL]])</f>
        <v>0</v>
      </c>
      <c r="P1217" s="12"/>
      <c r="Q1217" s="12">
        <f>+(Tabla1[[#This Row],[COSTO COCHE]]/30)*Tabla1[[#This Row],[TOTAL DIAS PROYECTO]]</f>
        <v>0</v>
      </c>
      <c r="R1217" s="12">
        <f>+Tabla1[[#This Row],[COSTO TOTAL ALOJAMIENTO]]+Tabla1[[#This Row],[COSTO TOTAL COCHE]]</f>
        <v>0</v>
      </c>
      <c r="S1217" s="2" t="s">
        <v>84</v>
      </c>
      <c r="T1217" s="2" t="s">
        <v>44</v>
      </c>
      <c r="U1217" s="14">
        <v>45396</v>
      </c>
      <c r="V1217" s="14">
        <v>45473</v>
      </c>
      <c r="W1217" s="26"/>
      <c r="X1217" s="16"/>
      <c r="Y1217" s="18" t="s">
        <v>2679</v>
      </c>
      <c r="Z1217" s="2" t="s">
        <v>36</v>
      </c>
      <c r="AA1217" s="13" t="s">
        <v>10351</v>
      </c>
      <c r="AB1217" s="13" t="s">
        <v>10352</v>
      </c>
    </row>
    <row r="1218" spans="1:28" ht="15" customHeight="1">
      <c r="A1218" s="2" t="s">
        <v>9276</v>
      </c>
      <c r="B1218" s="2" t="s">
        <v>28</v>
      </c>
      <c r="C1218" s="181" t="s">
        <v>2680</v>
      </c>
      <c r="D1218" s="2" t="s">
        <v>30</v>
      </c>
      <c r="E1218" s="2" t="s">
        <v>855</v>
      </c>
      <c r="F1218" s="11" t="s">
        <v>2681</v>
      </c>
      <c r="G1218" s="11" t="s">
        <v>2682</v>
      </c>
      <c r="H1218" s="2" t="s">
        <v>862</v>
      </c>
      <c r="I1218" s="12" t="s">
        <v>859</v>
      </c>
      <c r="J1218" s="8">
        <f>+Tabla1[[#This Row],[FECHA ENTRADA]]</f>
        <v>45452</v>
      </c>
      <c r="K1218" s="22">
        <v>45821</v>
      </c>
      <c r="L1218" s="13">
        <f>_xlfn.DAYS(Tabla1[[#This Row],[FECHA FIN ]],Tabla1[[#This Row],[FECHA INICIO]])</f>
        <v>369</v>
      </c>
      <c r="M1218" s="12"/>
      <c r="N1218" s="12"/>
      <c r="O1218" s="12">
        <f>(Tabla1[[#This Row],[COSTO FIJO ]]/30)*Tabla1[[#This Row],[TOTAL DIAS PROYECTO]]+(Tabla1[[#This Row],[COSTO TEMPORAL]])</f>
        <v>0</v>
      </c>
      <c r="P1218" s="12"/>
      <c r="Q1218" s="12">
        <f>+(Tabla1[[#This Row],[COSTO COCHE]]/30)*Tabla1[[#This Row],[TOTAL DIAS PROYECTO]]</f>
        <v>0</v>
      </c>
      <c r="R1218" s="12">
        <f>+Tabla1[[#This Row],[COSTO TOTAL ALOJAMIENTO]]+Tabla1[[#This Row],[COSTO TOTAL COCHE]]</f>
        <v>0</v>
      </c>
      <c r="S1218" s="2"/>
      <c r="T1218" s="2" t="s">
        <v>44</v>
      </c>
      <c r="U1218" s="14">
        <v>45452</v>
      </c>
      <c r="V1218" s="14">
        <v>45474</v>
      </c>
      <c r="W1218" s="26"/>
      <c r="X1218" s="2"/>
      <c r="Y1218" s="18" t="s">
        <v>407</v>
      </c>
      <c r="Z1218" s="2" t="s">
        <v>36</v>
      </c>
      <c r="AA1218" s="13" t="s">
        <v>10401</v>
      </c>
      <c r="AB1218" s="13" t="s">
        <v>10402</v>
      </c>
    </row>
    <row r="1219" spans="1:28" ht="15" customHeight="1">
      <c r="A1219" s="2" t="s">
        <v>9277</v>
      </c>
      <c r="B1219" s="2" t="s">
        <v>28</v>
      </c>
      <c r="C1219" s="11" t="s">
        <v>2683</v>
      </c>
      <c r="D1219" s="33" t="s">
        <v>78</v>
      </c>
      <c r="E1219" s="33" t="s">
        <v>314</v>
      </c>
      <c r="F1219" s="11" t="s">
        <v>289</v>
      </c>
      <c r="G1219" s="34" t="s">
        <v>290</v>
      </c>
      <c r="H1219" s="33" t="s">
        <v>291</v>
      </c>
      <c r="I1219" s="36" t="s">
        <v>292</v>
      </c>
      <c r="J1219" s="8">
        <f>+Tabla1[[#This Row],[FECHA ENTRADA]]</f>
        <v>45375</v>
      </c>
      <c r="K1219" s="22">
        <v>45821</v>
      </c>
      <c r="L1219" s="13">
        <f>_xlfn.DAYS(Tabla1[[#This Row],[FECHA FIN ]],Tabla1[[#This Row],[FECHA INICIO]])</f>
        <v>446</v>
      </c>
      <c r="M1219" s="12"/>
      <c r="N1219" s="12"/>
      <c r="O1219" s="36">
        <f>(Tabla1[[#This Row],[COSTO FIJO ]]/30)*Tabla1[[#This Row],[TOTAL DIAS PROYECTO]]+(Tabla1[[#This Row],[COSTO TEMPORAL]])</f>
        <v>0</v>
      </c>
      <c r="P1219" s="36"/>
      <c r="Q1219" s="36">
        <f>+(Tabla1[[#This Row],[COSTO COCHE]]/30)*Tabla1[[#This Row],[TOTAL DIAS PROYECTO]]</f>
        <v>0</v>
      </c>
      <c r="R1219" s="36">
        <f>+Tabla1[[#This Row],[COSTO TOTAL ALOJAMIENTO]]+Tabla1[[#This Row],[COSTO TOTAL COCHE]]</f>
        <v>0</v>
      </c>
      <c r="S1219" s="2" t="s">
        <v>84</v>
      </c>
      <c r="T1219" s="33" t="s">
        <v>44</v>
      </c>
      <c r="U1219" s="37">
        <v>45375</v>
      </c>
      <c r="V1219" s="37">
        <v>45475</v>
      </c>
      <c r="W1219" s="40"/>
      <c r="X1219" s="39"/>
      <c r="Y1219" s="18"/>
      <c r="Z1219" s="33" t="s">
        <v>36</v>
      </c>
      <c r="AA1219" s="13">
        <v>392.40300000000002</v>
      </c>
      <c r="AB1219" s="13" t="s">
        <v>10366</v>
      </c>
    </row>
    <row r="1220" spans="1:28" ht="15" customHeight="1">
      <c r="A1220" s="2" t="s">
        <v>9278</v>
      </c>
      <c r="B1220" s="2" t="s">
        <v>28</v>
      </c>
      <c r="C1220" s="11" t="s">
        <v>2684</v>
      </c>
      <c r="D1220" s="33" t="s">
        <v>78</v>
      </c>
      <c r="E1220" s="33" t="s">
        <v>314</v>
      </c>
      <c r="F1220" s="11" t="s">
        <v>289</v>
      </c>
      <c r="G1220" s="34" t="s">
        <v>290</v>
      </c>
      <c r="H1220" s="33" t="s">
        <v>291</v>
      </c>
      <c r="I1220" s="36" t="s">
        <v>292</v>
      </c>
      <c r="J1220" s="8">
        <f>+Tabla1[[#This Row],[FECHA ENTRADA]]</f>
        <v>45375</v>
      </c>
      <c r="K1220" s="22">
        <v>45821</v>
      </c>
      <c r="L1220" s="13">
        <f>_xlfn.DAYS(Tabla1[[#This Row],[FECHA FIN ]],Tabla1[[#This Row],[FECHA INICIO]])</f>
        <v>446</v>
      </c>
      <c r="M1220" s="12"/>
      <c r="N1220" s="12">
        <f>1811.6/17</f>
        <v>106.56470588235294</v>
      </c>
      <c r="O1220" s="36">
        <f>(Tabla1[[#This Row],[COSTO FIJO ]]/30)*Tabla1[[#This Row],[TOTAL DIAS PROYECTO]]+(Tabla1[[#This Row],[COSTO TEMPORAL]])</f>
        <v>1584.2619607843137</v>
      </c>
      <c r="P1220" s="36"/>
      <c r="Q1220" s="36">
        <f>+(Tabla1[[#This Row],[COSTO COCHE]]/30)*Tabla1[[#This Row],[TOTAL DIAS PROYECTO]]</f>
        <v>0</v>
      </c>
      <c r="R1220" s="36">
        <f>+Tabla1[[#This Row],[COSTO TOTAL ALOJAMIENTO]]+Tabla1[[#This Row],[COSTO TOTAL COCHE]]</f>
        <v>1584.2619607843137</v>
      </c>
      <c r="S1220" s="2" t="s">
        <v>84</v>
      </c>
      <c r="T1220" s="33" t="s">
        <v>44</v>
      </c>
      <c r="U1220" s="37">
        <v>45375</v>
      </c>
      <c r="V1220" s="37">
        <v>45475</v>
      </c>
      <c r="W1220" s="40"/>
      <c r="X1220" s="39"/>
      <c r="Y1220" s="18"/>
      <c r="Z1220" s="33" t="s">
        <v>36</v>
      </c>
      <c r="AA1220" s="13">
        <v>392.40300000000002</v>
      </c>
      <c r="AB1220" s="13" t="s">
        <v>10366</v>
      </c>
    </row>
    <row r="1221" spans="1:28" ht="15" customHeight="1">
      <c r="A1221" s="2" t="s">
        <v>9279</v>
      </c>
      <c r="B1221" s="2" t="s">
        <v>28</v>
      </c>
      <c r="C1221" s="11" t="s">
        <v>2685</v>
      </c>
      <c r="D1221" s="2" t="s">
        <v>30</v>
      </c>
      <c r="E1221" s="2" t="s">
        <v>225</v>
      </c>
      <c r="F1221" s="11" t="s">
        <v>1502</v>
      </c>
      <c r="G1221" s="11" t="s">
        <v>1505</v>
      </c>
      <c r="H1221" s="2" t="s">
        <v>1506</v>
      </c>
      <c r="I1221" s="2" t="s">
        <v>228</v>
      </c>
      <c r="J1221" s="8">
        <f>+Tabla1[[#This Row],[FECHA ENTRADA]]</f>
        <v>45340</v>
      </c>
      <c r="K1221" s="22">
        <v>45821</v>
      </c>
      <c r="L1221" s="13">
        <f>_xlfn.DAYS(Tabla1[[#This Row],[FECHA FIN ]],Tabla1[[#This Row],[FECHA INICIO]])</f>
        <v>481</v>
      </c>
      <c r="M1221" s="12"/>
      <c r="N1221" s="12"/>
      <c r="O1221" s="12">
        <f>(Tabla1[[#This Row],[COSTO FIJO ]]/30)*Tabla1[[#This Row],[TOTAL DIAS PROYECTO]]+(Tabla1[[#This Row],[COSTO TEMPORAL]])</f>
        <v>0</v>
      </c>
      <c r="P1221" s="12"/>
      <c r="Q1221" s="12">
        <f>+(Tabla1[[#This Row],[COSTO COCHE]]/30)*Tabla1[[#This Row],[TOTAL DIAS PROYECTO]]</f>
        <v>0</v>
      </c>
      <c r="R1221" s="12">
        <f>+Tabla1[[#This Row],[COSTO TOTAL ALOJAMIENTO]]+Tabla1[[#This Row],[COSTO TOTAL COCHE]]</f>
        <v>0</v>
      </c>
      <c r="S1221" s="2"/>
      <c r="T1221" s="2" t="s">
        <v>35</v>
      </c>
      <c r="U1221" s="14">
        <v>45340</v>
      </c>
      <c r="V1221" s="14"/>
      <c r="W1221" s="15"/>
      <c r="X1221" s="16">
        <v>20</v>
      </c>
      <c r="Y1221" s="18" t="s">
        <v>2686</v>
      </c>
      <c r="Z1221" s="2" t="s">
        <v>36</v>
      </c>
      <c r="AA1221" s="13" t="s">
        <v>10353</v>
      </c>
      <c r="AB1221" s="13" t="s">
        <v>10354</v>
      </c>
    </row>
    <row r="1222" spans="1:28" ht="15" customHeight="1">
      <c r="A1222" s="2" t="s">
        <v>9280</v>
      </c>
      <c r="B1222" s="2" t="s">
        <v>28</v>
      </c>
      <c r="C1222" s="11" t="s">
        <v>2687</v>
      </c>
      <c r="D1222" s="2" t="s">
        <v>78</v>
      </c>
      <c r="E1222" s="2" t="s">
        <v>79</v>
      </c>
      <c r="F1222" s="11" t="s">
        <v>142</v>
      </c>
      <c r="G1222" s="11" t="s">
        <v>143</v>
      </c>
      <c r="H1222" s="2" t="s">
        <v>2688</v>
      </c>
      <c r="I1222" s="29" t="s">
        <v>145</v>
      </c>
      <c r="J1222" s="8">
        <f>+Tabla1[[#This Row],[FECHA ENTRADA]]</f>
        <v>45441</v>
      </c>
      <c r="K1222" s="22">
        <v>45821</v>
      </c>
      <c r="L1222" s="13">
        <f>_xlfn.DAYS(Tabla1[[#This Row],[FECHA FIN ]],Tabla1[[#This Row],[FECHA INICIO]])</f>
        <v>380</v>
      </c>
      <c r="M1222" s="12"/>
      <c r="N1222" s="12"/>
      <c r="O1222" s="12">
        <f>(Tabla1[[#This Row],[COSTO FIJO ]]/30)*Tabla1[[#This Row],[TOTAL DIAS PROYECTO]]+(Tabla1[[#This Row],[COSTO TEMPORAL]])</f>
        <v>0</v>
      </c>
      <c r="P1222" s="12"/>
      <c r="Q1222" s="12">
        <f>+(Tabla1[[#This Row],[COSTO COCHE]]/30)*Tabla1[[#This Row],[TOTAL DIAS PROYECTO]]</f>
        <v>0</v>
      </c>
      <c r="R1222" s="12">
        <f>+Tabla1[[#This Row],[COSTO TOTAL ALOJAMIENTO]]+Tabla1[[#This Row],[COSTO TOTAL COCHE]]</f>
        <v>0</v>
      </c>
      <c r="S1222" s="2"/>
      <c r="T1222" s="2" t="s">
        <v>44</v>
      </c>
      <c r="U1222" s="14">
        <v>45441</v>
      </c>
      <c r="V1222" s="14">
        <v>45485</v>
      </c>
      <c r="W1222" s="26"/>
      <c r="X1222" s="2"/>
      <c r="Y1222" s="18" t="s">
        <v>367</v>
      </c>
      <c r="Z1222" s="2" t="s">
        <v>36</v>
      </c>
      <c r="AA1222" s="13" t="s">
        <v>10333</v>
      </c>
      <c r="AB1222" s="13" t="s">
        <v>10334</v>
      </c>
    </row>
    <row r="1223" spans="1:28" ht="15" customHeight="1">
      <c r="A1223" s="2" t="s">
        <v>9281</v>
      </c>
      <c r="B1223" s="2" t="s">
        <v>28</v>
      </c>
      <c r="C1223" s="11" t="s">
        <v>2689</v>
      </c>
      <c r="D1223" s="2" t="s">
        <v>78</v>
      </c>
      <c r="E1223" s="2" t="s">
        <v>79</v>
      </c>
      <c r="F1223" s="11" t="s">
        <v>142</v>
      </c>
      <c r="G1223" s="11" t="s">
        <v>143</v>
      </c>
      <c r="H1223" s="2" t="s">
        <v>2688</v>
      </c>
      <c r="I1223" s="29" t="s">
        <v>145</v>
      </c>
      <c r="J1223" s="8">
        <f>+Tabla1[[#This Row],[FECHA ENTRADA]]</f>
        <v>45441</v>
      </c>
      <c r="K1223" s="22">
        <v>45821</v>
      </c>
      <c r="L1223" s="13">
        <f>_xlfn.DAYS(Tabla1[[#This Row],[FECHA FIN ]],Tabla1[[#This Row],[FECHA INICIO]])</f>
        <v>380</v>
      </c>
      <c r="M1223" s="12"/>
      <c r="N1223" s="12"/>
      <c r="O1223" s="12">
        <f>(Tabla1[[#This Row],[COSTO FIJO ]]/30)*Tabla1[[#This Row],[TOTAL DIAS PROYECTO]]+(Tabla1[[#This Row],[COSTO TEMPORAL]])</f>
        <v>0</v>
      </c>
      <c r="P1223" s="12"/>
      <c r="Q1223" s="12">
        <f>+(Tabla1[[#This Row],[COSTO COCHE]]/30)*Tabla1[[#This Row],[TOTAL DIAS PROYECTO]]</f>
        <v>0</v>
      </c>
      <c r="R1223" s="12">
        <f>+Tabla1[[#This Row],[COSTO TOTAL ALOJAMIENTO]]+Tabla1[[#This Row],[COSTO TOTAL COCHE]]</f>
        <v>0</v>
      </c>
      <c r="S1223" s="2"/>
      <c r="T1223" s="2" t="s">
        <v>44</v>
      </c>
      <c r="U1223" s="14">
        <v>45441</v>
      </c>
      <c r="V1223" s="14">
        <v>45485</v>
      </c>
      <c r="W1223" s="26"/>
      <c r="X1223" s="2"/>
      <c r="Y1223" s="18" t="s">
        <v>367</v>
      </c>
      <c r="Z1223" s="2" t="s">
        <v>36</v>
      </c>
      <c r="AA1223" s="13" t="s">
        <v>10333</v>
      </c>
      <c r="AB1223" s="13" t="s">
        <v>10334</v>
      </c>
    </row>
    <row r="1224" spans="1:28" ht="15" customHeight="1">
      <c r="A1224" s="2" t="s">
        <v>9282</v>
      </c>
      <c r="B1224" s="2" t="s">
        <v>28</v>
      </c>
      <c r="C1224" s="18" t="s">
        <v>2690</v>
      </c>
      <c r="D1224" s="33" t="s">
        <v>78</v>
      </c>
      <c r="E1224" s="33" t="s">
        <v>79</v>
      </c>
      <c r="F1224" s="11" t="s">
        <v>142</v>
      </c>
      <c r="G1224" s="34" t="s">
        <v>143</v>
      </c>
      <c r="H1224" s="33" t="s">
        <v>366</v>
      </c>
      <c r="I1224" s="29" t="s">
        <v>145</v>
      </c>
      <c r="J1224" s="8">
        <f>+Tabla1[[#This Row],[FECHA ENTRADA]]</f>
        <v>45458</v>
      </c>
      <c r="K1224" s="22">
        <v>45821</v>
      </c>
      <c r="L1224" s="13">
        <f>_xlfn.DAYS(Tabla1[[#This Row],[FECHA FIN ]],Tabla1[[#This Row],[FECHA INICIO]])</f>
        <v>363</v>
      </c>
      <c r="M1224" s="12"/>
      <c r="N1224" s="36">
        <v>505.92</v>
      </c>
      <c r="O1224" s="36">
        <f>(Tabla1[[#This Row],[COSTO FIJO ]]/30)*Tabla1[[#This Row],[TOTAL DIAS PROYECTO]]+(Tabla1[[#This Row],[COSTO TEMPORAL]])</f>
        <v>6121.6320000000005</v>
      </c>
      <c r="P1224" s="36"/>
      <c r="Q1224" s="36">
        <f>+(Tabla1[[#This Row],[COSTO COCHE]]/30)*Tabla1[[#This Row],[TOTAL DIAS PROYECTO]]</f>
        <v>0</v>
      </c>
      <c r="R1224" s="36">
        <f>+Tabla1[[#This Row],[COSTO TOTAL ALOJAMIENTO]]+Tabla1[[#This Row],[COSTO TOTAL COCHE]]</f>
        <v>6121.6320000000005</v>
      </c>
      <c r="S1224" s="33"/>
      <c r="T1224" s="33" t="s">
        <v>44</v>
      </c>
      <c r="U1224" s="37">
        <v>45458</v>
      </c>
      <c r="V1224" s="37">
        <v>45488</v>
      </c>
      <c r="W1224" s="40"/>
      <c r="X1224" s="33">
        <v>13</v>
      </c>
      <c r="Y1224" s="18" t="s">
        <v>367</v>
      </c>
      <c r="Z1224" s="33" t="s">
        <v>36</v>
      </c>
      <c r="AA1224" s="13" t="s">
        <v>10333</v>
      </c>
      <c r="AB1224" s="13" t="s">
        <v>10334</v>
      </c>
    </row>
    <row r="1225" spans="1:28" ht="15" customHeight="1">
      <c r="A1225" s="2" t="s">
        <v>8638</v>
      </c>
      <c r="B1225" s="2" t="s">
        <v>28</v>
      </c>
      <c r="C1225" s="11" t="s">
        <v>2691</v>
      </c>
      <c r="D1225" s="2" t="s">
        <v>30</v>
      </c>
      <c r="E1225" s="2" t="s">
        <v>370</v>
      </c>
      <c r="F1225" s="11" t="s">
        <v>2692</v>
      </c>
      <c r="G1225" s="49"/>
      <c r="H1225" s="2" t="s">
        <v>405</v>
      </c>
      <c r="I1225" s="12" t="s">
        <v>406</v>
      </c>
      <c r="J1225" s="22">
        <v>45487</v>
      </c>
      <c r="K1225" s="22">
        <v>45821</v>
      </c>
      <c r="L1225" s="23">
        <f>_xlfn.DAYS(Tabla1[[#This Row],[FECHA FIN ]],Tabla1[[#This Row],[FECHA INICIO]])</f>
        <v>334</v>
      </c>
      <c r="M1225" s="12"/>
      <c r="N1225" s="12"/>
      <c r="O1225" s="24">
        <f>(Tabla1[[#This Row],[COSTO FIJO ]]/30)*Tabla1[[#This Row],[TOTAL DIAS PROYECTO]]+(Tabla1[[#This Row],[COSTO TEMPORAL]])</f>
        <v>0</v>
      </c>
      <c r="P1225" s="12"/>
      <c r="Q1225" s="12">
        <f>+(Tabla1[[#This Row],[COSTO COCHE]]/30)*Tabla1[[#This Row],[TOTAL DIAS PROYECTO]]</f>
        <v>0</v>
      </c>
      <c r="R1225" s="12">
        <f>+Tabla1[[#This Row],[COSTO TOTAL ALOJAMIENTO]]+Tabla1[[#This Row],[COSTO TOTAL COCHE]]</f>
        <v>0</v>
      </c>
      <c r="S1225" s="2"/>
      <c r="T1225" s="2" t="s">
        <v>44</v>
      </c>
      <c r="U1225" s="14">
        <v>45487</v>
      </c>
      <c r="V1225" s="25">
        <v>45489</v>
      </c>
      <c r="W1225" s="26"/>
      <c r="X1225" s="2"/>
      <c r="Y1225" s="11"/>
      <c r="Z1225" s="2" t="s">
        <v>36</v>
      </c>
      <c r="AA1225" s="13" t="s">
        <v>10368</v>
      </c>
      <c r="AB1225" s="13" t="s">
        <v>10369</v>
      </c>
    </row>
    <row r="1226" spans="1:28" ht="15" customHeight="1">
      <c r="A1226" s="2" t="s">
        <v>9283</v>
      </c>
      <c r="B1226" s="2" t="s">
        <v>28</v>
      </c>
      <c r="C1226" s="11" t="s">
        <v>2693</v>
      </c>
      <c r="D1226" s="2" t="s">
        <v>30</v>
      </c>
      <c r="E1226" s="2" t="s">
        <v>370</v>
      </c>
      <c r="F1226" s="11" t="s">
        <v>404</v>
      </c>
      <c r="G1226" s="11">
        <v>968324324</v>
      </c>
      <c r="H1226" s="2" t="s">
        <v>405</v>
      </c>
      <c r="I1226" s="12" t="s">
        <v>406</v>
      </c>
      <c r="J1226" s="8">
        <f>+Tabla1[[#This Row],[FECHA ENTRADA]]</f>
        <v>45487</v>
      </c>
      <c r="K1226" s="22">
        <v>45821</v>
      </c>
      <c r="L1226" s="13">
        <f>_xlfn.DAYS(Tabla1[[#This Row],[FECHA FIN ]],Tabla1[[#This Row],[FECHA INICIO]])</f>
        <v>334</v>
      </c>
      <c r="M1226" s="12"/>
      <c r="N1226" s="12">
        <f>1811.6/17</f>
        <v>106.56470588235294</v>
      </c>
      <c r="O1226" s="12">
        <f>(Tabla1[[#This Row],[COSTO FIJO ]]/30)*Tabla1[[#This Row],[TOTAL DIAS PROYECTO]]+(Tabla1[[#This Row],[COSTO TEMPORAL]])</f>
        <v>1186.4203921568628</v>
      </c>
      <c r="P1226" s="12"/>
      <c r="Q1226" s="12">
        <f>+(Tabla1[[#This Row],[COSTO COCHE]]/30)*Tabla1[[#This Row],[TOTAL DIAS PROYECTO]]</f>
        <v>0</v>
      </c>
      <c r="R1226" s="12">
        <f>+Tabla1[[#This Row],[COSTO TOTAL ALOJAMIENTO]]+Tabla1[[#This Row],[COSTO TOTAL COCHE]]</f>
        <v>1186.4203921568628</v>
      </c>
      <c r="S1226" s="2"/>
      <c r="T1226" s="2" t="s">
        <v>44</v>
      </c>
      <c r="U1226" s="14">
        <v>45487</v>
      </c>
      <c r="V1226" s="14">
        <v>45490</v>
      </c>
      <c r="W1226" s="26"/>
      <c r="X1226" s="2"/>
      <c r="Y1226" s="18" t="s">
        <v>407</v>
      </c>
      <c r="Z1226" s="2" t="s">
        <v>36</v>
      </c>
      <c r="AA1226" s="13" t="s">
        <v>10368</v>
      </c>
      <c r="AB1226" s="13" t="s">
        <v>10369</v>
      </c>
    </row>
    <row r="1227" spans="1:28" ht="15" customHeight="1">
      <c r="A1227" s="2" t="s">
        <v>9284</v>
      </c>
      <c r="B1227" s="2" t="s">
        <v>978</v>
      </c>
      <c r="C1227" s="11" t="s">
        <v>2694</v>
      </c>
      <c r="D1227" s="2" t="s">
        <v>99</v>
      </c>
      <c r="E1227" s="2" t="s">
        <v>422</v>
      </c>
      <c r="F1227" s="11" t="s">
        <v>1375</v>
      </c>
      <c r="G1227" t="s">
        <v>1376</v>
      </c>
      <c r="H1227" s="2" t="s">
        <v>1431</v>
      </c>
      <c r="I1227" s="12" t="s">
        <v>2473</v>
      </c>
      <c r="J1227" s="41">
        <f>+Tabla1[[#This Row],[FECHA ENTRADA]]</f>
        <v>45747</v>
      </c>
      <c r="K1227" s="41">
        <v>45943</v>
      </c>
      <c r="L1227" s="42">
        <f>_xlfn.DAYS(Tabla1[[#This Row],[FECHA FIN ]],Tabla1[[#This Row],[FECHA INICIO]])</f>
        <v>196</v>
      </c>
      <c r="M1227" s="12"/>
      <c r="N1227" s="12"/>
      <c r="O1227" s="28">
        <f>(Tabla1[[#This Row],[COSTO FIJO ]]/30)*Tabla1[[#This Row],[TOTAL DIAS PROYECTO]]+(Tabla1[[#This Row],[COSTO TEMPORAL]])</f>
        <v>0</v>
      </c>
      <c r="P1227" s="12"/>
      <c r="Q1227" s="12">
        <f>+(Tabla1[[#This Row],[COSTO COCHE]]/30)*Tabla1[[#This Row],[TOTAL DIAS PROYECTO]]</f>
        <v>0</v>
      </c>
      <c r="R1227" s="12">
        <f>+Tabla1[[#This Row],[COSTO TOTAL ALOJAMIENTO]]+Tabla1[[#This Row],[COSTO TOTAL COCHE]]</f>
        <v>0</v>
      </c>
      <c r="S1227" s="2"/>
      <c r="T1227" s="2" t="s">
        <v>35</v>
      </c>
      <c r="U1227" s="14">
        <v>45747</v>
      </c>
      <c r="V1227" s="43"/>
      <c r="W1227" s="26"/>
      <c r="X1227" s="2">
        <v>5</v>
      </c>
      <c r="Y1227" s="11" t="s">
        <v>2695</v>
      </c>
      <c r="Z1227" s="2" t="s">
        <v>36</v>
      </c>
      <c r="AA1227" s="13">
        <v>-326.69799999999998</v>
      </c>
      <c r="AB1227" s="13" t="s">
        <v>10373</v>
      </c>
    </row>
    <row r="1228" spans="1:28" ht="15" customHeight="1">
      <c r="A1228" s="2" t="s">
        <v>8943</v>
      </c>
      <c r="B1228" s="2" t="s">
        <v>28</v>
      </c>
      <c r="C1228" s="11" t="s">
        <v>1377</v>
      </c>
      <c r="D1228" s="2" t="s">
        <v>99</v>
      </c>
      <c r="E1228" s="2" t="s">
        <v>422</v>
      </c>
      <c r="F1228" s="11" t="s">
        <v>2696</v>
      </c>
      <c r="G1228" s="21" t="s">
        <v>2697</v>
      </c>
      <c r="H1228" s="2" t="s">
        <v>2698</v>
      </c>
      <c r="I1228" s="10" t="s">
        <v>943</v>
      </c>
      <c r="J1228" s="22">
        <f>+Tabla1[[#This Row],[FECHA ENTRADA]]</f>
        <v>45753</v>
      </c>
      <c r="K1228" s="22">
        <v>45758</v>
      </c>
      <c r="L1228" s="23">
        <f>_xlfn.DAYS(Tabla1[[#This Row],[FECHA FIN ]],Tabla1[[#This Row],[FECHA INICIO]])</f>
        <v>5</v>
      </c>
      <c r="M1228" s="12"/>
      <c r="N1228" s="20"/>
      <c r="O1228" s="24">
        <f>(Tabla1[[#This Row],[COSTO FIJO ]]/30)*Tabla1[[#This Row],[TOTAL DIAS PROYECTO]]+(Tabla1[[#This Row],[COSTO TEMPORAL]])</f>
        <v>0</v>
      </c>
      <c r="P1228" s="12"/>
      <c r="Q1228" s="12">
        <f>+(Tabla1[[#This Row],[COSTO COCHE]]/30)*Tabla1[[#This Row],[TOTAL DIAS PROYECTO]]</f>
        <v>0</v>
      </c>
      <c r="R1228" s="12">
        <f>+Tabla1[[#This Row],[COSTO TOTAL ALOJAMIENTO]]+Tabla1[[#This Row],[COSTO TOTAL COCHE]]</f>
        <v>0</v>
      </c>
      <c r="S1228" s="2" t="s">
        <v>403</v>
      </c>
      <c r="T1228" s="14" t="s">
        <v>44</v>
      </c>
      <c r="U1228" s="14">
        <v>45753</v>
      </c>
      <c r="V1228" s="14">
        <v>45758</v>
      </c>
      <c r="W1228" s="2"/>
      <c r="X1228" s="2"/>
      <c r="Y1228" s="11" t="s">
        <v>1166</v>
      </c>
      <c r="Z1228" s="2" t="s">
        <v>36</v>
      </c>
      <c r="AA1228" s="13">
        <v>-326.69799999999998</v>
      </c>
      <c r="AB1228" s="13" t="s">
        <v>10373</v>
      </c>
    </row>
    <row r="1229" spans="1:28">
      <c r="A1229" s="2" t="s">
        <v>9166</v>
      </c>
      <c r="B1229" s="2" t="s">
        <v>28</v>
      </c>
      <c r="C1229" s="104" t="s">
        <v>2291</v>
      </c>
      <c r="D1229" s="2" t="s">
        <v>30</v>
      </c>
      <c r="E1229" s="2" t="s">
        <v>648</v>
      </c>
      <c r="F1229" s="11" t="s">
        <v>649</v>
      </c>
      <c r="G1229" s="49" t="s">
        <v>650</v>
      </c>
      <c r="H1229" s="2" t="s">
        <v>651</v>
      </c>
      <c r="I1229" s="12" t="s">
        <v>96</v>
      </c>
      <c r="J1229" s="41">
        <f>+Tabla1[[#This Row],[FECHA ENTRADA]]</f>
        <v>45580</v>
      </c>
      <c r="K1229" s="41">
        <v>45710</v>
      </c>
      <c r="L1229" s="42">
        <f>_xlfn.DAYS(Tabla1[[#This Row],[FECHA FIN ]],Tabla1[[#This Row],[FECHA INICIO]])</f>
        <v>130</v>
      </c>
      <c r="M1229" s="12"/>
      <c r="N1229" s="12">
        <v>100</v>
      </c>
      <c r="O1229" s="24">
        <f>(Tabla1[[#This Row],[COSTO FIJO ]]/30)*Tabla1[[#This Row],[TOTAL DIAS PROYECTO]]+(Tabla1[[#This Row],[COSTO TEMPORAL]])</f>
        <v>433.33333333333337</v>
      </c>
      <c r="P1229" s="12"/>
      <c r="Q1229" s="12">
        <f>+(Tabla1[[#This Row],[COSTO COCHE]]/30)*Tabla1[[#This Row],[TOTAL DIAS PROYECTO]]</f>
        <v>0</v>
      </c>
      <c r="R1229" s="12">
        <f>+Tabla1[[#This Row],[COSTO TOTAL ALOJAMIENTO]]+Tabla1[[#This Row],[COSTO TOTAL COCHE]]</f>
        <v>433.33333333333337</v>
      </c>
      <c r="S1229" s="2"/>
      <c r="T1229" s="2" t="s">
        <v>35</v>
      </c>
      <c r="U1229" s="14">
        <v>45580</v>
      </c>
      <c r="V1229" s="43"/>
      <c r="W1229" s="26"/>
      <c r="X1229" s="2">
        <v>17</v>
      </c>
      <c r="Y1229" s="11" t="s">
        <v>1166</v>
      </c>
      <c r="Z1229" s="2" t="s">
        <v>36</v>
      </c>
      <c r="AA1229" s="13" t="s">
        <v>10387</v>
      </c>
      <c r="AB1229" s="13" t="s">
        <v>10388</v>
      </c>
    </row>
    <row r="1230" spans="1:28" ht="15" customHeight="1">
      <c r="A1230" s="2" t="s">
        <v>9285</v>
      </c>
      <c r="B1230" s="2" t="s">
        <v>28</v>
      </c>
      <c r="C1230" s="104" t="s">
        <v>2699</v>
      </c>
      <c r="D1230" s="2" t="s">
        <v>30</v>
      </c>
      <c r="E1230" s="2" t="s">
        <v>443</v>
      </c>
      <c r="F1230" s="11" t="s">
        <v>444</v>
      </c>
      <c r="G1230" s="11"/>
      <c r="H1230" s="2" t="s">
        <v>445</v>
      </c>
      <c r="I1230" s="12" t="s">
        <v>279</v>
      </c>
      <c r="J1230" s="8">
        <f>+Tabla1[[#This Row],[FECHA ENTRADA]]</f>
        <v>45480</v>
      </c>
      <c r="K1230" s="22">
        <v>45821</v>
      </c>
      <c r="L1230" s="13">
        <f>_xlfn.DAYS(Tabla1[[#This Row],[FECHA FIN ]],Tabla1[[#This Row],[FECHA INICIO]])</f>
        <v>341</v>
      </c>
      <c r="M1230" s="12"/>
      <c r="N1230" s="12"/>
      <c r="O1230" s="12">
        <f>(Tabla1[[#This Row],[COSTO FIJO ]]/30)*Tabla1[[#This Row],[TOTAL DIAS PROYECTO]]+(Tabla1[[#This Row],[COSTO TEMPORAL]])</f>
        <v>0</v>
      </c>
      <c r="P1230" s="12"/>
      <c r="Q1230" s="12">
        <f>+(Tabla1[[#This Row],[COSTO COCHE]]/30)*Tabla1[[#This Row],[TOTAL DIAS PROYECTO]]</f>
        <v>0</v>
      </c>
      <c r="R1230" s="12">
        <f>+Tabla1[[#This Row],[COSTO TOTAL ALOJAMIENTO]]+Tabla1[[#This Row],[COSTO TOTAL COCHE]]</f>
        <v>0</v>
      </c>
      <c r="S1230" s="2"/>
      <c r="T1230" s="2" t="s">
        <v>44</v>
      </c>
      <c r="U1230" s="14">
        <v>45480</v>
      </c>
      <c r="V1230" s="14">
        <v>45499</v>
      </c>
      <c r="W1230" s="26"/>
      <c r="X1230" s="2"/>
      <c r="Y1230" s="18" t="s">
        <v>446</v>
      </c>
      <c r="Z1230" s="2" t="s">
        <v>36</v>
      </c>
      <c r="AA1230" s="13" t="s">
        <v>10376</v>
      </c>
      <c r="AB1230" s="13">
        <v>38.4</v>
      </c>
    </row>
    <row r="1231" spans="1:28" ht="15" customHeight="1">
      <c r="A1231" s="2" t="s">
        <v>9007</v>
      </c>
      <c r="B1231" s="2" t="s">
        <v>28</v>
      </c>
      <c r="C1231" s="11" t="s">
        <v>1680</v>
      </c>
      <c r="D1231" s="2" t="s">
        <v>30</v>
      </c>
      <c r="E1231" s="2" t="s">
        <v>443</v>
      </c>
      <c r="F1231" s="11" t="s">
        <v>444</v>
      </c>
      <c r="G1231" s="11"/>
      <c r="H1231" s="2" t="s">
        <v>445</v>
      </c>
      <c r="I1231" s="12" t="s">
        <v>279</v>
      </c>
      <c r="J1231" s="8">
        <f>+Tabla1[[#This Row],[FECHA ENTRADA]]</f>
        <v>45480</v>
      </c>
      <c r="K1231" s="22">
        <v>45821</v>
      </c>
      <c r="L1231" s="13">
        <f>_xlfn.DAYS(Tabla1[[#This Row],[FECHA FIN ]],Tabla1[[#This Row],[FECHA INICIO]])</f>
        <v>341</v>
      </c>
      <c r="M1231" s="12"/>
      <c r="N1231" s="12"/>
      <c r="O1231" s="12">
        <f>(Tabla1[[#This Row],[COSTO FIJO ]]/30)*Tabla1[[#This Row],[TOTAL DIAS PROYECTO]]+(Tabla1[[#This Row],[COSTO TEMPORAL]])</f>
        <v>0</v>
      </c>
      <c r="P1231" s="12"/>
      <c r="Q1231" s="12">
        <f>+(Tabla1[[#This Row],[COSTO COCHE]]/30)*Tabla1[[#This Row],[TOTAL DIAS PROYECTO]]</f>
        <v>0</v>
      </c>
      <c r="R1231" s="12">
        <f>+Tabla1[[#This Row],[COSTO TOTAL ALOJAMIENTO]]+Tabla1[[#This Row],[COSTO TOTAL COCHE]]</f>
        <v>0</v>
      </c>
      <c r="S1231" s="2"/>
      <c r="T1231" s="2" t="s">
        <v>44</v>
      </c>
      <c r="U1231" s="14">
        <v>45480</v>
      </c>
      <c r="V1231" s="14">
        <v>45499</v>
      </c>
      <c r="W1231" s="26"/>
      <c r="X1231" s="2"/>
      <c r="Y1231" s="18" t="s">
        <v>446</v>
      </c>
      <c r="Z1231" s="2" t="s">
        <v>36</v>
      </c>
      <c r="AA1231" s="13" t="s">
        <v>10376</v>
      </c>
      <c r="AB1231" s="13">
        <v>38.4</v>
      </c>
    </row>
    <row r="1232" spans="1:28" ht="15" customHeight="1">
      <c r="A1232" s="2" t="s">
        <v>9286</v>
      </c>
      <c r="B1232" s="2" t="s">
        <v>28</v>
      </c>
      <c r="C1232" s="11" t="s">
        <v>2700</v>
      </c>
      <c r="D1232" s="2" t="s">
        <v>30</v>
      </c>
      <c r="E1232" s="2" t="s">
        <v>443</v>
      </c>
      <c r="F1232" s="11" t="s">
        <v>444</v>
      </c>
      <c r="G1232" s="11"/>
      <c r="H1232" s="2" t="s">
        <v>445</v>
      </c>
      <c r="I1232" s="12" t="s">
        <v>279</v>
      </c>
      <c r="J1232" s="8">
        <f>+Tabla1[[#This Row],[FECHA ENTRADA]]</f>
        <v>45480</v>
      </c>
      <c r="K1232" s="22">
        <v>45821</v>
      </c>
      <c r="L1232" s="13">
        <f>_xlfn.DAYS(Tabla1[[#This Row],[FECHA FIN ]],Tabla1[[#This Row],[FECHA INICIO]])</f>
        <v>341</v>
      </c>
      <c r="M1232" s="12"/>
      <c r="N1232" s="12">
        <f>1811.6/17</f>
        <v>106.56470588235294</v>
      </c>
      <c r="O1232" s="12">
        <f>(Tabla1[[#This Row],[COSTO FIJO ]]/30)*Tabla1[[#This Row],[TOTAL DIAS PROYECTO]]+(Tabla1[[#This Row],[COSTO TEMPORAL]])</f>
        <v>1211.2854901960784</v>
      </c>
      <c r="P1232" s="12"/>
      <c r="Q1232" s="12">
        <f>+(Tabla1[[#This Row],[COSTO COCHE]]/30)*Tabla1[[#This Row],[TOTAL DIAS PROYECTO]]</f>
        <v>0</v>
      </c>
      <c r="R1232" s="12">
        <f>+Tabla1[[#This Row],[COSTO TOTAL ALOJAMIENTO]]+Tabla1[[#This Row],[COSTO TOTAL COCHE]]</f>
        <v>1211.2854901960784</v>
      </c>
      <c r="S1232" s="2"/>
      <c r="T1232" s="2" t="s">
        <v>44</v>
      </c>
      <c r="U1232" s="14">
        <v>45480</v>
      </c>
      <c r="V1232" s="14">
        <v>45499</v>
      </c>
      <c r="W1232" s="26"/>
      <c r="X1232" s="2"/>
      <c r="Y1232" s="18" t="s">
        <v>446</v>
      </c>
      <c r="Z1232" s="2" t="s">
        <v>36</v>
      </c>
      <c r="AA1232" s="13" t="s">
        <v>10376</v>
      </c>
      <c r="AB1232" s="13">
        <v>38.4</v>
      </c>
    </row>
    <row r="1233" spans="1:28" ht="15" customHeight="1">
      <c r="A1233" s="2" t="s">
        <v>9243</v>
      </c>
      <c r="B1233" s="2" t="s">
        <v>28</v>
      </c>
      <c r="C1233" s="18" t="s">
        <v>2563</v>
      </c>
      <c r="D1233" s="2" t="s">
        <v>30</v>
      </c>
      <c r="E1233" s="2" t="s">
        <v>443</v>
      </c>
      <c r="F1233" s="11" t="s">
        <v>444</v>
      </c>
      <c r="G1233" s="11"/>
      <c r="H1233" s="2" t="s">
        <v>445</v>
      </c>
      <c r="I1233" s="12" t="s">
        <v>279</v>
      </c>
      <c r="J1233" s="8">
        <f>+Tabla1[[#This Row],[FECHA ENTRADA]]</f>
        <v>45480</v>
      </c>
      <c r="K1233" s="22">
        <v>45821</v>
      </c>
      <c r="L1233" s="13">
        <f>_xlfn.DAYS(Tabla1[[#This Row],[FECHA FIN ]],Tabla1[[#This Row],[FECHA INICIO]])</f>
        <v>341</v>
      </c>
      <c r="M1233" s="12"/>
      <c r="N1233" s="24"/>
      <c r="O1233" s="12">
        <f>(Tabla1[[#This Row],[COSTO FIJO ]]/30)*Tabla1[[#This Row],[TOTAL DIAS PROYECTO]]+(Tabla1[[#This Row],[COSTO TEMPORAL]])</f>
        <v>0</v>
      </c>
      <c r="P1233" s="12"/>
      <c r="Q1233" s="12">
        <f>+(Tabla1[[#This Row],[COSTO COCHE]]/30)*Tabla1[[#This Row],[TOTAL DIAS PROYECTO]]</f>
        <v>0</v>
      </c>
      <c r="R1233" s="12">
        <f>+Tabla1[[#This Row],[COSTO TOTAL ALOJAMIENTO]]+Tabla1[[#This Row],[COSTO TOTAL COCHE]]</f>
        <v>0</v>
      </c>
      <c r="S1233" s="2"/>
      <c r="T1233" s="2" t="s">
        <v>44</v>
      </c>
      <c r="U1233" s="14">
        <v>45480</v>
      </c>
      <c r="V1233" s="14">
        <v>45499</v>
      </c>
      <c r="W1233" s="26"/>
      <c r="X1233" s="2"/>
      <c r="Y1233" s="18" t="s">
        <v>446</v>
      </c>
      <c r="Z1233" s="2" t="s">
        <v>36</v>
      </c>
      <c r="AA1233" s="13" t="s">
        <v>10376</v>
      </c>
      <c r="AB1233" s="13">
        <v>38.4</v>
      </c>
    </row>
    <row r="1234" spans="1:28" ht="15" customHeight="1">
      <c r="A1234" s="2" t="s">
        <v>9287</v>
      </c>
      <c r="B1234" s="2" t="s">
        <v>28</v>
      </c>
      <c r="C1234" s="18" t="s">
        <v>2701</v>
      </c>
      <c r="D1234" s="2" t="s">
        <v>30</v>
      </c>
      <c r="E1234" s="2" t="s">
        <v>31</v>
      </c>
      <c r="F1234" s="11" t="s">
        <v>1004</v>
      </c>
      <c r="G1234" s="51" t="s">
        <v>1005</v>
      </c>
      <c r="H1234" s="2" t="s">
        <v>532</v>
      </c>
      <c r="I1234" s="12" t="s">
        <v>527</v>
      </c>
      <c r="J1234" s="8">
        <f>+Tabla1[[#This Row],[FECHA ENTRADA]]</f>
        <v>45517</v>
      </c>
      <c r="K1234" s="22">
        <v>45821</v>
      </c>
      <c r="L1234" s="13">
        <f>_xlfn.DAYS(Tabla1[[#This Row],[FECHA FIN ]],Tabla1[[#This Row],[FECHA INICIO]])</f>
        <v>304</v>
      </c>
      <c r="M1234" s="12"/>
      <c r="N1234" s="12">
        <f>1811.6/17</f>
        <v>106.56470588235294</v>
      </c>
      <c r="O1234" s="12">
        <f>(Tabla1[[#This Row],[COSTO FIJO ]]/30)*Tabla1[[#This Row],[TOTAL DIAS PROYECTO]]+(Tabla1[[#This Row],[COSTO TEMPORAL]])</f>
        <v>1079.8556862745099</v>
      </c>
      <c r="P1234" s="12">
        <f>+(((800*3)+520.54)*50%)/19</f>
        <v>76.856315789473683</v>
      </c>
      <c r="Q1234" s="12">
        <f>+(Tabla1[[#This Row],[COSTO COCHE]]/30)*Tabla1[[#This Row],[TOTAL DIAS PROYECTO]]</f>
        <v>778.81066666666663</v>
      </c>
      <c r="R1234" s="12">
        <f>+Tabla1[[#This Row],[COSTO TOTAL ALOJAMIENTO]]+Tabla1[[#This Row],[COSTO TOTAL COCHE]]</f>
        <v>1858.6663529411767</v>
      </c>
      <c r="S1234" s="2"/>
      <c r="T1234" s="2" t="s">
        <v>35</v>
      </c>
      <c r="U1234" s="14">
        <v>45517</v>
      </c>
      <c r="V1234" s="14"/>
      <c r="W1234" s="26"/>
      <c r="X1234" s="2">
        <v>1</v>
      </c>
      <c r="Y1234" s="11" t="s">
        <v>2702</v>
      </c>
      <c r="Z1234" s="2" t="s">
        <v>36</v>
      </c>
      <c r="AA1234" s="13" t="s">
        <v>10323</v>
      </c>
      <c r="AB1234" s="13" t="s">
        <v>10324</v>
      </c>
    </row>
    <row r="1235" spans="1:28" ht="15" customHeight="1">
      <c r="A1235" s="2" t="s">
        <v>9122</v>
      </c>
      <c r="B1235" s="2" t="s">
        <v>28</v>
      </c>
      <c r="C1235" s="104" t="s">
        <v>2093</v>
      </c>
      <c r="D1235" s="2" t="s">
        <v>30</v>
      </c>
      <c r="E1235" s="2" t="s">
        <v>443</v>
      </c>
      <c r="F1235" s="11" t="s">
        <v>444</v>
      </c>
      <c r="G1235" s="11"/>
      <c r="H1235" s="2" t="s">
        <v>445</v>
      </c>
      <c r="I1235" s="12" t="s">
        <v>279</v>
      </c>
      <c r="J1235" s="8">
        <f>+Tabla1[[#This Row],[FECHA ENTRADA]]</f>
        <v>45480</v>
      </c>
      <c r="K1235" s="22">
        <v>45507</v>
      </c>
      <c r="L1235" s="13">
        <f>_xlfn.DAYS(Tabla1[[#This Row],[FECHA FIN ]],Tabla1[[#This Row],[FECHA INICIO]])</f>
        <v>27</v>
      </c>
      <c r="M1235" s="12"/>
      <c r="N1235" s="20"/>
      <c r="O1235" s="12">
        <f>(Tabla1[[#This Row],[COSTO FIJO ]]/30)*Tabla1[[#This Row],[TOTAL DIAS PROYECTO]]+(Tabla1[[#This Row],[COSTO TEMPORAL]])</f>
        <v>0</v>
      </c>
      <c r="P1235" s="12"/>
      <c r="Q1235" s="12">
        <f>+(Tabla1[[#This Row],[COSTO COCHE]]/30)*Tabla1[[#This Row],[TOTAL DIAS PROYECTO]]</f>
        <v>0</v>
      </c>
      <c r="R1235" s="12">
        <f>+Tabla1[[#This Row],[COSTO TOTAL ALOJAMIENTO]]+Tabla1[[#This Row],[COSTO TOTAL COCHE]]</f>
        <v>0</v>
      </c>
      <c r="S1235" s="2"/>
      <c r="T1235" s="2" t="s">
        <v>44</v>
      </c>
      <c r="U1235" s="14">
        <v>45480</v>
      </c>
      <c r="V1235" s="14">
        <v>45499</v>
      </c>
      <c r="W1235" s="26"/>
      <c r="X1235" s="2"/>
      <c r="Y1235" s="18" t="s">
        <v>446</v>
      </c>
      <c r="Z1235" s="2" t="s">
        <v>36</v>
      </c>
      <c r="AA1235" s="13" t="s">
        <v>10376</v>
      </c>
      <c r="AB1235" s="13">
        <v>38.4</v>
      </c>
    </row>
    <row r="1236" spans="1:28" ht="15" customHeight="1">
      <c r="A1236" s="2" t="s">
        <v>9067</v>
      </c>
      <c r="B1236" s="2" t="s">
        <v>28</v>
      </c>
      <c r="C1236" s="11" t="s">
        <v>1860</v>
      </c>
      <c r="D1236" s="2" t="s">
        <v>30</v>
      </c>
      <c r="E1236" s="2" t="s">
        <v>626</v>
      </c>
      <c r="F1236" s="11"/>
      <c r="G1236" s="49"/>
      <c r="H1236" s="2" t="s">
        <v>868</v>
      </c>
      <c r="I1236" s="12" t="s">
        <v>570</v>
      </c>
      <c r="J1236" s="22">
        <f>+Tabla1[[#This Row],[FECHA ENTRADA]]</f>
        <v>45496</v>
      </c>
      <c r="K1236" s="22">
        <v>45821</v>
      </c>
      <c r="L1236" s="23">
        <f>_xlfn.DAYS(Tabla1[[#This Row],[FECHA FIN ]],Tabla1[[#This Row],[FECHA INICIO]])</f>
        <v>325</v>
      </c>
      <c r="M1236" s="12"/>
      <c r="N1236" s="12"/>
      <c r="O1236" s="24">
        <f>(Tabla1[[#This Row],[COSTO FIJO ]]/30)*Tabla1[[#This Row],[TOTAL DIAS PROYECTO]]+(Tabla1[[#This Row],[COSTO TEMPORAL]])</f>
        <v>0</v>
      </c>
      <c r="P1236" s="12"/>
      <c r="Q1236" s="12">
        <f>+(Tabla1[[#This Row],[COSTO COCHE]]/30)*Tabla1[[#This Row],[TOTAL DIAS PROYECTO]]</f>
        <v>0</v>
      </c>
      <c r="R1236" s="12">
        <f>+Tabla1[[#This Row],[COSTO TOTAL ALOJAMIENTO]]+Tabla1[[#This Row],[COSTO TOTAL COCHE]]</f>
        <v>0</v>
      </c>
      <c r="S1236" s="2"/>
      <c r="T1236" s="2" t="s">
        <v>44</v>
      </c>
      <c r="U1236" s="14">
        <v>45496</v>
      </c>
      <c r="V1236" s="25">
        <v>45500</v>
      </c>
      <c r="W1236" s="26"/>
      <c r="X1236" s="2"/>
      <c r="Y1236" s="11"/>
      <c r="Z1236" s="2" t="s">
        <v>36</v>
      </c>
      <c r="AA1236" s="13" t="s">
        <v>10385</v>
      </c>
      <c r="AB1236" s="13" t="s">
        <v>10386</v>
      </c>
    </row>
    <row r="1237" spans="1:28" ht="15" customHeight="1">
      <c r="A1237" s="2" t="s">
        <v>9288</v>
      </c>
      <c r="B1237" s="2" t="s">
        <v>368</v>
      </c>
      <c r="C1237" s="18" t="s">
        <v>2703</v>
      </c>
      <c r="D1237" s="2" t="s">
        <v>30</v>
      </c>
      <c r="E1237" s="2" t="s">
        <v>538</v>
      </c>
      <c r="F1237" s="11" t="s">
        <v>539</v>
      </c>
      <c r="G1237" s="11" t="s">
        <v>540</v>
      </c>
      <c r="H1237" s="2" t="s">
        <v>2019</v>
      </c>
      <c r="I1237" s="12" t="s">
        <v>843</v>
      </c>
      <c r="J1237" s="41">
        <v>45564</v>
      </c>
      <c r="K1237" s="22">
        <v>45821</v>
      </c>
      <c r="L1237" s="13">
        <f>_xlfn.DAYS(Tabla1[[#This Row],[FECHA FIN ]],Tabla1[[#This Row],[FECHA INICIO]])</f>
        <v>257</v>
      </c>
      <c r="M1237" s="12"/>
      <c r="N1237" s="28"/>
      <c r="O1237" s="28">
        <f>(Tabla1[[#This Row],[COSTO FIJO ]]/30)*Tabla1[[#This Row],[TOTAL DIAS PROYECTO]]+(Tabla1[[#This Row],[COSTO TEMPORAL]])</f>
        <v>0</v>
      </c>
      <c r="P1237" s="12"/>
      <c r="Q1237" s="12">
        <f>+(Tabla1[[#This Row],[COSTO COCHE]]/30)*Tabla1[[#This Row],[TOTAL DIAS PROYECTO]]</f>
        <v>0</v>
      </c>
      <c r="R1237" s="12">
        <f>+Tabla1[[#This Row],[COSTO TOTAL ALOJAMIENTO]]+Tabla1[[#This Row],[COSTO TOTAL COCHE]]</f>
        <v>0</v>
      </c>
      <c r="S1237" s="2"/>
      <c r="T1237" s="2" t="s">
        <v>35</v>
      </c>
      <c r="U1237" s="14">
        <v>45565</v>
      </c>
      <c r="V1237" s="75"/>
      <c r="W1237" s="26">
        <v>800</v>
      </c>
      <c r="X1237" s="2">
        <v>1</v>
      </c>
      <c r="Y1237" s="11"/>
      <c r="Z1237" s="2" t="s">
        <v>36</v>
      </c>
      <c r="AA1237" s="13">
        <v>-378939</v>
      </c>
      <c r="AB1237" s="13">
        <v>3776578</v>
      </c>
    </row>
    <row r="1238" spans="1:28" ht="15" customHeight="1">
      <c r="A1238" s="2" t="s">
        <v>8676</v>
      </c>
      <c r="B1238" s="2" t="s">
        <v>28</v>
      </c>
      <c r="C1238" s="18" t="s">
        <v>244</v>
      </c>
      <c r="D1238" s="2" t="s">
        <v>30</v>
      </c>
      <c r="E1238" s="2" t="s">
        <v>31</v>
      </c>
      <c r="F1238" s="11"/>
      <c r="G1238" s="11"/>
      <c r="H1238" s="2" t="s">
        <v>2416</v>
      </c>
      <c r="I1238" s="2" t="s">
        <v>52</v>
      </c>
      <c r="J1238" s="8">
        <f>+Tabla1[[#This Row],[FECHA ENTRADA]]</f>
        <v>45473</v>
      </c>
      <c r="K1238" s="22">
        <v>45821</v>
      </c>
      <c r="L1238" s="13">
        <f>_xlfn.DAYS(Tabla1[[#This Row],[FECHA FIN ]],Tabla1[[#This Row],[FECHA INICIO]])</f>
        <v>348</v>
      </c>
      <c r="M1238" s="12"/>
      <c r="N1238" s="12">
        <f>1811.6/17</f>
        <v>106.56470588235294</v>
      </c>
      <c r="O1238" s="12">
        <f>(Tabla1[[#This Row],[COSTO FIJO ]]/30)*Tabla1[[#This Row],[TOTAL DIAS PROYECTO]]+(Tabla1[[#This Row],[COSTO TEMPORAL]])</f>
        <v>1236.1505882352942</v>
      </c>
      <c r="P1238" s="12"/>
      <c r="Q1238" s="12">
        <f>+(Tabla1[[#This Row],[COSTO COCHE]]/30)*Tabla1[[#This Row],[TOTAL DIAS PROYECTO]]</f>
        <v>0</v>
      </c>
      <c r="R1238" s="12">
        <f>+Tabla1[[#This Row],[COSTO TOTAL ALOJAMIENTO]]+Tabla1[[#This Row],[COSTO TOTAL COCHE]]</f>
        <v>1236.1505882352942</v>
      </c>
      <c r="S1238" s="2"/>
      <c r="T1238" s="2" t="s">
        <v>44</v>
      </c>
      <c r="U1238" s="14">
        <v>45473</v>
      </c>
      <c r="V1238" s="14">
        <v>45501</v>
      </c>
      <c r="W1238" s="26">
        <v>340</v>
      </c>
      <c r="X1238" s="2"/>
      <c r="Y1238" s="18" t="s">
        <v>2704</v>
      </c>
      <c r="Z1238" s="33" t="s">
        <v>36</v>
      </c>
      <c r="AA1238" s="13" t="s">
        <v>10323</v>
      </c>
      <c r="AB1238" s="13" t="s">
        <v>10324</v>
      </c>
    </row>
    <row r="1239" spans="1:28" ht="15" customHeight="1">
      <c r="A1239" s="2" t="s">
        <v>9289</v>
      </c>
      <c r="B1239" s="2" t="s">
        <v>28</v>
      </c>
      <c r="C1239" s="18" t="s">
        <v>2705</v>
      </c>
      <c r="D1239" s="2" t="s">
        <v>30</v>
      </c>
      <c r="E1239" s="2" t="s">
        <v>31</v>
      </c>
      <c r="F1239" s="11"/>
      <c r="G1239" s="11"/>
      <c r="H1239" s="2" t="s">
        <v>2416</v>
      </c>
      <c r="I1239" s="2" t="s">
        <v>52</v>
      </c>
      <c r="J1239" s="8">
        <f>+Tabla1[[#This Row],[FECHA ENTRADA]]</f>
        <v>45473</v>
      </c>
      <c r="K1239" s="22">
        <v>45821</v>
      </c>
      <c r="L1239" s="13">
        <f>_xlfn.DAYS(Tabla1[[#This Row],[FECHA FIN ]],Tabla1[[#This Row],[FECHA INICIO]])</f>
        <v>348</v>
      </c>
      <c r="M1239" s="12"/>
      <c r="N1239" s="20"/>
      <c r="O1239" s="12">
        <f>(Tabla1[[#This Row],[COSTO FIJO ]]/30)*Tabla1[[#This Row],[TOTAL DIAS PROYECTO]]+(Tabla1[[#This Row],[COSTO TEMPORAL]])</f>
        <v>0</v>
      </c>
      <c r="P1239" s="12"/>
      <c r="Q1239" s="12">
        <f>+(Tabla1[[#This Row],[COSTO COCHE]]/30)*Tabla1[[#This Row],[TOTAL DIAS PROYECTO]]</f>
        <v>0</v>
      </c>
      <c r="R1239" s="12">
        <f>+Tabla1[[#This Row],[COSTO TOTAL ALOJAMIENTO]]+Tabla1[[#This Row],[COSTO TOTAL COCHE]]</f>
        <v>0</v>
      </c>
      <c r="S1239" s="2"/>
      <c r="T1239" s="2" t="s">
        <v>44</v>
      </c>
      <c r="U1239" s="14">
        <v>45473</v>
      </c>
      <c r="V1239" s="14">
        <v>45501</v>
      </c>
      <c r="W1239" s="26"/>
      <c r="X1239" s="2"/>
      <c r="Y1239" s="18"/>
      <c r="Z1239" s="2" t="s">
        <v>36</v>
      </c>
      <c r="AA1239" s="13" t="s">
        <v>10323</v>
      </c>
      <c r="AB1239" s="13" t="s">
        <v>10324</v>
      </c>
    </row>
    <row r="1240" spans="1:28">
      <c r="A1240" s="2" t="s">
        <v>9089</v>
      </c>
      <c r="B1240" s="2" t="s">
        <v>28</v>
      </c>
      <c r="C1240" s="104" t="s">
        <v>1963</v>
      </c>
      <c r="D1240" s="2" t="s">
        <v>30</v>
      </c>
      <c r="E1240" s="2" t="s">
        <v>31</v>
      </c>
      <c r="F1240" s="11" t="s">
        <v>758</v>
      </c>
      <c r="G1240" s="11" t="s">
        <v>759</v>
      </c>
      <c r="H1240" s="2" t="s">
        <v>2061</v>
      </c>
      <c r="I1240" s="12" t="s">
        <v>2062</v>
      </c>
      <c r="J1240" s="41">
        <f>+Tabla1[[#This Row],[FECHA ENTRADA]]</f>
        <v>45769</v>
      </c>
      <c r="K1240" s="22">
        <v>45821</v>
      </c>
      <c r="L1240" s="13">
        <f>_xlfn.DAYS(Tabla1[[#This Row],[FECHA FIN ]],Tabla1[[#This Row],[FECHA INICIO]])</f>
        <v>52</v>
      </c>
      <c r="M1240" s="12"/>
      <c r="N1240" s="12"/>
      <c r="O1240" s="12">
        <f>(Tabla1[[#This Row],[COSTO FIJO ]]/30)*Tabla1[[#This Row],[TOTAL DIAS PROYECTO]]+(Tabla1[[#This Row],[COSTO TEMPORAL]])</f>
        <v>0</v>
      </c>
      <c r="P1240" s="12">
        <v>120</v>
      </c>
      <c r="Q1240" s="12">
        <f>+(Tabla1[[#This Row],[COSTO COCHE]]/30)*Tabla1[[#This Row],[TOTAL DIAS PROYECTO]]</f>
        <v>208</v>
      </c>
      <c r="R1240" s="12">
        <f>+Tabla1[[#This Row],[COSTO TOTAL ALOJAMIENTO]]+Tabla1[[#This Row],[COSTO TOTAL COCHE]]</f>
        <v>208</v>
      </c>
      <c r="S1240" s="2"/>
      <c r="T1240" s="2" t="s">
        <v>35</v>
      </c>
      <c r="U1240" s="14">
        <v>45769</v>
      </c>
      <c r="V1240" s="14"/>
      <c r="W1240" s="26"/>
      <c r="X1240" s="2">
        <v>1</v>
      </c>
      <c r="Y1240" s="163" t="s">
        <v>2270</v>
      </c>
      <c r="Z1240" s="2" t="s">
        <v>36</v>
      </c>
      <c r="AA1240" s="13" t="s">
        <v>10323</v>
      </c>
      <c r="AB1240" s="13" t="s">
        <v>10324</v>
      </c>
    </row>
    <row r="1241" spans="1:28" ht="15" customHeight="1">
      <c r="A1241" s="2" t="s">
        <v>8832</v>
      </c>
      <c r="B1241" s="2" t="s">
        <v>28</v>
      </c>
      <c r="C1241" s="104" t="s">
        <v>938</v>
      </c>
      <c r="D1241" s="2" t="s">
        <v>99</v>
      </c>
      <c r="E1241" s="2" t="s">
        <v>422</v>
      </c>
      <c r="F1241" s="11" t="s">
        <v>2696</v>
      </c>
      <c r="G1241" s="21" t="s">
        <v>2697</v>
      </c>
      <c r="H1241" s="2" t="s">
        <v>2698</v>
      </c>
      <c r="I1241" s="10" t="s">
        <v>943</v>
      </c>
      <c r="J1241" s="22">
        <f>+Tabla1[[#This Row],[FECHA ENTRADA]]</f>
        <v>45753</v>
      </c>
      <c r="K1241" s="22">
        <v>45758</v>
      </c>
      <c r="L1241" s="23">
        <f>_xlfn.DAYS(Tabla1[[#This Row],[FECHA FIN ]],Tabla1[[#This Row],[FECHA INICIO]])</f>
        <v>5</v>
      </c>
      <c r="M1241" s="12">
        <f>229.5/2</f>
        <v>114.75</v>
      </c>
      <c r="N1241" s="20"/>
      <c r="O1241" s="24">
        <f>(Tabla1[[#This Row],[COSTO FIJO ]]/30)*Tabla1[[#This Row],[TOTAL DIAS PROYECTO]]+(Tabla1[[#This Row],[COSTO TEMPORAL]])</f>
        <v>114.75</v>
      </c>
      <c r="P1241" s="12"/>
      <c r="Q1241" s="12">
        <f>+(Tabla1[[#This Row],[COSTO COCHE]]/30)*Tabla1[[#This Row],[TOTAL DIAS PROYECTO]]</f>
        <v>0</v>
      </c>
      <c r="R1241" s="12">
        <f>+Tabla1[[#This Row],[COSTO TOTAL ALOJAMIENTO]]+Tabla1[[#This Row],[COSTO TOTAL COCHE]]</f>
        <v>114.75</v>
      </c>
      <c r="S1241" s="2" t="s">
        <v>403</v>
      </c>
      <c r="T1241" s="14" t="s">
        <v>44</v>
      </c>
      <c r="U1241" s="14">
        <v>45753</v>
      </c>
      <c r="V1241" s="14">
        <v>45758</v>
      </c>
      <c r="W1241" s="2"/>
      <c r="X1241" s="2"/>
      <c r="Y1241" s="11" t="s">
        <v>1166</v>
      </c>
      <c r="Z1241" s="2" t="s">
        <v>36</v>
      </c>
      <c r="AA1241" s="13">
        <v>-326.69799999999998</v>
      </c>
      <c r="AB1241" s="13" t="s">
        <v>10373</v>
      </c>
    </row>
    <row r="1242" spans="1:28">
      <c r="A1242" s="2" t="s">
        <v>8706</v>
      </c>
      <c r="B1242" s="2" t="s">
        <v>368</v>
      </c>
      <c r="C1242" s="104" t="s">
        <v>379</v>
      </c>
      <c r="D1242" s="2" t="s">
        <v>30</v>
      </c>
      <c r="E1242" s="2" t="s">
        <v>447</v>
      </c>
      <c r="F1242" s="11" t="s">
        <v>840</v>
      </c>
      <c r="G1242" s="21" t="s">
        <v>1095</v>
      </c>
      <c r="H1242" s="2" t="s">
        <v>2317</v>
      </c>
      <c r="I1242" s="12" t="s">
        <v>843</v>
      </c>
      <c r="J1242" s="22">
        <f>+Tabla1[[#This Row],[FECHA ENTRADA]]</f>
        <v>45615</v>
      </c>
      <c r="K1242" s="22">
        <v>45821</v>
      </c>
      <c r="L1242" s="23">
        <f>_xlfn.DAYS(Tabla1[[#This Row],[FECHA FIN ]],Tabla1[[#This Row],[FECHA INICIO]])</f>
        <v>206</v>
      </c>
      <c r="M1242" s="12"/>
      <c r="N1242" s="12"/>
      <c r="O1242" s="24">
        <f>(Tabla1[[#This Row],[COSTO FIJO ]]/30)*Tabla1[[#This Row],[TOTAL DIAS PROYECTO]]+(Tabla1[[#This Row],[COSTO TEMPORAL]])</f>
        <v>0</v>
      </c>
      <c r="P1242" s="12"/>
      <c r="Q1242" s="12">
        <f>+(Tabla1[[#This Row],[COSTO COCHE]]/30)*Tabla1[[#This Row],[TOTAL DIAS PROYECTO]]</f>
        <v>0</v>
      </c>
      <c r="R1242" s="12">
        <f>+Tabla1[[#This Row],[COSTO TOTAL ALOJAMIENTO]]+Tabla1[[#This Row],[COSTO TOTAL COCHE]]</f>
        <v>0</v>
      </c>
      <c r="S1242" s="2"/>
      <c r="T1242" s="2" t="s">
        <v>35</v>
      </c>
      <c r="U1242" s="14">
        <v>45615</v>
      </c>
      <c r="V1242" s="79"/>
      <c r="W1242" s="26"/>
      <c r="X1242" s="2">
        <v>1</v>
      </c>
      <c r="Y1242" s="11" t="s">
        <v>2706</v>
      </c>
      <c r="Z1242" s="2" t="s">
        <v>36</v>
      </c>
      <c r="AA1242" s="13">
        <v>-697.06100000000004</v>
      </c>
      <c r="AB1242" s="13" t="s">
        <v>10377</v>
      </c>
    </row>
    <row r="1243" spans="1:28" ht="15" customHeight="1">
      <c r="A1243" s="2" t="s">
        <v>9290</v>
      </c>
      <c r="B1243" s="2" t="s">
        <v>28</v>
      </c>
      <c r="C1243" s="18" t="s">
        <v>2707</v>
      </c>
      <c r="D1243" s="2" t="s">
        <v>30</v>
      </c>
      <c r="E1243" s="2" t="s">
        <v>447</v>
      </c>
      <c r="F1243" s="11" t="s">
        <v>444</v>
      </c>
      <c r="G1243" s="11" t="s">
        <v>448</v>
      </c>
      <c r="H1243" s="2" t="s">
        <v>449</v>
      </c>
      <c r="I1243" s="12" t="s">
        <v>279</v>
      </c>
      <c r="J1243" s="8">
        <f>+Tabla1[[#This Row],[FECHA ENTRADA]]</f>
        <v>45487</v>
      </c>
      <c r="K1243" s="22">
        <v>45821</v>
      </c>
      <c r="L1243" s="13">
        <f>_xlfn.DAYS(Tabla1[[#This Row],[FECHA FIN ]],Tabla1[[#This Row],[FECHA INICIO]])</f>
        <v>334</v>
      </c>
      <c r="M1243" s="12"/>
      <c r="N1243" s="24"/>
      <c r="O1243" s="12">
        <f>(Tabla1[[#This Row],[COSTO FIJO ]]/30)*Tabla1[[#This Row],[TOTAL DIAS PROYECTO]]+(Tabla1[[#This Row],[COSTO TEMPORAL]])</f>
        <v>0</v>
      </c>
      <c r="P1243" s="12"/>
      <c r="Q1243" s="12">
        <f>+(Tabla1[[#This Row],[COSTO COCHE]]/30)*Tabla1[[#This Row],[TOTAL DIAS PROYECTO]]</f>
        <v>0</v>
      </c>
      <c r="R1243" s="12">
        <f>+Tabla1[[#This Row],[COSTO TOTAL ALOJAMIENTO]]+Tabla1[[#This Row],[COSTO TOTAL COCHE]]</f>
        <v>0</v>
      </c>
      <c r="S1243" s="2"/>
      <c r="T1243" s="2" t="s">
        <v>44</v>
      </c>
      <c r="U1243" s="14">
        <v>45487</v>
      </c>
      <c r="V1243" s="14">
        <v>45507</v>
      </c>
      <c r="W1243" s="26"/>
      <c r="X1243" s="2"/>
      <c r="Y1243" s="18" t="s">
        <v>2708</v>
      </c>
      <c r="Z1243" s="2" t="s">
        <v>36</v>
      </c>
      <c r="AA1243" s="13">
        <v>-697.06100000000004</v>
      </c>
      <c r="AB1243" s="13" t="s">
        <v>10377</v>
      </c>
    </row>
    <row r="1244" spans="1:28" ht="15" customHeight="1">
      <c r="A1244" s="2" t="s">
        <v>8672</v>
      </c>
      <c r="B1244" s="2" t="s">
        <v>28</v>
      </c>
      <c r="C1244" s="18" t="s">
        <v>230</v>
      </c>
      <c r="D1244" s="2" t="s">
        <v>30</v>
      </c>
      <c r="E1244" s="2" t="s">
        <v>447</v>
      </c>
      <c r="F1244" s="11" t="s">
        <v>444</v>
      </c>
      <c r="G1244" s="11" t="s">
        <v>448</v>
      </c>
      <c r="H1244" s="2" t="s">
        <v>449</v>
      </c>
      <c r="I1244" s="12" t="s">
        <v>279</v>
      </c>
      <c r="J1244" s="8">
        <f>+Tabla1[[#This Row],[FECHA ENTRADA]]</f>
        <v>45487</v>
      </c>
      <c r="K1244" s="22">
        <v>45821</v>
      </c>
      <c r="L1244" s="13">
        <f>_xlfn.DAYS(Tabla1[[#This Row],[FECHA FIN ]],Tabla1[[#This Row],[FECHA INICIO]])</f>
        <v>334</v>
      </c>
      <c r="M1244" s="12"/>
      <c r="N1244" s="20"/>
      <c r="O1244" s="12">
        <f>(Tabla1[[#This Row],[COSTO FIJO ]]/30)*Tabla1[[#This Row],[TOTAL DIAS PROYECTO]]+(Tabla1[[#This Row],[COSTO TEMPORAL]])</f>
        <v>0</v>
      </c>
      <c r="P1244" s="12"/>
      <c r="Q1244" s="12">
        <f>+(Tabla1[[#This Row],[COSTO COCHE]]/30)*Tabla1[[#This Row],[TOTAL DIAS PROYECTO]]</f>
        <v>0</v>
      </c>
      <c r="R1244" s="12">
        <f>+Tabla1[[#This Row],[COSTO TOTAL ALOJAMIENTO]]+Tabla1[[#This Row],[COSTO TOTAL COCHE]]</f>
        <v>0</v>
      </c>
      <c r="S1244" s="2"/>
      <c r="T1244" s="2" t="s">
        <v>44</v>
      </c>
      <c r="U1244" s="14">
        <v>45487</v>
      </c>
      <c r="V1244" s="14">
        <v>45507</v>
      </c>
      <c r="W1244" s="26"/>
      <c r="X1244" s="2"/>
      <c r="Y1244" s="18" t="s">
        <v>2709</v>
      </c>
      <c r="Z1244" s="2" t="s">
        <v>36</v>
      </c>
      <c r="AA1244" s="13">
        <v>-697.06100000000004</v>
      </c>
      <c r="AB1244" s="13" t="s">
        <v>10377</v>
      </c>
    </row>
    <row r="1245" spans="1:28">
      <c r="A1245" s="2" t="s">
        <v>9166</v>
      </c>
      <c r="B1245" s="2" t="s">
        <v>28</v>
      </c>
      <c r="C1245" s="11" t="s">
        <v>2291</v>
      </c>
      <c r="D1245" s="2" t="s">
        <v>30</v>
      </c>
      <c r="E1245" s="2" t="s">
        <v>1664</v>
      </c>
      <c r="F1245" s="11" t="s">
        <v>2710</v>
      </c>
      <c r="G1245" s="49" t="s">
        <v>2711</v>
      </c>
      <c r="H1245" s="2" t="s">
        <v>2712</v>
      </c>
      <c r="I1245" s="12" t="s">
        <v>96</v>
      </c>
      <c r="J1245" s="22">
        <f>+Tabla1[[#This Row],[FECHA ENTRADA]]</f>
        <v>45711</v>
      </c>
      <c r="K1245" s="22">
        <v>45714</v>
      </c>
      <c r="L1245" s="23">
        <f>_xlfn.DAYS(Tabla1[[#This Row],[FECHA FIN ]],Tabla1[[#This Row],[FECHA INICIO]])</f>
        <v>3</v>
      </c>
      <c r="M1245" s="12">
        <v>60</v>
      </c>
      <c r="N1245" s="12"/>
      <c r="O1245" s="24">
        <f>(Tabla1[[#This Row],[COSTO FIJO ]]/30)*Tabla1[[#This Row],[TOTAL DIAS PROYECTO]]+(Tabla1[[#This Row],[COSTO TEMPORAL]])</f>
        <v>60</v>
      </c>
      <c r="P1245" s="12"/>
      <c r="Q1245" s="12">
        <f>+(Tabla1[[#This Row],[COSTO COCHE]]/30)*Tabla1[[#This Row],[TOTAL DIAS PROYECTO]]</f>
        <v>0</v>
      </c>
      <c r="R1245" s="12">
        <f>+Tabla1[[#This Row],[COSTO TOTAL ALOJAMIENTO]]+Tabla1[[#This Row],[COSTO TOTAL COCHE]]</f>
        <v>60</v>
      </c>
      <c r="S1245" s="2" t="s">
        <v>403</v>
      </c>
      <c r="T1245" s="2" t="s">
        <v>44</v>
      </c>
      <c r="U1245" s="14">
        <v>45711</v>
      </c>
      <c r="V1245" s="25">
        <v>45714</v>
      </c>
      <c r="W1245" s="26"/>
      <c r="X1245" s="2"/>
      <c r="Y1245" s="11"/>
      <c r="Z1245" s="2" t="s">
        <v>36</v>
      </c>
      <c r="AA1245" s="13" t="s">
        <v>10425</v>
      </c>
      <c r="AB1245" s="13" t="s">
        <v>10426</v>
      </c>
    </row>
    <row r="1246" spans="1:28">
      <c r="A1246" s="2" t="s">
        <v>9150</v>
      </c>
      <c r="B1246" s="2" t="s">
        <v>28</v>
      </c>
      <c r="C1246" s="11" t="s">
        <v>2230</v>
      </c>
      <c r="D1246" s="2" t="s">
        <v>99</v>
      </c>
      <c r="E1246" s="2" t="s">
        <v>253</v>
      </c>
      <c r="F1246" s="11" t="s">
        <v>581</v>
      </c>
      <c r="G1246" s="11" t="s">
        <v>255</v>
      </c>
      <c r="H1246" s="2" t="s">
        <v>2713</v>
      </c>
      <c r="I1246" s="12" t="s">
        <v>2321</v>
      </c>
      <c r="J1246" s="41">
        <f>+Tabla1[[#This Row],[FECHA ENTRADA]]</f>
        <v>45798</v>
      </c>
      <c r="K1246" s="22">
        <v>45821</v>
      </c>
      <c r="L1246" s="23">
        <f>_xlfn.DAYS(Tabla1[[#This Row],[FECHA FIN ]],Tabla1[[#This Row],[FECHA INICIO]])</f>
        <v>23</v>
      </c>
      <c r="M1246" s="12"/>
      <c r="N1246" s="12"/>
      <c r="O1246" s="24">
        <f>(Tabla1[[#This Row],[COSTO FIJO ]]/30)*Tabla1[[#This Row],[TOTAL DIAS PROYECTO]]+(Tabla1[[#This Row],[COSTO TEMPORAL]])</f>
        <v>0</v>
      </c>
      <c r="P1246" s="12"/>
      <c r="Q1246" s="12">
        <f>+(Tabla1[[#This Row],[COSTO COCHE]]/30)*Tabla1[[#This Row],[TOTAL DIAS PROYECTO]]</f>
        <v>0</v>
      </c>
      <c r="R1246" s="12">
        <f>+Tabla1[[#This Row],[COSTO TOTAL ALOJAMIENTO]]+Tabla1[[#This Row],[COSTO TOTAL COCHE]]</f>
        <v>0</v>
      </c>
      <c r="S1246" s="2"/>
      <c r="T1246" s="2" t="s">
        <v>35</v>
      </c>
      <c r="U1246" s="14">
        <v>45798</v>
      </c>
      <c r="V1246" s="79"/>
      <c r="W1246" s="26"/>
      <c r="X1246" s="2">
        <v>1</v>
      </c>
      <c r="Y1246" s="11"/>
      <c r="Z1246" s="2" t="s">
        <v>36</v>
      </c>
      <c r="AA1246" s="13" t="s">
        <v>10357</v>
      </c>
      <c r="AB1246" s="13" t="s">
        <v>10358</v>
      </c>
    </row>
    <row r="1247" spans="1:28" ht="15" customHeight="1">
      <c r="A1247" s="2" t="s">
        <v>8638</v>
      </c>
      <c r="B1247" s="2" t="s">
        <v>28</v>
      </c>
      <c r="C1247" s="11" t="s">
        <v>2714</v>
      </c>
      <c r="D1247" s="2" t="s">
        <v>30</v>
      </c>
      <c r="E1247" s="2" t="s">
        <v>476</v>
      </c>
      <c r="F1247" s="11" t="s">
        <v>1488</v>
      </c>
      <c r="G1247" s="46" t="s">
        <v>483</v>
      </c>
      <c r="H1247" s="2" t="s">
        <v>2715</v>
      </c>
      <c r="I1247" s="65" t="s">
        <v>165</v>
      </c>
      <c r="J1247" s="41">
        <f>+Tabla1[[#This Row],[FECHA ENTRADA]]</f>
        <v>45725</v>
      </c>
      <c r="K1247" s="22">
        <v>45821</v>
      </c>
      <c r="L1247" s="42">
        <f>_xlfn.DAYS(Tabla1[[#This Row],[FECHA FIN ]],Tabla1[[#This Row],[FECHA INICIO]])</f>
        <v>96</v>
      </c>
      <c r="M1247" s="12"/>
      <c r="N1247" s="12"/>
      <c r="O1247" s="28">
        <f>(Tabla1[[#This Row],[COSTO FIJO ]]/30)*Tabla1[[#This Row],[TOTAL DIAS PROYECTO]]+(Tabla1[[#This Row],[COSTO TEMPORAL]])</f>
        <v>0</v>
      </c>
      <c r="P1247" s="12">
        <f>542.69/4</f>
        <v>135.67250000000001</v>
      </c>
      <c r="Q1247" s="12">
        <f>+(Tabla1[[#This Row],[COSTO COCHE]]/30)*Tabla1[[#This Row],[TOTAL DIAS PROYECTO]]</f>
        <v>434.15200000000004</v>
      </c>
      <c r="R1247" s="12">
        <f>+Tabla1[[#This Row],[COSTO TOTAL ALOJAMIENTO]]+Tabla1[[#This Row],[COSTO TOTAL COCHE]]</f>
        <v>434.15200000000004</v>
      </c>
      <c r="S1247" s="2"/>
      <c r="T1247" s="2" t="s">
        <v>35</v>
      </c>
      <c r="U1247" s="14">
        <v>45725</v>
      </c>
      <c r="V1247" s="43"/>
      <c r="W1247" s="26"/>
      <c r="X1247" s="2">
        <v>1</v>
      </c>
      <c r="Y1247" s="11"/>
      <c r="Z1247" s="2" t="s">
        <v>36</v>
      </c>
      <c r="AA1247" s="13">
        <v>-7.8640699999999999</v>
      </c>
      <c r="AB1247" s="13">
        <v>42.336689999999997</v>
      </c>
    </row>
    <row r="1248" spans="1:28" ht="15" customHeight="1">
      <c r="A1248" s="2" t="s">
        <v>9291</v>
      </c>
      <c r="B1248" s="2" t="s">
        <v>28</v>
      </c>
      <c r="C1248" s="11" t="s">
        <v>2716</v>
      </c>
      <c r="D1248" s="2" t="s">
        <v>30</v>
      </c>
      <c r="E1248" s="2" t="s">
        <v>939</v>
      </c>
      <c r="F1248" s="11" t="s">
        <v>1253</v>
      </c>
      <c r="G1248" s="11" t="s">
        <v>941</v>
      </c>
      <c r="H1248" s="2" t="s">
        <v>2717</v>
      </c>
      <c r="I1248" s="10" t="s">
        <v>943</v>
      </c>
      <c r="J1248" s="8">
        <f>+Tabla1[[#This Row],[FECHA ENTRADA]]</f>
        <v>45444</v>
      </c>
      <c r="K1248" s="22">
        <v>45821</v>
      </c>
      <c r="L1248" s="13">
        <f>_xlfn.DAYS(Tabla1[[#This Row],[FECHA FIN ]],Tabla1[[#This Row],[FECHA INICIO]])</f>
        <v>377</v>
      </c>
      <c r="M1248" s="12"/>
      <c r="N1248" s="12"/>
      <c r="O1248" s="12">
        <f>(Tabla1[[#This Row],[COSTO FIJO ]]/30)*Tabla1[[#This Row],[TOTAL DIAS PROYECTO]]+(Tabla1[[#This Row],[COSTO TEMPORAL]])</f>
        <v>0</v>
      </c>
      <c r="P1248" s="12"/>
      <c r="Q1248" s="12">
        <f>+(Tabla1[[#This Row],[COSTO COCHE]]/30)*Tabla1[[#This Row],[TOTAL DIAS PROYECTO]]</f>
        <v>0</v>
      </c>
      <c r="R1248" s="12">
        <f>+Tabla1[[#This Row],[COSTO TOTAL ALOJAMIENTO]]+Tabla1[[#This Row],[COSTO TOTAL COCHE]]</f>
        <v>0</v>
      </c>
      <c r="S1248" s="2"/>
      <c r="T1248" s="2" t="s">
        <v>35</v>
      </c>
      <c r="U1248" s="14">
        <v>45444</v>
      </c>
      <c r="V1248" s="14"/>
      <c r="W1248" s="81">
        <v>150</v>
      </c>
      <c r="X1248" s="2">
        <v>1</v>
      </c>
      <c r="Y1248" s="18" t="s">
        <v>2718</v>
      </c>
      <c r="Z1248" s="2" t="s">
        <v>36</v>
      </c>
      <c r="AA1248" s="13" t="s">
        <v>10405</v>
      </c>
      <c r="AB1248" s="13" t="s">
        <v>10406</v>
      </c>
    </row>
    <row r="1249" spans="1:28" ht="15" customHeight="1">
      <c r="A1249" s="2" t="s">
        <v>8641</v>
      </c>
      <c r="B1249" s="2" t="s">
        <v>28</v>
      </c>
      <c r="C1249" s="11" t="s">
        <v>86</v>
      </c>
      <c r="D1249" s="2" t="s">
        <v>30</v>
      </c>
      <c r="E1249" s="2" t="s">
        <v>127</v>
      </c>
      <c r="F1249" s="11" t="s">
        <v>128</v>
      </c>
      <c r="G1249" s="11" t="s">
        <v>1900</v>
      </c>
      <c r="H1249" s="2" t="s">
        <v>376</v>
      </c>
      <c r="I1249" s="12" t="s">
        <v>377</v>
      </c>
      <c r="J1249" s="8">
        <f>+Tabla1[[#This Row],[FECHA ENTRADA]]</f>
        <v>45466</v>
      </c>
      <c r="K1249" s="8">
        <v>45641</v>
      </c>
      <c r="L1249" s="13">
        <f>_xlfn.DAYS(Tabla1[[#This Row],[FECHA FIN ]],Tabla1[[#This Row],[FECHA INICIO]])</f>
        <v>175</v>
      </c>
      <c r="M1249" s="12"/>
      <c r="N1249" s="12"/>
      <c r="O1249" s="12">
        <f>(Tabla1[[#This Row],[COSTO FIJO ]]/30)*Tabla1[[#This Row],[TOTAL DIAS PROYECTO]]+(Tabla1[[#This Row],[COSTO TEMPORAL]])</f>
        <v>0</v>
      </c>
      <c r="P1249" s="12"/>
      <c r="Q1249" s="12">
        <f>+(Tabla1[[#This Row],[COSTO COCHE]]/30)*Tabla1[[#This Row],[TOTAL DIAS PROYECTO]]</f>
        <v>0</v>
      </c>
      <c r="R1249" s="12">
        <f>+Tabla1[[#This Row],[COSTO TOTAL ALOJAMIENTO]]+Tabla1[[#This Row],[COSTO TOTAL COCHE]]</f>
        <v>0</v>
      </c>
      <c r="S1249" s="2"/>
      <c r="T1249" s="2" t="s">
        <v>35</v>
      </c>
      <c r="U1249" s="14">
        <v>45466</v>
      </c>
      <c r="V1249" s="14"/>
      <c r="W1249" s="26"/>
      <c r="X1249" s="2">
        <v>20</v>
      </c>
      <c r="Y1249" s="11" t="s">
        <v>2719</v>
      </c>
      <c r="Z1249" s="2" t="s">
        <v>36</v>
      </c>
      <c r="AA1249" s="13" t="s">
        <v>10342</v>
      </c>
      <c r="AB1249" s="13" t="s">
        <v>10343</v>
      </c>
    </row>
    <row r="1250" spans="1:28" ht="15" customHeight="1">
      <c r="A1250" s="2" t="s">
        <v>8638</v>
      </c>
      <c r="B1250" s="2" t="s">
        <v>368</v>
      </c>
      <c r="C1250" s="11" t="s">
        <v>2720</v>
      </c>
      <c r="D1250" s="2" t="s">
        <v>30</v>
      </c>
      <c r="E1250" s="2" t="s">
        <v>213</v>
      </c>
      <c r="F1250" s="11" t="s">
        <v>1525</v>
      </c>
      <c r="G1250" t="s">
        <v>1197</v>
      </c>
      <c r="H1250" s="2" t="s">
        <v>1198</v>
      </c>
      <c r="I1250" s="12" t="s">
        <v>514</v>
      </c>
      <c r="J1250" s="22">
        <v>45593</v>
      </c>
      <c r="K1250" s="22">
        <v>45821</v>
      </c>
      <c r="L1250" s="23">
        <f>_xlfn.DAYS(Tabla1[[#This Row],[FECHA FIN ]],Tabla1[[#This Row],[FECHA INICIO]])</f>
        <v>228</v>
      </c>
      <c r="M1250" s="12"/>
      <c r="N1250" s="12"/>
      <c r="O1250" s="24">
        <f>(Tabla1[[#This Row],[COSTO FIJO ]]/30)*Tabla1[[#This Row],[TOTAL DIAS PROYECTO]]+(Tabla1[[#This Row],[COSTO TEMPORAL]])</f>
        <v>0</v>
      </c>
      <c r="P1250" s="12">
        <f>2134.37/19</f>
        <v>112.33526315789473</v>
      </c>
      <c r="Q1250" s="12">
        <f>+(Tabla1[[#This Row],[COSTO COCHE]]/30)*Tabla1[[#This Row],[TOTAL DIAS PROYECTO]]</f>
        <v>853.74799999999993</v>
      </c>
      <c r="R1250" s="12">
        <f>+Tabla1[[#This Row],[COSTO TOTAL ALOJAMIENTO]]+Tabla1[[#This Row],[COSTO TOTAL COCHE]]</f>
        <v>853.74799999999993</v>
      </c>
      <c r="S1250" s="2"/>
      <c r="T1250" s="2" t="s">
        <v>35</v>
      </c>
      <c r="U1250" s="14">
        <v>45593</v>
      </c>
      <c r="V1250" s="25"/>
      <c r="W1250" s="26"/>
      <c r="X1250" s="2">
        <v>1</v>
      </c>
      <c r="Y1250" s="11" t="s">
        <v>1526</v>
      </c>
      <c r="Z1250" s="2" t="s">
        <v>36</v>
      </c>
      <c r="AA1250" s="13" t="s">
        <v>10349</v>
      </c>
      <c r="AB1250" s="13" t="s">
        <v>10350</v>
      </c>
    </row>
    <row r="1251" spans="1:28" ht="15" customHeight="1">
      <c r="A1251" s="2" t="s">
        <v>8671</v>
      </c>
      <c r="B1251" s="2" t="s">
        <v>1542</v>
      </c>
      <c r="C1251" s="11" t="s">
        <v>224</v>
      </c>
      <c r="D1251" s="2" t="s">
        <v>30</v>
      </c>
      <c r="E1251" s="2" t="s">
        <v>31</v>
      </c>
      <c r="F1251" s="11" t="s">
        <v>530</v>
      </c>
      <c r="G1251" s="11" t="s">
        <v>531</v>
      </c>
      <c r="H1251" s="2" t="s">
        <v>2721</v>
      </c>
      <c r="I1251" s="12" t="s">
        <v>1540</v>
      </c>
      <c r="J1251" s="22">
        <f>+Tabla1[[#This Row],[FECHA ENTRADA]]</f>
        <v>45620</v>
      </c>
      <c r="K1251" s="22">
        <v>45821</v>
      </c>
      <c r="L1251" s="23">
        <f>_xlfn.DAYS(Tabla1[[#This Row],[FECHA FIN ]],Tabla1[[#This Row],[FECHA INICIO]])</f>
        <v>201</v>
      </c>
      <c r="M1251" s="12"/>
      <c r="N1251" s="12"/>
      <c r="O1251" s="24">
        <f>(Tabla1[[#This Row],[COSTO FIJO ]]/30)*Tabla1[[#This Row],[TOTAL DIAS PROYECTO]]+(Tabla1[[#This Row],[COSTO TEMPORAL]])</f>
        <v>0</v>
      </c>
      <c r="P1251" s="12"/>
      <c r="Q1251" s="12">
        <f>+(Tabla1[[#This Row],[COSTO COCHE]]/30)*Tabla1[[#This Row],[TOTAL DIAS PROYECTO]]</f>
        <v>0</v>
      </c>
      <c r="R1251" s="12">
        <f>+Tabla1[[#This Row],[COSTO TOTAL ALOJAMIENTO]]+Tabla1[[#This Row],[COSTO TOTAL COCHE]]</f>
        <v>0</v>
      </c>
      <c r="S1251" s="2"/>
      <c r="T1251" s="2" t="s">
        <v>35</v>
      </c>
      <c r="U1251" s="14">
        <v>45620</v>
      </c>
      <c r="V1251" s="25"/>
      <c r="W1251" s="26"/>
      <c r="X1251" s="2">
        <v>1</v>
      </c>
      <c r="Y1251" s="11" t="s">
        <v>1166</v>
      </c>
      <c r="Z1251" s="2" t="s">
        <v>36</v>
      </c>
      <c r="AA1251" s="13" t="s">
        <v>10323</v>
      </c>
      <c r="AB1251" s="13" t="s">
        <v>10324</v>
      </c>
    </row>
    <row r="1252" spans="1:28" ht="15" customHeight="1">
      <c r="A1252" s="2" t="s">
        <v>9292</v>
      </c>
      <c r="B1252" s="2" t="s">
        <v>368</v>
      </c>
      <c r="C1252" s="11" t="s">
        <v>2722</v>
      </c>
      <c r="D1252" s="2" t="s">
        <v>99</v>
      </c>
      <c r="E1252" s="2" t="s">
        <v>422</v>
      </c>
      <c r="F1252" s="11" t="s">
        <v>2723</v>
      </c>
      <c r="G1252" s="46" t="s">
        <v>2724</v>
      </c>
      <c r="H1252" s="2" t="s">
        <v>2725</v>
      </c>
      <c r="I1252" s="12" t="s">
        <v>959</v>
      </c>
      <c r="J1252" s="41">
        <f>+Tabla1[[#This Row],[FECHA ENTRADA]]</f>
        <v>45754</v>
      </c>
      <c r="K1252" s="41">
        <v>45759</v>
      </c>
      <c r="L1252" s="13">
        <f>_xlfn.DAYS(Tabla1[[#This Row],[FECHA FIN ]],Tabla1[[#This Row],[FECHA INICIO]])</f>
        <v>5</v>
      </c>
      <c r="M1252" s="12">
        <v>142.65</v>
      </c>
      <c r="N1252" s="12"/>
      <c r="O1252" s="12">
        <f>(Tabla1[[#This Row],[COSTO FIJO ]]/30)*Tabla1[[#This Row],[TOTAL DIAS PROYECTO]]+(Tabla1[[#This Row],[COSTO TEMPORAL]])</f>
        <v>142.65</v>
      </c>
      <c r="P1252" s="12"/>
      <c r="Q1252" s="12">
        <f>+(Tabla1[[#This Row],[COSTO COCHE]]/30)*Tabla1[[#This Row],[TOTAL DIAS PROYECTO]]</f>
        <v>0</v>
      </c>
      <c r="R1252" s="12">
        <f>+Tabla1[[#This Row],[COSTO TOTAL ALOJAMIENTO]]+Tabla1[[#This Row],[COSTO TOTAL COCHE]]</f>
        <v>142.65</v>
      </c>
      <c r="S1252" s="2"/>
      <c r="T1252" s="2" t="s">
        <v>44</v>
      </c>
      <c r="U1252" s="14">
        <v>45754</v>
      </c>
      <c r="V1252" s="14">
        <v>45789</v>
      </c>
      <c r="W1252" s="26"/>
      <c r="X1252" s="2"/>
      <c r="Y1252" s="11" t="s">
        <v>2726</v>
      </c>
      <c r="Z1252" s="2" t="s">
        <v>36</v>
      </c>
      <c r="AA1252" s="13">
        <v>-326.69799999999998</v>
      </c>
      <c r="AB1252" s="13" t="s">
        <v>10373</v>
      </c>
    </row>
    <row r="1253" spans="1:28" ht="15" customHeight="1">
      <c r="A1253" s="2" t="s">
        <v>8638</v>
      </c>
      <c r="B1253" s="2" t="s">
        <v>28</v>
      </c>
      <c r="C1253" s="11" t="s">
        <v>2727</v>
      </c>
      <c r="D1253" s="2" t="s">
        <v>30</v>
      </c>
      <c r="E1253" s="2" t="s">
        <v>422</v>
      </c>
      <c r="F1253" s="11" t="s">
        <v>956</v>
      </c>
      <c r="G1253" s="11" t="s">
        <v>957</v>
      </c>
      <c r="H1253" s="2" t="s">
        <v>2728</v>
      </c>
      <c r="I1253" s="10" t="s">
        <v>426</v>
      </c>
      <c r="J1253" s="22">
        <f>+Tabla1[[#This Row],[FECHA ENTRADA]]</f>
        <v>45754</v>
      </c>
      <c r="K1253" s="22">
        <v>45821</v>
      </c>
      <c r="L1253" s="13">
        <f>_xlfn.DAYS(Tabla1[[#This Row],[FECHA FIN ]],Tabla1[[#This Row],[FECHA INICIO]])</f>
        <v>67</v>
      </c>
      <c r="M1253" s="12"/>
      <c r="N1253" s="12"/>
      <c r="O1253" s="12">
        <f>(Tabla1[[#This Row],[COSTO FIJO ]]/30)*Tabla1[[#This Row],[TOTAL DIAS PROYECTO]]+(Tabla1[[#This Row],[COSTO TEMPORAL]])</f>
        <v>0</v>
      </c>
      <c r="P1253" s="12"/>
      <c r="Q1253" s="12">
        <f>+(Tabla1[[#This Row],[COSTO COCHE]]/30)*Tabla1[[#This Row],[TOTAL DIAS PROYECTO]]</f>
        <v>0</v>
      </c>
      <c r="R1253" s="12">
        <f>+Tabla1[[#This Row],[COSTO TOTAL ALOJAMIENTO]]+Tabla1[[#This Row],[COSTO TOTAL COCHE]]</f>
        <v>0</v>
      </c>
      <c r="S1253" s="2"/>
      <c r="T1253" s="2" t="s">
        <v>35</v>
      </c>
      <c r="U1253" s="14">
        <v>45754</v>
      </c>
      <c r="V1253" s="14"/>
      <c r="W1253" s="15"/>
      <c r="X1253" s="16">
        <v>1</v>
      </c>
      <c r="Y1253" s="18"/>
      <c r="Z1253" s="2" t="s">
        <v>36</v>
      </c>
      <c r="AA1253" s="13">
        <v>-326.69799999999998</v>
      </c>
      <c r="AB1253" s="13" t="s">
        <v>10373</v>
      </c>
    </row>
    <row r="1254" spans="1:28" ht="15" customHeight="1">
      <c r="A1254" s="2" t="s">
        <v>9293</v>
      </c>
      <c r="B1254" s="2" t="s">
        <v>28</v>
      </c>
      <c r="C1254" s="18" t="s">
        <v>2729</v>
      </c>
      <c r="D1254" s="2" t="s">
        <v>30</v>
      </c>
      <c r="E1254" s="2" t="s">
        <v>720</v>
      </c>
      <c r="F1254" s="11" t="s">
        <v>721</v>
      </c>
      <c r="G1254" s="11" t="s">
        <v>722</v>
      </c>
      <c r="H1254" s="2" t="s">
        <v>723</v>
      </c>
      <c r="I1254" s="12" t="s">
        <v>547</v>
      </c>
      <c r="J1254" s="8">
        <f>+Tabla1[[#This Row],[FECHA ENTRADA]]</f>
        <v>45509</v>
      </c>
      <c r="K1254" s="22">
        <v>45541</v>
      </c>
      <c r="L1254" s="13">
        <f>_xlfn.DAYS(Tabla1[[#This Row],[FECHA FIN ]],Tabla1[[#This Row],[FECHA INICIO]])</f>
        <v>32</v>
      </c>
      <c r="M1254" s="12"/>
      <c r="N1254" s="12">
        <v>333.33333333333331</v>
      </c>
      <c r="O1254" s="12">
        <f>(Tabla1[[#This Row],[COSTO FIJO ]]/30)*Tabla1[[#This Row],[TOTAL DIAS PROYECTO]]+(Tabla1[[#This Row],[COSTO TEMPORAL]])</f>
        <v>355.55555555555554</v>
      </c>
      <c r="P1254" s="12"/>
      <c r="Q1254" s="12">
        <f>+(Tabla1[[#This Row],[COSTO COCHE]]/30)*Tabla1[[#This Row],[TOTAL DIAS PROYECTO]]</f>
        <v>0</v>
      </c>
      <c r="R1254" s="12">
        <f>+Tabla1[[#This Row],[COSTO TOTAL ALOJAMIENTO]]+Tabla1[[#This Row],[COSTO TOTAL COCHE]]</f>
        <v>355.55555555555554</v>
      </c>
      <c r="S1254" s="2"/>
      <c r="T1254" s="2" t="s">
        <v>35</v>
      </c>
      <c r="U1254" s="14">
        <v>45509</v>
      </c>
      <c r="V1254" s="14"/>
      <c r="W1254" s="26"/>
      <c r="X1254" s="2">
        <v>1</v>
      </c>
      <c r="Y1254" s="11" t="s">
        <v>2730</v>
      </c>
      <c r="Z1254" s="2" t="s">
        <v>36</v>
      </c>
      <c r="AA1254" s="13" t="s">
        <v>10394</v>
      </c>
      <c r="AB1254" s="13" t="s">
        <v>10395</v>
      </c>
    </row>
    <row r="1255" spans="1:28">
      <c r="A1255" s="2" t="s">
        <v>9294</v>
      </c>
      <c r="B1255" s="2" t="s">
        <v>28</v>
      </c>
      <c r="C1255" s="11" t="s">
        <v>2731</v>
      </c>
      <c r="D1255" s="2" t="s">
        <v>99</v>
      </c>
      <c r="E1255" s="2" t="s">
        <v>253</v>
      </c>
      <c r="F1255" s="11" t="s">
        <v>581</v>
      </c>
      <c r="G1255" s="11" t="s">
        <v>255</v>
      </c>
      <c r="H1255" s="2" t="s">
        <v>2320</v>
      </c>
      <c r="I1255" s="12" t="s">
        <v>2321</v>
      </c>
      <c r="J1255" s="22">
        <f>+Tabla1[[#This Row],[FECHA ENTRADA]]</f>
        <v>45783</v>
      </c>
      <c r="K1255" s="22">
        <v>45821</v>
      </c>
      <c r="L1255" s="23">
        <f>_xlfn.DAYS(Tabla1[[#This Row],[FECHA FIN ]],Tabla1[[#This Row],[FECHA INICIO]])</f>
        <v>38</v>
      </c>
      <c r="M1255" s="12"/>
      <c r="N1255" s="12"/>
      <c r="O1255" s="24">
        <f>(Tabla1[[#This Row],[COSTO FIJO ]]/30)*Tabla1[[#This Row],[TOTAL DIAS PROYECTO]]+(Tabla1[[#This Row],[COSTO TEMPORAL]])</f>
        <v>0</v>
      </c>
      <c r="P1255" s="12"/>
      <c r="Q1255" s="12">
        <f>+(Tabla1[[#This Row],[COSTO COCHE]]/30)*Tabla1[[#This Row],[TOTAL DIAS PROYECTO]]</f>
        <v>0</v>
      </c>
      <c r="R1255" s="12">
        <f>+Tabla1[[#This Row],[COSTO TOTAL ALOJAMIENTO]]+Tabla1[[#This Row],[COSTO TOTAL COCHE]]</f>
        <v>0</v>
      </c>
      <c r="S1255" s="2"/>
      <c r="T1255" s="2" t="s">
        <v>35</v>
      </c>
      <c r="U1255" s="14">
        <v>45783</v>
      </c>
      <c r="V1255" s="79"/>
      <c r="W1255" s="26"/>
      <c r="X1255" s="2">
        <v>1</v>
      </c>
      <c r="Y1255" s="11"/>
      <c r="Z1255" s="2" t="s">
        <v>36</v>
      </c>
      <c r="AA1255" s="13" t="s">
        <v>10357</v>
      </c>
      <c r="AB1255" s="13" t="s">
        <v>10358</v>
      </c>
    </row>
    <row r="1256" spans="1:28" ht="15" customHeight="1">
      <c r="A1256" s="2" t="s">
        <v>9295</v>
      </c>
      <c r="B1256" s="2" t="s">
        <v>28</v>
      </c>
      <c r="C1256" s="11" t="s">
        <v>2732</v>
      </c>
      <c r="D1256" s="2" t="s">
        <v>749</v>
      </c>
      <c r="E1256" s="2" t="s">
        <v>288</v>
      </c>
      <c r="F1256" s="11" t="s">
        <v>1144</v>
      </c>
      <c r="G1256" t="s">
        <v>751</v>
      </c>
      <c r="H1256" s="2" t="s">
        <v>2623</v>
      </c>
      <c r="I1256" s="12" t="s">
        <v>753</v>
      </c>
      <c r="J1256" s="8">
        <f>+Tabla1[[#This Row],[FECHA ENTRADA]]</f>
        <v>45507</v>
      </c>
      <c r="K1256" s="8">
        <v>45626</v>
      </c>
      <c r="L1256" s="13">
        <f>_xlfn.DAYS(Tabla1[[#This Row],[FECHA FIN ]],Tabla1[[#This Row],[FECHA INICIO]])</f>
        <v>119</v>
      </c>
      <c r="M1256" s="12"/>
      <c r="N1256" s="12">
        <v>436.43</v>
      </c>
      <c r="O1256" s="12">
        <f>(Tabla1[[#This Row],[COSTO FIJO ]]/30)*Tabla1[[#This Row],[TOTAL DIAS PROYECTO]]+(Tabla1[[#This Row],[COSTO TEMPORAL]])</f>
        <v>1731.1723333333332</v>
      </c>
      <c r="P1256" s="12">
        <f>8180.25/45</f>
        <v>181.78333333333333</v>
      </c>
      <c r="Q1256" s="12">
        <f>+(Tabla1[[#This Row],[COSTO COCHE]]/30)*Tabla1[[#This Row],[TOTAL DIAS PROYECTO]]</f>
        <v>721.07388888888886</v>
      </c>
      <c r="R1256" s="12">
        <f>+Tabla1[[#This Row],[COSTO TOTAL ALOJAMIENTO]]+Tabla1[[#This Row],[COSTO TOTAL COCHE]]</f>
        <v>2452.2462222222221</v>
      </c>
      <c r="S1256" s="2"/>
      <c r="T1256" s="2" t="s">
        <v>44</v>
      </c>
      <c r="U1256" s="14">
        <v>45507</v>
      </c>
      <c r="V1256" s="14">
        <v>45634</v>
      </c>
      <c r="W1256" s="26"/>
      <c r="X1256" s="2">
        <v>1</v>
      </c>
      <c r="Y1256" s="11"/>
      <c r="Z1256" s="2" t="s">
        <v>36</v>
      </c>
      <c r="AA1256" s="13" t="s">
        <v>10362</v>
      </c>
      <c r="AB1256" s="13" t="s">
        <v>10363</v>
      </c>
    </row>
    <row r="1257" spans="1:28">
      <c r="A1257" s="2" t="s">
        <v>9296</v>
      </c>
      <c r="B1257" s="2" t="s">
        <v>28</v>
      </c>
      <c r="C1257" s="11" t="s">
        <v>2733</v>
      </c>
      <c r="D1257" s="2" t="s">
        <v>99</v>
      </c>
      <c r="E1257" s="2" t="s">
        <v>253</v>
      </c>
      <c r="F1257" s="11" t="s">
        <v>254</v>
      </c>
      <c r="G1257" s="11" t="s">
        <v>255</v>
      </c>
      <c r="H1257" s="2" t="s">
        <v>2734</v>
      </c>
      <c r="I1257" s="12" t="s">
        <v>2342</v>
      </c>
      <c r="J1257" s="22">
        <f>+Tabla1[[#This Row],[FECHA ENTRADA]]</f>
        <v>45802</v>
      </c>
      <c r="K1257" s="22">
        <v>45821</v>
      </c>
      <c r="L1257" s="23">
        <f>_xlfn.DAYS(Tabla1[[#This Row],[FECHA FIN ]],Tabla1[[#This Row],[FECHA INICIO]])</f>
        <v>19</v>
      </c>
      <c r="M1257" s="12"/>
      <c r="N1257" s="12"/>
      <c r="O1257" s="24">
        <f>(Tabla1[[#This Row],[COSTO FIJO ]]/30)*Tabla1[[#This Row],[TOTAL DIAS PROYECTO]]+(Tabla1[[#This Row],[COSTO TEMPORAL]])</f>
        <v>0</v>
      </c>
      <c r="P1257" s="12"/>
      <c r="Q1257" s="12">
        <f>+(Tabla1[[#This Row],[COSTO COCHE]]/30)*Tabla1[[#This Row],[TOTAL DIAS PROYECTO]]</f>
        <v>0</v>
      </c>
      <c r="R1257" s="12">
        <f>+Tabla1[[#This Row],[COSTO TOTAL ALOJAMIENTO]]+Tabla1[[#This Row],[COSTO TOTAL COCHE]]</f>
        <v>0</v>
      </c>
      <c r="S1257" s="2"/>
      <c r="T1257" s="2" t="s">
        <v>35</v>
      </c>
      <c r="U1257" s="14">
        <v>45802</v>
      </c>
      <c r="V1257" s="98"/>
      <c r="W1257" s="2"/>
      <c r="X1257" s="2">
        <v>1</v>
      </c>
      <c r="Y1257" s="11" t="s">
        <v>2735</v>
      </c>
      <c r="Z1257" s="2" t="s">
        <v>36</v>
      </c>
      <c r="AA1257" s="23" t="s">
        <v>10357</v>
      </c>
      <c r="AB1257" s="13" t="s">
        <v>10358</v>
      </c>
    </row>
    <row r="1258" spans="1:28" ht="15" customHeight="1">
      <c r="A1258" s="2" t="s">
        <v>9297</v>
      </c>
      <c r="B1258" s="2" t="s">
        <v>28</v>
      </c>
      <c r="C1258" s="115" t="s">
        <v>2736</v>
      </c>
      <c r="D1258" s="2" t="s">
        <v>30</v>
      </c>
      <c r="E1258" s="2" t="s">
        <v>31</v>
      </c>
      <c r="F1258" s="11" t="s">
        <v>524</v>
      </c>
      <c r="G1258" s="51" t="s">
        <v>525</v>
      </c>
      <c r="H1258" s="2" t="s">
        <v>526</v>
      </c>
      <c r="I1258" s="12" t="s">
        <v>527</v>
      </c>
      <c r="J1258" s="8">
        <f>+Tabla1[[#This Row],[FECHA ENTRADA]]</f>
        <v>45502</v>
      </c>
      <c r="K1258" s="22">
        <v>45821</v>
      </c>
      <c r="L1258" s="13">
        <f>_xlfn.DAYS(Tabla1[[#This Row],[FECHA FIN ]],Tabla1[[#This Row],[FECHA INICIO]])</f>
        <v>319</v>
      </c>
      <c r="M1258" s="12"/>
      <c r="N1258" s="12">
        <v>500</v>
      </c>
      <c r="O1258" s="12">
        <f>(Tabla1[[#This Row],[COSTO FIJO ]]/30)*Tabla1[[#This Row],[TOTAL DIAS PROYECTO]]+(Tabla1[[#This Row],[COSTO TEMPORAL]])</f>
        <v>5316.666666666667</v>
      </c>
      <c r="P1258" s="12"/>
      <c r="Q1258" s="12">
        <f>+(Tabla1[[#This Row],[COSTO COCHE]]/30)*Tabla1[[#This Row],[TOTAL DIAS PROYECTO]]</f>
        <v>0</v>
      </c>
      <c r="R1258" s="12">
        <f>+Tabla1[[#This Row],[COSTO TOTAL ALOJAMIENTO]]+Tabla1[[#This Row],[COSTO TOTAL COCHE]]</f>
        <v>5316.666666666667</v>
      </c>
      <c r="S1258" s="2"/>
      <c r="T1258" s="2" t="s">
        <v>528</v>
      </c>
      <c r="U1258" s="14">
        <v>45502</v>
      </c>
      <c r="V1258" s="14">
        <v>45535</v>
      </c>
      <c r="W1258" s="26"/>
      <c r="X1258" s="2">
        <v>1</v>
      </c>
      <c r="Y1258" s="18" t="s">
        <v>640</v>
      </c>
      <c r="Z1258" s="2" t="s">
        <v>36</v>
      </c>
      <c r="AA1258" s="13" t="s">
        <v>10323</v>
      </c>
      <c r="AB1258" s="13" t="s">
        <v>10324</v>
      </c>
    </row>
    <row r="1259" spans="1:28">
      <c r="A1259" s="2" t="s">
        <v>9298</v>
      </c>
      <c r="B1259" s="2" t="s">
        <v>28</v>
      </c>
      <c r="C1259" s="104" t="s">
        <v>2737</v>
      </c>
      <c r="D1259" s="2" t="s">
        <v>30</v>
      </c>
      <c r="E1259" s="2" t="s">
        <v>447</v>
      </c>
      <c r="F1259" s="11" t="s">
        <v>2738</v>
      </c>
      <c r="G1259" s="30" t="s">
        <v>2739</v>
      </c>
      <c r="H1259" s="2" t="s">
        <v>2740</v>
      </c>
      <c r="I1259" s="2" t="s">
        <v>2741</v>
      </c>
      <c r="J1259" s="8">
        <f>+Tabla1[[#This Row],[FECHA ENTRADA]]</f>
        <v>45496</v>
      </c>
      <c r="K1259" s="22">
        <v>45526</v>
      </c>
      <c r="L1259" s="13">
        <f>_xlfn.DAYS(Tabla1[[#This Row],[FECHA FIN ]],Tabla1[[#This Row],[FECHA INICIO]])</f>
        <v>30</v>
      </c>
      <c r="M1259" s="12"/>
      <c r="N1259" s="12">
        <v>225</v>
      </c>
      <c r="O1259" s="12">
        <f>(Tabla1[[#This Row],[COSTO FIJO ]]/30)*Tabla1[[#This Row],[TOTAL DIAS PROYECTO]]+(Tabla1[[#This Row],[COSTO TEMPORAL]])</f>
        <v>225</v>
      </c>
      <c r="P1259" s="12"/>
      <c r="Q1259" s="12">
        <f>+(Tabla1[[#This Row],[COSTO COCHE]]/30)*Tabla1[[#This Row],[TOTAL DIAS PROYECTO]]</f>
        <v>0</v>
      </c>
      <c r="R1259" s="12">
        <f>+Tabla1[[#This Row],[COSTO TOTAL ALOJAMIENTO]]+Tabla1[[#This Row],[COSTO TOTAL COCHE]]</f>
        <v>225</v>
      </c>
      <c r="S1259" s="2"/>
      <c r="T1259" s="2" t="s">
        <v>35</v>
      </c>
      <c r="U1259" s="14">
        <v>45496</v>
      </c>
      <c r="V1259" s="14"/>
      <c r="W1259" s="26"/>
      <c r="X1259" s="2">
        <v>1</v>
      </c>
      <c r="Y1259" s="18" t="s">
        <v>2742</v>
      </c>
      <c r="Z1259" s="2" t="s">
        <v>36</v>
      </c>
      <c r="AA1259" s="13">
        <v>-697.06100000000004</v>
      </c>
      <c r="AB1259" s="13" t="s">
        <v>10377</v>
      </c>
    </row>
    <row r="1260" spans="1:28" ht="15" customHeight="1">
      <c r="A1260" s="2" t="s">
        <v>9299</v>
      </c>
      <c r="B1260" s="2" t="s">
        <v>28</v>
      </c>
      <c r="C1260" s="104" t="s">
        <v>2743</v>
      </c>
      <c r="D1260" s="2" t="s">
        <v>749</v>
      </c>
      <c r="E1260" s="2" t="s">
        <v>288</v>
      </c>
      <c r="F1260" s="11" t="s">
        <v>1141</v>
      </c>
      <c r="G1260" t="s">
        <v>751</v>
      </c>
      <c r="H1260" s="2" t="s">
        <v>2623</v>
      </c>
      <c r="I1260" s="12" t="s">
        <v>753</v>
      </c>
      <c r="J1260" s="8">
        <f>+Tabla1[[#This Row],[FECHA ENTRADA]]</f>
        <v>45507</v>
      </c>
      <c r="K1260" s="8">
        <v>45633</v>
      </c>
      <c r="L1260" s="13">
        <f>_xlfn.DAYS(Tabla1[[#This Row],[FECHA FIN ]],Tabla1[[#This Row],[FECHA INICIO]])</f>
        <v>126</v>
      </c>
      <c r="M1260" s="12"/>
      <c r="N1260" s="12">
        <v>436.43</v>
      </c>
      <c r="O1260" s="12">
        <f>(Tabla1[[#This Row],[COSTO FIJO ]]/30)*Tabla1[[#This Row],[TOTAL DIAS PROYECTO]]+(Tabla1[[#This Row],[COSTO TEMPORAL]])</f>
        <v>1833.0059999999999</v>
      </c>
      <c r="P1260" s="12">
        <f>8180.25/45</f>
        <v>181.78333333333333</v>
      </c>
      <c r="Q1260" s="12">
        <f>+(Tabla1[[#This Row],[COSTO COCHE]]/30)*Tabla1[[#This Row],[TOTAL DIAS PROYECTO]]</f>
        <v>763.4899999999999</v>
      </c>
      <c r="R1260" s="12">
        <f>+Tabla1[[#This Row],[COSTO TOTAL ALOJAMIENTO]]+Tabla1[[#This Row],[COSTO TOTAL COCHE]]</f>
        <v>2596.4959999999996</v>
      </c>
      <c r="S1260" s="2"/>
      <c r="T1260" s="2" t="s">
        <v>44</v>
      </c>
      <c r="U1260" s="14">
        <v>45507</v>
      </c>
      <c r="V1260" s="14">
        <v>45634</v>
      </c>
      <c r="W1260" s="26"/>
      <c r="X1260" s="2">
        <v>1</v>
      </c>
      <c r="Y1260" s="11"/>
      <c r="Z1260" s="2" t="s">
        <v>36</v>
      </c>
      <c r="AA1260" s="13" t="s">
        <v>10362</v>
      </c>
      <c r="AB1260" s="13" t="s">
        <v>10363</v>
      </c>
    </row>
    <row r="1261" spans="1:28">
      <c r="A1261" s="2" t="s">
        <v>8868</v>
      </c>
      <c r="B1261" s="2" t="s">
        <v>368</v>
      </c>
      <c r="C1261" s="11" t="s">
        <v>1093</v>
      </c>
      <c r="D1261" s="2" t="s">
        <v>30</v>
      </c>
      <c r="E1261" s="2" t="s">
        <v>213</v>
      </c>
      <c r="F1261" s="11" t="s">
        <v>996</v>
      </c>
      <c r="G1261" s="11" t="s">
        <v>997</v>
      </c>
      <c r="H1261" s="2" t="s">
        <v>998</v>
      </c>
      <c r="I1261" s="12" t="s">
        <v>514</v>
      </c>
      <c r="J1261" s="8">
        <f>+Tabla1[[#This Row],[FECHA ENTRADA]]</f>
        <v>45529</v>
      </c>
      <c r="K1261" s="22">
        <v>45821</v>
      </c>
      <c r="L1261" s="13">
        <f>_xlfn.DAYS(Tabla1[[#This Row],[FECHA FIN ]],Tabla1[[#This Row],[FECHA INICIO]])</f>
        <v>292</v>
      </c>
      <c r="M1261" s="12"/>
      <c r="N1261" s="12"/>
      <c r="O1261" s="12">
        <f>(Tabla1[[#This Row],[COSTO FIJO ]]/30)*Tabla1[[#This Row],[TOTAL DIAS PROYECTO]]+(Tabla1[[#This Row],[COSTO TEMPORAL]])</f>
        <v>0</v>
      </c>
      <c r="P1261" s="12">
        <f>((800+651.96)*50%)/10</f>
        <v>72.597999999999999</v>
      </c>
      <c r="Q1261" s="12">
        <f>+(Tabla1[[#This Row],[COSTO COCHE]]/30)*Tabla1[[#This Row],[TOTAL DIAS PROYECTO]]</f>
        <v>706.62053333333336</v>
      </c>
      <c r="R1261" s="12">
        <f>+Tabla1[[#This Row],[COSTO TOTAL ALOJAMIENTO]]+Tabla1[[#This Row],[COSTO TOTAL COCHE]]</f>
        <v>706.62053333333336</v>
      </c>
      <c r="S1261" s="2"/>
      <c r="T1261" s="2" t="s">
        <v>35</v>
      </c>
      <c r="U1261" s="14">
        <v>45529</v>
      </c>
      <c r="V1261" s="8"/>
      <c r="W1261" s="26"/>
      <c r="X1261" s="2">
        <v>1</v>
      </c>
      <c r="Y1261" s="11" t="s">
        <v>2744</v>
      </c>
      <c r="Z1261" s="2" t="s">
        <v>36</v>
      </c>
      <c r="AA1261" s="13" t="s">
        <v>10349</v>
      </c>
      <c r="AB1261" s="13" t="s">
        <v>10350</v>
      </c>
    </row>
    <row r="1262" spans="1:28">
      <c r="A1262" s="2" t="s">
        <v>8946</v>
      </c>
      <c r="B1262" s="2" t="s">
        <v>28</v>
      </c>
      <c r="C1262" s="11" t="s">
        <v>1403</v>
      </c>
      <c r="D1262" s="2" t="s">
        <v>30</v>
      </c>
      <c r="E1262" s="2" t="s">
        <v>127</v>
      </c>
      <c r="F1262" s="11" t="s">
        <v>128</v>
      </c>
      <c r="G1262" s="11" t="s">
        <v>1900</v>
      </c>
      <c r="H1262" s="2" t="s">
        <v>376</v>
      </c>
      <c r="I1262" s="12" t="s">
        <v>377</v>
      </c>
      <c r="J1262" s="8">
        <f>+Tabla1[[#This Row],[FECHA ENTRADA]]</f>
        <v>45466</v>
      </c>
      <c r="K1262" s="8">
        <v>45641</v>
      </c>
      <c r="L1262" s="13">
        <f>_xlfn.DAYS(Tabla1[[#This Row],[FECHA FIN ]],Tabla1[[#This Row],[FECHA INICIO]])</f>
        <v>175</v>
      </c>
      <c r="M1262" s="12"/>
      <c r="N1262" s="12"/>
      <c r="O1262" s="12">
        <f>(Tabla1[[#This Row],[COSTO FIJO ]]/30)*Tabla1[[#This Row],[TOTAL DIAS PROYECTO]]+(Tabla1[[#This Row],[COSTO TEMPORAL]])</f>
        <v>0</v>
      </c>
      <c r="P1262" s="12"/>
      <c r="Q1262" s="12">
        <f>+(Tabla1[[#This Row],[COSTO COCHE]]/30)*Tabla1[[#This Row],[TOTAL DIAS PROYECTO]]</f>
        <v>0</v>
      </c>
      <c r="R1262" s="12">
        <f>+Tabla1[[#This Row],[COSTO TOTAL ALOJAMIENTO]]+Tabla1[[#This Row],[COSTO TOTAL COCHE]]</f>
        <v>0</v>
      </c>
      <c r="S1262" s="2"/>
      <c r="T1262" s="2" t="s">
        <v>35</v>
      </c>
      <c r="U1262" s="14">
        <v>45466</v>
      </c>
      <c r="V1262" s="14"/>
      <c r="W1262" s="26"/>
      <c r="X1262" s="2">
        <v>20</v>
      </c>
      <c r="Y1262" s="11" t="s">
        <v>2719</v>
      </c>
      <c r="Z1262" s="2" t="s">
        <v>36</v>
      </c>
      <c r="AA1262" s="13" t="s">
        <v>10342</v>
      </c>
      <c r="AB1262" s="13" t="s">
        <v>10343</v>
      </c>
    </row>
    <row r="1263" spans="1:28">
      <c r="A1263" s="2" t="s">
        <v>9300</v>
      </c>
      <c r="B1263" s="2" t="s">
        <v>28</v>
      </c>
      <c r="C1263" s="115" t="s">
        <v>2745</v>
      </c>
      <c r="D1263" s="33" t="s">
        <v>30</v>
      </c>
      <c r="E1263" s="33" t="s">
        <v>380</v>
      </c>
      <c r="F1263" s="11"/>
      <c r="G1263" s="34" t="s">
        <v>622</v>
      </c>
      <c r="H1263" s="33">
        <v>2023</v>
      </c>
      <c r="I1263" s="36" t="s">
        <v>382</v>
      </c>
      <c r="J1263" s="8">
        <f>+Tabla1[[#This Row],[FECHA ENTRADA]]</f>
        <v>45425</v>
      </c>
      <c r="K1263" s="22">
        <v>45821</v>
      </c>
      <c r="L1263" s="13">
        <f>_xlfn.DAYS(Tabla1[[#This Row],[FECHA FIN ]],Tabla1[[#This Row],[FECHA INICIO]])</f>
        <v>396</v>
      </c>
      <c r="M1263" s="12"/>
      <c r="N1263" s="24"/>
      <c r="O1263" s="36">
        <f>(Tabla1[[#This Row],[COSTO FIJO ]]/30)*Tabla1[[#This Row],[TOTAL DIAS PROYECTO]]+(Tabla1[[#This Row],[COSTO TEMPORAL]])</f>
        <v>0</v>
      </c>
      <c r="P1263" s="36"/>
      <c r="Q1263" s="36">
        <f>+(Tabla1[[#This Row],[COSTO COCHE]]/30)*Tabla1[[#This Row],[TOTAL DIAS PROYECTO]]</f>
        <v>0</v>
      </c>
      <c r="R1263" s="36">
        <f>+Tabla1[[#This Row],[COSTO TOTAL ALOJAMIENTO]]+Tabla1[[#This Row],[COSTO TOTAL COCHE]]</f>
        <v>0</v>
      </c>
      <c r="S1263" s="33"/>
      <c r="T1263" s="33" t="s">
        <v>35</v>
      </c>
      <c r="U1263" s="37">
        <v>45425</v>
      </c>
      <c r="V1263" s="37">
        <v>45478</v>
      </c>
      <c r="W1263" s="40"/>
      <c r="X1263" s="33">
        <v>5</v>
      </c>
      <c r="Y1263" s="34" t="s">
        <v>623</v>
      </c>
      <c r="Z1263" s="33" t="s">
        <v>36</v>
      </c>
      <c r="AA1263" s="13" t="s">
        <v>10370</v>
      </c>
      <c r="AB1263" s="13" t="s">
        <v>10371</v>
      </c>
    </row>
    <row r="1264" spans="1:28" ht="15" customHeight="1">
      <c r="A1264" s="2" t="s">
        <v>9301</v>
      </c>
      <c r="B1264" s="2" t="s">
        <v>28</v>
      </c>
      <c r="C1264" s="104" t="s">
        <v>2746</v>
      </c>
      <c r="D1264" s="2" t="s">
        <v>78</v>
      </c>
      <c r="E1264" s="2" t="s">
        <v>79</v>
      </c>
      <c r="F1264" s="11" t="s">
        <v>142</v>
      </c>
      <c r="G1264" s="11" t="s">
        <v>143</v>
      </c>
      <c r="H1264" s="2" t="s">
        <v>2747</v>
      </c>
      <c r="I1264" s="29" t="s">
        <v>145</v>
      </c>
      <c r="J1264" s="8">
        <f>+Tabla1[[#This Row],[FECHA ENTRADA]]</f>
        <v>45433</v>
      </c>
      <c r="K1264" s="22">
        <v>45821</v>
      </c>
      <c r="L1264" s="13">
        <f>_xlfn.DAYS(Tabla1[[#This Row],[FECHA FIN ]],Tabla1[[#This Row],[FECHA INICIO]])</f>
        <v>388</v>
      </c>
      <c r="M1264" s="12"/>
      <c r="N1264" s="12">
        <f>1811.6/17</f>
        <v>106.56470588235294</v>
      </c>
      <c r="O1264" s="12">
        <f>(Tabla1[[#This Row],[COSTO FIJO ]]/30)*Tabla1[[#This Row],[TOTAL DIAS PROYECTO]]+(Tabla1[[#This Row],[COSTO TEMPORAL]])</f>
        <v>1378.2368627450981</v>
      </c>
      <c r="P1264" s="12"/>
      <c r="Q1264" s="12">
        <f>+(Tabla1[[#This Row],[COSTO COCHE]]/30)*Tabla1[[#This Row],[TOTAL DIAS PROYECTO]]</f>
        <v>0</v>
      </c>
      <c r="R1264" s="12">
        <f>+Tabla1[[#This Row],[COSTO TOTAL ALOJAMIENTO]]+Tabla1[[#This Row],[COSTO TOTAL COCHE]]</f>
        <v>1378.2368627450981</v>
      </c>
      <c r="S1264" s="2"/>
      <c r="T1264" s="2" t="s">
        <v>44</v>
      </c>
      <c r="U1264" s="14">
        <v>45433</v>
      </c>
      <c r="V1264" s="14">
        <v>45556</v>
      </c>
      <c r="W1264" s="26"/>
      <c r="X1264" s="2">
        <v>20</v>
      </c>
      <c r="Y1264" s="18" t="s">
        <v>1238</v>
      </c>
      <c r="Z1264" s="2" t="s">
        <v>36</v>
      </c>
      <c r="AA1264" s="13" t="s">
        <v>10333</v>
      </c>
      <c r="AB1264" s="13" t="s">
        <v>10334</v>
      </c>
    </row>
    <row r="1265" spans="1:28" ht="15" customHeight="1">
      <c r="A1265" s="2" t="s">
        <v>8869</v>
      </c>
      <c r="B1265" s="2" t="s">
        <v>28</v>
      </c>
      <c r="C1265" s="182" t="s">
        <v>1097</v>
      </c>
      <c r="D1265" s="2" t="s">
        <v>30</v>
      </c>
      <c r="E1265" s="2" t="s">
        <v>415</v>
      </c>
      <c r="F1265" s="11" t="s">
        <v>1290</v>
      </c>
      <c r="G1265" s="30" t="s">
        <v>1291</v>
      </c>
      <c r="H1265" s="2" t="s">
        <v>2748</v>
      </c>
      <c r="I1265" s="12" t="s">
        <v>800</v>
      </c>
      <c r="J1265" s="41">
        <f>+Tabla1[[#This Row],[FECHA ENTRADA]]</f>
        <v>45635</v>
      </c>
      <c r="K1265" s="22">
        <v>45775</v>
      </c>
      <c r="L1265" s="42">
        <f>_xlfn.DAYS(Tabla1[[#This Row],[FECHA FIN ]],Tabla1[[#This Row],[FECHA INICIO]])</f>
        <v>140</v>
      </c>
      <c r="M1265" s="12"/>
      <c r="N1265" s="12">
        <v>145</v>
      </c>
      <c r="O1265" s="28">
        <f>(Tabla1[[#This Row],[COSTO FIJO ]]/30)*Tabla1[[#This Row],[TOTAL DIAS PROYECTO]]+(Tabla1[[#This Row],[COSTO TEMPORAL]])</f>
        <v>676.66666666666663</v>
      </c>
      <c r="P1265" s="12">
        <f>732.9/12</f>
        <v>61.074999999999996</v>
      </c>
      <c r="Q1265" s="12">
        <f>+(Tabla1[[#This Row],[COSTO COCHE]]/30)*Tabla1[[#This Row],[TOTAL DIAS PROYECTO]]</f>
        <v>285.01666666666665</v>
      </c>
      <c r="R1265" s="12">
        <f>+Tabla1[[#This Row],[COSTO TOTAL ALOJAMIENTO]]+Tabla1[[#This Row],[COSTO TOTAL COCHE]]</f>
        <v>961.68333333333328</v>
      </c>
      <c r="S1265" s="2"/>
      <c r="T1265" s="2" t="s">
        <v>35</v>
      </c>
      <c r="U1265" s="14">
        <v>45635</v>
      </c>
      <c r="V1265" s="43"/>
      <c r="W1265" s="26"/>
      <c r="X1265" s="2">
        <v>1</v>
      </c>
      <c r="Y1265" s="31" t="s">
        <v>1292</v>
      </c>
      <c r="Z1265" s="2" t="s">
        <v>36</v>
      </c>
      <c r="AA1265" s="13">
        <v>-0.37739</v>
      </c>
      <c r="AB1265" s="13" t="s">
        <v>10372</v>
      </c>
    </row>
    <row r="1266" spans="1:28" ht="15" customHeight="1">
      <c r="A1266" s="2" t="s">
        <v>9302</v>
      </c>
      <c r="B1266" s="2" t="s">
        <v>28</v>
      </c>
      <c r="C1266" s="18" t="s">
        <v>2749</v>
      </c>
      <c r="D1266" s="2" t="s">
        <v>78</v>
      </c>
      <c r="E1266" s="2" t="s">
        <v>79</v>
      </c>
      <c r="F1266" s="11" t="s">
        <v>142</v>
      </c>
      <c r="G1266" s="11" t="s">
        <v>143</v>
      </c>
      <c r="H1266" s="2" t="s">
        <v>2747</v>
      </c>
      <c r="I1266" s="29" t="s">
        <v>145</v>
      </c>
      <c r="J1266" s="8">
        <f>+Tabla1[[#This Row],[FECHA ENTRADA]]</f>
        <v>45433</v>
      </c>
      <c r="K1266" s="22">
        <v>45821</v>
      </c>
      <c r="L1266" s="13">
        <f>_xlfn.DAYS(Tabla1[[#This Row],[FECHA FIN ]],Tabla1[[#This Row],[FECHA INICIO]])</f>
        <v>388</v>
      </c>
      <c r="M1266" s="12"/>
      <c r="N1266" s="12">
        <v>770.93</v>
      </c>
      <c r="O1266" s="12">
        <f>(Tabla1[[#This Row],[COSTO FIJO ]]/30)*Tabla1[[#This Row],[TOTAL DIAS PROYECTO]]+(Tabla1[[#This Row],[COSTO TEMPORAL]])</f>
        <v>9970.6946666666663</v>
      </c>
      <c r="P1266" s="12"/>
      <c r="Q1266" s="12">
        <f>+(Tabla1[[#This Row],[COSTO COCHE]]/30)*Tabla1[[#This Row],[TOTAL DIAS PROYECTO]]</f>
        <v>0</v>
      </c>
      <c r="R1266" s="12">
        <f>+Tabla1[[#This Row],[COSTO TOTAL ALOJAMIENTO]]+Tabla1[[#This Row],[COSTO TOTAL COCHE]]</f>
        <v>9970.6946666666663</v>
      </c>
      <c r="S1266" s="2"/>
      <c r="T1266" s="2" t="s">
        <v>44</v>
      </c>
      <c r="U1266" s="14">
        <v>45433</v>
      </c>
      <c r="V1266" s="14">
        <v>45556</v>
      </c>
      <c r="W1266" s="26"/>
      <c r="X1266" s="2">
        <v>20</v>
      </c>
      <c r="Y1266" s="18" t="s">
        <v>1238</v>
      </c>
      <c r="Z1266" s="2" t="s">
        <v>36</v>
      </c>
      <c r="AA1266" s="13" t="s">
        <v>10333</v>
      </c>
      <c r="AB1266" s="13" t="s">
        <v>10334</v>
      </c>
    </row>
    <row r="1267" spans="1:28">
      <c r="A1267" s="2" t="s">
        <v>8964</v>
      </c>
      <c r="B1267" s="2" t="s">
        <v>368</v>
      </c>
      <c r="C1267" s="11" t="s">
        <v>1519</v>
      </c>
      <c r="D1267" s="2" t="s">
        <v>30</v>
      </c>
      <c r="E1267" s="2" t="s">
        <v>213</v>
      </c>
      <c r="F1267" s="11" t="s">
        <v>1525</v>
      </c>
      <c r="G1267" t="s">
        <v>1197</v>
      </c>
      <c r="H1267" s="2" t="s">
        <v>1198</v>
      </c>
      <c r="I1267" s="12" t="s">
        <v>514</v>
      </c>
      <c r="J1267" s="22">
        <f>+Tabla1[[#This Row],[FECHA ENTRADA]]</f>
        <v>45585</v>
      </c>
      <c r="K1267" s="22">
        <v>45821</v>
      </c>
      <c r="L1267" s="23">
        <f>_xlfn.DAYS(Tabla1[[#This Row],[FECHA FIN ]],Tabla1[[#This Row],[FECHA INICIO]])</f>
        <v>236</v>
      </c>
      <c r="M1267" s="12"/>
      <c r="N1267" s="12"/>
      <c r="O1267" s="24">
        <f>(Tabla1[[#This Row],[COSTO FIJO ]]/30)*Tabla1[[#This Row],[TOTAL DIAS PROYECTO]]+(Tabla1[[#This Row],[COSTO TEMPORAL]])</f>
        <v>0</v>
      </c>
      <c r="P1267" s="12"/>
      <c r="Q1267" s="12">
        <f>+(Tabla1[[#This Row],[COSTO COCHE]]/30)*Tabla1[[#This Row],[TOTAL DIAS PROYECTO]]</f>
        <v>0</v>
      </c>
      <c r="R1267" s="12">
        <f>+Tabla1[[#This Row],[COSTO TOTAL ALOJAMIENTO]]+Tabla1[[#This Row],[COSTO TOTAL COCHE]]</f>
        <v>0</v>
      </c>
      <c r="S1267" s="2"/>
      <c r="T1267" s="2" t="s">
        <v>35</v>
      </c>
      <c r="U1267" s="14">
        <v>45585</v>
      </c>
      <c r="V1267" s="25"/>
      <c r="W1267" s="26"/>
      <c r="X1267" s="2">
        <v>1</v>
      </c>
      <c r="Y1267" s="11" t="s">
        <v>1526</v>
      </c>
      <c r="Z1267" s="2" t="s">
        <v>36</v>
      </c>
      <c r="AA1267" s="13" t="s">
        <v>10349</v>
      </c>
      <c r="AB1267" s="13" t="s">
        <v>10350</v>
      </c>
    </row>
    <row r="1268" spans="1:28" ht="30.75" customHeight="1">
      <c r="A1268" s="2" t="s">
        <v>9303</v>
      </c>
      <c r="B1268" s="2" t="s">
        <v>28</v>
      </c>
      <c r="C1268" s="11" t="s">
        <v>2750</v>
      </c>
      <c r="D1268" s="2" t="s">
        <v>30</v>
      </c>
      <c r="E1268" s="2" t="s">
        <v>253</v>
      </c>
      <c r="F1268" s="11" t="s">
        <v>2751</v>
      </c>
      <c r="G1268" s="30" t="s">
        <v>981</v>
      </c>
      <c r="H1268" s="2" t="s">
        <v>2752</v>
      </c>
      <c r="I1268" s="12" t="s">
        <v>582</v>
      </c>
      <c r="J1268" s="8">
        <f>+Tabla1[[#This Row],[FECHA ENTRADA]]</f>
        <v>45445</v>
      </c>
      <c r="K1268" s="22">
        <v>45821</v>
      </c>
      <c r="L1268" s="13">
        <f>_xlfn.DAYS(Tabla1[[#This Row],[FECHA FIN ]],Tabla1[[#This Row],[FECHA INICIO]])</f>
        <v>376</v>
      </c>
      <c r="M1268" s="12"/>
      <c r="N1268" s="12"/>
      <c r="O1268" s="12">
        <f>(Tabla1[[#This Row],[COSTO FIJO ]]/30)*Tabla1[[#This Row],[TOTAL DIAS PROYECTO]]+(Tabla1[[#This Row],[COSTO TEMPORAL]])</f>
        <v>0</v>
      </c>
      <c r="P1268" s="12"/>
      <c r="Q1268" s="12">
        <f>+(Tabla1[[#This Row],[COSTO COCHE]]/30)*Tabla1[[#This Row],[TOTAL DIAS PROYECTO]]</f>
        <v>0</v>
      </c>
      <c r="R1268" s="12">
        <f>+Tabla1[[#This Row],[COSTO TOTAL ALOJAMIENTO]]+Tabla1[[#This Row],[COSTO TOTAL COCHE]]</f>
        <v>0</v>
      </c>
      <c r="S1268" s="2"/>
      <c r="T1268" s="2" t="s">
        <v>35</v>
      </c>
      <c r="U1268" s="14">
        <v>45445</v>
      </c>
      <c r="V1268" s="14"/>
      <c r="W1268" s="26"/>
      <c r="X1268" s="2">
        <v>1</v>
      </c>
      <c r="Y1268" s="18" t="s">
        <v>2753</v>
      </c>
      <c r="Z1268" s="2" t="s">
        <v>36</v>
      </c>
      <c r="AA1268" s="13" t="s">
        <v>10357</v>
      </c>
      <c r="AB1268" s="13" t="s">
        <v>10358</v>
      </c>
    </row>
    <row r="1269" spans="1:28" ht="15" customHeight="1">
      <c r="A1269" s="2" t="s">
        <v>9304</v>
      </c>
      <c r="B1269" s="2" t="s">
        <v>368</v>
      </c>
      <c r="C1269" s="11" t="s">
        <v>2754</v>
      </c>
      <c r="D1269" s="2" t="s">
        <v>30</v>
      </c>
      <c r="E1269" s="2" t="s">
        <v>855</v>
      </c>
      <c r="F1269" s="11" t="s">
        <v>2755</v>
      </c>
      <c r="G1269" s="46" t="s">
        <v>2756</v>
      </c>
      <c r="H1269" s="2" t="s">
        <v>2757</v>
      </c>
      <c r="I1269" s="12" t="s">
        <v>2758</v>
      </c>
      <c r="J1269" s="41">
        <f>+Tabla1[[#This Row],[FECHA ENTRADA]]</f>
        <v>45558</v>
      </c>
      <c r="K1269" s="22">
        <v>45821</v>
      </c>
      <c r="L1269" s="42">
        <f>_xlfn.DAYS(Tabla1[[#This Row],[FECHA FIN ]],Tabla1[[#This Row],[FECHA INICIO]])</f>
        <v>263</v>
      </c>
      <c r="M1269" s="12"/>
      <c r="N1269" s="12">
        <f>1811.6/17</f>
        <v>106.56470588235294</v>
      </c>
      <c r="O1269" s="28">
        <f>(Tabla1[[#This Row],[COSTO FIJO ]]/30)*Tabla1[[#This Row],[TOTAL DIAS PROYECTO]]+(Tabla1[[#This Row],[COSTO TEMPORAL]])</f>
        <v>934.21725490196081</v>
      </c>
      <c r="P1269" s="12">
        <f>+(573.76*50%)/6</f>
        <v>47.813333333333333</v>
      </c>
      <c r="Q1269" s="12">
        <f>+(Tabla1[[#This Row],[COSTO COCHE]]/30)*Tabla1[[#This Row],[TOTAL DIAS PROYECTO]]</f>
        <v>419.16355555555555</v>
      </c>
      <c r="R1269" s="12">
        <f>+Tabla1[[#This Row],[COSTO TOTAL ALOJAMIENTO]]+Tabla1[[#This Row],[COSTO TOTAL COCHE]]</f>
        <v>1353.3808104575164</v>
      </c>
      <c r="S1269" s="2" t="s">
        <v>403</v>
      </c>
      <c r="T1269" s="2" t="s">
        <v>528</v>
      </c>
      <c r="U1269" s="14">
        <v>45558</v>
      </c>
      <c r="V1269" s="43">
        <v>45572</v>
      </c>
      <c r="W1269" s="26"/>
      <c r="X1269" s="2"/>
      <c r="Y1269" s="11"/>
      <c r="Z1269" s="2" t="s">
        <v>36</v>
      </c>
      <c r="AA1269" s="13" t="s">
        <v>10401</v>
      </c>
      <c r="AB1269" s="13" t="s">
        <v>10402</v>
      </c>
    </row>
    <row r="1270" spans="1:28" ht="15" customHeight="1">
      <c r="A1270" s="2" t="s">
        <v>8838</v>
      </c>
      <c r="B1270" s="2" t="s">
        <v>368</v>
      </c>
      <c r="C1270" s="18" t="s">
        <v>965</v>
      </c>
      <c r="D1270" s="2" t="s">
        <v>30</v>
      </c>
      <c r="E1270" s="2" t="s">
        <v>855</v>
      </c>
      <c r="F1270" s="11" t="s">
        <v>2755</v>
      </c>
      <c r="G1270" s="46" t="s">
        <v>2756</v>
      </c>
      <c r="H1270" s="2" t="s">
        <v>2757</v>
      </c>
      <c r="I1270" s="12" t="s">
        <v>2758</v>
      </c>
      <c r="J1270" s="41">
        <f>+Tabla1[[#This Row],[FECHA ENTRADA]]</f>
        <v>45558</v>
      </c>
      <c r="K1270" s="22">
        <v>45821</v>
      </c>
      <c r="L1270" s="42">
        <f>_xlfn.DAYS(Tabla1[[#This Row],[FECHA FIN ]],Tabla1[[#This Row],[FECHA INICIO]])</f>
        <v>263</v>
      </c>
      <c r="M1270" s="12"/>
      <c r="N1270" s="20"/>
      <c r="O1270" s="28">
        <f>(Tabla1[[#This Row],[COSTO FIJO ]]/30)*Tabla1[[#This Row],[TOTAL DIAS PROYECTO]]+(Tabla1[[#This Row],[COSTO TEMPORAL]])</f>
        <v>0</v>
      </c>
      <c r="P1270" s="12">
        <f>+(573.76*50%)/6</f>
        <v>47.813333333333333</v>
      </c>
      <c r="Q1270" s="12">
        <f>+(Tabla1[[#This Row],[COSTO COCHE]]/30)*Tabla1[[#This Row],[TOTAL DIAS PROYECTO]]</f>
        <v>419.16355555555555</v>
      </c>
      <c r="R1270" s="12">
        <f>+Tabla1[[#This Row],[COSTO TOTAL ALOJAMIENTO]]+Tabla1[[#This Row],[COSTO TOTAL COCHE]]</f>
        <v>419.16355555555555</v>
      </c>
      <c r="S1270" s="2" t="s">
        <v>403</v>
      </c>
      <c r="T1270" s="2" t="s">
        <v>528</v>
      </c>
      <c r="U1270" s="14">
        <v>45558</v>
      </c>
      <c r="V1270" s="43">
        <v>45572</v>
      </c>
      <c r="W1270" s="26"/>
      <c r="X1270" s="2"/>
      <c r="Y1270" s="11"/>
      <c r="Z1270" s="2" t="s">
        <v>36</v>
      </c>
      <c r="AA1270" s="13" t="s">
        <v>10401</v>
      </c>
      <c r="AB1270" s="13" t="s">
        <v>10402</v>
      </c>
    </row>
    <row r="1271" spans="1:28" ht="15" customHeight="1">
      <c r="A1271" s="2" t="s">
        <v>9305</v>
      </c>
      <c r="B1271" s="2" t="s">
        <v>28</v>
      </c>
      <c r="C1271" s="11" t="s">
        <v>2759</v>
      </c>
      <c r="D1271" s="2" t="s">
        <v>99</v>
      </c>
      <c r="E1271" s="2" t="s">
        <v>245</v>
      </c>
      <c r="F1271" s="11" t="s">
        <v>2760</v>
      </c>
      <c r="G1271" s="49" t="s">
        <v>2597</v>
      </c>
      <c r="H1271" s="2" t="s">
        <v>2761</v>
      </c>
      <c r="I1271" s="10" t="s">
        <v>249</v>
      </c>
      <c r="J1271" s="22">
        <f>+Tabla1[[#This Row],[FECHA ENTRADA]]</f>
        <v>45707</v>
      </c>
      <c r="K1271" s="22">
        <v>45821</v>
      </c>
      <c r="L1271" s="23">
        <f>_xlfn.DAYS(Tabla1[[#This Row],[FECHA FIN ]],Tabla1[[#This Row],[FECHA INICIO]])</f>
        <v>114</v>
      </c>
      <c r="M1271" s="12"/>
      <c r="N1271" s="12"/>
      <c r="O1271" s="24">
        <f>(Tabla1[[#This Row],[COSTO FIJO ]]/30)*Tabla1[[#This Row],[TOTAL DIAS PROYECTO]]+(Tabla1[[#This Row],[COSTO TEMPORAL]])</f>
        <v>0</v>
      </c>
      <c r="P1271" s="12">
        <f>1600/22</f>
        <v>72.727272727272734</v>
      </c>
      <c r="Q1271" s="12">
        <f>+(Tabla1[[#This Row],[COSTO COCHE]]/30)*Tabla1[[#This Row],[TOTAL DIAS PROYECTO]]</f>
        <v>276.36363636363637</v>
      </c>
      <c r="R1271" s="12">
        <f>+Tabla1[[#This Row],[COSTO TOTAL ALOJAMIENTO]]+Tabla1[[#This Row],[COSTO TOTAL COCHE]]</f>
        <v>276.36363636363637</v>
      </c>
      <c r="S1271" s="2"/>
      <c r="T1271" s="2" t="s">
        <v>613</v>
      </c>
      <c r="U1271" s="14">
        <v>45707</v>
      </c>
      <c r="V1271" s="25"/>
      <c r="W1271" s="26"/>
      <c r="X1271" s="2">
        <v>16</v>
      </c>
      <c r="Y1271" s="11"/>
      <c r="Z1271" s="2" t="s">
        <v>36</v>
      </c>
      <c r="AA1271" s="13" t="s">
        <v>10355</v>
      </c>
      <c r="AB1271" s="13" t="s">
        <v>10356</v>
      </c>
    </row>
    <row r="1272" spans="1:28" ht="15" customHeight="1">
      <c r="A1272" s="2" t="s">
        <v>9306</v>
      </c>
      <c r="B1272" s="2" t="s">
        <v>28</v>
      </c>
      <c r="C1272" s="11" t="s">
        <v>2762</v>
      </c>
      <c r="D1272" s="2" t="s">
        <v>99</v>
      </c>
      <c r="E1272" s="2" t="s">
        <v>109</v>
      </c>
      <c r="F1272" s="11" t="s">
        <v>1793</v>
      </c>
      <c r="G1272" s="21">
        <v>973266788</v>
      </c>
      <c r="H1272" s="2" t="s">
        <v>2763</v>
      </c>
      <c r="I1272" s="12" t="s">
        <v>34</v>
      </c>
      <c r="J1272" s="22">
        <f>+Tabla1[[#This Row],[FECHA ENTRADA]]</f>
        <v>45711</v>
      </c>
      <c r="K1272" s="22">
        <v>45738</v>
      </c>
      <c r="L1272" s="23">
        <f>_xlfn.DAYS(Tabla1[[#This Row],[FECHA FIN ]],Tabla1[[#This Row],[FECHA INICIO]])</f>
        <v>27</v>
      </c>
      <c r="M1272" s="12"/>
      <c r="N1272" s="12"/>
      <c r="O1272" s="24">
        <f>(Tabla1[[#This Row],[COSTO FIJO ]]/30)*Tabla1[[#This Row],[TOTAL DIAS PROYECTO]]+(Tabla1[[#This Row],[COSTO TEMPORAL]])</f>
        <v>0</v>
      </c>
      <c r="P1272" s="12"/>
      <c r="Q1272" s="12">
        <f>+(Tabla1[[#This Row],[COSTO COCHE]]/30)*Tabla1[[#This Row],[TOTAL DIAS PROYECTO]]</f>
        <v>0</v>
      </c>
      <c r="R1272" s="12">
        <f>+Tabla1[[#This Row],[COSTO TOTAL ALOJAMIENTO]]+Tabla1[[#This Row],[COSTO TOTAL COCHE]]</f>
        <v>0</v>
      </c>
      <c r="S1272" s="2"/>
      <c r="T1272" s="2" t="s">
        <v>44</v>
      </c>
      <c r="U1272" s="14">
        <v>45711</v>
      </c>
      <c r="V1272" s="25">
        <v>45738</v>
      </c>
      <c r="W1272" s="26"/>
      <c r="X1272" s="2"/>
      <c r="Y1272" s="11" t="s">
        <v>1166</v>
      </c>
      <c r="Z1272" s="2" t="s">
        <v>36</v>
      </c>
      <c r="AA1272" s="13">
        <v>0.62217999999999996</v>
      </c>
      <c r="AB1272" s="13" t="s">
        <v>10339</v>
      </c>
    </row>
    <row r="1273" spans="1:28" ht="15" customHeight="1">
      <c r="A1273" s="2" t="s">
        <v>9165</v>
      </c>
      <c r="B1273" s="2" t="s">
        <v>978</v>
      </c>
      <c r="C1273" s="11" t="s">
        <v>2289</v>
      </c>
      <c r="D1273" s="2" t="s">
        <v>30</v>
      </c>
      <c r="E1273" s="2" t="s">
        <v>31</v>
      </c>
      <c r="F1273" s="11" t="s">
        <v>530</v>
      </c>
      <c r="G1273" s="46" t="s">
        <v>531</v>
      </c>
      <c r="H1273" s="2" t="s">
        <v>2764</v>
      </c>
      <c r="I1273" s="12" t="s">
        <v>2765</v>
      </c>
      <c r="J1273" s="41">
        <f>+Tabla1[[#This Row],[FECHA ENTRADA]]</f>
        <v>45637</v>
      </c>
      <c r="K1273" s="22">
        <v>45821</v>
      </c>
      <c r="L1273" s="42">
        <f>_xlfn.DAYS(Tabla1[[#This Row],[FECHA FIN ]],Tabla1[[#This Row],[FECHA INICIO]])</f>
        <v>184</v>
      </c>
      <c r="M1273" s="12"/>
      <c r="N1273" s="12"/>
      <c r="O1273" s="28">
        <f>(Tabla1[[#This Row],[COSTO FIJO ]]/30)*Tabla1[[#This Row],[TOTAL DIAS PROYECTO]]+(Tabla1[[#This Row],[COSTO TEMPORAL]])</f>
        <v>0</v>
      </c>
      <c r="P1273" s="12"/>
      <c r="Q1273" s="12">
        <f>+(Tabla1[[#This Row],[COSTO COCHE]]/30)*Tabla1[[#This Row],[TOTAL DIAS PROYECTO]]</f>
        <v>0</v>
      </c>
      <c r="R1273" s="12">
        <f>+Tabla1[[#This Row],[COSTO TOTAL ALOJAMIENTO]]+Tabla1[[#This Row],[COSTO TOTAL COCHE]]</f>
        <v>0</v>
      </c>
      <c r="S1273" s="2"/>
      <c r="T1273" s="2" t="s">
        <v>35</v>
      </c>
      <c r="U1273" s="14">
        <v>45637</v>
      </c>
      <c r="V1273" s="43"/>
      <c r="W1273" s="26"/>
      <c r="X1273" s="2">
        <v>1</v>
      </c>
      <c r="Y1273" s="11"/>
      <c r="Z1273" s="2" t="s">
        <v>36</v>
      </c>
      <c r="AA1273" s="13" t="s">
        <v>10323</v>
      </c>
      <c r="AB1273" s="13" t="s">
        <v>10324</v>
      </c>
    </row>
    <row r="1274" spans="1:28" ht="15" customHeight="1">
      <c r="A1274" s="2" t="s">
        <v>8638</v>
      </c>
      <c r="B1274" s="2" t="s">
        <v>28</v>
      </c>
      <c r="C1274" s="11" t="s">
        <v>2766</v>
      </c>
      <c r="D1274" s="2" t="s">
        <v>30</v>
      </c>
      <c r="E1274" s="2" t="s">
        <v>422</v>
      </c>
      <c r="F1274" s="11" t="s">
        <v>2585</v>
      </c>
      <c r="G1274" s="49" t="s">
        <v>2452</v>
      </c>
      <c r="H1274" s="2" t="s">
        <v>2767</v>
      </c>
      <c r="I1274" s="139" t="s">
        <v>2454</v>
      </c>
      <c r="J1274" s="22">
        <f>+Tabla1[[#This Row],[FECHA ENTRADA]]</f>
        <v>45755</v>
      </c>
      <c r="K1274" s="22">
        <v>45760</v>
      </c>
      <c r="L1274" s="23">
        <f>_xlfn.DAYS(Tabla1[[#This Row],[FECHA FIN ]],Tabla1[[#This Row],[FECHA INICIO]])</f>
        <v>5</v>
      </c>
      <c r="M1274" s="12"/>
      <c r="N1274" s="12"/>
      <c r="O1274" s="24">
        <f>(Tabla1[[#This Row],[COSTO FIJO ]]/30)*Tabla1[[#This Row],[TOTAL DIAS PROYECTO]]+(Tabla1[[#This Row],[COSTO TEMPORAL]])</f>
        <v>0</v>
      </c>
      <c r="P1274" s="12"/>
      <c r="Q1274" s="12">
        <f>+(Tabla1[[#This Row],[COSTO COCHE]]/30)*Tabla1[[#This Row],[TOTAL DIAS PROYECTO]]</f>
        <v>0</v>
      </c>
      <c r="R1274" s="12">
        <f>+Tabla1[[#This Row],[COSTO TOTAL ALOJAMIENTO]]+Tabla1[[#This Row],[COSTO TOTAL COCHE]]</f>
        <v>0</v>
      </c>
      <c r="S1274" s="2"/>
      <c r="T1274" s="14" t="s">
        <v>44</v>
      </c>
      <c r="U1274" s="14">
        <v>45755</v>
      </c>
      <c r="V1274" s="25">
        <v>45760</v>
      </c>
      <c r="W1274" s="2"/>
      <c r="X1274" s="2"/>
      <c r="Y1274" s="11" t="s">
        <v>1166</v>
      </c>
      <c r="Z1274" s="2" t="s">
        <v>36</v>
      </c>
      <c r="AA1274" s="13">
        <v>-326.69799999999998</v>
      </c>
      <c r="AB1274" s="13" t="s">
        <v>10373</v>
      </c>
    </row>
    <row r="1275" spans="1:28" ht="15" customHeight="1">
      <c r="A1275" s="2" t="s">
        <v>9068</v>
      </c>
      <c r="B1275" s="2" t="s">
        <v>368</v>
      </c>
      <c r="C1275" s="115" t="s">
        <v>1868</v>
      </c>
      <c r="D1275" s="2" t="s">
        <v>30</v>
      </c>
      <c r="E1275" s="2" t="s">
        <v>538</v>
      </c>
      <c r="F1275" s="11" t="s">
        <v>539</v>
      </c>
      <c r="G1275" s="11" t="s">
        <v>540</v>
      </c>
      <c r="H1275" s="2" t="s">
        <v>2510</v>
      </c>
      <c r="I1275" s="12" t="s">
        <v>843</v>
      </c>
      <c r="J1275" s="41">
        <v>45568</v>
      </c>
      <c r="K1275" s="22">
        <v>45821</v>
      </c>
      <c r="L1275" s="13">
        <f>_xlfn.DAYS(Tabla1[[#This Row],[FECHA FIN ]],Tabla1[[#This Row],[FECHA INICIO]])</f>
        <v>253</v>
      </c>
      <c r="M1275" s="12"/>
      <c r="N1275" s="24"/>
      <c r="O1275" s="28">
        <f>(Tabla1[[#This Row],[COSTO FIJO ]]/30)*Tabla1[[#This Row],[TOTAL DIAS PROYECTO]]+(Tabla1[[#This Row],[COSTO TEMPORAL]])</f>
        <v>0</v>
      </c>
      <c r="P1275" s="12">
        <f>+(613.83*50%)/4</f>
        <v>76.728750000000005</v>
      </c>
      <c r="Q1275" s="12">
        <f>+(Tabla1[[#This Row],[COSTO COCHE]]/30)*Tabla1[[#This Row],[TOTAL DIAS PROYECTO]]</f>
        <v>647.07912500000009</v>
      </c>
      <c r="R1275" s="12">
        <f>+Tabla1[[#This Row],[COSTO TOTAL ALOJAMIENTO]]+Tabla1[[#This Row],[COSTO TOTAL COCHE]]</f>
        <v>647.07912500000009</v>
      </c>
      <c r="S1275" s="2"/>
      <c r="T1275" s="2" t="s">
        <v>35</v>
      </c>
      <c r="U1275" s="14"/>
      <c r="V1275" s="43"/>
      <c r="W1275" s="26"/>
      <c r="X1275" s="2">
        <v>1</v>
      </c>
      <c r="Y1275" s="11"/>
      <c r="Z1275" s="2" t="s">
        <v>36</v>
      </c>
      <c r="AA1275" s="13">
        <v>-378939</v>
      </c>
      <c r="AB1275" s="13">
        <v>3776578</v>
      </c>
    </row>
    <row r="1276" spans="1:28" ht="15" customHeight="1">
      <c r="A1276" s="2" t="s">
        <v>8638</v>
      </c>
      <c r="B1276" s="2" t="s">
        <v>28</v>
      </c>
      <c r="C1276" s="11" t="s">
        <v>2768</v>
      </c>
      <c r="D1276" s="2" t="s">
        <v>30</v>
      </c>
      <c r="E1276" s="2" t="s">
        <v>422</v>
      </c>
      <c r="F1276" s="11" t="s">
        <v>2585</v>
      </c>
      <c r="G1276" s="49" t="s">
        <v>2452</v>
      </c>
      <c r="H1276" s="2" t="s">
        <v>2767</v>
      </c>
      <c r="I1276" s="139" t="s">
        <v>2454</v>
      </c>
      <c r="J1276" s="22">
        <f>+Tabla1[[#This Row],[FECHA ENTRADA]]</f>
        <v>45755</v>
      </c>
      <c r="K1276" s="22">
        <v>45760</v>
      </c>
      <c r="L1276" s="23">
        <f>_xlfn.DAYS(Tabla1[[#This Row],[FECHA FIN ]],Tabla1[[#This Row],[FECHA INICIO]])</f>
        <v>5</v>
      </c>
      <c r="M1276" s="12"/>
      <c r="N1276" s="12"/>
      <c r="O1276" s="24">
        <f>(Tabla1[[#This Row],[COSTO FIJO ]]/30)*Tabla1[[#This Row],[TOTAL DIAS PROYECTO]]+(Tabla1[[#This Row],[COSTO TEMPORAL]])</f>
        <v>0</v>
      </c>
      <c r="P1276" s="12"/>
      <c r="Q1276" s="12">
        <f>+(Tabla1[[#This Row],[COSTO COCHE]]/30)*Tabla1[[#This Row],[TOTAL DIAS PROYECTO]]</f>
        <v>0</v>
      </c>
      <c r="R1276" s="12">
        <f>+Tabla1[[#This Row],[COSTO TOTAL ALOJAMIENTO]]+Tabla1[[#This Row],[COSTO TOTAL COCHE]]</f>
        <v>0</v>
      </c>
      <c r="S1276" s="2"/>
      <c r="T1276" s="14" t="s">
        <v>44</v>
      </c>
      <c r="U1276" s="14">
        <v>45755</v>
      </c>
      <c r="V1276" s="25">
        <v>45760</v>
      </c>
      <c r="W1276" s="2"/>
      <c r="X1276" s="2"/>
      <c r="Y1276" s="11" t="s">
        <v>1166</v>
      </c>
      <c r="Z1276" s="2" t="s">
        <v>36</v>
      </c>
      <c r="AA1276" s="13">
        <v>-326.69799999999998</v>
      </c>
      <c r="AB1276" s="13" t="s">
        <v>10373</v>
      </c>
    </row>
    <row r="1277" spans="1:28" ht="15" customHeight="1">
      <c r="A1277" s="2" t="s">
        <v>8638</v>
      </c>
      <c r="B1277" s="2" t="s">
        <v>28</v>
      </c>
      <c r="C1277" s="11" t="s">
        <v>2769</v>
      </c>
      <c r="D1277" s="2" t="s">
        <v>30</v>
      </c>
      <c r="E1277" s="2" t="s">
        <v>422</v>
      </c>
      <c r="F1277" s="11" t="s">
        <v>2585</v>
      </c>
      <c r="G1277" s="49" t="s">
        <v>2452</v>
      </c>
      <c r="H1277" s="2" t="s">
        <v>2767</v>
      </c>
      <c r="I1277" s="139" t="s">
        <v>2454</v>
      </c>
      <c r="J1277" s="22">
        <f>+Tabla1[[#This Row],[FECHA ENTRADA]]</f>
        <v>45755</v>
      </c>
      <c r="K1277" s="22">
        <v>45821</v>
      </c>
      <c r="L1277" s="23">
        <f>_xlfn.DAYS(Tabla1[[#This Row],[FECHA FIN ]],Tabla1[[#This Row],[FECHA INICIO]])</f>
        <v>66</v>
      </c>
      <c r="M1277" s="12"/>
      <c r="N1277" s="24">
        <v>91.666666666666671</v>
      </c>
      <c r="O1277" s="24">
        <f>(Tabla1[[#This Row],[COSTO FIJO ]]/30)*Tabla1[[#This Row],[TOTAL DIAS PROYECTO]]+(Tabla1[[#This Row],[COSTO TEMPORAL]])</f>
        <v>201.66666666666669</v>
      </c>
      <c r="P1277" s="12"/>
      <c r="Q1277" s="12">
        <f>+(Tabla1[[#This Row],[COSTO COCHE]]/30)*Tabla1[[#This Row],[TOTAL DIAS PROYECTO]]</f>
        <v>0</v>
      </c>
      <c r="R1277" s="12">
        <f>+Tabla1[[#This Row],[COSTO TOTAL ALOJAMIENTO]]+Tabla1[[#This Row],[COSTO TOTAL COCHE]]</f>
        <v>201.66666666666669</v>
      </c>
      <c r="S1277" s="2"/>
      <c r="T1277" s="14" t="s">
        <v>44</v>
      </c>
      <c r="U1277" s="14">
        <v>45755</v>
      </c>
      <c r="V1277" s="25">
        <v>45760</v>
      </c>
      <c r="W1277" s="2"/>
      <c r="X1277" s="2"/>
      <c r="Y1277" s="11" t="s">
        <v>1166</v>
      </c>
      <c r="Z1277" s="2" t="s">
        <v>36</v>
      </c>
      <c r="AA1277" s="13">
        <v>-326.69799999999998</v>
      </c>
      <c r="AB1277" s="13" t="s">
        <v>10373</v>
      </c>
    </row>
    <row r="1278" spans="1:28" ht="15" customHeight="1">
      <c r="A1278" s="2" t="s">
        <v>9027</v>
      </c>
      <c r="B1278" s="2" t="s">
        <v>28</v>
      </c>
      <c r="C1278" s="11" t="s">
        <v>1732</v>
      </c>
      <c r="D1278" s="2" t="s">
        <v>30</v>
      </c>
      <c r="E1278" s="2" t="s">
        <v>225</v>
      </c>
      <c r="F1278" s="11" t="s">
        <v>226</v>
      </c>
      <c r="G1278" s="11" t="s">
        <v>227</v>
      </c>
      <c r="H1278" s="2" t="s">
        <v>1506</v>
      </c>
      <c r="I1278" s="2" t="s">
        <v>228</v>
      </c>
      <c r="J1278" s="8">
        <f>+Tabla1[[#This Row],[FECHA ENTRADA]]</f>
        <v>45367</v>
      </c>
      <c r="K1278" s="8">
        <v>45513</v>
      </c>
      <c r="L1278" s="13">
        <f>_xlfn.DAYS(Tabla1[[#This Row],[FECHA FIN ]],Tabla1[[#This Row],[FECHA INICIO]])</f>
        <v>146</v>
      </c>
      <c r="M1278" s="2"/>
      <c r="N1278" s="28">
        <v>340</v>
      </c>
      <c r="O1278" s="12">
        <f>(Tabla1[[#This Row],[COSTO FIJO ]]/30)*Tabla1[[#This Row],[TOTAL DIAS PROYECTO]]+(Tabla1[[#This Row],[COSTO TEMPORAL]])</f>
        <v>1654.6666666666667</v>
      </c>
      <c r="P1278" s="12"/>
      <c r="Q1278" s="12">
        <f>+(Tabla1[[#This Row],[COSTO COCHE]]/30)*Tabla1[[#This Row],[TOTAL DIAS PROYECTO]]</f>
        <v>0</v>
      </c>
      <c r="R1278" s="12">
        <f>+Tabla1[[#This Row],[COSTO TOTAL ALOJAMIENTO]]+Tabla1[[#This Row],[COSTO TOTAL COCHE]]</f>
        <v>1654.6666666666667</v>
      </c>
      <c r="S1278" s="2"/>
      <c r="T1278" s="2" t="s">
        <v>35</v>
      </c>
      <c r="U1278" s="14">
        <v>45367</v>
      </c>
      <c r="V1278" s="14"/>
      <c r="W1278" s="15">
        <v>340</v>
      </c>
      <c r="X1278" s="16">
        <v>1</v>
      </c>
      <c r="Y1278" s="18" t="s">
        <v>2770</v>
      </c>
      <c r="Z1278" s="2" t="s">
        <v>36</v>
      </c>
      <c r="AA1278" s="13" t="s">
        <v>10353</v>
      </c>
      <c r="AB1278" s="13" t="s">
        <v>10354</v>
      </c>
    </row>
    <row r="1279" spans="1:28" ht="15" customHeight="1">
      <c r="A1279" s="2" t="s">
        <v>9307</v>
      </c>
      <c r="B1279" s="2" t="s">
        <v>28</v>
      </c>
      <c r="C1279" s="11" t="s">
        <v>2771</v>
      </c>
      <c r="D1279" s="2" t="s">
        <v>30</v>
      </c>
      <c r="E1279" s="2" t="s">
        <v>253</v>
      </c>
      <c r="F1279" s="11" t="s">
        <v>254</v>
      </c>
      <c r="G1279" s="11" t="s">
        <v>255</v>
      </c>
      <c r="H1279" s="2" t="s">
        <v>2772</v>
      </c>
      <c r="I1279" s="12" t="s">
        <v>256</v>
      </c>
      <c r="J1279" s="22">
        <f>+Tabla1[[#This Row],[FECHA ENTRADA]]</f>
        <v>45684</v>
      </c>
      <c r="K1279" s="22">
        <v>45821</v>
      </c>
      <c r="L1279" s="23">
        <f>_xlfn.DAYS(Tabla1[[#This Row],[FECHA FIN ]],Tabla1[[#This Row],[FECHA INICIO]])</f>
        <v>137</v>
      </c>
      <c r="M1279" s="12"/>
      <c r="N1279" s="12">
        <f>1811.6/17</f>
        <v>106.56470588235294</v>
      </c>
      <c r="O1279" s="24">
        <f>(Tabla1[[#This Row],[COSTO FIJO ]]/30)*Tabla1[[#This Row],[TOTAL DIAS PROYECTO]]+(Tabla1[[#This Row],[COSTO TEMPORAL]])</f>
        <v>486.64549019607847</v>
      </c>
      <c r="P1279" s="12"/>
      <c r="Q1279" s="12">
        <f>+(Tabla1[[#This Row],[COSTO COCHE]]/30)*Tabla1[[#This Row],[TOTAL DIAS PROYECTO]]</f>
        <v>0</v>
      </c>
      <c r="R1279" s="12">
        <f>+Tabla1[[#This Row],[COSTO TOTAL ALOJAMIENTO]]+Tabla1[[#This Row],[COSTO TOTAL COCHE]]</f>
        <v>486.64549019607847</v>
      </c>
      <c r="S1279" s="2"/>
      <c r="T1279" s="2" t="s">
        <v>35</v>
      </c>
      <c r="U1279" s="14">
        <v>45684</v>
      </c>
      <c r="V1279" s="79"/>
      <c r="W1279" s="26"/>
      <c r="X1279" s="2">
        <v>1</v>
      </c>
      <c r="Y1279" s="11" t="s">
        <v>1120</v>
      </c>
      <c r="Z1279" s="2" t="s">
        <v>36</v>
      </c>
      <c r="AA1279" s="13" t="s">
        <v>10357</v>
      </c>
      <c r="AB1279" s="13" t="s">
        <v>10358</v>
      </c>
    </row>
    <row r="1280" spans="1:28" ht="15" customHeight="1">
      <c r="A1280" s="2" t="s">
        <v>8869</v>
      </c>
      <c r="B1280" s="2" t="s">
        <v>28</v>
      </c>
      <c r="C1280" s="11" t="s">
        <v>1097</v>
      </c>
      <c r="D1280" s="2" t="s">
        <v>30</v>
      </c>
      <c r="E1280" s="2" t="s">
        <v>415</v>
      </c>
      <c r="F1280" s="11" t="s">
        <v>2773</v>
      </c>
      <c r="G1280" s="49" t="s">
        <v>1413</v>
      </c>
      <c r="H1280" s="2" t="s">
        <v>2774</v>
      </c>
      <c r="I1280" s="12" t="s">
        <v>800</v>
      </c>
      <c r="J1280" s="41">
        <f>+Tabla1[[#This Row],[FECHA ENTRADA]]</f>
        <v>45775</v>
      </c>
      <c r="K1280" s="22">
        <v>45823</v>
      </c>
      <c r="L1280" s="13">
        <f>_xlfn.DAYS(Tabla1[[#This Row],[FECHA FIN ]],Tabla1[[#This Row],[FECHA INICIO]])</f>
        <v>48</v>
      </c>
      <c r="M1280" s="12"/>
      <c r="N1280" s="12"/>
      <c r="O1280" s="12">
        <f>(Tabla1[[#This Row],[COSTO FIJO ]]/30)*Tabla1[[#This Row],[TOTAL DIAS PROYECTO]]+(Tabla1[[#This Row],[COSTO TEMPORAL]])</f>
        <v>0</v>
      </c>
      <c r="P1280" s="12"/>
      <c r="Q1280" s="12">
        <f>+(Tabla1[[#This Row],[COSTO COCHE]]/30)*Tabla1[[#This Row],[TOTAL DIAS PROYECTO]]</f>
        <v>0</v>
      </c>
      <c r="R1280" s="12">
        <f>+Tabla1[[#This Row],[COSTO TOTAL ALOJAMIENTO]]+Tabla1[[#This Row],[COSTO TOTAL COCHE]]</f>
        <v>0</v>
      </c>
      <c r="S1280" s="2"/>
      <c r="T1280" s="2" t="s">
        <v>35</v>
      </c>
      <c r="U1280" s="14">
        <v>45775</v>
      </c>
      <c r="V1280" s="14"/>
      <c r="W1280" s="26"/>
      <c r="X1280" s="16">
        <v>1</v>
      </c>
      <c r="Y1280" s="183" t="s">
        <v>2775</v>
      </c>
      <c r="Z1280" s="2" t="s">
        <v>36</v>
      </c>
      <c r="AA1280" s="13">
        <v>-0.37739</v>
      </c>
      <c r="AB1280" s="13" t="s">
        <v>10372</v>
      </c>
    </row>
    <row r="1281" spans="1:28" ht="30.75" customHeight="1">
      <c r="A1281" s="2" t="s">
        <v>9277</v>
      </c>
      <c r="B1281" s="2" t="s">
        <v>368</v>
      </c>
      <c r="C1281" s="11" t="s">
        <v>2683</v>
      </c>
      <c r="D1281" s="2" t="s">
        <v>30</v>
      </c>
      <c r="E1281" s="2" t="s">
        <v>213</v>
      </c>
      <c r="F1281" s="11" t="s">
        <v>1196</v>
      </c>
      <c r="G1281" s="21" t="s">
        <v>1197</v>
      </c>
      <c r="H1281" s="2" t="s">
        <v>1198</v>
      </c>
      <c r="I1281" s="12" t="s">
        <v>514</v>
      </c>
      <c r="J1281" s="22">
        <f>+Tabla1[[#This Row],[FECHA ENTRADA]]</f>
        <v>45582</v>
      </c>
      <c r="K1281" s="22">
        <v>45821</v>
      </c>
      <c r="L1281" s="23">
        <f>_xlfn.DAYS(Tabla1[[#This Row],[FECHA FIN ]],Tabla1[[#This Row],[FECHA INICIO]])</f>
        <v>239</v>
      </c>
      <c r="M1281" s="12"/>
      <c r="N1281" s="12"/>
      <c r="O1281" s="24">
        <f>(Tabla1[[#This Row],[COSTO FIJO ]]/30)*Tabla1[[#This Row],[TOTAL DIAS PROYECTO]]+(Tabla1[[#This Row],[COSTO TEMPORAL]])</f>
        <v>0</v>
      </c>
      <c r="P1281" s="12">
        <f>2134.37/19</f>
        <v>112.33526315789473</v>
      </c>
      <c r="Q1281" s="12">
        <f>+(Tabla1[[#This Row],[COSTO COCHE]]/30)*Tabla1[[#This Row],[TOTAL DIAS PROYECTO]]</f>
        <v>894.93759649122796</v>
      </c>
      <c r="R1281" s="12">
        <f>+Tabla1[[#This Row],[COSTO TOTAL ALOJAMIENTO]]+Tabla1[[#This Row],[COSTO TOTAL COCHE]]</f>
        <v>894.93759649122796</v>
      </c>
      <c r="S1281" s="2"/>
      <c r="T1281" s="2" t="s">
        <v>35</v>
      </c>
      <c r="U1281" s="14">
        <v>45582</v>
      </c>
      <c r="V1281" s="25"/>
      <c r="W1281" s="26">
        <v>1435</v>
      </c>
      <c r="X1281" s="2">
        <v>1</v>
      </c>
      <c r="Y1281" s="11" t="s">
        <v>2776</v>
      </c>
      <c r="Z1281" s="2" t="s">
        <v>36</v>
      </c>
      <c r="AA1281" s="13" t="s">
        <v>10349</v>
      </c>
      <c r="AB1281" s="13" t="s">
        <v>10350</v>
      </c>
    </row>
    <row r="1282" spans="1:28" ht="30.75" customHeight="1">
      <c r="A1282" s="2" t="s">
        <v>9292</v>
      </c>
      <c r="B1282" s="2" t="s">
        <v>28</v>
      </c>
      <c r="C1282" s="11" t="s">
        <v>2722</v>
      </c>
      <c r="D1282" s="184" t="s">
        <v>99</v>
      </c>
      <c r="E1282" s="184" t="s">
        <v>422</v>
      </c>
      <c r="F1282" s="11" t="s">
        <v>956</v>
      </c>
      <c r="G1282" s="11" t="s">
        <v>957</v>
      </c>
      <c r="H1282" s="184" t="s">
        <v>2725</v>
      </c>
      <c r="I1282" s="47" t="s">
        <v>959</v>
      </c>
      <c r="J1282" s="22">
        <f>+Tabla1[[#This Row],[FECHA ENTRADA]]</f>
        <v>45755</v>
      </c>
      <c r="K1282" s="22">
        <v>45838</v>
      </c>
      <c r="L1282" s="23">
        <f>_xlfn.DAYS(Tabla1[[#This Row],[FECHA FIN ]],Tabla1[[#This Row],[FECHA INICIO]])</f>
        <v>83</v>
      </c>
      <c r="M1282" s="12"/>
      <c r="N1282" s="12"/>
      <c r="O1282" s="24">
        <f>(Tabla1[[#This Row],[COSTO FIJO ]]/30)*Tabla1[[#This Row],[TOTAL DIAS PROYECTO]]+(Tabla1[[#This Row],[COSTO TEMPORAL]])</f>
        <v>0</v>
      </c>
      <c r="P1282" s="12">
        <f>542.69/2</f>
        <v>271.34500000000003</v>
      </c>
      <c r="Q1282" s="12">
        <f>+(Tabla1[[#This Row],[COSTO COCHE]]/30)*Tabla1[[#This Row],[TOTAL DIAS PROYECTO]]</f>
        <v>750.72116666666682</v>
      </c>
      <c r="R1282" s="12">
        <f>+Tabla1[[#This Row],[COSTO TOTAL ALOJAMIENTO]]+Tabla1[[#This Row],[COSTO TOTAL COCHE]]</f>
        <v>750.72116666666682</v>
      </c>
      <c r="S1282" s="2"/>
      <c r="T1282" s="2" t="s">
        <v>35</v>
      </c>
      <c r="U1282" s="14">
        <v>45755</v>
      </c>
      <c r="V1282" s="25"/>
      <c r="W1282" s="26"/>
      <c r="X1282" s="2">
        <v>1</v>
      </c>
      <c r="Y1282" s="11"/>
      <c r="Z1282" s="2" t="s">
        <v>36</v>
      </c>
      <c r="AA1282" s="13">
        <v>-326.69799999999998</v>
      </c>
      <c r="AB1282" s="13" t="s">
        <v>10373</v>
      </c>
    </row>
    <row r="1283" spans="1:28" ht="15.75" customHeight="1">
      <c r="A1283" s="2" t="s">
        <v>9308</v>
      </c>
      <c r="B1283" s="10" t="s">
        <v>711</v>
      </c>
      <c r="C1283" s="11" t="s">
        <v>2777</v>
      </c>
      <c r="D1283" s="2" t="s">
        <v>99</v>
      </c>
      <c r="E1283" s="2" t="s">
        <v>734</v>
      </c>
      <c r="F1283" s="11" t="s">
        <v>735</v>
      </c>
      <c r="G1283" s="67" t="s">
        <v>736</v>
      </c>
      <c r="H1283" s="2" t="s">
        <v>2224</v>
      </c>
      <c r="I1283" s="12" t="s">
        <v>1994</v>
      </c>
      <c r="J1283" s="22">
        <f>+Tabla1[[#This Row],[FECHA ENTRADA]]</f>
        <v>45761</v>
      </c>
      <c r="K1283" s="22">
        <v>45821</v>
      </c>
      <c r="L1283" s="23">
        <f>_xlfn.DAYS(Tabla1[[#This Row],[FECHA FIN ]],Tabla1[[#This Row],[FECHA INICIO]])</f>
        <v>60</v>
      </c>
      <c r="M1283" s="12"/>
      <c r="N1283" s="12"/>
      <c r="O1283" s="24">
        <f>(Tabla1[[#This Row],[COSTO FIJO ]]/30)*Tabla1[[#This Row],[TOTAL DIAS PROYECTO]]+(Tabla1[[#This Row],[COSTO TEMPORAL]])</f>
        <v>0</v>
      </c>
      <c r="P1283" s="12"/>
      <c r="Q1283" s="12">
        <f>+(Tabla1[[#This Row],[COSTO COCHE]]/30)*Tabla1[[#This Row],[TOTAL DIAS PROYECTO]]</f>
        <v>0</v>
      </c>
      <c r="R1283" s="12">
        <f>+Tabla1[[#This Row],[COSTO TOTAL ALOJAMIENTO]]+Tabla1[[#This Row],[COSTO TOTAL COCHE]]</f>
        <v>0</v>
      </c>
      <c r="S1283" s="2"/>
      <c r="T1283" s="2" t="s">
        <v>35</v>
      </c>
      <c r="U1283" s="14">
        <v>45761</v>
      </c>
      <c r="V1283" s="25"/>
      <c r="W1283" s="26"/>
      <c r="X1283" s="2">
        <v>1</v>
      </c>
      <c r="Y1283" s="160" t="s">
        <v>2240</v>
      </c>
      <c r="Z1283" s="2" t="s">
        <v>36</v>
      </c>
      <c r="AA1283" s="13" t="s">
        <v>10396</v>
      </c>
      <c r="AB1283" s="13" t="s">
        <v>10397</v>
      </c>
    </row>
    <row r="1284" spans="1:28" ht="15" customHeight="1">
      <c r="A1284" s="2" t="s">
        <v>8891</v>
      </c>
      <c r="B1284" s="2" t="s">
        <v>28</v>
      </c>
      <c r="C1284" s="11" t="s">
        <v>1173</v>
      </c>
      <c r="D1284" s="2" t="s">
        <v>30</v>
      </c>
      <c r="E1284" s="2" t="s">
        <v>415</v>
      </c>
      <c r="F1284" s="11" t="s">
        <v>785</v>
      </c>
      <c r="G1284" s="11"/>
      <c r="H1284" s="2" t="s">
        <v>786</v>
      </c>
      <c r="I1284" s="12" t="s">
        <v>787</v>
      </c>
      <c r="J1284" s="8">
        <f>+Tabla1[[#This Row],[FECHA ENTRADA]]</f>
        <v>45546</v>
      </c>
      <c r="K1284" s="22">
        <v>45821</v>
      </c>
      <c r="L1284" s="13">
        <f>_xlfn.DAYS(Tabla1[[#This Row],[FECHA FIN ]],Tabla1[[#This Row],[FECHA INICIO]])</f>
        <v>275</v>
      </c>
      <c r="M1284" s="12"/>
      <c r="N1284" s="12">
        <f>1811.6/17</f>
        <v>106.56470588235294</v>
      </c>
      <c r="O1284" s="12">
        <f>(Tabla1[[#This Row],[COSTO FIJO ]]/30)*Tabla1[[#This Row],[TOTAL DIAS PROYECTO]]+(Tabla1[[#This Row],[COSTO TEMPORAL]])</f>
        <v>976.84313725490199</v>
      </c>
      <c r="P1284" s="12"/>
      <c r="Q1284" s="12">
        <f>+(Tabla1[[#This Row],[COSTO COCHE]]/30)*Tabla1[[#This Row],[TOTAL DIAS PROYECTO]]</f>
        <v>0</v>
      </c>
      <c r="R1284" s="12">
        <f>+Tabla1[[#This Row],[COSTO TOTAL ALOJAMIENTO]]+Tabla1[[#This Row],[COSTO TOTAL COCHE]]</f>
        <v>976.84313725490199</v>
      </c>
      <c r="S1284" s="2"/>
      <c r="T1284" s="2" t="s">
        <v>528</v>
      </c>
      <c r="U1284" s="14">
        <v>45546</v>
      </c>
      <c r="V1284" s="14">
        <v>45589</v>
      </c>
      <c r="W1284" s="26"/>
      <c r="X1284" s="2"/>
      <c r="Y1284" s="11"/>
      <c r="Z1284" s="2" t="s">
        <v>36</v>
      </c>
      <c r="AA1284" s="13">
        <v>-0.37739</v>
      </c>
      <c r="AB1284" s="13" t="s">
        <v>10372</v>
      </c>
    </row>
    <row r="1285" spans="1:28" ht="15.75" customHeight="1">
      <c r="A1285" s="2" t="s">
        <v>9167</v>
      </c>
      <c r="B1285" s="2" t="s">
        <v>28</v>
      </c>
      <c r="C1285" s="18" t="s">
        <v>2292</v>
      </c>
      <c r="D1285" s="2" t="s">
        <v>30</v>
      </c>
      <c r="E1285" s="2" t="s">
        <v>415</v>
      </c>
      <c r="F1285" s="11" t="s">
        <v>785</v>
      </c>
      <c r="G1285" s="11"/>
      <c r="H1285" s="2" t="s">
        <v>786</v>
      </c>
      <c r="I1285" s="12" t="s">
        <v>787</v>
      </c>
      <c r="J1285" s="8">
        <f>+Tabla1[[#This Row],[FECHA ENTRADA]]</f>
        <v>45546</v>
      </c>
      <c r="K1285" s="22">
        <v>45821</v>
      </c>
      <c r="L1285" s="13">
        <f>_xlfn.DAYS(Tabla1[[#This Row],[FECHA FIN ]],Tabla1[[#This Row],[FECHA INICIO]])</f>
        <v>275</v>
      </c>
      <c r="M1285" s="12"/>
      <c r="N1285" s="12">
        <f>1811.6/17</f>
        <v>106.56470588235294</v>
      </c>
      <c r="O1285" s="12">
        <f>(Tabla1[[#This Row],[COSTO FIJO ]]/30)*Tabla1[[#This Row],[TOTAL DIAS PROYECTO]]+(Tabla1[[#This Row],[COSTO TEMPORAL]])</f>
        <v>976.84313725490199</v>
      </c>
      <c r="P1285" s="12"/>
      <c r="Q1285" s="12">
        <f>+(Tabla1[[#This Row],[COSTO COCHE]]/30)*Tabla1[[#This Row],[TOTAL DIAS PROYECTO]]</f>
        <v>0</v>
      </c>
      <c r="R1285" s="12">
        <f>+Tabla1[[#This Row],[COSTO TOTAL ALOJAMIENTO]]+Tabla1[[#This Row],[COSTO TOTAL COCHE]]</f>
        <v>976.84313725490199</v>
      </c>
      <c r="S1285" s="2"/>
      <c r="T1285" s="2" t="s">
        <v>528</v>
      </c>
      <c r="U1285" s="14">
        <v>45546</v>
      </c>
      <c r="V1285" s="14">
        <v>45589</v>
      </c>
      <c r="W1285" s="26"/>
      <c r="X1285" s="2"/>
      <c r="Y1285" s="11"/>
      <c r="Z1285" s="2" t="s">
        <v>36</v>
      </c>
      <c r="AA1285" s="13">
        <v>-0.37739</v>
      </c>
      <c r="AB1285" s="13" t="s">
        <v>10372</v>
      </c>
    </row>
    <row r="1286" spans="1:28">
      <c r="A1286" s="2" t="s">
        <v>9309</v>
      </c>
      <c r="B1286" s="2" t="s">
        <v>28</v>
      </c>
      <c r="C1286" s="11" t="s">
        <v>2778</v>
      </c>
      <c r="D1286" s="2" t="s">
        <v>741</v>
      </c>
      <c r="E1286" s="2" t="s">
        <v>266</v>
      </c>
      <c r="F1286" s="11" t="s">
        <v>2779</v>
      </c>
      <c r="G1286" s="21" t="s">
        <v>1512</v>
      </c>
      <c r="H1286" s="2" t="s">
        <v>2780</v>
      </c>
      <c r="I1286" s="12" t="s">
        <v>270</v>
      </c>
      <c r="J1286" s="22">
        <f>+Tabla1[[#This Row],[FECHA ENTRADA]]</f>
        <v>45718</v>
      </c>
      <c r="K1286" s="22">
        <v>45821</v>
      </c>
      <c r="L1286" s="23">
        <f>_xlfn.DAYS(Tabla1[[#This Row],[FECHA FIN ]],Tabla1[[#This Row],[FECHA INICIO]])</f>
        <v>103</v>
      </c>
      <c r="M1286" s="12"/>
      <c r="N1286" s="12"/>
      <c r="O1286" s="24">
        <f>(Tabla1[[#This Row],[COSTO FIJO ]]/30)*Tabla1[[#This Row],[TOTAL DIAS PROYECTO]]+(Tabla1[[#This Row],[COSTO TEMPORAL]])</f>
        <v>0</v>
      </c>
      <c r="P1286" s="12"/>
      <c r="Q1286" s="12">
        <f>+(Tabla1[[#This Row],[COSTO COCHE]]/30)*Tabla1[[#This Row],[TOTAL DIAS PROYECTO]]</f>
        <v>0</v>
      </c>
      <c r="R1286" s="12">
        <f>+Tabla1[[#This Row],[COSTO TOTAL ALOJAMIENTO]]+Tabla1[[#This Row],[COSTO TOTAL COCHE]]</f>
        <v>0</v>
      </c>
      <c r="S1286" s="2"/>
      <c r="T1286" s="2" t="s">
        <v>613</v>
      </c>
      <c r="U1286" s="14">
        <v>45718</v>
      </c>
      <c r="V1286" s="79"/>
      <c r="W1286" s="26"/>
      <c r="X1286" s="2">
        <v>1</v>
      </c>
      <c r="Y1286" s="11" t="s">
        <v>2781</v>
      </c>
      <c r="Z1286" s="2" t="s">
        <v>36</v>
      </c>
      <c r="AA1286" s="13" t="s">
        <v>10360</v>
      </c>
      <c r="AB1286" s="13" t="s">
        <v>10361</v>
      </c>
    </row>
    <row r="1287" spans="1:28" ht="15" customHeight="1">
      <c r="A1287" s="2" t="s">
        <v>9310</v>
      </c>
      <c r="B1287" s="2" t="s">
        <v>28</v>
      </c>
      <c r="C1287" s="11" t="s">
        <v>2782</v>
      </c>
      <c r="D1287" s="2" t="s">
        <v>30</v>
      </c>
      <c r="E1287" s="2" t="s">
        <v>370</v>
      </c>
      <c r="F1287" s="11" t="s">
        <v>2629</v>
      </c>
      <c r="G1287" s="11" t="s">
        <v>2630</v>
      </c>
      <c r="H1287" s="2" t="s">
        <v>2631</v>
      </c>
      <c r="I1287" s="2" t="s">
        <v>118</v>
      </c>
      <c r="J1287" s="8">
        <f>+Tabla1[[#This Row],[FECHA ENTRADA]]</f>
        <v>45312</v>
      </c>
      <c r="K1287" s="22">
        <v>45821</v>
      </c>
      <c r="L1287" s="13">
        <f>_xlfn.DAYS(Tabla1[[#This Row],[FECHA FIN ]],Tabla1[[#This Row],[FECHA INICIO]])</f>
        <v>509</v>
      </c>
      <c r="M1287" s="12"/>
      <c r="N1287" s="12">
        <f>1811.6/17</f>
        <v>106.56470588235294</v>
      </c>
      <c r="O1287" s="12">
        <f>(Tabla1[[#This Row],[COSTO FIJO ]]/30)*Tabla1[[#This Row],[TOTAL DIAS PROYECTO]]+(Tabla1[[#This Row],[COSTO TEMPORAL]])</f>
        <v>1808.0478431372549</v>
      </c>
      <c r="P1287" s="12"/>
      <c r="Q1287" s="12">
        <f>+(Tabla1[[#This Row],[COSTO COCHE]]/30)*Tabla1[[#This Row],[TOTAL DIAS PROYECTO]]</f>
        <v>0</v>
      </c>
      <c r="R1287" s="12">
        <f>+Tabla1[[#This Row],[COSTO TOTAL ALOJAMIENTO]]+Tabla1[[#This Row],[COSTO TOTAL COCHE]]</f>
        <v>1808.0478431372549</v>
      </c>
      <c r="S1287" s="2" t="s">
        <v>403</v>
      </c>
      <c r="T1287" s="2" t="s">
        <v>44</v>
      </c>
      <c r="U1287" s="14">
        <v>45312</v>
      </c>
      <c r="V1287" s="14">
        <v>45591</v>
      </c>
      <c r="W1287" s="15"/>
      <c r="X1287" s="16"/>
      <c r="Y1287" s="18"/>
      <c r="Z1287" s="2" t="s">
        <v>36</v>
      </c>
      <c r="AA1287" s="13" t="s">
        <v>10368</v>
      </c>
      <c r="AB1287" s="13" t="s">
        <v>10369</v>
      </c>
    </row>
    <row r="1288" spans="1:28" ht="15" customHeight="1">
      <c r="A1288" s="2" t="s">
        <v>9311</v>
      </c>
      <c r="B1288" s="2" t="s">
        <v>28</v>
      </c>
      <c r="C1288" s="18" t="s">
        <v>2783</v>
      </c>
      <c r="D1288" s="2" t="s">
        <v>78</v>
      </c>
      <c r="E1288" s="2" t="s">
        <v>266</v>
      </c>
      <c r="F1288" s="11" t="s">
        <v>2784</v>
      </c>
      <c r="G1288" s="11" t="s">
        <v>1512</v>
      </c>
      <c r="H1288" s="2" t="s">
        <v>269</v>
      </c>
      <c r="I1288" s="12" t="s">
        <v>270</v>
      </c>
      <c r="J1288" s="8">
        <f>+Tabla1[[#This Row],[FECHA ENTRADA]]</f>
        <v>45416</v>
      </c>
      <c r="K1288" s="22">
        <v>45821</v>
      </c>
      <c r="L1288" s="13">
        <f>_xlfn.DAYS(Tabla1[[#This Row],[FECHA FIN ]],Tabla1[[#This Row],[FECHA INICIO]])</f>
        <v>405</v>
      </c>
      <c r="M1288" s="12"/>
      <c r="N1288" s="20">
        <v>650</v>
      </c>
      <c r="O1288" s="12">
        <f>(Tabla1[[#This Row],[COSTO FIJO ]]/30)*Tabla1[[#This Row],[TOTAL DIAS PROYECTO]]+(Tabla1[[#This Row],[COSTO TEMPORAL]])</f>
        <v>8775</v>
      </c>
      <c r="P1288" s="12">
        <f>749.09/4</f>
        <v>187.27250000000001</v>
      </c>
      <c r="Q1288" s="12">
        <f>+(Tabla1[[#This Row],[COSTO COCHE]]/30)*Tabla1[[#This Row],[TOTAL DIAS PROYECTO]]</f>
        <v>2528.17875</v>
      </c>
      <c r="R1288" s="12">
        <f>+Tabla1[[#This Row],[COSTO TOTAL ALOJAMIENTO]]+Tabla1[[#This Row],[COSTO TOTAL COCHE]]</f>
        <v>11303.178749999999</v>
      </c>
      <c r="S1288" s="2" t="s">
        <v>84</v>
      </c>
      <c r="T1288" s="2" t="s">
        <v>44</v>
      </c>
      <c r="U1288" s="14">
        <v>45416</v>
      </c>
      <c r="V1288" s="14">
        <v>45591</v>
      </c>
      <c r="W1288" s="26"/>
      <c r="X1288" s="2"/>
      <c r="Y1288" s="11" t="s">
        <v>2785</v>
      </c>
      <c r="Z1288" s="2" t="s">
        <v>36</v>
      </c>
      <c r="AA1288" s="13" t="s">
        <v>10360</v>
      </c>
      <c r="AB1288" s="13" t="s">
        <v>10361</v>
      </c>
    </row>
    <row r="1289" spans="1:28" ht="15" customHeight="1">
      <c r="A1289" s="2" t="s">
        <v>9312</v>
      </c>
      <c r="B1289" s="2" t="s">
        <v>368</v>
      </c>
      <c r="C1289" s="11" t="s">
        <v>2786</v>
      </c>
      <c r="D1289" s="2" t="s">
        <v>30</v>
      </c>
      <c r="E1289" s="2" t="s">
        <v>1130</v>
      </c>
      <c r="F1289" s="11" t="s">
        <v>2012</v>
      </c>
      <c r="G1289" s="21" t="s">
        <v>2013</v>
      </c>
      <c r="H1289" s="2" t="s">
        <v>2787</v>
      </c>
      <c r="I1289" s="10" t="s">
        <v>2614</v>
      </c>
      <c r="J1289" s="22">
        <f>+Tabla1[[#This Row],[FECHA ENTRADA]]</f>
        <v>45691</v>
      </c>
      <c r="K1289" s="22">
        <v>45821</v>
      </c>
      <c r="L1289" s="23">
        <f>_xlfn.DAYS(Tabla1[[#This Row],[FECHA FIN ]],Tabla1[[#This Row],[FECHA INICIO]])</f>
        <v>130</v>
      </c>
      <c r="M1289" s="12"/>
      <c r="N1289" s="12"/>
      <c r="O1289" s="24">
        <f>(Tabla1[[#This Row],[COSTO FIJO ]]/30)*Tabla1[[#This Row],[TOTAL DIAS PROYECTO]]+(Tabla1[[#This Row],[COSTO TEMPORAL]])</f>
        <v>0</v>
      </c>
      <c r="P1289" s="12">
        <v>100</v>
      </c>
      <c r="Q1289" s="12">
        <f>+(Tabla1[[#This Row],[COSTO COCHE]]/30)*Tabla1[[#This Row],[TOTAL DIAS PROYECTO]]</f>
        <v>433.33333333333337</v>
      </c>
      <c r="R1289" s="12">
        <f>+Tabla1[[#This Row],[COSTO TOTAL ALOJAMIENTO]]+Tabla1[[#This Row],[COSTO TOTAL COCHE]]</f>
        <v>433.33333333333337</v>
      </c>
      <c r="S1289" s="2"/>
      <c r="T1289" s="2" t="s">
        <v>35</v>
      </c>
      <c r="U1289" s="14">
        <v>45691</v>
      </c>
      <c r="V1289" s="25">
        <v>45752</v>
      </c>
      <c r="W1289" s="26">
        <v>350</v>
      </c>
      <c r="X1289" s="2">
        <v>1</v>
      </c>
      <c r="Y1289" s="11"/>
      <c r="Z1289" s="2" t="s">
        <v>36</v>
      </c>
      <c r="AA1289" s="13" t="s">
        <v>10412</v>
      </c>
      <c r="AB1289" s="13">
        <v>4200955</v>
      </c>
    </row>
    <row r="1290" spans="1:28" ht="15" customHeight="1">
      <c r="A1290" s="2" t="s">
        <v>9312</v>
      </c>
      <c r="B1290" s="2" t="s">
        <v>28</v>
      </c>
      <c r="C1290" s="11" t="s">
        <v>2786</v>
      </c>
      <c r="D1290" s="2" t="s">
        <v>30</v>
      </c>
      <c r="E1290" s="2" t="s">
        <v>415</v>
      </c>
      <c r="F1290" s="11" t="s">
        <v>2773</v>
      </c>
      <c r="G1290" s="46" t="s">
        <v>1413</v>
      </c>
      <c r="H1290" s="2" t="s">
        <v>2788</v>
      </c>
      <c r="I1290" s="12" t="s">
        <v>800</v>
      </c>
      <c r="J1290" s="41">
        <f>+Tabla1[[#This Row],[FECHA ENTRADA]]</f>
        <v>45675</v>
      </c>
      <c r="K1290" s="22">
        <v>45821</v>
      </c>
      <c r="L1290" s="42">
        <f>_xlfn.DAYS(Tabla1[[#This Row],[FECHA FIN ]],Tabla1[[#This Row],[FECHA INICIO]])</f>
        <v>146</v>
      </c>
      <c r="M1290" s="12"/>
      <c r="N1290" s="12"/>
      <c r="O1290" s="28">
        <f>(Tabla1[[#This Row],[COSTO FIJO ]]/30)*Tabla1[[#This Row],[TOTAL DIAS PROYECTO]]+(Tabla1[[#This Row],[COSTO TEMPORAL]])</f>
        <v>0</v>
      </c>
      <c r="P1290" s="12"/>
      <c r="Q1290" s="12">
        <f>+(Tabla1[[#This Row],[COSTO COCHE]]/30)*Tabla1[[#This Row],[TOTAL DIAS PROYECTO]]</f>
        <v>0</v>
      </c>
      <c r="R1290" s="12">
        <f>+Tabla1[[#This Row],[COSTO TOTAL ALOJAMIENTO]]+Tabla1[[#This Row],[COSTO TOTAL COCHE]]</f>
        <v>0</v>
      </c>
      <c r="S1290" s="2"/>
      <c r="T1290" s="2" t="s">
        <v>35</v>
      </c>
      <c r="U1290" s="14">
        <v>45675</v>
      </c>
      <c r="V1290" s="43"/>
      <c r="W1290" s="26"/>
      <c r="X1290" s="2">
        <v>1</v>
      </c>
      <c r="Y1290" s="11"/>
      <c r="Z1290" s="2" t="s">
        <v>36</v>
      </c>
      <c r="AA1290" s="13">
        <v>-0.37739</v>
      </c>
      <c r="AB1290" s="13" t="s">
        <v>10372</v>
      </c>
    </row>
    <row r="1291" spans="1:28" ht="15" customHeight="1">
      <c r="A1291" s="2" t="s">
        <v>8692</v>
      </c>
      <c r="B1291" s="2" t="s">
        <v>28</v>
      </c>
      <c r="C1291" s="86" t="s">
        <v>309</v>
      </c>
      <c r="D1291" s="2" t="s">
        <v>30</v>
      </c>
      <c r="E1291" s="2" t="s">
        <v>31</v>
      </c>
      <c r="F1291" s="11" t="s">
        <v>1004</v>
      </c>
      <c r="G1291" s="51" t="s">
        <v>1005</v>
      </c>
      <c r="H1291" s="2" t="s">
        <v>2789</v>
      </c>
      <c r="I1291" s="12" t="s">
        <v>1208</v>
      </c>
      <c r="J1291" s="41">
        <f>+Tabla1[[#This Row],[FECHA ENTRADA]]</f>
        <v>45594</v>
      </c>
      <c r="K1291" s="8">
        <v>45716</v>
      </c>
      <c r="L1291" s="42">
        <f>_xlfn.DAYS(Tabla1[[#This Row],[FECHA FIN ]],Tabla1[[#This Row],[FECHA INICIO]])</f>
        <v>122</v>
      </c>
      <c r="M1291" s="12"/>
      <c r="N1291" s="12"/>
      <c r="O1291" s="28">
        <f>(Tabla1[[#This Row],[COSTO FIJO ]]/30)*Tabla1[[#This Row],[TOTAL DIAS PROYECTO]]+(Tabla1[[#This Row],[COSTO TEMPORAL]])</f>
        <v>0</v>
      </c>
      <c r="P1291" s="12">
        <f>400/2</f>
        <v>200</v>
      </c>
      <c r="Q1291" s="12">
        <f>+(Tabla1[[#This Row],[COSTO COCHE]]/30)*Tabla1[[#This Row],[TOTAL DIAS PROYECTO]]</f>
        <v>813.33333333333337</v>
      </c>
      <c r="R1291" s="12">
        <f>+Tabla1[[#This Row],[COSTO TOTAL ALOJAMIENTO]]+Tabla1[[#This Row],[COSTO TOTAL COCHE]]</f>
        <v>813.33333333333337</v>
      </c>
      <c r="S1291" s="2"/>
      <c r="T1291" s="2" t="s">
        <v>35</v>
      </c>
      <c r="U1291" s="14">
        <v>45594</v>
      </c>
      <c r="V1291" s="43"/>
      <c r="W1291" s="26"/>
      <c r="X1291" s="2">
        <v>1</v>
      </c>
      <c r="Y1291" s="11" t="s">
        <v>2790</v>
      </c>
      <c r="Z1291" s="2" t="s">
        <v>36</v>
      </c>
      <c r="AA1291" s="13" t="s">
        <v>10323</v>
      </c>
      <c r="AB1291" s="13" t="s">
        <v>10324</v>
      </c>
    </row>
    <row r="1292" spans="1:28" ht="15" customHeight="1">
      <c r="A1292" s="2" t="s">
        <v>9313</v>
      </c>
      <c r="B1292" s="2" t="s">
        <v>28</v>
      </c>
      <c r="C1292" s="11" t="s">
        <v>2791</v>
      </c>
      <c r="D1292" s="2" t="s">
        <v>30</v>
      </c>
      <c r="E1292" s="2" t="s">
        <v>626</v>
      </c>
      <c r="F1292" s="11" t="s">
        <v>2792</v>
      </c>
      <c r="G1292" s="11" t="s">
        <v>2793</v>
      </c>
      <c r="H1292" s="2" t="s">
        <v>1039</v>
      </c>
      <c r="I1292" s="2" t="s">
        <v>570</v>
      </c>
      <c r="J1292" s="8">
        <f>+Tabla1[[#This Row],[FECHA ENTRADA]]</f>
        <v>45328</v>
      </c>
      <c r="K1292" s="22">
        <v>45945</v>
      </c>
      <c r="L1292" s="13">
        <f>_xlfn.DAYS(Tabla1[[#This Row],[FECHA FIN ]],Tabla1[[#This Row],[FECHA INICIO]])</f>
        <v>617</v>
      </c>
      <c r="M1292" s="12"/>
      <c r="N1292" s="12">
        <v>380</v>
      </c>
      <c r="O1292" s="12">
        <f>(Tabla1[[#This Row],[COSTO FIJO ]]/30)*Tabla1[[#This Row],[TOTAL DIAS PROYECTO]]+(Tabla1[[#This Row],[COSTO TEMPORAL]])</f>
        <v>7815.333333333333</v>
      </c>
      <c r="P1292" s="12"/>
      <c r="Q1292" s="12">
        <f>+(Tabla1[[#This Row],[COSTO COCHE]]/30)*Tabla1[[#This Row],[TOTAL DIAS PROYECTO]]</f>
        <v>0</v>
      </c>
      <c r="R1292" s="12">
        <f>+Tabla1[[#This Row],[COSTO TOTAL ALOJAMIENTO]]+Tabla1[[#This Row],[COSTO TOTAL COCHE]]</f>
        <v>7815.333333333333</v>
      </c>
      <c r="S1292" s="2"/>
      <c r="T1292" s="2" t="s">
        <v>35</v>
      </c>
      <c r="U1292" s="14">
        <v>45328</v>
      </c>
      <c r="V1292" s="14"/>
      <c r="W1292" s="26">
        <v>380</v>
      </c>
      <c r="X1292" s="2">
        <v>5</v>
      </c>
      <c r="Y1292" s="11" t="s">
        <v>2794</v>
      </c>
      <c r="Z1292" s="2" t="s">
        <v>36</v>
      </c>
      <c r="AA1292" s="13" t="s">
        <v>10385</v>
      </c>
      <c r="AB1292" s="13" t="s">
        <v>10386</v>
      </c>
    </row>
    <row r="1293" spans="1:28" ht="15" customHeight="1">
      <c r="A1293" s="2" t="s">
        <v>9174</v>
      </c>
      <c r="B1293" s="2" t="s">
        <v>28</v>
      </c>
      <c r="C1293" s="31" t="s">
        <v>2319</v>
      </c>
      <c r="D1293" s="2" t="s">
        <v>99</v>
      </c>
      <c r="E1293" s="2" t="s">
        <v>415</v>
      </c>
      <c r="F1293" s="11" t="s">
        <v>487</v>
      </c>
      <c r="G1293" s="100" t="s">
        <v>2795</v>
      </c>
      <c r="H1293" s="2" t="s">
        <v>2796</v>
      </c>
      <c r="I1293" s="12" t="s">
        <v>2321</v>
      </c>
      <c r="J1293" s="41">
        <f>+Tabla1[[#This Row],[FECHA ENTRADA]]</f>
        <v>45720</v>
      </c>
      <c r="K1293" s="22">
        <v>45762</v>
      </c>
      <c r="L1293" s="42">
        <f>_xlfn.DAYS(Tabla1[[#This Row],[FECHA FIN ]],Tabla1[[#This Row],[FECHA INICIO]])</f>
        <v>42</v>
      </c>
      <c r="M1293" s="12"/>
      <c r="N1293" s="20">
        <v>400</v>
      </c>
      <c r="O1293" s="28">
        <f>(Tabla1[[#This Row],[COSTO FIJO ]]/30)*Tabla1[[#This Row],[TOTAL DIAS PROYECTO]]+(Tabla1[[#This Row],[COSTO TEMPORAL]])</f>
        <v>560</v>
      </c>
      <c r="P1293" s="12">
        <v>100</v>
      </c>
      <c r="Q1293" s="12">
        <f>+(Tabla1[[#This Row],[COSTO COCHE]]/30)*Tabla1[[#This Row],[TOTAL DIAS PROYECTO]]</f>
        <v>140</v>
      </c>
      <c r="R1293" s="12">
        <f>+Tabla1[[#This Row],[COSTO TOTAL ALOJAMIENTO]]+Tabla1[[#This Row],[COSTO TOTAL COCHE]]</f>
        <v>700</v>
      </c>
      <c r="S1293" s="2"/>
      <c r="T1293" s="2" t="s">
        <v>35</v>
      </c>
      <c r="U1293" s="14">
        <v>45720</v>
      </c>
      <c r="V1293" s="43"/>
      <c r="W1293" s="26"/>
      <c r="X1293" s="2">
        <v>1</v>
      </c>
      <c r="Y1293" s="11"/>
      <c r="Z1293" s="2" t="s">
        <v>36</v>
      </c>
      <c r="AA1293" s="13">
        <v>-0.37739</v>
      </c>
      <c r="AB1293" s="13" t="s">
        <v>10372</v>
      </c>
    </row>
    <row r="1294" spans="1:28" ht="15" customHeight="1">
      <c r="A1294" s="2" t="s">
        <v>9314</v>
      </c>
      <c r="B1294" s="2" t="s">
        <v>28</v>
      </c>
      <c r="C1294" s="11" t="s">
        <v>2797</v>
      </c>
      <c r="D1294" s="2" t="s">
        <v>30</v>
      </c>
      <c r="E1294" s="2" t="s">
        <v>855</v>
      </c>
      <c r="F1294" s="11" t="s">
        <v>2798</v>
      </c>
      <c r="G1294" s="11">
        <v>34685135988</v>
      </c>
      <c r="H1294" s="2" t="s">
        <v>862</v>
      </c>
      <c r="I1294" s="12" t="s">
        <v>859</v>
      </c>
      <c r="J1294" s="8">
        <f>+Tabla1[[#This Row],[FECHA ENTRADA]]</f>
        <v>45452</v>
      </c>
      <c r="K1294" s="22">
        <v>45821</v>
      </c>
      <c r="L1294" s="13">
        <f>_xlfn.DAYS(Tabla1[[#This Row],[FECHA FIN ]],Tabla1[[#This Row],[FECHA INICIO]])</f>
        <v>369</v>
      </c>
      <c r="M1294" s="12"/>
      <c r="N1294" s="12">
        <f>1811.6/17</f>
        <v>106.56470588235294</v>
      </c>
      <c r="O1294" s="12">
        <f>(Tabla1[[#This Row],[COSTO FIJO ]]/30)*Tabla1[[#This Row],[TOTAL DIAS PROYECTO]]+(Tabla1[[#This Row],[COSTO TEMPORAL]])</f>
        <v>1310.7458823529412</v>
      </c>
      <c r="P1294" s="12"/>
      <c r="Q1294" s="12">
        <f>+(Tabla1[[#This Row],[COSTO COCHE]]/30)*Tabla1[[#This Row],[TOTAL DIAS PROYECTO]]</f>
        <v>0</v>
      </c>
      <c r="R1294" s="12">
        <f>+Tabla1[[#This Row],[COSTO TOTAL ALOJAMIENTO]]+Tabla1[[#This Row],[COSTO TOTAL COCHE]]</f>
        <v>1310.7458823529412</v>
      </c>
      <c r="S1294" s="2" t="s">
        <v>403</v>
      </c>
      <c r="T1294" s="2" t="s">
        <v>44</v>
      </c>
      <c r="U1294" s="14">
        <v>45452</v>
      </c>
      <c r="V1294" s="14">
        <v>45592</v>
      </c>
      <c r="W1294" s="26"/>
      <c r="X1294" s="2">
        <v>1</v>
      </c>
      <c r="Y1294" s="11" t="s">
        <v>2799</v>
      </c>
      <c r="Z1294" s="2" t="s">
        <v>36</v>
      </c>
      <c r="AA1294" s="13" t="s">
        <v>10401</v>
      </c>
      <c r="AB1294" s="13" t="s">
        <v>10402</v>
      </c>
    </row>
    <row r="1295" spans="1:28" ht="15" customHeight="1">
      <c r="A1295" s="2" t="s">
        <v>8638</v>
      </c>
      <c r="B1295" s="2" t="s">
        <v>368</v>
      </c>
      <c r="C1295" s="11" t="s">
        <v>2720</v>
      </c>
      <c r="D1295" s="2" t="s">
        <v>30</v>
      </c>
      <c r="E1295" s="2" t="s">
        <v>213</v>
      </c>
      <c r="F1295" s="11" t="s">
        <v>2800</v>
      </c>
      <c r="G1295" s="49"/>
      <c r="H1295" s="2" t="s">
        <v>1198</v>
      </c>
      <c r="I1295" s="12" t="s">
        <v>514</v>
      </c>
      <c r="J1295" s="22">
        <v>45580</v>
      </c>
      <c r="K1295" s="22">
        <v>45821</v>
      </c>
      <c r="L1295" s="23">
        <f>_xlfn.DAYS(Tabla1[[#This Row],[FECHA FIN ]],Tabla1[[#This Row],[FECHA INICIO]])</f>
        <v>241</v>
      </c>
      <c r="M1295" s="12"/>
      <c r="N1295" s="12"/>
      <c r="O1295" s="24">
        <f>(Tabla1[[#This Row],[COSTO FIJO ]]/30)*Tabla1[[#This Row],[TOTAL DIAS PROYECTO]]+(Tabla1[[#This Row],[COSTO TEMPORAL]])</f>
        <v>0</v>
      </c>
      <c r="P1295" s="12"/>
      <c r="Q1295" s="12">
        <f>+(Tabla1[[#This Row],[COSTO COCHE]]/30)*Tabla1[[#This Row],[TOTAL DIAS PROYECTO]]</f>
        <v>0</v>
      </c>
      <c r="R1295" s="12">
        <f>+Tabla1[[#This Row],[COSTO TOTAL ALOJAMIENTO]]+Tabla1[[#This Row],[COSTO TOTAL COCHE]]</f>
        <v>0</v>
      </c>
      <c r="S1295" s="2"/>
      <c r="T1295" s="2" t="s">
        <v>44</v>
      </c>
      <c r="U1295" s="14">
        <v>45580</v>
      </c>
      <c r="V1295" s="25">
        <v>45593</v>
      </c>
      <c r="W1295" s="26"/>
      <c r="X1295" s="2"/>
      <c r="Y1295" s="11"/>
      <c r="Z1295" s="2" t="s">
        <v>36</v>
      </c>
      <c r="AA1295" s="13" t="s">
        <v>10349</v>
      </c>
      <c r="AB1295" s="13" t="s">
        <v>10350</v>
      </c>
    </row>
    <row r="1296" spans="1:28" ht="15" customHeight="1">
      <c r="A1296" s="2" t="s">
        <v>8691</v>
      </c>
      <c r="B1296" s="2" t="s">
        <v>368</v>
      </c>
      <c r="C1296" s="11" t="s">
        <v>307</v>
      </c>
      <c r="D1296" s="2" t="s">
        <v>30</v>
      </c>
      <c r="E1296" s="2" t="s">
        <v>213</v>
      </c>
      <c r="F1296" s="11" t="s">
        <v>2800</v>
      </c>
      <c r="G1296" s="49"/>
      <c r="H1296" s="2" t="s">
        <v>1198</v>
      </c>
      <c r="I1296" s="12" t="s">
        <v>514</v>
      </c>
      <c r="J1296" s="22">
        <v>45580</v>
      </c>
      <c r="K1296" s="22">
        <v>45821</v>
      </c>
      <c r="L1296" s="23">
        <f>_xlfn.DAYS(Tabla1[[#This Row],[FECHA FIN ]],Tabla1[[#This Row],[FECHA INICIO]])</f>
        <v>241</v>
      </c>
      <c r="M1296" s="12"/>
      <c r="N1296" s="12">
        <f>1811.6/17</f>
        <v>106.56470588235294</v>
      </c>
      <c r="O1296" s="24">
        <f>(Tabla1[[#This Row],[COSTO FIJO ]]/30)*Tabla1[[#This Row],[TOTAL DIAS PROYECTO]]+(Tabla1[[#This Row],[COSTO TEMPORAL]])</f>
        <v>856.06980392156868</v>
      </c>
      <c r="P1296" s="12"/>
      <c r="Q1296" s="12">
        <f>+(Tabla1[[#This Row],[COSTO COCHE]]/30)*Tabla1[[#This Row],[TOTAL DIAS PROYECTO]]</f>
        <v>0</v>
      </c>
      <c r="R1296" s="12">
        <f>+Tabla1[[#This Row],[COSTO TOTAL ALOJAMIENTO]]+Tabla1[[#This Row],[COSTO TOTAL COCHE]]</f>
        <v>856.06980392156868</v>
      </c>
      <c r="S1296" s="2"/>
      <c r="T1296" s="2" t="s">
        <v>44</v>
      </c>
      <c r="U1296" s="14">
        <v>45580</v>
      </c>
      <c r="V1296" s="25">
        <v>45593</v>
      </c>
      <c r="W1296" s="26"/>
      <c r="X1296" s="2"/>
      <c r="Y1296" s="11"/>
      <c r="Z1296" s="2" t="s">
        <v>36</v>
      </c>
      <c r="AA1296" s="13" t="s">
        <v>10349</v>
      </c>
      <c r="AB1296" s="13" t="s">
        <v>10350</v>
      </c>
    </row>
    <row r="1297" spans="1:28" ht="15" customHeight="1">
      <c r="A1297" s="2" t="s">
        <v>9315</v>
      </c>
      <c r="B1297" s="2" t="s">
        <v>368</v>
      </c>
      <c r="C1297" s="86" t="s">
        <v>2801</v>
      </c>
      <c r="D1297" s="2" t="s">
        <v>30</v>
      </c>
      <c r="E1297" s="2" t="s">
        <v>31</v>
      </c>
      <c r="F1297" s="11" t="s">
        <v>715</v>
      </c>
      <c r="G1297" s="11" t="s">
        <v>716</v>
      </c>
      <c r="H1297" s="2" t="s">
        <v>2802</v>
      </c>
      <c r="I1297" s="12" t="s">
        <v>1104</v>
      </c>
      <c r="J1297" s="41">
        <f>+Tabla1[[#This Row],[FECHA ENTRADA]]</f>
        <v>45607</v>
      </c>
      <c r="K1297" s="8">
        <v>45704</v>
      </c>
      <c r="L1297" s="42">
        <f>_xlfn.DAYS(Tabla1[[#This Row],[FECHA FIN ]],Tabla1[[#This Row],[FECHA INICIO]])</f>
        <v>97</v>
      </c>
      <c r="M1297" s="12"/>
      <c r="N1297" s="12">
        <v>160</v>
      </c>
      <c r="O1297" s="28">
        <f>(Tabla1[[#This Row],[COSTO FIJO ]]/30)*Tabla1[[#This Row],[TOTAL DIAS PROYECTO]]+(Tabla1[[#This Row],[COSTO TEMPORAL]])</f>
        <v>517.33333333333326</v>
      </c>
      <c r="P1297" s="12"/>
      <c r="Q1297" s="12">
        <f>+(Tabla1[[#This Row],[COSTO COCHE]]/30)*Tabla1[[#This Row],[TOTAL DIAS PROYECTO]]</f>
        <v>0</v>
      </c>
      <c r="R1297" s="12">
        <f>+Tabla1[[#This Row],[COSTO TOTAL ALOJAMIENTO]]+Tabla1[[#This Row],[COSTO TOTAL COCHE]]</f>
        <v>517.33333333333326</v>
      </c>
      <c r="S1297" s="2"/>
      <c r="T1297" s="2" t="s">
        <v>35</v>
      </c>
      <c r="U1297" s="14">
        <v>45607</v>
      </c>
      <c r="V1297" s="43"/>
      <c r="W1297" s="26"/>
      <c r="X1297" s="2">
        <v>1</v>
      </c>
      <c r="Y1297" s="11" t="s">
        <v>1120</v>
      </c>
      <c r="Z1297" s="2" t="s">
        <v>36</v>
      </c>
      <c r="AA1297" s="13" t="s">
        <v>10323</v>
      </c>
      <c r="AB1297" s="13" t="s">
        <v>10324</v>
      </c>
    </row>
    <row r="1298" spans="1:28" ht="15" customHeight="1">
      <c r="A1298" s="2" t="s">
        <v>8638</v>
      </c>
      <c r="B1298" s="2" t="s">
        <v>368</v>
      </c>
      <c r="C1298" s="11" t="s">
        <v>2803</v>
      </c>
      <c r="D1298" s="2" t="s">
        <v>30</v>
      </c>
      <c r="E1298" s="2" t="s">
        <v>213</v>
      </c>
      <c r="F1298" s="11" t="s">
        <v>2800</v>
      </c>
      <c r="G1298" s="49"/>
      <c r="H1298" s="2" t="s">
        <v>1198</v>
      </c>
      <c r="I1298" s="12" t="s">
        <v>514</v>
      </c>
      <c r="J1298" s="22">
        <v>45580</v>
      </c>
      <c r="K1298" s="22">
        <v>45821</v>
      </c>
      <c r="L1298" s="23">
        <f>_xlfn.DAYS(Tabla1[[#This Row],[FECHA FIN ]],Tabla1[[#This Row],[FECHA INICIO]])</f>
        <v>241</v>
      </c>
      <c r="M1298" s="12"/>
      <c r="N1298" s="24"/>
      <c r="O1298" s="24">
        <f>(Tabla1[[#This Row],[COSTO FIJO ]]/30)*Tabla1[[#This Row],[TOTAL DIAS PROYECTO]]+(Tabla1[[#This Row],[COSTO TEMPORAL]])</f>
        <v>0</v>
      </c>
      <c r="P1298" s="12"/>
      <c r="Q1298" s="12">
        <f>+(Tabla1[[#This Row],[COSTO COCHE]]/30)*Tabla1[[#This Row],[TOTAL DIAS PROYECTO]]</f>
        <v>0</v>
      </c>
      <c r="R1298" s="12">
        <f>+Tabla1[[#This Row],[COSTO TOTAL ALOJAMIENTO]]+Tabla1[[#This Row],[COSTO TOTAL COCHE]]</f>
        <v>0</v>
      </c>
      <c r="S1298" s="2"/>
      <c r="T1298" s="2" t="s">
        <v>44</v>
      </c>
      <c r="U1298" s="14">
        <v>45580</v>
      </c>
      <c r="V1298" s="25">
        <v>45593</v>
      </c>
      <c r="W1298" s="26"/>
      <c r="X1298" s="2"/>
      <c r="Y1298" s="11"/>
      <c r="Z1298" s="2" t="s">
        <v>36</v>
      </c>
      <c r="AA1298" s="13" t="s">
        <v>10349</v>
      </c>
      <c r="AB1298" s="13" t="s">
        <v>10350</v>
      </c>
    </row>
    <row r="1299" spans="1:28" ht="15" customHeight="1">
      <c r="A1299" s="2" t="s">
        <v>8638</v>
      </c>
      <c r="B1299" s="2" t="s">
        <v>368</v>
      </c>
      <c r="C1299" s="11" t="s">
        <v>2804</v>
      </c>
      <c r="D1299" s="2" t="s">
        <v>30</v>
      </c>
      <c r="E1299" s="2" t="s">
        <v>213</v>
      </c>
      <c r="F1299" s="11" t="s">
        <v>2800</v>
      </c>
      <c r="G1299" s="49"/>
      <c r="H1299" s="2" t="s">
        <v>1198</v>
      </c>
      <c r="I1299" s="12" t="s">
        <v>514</v>
      </c>
      <c r="J1299" s="22">
        <v>45580</v>
      </c>
      <c r="K1299" s="22">
        <v>45821</v>
      </c>
      <c r="L1299" s="23">
        <f>_xlfn.DAYS(Tabla1[[#This Row],[FECHA FIN ]],Tabla1[[#This Row],[FECHA INICIO]])</f>
        <v>241</v>
      </c>
      <c r="M1299" s="12"/>
      <c r="N1299" s="24"/>
      <c r="O1299" s="24">
        <f>(Tabla1[[#This Row],[COSTO FIJO ]]/30)*Tabla1[[#This Row],[TOTAL DIAS PROYECTO]]+(Tabla1[[#This Row],[COSTO TEMPORAL]])</f>
        <v>0</v>
      </c>
      <c r="P1299" s="12"/>
      <c r="Q1299" s="12">
        <f>+(Tabla1[[#This Row],[COSTO COCHE]]/30)*Tabla1[[#This Row],[TOTAL DIAS PROYECTO]]</f>
        <v>0</v>
      </c>
      <c r="R1299" s="12">
        <f>+Tabla1[[#This Row],[COSTO TOTAL ALOJAMIENTO]]+Tabla1[[#This Row],[COSTO TOTAL COCHE]]</f>
        <v>0</v>
      </c>
      <c r="S1299" s="2"/>
      <c r="T1299" s="2" t="s">
        <v>44</v>
      </c>
      <c r="U1299" s="14">
        <v>45580</v>
      </c>
      <c r="V1299" s="25">
        <v>45593</v>
      </c>
      <c r="W1299" s="26"/>
      <c r="X1299" s="2"/>
      <c r="Y1299" s="11"/>
      <c r="Z1299" s="2" t="s">
        <v>36</v>
      </c>
      <c r="AA1299" s="13" t="s">
        <v>10349</v>
      </c>
      <c r="AB1299" s="13" t="s">
        <v>10350</v>
      </c>
    </row>
    <row r="1300" spans="1:28" ht="15" customHeight="1">
      <c r="A1300" s="2" t="s">
        <v>9316</v>
      </c>
      <c r="B1300" s="2" t="s">
        <v>368</v>
      </c>
      <c r="C1300" s="11" t="s">
        <v>2805</v>
      </c>
      <c r="D1300" s="2" t="s">
        <v>30</v>
      </c>
      <c r="E1300" s="2" t="s">
        <v>985</v>
      </c>
      <c r="F1300" s="11"/>
      <c r="G1300" s="49"/>
      <c r="H1300" s="2" t="s">
        <v>1683</v>
      </c>
      <c r="I1300" s="12" t="s">
        <v>989</v>
      </c>
      <c r="J1300" s="22">
        <f>+Tabla1[[#This Row],[FECHA ENTRADA]]</f>
        <v>45585</v>
      </c>
      <c r="K1300" s="22">
        <v>45821</v>
      </c>
      <c r="L1300" s="23">
        <f>_xlfn.DAYS(Tabla1[[#This Row],[FECHA FIN ]],Tabla1[[#This Row],[FECHA INICIO]])</f>
        <v>236</v>
      </c>
      <c r="M1300" s="12"/>
      <c r="N1300" s="12">
        <f>1811.6/17</f>
        <v>106.56470588235294</v>
      </c>
      <c r="O1300" s="24">
        <f>(Tabla1[[#This Row],[COSTO FIJO ]]/30)*Tabla1[[#This Row],[TOTAL DIAS PROYECTO]]+(Tabla1[[#This Row],[COSTO TEMPORAL]])</f>
        <v>838.3090196078432</v>
      </c>
      <c r="P1300" s="12"/>
      <c r="Q1300" s="12">
        <f>+(Tabla1[[#This Row],[COSTO COCHE]]/30)*Tabla1[[#This Row],[TOTAL DIAS PROYECTO]]</f>
        <v>0</v>
      </c>
      <c r="R1300" s="12">
        <f>+Tabla1[[#This Row],[COSTO TOTAL ALOJAMIENTO]]+Tabla1[[#This Row],[COSTO TOTAL COCHE]]</f>
        <v>838.3090196078432</v>
      </c>
      <c r="S1300" s="2"/>
      <c r="T1300" s="2" t="s">
        <v>44</v>
      </c>
      <c r="U1300" s="14">
        <v>45585</v>
      </c>
      <c r="V1300" s="25">
        <v>45595</v>
      </c>
      <c r="W1300" s="26"/>
      <c r="X1300" s="2"/>
      <c r="Y1300" s="11"/>
      <c r="Z1300" s="2" t="s">
        <v>36</v>
      </c>
      <c r="AA1300" s="13" t="s">
        <v>10407</v>
      </c>
      <c r="AB1300" s="13" t="s">
        <v>10408</v>
      </c>
    </row>
    <row r="1301" spans="1:28" ht="15" customHeight="1">
      <c r="A1301" s="2" t="s">
        <v>8945</v>
      </c>
      <c r="B1301" s="2" t="s">
        <v>28</v>
      </c>
      <c r="C1301" s="11" t="s">
        <v>1397</v>
      </c>
      <c r="D1301" s="2" t="s">
        <v>749</v>
      </c>
      <c r="E1301" s="2" t="s">
        <v>288</v>
      </c>
      <c r="F1301" s="11" t="s">
        <v>1144</v>
      </c>
      <c r="G1301" t="s">
        <v>751</v>
      </c>
      <c r="H1301" s="2" t="s">
        <v>2623</v>
      </c>
      <c r="I1301" s="12" t="s">
        <v>753</v>
      </c>
      <c r="J1301" s="8">
        <f>+Tabla1[[#This Row],[FECHA ENTRADA]]</f>
        <v>45507</v>
      </c>
      <c r="K1301" s="8">
        <v>45633</v>
      </c>
      <c r="L1301" s="13">
        <f>_xlfn.DAYS(Tabla1[[#This Row],[FECHA FIN ]],Tabla1[[#This Row],[FECHA INICIO]])</f>
        <v>126</v>
      </c>
      <c r="M1301" s="12"/>
      <c r="N1301" s="12">
        <v>436.43</v>
      </c>
      <c r="O1301" s="12">
        <f>(Tabla1[[#This Row],[COSTO FIJO ]]/30)*Tabla1[[#This Row],[TOTAL DIAS PROYECTO]]+(Tabla1[[#This Row],[COSTO TEMPORAL]])</f>
        <v>1833.0059999999999</v>
      </c>
      <c r="P1301" s="12">
        <f>8180.25/45</f>
        <v>181.78333333333333</v>
      </c>
      <c r="Q1301" s="12">
        <f>+(Tabla1[[#This Row],[COSTO COCHE]]/30)*Tabla1[[#This Row],[TOTAL DIAS PROYECTO]]</f>
        <v>763.4899999999999</v>
      </c>
      <c r="R1301" s="12">
        <f>+Tabla1[[#This Row],[COSTO TOTAL ALOJAMIENTO]]+Tabla1[[#This Row],[COSTO TOTAL COCHE]]</f>
        <v>2596.4959999999996</v>
      </c>
      <c r="S1301" s="2"/>
      <c r="T1301" s="2" t="s">
        <v>44</v>
      </c>
      <c r="U1301" s="14">
        <v>45507</v>
      </c>
      <c r="V1301" s="14">
        <v>45634</v>
      </c>
      <c r="W1301" s="26"/>
      <c r="X1301" s="2">
        <v>1</v>
      </c>
      <c r="Y1301" s="11"/>
      <c r="Z1301" s="2" t="s">
        <v>36</v>
      </c>
      <c r="AA1301" s="13" t="s">
        <v>10362</v>
      </c>
      <c r="AB1301" s="13" t="s">
        <v>10363</v>
      </c>
    </row>
    <row r="1302" spans="1:28" ht="15" customHeight="1">
      <c r="A1302" s="2" t="s">
        <v>9317</v>
      </c>
      <c r="B1302" s="2" t="s">
        <v>28</v>
      </c>
      <c r="C1302" s="18" t="s">
        <v>2806</v>
      </c>
      <c r="D1302" s="2" t="s">
        <v>30</v>
      </c>
      <c r="E1302" s="2" t="s">
        <v>599</v>
      </c>
      <c r="F1302" s="11" t="s">
        <v>600</v>
      </c>
      <c r="G1302" s="11" t="s">
        <v>601</v>
      </c>
      <c r="H1302" s="2" t="s">
        <v>2807</v>
      </c>
      <c r="I1302" s="12" t="s">
        <v>2808</v>
      </c>
      <c r="J1302" s="41">
        <v>45551</v>
      </c>
      <c r="K1302" s="22">
        <v>45821</v>
      </c>
      <c r="L1302" s="42">
        <f>_xlfn.DAYS(Tabla1[[#This Row],[FECHA FIN ]],Tabla1[[#This Row],[FECHA INICIO]])</f>
        <v>270</v>
      </c>
      <c r="M1302" s="12"/>
      <c r="N1302" s="24"/>
      <c r="O1302" s="28">
        <f>(Tabla1[[#This Row],[COSTO FIJO ]]/30)*Tabla1[[#This Row],[TOTAL DIAS PROYECTO]]+(Tabla1[[#This Row],[COSTO TEMPORAL]])</f>
        <v>0</v>
      </c>
      <c r="P1302" s="12"/>
      <c r="Q1302" s="12">
        <f>+(Tabla1[[#This Row],[COSTO COCHE]]/30)*Tabla1[[#This Row],[TOTAL DIAS PROYECTO]]</f>
        <v>0</v>
      </c>
      <c r="R1302" s="12">
        <f>+Tabla1[[#This Row],[COSTO TOTAL ALOJAMIENTO]]+Tabla1[[#This Row],[COSTO TOTAL COCHE]]</f>
        <v>0</v>
      </c>
      <c r="S1302" s="2"/>
      <c r="T1302" s="2" t="s">
        <v>528</v>
      </c>
      <c r="U1302" s="14">
        <v>45551</v>
      </c>
      <c r="V1302" s="79">
        <v>45596</v>
      </c>
      <c r="W1302" s="26"/>
      <c r="X1302" s="2"/>
      <c r="Y1302" s="11" t="s">
        <v>2809</v>
      </c>
      <c r="Z1302" s="2" t="s">
        <v>36</v>
      </c>
      <c r="AA1302" s="13" t="s">
        <v>10382</v>
      </c>
      <c r="AB1302" s="13">
        <v>4038884</v>
      </c>
    </row>
    <row r="1303" spans="1:28" ht="15" customHeight="1">
      <c r="A1303" s="2" t="s">
        <v>9318</v>
      </c>
      <c r="B1303" s="2" t="s">
        <v>28</v>
      </c>
      <c r="C1303" s="18" t="s">
        <v>2810</v>
      </c>
      <c r="D1303" s="2" t="s">
        <v>30</v>
      </c>
      <c r="E1303" s="2" t="s">
        <v>599</v>
      </c>
      <c r="F1303" s="11" t="s">
        <v>600</v>
      </c>
      <c r="G1303" s="11" t="s">
        <v>601</v>
      </c>
      <c r="H1303" s="2" t="s">
        <v>2807</v>
      </c>
      <c r="I1303" s="12" t="s">
        <v>2808</v>
      </c>
      <c r="J1303" s="41">
        <v>45551</v>
      </c>
      <c r="K1303" s="22">
        <v>45821</v>
      </c>
      <c r="L1303" s="42">
        <f>_xlfn.DAYS(Tabla1[[#This Row],[FECHA FIN ]],Tabla1[[#This Row],[FECHA INICIO]])</f>
        <v>270</v>
      </c>
      <c r="M1303" s="12"/>
      <c r="N1303" s="20"/>
      <c r="O1303" s="28">
        <f>(Tabla1[[#This Row],[COSTO FIJO ]]/30)*Tabla1[[#This Row],[TOTAL DIAS PROYECTO]]+(Tabla1[[#This Row],[COSTO TEMPORAL]])</f>
        <v>0</v>
      </c>
      <c r="P1303" s="12"/>
      <c r="Q1303" s="12">
        <f>+(Tabla1[[#This Row],[COSTO COCHE]]/30)*Tabla1[[#This Row],[TOTAL DIAS PROYECTO]]</f>
        <v>0</v>
      </c>
      <c r="R1303" s="12">
        <f>+Tabla1[[#This Row],[COSTO TOTAL ALOJAMIENTO]]+Tabla1[[#This Row],[COSTO TOTAL COCHE]]</f>
        <v>0</v>
      </c>
      <c r="S1303" s="2"/>
      <c r="T1303" s="2" t="s">
        <v>528</v>
      </c>
      <c r="U1303" s="14">
        <v>45551</v>
      </c>
      <c r="V1303" s="79">
        <v>45596</v>
      </c>
      <c r="W1303" s="26"/>
      <c r="X1303" s="2"/>
      <c r="Y1303" s="11" t="s">
        <v>2811</v>
      </c>
      <c r="Z1303" s="2" t="s">
        <v>36</v>
      </c>
      <c r="AA1303" s="13" t="s">
        <v>10382</v>
      </c>
      <c r="AB1303" s="13">
        <v>4038884</v>
      </c>
    </row>
    <row r="1304" spans="1:28">
      <c r="A1304" s="2" t="s">
        <v>9319</v>
      </c>
      <c r="B1304" s="2" t="s">
        <v>368</v>
      </c>
      <c r="C1304" s="11" t="s">
        <v>2812</v>
      </c>
      <c r="D1304" s="2" t="s">
        <v>99</v>
      </c>
      <c r="E1304" s="2" t="s">
        <v>213</v>
      </c>
      <c r="F1304" s="11" t="s">
        <v>1196</v>
      </c>
      <c r="G1304" s="21" t="s">
        <v>1197</v>
      </c>
      <c r="H1304" s="2" t="s">
        <v>2813</v>
      </c>
      <c r="I1304" s="12" t="s">
        <v>514</v>
      </c>
      <c r="J1304" s="22">
        <f>+Tabla1[[#This Row],[FECHA ENTRADA]]</f>
        <v>45699</v>
      </c>
      <c r="K1304" s="22">
        <v>45821</v>
      </c>
      <c r="L1304" s="23">
        <f>_xlfn.DAYS(Tabla1[[#This Row],[FECHA FIN ]],Tabla1[[#This Row],[FECHA INICIO]])</f>
        <v>122</v>
      </c>
      <c r="M1304" s="12"/>
      <c r="N1304" s="12"/>
      <c r="O1304" s="24">
        <f>(Tabla1[[#This Row],[COSTO FIJO ]]/30)*Tabla1[[#This Row],[TOTAL DIAS PROYECTO]]+(Tabla1[[#This Row],[COSTO TEMPORAL]])</f>
        <v>0</v>
      </c>
      <c r="P1304" s="12">
        <f>2134.37/19</f>
        <v>112.33526315789473</v>
      </c>
      <c r="Q1304" s="12">
        <f>+(Tabla1[[#This Row],[COSTO COCHE]]/30)*Tabla1[[#This Row],[TOTAL DIAS PROYECTO]]</f>
        <v>456.83007017543855</v>
      </c>
      <c r="R1304" s="12">
        <f>+Tabla1[[#This Row],[COSTO TOTAL ALOJAMIENTO]]+Tabla1[[#This Row],[COSTO TOTAL COCHE]]</f>
        <v>456.83007017543855</v>
      </c>
      <c r="S1304" s="2"/>
      <c r="T1304" s="2" t="s">
        <v>35</v>
      </c>
      <c r="U1304" s="14">
        <v>45699</v>
      </c>
      <c r="V1304" s="25"/>
      <c r="W1304" s="26"/>
      <c r="X1304" s="2">
        <v>1</v>
      </c>
      <c r="Y1304" s="11"/>
      <c r="Z1304" s="2" t="s">
        <v>36</v>
      </c>
      <c r="AA1304" s="13" t="s">
        <v>10349</v>
      </c>
      <c r="AB1304" s="13" t="s">
        <v>10350</v>
      </c>
    </row>
    <row r="1305" spans="1:28" ht="15" customHeight="1">
      <c r="A1305" s="2" t="s">
        <v>9319</v>
      </c>
      <c r="B1305" s="2" t="s">
        <v>368</v>
      </c>
      <c r="C1305" s="11" t="s">
        <v>2812</v>
      </c>
      <c r="D1305" s="2" t="s">
        <v>30</v>
      </c>
      <c r="E1305" s="2" t="s">
        <v>213</v>
      </c>
      <c r="F1305" s="11" t="s">
        <v>1525</v>
      </c>
      <c r="G1305" s="32" t="s">
        <v>1197</v>
      </c>
      <c r="H1305" s="2" t="s">
        <v>1198</v>
      </c>
      <c r="I1305" s="12" t="s">
        <v>514</v>
      </c>
      <c r="J1305" s="22">
        <f>+Tabla1[[#This Row],[FECHA ENTRADA]]</f>
        <v>45580</v>
      </c>
      <c r="K1305" s="22">
        <v>45821</v>
      </c>
      <c r="L1305" s="23">
        <f>_xlfn.DAYS(Tabla1[[#This Row],[FECHA FIN ]],Tabla1[[#This Row],[FECHA INICIO]])</f>
        <v>241</v>
      </c>
      <c r="M1305" s="12"/>
      <c r="N1305" s="12"/>
      <c r="O1305" s="24">
        <f>(Tabla1[[#This Row],[COSTO FIJO ]]/30)*Tabla1[[#This Row],[TOTAL DIAS PROYECTO]]+(Tabla1[[#This Row],[COSTO TEMPORAL]])</f>
        <v>0</v>
      </c>
      <c r="P1305" s="12"/>
      <c r="Q1305" s="12">
        <f>+(Tabla1[[#This Row],[COSTO COCHE]]/30)*Tabla1[[#This Row],[TOTAL DIAS PROYECTO]]</f>
        <v>0</v>
      </c>
      <c r="R1305" s="12">
        <f>+Tabla1[[#This Row],[COSTO TOTAL ALOJAMIENTO]]+Tabla1[[#This Row],[COSTO TOTAL COCHE]]</f>
        <v>0</v>
      </c>
      <c r="S1305" s="2"/>
      <c r="T1305" s="2" t="s">
        <v>35</v>
      </c>
      <c r="U1305" s="14">
        <v>45580</v>
      </c>
      <c r="V1305" s="25"/>
      <c r="W1305" s="26"/>
      <c r="X1305" s="2">
        <v>1</v>
      </c>
      <c r="Y1305" s="11" t="s">
        <v>1526</v>
      </c>
      <c r="Z1305" s="2" t="s">
        <v>36</v>
      </c>
      <c r="AA1305" s="13" t="s">
        <v>10349</v>
      </c>
      <c r="AB1305" s="13" t="s">
        <v>10350</v>
      </c>
    </row>
    <row r="1306" spans="1:28" ht="15" customHeight="1">
      <c r="A1306" s="2" t="s">
        <v>9165</v>
      </c>
      <c r="B1306" s="2" t="s">
        <v>368</v>
      </c>
      <c r="C1306" s="11" t="s">
        <v>2289</v>
      </c>
      <c r="D1306" s="2" t="s">
        <v>30</v>
      </c>
      <c r="E1306" s="2" t="s">
        <v>253</v>
      </c>
      <c r="F1306" s="11" t="s">
        <v>581</v>
      </c>
      <c r="G1306" s="11" t="s">
        <v>255</v>
      </c>
      <c r="H1306" s="2" t="s">
        <v>789</v>
      </c>
      <c r="I1306" s="12" t="s">
        <v>666</v>
      </c>
      <c r="J1306" s="41">
        <f>+Tabla1[[#This Row],[FECHA ENTRADA]]</f>
        <v>45550</v>
      </c>
      <c r="K1306" s="22">
        <v>45821</v>
      </c>
      <c r="L1306" s="42">
        <f>_xlfn.DAYS(Tabla1[[#This Row],[FECHA FIN ]],Tabla1[[#This Row],[FECHA INICIO]])</f>
        <v>271</v>
      </c>
      <c r="M1306" s="12"/>
      <c r="N1306" s="12"/>
      <c r="O1306" s="28">
        <f>(Tabla1[[#This Row],[COSTO FIJO ]]/30)*Tabla1[[#This Row],[TOTAL DIAS PROYECTO]]+(Tabla1[[#This Row],[COSTO TEMPORAL]])</f>
        <v>0</v>
      </c>
      <c r="P1306" s="12">
        <f>+((651.96*50%)/5)</f>
        <v>65.195999999999998</v>
      </c>
      <c r="Q1306" s="12">
        <f>+(Tabla1[[#This Row],[COSTO COCHE]]/30)*Tabla1[[#This Row],[TOTAL DIAS PROYECTO]]</f>
        <v>588.93719999999996</v>
      </c>
      <c r="R1306" s="12">
        <f>+Tabla1[[#This Row],[COSTO TOTAL ALOJAMIENTO]]+Tabla1[[#This Row],[COSTO TOTAL COCHE]]</f>
        <v>588.93719999999996</v>
      </c>
      <c r="S1306" s="2"/>
      <c r="T1306" s="2" t="s">
        <v>35</v>
      </c>
      <c r="U1306" s="14">
        <v>45550</v>
      </c>
      <c r="V1306" s="75"/>
      <c r="W1306" s="26"/>
      <c r="X1306" s="2">
        <v>1</v>
      </c>
      <c r="Y1306" s="11"/>
      <c r="Z1306" s="64" t="s">
        <v>36</v>
      </c>
      <c r="AA1306" s="13" t="s">
        <v>10357</v>
      </c>
      <c r="AB1306" s="13" t="s">
        <v>10358</v>
      </c>
    </row>
    <row r="1307" spans="1:28" ht="15" customHeight="1">
      <c r="A1307" s="2" t="s">
        <v>8975</v>
      </c>
      <c r="B1307" s="2" t="s">
        <v>28</v>
      </c>
      <c r="C1307" s="11" t="s">
        <v>1567</v>
      </c>
      <c r="D1307" s="2" t="s">
        <v>749</v>
      </c>
      <c r="E1307" s="2" t="s">
        <v>288</v>
      </c>
      <c r="F1307" s="11" t="s">
        <v>1144</v>
      </c>
      <c r="G1307" t="s">
        <v>751</v>
      </c>
      <c r="H1307" s="2" t="s">
        <v>2623</v>
      </c>
      <c r="I1307" s="12" t="s">
        <v>753</v>
      </c>
      <c r="J1307" s="8">
        <f>+Tabla1[[#This Row],[FECHA ENTRADA]]</f>
        <v>45507</v>
      </c>
      <c r="K1307" s="8">
        <v>45634</v>
      </c>
      <c r="L1307" s="13">
        <f>_xlfn.DAYS(Tabla1[[#This Row],[FECHA FIN ]],Tabla1[[#This Row],[FECHA INICIO]])</f>
        <v>127</v>
      </c>
      <c r="M1307" s="12"/>
      <c r="N1307" s="12"/>
      <c r="O1307" s="12">
        <f>(Tabla1[[#This Row],[COSTO FIJO ]]/30)*Tabla1[[#This Row],[TOTAL DIAS PROYECTO]]+(Tabla1[[#This Row],[COSTO TEMPORAL]])</f>
        <v>0</v>
      </c>
      <c r="P1307" s="12">
        <f>8180.25/45</f>
        <v>181.78333333333333</v>
      </c>
      <c r="Q1307" s="12">
        <f>+(Tabla1[[#This Row],[COSTO COCHE]]/30)*Tabla1[[#This Row],[TOTAL DIAS PROYECTO]]</f>
        <v>769.54944444444436</v>
      </c>
      <c r="R1307" s="12">
        <f>+Tabla1[[#This Row],[COSTO TOTAL ALOJAMIENTO]]+Tabla1[[#This Row],[COSTO TOTAL COCHE]]</f>
        <v>769.54944444444436</v>
      </c>
      <c r="S1307" s="2"/>
      <c r="T1307" s="2" t="s">
        <v>44</v>
      </c>
      <c r="U1307" s="14">
        <v>45507</v>
      </c>
      <c r="V1307" s="14">
        <v>45634</v>
      </c>
      <c r="W1307" s="26"/>
      <c r="X1307" s="2">
        <v>1</v>
      </c>
      <c r="Y1307" s="11"/>
      <c r="Z1307" s="2" t="s">
        <v>36</v>
      </c>
      <c r="AA1307" s="13" t="s">
        <v>10362</v>
      </c>
      <c r="AB1307" s="13" t="s">
        <v>10363</v>
      </c>
    </row>
    <row r="1308" spans="1:28" ht="15" customHeight="1">
      <c r="A1308" s="2" t="s">
        <v>9320</v>
      </c>
      <c r="B1308" s="2" t="s">
        <v>28</v>
      </c>
      <c r="C1308" s="11" t="s">
        <v>2814</v>
      </c>
      <c r="D1308" s="2" t="s">
        <v>99</v>
      </c>
      <c r="E1308" s="2" t="s">
        <v>245</v>
      </c>
      <c r="F1308" s="11" t="s">
        <v>2596</v>
      </c>
      <c r="G1308" s="49" t="s">
        <v>2597</v>
      </c>
      <c r="H1308" s="2" t="s">
        <v>2761</v>
      </c>
      <c r="I1308" s="10" t="s">
        <v>249</v>
      </c>
      <c r="J1308" s="22">
        <f>+Tabla1[[#This Row],[FECHA ENTRADA]]</f>
        <v>45707</v>
      </c>
      <c r="K1308" s="22">
        <v>45821</v>
      </c>
      <c r="L1308" s="23">
        <f>_xlfn.DAYS(Tabla1[[#This Row],[FECHA FIN ]],Tabla1[[#This Row],[FECHA INICIO]])</f>
        <v>114</v>
      </c>
      <c r="M1308" s="12"/>
      <c r="N1308" s="12"/>
      <c r="O1308" s="24">
        <f>(Tabla1[[#This Row],[COSTO FIJO ]]/30)*Tabla1[[#This Row],[TOTAL DIAS PROYECTO]]+(Tabla1[[#This Row],[COSTO TEMPORAL]])</f>
        <v>0</v>
      </c>
      <c r="P1308" s="12"/>
      <c r="Q1308" s="12">
        <f>+(Tabla1[[#This Row],[COSTO COCHE]]/30)*Tabla1[[#This Row],[TOTAL DIAS PROYECTO]]</f>
        <v>0</v>
      </c>
      <c r="R1308" s="12">
        <f>+Tabla1[[#This Row],[COSTO TOTAL ALOJAMIENTO]]+Tabla1[[#This Row],[COSTO TOTAL COCHE]]</f>
        <v>0</v>
      </c>
      <c r="S1308" s="2"/>
      <c r="T1308" s="2" t="s">
        <v>613</v>
      </c>
      <c r="U1308" s="14">
        <v>45707</v>
      </c>
      <c r="V1308" s="25"/>
      <c r="W1308" s="26"/>
      <c r="X1308" s="2">
        <v>16</v>
      </c>
      <c r="Y1308" s="11"/>
      <c r="Z1308" s="2" t="s">
        <v>36</v>
      </c>
      <c r="AA1308" s="13" t="s">
        <v>10355</v>
      </c>
      <c r="AB1308" s="13" t="s">
        <v>10356</v>
      </c>
    </row>
    <row r="1309" spans="1:28" ht="15" customHeight="1">
      <c r="A1309" s="2" t="s">
        <v>8961</v>
      </c>
      <c r="B1309" s="2" t="s">
        <v>28</v>
      </c>
      <c r="C1309" s="11" t="s">
        <v>1498</v>
      </c>
      <c r="D1309" s="2" t="s">
        <v>99</v>
      </c>
      <c r="E1309" s="2" t="s">
        <v>245</v>
      </c>
      <c r="F1309" s="11" t="s">
        <v>1858</v>
      </c>
      <c r="G1309" s="133" t="s">
        <v>1859</v>
      </c>
      <c r="H1309" s="2" t="s">
        <v>2474</v>
      </c>
      <c r="I1309" s="12" t="s">
        <v>249</v>
      </c>
      <c r="J1309" s="22">
        <f>+Tabla1[[#This Row],[FECHA ENTRADA]]</f>
        <v>45734</v>
      </c>
      <c r="K1309" s="22">
        <v>45751</v>
      </c>
      <c r="L1309" s="23">
        <f>_xlfn.DAYS(Tabla1[[#This Row],[FECHA FIN ]],Tabla1[[#This Row],[FECHA INICIO]])</f>
        <v>17</v>
      </c>
      <c r="M1309" s="12"/>
      <c r="N1309" s="24">
        <v>324</v>
      </c>
      <c r="O1309" s="24">
        <f>(Tabla1[[#This Row],[COSTO FIJO ]]/30)*Tabla1[[#This Row],[TOTAL DIAS PROYECTO]]+(Tabla1[[#This Row],[COSTO TEMPORAL]])</f>
        <v>183.60000000000002</v>
      </c>
      <c r="P1309" s="12">
        <v>76.92307692307692</v>
      </c>
      <c r="Q1309" s="12">
        <f>+(Tabla1[[#This Row],[COSTO COCHE]]/30)*Tabla1[[#This Row],[TOTAL DIAS PROYECTO]]</f>
        <v>43.589743589743584</v>
      </c>
      <c r="R1309" s="12">
        <f>+Tabla1[[#This Row],[COSTO TOTAL ALOJAMIENTO]]+Tabla1[[#This Row],[COSTO TOTAL COCHE]]</f>
        <v>227.18974358974361</v>
      </c>
      <c r="S1309" s="2"/>
      <c r="T1309" s="2" t="s">
        <v>35</v>
      </c>
      <c r="U1309" s="14">
        <v>45734</v>
      </c>
      <c r="V1309" s="25"/>
      <c r="W1309" s="26"/>
      <c r="X1309" s="2">
        <v>1</v>
      </c>
      <c r="Y1309" s="11"/>
      <c r="Z1309" s="2" t="s">
        <v>36</v>
      </c>
      <c r="AA1309" s="13" t="s">
        <v>10355</v>
      </c>
      <c r="AB1309" s="13" t="s">
        <v>10356</v>
      </c>
    </row>
    <row r="1310" spans="1:28" ht="15" customHeight="1">
      <c r="A1310" s="2" t="s">
        <v>9056</v>
      </c>
      <c r="B1310" s="2" t="s">
        <v>28</v>
      </c>
      <c r="C1310" s="11" t="s">
        <v>1817</v>
      </c>
      <c r="D1310" s="2" t="s">
        <v>741</v>
      </c>
      <c r="E1310" s="30" t="s">
        <v>1025</v>
      </c>
      <c r="F1310" s="11" t="s">
        <v>1026</v>
      </c>
      <c r="G1310" s="11" t="s">
        <v>1027</v>
      </c>
      <c r="H1310" s="2" t="s">
        <v>1028</v>
      </c>
      <c r="I1310" s="12" t="s">
        <v>52</v>
      </c>
      <c r="J1310" s="8">
        <f>+Tabla1[[#This Row],[FECHA ENTRADA]]</f>
        <v>45544</v>
      </c>
      <c r="K1310" s="22">
        <v>45821</v>
      </c>
      <c r="L1310" s="13">
        <f>_xlfn.DAYS(Tabla1[[#This Row],[FECHA FIN ]],Tabla1[[#This Row],[FECHA INICIO]])</f>
        <v>277</v>
      </c>
      <c r="M1310" s="12"/>
      <c r="N1310" s="12"/>
      <c r="O1310" s="12">
        <f>(Tabla1[[#This Row],[COSTO FIJO ]]/30)*Tabla1[[#This Row],[TOTAL DIAS PROYECTO]]+(Tabla1[[#This Row],[COSTO TEMPORAL]])</f>
        <v>0</v>
      </c>
      <c r="P1310" s="12"/>
      <c r="Q1310" s="12">
        <f>+(Tabla1[[#This Row],[COSTO COCHE]]/30)*Tabla1[[#This Row],[TOTAL DIAS PROYECTO]]</f>
        <v>0</v>
      </c>
      <c r="R1310" s="12">
        <f>+Tabla1[[#This Row],[COSTO TOTAL ALOJAMIENTO]]+Tabla1[[#This Row],[COSTO TOTAL COCHE]]</f>
        <v>0</v>
      </c>
      <c r="S1310" s="2" t="s">
        <v>84</v>
      </c>
      <c r="T1310" s="2" t="s">
        <v>44</v>
      </c>
      <c r="U1310" s="14">
        <v>45544</v>
      </c>
      <c r="V1310" s="14">
        <v>45619</v>
      </c>
      <c r="W1310" s="26"/>
      <c r="X1310" s="2"/>
      <c r="Y1310" s="31" t="s">
        <v>1029</v>
      </c>
      <c r="Z1310" s="64" t="s">
        <v>36</v>
      </c>
      <c r="AA1310" s="13" t="s">
        <v>10409</v>
      </c>
      <c r="AB1310" s="13">
        <v>4320085</v>
      </c>
    </row>
    <row r="1311" spans="1:28">
      <c r="A1311" s="2" t="s">
        <v>8638</v>
      </c>
      <c r="B1311" s="2" t="s">
        <v>368</v>
      </c>
      <c r="C1311" s="11" t="s">
        <v>2815</v>
      </c>
      <c r="D1311" s="2" t="s">
        <v>30</v>
      </c>
      <c r="E1311" s="2" t="s">
        <v>213</v>
      </c>
      <c r="F1311" s="11" t="s">
        <v>996</v>
      </c>
      <c r="G1311" s="11" t="s">
        <v>997</v>
      </c>
      <c r="H1311" s="2" t="s">
        <v>1112</v>
      </c>
      <c r="I1311" s="12" t="s">
        <v>514</v>
      </c>
      <c r="J1311" s="8">
        <f>+Tabla1[[#This Row],[FECHA ENTRADA]]</f>
        <v>45474</v>
      </c>
      <c r="K1311" s="22">
        <v>45821</v>
      </c>
      <c r="L1311" s="13">
        <f>_xlfn.DAYS(Tabla1[[#This Row],[FECHA FIN ]],Tabla1[[#This Row],[FECHA INICIO]])</f>
        <v>347</v>
      </c>
      <c r="M1311" s="12"/>
      <c r="N1311" s="12"/>
      <c r="O1311" s="12">
        <f>(Tabla1[[#This Row],[COSTO FIJO ]]/30)*Tabla1[[#This Row],[TOTAL DIAS PROYECTO]]+(Tabla1[[#This Row],[COSTO TEMPORAL]])</f>
        <v>0</v>
      </c>
      <c r="P1311" s="12">
        <f>((800+651.96)*50%)/10</f>
        <v>72.597999999999999</v>
      </c>
      <c r="Q1311" s="12">
        <f>+(Tabla1[[#This Row],[COSTO COCHE]]/30)*Tabla1[[#This Row],[TOTAL DIAS PROYECTO]]</f>
        <v>839.71686666666665</v>
      </c>
      <c r="R1311" s="12">
        <f>+Tabla1[[#This Row],[COSTO TOTAL ALOJAMIENTO]]+Tabla1[[#This Row],[COSTO TOTAL COCHE]]</f>
        <v>839.71686666666665</v>
      </c>
      <c r="S1311" s="2"/>
      <c r="T1311" s="2" t="s">
        <v>35</v>
      </c>
      <c r="U1311" s="14">
        <v>45474</v>
      </c>
      <c r="V1311" s="14"/>
      <c r="W1311" s="26"/>
      <c r="X1311" s="2">
        <v>1</v>
      </c>
      <c r="Y1311" s="11"/>
      <c r="Z1311" s="2" t="s">
        <v>36</v>
      </c>
      <c r="AA1311" s="13" t="s">
        <v>10349</v>
      </c>
      <c r="AB1311" s="13" t="s">
        <v>10350</v>
      </c>
    </row>
    <row r="1312" spans="1:28" ht="15" customHeight="1">
      <c r="A1312" s="2" t="s">
        <v>9321</v>
      </c>
      <c r="B1312" s="2" t="s">
        <v>368</v>
      </c>
      <c r="C1312" s="11" t="s">
        <v>2816</v>
      </c>
      <c r="D1312" s="2" t="s">
        <v>30</v>
      </c>
      <c r="E1312" s="2" t="s">
        <v>213</v>
      </c>
      <c r="F1312" s="11" t="s">
        <v>1525</v>
      </c>
      <c r="G1312" t="s">
        <v>1197</v>
      </c>
      <c r="H1312" s="2" t="s">
        <v>1465</v>
      </c>
      <c r="I1312" s="12" t="s">
        <v>1208</v>
      </c>
      <c r="J1312" s="41">
        <f>+Tabla1[[#This Row],[FECHA ENTRADA]]</f>
        <v>45669</v>
      </c>
      <c r="K1312" s="22">
        <v>45821</v>
      </c>
      <c r="L1312" s="42">
        <f>_xlfn.DAYS(Tabla1[[#This Row],[FECHA FIN ]],Tabla1[[#This Row],[FECHA INICIO]])</f>
        <v>152</v>
      </c>
      <c r="M1312" s="12"/>
      <c r="N1312" s="12"/>
      <c r="O1312" s="28">
        <f>(Tabla1[[#This Row],[COSTO FIJO ]]/30)*Tabla1[[#This Row],[TOTAL DIAS PROYECTO]]+(Tabla1[[#This Row],[COSTO TEMPORAL]])</f>
        <v>0</v>
      </c>
      <c r="P1312" s="12"/>
      <c r="Q1312" s="12">
        <f>+(Tabla1[[#This Row],[COSTO COCHE]]/30)*Tabla1[[#This Row],[TOTAL DIAS PROYECTO]]</f>
        <v>0</v>
      </c>
      <c r="R1312" s="12">
        <f>+Tabla1[[#This Row],[COSTO TOTAL ALOJAMIENTO]]+Tabla1[[#This Row],[COSTO TOTAL COCHE]]</f>
        <v>0</v>
      </c>
      <c r="S1312" s="2"/>
      <c r="T1312" s="2" t="s">
        <v>35</v>
      </c>
      <c r="U1312" s="14">
        <v>45669</v>
      </c>
      <c r="V1312" s="43"/>
      <c r="W1312" s="26"/>
      <c r="X1312" s="2">
        <v>1</v>
      </c>
      <c r="Y1312" s="11"/>
      <c r="Z1312" s="2" t="s">
        <v>36</v>
      </c>
      <c r="AA1312" s="13" t="s">
        <v>10349</v>
      </c>
      <c r="AB1312" s="13" t="s">
        <v>10350</v>
      </c>
    </row>
    <row r="1313" spans="1:28">
      <c r="A1313" s="2" t="s">
        <v>9321</v>
      </c>
      <c r="B1313" s="2" t="s">
        <v>28</v>
      </c>
      <c r="C1313" s="11" t="s">
        <v>2816</v>
      </c>
      <c r="D1313" s="2" t="s">
        <v>30</v>
      </c>
      <c r="E1313" s="2" t="s">
        <v>31</v>
      </c>
      <c r="F1313" s="11" t="s">
        <v>1004</v>
      </c>
      <c r="G1313" s="51" t="s">
        <v>1005</v>
      </c>
      <c r="H1313" s="2" t="s">
        <v>2789</v>
      </c>
      <c r="I1313" s="12" t="s">
        <v>1208</v>
      </c>
      <c r="J1313" s="41">
        <f>+Tabla1[[#This Row],[FECHA ENTRADA]]</f>
        <v>45594</v>
      </c>
      <c r="K1313" s="22">
        <v>45821</v>
      </c>
      <c r="L1313" s="42">
        <f>_xlfn.DAYS(Tabla1[[#This Row],[FECHA FIN ]],Tabla1[[#This Row],[FECHA INICIO]])</f>
        <v>227</v>
      </c>
      <c r="M1313" s="12"/>
      <c r="N1313" s="12"/>
      <c r="O1313" s="28">
        <f>(Tabla1[[#This Row],[COSTO FIJO ]]/30)*Tabla1[[#This Row],[TOTAL DIAS PROYECTO]]+(Tabla1[[#This Row],[COSTO TEMPORAL]])</f>
        <v>0</v>
      </c>
      <c r="P1313" s="12"/>
      <c r="Q1313" s="12">
        <f>+(Tabla1[[#This Row],[COSTO COCHE]]/30)*Tabla1[[#This Row],[TOTAL DIAS PROYECTO]]</f>
        <v>0</v>
      </c>
      <c r="R1313" s="12">
        <f>+Tabla1[[#This Row],[COSTO TOTAL ALOJAMIENTO]]+Tabla1[[#This Row],[COSTO TOTAL COCHE]]</f>
        <v>0</v>
      </c>
      <c r="S1313" s="2"/>
      <c r="T1313" s="2" t="s">
        <v>35</v>
      </c>
      <c r="U1313" s="14">
        <v>45594</v>
      </c>
      <c r="V1313" s="43"/>
      <c r="W1313" s="26"/>
      <c r="X1313" s="2">
        <v>1</v>
      </c>
      <c r="Y1313" s="11" t="s">
        <v>2790</v>
      </c>
      <c r="Z1313" s="2" t="s">
        <v>36</v>
      </c>
      <c r="AA1313" s="13" t="s">
        <v>10323</v>
      </c>
      <c r="AB1313" s="13" t="s">
        <v>10324</v>
      </c>
    </row>
    <row r="1314" spans="1:28">
      <c r="A1314" s="2" t="s">
        <v>9322</v>
      </c>
      <c r="B1314" s="2" t="s">
        <v>28</v>
      </c>
      <c r="C1314" s="11" t="s">
        <v>2817</v>
      </c>
      <c r="D1314" s="2" t="s">
        <v>30</v>
      </c>
      <c r="E1314" s="2" t="s">
        <v>476</v>
      </c>
      <c r="F1314" s="11" t="s">
        <v>477</v>
      </c>
      <c r="G1314" s="11" t="s">
        <v>478</v>
      </c>
      <c r="H1314" s="2" t="s">
        <v>479</v>
      </c>
      <c r="I1314" s="12" t="s">
        <v>165</v>
      </c>
      <c r="J1314" s="8">
        <f>+Tabla1[[#This Row],[FECHA ENTRADA]]</f>
        <v>45504</v>
      </c>
      <c r="K1314" s="22">
        <v>45821</v>
      </c>
      <c r="L1314" s="13">
        <f>_xlfn.DAYS(Tabla1[[#This Row],[FECHA FIN ]],Tabla1[[#This Row],[FECHA INICIO]])</f>
        <v>317</v>
      </c>
      <c r="M1314" s="12"/>
      <c r="N1314" s="12"/>
      <c r="O1314" s="12">
        <f>(Tabla1[[#This Row],[COSTO FIJO ]]/30)*Tabla1[[#This Row],[TOTAL DIAS PROYECTO]]+(Tabla1[[#This Row],[COSTO TEMPORAL]])</f>
        <v>0</v>
      </c>
      <c r="P1314" s="12"/>
      <c r="Q1314" s="12">
        <f>+(Tabla1[[#This Row],[COSTO COCHE]]/30)*Tabla1[[#This Row],[TOTAL DIAS PROYECTO]]</f>
        <v>0</v>
      </c>
      <c r="R1314" s="12">
        <f>+Tabla1[[#This Row],[COSTO TOTAL ALOJAMIENTO]]+Tabla1[[#This Row],[COSTO TOTAL COCHE]]</f>
        <v>0</v>
      </c>
      <c r="S1314" s="2"/>
      <c r="T1314" s="2" t="s">
        <v>35</v>
      </c>
      <c r="U1314" s="14">
        <v>45504</v>
      </c>
      <c r="V1314" s="14"/>
      <c r="W1314" s="26"/>
      <c r="X1314" s="2">
        <v>1</v>
      </c>
      <c r="Y1314" s="18" t="s">
        <v>2818</v>
      </c>
      <c r="Z1314" s="2" t="s">
        <v>36</v>
      </c>
      <c r="AA1314" s="13">
        <v>-7.8640699999999999</v>
      </c>
      <c r="AB1314" s="13">
        <v>42.336689999999997</v>
      </c>
    </row>
    <row r="1315" spans="1:28">
      <c r="A1315" s="2" t="s">
        <v>9193</v>
      </c>
      <c r="B1315" s="2" t="s">
        <v>368</v>
      </c>
      <c r="C1315" s="11" t="s">
        <v>2393</v>
      </c>
      <c r="D1315" s="2" t="s">
        <v>30</v>
      </c>
      <c r="E1315" s="2" t="s">
        <v>253</v>
      </c>
      <c r="F1315" s="11" t="s">
        <v>581</v>
      </c>
      <c r="G1315" s="11" t="s">
        <v>255</v>
      </c>
      <c r="H1315" s="2" t="s">
        <v>912</v>
      </c>
      <c r="I1315" s="12" t="s">
        <v>913</v>
      </c>
      <c r="J1315" s="22">
        <f>+Tabla1[[#This Row],[FECHA ENTRADA]]</f>
        <v>45581</v>
      </c>
      <c r="K1315" s="22">
        <v>45821</v>
      </c>
      <c r="L1315" s="23">
        <f>_xlfn.DAYS(Tabla1[[#This Row],[FECHA FIN ]],Tabla1[[#This Row],[FECHA INICIO]])</f>
        <v>240</v>
      </c>
      <c r="M1315" s="12"/>
      <c r="N1315" s="12"/>
      <c r="O1315" s="24">
        <f>(Tabla1[[#This Row],[COSTO FIJO ]]/30)*Tabla1[[#This Row],[TOTAL DIAS PROYECTO]]+(Tabla1[[#This Row],[COSTO TEMPORAL]])</f>
        <v>0</v>
      </c>
      <c r="P1315" s="12"/>
      <c r="Q1315" s="12">
        <f>+(Tabla1[[#This Row],[COSTO COCHE]]/30)*Tabla1[[#This Row],[TOTAL DIAS PROYECTO]]</f>
        <v>0</v>
      </c>
      <c r="R1315" s="12">
        <f>+Tabla1[[#This Row],[COSTO TOTAL ALOJAMIENTO]]+Tabla1[[#This Row],[COSTO TOTAL COCHE]]</f>
        <v>0</v>
      </c>
      <c r="S1315" s="2"/>
      <c r="T1315" s="2" t="s">
        <v>35</v>
      </c>
      <c r="U1315" s="14">
        <v>45581</v>
      </c>
      <c r="V1315" s="25"/>
      <c r="W1315" s="26"/>
      <c r="X1315" s="2">
        <v>1</v>
      </c>
      <c r="Y1315" s="11" t="s">
        <v>2819</v>
      </c>
      <c r="Z1315" s="2" t="s">
        <v>36</v>
      </c>
      <c r="AA1315" s="13" t="s">
        <v>10357</v>
      </c>
      <c r="AB1315" s="13" t="s">
        <v>10358</v>
      </c>
    </row>
    <row r="1316" spans="1:28" ht="15" customHeight="1">
      <c r="A1316" s="2" t="s">
        <v>9323</v>
      </c>
      <c r="B1316" s="2" t="s">
        <v>28</v>
      </c>
      <c r="C1316" s="11" t="s">
        <v>2820</v>
      </c>
      <c r="D1316" s="2" t="s">
        <v>749</v>
      </c>
      <c r="E1316" s="2" t="s">
        <v>288</v>
      </c>
      <c r="F1316" s="11" t="s">
        <v>2821</v>
      </c>
      <c r="G1316" s="11" t="s">
        <v>2822</v>
      </c>
      <c r="H1316" s="2" t="s">
        <v>2623</v>
      </c>
      <c r="I1316" s="12" t="s">
        <v>753</v>
      </c>
      <c r="J1316" s="8">
        <f>+Tabla1[[#This Row],[FECHA ENTRADA]]</f>
        <v>45507</v>
      </c>
      <c r="K1316" s="22">
        <v>45821</v>
      </c>
      <c r="L1316" s="13">
        <f>_xlfn.DAYS(Tabla1[[#This Row],[FECHA FIN ]],Tabla1[[#This Row],[FECHA INICIO]])</f>
        <v>314</v>
      </c>
      <c r="M1316" s="12"/>
      <c r="N1316" s="12"/>
      <c r="O1316" s="12">
        <f>(Tabla1[[#This Row],[COSTO FIJO ]]/30)*Tabla1[[#This Row],[TOTAL DIAS PROYECTO]]+(Tabla1[[#This Row],[COSTO TEMPORAL]])</f>
        <v>0</v>
      </c>
      <c r="P1316" s="12">
        <f>8180.25/45</f>
        <v>181.78333333333333</v>
      </c>
      <c r="Q1316" s="12">
        <f>+(Tabla1[[#This Row],[COSTO COCHE]]/30)*Tabla1[[#This Row],[TOTAL DIAS PROYECTO]]</f>
        <v>1902.6655555555553</v>
      </c>
      <c r="R1316" s="12">
        <f>+Tabla1[[#This Row],[COSTO TOTAL ALOJAMIENTO]]+Tabla1[[#This Row],[COSTO TOTAL COCHE]]</f>
        <v>1902.6655555555553</v>
      </c>
      <c r="S1316" s="2"/>
      <c r="T1316" s="2" t="s">
        <v>44</v>
      </c>
      <c r="U1316" s="14">
        <v>45507</v>
      </c>
      <c r="V1316" s="14">
        <v>45596</v>
      </c>
      <c r="W1316" s="26"/>
      <c r="X1316" s="2">
        <v>1</v>
      </c>
      <c r="Y1316" s="31" t="s">
        <v>2823</v>
      </c>
      <c r="Z1316" s="2" t="s">
        <v>36</v>
      </c>
      <c r="AA1316" s="13" t="s">
        <v>10362</v>
      </c>
      <c r="AB1316" s="13" t="s">
        <v>10363</v>
      </c>
    </row>
    <row r="1317" spans="1:28" ht="15" customHeight="1">
      <c r="A1317" s="2" t="s">
        <v>9122</v>
      </c>
      <c r="B1317" s="2" t="s">
        <v>28</v>
      </c>
      <c r="C1317" s="11" t="s">
        <v>2093</v>
      </c>
      <c r="D1317" s="2" t="s">
        <v>749</v>
      </c>
      <c r="E1317" s="2" t="s">
        <v>288</v>
      </c>
      <c r="F1317" s="11" t="s">
        <v>1144</v>
      </c>
      <c r="G1317" t="s">
        <v>751</v>
      </c>
      <c r="H1317" s="2" t="s">
        <v>2623</v>
      </c>
      <c r="I1317" s="12" t="s">
        <v>753</v>
      </c>
      <c r="J1317" s="8">
        <f>+Tabla1[[#This Row],[FECHA ENTRADA]]</f>
        <v>45507</v>
      </c>
      <c r="K1317" s="22">
        <v>45608</v>
      </c>
      <c r="L1317" s="13">
        <f>_xlfn.DAYS(Tabla1[[#This Row],[FECHA FIN ]],Tabla1[[#This Row],[FECHA INICIO]])</f>
        <v>101</v>
      </c>
      <c r="M1317" s="12"/>
      <c r="N1317" s="12">
        <v>436.43</v>
      </c>
      <c r="O1317" s="12">
        <f>(Tabla1[[#This Row],[COSTO FIJO ]]/30)*Tabla1[[#This Row],[TOTAL DIAS PROYECTO]]+(Tabla1[[#This Row],[COSTO TEMPORAL]])</f>
        <v>1469.3143333333333</v>
      </c>
      <c r="P1317" s="12">
        <f>8180.25/45</f>
        <v>181.78333333333333</v>
      </c>
      <c r="Q1317" s="12">
        <f>+(Tabla1[[#This Row],[COSTO COCHE]]/30)*Tabla1[[#This Row],[TOTAL DIAS PROYECTO]]</f>
        <v>612.00388888888881</v>
      </c>
      <c r="R1317" s="12">
        <f>+Tabla1[[#This Row],[COSTO TOTAL ALOJAMIENTO]]+Tabla1[[#This Row],[COSTO TOTAL COCHE]]</f>
        <v>2081.3182222222222</v>
      </c>
      <c r="S1317" s="2"/>
      <c r="T1317" s="2" t="s">
        <v>44</v>
      </c>
      <c r="U1317" s="14">
        <v>45507</v>
      </c>
      <c r="V1317" s="14">
        <v>45611</v>
      </c>
      <c r="W1317" s="26"/>
      <c r="X1317" s="2">
        <v>1</v>
      </c>
      <c r="Y1317" s="11"/>
      <c r="Z1317" s="2" t="s">
        <v>36</v>
      </c>
      <c r="AA1317" s="13" t="s">
        <v>10362</v>
      </c>
      <c r="AB1317" s="13" t="s">
        <v>10363</v>
      </c>
    </row>
    <row r="1318" spans="1:28" ht="15" customHeight="1">
      <c r="A1318" s="2" t="s">
        <v>8760</v>
      </c>
      <c r="B1318" s="2" t="s">
        <v>28</v>
      </c>
      <c r="C1318" s="18" t="s">
        <v>632</v>
      </c>
      <c r="D1318" s="2" t="s">
        <v>741</v>
      </c>
      <c r="E1318" s="30" t="s">
        <v>1025</v>
      </c>
      <c r="F1318" s="11" t="s">
        <v>1026</v>
      </c>
      <c r="G1318" s="11" t="s">
        <v>1027</v>
      </c>
      <c r="H1318" s="2" t="s">
        <v>1028</v>
      </c>
      <c r="I1318" s="12" t="s">
        <v>52</v>
      </c>
      <c r="J1318" s="8">
        <f>+Tabla1[[#This Row],[FECHA ENTRADA]]</f>
        <v>45544</v>
      </c>
      <c r="K1318" s="22">
        <v>45821</v>
      </c>
      <c r="L1318" s="13">
        <f>_xlfn.DAYS(Tabla1[[#This Row],[FECHA FIN ]],Tabla1[[#This Row],[FECHA INICIO]])</f>
        <v>277</v>
      </c>
      <c r="M1318" s="12"/>
      <c r="N1318" s="20"/>
      <c r="O1318" s="12">
        <f>(Tabla1[[#This Row],[COSTO FIJO ]]/30)*Tabla1[[#This Row],[TOTAL DIAS PROYECTO]]+(Tabla1[[#This Row],[COSTO TEMPORAL]])</f>
        <v>0</v>
      </c>
      <c r="P1318" s="12"/>
      <c r="Q1318" s="12">
        <f>+(Tabla1[[#This Row],[COSTO COCHE]]/30)*Tabla1[[#This Row],[TOTAL DIAS PROYECTO]]</f>
        <v>0</v>
      </c>
      <c r="R1318" s="12">
        <f>+Tabla1[[#This Row],[COSTO TOTAL ALOJAMIENTO]]+Tabla1[[#This Row],[COSTO TOTAL COCHE]]</f>
        <v>0</v>
      </c>
      <c r="S1318" s="2" t="s">
        <v>84</v>
      </c>
      <c r="T1318" s="2" t="s">
        <v>44</v>
      </c>
      <c r="U1318" s="14">
        <v>45544</v>
      </c>
      <c r="V1318" s="14">
        <v>45619</v>
      </c>
      <c r="W1318" s="26"/>
      <c r="X1318" s="2"/>
      <c r="Y1318" s="31" t="s">
        <v>1029</v>
      </c>
      <c r="Z1318" s="64" t="s">
        <v>36</v>
      </c>
      <c r="AA1318" s="13" t="s">
        <v>10409</v>
      </c>
      <c r="AB1318" s="13">
        <v>4320085</v>
      </c>
    </row>
    <row r="1319" spans="1:28" ht="15" customHeight="1">
      <c r="A1319" s="2" t="s">
        <v>8905</v>
      </c>
      <c r="B1319" s="2" t="s">
        <v>368</v>
      </c>
      <c r="C1319" s="11" t="s">
        <v>1221</v>
      </c>
      <c r="D1319" s="2" t="s">
        <v>30</v>
      </c>
      <c r="E1319" s="2" t="s">
        <v>31</v>
      </c>
      <c r="F1319" s="11" t="s">
        <v>2824</v>
      </c>
      <c r="G1319" s="46"/>
      <c r="H1319" s="2" t="s">
        <v>1224</v>
      </c>
      <c r="I1319" s="12" t="s">
        <v>1225</v>
      </c>
      <c r="J1319" s="41">
        <f>+Tabla1[[#This Row],[FECHA ENTRADA]]</f>
        <v>45607</v>
      </c>
      <c r="K1319" s="22">
        <v>45625</v>
      </c>
      <c r="L1319" s="42">
        <f>_xlfn.DAYS(Tabla1[[#This Row],[FECHA FIN ]],Tabla1[[#This Row],[FECHA INICIO]])</f>
        <v>18</v>
      </c>
      <c r="M1319" s="12"/>
      <c r="N1319" s="12">
        <f>1811.6/17</f>
        <v>106.56470588235294</v>
      </c>
      <c r="O1319" s="28">
        <f>(Tabla1[[#This Row],[COSTO FIJO ]]/30)*Tabla1[[#This Row],[TOTAL DIAS PROYECTO]]+(Tabla1[[#This Row],[COSTO TEMPORAL]])</f>
        <v>63.938823529411764</v>
      </c>
      <c r="P1319" s="12"/>
      <c r="Q1319" s="12">
        <f>+(Tabla1[[#This Row],[COSTO COCHE]]/30)*Tabla1[[#This Row],[TOTAL DIAS PROYECTO]]</f>
        <v>0</v>
      </c>
      <c r="R1319" s="12">
        <f>+Tabla1[[#This Row],[COSTO TOTAL ALOJAMIENTO]]+Tabla1[[#This Row],[COSTO TOTAL COCHE]]</f>
        <v>63.938823529411764</v>
      </c>
      <c r="S1319" s="2"/>
      <c r="T1319" s="2" t="s">
        <v>44</v>
      </c>
      <c r="U1319" s="14">
        <v>45607</v>
      </c>
      <c r="V1319" s="43">
        <v>45625</v>
      </c>
      <c r="W1319" s="26"/>
      <c r="X1319" s="2"/>
      <c r="Y1319" s="11"/>
      <c r="Z1319" s="2" t="s">
        <v>36</v>
      </c>
      <c r="AA1319" s="13" t="s">
        <v>10323</v>
      </c>
      <c r="AB1319" s="13" t="s">
        <v>10324</v>
      </c>
    </row>
    <row r="1320" spans="1:28" ht="15" customHeight="1">
      <c r="A1320" s="2" t="s">
        <v>9145</v>
      </c>
      <c r="B1320" s="2" t="s">
        <v>28</v>
      </c>
      <c r="C1320" s="11" t="s">
        <v>2204</v>
      </c>
      <c r="D1320" s="2" t="s">
        <v>78</v>
      </c>
      <c r="E1320" s="2" t="s">
        <v>1088</v>
      </c>
      <c r="F1320" s="11" t="s">
        <v>1089</v>
      </c>
      <c r="G1320" s="46" t="s">
        <v>1090</v>
      </c>
      <c r="H1320" s="2" t="s">
        <v>2825</v>
      </c>
      <c r="I1320" s="12" t="s">
        <v>292</v>
      </c>
      <c r="J1320" s="41">
        <f>+Tabla1[[#This Row],[FECHA ENTRADA]]</f>
        <v>45606</v>
      </c>
      <c r="K1320" s="22">
        <v>45821</v>
      </c>
      <c r="L1320" s="42">
        <f>_xlfn.DAYS(Tabla1[[#This Row],[FECHA FIN ]],Tabla1[[#This Row],[FECHA INICIO]])</f>
        <v>215</v>
      </c>
      <c r="M1320" s="12"/>
      <c r="N1320" s="12">
        <f>1811.6/17</f>
        <v>106.56470588235294</v>
      </c>
      <c r="O1320" s="28">
        <f>(Tabla1[[#This Row],[COSTO FIJO ]]/30)*Tabla1[[#This Row],[TOTAL DIAS PROYECTO]]+(Tabla1[[#This Row],[COSTO TEMPORAL]])</f>
        <v>763.71372549019611</v>
      </c>
      <c r="P1320" s="12"/>
      <c r="Q1320" s="12">
        <f>+(Tabla1[[#This Row],[COSTO COCHE]]/30)*Tabla1[[#This Row],[TOTAL DIAS PROYECTO]]</f>
        <v>0</v>
      </c>
      <c r="R1320" s="12">
        <f>+Tabla1[[#This Row],[COSTO TOTAL ALOJAMIENTO]]+Tabla1[[#This Row],[COSTO TOTAL COCHE]]</f>
        <v>763.71372549019611</v>
      </c>
      <c r="S1320" s="2" t="s">
        <v>84</v>
      </c>
      <c r="T1320" s="2" t="s">
        <v>44</v>
      </c>
      <c r="U1320" s="14">
        <v>45606</v>
      </c>
      <c r="V1320" s="43">
        <v>45625</v>
      </c>
      <c r="W1320" s="26"/>
      <c r="X1320" s="2"/>
      <c r="Y1320" s="31" t="s">
        <v>1092</v>
      </c>
      <c r="Z1320" s="2" t="s">
        <v>36</v>
      </c>
      <c r="AA1320" s="13" t="s">
        <v>10410</v>
      </c>
      <c r="AB1320" s="13">
        <v>4452809</v>
      </c>
    </row>
    <row r="1321" spans="1:28" ht="15" customHeight="1">
      <c r="A1321" s="2" t="s">
        <v>9166</v>
      </c>
      <c r="B1321" s="2" t="s">
        <v>28</v>
      </c>
      <c r="C1321" s="11" t="s">
        <v>2291</v>
      </c>
      <c r="D1321" s="2" t="s">
        <v>30</v>
      </c>
      <c r="E1321" s="2" t="s">
        <v>1754</v>
      </c>
      <c r="F1321" s="11" t="s">
        <v>1755</v>
      </c>
      <c r="G1321" s="46" t="s">
        <v>1756</v>
      </c>
      <c r="H1321" s="2" t="s">
        <v>2712</v>
      </c>
      <c r="I1321" s="12" t="s">
        <v>96</v>
      </c>
      <c r="J1321" s="41">
        <f>+Tabla1[[#This Row],[FECHA ENTRADA]]</f>
        <v>45747</v>
      </c>
      <c r="K1321" s="8">
        <v>45784</v>
      </c>
      <c r="L1321" s="42">
        <f>_xlfn.DAYS(Tabla1[[#This Row],[FECHA FIN ]],Tabla1[[#This Row],[FECHA INICIO]])</f>
        <v>37</v>
      </c>
      <c r="M1321" s="12"/>
      <c r="N1321" s="12"/>
      <c r="O1321" s="28">
        <f>(Tabla1[[#This Row],[COSTO FIJO ]]/30)*Tabla1[[#This Row],[TOTAL DIAS PROYECTO]]+(Tabla1[[#This Row],[COSTO TEMPORAL]])</f>
        <v>0</v>
      </c>
      <c r="P1321" s="12">
        <f>542.69/3</f>
        <v>180.89666666666668</v>
      </c>
      <c r="Q1321" s="12">
        <f>+(Tabla1[[#This Row],[COSTO COCHE]]/30)*Tabla1[[#This Row],[TOTAL DIAS PROYECTO]]</f>
        <v>223.1058888888889</v>
      </c>
      <c r="R1321" s="12">
        <f>+Tabla1[[#This Row],[COSTO TOTAL ALOJAMIENTO]]+Tabla1[[#This Row],[COSTO TOTAL COCHE]]</f>
        <v>223.1058888888889</v>
      </c>
      <c r="S1321" s="2" t="s">
        <v>84</v>
      </c>
      <c r="T1321" s="2" t="s">
        <v>44</v>
      </c>
      <c r="U1321" s="14">
        <v>45747</v>
      </c>
      <c r="V1321" s="43">
        <v>45807</v>
      </c>
      <c r="W1321" s="26"/>
      <c r="X1321" s="2"/>
      <c r="Y1321" s="11"/>
      <c r="Z1321" s="2" t="s">
        <v>36</v>
      </c>
      <c r="AA1321" s="13" t="e">
        <v>#N/A</v>
      </c>
      <c r="AB1321" s="13" t="e">
        <v>#N/A</v>
      </c>
    </row>
    <row r="1322" spans="1:28" ht="15" customHeight="1">
      <c r="A1322" s="2" t="s">
        <v>9166</v>
      </c>
      <c r="B1322" s="2" t="s">
        <v>28</v>
      </c>
      <c r="C1322" s="11" t="s">
        <v>2291</v>
      </c>
      <c r="D1322" s="2" t="s">
        <v>30</v>
      </c>
      <c r="E1322" s="2" t="s">
        <v>1664</v>
      </c>
      <c r="F1322" s="11" t="s">
        <v>1794</v>
      </c>
      <c r="G1322" s="21" t="s">
        <v>1795</v>
      </c>
      <c r="H1322" s="2" t="s">
        <v>2712</v>
      </c>
      <c r="I1322" s="12" t="s">
        <v>96</v>
      </c>
      <c r="J1322" s="22">
        <f>+Tabla1[[#This Row],[FECHA ENTRADA]]</f>
        <v>45784</v>
      </c>
      <c r="K1322" s="8">
        <v>45793</v>
      </c>
      <c r="L1322" s="23">
        <f>_xlfn.DAYS(Tabla1[[#This Row],[FECHA FIN ]],Tabla1[[#This Row],[FECHA INICIO]])</f>
        <v>9</v>
      </c>
      <c r="M1322" s="12"/>
      <c r="N1322" s="12"/>
      <c r="O1322" s="24">
        <f>(Tabla1[[#This Row],[COSTO FIJO ]]/30)*Tabla1[[#This Row],[TOTAL DIAS PROYECTO]]+(Tabla1[[#This Row],[COSTO TEMPORAL]])</f>
        <v>0</v>
      </c>
      <c r="P1322" s="12"/>
      <c r="Q1322" s="12">
        <f>+(Tabla1[[#This Row],[COSTO COCHE]]/30)*Tabla1[[#This Row],[TOTAL DIAS PROYECTO]]</f>
        <v>0</v>
      </c>
      <c r="R1322" s="12">
        <f>+Tabla1[[#This Row],[COSTO TOTAL ALOJAMIENTO]]+Tabla1[[#This Row],[COSTO TOTAL COCHE]]</f>
        <v>0</v>
      </c>
      <c r="S1322" s="2" t="s">
        <v>84</v>
      </c>
      <c r="T1322" s="2" t="s">
        <v>44</v>
      </c>
      <c r="U1322" s="14">
        <v>45784</v>
      </c>
      <c r="V1322" s="25">
        <v>45815</v>
      </c>
      <c r="W1322" s="2"/>
      <c r="X1322" s="2"/>
      <c r="Y1322" s="11"/>
      <c r="Z1322" s="2" t="s">
        <v>36</v>
      </c>
      <c r="AA1322" s="13" t="s">
        <v>10425</v>
      </c>
      <c r="AB1322" s="13" t="s">
        <v>10426</v>
      </c>
    </row>
    <row r="1323" spans="1:28" ht="15" customHeight="1">
      <c r="A1323" s="2" t="s">
        <v>9324</v>
      </c>
      <c r="B1323" s="2" t="s">
        <v>368</v>
      </c>
      <c r="C1323" s="11" t="s">
        <v>2826</v>
      </c>
      <c r="D1323" s="2" t="s">
        <v>99</v>
      </c>
      <c r="E1323" s="2" t="s">
        <v>109</v>
      </c>
      <c r="F1323" s="11" t="s">
        <v>1793</v>
      </c>
      <c r="G1323" s="21">
        <v>973266788</v>
      </c>
      <c r="H1323" s="2" t="s">
        <v>2827</v>
      </c>
      <c r="I1323" s="12" t="s">
        <v>42</v>
      </c>
      <c r="J1323" s="41">
        <f>+Tabla1[[#This Row],[FECHA ENTRADA]]</f>
        <v>45713</v>
      </c>
      <c r="K1323" s="22">
        <v>45730</v>
      </c>
      <c r="L1323" s="42">
        <f>_xlfn.DAYS(Tabla1[[#This Row],[FECHA FIN ]],Tabla1[[#This Row],[FECHA INICIO]])</f>
        <v>17</v>
      </c>
      <c r="M1323" s="12"/>
      <c r="N1323" s="12">
        <f>1811.6/17</f>
        <v>106.56470588235294</v>
      </c>
      <c r="O1323" s="28">
        <f>(Tabla1[[#This Row],[COSTO FIJO ]]/30)*Tabla1[[#This Row],[TOTAL DIAS PROYECTO]]+(Tabla1[[#This Row],[COSTO TEMPORAL]])</f>
        <v>60.38666666666667</v>
      </c>
      <c r="P1323" s="12"/>
      <c r="Q1323" s="12">
        <f>+(Tabla1[[#This Row],[COSTO COCHE]]/30)*Tabla1[[#This Row],[TOTAL DIAS PROYECTO]]</f>
        <v>0</v>
      </c>
      <c r="R1323" s="12">
        <f>+Tabla1[[#This Row],[COSTO TOTAL ALOJAMIENTO]]+Tabla1[[#This Row],[COSTO TOTAL COCHE]]</f>
        <v>60.38666666666667</v>
      </c>
      <c r="S1323" s="2"/>
      <c r="T1323" s="2" t="s">
        <v>44</v>
      </c>
      <c r="U1323" s="14">
        <v>45713</v>
      </c>
      <c r="V1323" s="25">
        <v>45730</v>
      </c>
      <c r="W1323" s="26"/>
      <c r="X1323" s="2"/>
      <c r="Y1323" s="11"/>
      <c r="Z1323" s="2" t="s">
        <v>36</v>
      </c>
      <c r="AA1323" s="13">
        <v>0.62217999999999996</v>
      </c>
      <c r="AB1323" s="13" t="s">
        <v>10339</v>
      </c>
    </row>
    <row r="1324" spans="1:28" ht="15" customHeight="1">
      <c r="A1324" s="2" t="s">
        <v>8867</v>
      </c>
      <c r="B1324" s="2" t="s">
        <v>368</v>
      </c>
      <c r="C1324" s="52" t="s">
        <v>1080</v>
      </c>
      <c r="D1324" s="2" t="s">
        <v>30</v>
      </c>
      <c r="E1324" s="2" t="s">
        <v>648</v>
      </c>
      <c r="F1324" s="11" t="s">
        <v>1544</v>
      </c>
      <c r="G1324" s="11" t="s">
        <v>1545</v>
      </c>
      <c r="H1324" s="2" t="s">
        <v>2004</v>
      </c>
      <c r="I1324" s="12" t="s">
        <v>42</v>
      </c>
      <c r="J1324" s="41">
        <f>+Tabla1[[#This Row],[FECHA ENTRADA]]</f>
        <v>45671</v>
      </c>
      <c r="K1324" s="8">
        <v>45678</v>
      </c>
      <c r="L1324" s="42">
        <f>_xlfn.DAYS(Tabla1[[#This Row],[FECHA FIN ]],Tabla1[[#This Row],[FECHA INICIO]])</f>
        <v>7</v>
      </c>
      <c r="M1324" s="12"/>
      <c r="N1324" s="12">
        <v>181.25</v>
      </c>
      <c r="O1324" s="28">
        <f>(Tabla1[[#This Row],[COSTO FIJO ]]/30)*Tabla1[[#This Row],[TOTAL DIAS PROYECTO]]+(Tabla1[[#This Row],[COSTO TEMPORAL]])</f>
        <v>42.291666666666671</v>
      </c>
      <c r="P1324" s="12"/>
      <c r="Q1324" s="12">
        <f>+(Tabla1[[#This Row],[COSTO COCHE]]/30)*Tabla1[[#This Row],[TOTAL DIAS PROYECTO]]</f>
        <v>0</v>
      </c>
      <c r="R1324" s="12">
        <f>+Tabla1[[#This Row],[COSTO TOTAL ALOJAMIENTO]]+Tabla1[[#This Row],[COSTO TOTAL COCHE]]</f>
        <v>42.291666666666671</v>
      </c>
      <c r="S1324" s="2"/>
      <c r="T1324" s="2" t="s">
        <v>35</v>
      </c>
      <c r="U1324" s="14">
        <v>45671</v>
      </c>
      <c r="V1324" s="43"/>
      <c r="W1324" s="26"/>
      <c r="X1324" s="2">
        <v>1</v>
      </c>
      <c r="Y1324" s="11" t="s">
        <v>1166</v>
      </c>
      <c r="Z1324" s="2" t="s">
        <v>36</v>
      </c>
      <c r="AA1324" s="13" t="s">
        <v>10387</v>
      </c>
      <c r="AB1324" s="13" t="s">
        <v>10388</v>
      </c>
    </row>
    <row r="1325" spans="1:28" ht="15" customHeight="1">
      <c r="A1325" s="2" t="s">
        <v>9325</v>
      </c>
      <c r="B1325" s="2" t="s">
        <v>28</v>
      </c>
      <c r="C1325" s="11" t="s">
        <v>2828</v>
      </c>
      <c r="D1325" s="2" t="s">
        <v>749</v>
      </c>
      <c r="E1325" s="2" t="s">
        <v>288</v>
      </c>
      <c r="F1325" s="11" t="s">
        <v>1141</v>
      </c>
      <c r="G1325" s="30" t="s">
        <v>1142</v>
      </c>
      <c r="H1325" s="2" t="s">
        <v>2623</v>
      </c>
      <c r="I1325" s="12" t="s">
        <v>753</v>
      </c>
      <c r="J1325" s="8">
        <f>+Tabla1[[#This Row],[FECHA ENTRADA]]</f>
        <v>45507</v>
      </c>
      <c r="K1325" s="22">
        <v>45821</v>
      </c>
      <c r="L1325" s="13">
        <f>_xlfn.DAYS(Tabla1[[#This Row],[FECHA FIN ]],Tabla1[[#This Row],[FECHA INICIO]])</f>
        <v>314</v>
      </c>
      <c r="M1325" s="12"/>
      <c r="N1325" s="12"/>
      <c r="O1325" s="12">
        <f>(Tabla1[[#This Row],[COSTO FIJO ]]/30)*Tabla1[[#This Row],[TOTAL DIAS PROYECTO]]+(Tabla1[[#This Row],[COSTO TEMPORAL]])</f>
        <v>0</v>
      </c>
      <c r="P1325" s="12">
        <f>8180.25/45</f>
        <v>181.78333333333333</v>
      </c>
      <c r="Q1325" s="12">
        <f>+(Tabla1[[#This Row],[COSTO COCHE]]/30)*Tabla1[[#This Row],[TOTAL DIAS PROYECTO]]</f>
        <v>1902.6655555555553</v>
      </c>
      <c r="R1325" s="12">
        <f>+Tabla1[[#This Row],[COSTO TOTAL ALOJAMIENTO]]+Tabla1[[#This Row],[COSTO TOTAL COCHE]]</f>
        <v>1902.6655555555553</v>
      </c>
      <c r="S1325" s="2"/>
      <c r="T1325" s="2" t="s">
        <v>44</v>
      </c>
      <c r="U1325" s="14">
        <v>45507</v>
      </c>
      <c r="V1325" s="14">
        <v>45634</v>
      </c>
      <c r="W1325" s="26"/>
      <c r="X1325" s="2">
        <v>23</v>
      </c>
      <c r="Y1325" s="11"/>
      <c r="Z1325" s="2" t="s">
        <v>36</v>
      </c>
      <c r="AA1325" s="13" t="s">
        <v>10362</v>
      </c>
      <c r="AB1325" s="13" t="s">
        <v>10363</v>
      </c>
    </row>
    <row r="1326" spans="1:28" ht="15" customHeight="1">
      <c r="A1326" s="2" t="s">
        <v>9326</v>
      </c>
      <c r="B1326" s="2" t="s">
        <v>28</v>
      </c>
      <c r="C1326" s="18" t="s">
        <v>2829</v>
      </c>
      <c r="D1326" s="2" t="s">
        <v>30</v>
      </c>
      <c r="E1326" s="2" t="s">
        <v>87</v>
      </c>
      <c r="F1326" s="11" t="s">
        <v>2830</v>
      </c>
      <c r="G1326" s="46" t="s">
        <v>2831</v>
      </c>
      <c r="H1326" s="2" t="s">
        <v>2832</v>
      </c>
      <c r="I1326" s="12" t="s">
        <v>994</v>
      </c>
      <c r="J1326" s="22">
        <f>+Tabla1[[#This Row],[FECHA ENTRADA]]</f>
        <v>45616</v>
      </c>
      <c r="K1326" s="22">
        <v>45821</v>
      </c>
      <c r="L1326" s="23">
        <f>_xlfn.DAYS(Tabla1[[#This Row],[FECHA FIN ]],Tabla1[[#This Row],[FECHA INICIO]])</f>
        <v>205</v>
      </c>
      <c r="M1326" s="12"/>
      <c r="N1326" s="12"/>
      <c r="O1326" s="24">
        <f>(Tabla1[[#This Row],[COSTO FIJO ]]/30)*Tabla1[[#This Row],[TOTAL DIAS PROYECTO]]+(Tabla1[[#This Row],[COSTO TEMPORAL]])</f>
        <v>0</v>
      </c>
      <c r="P1326" s="12"/>
      <c r="Q1326" s="12">
        <f>+(Tabla1[[#This Row],[COSTO COCHE]]/30)*Tabla1[[#This Row],[TOTAL DIAS PROYECTO]]</f>
        <v>0</v>
      </c>
      <c r="R1326" s="12">
        <f>+Tabla1[[#This Row],[COSTO TOTAL ALOJAMIENTO]]+Tabla1[[#This Row],[COSTO TOTAL COCHE]]</f>
        <v>0</v>
      </c>
      <c r="S1326" s="2"/>
      <c r="T1326" s="2" t="s">
        <v>44</v>
      </c>
      <c r="U1326" s="14">
        <v>45616</v>
      </c>
      <c r="V1326" s="25">
        <v>45629</v>
      </c>
      <c r="W1326" s="26"/>
      <c r="X1326" s="2"/>
      <c r="Y1326" s="11" t="s">
        <v>2833</v>
      </c>
      <c r="Z1326" s="2" t="s">
        <v>36</v>
      </c>
      <c r="AA1326" s="13" t="s">
        <v>10335</v>
      </c>
      <c r="AB1326" s="13">
        <v>404.16500000000002</v>
      </c>
    </row>
    <row r="1327" spans="1:28" ht="15" customHeight="1">
      <c r="A1327" s="2" t="s">
        <v>9270</v>
      </c>
      <c r="B1327" s="2" t="s">
        <v>28</v>
      </c>
      <c r="C1327" s="86" t="s">
        <v>2666</v>
      </c>
      <c r="D1327" s="2" t="s">
        <v>30</v>
      </c>
      <c r="E1327" s="2" t="s">
        <v>502</v>
      </c>
      <c r="F1327" s="11" t="s">
        <v>2834</v>
      </c>
      <c r="G1327" s="11" t="s">
        <v>2835</v>
      </c>
      <c r="H1327" s="2" t="s">
        <v>505</v>
      </c>
      <c r="I1327" s="12" t="s">
        <v>506</v>
      </c>
      <c r="J1327" s="8">
        <f>+Tabla1[[#This Row],[FECHA ENTRADA]]</f>
        <v>45460</v>
      </c>
      <c r="K1327" s="22">
        <v>45731</v>
      </c>
      <c r="L1327" s="13">
        <f>_xlfn.DAYS(Tabla1[[#This Row],[FECHA FIN ]],Tabla1[[#This Row],[FECHA INICIO]])</f>
        <v>271</v>
      </c>
      <c r="M1327" s="12"/>
      <c r="N1327" s="24">
        <v>250</v>
      </c>
      <c r="O1327" s="12">
        <f>(Tabla1[[#This Row],[COSTO FIJO ]]/30)*Tabla1[[#This Row],[TOTAL DIAS PROYECTO]]+(Tabla1[[#This Row],[COSTO TEMPORAL]])</f>
        <v>2258.3333333333335</v>
      </c>
      <c r="P1327" s="12">
        <f>1156.52/8</f>
        <v>144.565</v>
      </c>
      <c r="Q1327" s="12">
        <f>+(Tabla1[[#This Row],[COSTO COCHE]]/30)*Tabla1[[#This Row],[TOTAL DIAS PROYECTO]]</f>
        <v>1305.9038333333333</v>
      </c>
      <c r="R1327" s="12">
        <f>+Tabla1[[#This Row],[COSTO TOTAL ALOJAMIENTO]]+Tabla1[[#This Row],[COSTO TOTAL COCHE]]</f>
        <v>3564.2371666666668</v>
      </c>
      <c r="S1327" s="2"/>
      <c r="T1327" s="2" t="s">
        <v>35</v>
      </c>
      <c r="U1327" s="14">
        <v>45460</v>
      </c>
      <c r="V1327" s="14"/>
      <c r="W1327" s="26">
        <v>500</v>
      </c>
      <c r="X1327" s="2">
        <v>1</v>
      </c>
      <c r="Y1327" s="11" t="s">
        <v>1051</v>
      </c>
      <c r="Z1327" s="2" t="s">
        <v>36</v>
      </c>
      <c r="AA1327" s="13" t="s">
        <v>10378</v>
      </c>
      <c r="AB1327" s="13" t="s">
        <v>10379</v>
      </c>
    </row>
    <row r="1328" spans="1:28" ht="15" customHeight="1">
      <c r="A1328" s="2" t="s">
        <v>9327</v>
      </c>
      <c r="B1328" s="2" t="s">
        <v>368</v>
      </c>
      <c r="C1328" s="11" t="s">
        <v>2836</v>
      </c>
      <c r="D1328" s="2" t="s">
        <v>72</v>
      </c>
      <c r="E1328" s="2" t="s">
        <v>1115</v>
      </c>
      <c r="F1328" s="11" t="s">
        <v>1116</v>
      </c>
      <c r="G1328" s="49" t="s">
        <v>1117</v>
      </c>
      <c r="H1328" s="2" t="s">
        <v>1118</v>
      </c>
      <c r="I1328" s="12" t="s">
        <v>1119</v>
      </c>
      <c r="J1328" s="22">
        <f>+Tabla1[[#This Row],[FECHA ENTRADA]]</f>
        <v>45620</v>
      </c>
      <c r="K1328" s="22">
        <v>45821</v>
      </c>
      <c r="L1328" s="23">
        <f>_xlfn.DAYS(Tabla1[[#This Row],[FECHA FIN ]],Tabla1[[#This Row],[FECHA INICIO]])</f>
        <v>201</v>
      </c>
      <c r="M1328" s="12"/>
      <c r="N1328" s="12"/>
      <c r="O1328" s="24">
        <f>(Tabla1[[#This Row],[COSTO FIJO ]]/30)*Tabla1[[#This Row],[TOTAL DIAS PROYECTO]]+(Tabla1[[#This Row],[COSTO TEMPORAL]])</f>
        <v>0</v>
      </c>
      <c r="P1328" s="12"/>
      <c r="Q1328" s="12">
        <f>+(Tabla1[[#This Row],[COSTO COCHE]]/30)*Tabla1[[#This Row],[TOTAL DIAS PROYECTO]]</f>
        <v>0</v>
      </c>
      <c r="R1328" s="12">
        <f>+Tabla1[[#This Row],[COSTO TOTAL ALOJAMIENTO]]+Tabla1[[#This Row],[COSTO TOTAL COCHE]]</f>
        <v>0</v>
      </c>
      <c r="S1328" s="2" t="s">
        <v>84</v>
      </c>
      <c r="T1328" s="2" t="s">
        <v>44</v>
      </c>
      <c r="U1328" s="14">
        <v>45620</v>
      </c>
      <c r="V1328" s="25">
        <v>45631</v>
      </c>
      <c r="W1328" s="26"/>
      <c r="X1328" s="2"/>
      <c r="Y1328" s="11" t="s">
        <v>1120</v>
      </c>
      <c r="Z1328" s="2" t="s">
        <v>36</v>
      </c>
      <c r="AA1328" s="13" t="s">
        <v>10411</v>
      </c>
      <c r="AB1328" s="13">
        <v>50.656529999999997</v>
      </c>
    </row>
    <row r="1329" spans="1:28" ht="15" customHeight="1">
      <c r="A1329" s="2" t="s">
        <v>9328</v>
      </c>
      <c r="B1329" s="2" t="s">
        <v>28</v>
      </c>
      <c r="C1329" s="11" t="s">
        <v>2837</v>
      </c>
      <c r="D1329" s="2" t="s">
        <v>741</v>
      </c>
      <c r="E1329" s="2" t="s">
        <v>266</v>
      </c>
      <c r="F1329" s="11" t="s">
        <v>2779</v>
      </c>
      <c r="G1329" s="49" t="s">
        <v>1512</v>
      </c>
      <c r="H1329" s="185" t="s">
        <v>2838</v>
      </c>
      <c r="I1329" s="12" t="s">
        <v>270</v>
      </c>
      <c r="J1329" s="22">
        <f>+Tabla1[[#This Row],[FECHA ENTRADA]]</f>
        <v>45689</v>
      </c>
      <c r="K1329" s="22">
        <v>45821</v>
      </c>
      <c r="L1329" s="23">
        <f>_xlfn.DAYS(Tabla1[[#This Row],[FECHA FIN ]],Tabla1[[#This Row],[FECHA INICIO]])</f>
        <v>132</v>
      </c>
      <c r="M1329" s="12"/>
      <c r="N1329" s="12">
        <f>1811.6/17</f>
        <v>106.56470588235294</v>
      </c>
      <c r="O1329" s="24">
        <f>(Tabla1[[#This Row],[COSTO FIJO ]]/30)*Tabla1[[#This Row],[TOTAL DIAS PROYECTO]]+(Tabla1[[#This Row],[COSTO TEMPORAL]])</f>
        <v>468.88470588235293</v>
      </c>
      <c r="P1329" s="12">
        <f>749.09/4</f>
        <v>187.27250000000001</v>
      </c>
      <c r="Q1329" s="12">
        <f>+(Tabla1[[#This Row],[COSTO COCHE]]/30)*Tabla1[[#This Row],[TOTAL DIAS PROYECTO]]</f>
        <v>823.99900000000002</v>
      </c>
      <c r="R1329" s="12">
        <f>+Tabla1[[#This Row],[COSTO TOTAL ALOJAMIENTO]]+Tabla1[[#This Row],[COSTO TOTAL COCHE]]</f>
        <v>1292.8837058823528</v>
      </c>
      <c r="S1329" s="2"/>
      <c r="T1329" s="2" t="s">
        <v>613</v>
      </c>
      <c r="U1329" s="14">
        <v>45689</v>
      </c>
      <c r="V1329" s="25"/>
      <c r="W1329" s="26"/>
      <c r="X1329" s="2">
        <v>1</v>
      </c>
      <c r="Y1329" s="11"/>
      <c r="Z1329" s="2" t="s">
        <v>36</v>
      </c>
      <c r="AA1329" s="13" t="s">
        <v>10360</v>
      </c>
      <c r="AB1329" s="13" t="s">
        <v>10361</v>
      </c>
    </row>
    <row r="1330" spans="1:28" ht="15" customHeight="1">
      <c r="A1330" s="2" t="s">
        <v>9154</v>
      </c>
      <c r="B1330" s="2" t="s">
        <v>28</v>
      </c>
      <c r="C1330" s="11" t="s">
        <v>2247</v>
      </c>
      <c r="D1330" s="2" t="s">
        <v>749</v>
      </c>
      <c r="E1330" s="2" t="s">
        <v>288</v>
      </c>
      <c r="F1330" s="11" t="s">
        <v>1144</v>
      </c>
      <c r="G1330" t="s">
        <v>751</v>
      </c>
      <c r="H1330" s="2" t="s">
        <v>2623</v>
      </c>
      <c r="I1330" s="12" t="s">
        <v>753</v>
      </c>
      <c r="J1330" s="8">
        <f>+Tabla1[[#This Row],[FECHA ENTRADA]]</f>
        <v>45507</v>
      </c>
      <c r="K1330" s="22">
        <v>45821</v>
      </c>
      <c r="L1330" s="13">
        <f>_xlfn.DAYS(Tabla1[[#This Row],[FECHA FIN ]],Tabla1[[#This Row],[FECHA INICIO]])</f>
        <v>314</v>
      </c>
      <c r="M1330" s="12"/>
      <c r="N1330" s="12"/>
      <c r="O1330" s="12">
        <f>(Tabla1[[#This Row],[COSTO FIJO ]]/30)*Tabla1[[#This Row],[TOTAL DIAS PROYECTO]]+(Tabla1[[#This Row],[COSTO TEMPORAL]])</f>
        <v>0</v>
      </c>
      <c r="P1330" s="12">
        <f t="shared" ref="P1330:P1337" si="1">8180.25/45</f>
        <v>181.78333333333333</v>
      </c>
      <c r="Q1330" s="12">
        <f>+(Tabla1[[#This Row],[COSTO COCHE]]/30)*Tabla1[[#This Row],[TOTAL DIAS PROYECTO]]</f>
        <v>1902.6655555555553</v>
      </c>
      <c r="R1330" s="12">
        <f>+Tabla1[[#This Row],[COSTO TOTAL ALOJAMIENTO]]+Tabla1[[#This Row],[COSTO TOTAL COCHE]]</f>
        <v>1902.6655555555553</v>
      </c>
      <c r="S1330" s="2"/>
      <c r="T1330" s="2" t="s">
        <v>44</v>
      </c>
      <c r="U1330" s="14">
        <v>45507</v>
      </c>
      <c r="V1330" s="14">
        <v>45634</v>
      </c>
      <c r="W1330" s="26"/>
      <c r="X1330" s="2">
        <v>1</v>
      </c>
      <c r="Y1330" s="11"/>
      <c r="Z1330" s="2" t="s">
        <v>36</v>
      </c>
      <c r="AA1330" s="13" t="s">
        <v>10362</v>
      </c>
      <c r="AB1330" s="13" t="s">
        <v>10363</v>
      </c>
    </row>
    <row r="1331" spans="1:28" ht="15" customHeight="1">
      <c r="A1331" s="2" t="s">
        <v>9285</v>
      </c>
      <c r="B1331" s="2" t="s">
        <v>28</v>
      </c>
      <c r="C1331" s="11" t="s">
        <v>2699</v>
      </c>
      <c r="D1331" s="2" t="s">
        <v>749</v>
      </c>
      <c r="E1331" s="2" t="s">
        <v>288</v>
      </c>
      <c r="F1331" s="11" t="s">
        <v>1141</v>
      </c>
      <c r="G1331" s="30" t="s">
        <v>751</v>
      </c>
      <c r="H1331" s="2" t="s">
        <v>2623</v>
      </c>
      <c r="I1331" s="12" t="s">
        <v>753</v>
      </c>
      <c r="J1331" s="8">
        <f>+Tabla1[[#This Row],[FECHA ENTRADA]]</f>
        <v>45507</v>
      </c>
      <c r="K1331" s="22">
        <v>45821</v>
      </c>
      <c r="L1331" s="13">
        <f>_xlfn.DAYS(Tabla1[[#This Row],[FECHA FIN ]],Tabla1[[#This Row],[FECHA INICIO]])</f>
        <v>314</v>
      </c>
      <c r="M1331" s="12"/>
      <c r="N1331" s="12"/>
      <c r="O1331" s="12">
        <f>(Tabla1[[#This Row],[COSTO FIJO ]]/30)*Tabla1[[#This Row],[TOTAL DIAS PROYECTO]]+(Tabla1[[#This Row],[COSTO TEMPORAL]])</f>
        <v>0</v>
      </c>
      <c r="P1331" s="12">
        <f t="shared" si="1"/>
        <v>181.78333333333333</v>
      </c>
      <c r="Q1331" s="12">
        <f>+(Tabla1[[#This Row],[COSTO COCHE]]/30)*Tabla1[[#This Row],[TOTAL DIAS PROYECTO]]</f>
        <v>1902.6655555555553</v>
      </c>
      <c r="R1331" s="12">
        <f>+Tabla1[[#This Row],[COSTO TOTAL ALOJAMIENTO]]+Tabla1[[#This Row],[COSTO TOTAL COCHE]]</f>
        <v>1902.6655555555553</v>
      </c>
      <c r="S1331" s="2"/>
      <c r="T1331" s="2" t="s">
        <v>44</v>
      </c>
      <c r="U1331" s="14">
        <v>45507</v>
      </c>
      <c r="V1331" s="14">
        <v>45634</v>
      </c>
      <c r="W1331" s="26"/>
      <c r="X1331" s="2">
        <v>1</v>
      </c>
      <c r="Y1331" s="11" t="s">
        <v>2839</v>
      </c>
      <c r="Z1331" s="2" t="s">
        <v>36</v>
      </c>
      <c r="AA1331" s="13" t="s">
        <v>10362</v>
      </c>
      <c r="AB1331" s="13" t="s">
        <v>10363</v>
      </c>
    </row>
    <row r="1332" spans="1:28" ht="15" customHeight="1">
      <c r="A1332" s="2" t="s">
        <v>9329</v>
      </c>
      <c r="B1332" s="2" t="s">
        <v>28</v>
      </c>
      <c r="C1332" s="11" t="s">
        <v>2840</v>
      </c>
      <c r="D1332" s="2" t="s">
        <v>749</v>
      </c>
      <c r="E1332" s="2" t="s">
        <v>288</v>
      </c>
      <c r="F1332" s="11" t="s">
        <v>1144</v>
      </c>
      <c r="G1332" s="30" t="s">
        <v>1142</v>
      </c>
      <c r="H1332" s="2" t="s">
        <v>2623</v>
      </c>
      <c r="I1332" s="12" t="s">
        <v>753</v>
      </c>
      <c r="J1332" s="8">
        <f>+Tabla1[[#This Row],[FECHA ENTRADA]]</f>
        <v>45507</v>
      </c>
      <c r="K1332" s="22">
        <v>45821</v>
      </c>
      <c r="L1332" s="13">
        <f>_xlfn.DAYS(Tabla1[[#This Row],[FECHA FIN ]],Tabla1[[#This Row],[FECHA INICIO]])</f>
        <v>314</v>
      </c>
      <c r="M1332" s="12"/>
      <c r="N1332" s="12"/>
      <c r="O1332" s="12">
        <f>(Tabla1[[#This Row],[COSTO FIJO ]]/30)*Tabla1[[#This Row],[TOTAL DIAS PROYECTO]]+(Tabla1[[#This Row],[COSTO TEMPORAL]])</f>
        <v>0</v>
      </c>
      <c r="P1332" s="12">
        <f t="shared" si="1"/>
        <v>181.78333333333333</v>
      </c>
      <c r="Q1332" s="12">
        <f>+(Tabla1[[#This Row],[COSTO COCHE]]/30)*Tabla1[[#This Row],[TOTAL DIAS PROYECTO]]</f>
        <v>1902.6655555555553</v>
      </c>
      <c r="R1332" s="12">
        <f>+Tabla1[[#This Row],[COSTO TOTAL ALOJAMIENTO]]+Tabla1[[#This Row],[COSTO TOTAL COCHE]]</f>
        <v>1902.6655555555553</v>
      </c>
      <c r="S1332" s="2"/>
      <c r="T1332" s="2" t="s">
        <v>44</v>
      </c>
      <c r="U1332" s="14">
        <v>45507</v>
      </c>
      <c r="V1332" s="14">
        <v>45634</v>
      </c>
      <c r="W1332" s="26"/>
      <c r="X1332" s="2">
        <v>1</v>
      </c>
      <c r="Y1332" s="11" t="s">
        <v>2841</v>
      </c>
      <c r="Z1332" s="2" t="s">
        <v>36</v>
      </c>
      <c r="AA1332" s="13" t="s">
        <v>10362</v>
      </c>
      <c r="AB1332" s="13" t="s">
        <v>10363</v>
      </c>
    </row>
    <row r="1333" spans="1:28" ht="15" customHeight="1">
      <c r="A1333" s="2" t="s">
        <v>9330</v>
      </c>
      <c r="B1333" s="2" t="s">
        <v>28</v>
      </c>
      <c r="C1333" s="11" t="s">
        <v>2842</v>
      </c>
      <c r="D1333" s="2" t="s">
        <v>749</v>
      </c>
      <c r="E1333" s="2" t="s">
        <v>288</v>
      </c>
      <c r="F1333" s="11" t="s">
        <v>1144</v>
      </c>
      <c r="G1333" t="s">
        <v>751</v>
      </c>
      <c r="H1333" s="2" t="s">
        <v>2623</v>
      </c>
      <c r="I1333" s="12" t="s">
        <v>753</v>
      </c>
      <c r="J1333" s="8">
        <f>+Tabla1[[#This Row],[FECHA ENTRADA]]</f>
        <v>45507</v>
      </c>
      <c r="K1333" s="22">
        <v>45821</v>
      </c>
      <c r="L1333" s="13">
        <f>_xlfn.DAYS(Tabla1[[#This Row],[FECHA FIN ]],Tabla1[[#This Row],[FECHA INICIO]])</f>
        <v>314</v>
      </c>
      <c r="M1333" s="12"/>
      <c r="N1333" s="12"/>
      <c r="O1333" s="12">
        <f>(Tabla1[[#This Row],[COSTO FIJO ]]/30)*Tabla1[[#This Row],[TOTAL DIAS PROYECTO]]+(Tabla1[[#This Row],[COSTO TEMPORAL]])</f>
        <v>0</v>
      </c>
      <c r="P1333" s="12">
        <f t="shared" si="1"/>
        <v>181.78333333333333</v>
      </c>
      <c r="Q1333" s="12">
        <f>+(Tabla1[[#This Row],[COSTO COCHE]]/30)*Tabla1[[#This Row],[TOTAL DIAS PROYECTO]]</f>
        <v>1902.6655555555553</v>
      </c>
      <c r="R1333" s="12">
        <f>+Tabla1[[#This Row],[COSTO TOTAL ALOJAMIENTO]]+Tabla1[[#This Row],[COSTO TOTAL COCHE]]</f>
        <v>1902.6655555555553</v>
      </c>
      <c r="S1333" s="2"/>
      <c r="T1333" s="2" t="s">
        <v>44</v>
      </c>
      <c r="U1333" s="14">
        <v>45507</v>
      </c>
      <c r="V1333" s="14">
        <v>45634</v>
      </c>
      <c r="W1333" s="26"/>
      <c r="X1333" s="2">
        <v>1</v>
      </c>
      <c r="Y1333" s="11"/>
      <c r="Z1333" s="2" t="s">
        <v>36</v>
      </c>
      <c r="AA1333" s="13" t="s">
        <v>10362</v>
      </c>
      <c r="AB1333" s="13" t="s">
        <v>10363</v>
      </c>
    </row>
    <row r="1334" spans="1:28" ht="15" customHeight="1">
      <c r="A1334" s="2" t="s">
        <v>9331</v>
      </c>
      <c r="B1334" s="2" t="s">
        <v>28</v>
      </c>
      <c r="C1334" s="11" t="s">
        <v>2843</v>
      </c>
      <c r="D1334" s="2" t="s">
        <v>749</v>
      </c>
      <c r="E1334" s="2" t="s">
        <v>288</v>
      </c>
      <c r="F1334" s="11" t="s">
        <v>1141</v>
      </c>
      <c r="G1334" t="s">
        <v>751</v>
      </c>
      <c r="H1334" s="2" t="s">
        <v>2623</v>
      </c>
      <c r="I1334" s="12" t="s">
        <v>753</v>
      </c>
      <c r="J1334" s="8">
        <f>+Tabla1[[#This Row],[FECHA ENTRADA]]</f>
        <v>45507</v>
      </c>
      <c r="K1334" s="22">
        <v>45821</v>
      </c>
      <c r="L1334" s="13">
        <f>_xlfn.DAYS(Tabla1[[#This Row],[FECHA FIN ]],Tabla1[[#This Row],[FECHA INICIO]])</f>
        <v>314</v>
      </c>
      <c r="M1334" s="12"/>
      <c r="N1334" s="12">
        <f>1811.6/17</f>
        <v>106.56470588235294</v>
      </c>
      <c r="O1334" s="12">
        <f>(Tabla1[[#This Row],[COSTO FIJO ]]/30)*Tabla1[[#This Row],[TOTAL DIAS PROYECTO]]+(Tabla1[[#This Row],[COSTO TEMPORAL]])</f>
        <v>1115.3772549019609</v>
      </c>
      <c r="P1334" s="12">
        <f t="shared" si="1"/>
        <v>181.78333333333333</v>
      </c>
      <c r="Q1334" s="12">
        <f>+(Tabla1[[#This Row],[COSTO COCHE]]/30)*Tabla1[[#This Row],[TOTAL DIAS PROYECTO]]</f>
        <v>1902.6655555555553</v>
      </c>
      <c r="R1334" s="12">
        <f>+Tabla1[[#This Row],[COSTO TOTAL ALOJAMIENTO]]+Tabla1[[#This Row],[COSTO TOTAL COCHE]]</f>
        <v>3018.0428104575162</v>
      </c>
      <c r="S1334" s="2"/>
      <c r="T1334" s="2" t="s">
        <v>44</v>
      </c>
      <c r="U1334" s="14">
        <v>45507</v>
      </c>
      <c r="V1334" s="14">
        <v>45634</v>
      </c>
      <c r="W1334" s="26"/>
      <c r="X1334" s="2">
        <v>1</v>
      </c>
      <c r="Y1334" s="11"/>
      <c r="Z1334" s="2" t="s">
        <v>36</v>
      </c>
      <c r="AA1334" s="13" t="s">
        <v>10362</v>
      </c>
      <c r="AB1334" s="13" t="s">
        <v>10363</v>
      </c>
    </row>
    <row r="1335" spans="1:28" ht="15" customHeight="1">
      <c r="A1335" s="2" t="s">
        <v>9332</v>
      </c>
      <c r="B1335" s="2" t="s">
        <v>28</v>
      </c>
      <c r="C1335" s="11" t="s">
        <v>2844</v>
      </c>
      <c r="D1335" s="2" t="s">
        <v>749</v>
      </c>
      <c r="E1335" s="2" t="s">
        <v>288</v>
      </c>
      <c r="F1335" s="11" t="s">
        <v>1144</v>
      </c>
      <c r="G1335" t="s">
        <v>751</v>
      </c>
      <c r="H1335" s="2" t="s">
        <v>2623</v>
      </c>
      <c r="I1335" s="12" t="s">
        <v>753</v>
      </c>
      <c r="J1335" s="8">
        <f>+Tabla1[[#This Row],[FECHA ENTRADA]]</f>
        <v>45507</v>
      </c>
      <c r="K1335" s="22">
        <v>45821</v>
      </c>
      <c r="L1335" s="13">
        <f>_xlfn.DAYS(Tabla1[[#This Row],[FECHA FIN ]],Tabla1[[#This Row],[FECHA INICIO]])</f>
        <v>314</v>
      </c>
      <c r="M1335" s="12"/>
      <c r="N1335" s="12">
        <f>1811.6/17</f>
        <v>106.56470588235294</v>
      </c>
      <c r="O1335" s="12">
        <f>(Tabla1[[#This Row],[COSTO FIJO ]]/30)*Tabla1[[#This Row],[TOTAL DIAS PROYECTO]]+(Tabla1[[#This Row],[COSTO TEMPORAL]])</f>
        <v>1115.3772549019609</v>
      </c>
      <c r="P1335" s="12">
        <f t="shared" si="1"/>
        <v>181.78333333333333</v>
      </c>
      <c r="Q1335" s="12">
        <f>+(Tabla1[[#This Row],[COSTO COCHE]]/30)*Tabla1[[#This Row],[TOTAL DIAS PROYECTO]]</f>
        <v>1902.6655555555553</v>
      </c>
      <c r="R1335" s="12">
        <f>+Tabla1[[#This Row],[COSTO TOTAL ALOJAMIENTO]]+Tabla1[[#This Row],[COSTO TOTAL COCHE]]</f>
        <v>3018.0428104575162</v>
      </c>
      <c r="S1335" s="2"/>
      <c r="T1335" s="2" t="s">
        <v>44</v>
      </c>
      <c r="U1335" s="14">
        <v>45507</v>
      </c>
      <c r="V1335" s="14">
        <v>45634</v>
      </c>
      <c r="W1335" s="26"/>
      <c r="X1335" s="2">
        <v>1</v>
      </c>
      <c r="Y1335" s="11"/>
      <c r="Z1335" s="2" t="s">
        <v>36</v>
      </c>
      <c r="AA1335" s="13" t="s">
        <v>10362</v>
      </c>
      <c r="AB1335" s="13" t="s">
        <v>10363</v>
      </c>
    </row>
    <row r="1336" spans="1:28" ht="15" customHeight="1">
      <c r="A1336" s="2" t="s">
        <v>9333</v>
      </c>
      <c r="B1336" s="2" t="s">
        <v>28</v>
      </c>
      <c r="C1336" s="11" t="s">
        <v>2845</v>
      </c>
      <c r="D1336" s="2" t="s">
        <v>749</v>
      </c>
      <c r="E1336" s="2" t="s">
        <v>288</v>
      </c>
      <c r="F1336" s="11" t="s">
        <v>1144</v>
      </c>
      <c r="G1336" t="s">
        <v>751</v>
      </c>
      <c r="H1336" s="2" t="s">
        <v>2623</v>
      </c>
      <c r="I1336" s="12" t="s">
        <v>753</v>
      </c>
      <c r="J1336" s="8">
        <f>+Tabla1[[#This Row],[FECHA ENTRADA]]</f>
        <v>45507</v>
      </c>
      <c r="K1336" s="22">
        <v>45821</v>
      </c>
      <c r="L1336" s="13">
        <f>_xlfn.DAYS(Tabla1[[#This Row],[FECHA FIN ]],Tabla1[[#This Row],[FECHA INICIO]])</f>
        <v>314</v>
      </c>
      <c r="M1336" s="12"/>
      <c r="N1336" s="12">
        <f>1811.6/17</f>
        <v>106.56470588235294</v>
      </c>
      <c r="O1336" s="12">
        <f>(Tabla1[[#This Row],[COSTO FIJO ]]/30)*Tabla1[[#This Row],[TOTAL DIAS PROYECTO]]+(Tabla1[[#This Row],[COSTO TEMPORAL]])</f>
        <v>1115.3772549019609</v>
      </c>
      <c r="P1336" s="12">
        <f t="shared" si="1"/>
        <v>181.78333333333333</v>
      </c>
      <c r="Q1336" s="12">
        <f>+(Tabla1[[#This Row],[COSTO COCHE]]/30)*Tabla1[[#This Row],[TOTAL DIAS PROYECTO]]</f>
        <v>1902.6655555555553</v>
      </c>
      <c r="R1336" s="12">
        <f>+Tabla1[[#This Row],[COSTO TOTAL ALOJAMIENTO]]+Tabla1[[#This Row],[COSTO TOTAL COCHE]]</f>
        <v>3018.0428104575162</v>
      </c>
      <c r="S1336" s="2"/>
      <c r="T1336" s="2" t="s">
        <v>44</v>
      </c>
      <c r="U1336" s="14">
        <v>45507</v>
      </c>
      <c r="V1336" s="14">
        <v>45634</v>
      </c>
      <c r="W1336" s="26"/>
      <c r="X1336" s="2">
        <v>1</v>
      </c>
      <c r="Y1336" s="11"/>
      <c r="Z1336" s="2" t="s">
        <v>36</v>
      </c>
      <c r="AA1336" s="13" t="s">
        <v>10362</v>
      </c>
      <c r="AB1336" s="13" t="s">
        <v>10363</v>
      </c>
    </row>
    <row r="1337" spans="1:28" ht="15" customHeight="1">
      <c r="A1337" s="2" t="s">
        <v>9334</v>
      </c>
      <c r="B1337" s="2" t="s">
        <v>28</v>
      </c>
      <c r="C1337" s="18" t="s">
        <v>2846</v>
      </c>
      <c r="D1337" s="2" t="s">
        <v>749</v>
      </c>
      <c r="E1337" s="2" t="s">
        <v>288</v>
      </c>
      <c r="F1337" s="11" t="s">
        <v>928</v>
      </c>
      <c r="G1337" s="30" t="s">
        <v>1031</v>
      </c>
      <c r="H1337" s="2" t="s">
        <v>2623</v>
      </c>
      <c r="I1337" s="12" t="s">
        <v>753</v>
      </c>
      <c r="J1337" s="8">
        <f>+Tabla1[[#This Row],[FECHA ENTRADA]]</f>
        <v>45507</v>
      </c>
      <c r="K1337" s="22">
        <v>45821</v>
      </c>
      <c r="L1337" s="13">
        <f>_xlfn.DAYS(Tabla1[[#This Row],[FECHA FIN ]],Tabla1[[#This Row],[FECHA INICIO]])</f>
        <v>314</v>
      </c>
      <c r="M1337" s="12"/>
      <c r="N1337" s="24"/>
      <c r="O1337" s="12">
        <f>(Tabla1[[#This Row],[COSTO FIJO ]]/30)*Tabla1[[#This Row],[TOTAL DIAS PROYECTO]]+(Tabla1[[#This Row],[COSTO TEMPORAL]])</f>
        <v>0</v>
      </c>
      <c r="P1337" s="12">
        <f t="shared" si="1"/>
        <v>181.78333333333333</v>
      </c>
      <c r="Q1337" s="12">
        <f>+(Tabla1[[#This Row],[COSTO COCHE]]/30)*Tabla1[[#This Row],[TOTAL DIAS PROYECTO]]</f>
        <v>1902.6655555555553</v>
      </c>
      <c r="R1337" s="12">
        <f>+Tabla1[[#This Row],[COSTO TOTAL ALOJAMIENTO]]+Tabla1[[#This Row],[COSTO TOTAL COCHE]]</f>
        <v>1902.6655555555553</v>
      </c>
      <c r="S1337" s="2"/>
      <c r="T1337" s="2" t="s">
        <v>44</v>
      </c>
      <c r="U1337" s="14">
        <v>45507</v>
      </c>
      <c r="V1337" s="14">
        <v>45634</v>
      </c>
      <c r="W1337" s="26"/>
      <c r="X1337" s="2">
        <v>1</v>
      </c>
      <c r="Y1337" s="11"/>
      <c r="Z1337" s="2" t="s">
        <v>36</v>
      </c>
      <c r="AA1337" s="13" t="s">
        <v>10362</v>
      </c>
      <c r="AB1337" s="13" t="s">
        <v>10363</v>
      </c>
    </row>
    <row r="1338" spans="1:28">
      <c r="A1338" s="2" t="s">
        <v>9335</v>
      </c>
      <c r="B1338" s="2" t="s">
        <v>368</v>
      </c>
      <c r="C1338" s="11" t="s">
        <v>2847</v>
      </c>
      <c r="D1338" s="2" t="s">
        <v>30</v>
      </c>
      <c r="E1338" s="2" t="s">
        <v>31</v>
      </c>
      <c r="F1338" s="11" t="s">
        <v>715</v>
      </c>
      <c r="G1338" s="11" t="s">
        <v>716</v>
      </c>
      <c r="H1338" s="2" t="s">
        <v>564</v>
      </c>
      <c r="I1338" s="12" t="s">
        <v>514</v>
      </c>
      <c r="J1338" s="8">
        <f>+Tabla1[[#This Row],[FECHA ENTRADA]]</f>
        <v>45501</v>
      </c>
      <c r="K1338" s="22">
        <v>45821</v>
      </c>
      <c r="L1338" s="13">
        <f>_xlfn.DAYS(Tabla1[[#This Row],[FECHA FIN ]],Tabla1[[#This Row],[FECHA INICIO]])</f>
        <v>320</v>
      </c>
      <c r="M1338" s="12"/>
      <c r="N1338" s="12">
        <v>160</v>
      </c>
      <c r="O1338" s="12">
        <f>(Tabla1[[#This Row],[COSTO FIJO ]]/30)*Tabla1[[#This Row],[TOTAL DIAS PROYECTO]]+(Tabla1[[#This Row],[COSTO TEMPORAL]])</f>
        <v>1706.6666666666665</v>
      </c>
      <c r="P1338" s="12"/>
      <c r="Q1338" s="12">
        <f>+(Tabla1[[#This Row],[COSTO COCHE]]/30)*Tabla1[[#This Row],[TOTAL DIAS PROYECTO]]</f>
        <v>0</v>
      </c>
      <c r="R1338" s="12">
        <f>+Tabla1[[#This Row],[COSTO TOTAL ALOJAMIENTO]]+Tabla1[[#This Row],[COSTO TOTAL COCHE]]</f>
        <v>1706.6666666666665</v>
      </c>
      <c r="S1338" s="2"/>
      <c r="T1338" s="2" t="s">
        <v>35</v>
      </c>
      <c r="U1338" s="14">
        <v>45501</v>
      </c>
      <c r="V1338" s="14"/>
      <c r="W1338" s="26"/>
      <c r="X1338" s="2"/>
      <c r="Y1338" s="18" t="s">
        <v>2848</v>
      </c>
      <c r="Z1338" s="2" t="s">
        <v>36</v>
      </c>
      <c r="AA1338" s="13" t="s">
        <v>10323</v>
      </c>
      <c r="AB1338" s="13" t="s">
        <v>10324</v>
      </c>
    </row>
    <row r="1339" spans="1:28" ht="15" customHeight="1">
      <c r="A1339" s="2" t="s">
        <v>8779</v>
      </c>
      <c r="B1339" s="2" t="s">
        <v>28</v>
      </c>
      <c r="C1339" s="18" t="s">
        <v>731</v>
      </c>
      <c r="D1339" s="2" t="s">
        <v>30</v>
      </c>
      <c r="E1339" s="2" t="s">
        <v>380</v>
      </c>
      <c r="F1339" s="11"/>
      <c r="G1339" s="11" t="s">
        <v>622</v>
      </c>
      <c r="H1339" s="2" t="s">
        <v>2849</v>
      </c>
      <c r="I1339" s="12" t="s">
        <v>382</v>
      </c>
      <c r="J1339" s="8">
        <f>+Tabla1[[#This Row],[FECHA ENTRADA]]</f>
        <v>45445</v>
      </c>
      <c r="K1339" s="8"/>
      <c r="L1339" s="13">
        <f>_xlfn.DAYS(Tabla1[[#This Row],[FECHA FIN ]],Tabla1[[#This Row],[FECHA INICIO]])</f>
        <v>-45445</v>
      </c>
      <c r="M1339" s="12">
        <v>240</v>
      </c>
      <c r="N1339" s="28"/>
      <c r="O1339" s="12">
        <f>(Tabla1[[#This Row],[COSTO FIJO ]]/30)*Tabla1[[#This Row],[TOTAL DIAS PROYECTO]]+(Tabla1[[#This Row],[COSTO TEMPORAL]])</f>
        <v>240</v>
      </c>
      <c r="P1339" s="12"/>
      <c r="Q1339" s="12">
        <f>+(Tabla1[[#This Row],[COSTO COCHE]]/30)*Tabla1[[#This Row],[TOTAL DIAS PROYECTO]]</f>
        <v>0</v>
      </c>
      <c r="R1339" s="12">
        <f>+Tabla1[[#This Row],[COSTO TOTAL ALOJAMIENTO]]+Tabla1[[#This Row],[COSTO TOTAL COCHE]]</f>
        <v>240</v>
      </c>
      <c r="S1339" s="2"/>
      <c r="T1339" s="2" t="s">
        <v>35</v>
      </c>
      <c r="U1339" s="14">
        <v>45445</v>
      </c>
      <c r="V1339" s="14">
        <v>45481</v>
      </c>
      <c r="W1339" s="26"/>
      <c r="X1339" s="2">
        <v>5</v>
      </c>
      <c r="Y1339" s="11" t="s">
        <v>623</v>
      </c>
      <c r="Z1339" s="2" t="s">
        <v>36</v>
      </c>
      <c r="AA1339" s="13" t="s">
        <v>10370</v>
      </c>
      <c r="AB1339" s="13" t="s">
        <v>10371</v>
      </c>
    </row>
    <row r="1340" spans="1:28" ht="15" customHeight="1">
      <c r="A1340" s="2" t="s">
        <v>9336</v>
      </c>
      <c r="B1340" s="2" t="s">
        <v>28</v>
      </c>
      <c r="C1340" s="52" t="s">
        <v>2850</v>
      </c>
      <c r="D1340" s="2" t="s">
        <v>749</v>
      </c>
      <c r="E1340" s="2" t="s">
        <v>288</v>
      </c>
      <c r="F1340" s="11" t="s">
        <v>1144</v>
      </c>
      <c r="G1340" t="s">
        <v>751</v>
      </c>
      <c r="H1340" s="2" t="s">
        <v>2623</v>
      </c>
      <c r="I1340" s="12" t="s">
        <v>753</v>
      </c>
      <c r="J1340" s="8">
        <f>+Tabla1[[#This Row],[FECHA ENTRADA]]</f>
        <v>45507</v>
      </c>
      <c r="K1340" s="22">
        <v>45821</v>
      </c>
      <c r="L1340" s="13">
        <f>_xlfn.DAYS(Tabla1[[#This Row],[FECHA FIN ]],Tabla1[[#This Row],[FECHA INICIO]])</f>
        <v>314</v>
      </c>
      <c r="M1340" s="12"/>
      <c r="N1340" s="24"/>
      <c r="O1340" s="12">
        <f>(Tabla1[[#This Row],[COSTO FIJO ]]/30)*Tabla1[[#This Row],[TOTAL DIAS PROYECTO]]+(Tabla1[[#This Row],[COSTO TEMPORAL]])</f>
        <v>0</v>
      </c>
      <c r="P1340" s="12">
        <f>8180.25/45</f>
        <v>181.78333333333333</v>
      </c>
      <c r="Q1340" s="12">
        <f>+(Tabla1[[#This Row],[COSTO COCHE]]/30)*Tabla1[[#This Row],[TOTAL DIAS PROYECTO]]</f>
        <v>1902.6655555555553</v>
      </c>
      <c r="R1340" s="12">
        <f>+Tabla1[[#This Row],[COSTO TOTAL ALOJAMIENTO]]+Tabla1[[#This Row],[COSTO TOTAL COCHE]]</f>
        <v>1902.6655555555553</v>
      </c>
      <c r="S1340" s="2"/>
      <c r="T1340" s="2" t="s">
        <v>44</v>
      </c>
      <c r="U1340" s="14">
        <v>45507</v>
      </c>
      <c r="V1340" s="14">
        <v>45634</v>
      </c>
      <c r="W1340" s="26"/>
      <c r="X1340" s="2">
        <v>1</v>
      </c>
      <c r="Y1340" s="11"/>
      <c r="Z1340" s="2" t="s">
        <v>36</v>
      </c>
      <c r="AA1340" s="13" t="s">
        <v>10362</v>
      </c>
      <c r="AB1340" s="13" t="s">
        <v>10363</v>
      </c>
    </row>
    <row r="1341" spans="1:28" ht="15" customHeight="1">
      <c r="A1341" s="2" t="s">
        <v>9337</v>
      </c>
      <c r="B1341" s="2" t="s">
        <v>28</v>
      </c>
      <c r="C1341" s="11" t="s">
        <v>2851</v>
      </c>
      <c r="D1341" s="2" t="s">
        <v>30</v>
      </c>
      <c r="E1341" s="2" t="s">
        <v>31</v>
      </c>
      <c r="F1341" s="11" t="s">
        <v>2852</v>
      </c>
      <c r="G1341" s="11" t="s">
        <v>2853</v>
      </c>
      <c r="H1341" s="2" t="s">
        <v>2854</v>
      </c>
      <c r="I1341" s="12" t="s">
        <v>34</v>
      </c>
      <c r="J1341" s="8">
        <f>+Tabla1[[#This Row],[FECHA ENTRADA]]</f>
        <v>45324</v>
      </c>
      <c r="K1341" s="22">
        <v>45821</v>
      </c>
      <c r="L1341" s="13">
        <f>_xlfn.DAYS(Tabla1[[#This Row],[FECHA FIN ]],Tabla1[[#This Row],[FECHA INICIO]])</f>
        <v>497</v>
      </c>
      <c r="M1341" s="12"/>
      <c r="N1341" s="12">
        <f>1811.6/17</f>
        <v>106.56470588235294</v>
      </c>
      <c r="O1341" s="12">
        <f>(Tabla1[[#This Row],[COSTO FIJO ]]/30)*Tabla1[[#This Row],[TOTAL DIAS PROYECTO]]+(Tabla1[[#This Row],[COSTO TEMPORAL]])</f>
        <v>1765.4219607843138</v>
      </c>
      <c r="P1341" s="12"/>
      <c r="Q1341" s="12">
        <f>+(Tabla1[[#This Row],[COSTO COCHE]]/30)*Tabla1[[#This Row],[TOTAL DIAS PROYECTO]]</f>
        <v>0</v>
      </c>
      <c r="R1341" s="12">
        <f>+Tabla1[[#This Row],[COSTO TOTAL ALOJAMIENTO]]+Tabla1[[#This Row],[COSTO TOTAL COCHE]]</f>
        <v>1765.4219607843138</v>
      </c>
      <c r="S1341" s="2"/>
      <c r="T1341" s="2" t="s">
        <v>35</v>
      </c>
      <c r="U1341" s="14">
        <v>45324</v>
      </c>
      <c r="V1341" s="14"/>
      <c r="W1341" s="15">
        <v>200</v>
      </c>
      <c r="X1341" s="16">
        <v>1</v>
      </c>
      <c r="Y1341" s="18" t="s">
        <v>2855</v>
      </c>
      <c r="Z1341" s="2" t="s">
        <v>36</v>
      </c>
      <c r="AA1341" s="13" t="s">
        <v>10323</v>
      </c>
      <c r="AB1341" s="13" t="s">
        <v>10324</v>
      </c>
    </row>
    <row r="1342" spans="1:28" ht="15" customHeight="1">
      <c r="A1342" s="2" t="s">
        <v>9289</v>
      </c>
      <c r="B1342" s="2" t="s">
        <v>28</v>
      </c>
      <c r="C1342" s="52" t="s">
        <v>2705</v>
      </c>
      <c r="D1342" s="2" t="s">
        <v>749</v>
      </c>
      <c r="E1342" s="2" t="s">
        <v>288</v>
      </c>
      <c r="F1342" s="11" t="s">
        <v>750</v>
      </c>
      <c r="G1342" s="30" t="s">
        <v>751</v>
      </c>
      <c r="H1342" s="2" t="s">
        <v>2623</v>
      </c>
      <c r="I1342" s="12" t="s">
        <v>753</v>
      </c>
      <c r="J1342" s="8">
        <f>+Tabla1[[#This Row],[FECHA ENTRADA]]</f>
        <v>45507</v>
      </c>
      <c r="K1342" s="22">
        <v>45821</v>
      </c>
      <c r="L1342" s="13">
        <f>_xlfn.DAYS(Tabla1[[#This Row],[FECHA FIN ]],Tabla1[[#This Row],[FECHA INICIO]])</f>
        <v>314</v>
      </c>
      <c r="M1342" s="12"/>
      <c r="N1342" s="12">
        <v>520</v>
      </c>
      <c r="O1342" s="12">
        <f>(Tabla1[[#This Row],[COSTO FIJO ]]/30)*Tabla1[[#This Row],[TOTAL DIAS PROYECTO]]+(Tabla1[[#This Row],[COSTO TEMPORAL]])</f>
        <v>5442.6666666666661</v>
      </c>
      <c r="P1342" s="12">
        <f>8180.25/45</f>
        <v>181.78333333333333</v>
      </c>
      <c r="Q1342" s="12">
        <f>+(Tabla1[[#This Row],[COSTO COCHE]]/30)*Tabla1[[#This Row],[TOTAL DIAS PROYECTO]]</f>
        <v>1902.6655555555553</v>
      </c>
      <c r="R1342" s="12">
        <f>+Tabla1[[#This Row],[COSTO TOTAL ALOJAMIENTO]]+Tabla1[[#This Row],[COSTO TOTAL COCHE]]</f>
        <v>7345.3322222222214</v>
      </c>
      <c r="S1342" s="2"/>
      <c r="T1342" s="2" t="s">
        <v>44</v>
      </c>
      <c r="U1342" s="14">
        <v>45507</v>
      </c>
      <c r="V1342" s="14">
        <v>45636</v>
      </c>
      <c r="W1342" s="26"/>
      <c r="X1342" s="2">
        <v>10</v>
      </c>
      <c r="Y1342" s="11"/>
      <c r="Z1342" s="2" t="s">
        <v>36</v>
      </c>
      <c r="AA1342" s="13" t="s">
        <v>10362</v>
      </c>
      <c r="AB1342" s="13" t="s">
        <v>10363</v>
      </c>
    </row>
    <row r="1343" spans="1:28" ht="15" customHeight="1">
      <c r="A1343" s="2" t="s">
        <v>9092</v>
      </c>
      <c r="B1343" s="2" t="s">
        <v>368</v>
      </c>
      <c r="C1343" s="50" t="s">
        <v>1977</v>
      </c>
      <c r="D1343" s="2" t="s">
        <v>99</v>
      </c>
      <c r="E1343" s="2" t="s">
        <v>422</v>
      </c>
      <c r="F1343" s="11" t="s">
        <v>2723</v>
      </c>
      <c r="G1343" s="49" t="s">
        <v>2724</v>
      </c>
      <c r="H1343" s="184" t="s">
        <v>2856</v>
      </c>
      <c r="I1343" s="186" t="s">
        <v>2638</v>
      </c>
      <c r="J1343" s="22">
        <f>+Tabla1[[#This Row],[FECHA ENTRADA]]</f>
        <v>45759</v>
      </c>
      <c r="K1343" s="22">
        <v>45794</v>
      </c>
      <c r="L1343" s="23">
        <f>_xlfn.DAYS(Tabla1[[#This Row],[FECHA FIN ]],Tabla1[[#This Row],[FECHA INICIO]])</f>
        <v>35</v>
      </c>
      <c r="M1343" s="12"/>
      <c r="N1343" s="24">
        <v>500</v>
      </c>
      <c r="O1343" s="24">
        <f>(Tabla1[[#This Row],[COSTO FIJO ]]/30)*Tabla1[[#This Row],[TOTAL DIAS PROYECTO]]+(Tabla1[[#This Row],[COSTO TEMPORAL]])</f>
        <v>583.33333333333337</v>
      </c>
      <c r="P1343" s="12">
        <f>542.69/2</f>
        <v>271.34500000000003</v>
      </c>
      <c r="Q1343" s="12">
        <f>+(Tabla1[[#This Row],[COSTO COCHE]]/30)*Tabla1[[#This Row],[TOTAL DIAS PROYECTO]]</f>
        <v>316.56916666666672</v>
      </c>
      <c r="R1343" s="12">
        <f>+Tabla1[[#This Row],[COSTO TOTAL ALOJAMIENTO]]+Tabla1[[#This Row],[COSTO TOTAL COCHE]]</f>
        <v>899.90250000000015</v>
      </c>
      <c r="S1343" s="2"/>
      <c r="T1343" s="2" t="s">
        <v>44</v>
      </c>
      <c r="U1343" s="14">
        <v>45759</v>
      </c>
      <c r="V1343" s="25">
        <v>45794</v>
      </c>
      <c r="W1343" s="2"/>
      <c r="X1343" s="2">
        <v>10</v>
      </c>
      <c r="Y1343" s="11"/>
      <c r="Z1343" s="2" t="s">
        <v>36</v>
      </c>
      <c r="AA1343" s="13">
        <v>-326.69799999999998</v>
      </c>
      <c r="AB1343" s="13" t="s">
        <v>10373</v>
      </c>
    </row>
    <row r="1344" spans="1:28">
      <c r="A1344" s="2" t="s">
        <v>9243</v>
      </c>
      <c r="B1344" s="2" t="s">
        <v>28</v>
      </c>
      <c r="C1344" s="18" t="s">
        <v>2563</v>
      </c>
      <c r="D1344" s="2" t="s">
        <v>749</v>
      </c>
      <c r="E1344" s="2" t="s">
        <v>288</v>
      </c>
      <c r="F1344" s="11" t="s">
        <v>2621</v>
      </c>
      <c r="G1344" s="11" t="s">
        <v>2622</v>
      </c>
      <c r="H1344" s="2" t="s">
        <v>2623</v>
      </c>
      <c r="I1344" s="12" t="s">
        <v>753</v>
      </c>
      <c r="J1344" s="8">
        <f>+Tabla1[[#This Row],[FECHA ENTRADA]]</f>
        <v>45507</v>
      </c>
      <c r="K1344" s="22">
        <v>45821</v>
      </c>
      <c r="L1344" s="13">
        <f>_xlfn.DAYS(Tabla1[[#This Row],[FECHA FIN ]],Tabla1[[#This Row],[FECHA INICIO]])</f>
        <v>314</v>
      </c>
      <c r="M1344" s="12"/>
      <c r="N1344" s="24"/>
      <c r="O1344" s="12">
        <f>(Tabla1[[#This Row],[COSTO FIJO ]]/30)*Tabla1[[#This Row],[TOTAL DIAS PROYECTO]]+(Tabla1[[#This Row],[COSTO TEMPORAL]])</f>
        <v>0</v>
      </c>
      <c r="P1344" s="12">
        <f>8180.25/45</f>
        <v>181.78333333333333</v>
      </c>
      <c r="Q1344" s="12">
        <f>+(Tabla1[[#This Row],[COSTO COCHE]]/30)*Tabla1[[#This Row],[TOTAL DIAS PROYECTO]]</f>
        <v>1902.6655555555553</v>
      </c>
      <c r="R1344" s="12">
        <f>+Tabla1[[#This Row],[COSTO TOTAL ALOJAMIENTO]]+Tabla1[[#This Row],[COSTO TOTAL COCHE]]</f>
        <v>1902.6655555555553</v>
      </c>
      <c r="S1344" s="2"/>
      <c r="T1344" s="2" t="s">
        <v>35</v>
      </c>
      <c r="U1344" s="14">
        <v>45507</v>
      </c>
      <c r="V1344" s="14"/>
      <c r="W1344" s="26"/>
      <c r="X1344" s="2">
        <v>1</v>
      </c>
      <c r="Y1344" s="11" t="s">
        <v>2841</v>
      </c>
      <c r="Z1344" s="2" t="s">
        <v>36</v>
      </c>
      <c r="AA1344" s="13" t="s">
        <v>10362</v>
      </c>
      <c r="AB1344" s="13" t="s">
        <v>10363</v>
      </c>
    </row>
    <row r="1345" spans="1:28" ht="15" customHeight="1">
      <c r="A1345" s="2" t="s">
        <v>9338</v>
      </c>
      <c r="B1345" s="2" t="s">
        <v>28</v>
      </c>
      <c r="C1345" s="11" t="s">
        <v>2857</v>
      </c>
      <c r="D1345" s="2" t="s">
        <v>749</v>
      </c>
      <c r="E1345" s="2" t="s">
        <v>288</v>
      </c>
      <c r="F1345" s="11" t="s">
        <v>2621</v>
      </c>
      <c r="G1345" s="30" t="s">
        <v>1142</v>
      </c>
      <c r="H1345" s="2" t="s">
        <v>2623</v>
      </c>
      <c r="I1345" s="12" t="s">
        <v>753</v>
      </c>
      <c r="J1345" s="8">
        <f>+Tabla1[[#This Row],[FECHA ENTRADA]]</f>
        <v>45507</v>
      </c>
      <c r="K1345" s="22">
        <v>45821</v>
      </c>
      <c r="L1345" s="13">
        <f>_xlfn.DAYS(Tabla1[[#This Row],[FECHA FIN ]],Tabla1[[#This Row],[FECHA INICIO]])</f>
        <v>314</v>
      </c>
      <c r="M1345" s="12"/>
      <c r="N1345" s="12"/>
      <c r="O1345" s="12">
        <f>(Tabla1[[#This Row],[COSTO FIJO ]]/30)*Tabla1[[#This Row],[TOTAL DIAS PROYECTO]]+(Tabla1[[#This Row],[COSTO TEMPORAL]])</f>
        <v>0</v>
      </c>
      <c r="P1345" s="12">
        <f>8180.25/45</f>
        <v>181.78333333333333</v>
      </c>
      <c r="Q1345" s="12">
        <f>+(Tabla1[[#This Row],[COSTO COCHE]]/30)*Tabla1[[#This Row],[TOTAL DIAS PROYECTO]]</f>
        <v>1902.6655555555553</v>
      </c>
      <c r="R1345" s="12">
        <f>+Tabla1[[#This Row],[COSTO TOTAL ALOJAMIENTO]]+Tabla1[[#This Row],[COSTO TOTAL COCHE]]</f>
        <v>1902.6655555555553</v>
      </c>
      <c r="S1345" s="2"/>
      <c r="T1345" s="2" t="s">
        <v>44</v>
      </c>
      <c r="U1345" s="14">
        <v>45507</v>
      </c>
      <c r="V1345" s="14"/>
      <c r="W1345" s="26"/>
      <c r="X1345" s="2">
        <v>1</v>
      </c>
      <c r="Y1345" s="11" t="s">
        <v>2841</v>
      </c>
      <c r="Z1345" s="2" t="s">
        <v>36</v>
      </c>
      <c r="AA1345" s="13" t="s">
        <v>10362</v>
      </c>
      <c r="AB1345" s="13" t="s">
        <v>10363</v>
      </c>
    </row>
    <row r="1346" spans="1:28" ht="15" customHeight="1">
      <c r="A1346" s="2" t="s">
        <v>9339</v>
      </c>
      <c r="B1346" s="2" t="s">
        <v>368</v>
      </c>
      <c r="C1346" s="86" t="s">
        <v>2858</v>
      </c>
      <c r="D1346" s="2" t="s">
        <v>1398</v>
      </c>
      <c r="E1346" s="2" t="s">
        <v>2859</v>
      </c>
      <c r="F1346" s="11" t="s">
        <v>1106</v>
      </c>
      <c r="G1346" s="30" t="s">
        <v>2860</v>
      </c>
      <c r="H1346" s="2" t="s">
        <v>2861</v>
      </c>
      <c r="I1346" s="12" t="s">
        <v>2862</v>
      </c>
      <c r="J1346" s="8">
        <f>+Tabla1[[#This Row],[FECHA ENTRADA]]</f>
        <v>45525</v>
      </c>
      <c r="K1346" s="22">
        <v>45821</v>
      </c>
      <c r="L1346" s="13">
        <f>_xlfn.DAYS(Tabla1[[#This Row],[FECHA FIN ]],Tabla1[[#This Row],[FECHA INICIO]])</f>
        <v>296</v>
      </c>
      <c r="M1346" s="12"/>
      <c r="N1346" s="12"/>
      <c r="O1346" s="12">
        <f>(Tabla1[[#This Row],[COSTO FIJO ]]/30)*Tabla1[[#This Row],[TOTAL DIAS PROYECTO]]+(Tabla1[[#This Row],[COSTO TEMPORAL]])</f>
        <v>0</v>
      </c>
      <c r="P1346" s="12"/>
      <c r="Q1346" s="12">
        <f>+(Tabla1[[#This Row],[COSTO COCHE]]/30)*Tabla1[[#This Row],[TOTAL DIAS PROYECTO]]</f>
        <v>0</v>
      </c>
      <c r="R1346" s="12">
        <f>+Tabla1[[#This Row],[COSTO TOTAL ALOJAMIENTO]]+Tabla1[[#This Row],[COSTO TOTAL COCHE]]</f>
        <v>0</v>
      </c>
      <c r="S1346" s="2"/>
      <c r="T1346" s="2" t="s">
        <v>8</v>
      </c>
      <c r="U1346" s="14">
        <v>45525</v>
      </c>
      <c r="V1346" s="14"/>
      <c r="W1346" s="26"/>
      <c r="X1346" s="2"/>
      <c r="Y1346" s="11" t="s">
        <v>2863</v>
      </c>
      <c r="Z1346" s="2" t="s">
        <v>36</v>
      </c>
      <c r="AA1346" s="13">
        <v>1056391</v>
      </c>
      <c r="AB1346" s="13">
        <v>4397893</v>
      </c>
    </row>
    <row r="1347" spans="1:28">
      <c r="A1347" s="2" t="s">
        <v>9340</v>
      </c>
      <c r="B1347" s="2" t="s">
        <v>28</v>
      </c>
      <c r="C1347" s="18" t="s">
        <v>2864</v>
      </c>
      <c r="D1347" s="2" t="s">
        <v>30</v>
      </c>
      <c r="E1347" s="2" t="s">
        <v>31</v>
      </c>
      <c r="F1347" s="11" t="s">
        <v>715</v>
      </c>
      <c r="G1347" s="11" t="s">
        <v>716</v>
      </c>
      <c r="H1347" s="2" t="s">
        <v>2865</v>
      </c>
      <c r="I1347" s="12" t="s">
        <v>34</v>
      </c>
      <c r="J1347" s="8">
        <f>+Tabla1[[#This Row],[FECHA ENTRADA]]</f>
        <v>45509</v>
      </c>
      <c r="K1347" s="22">
        <v>45821</v>
      </c>
      <c r="L1347" s="13">
        <f>_xlfn.DAYS(Tabla1[[#This Row],[FECHA FIN ]],Tabla1[[#This Row],[FECHA INICIO]])</f>
        <v>312</v>
      </c>
      <c r="M1347" s="12"/>
      <c r="N1347" s="12">
        <v>160</v>
      </c>
      <c r="O1347" s="12">
        <f>(Tabla1[[#This Row],[COSTO FIJO ]]/30)*Tabla1[[#This Row],[TOTAL DIAS PROYECTO]]+(Tabla1[[#This Row],[COSTO TEMPORAL]])</f>
        <v>1664</v>
      </c>
      <c r="P1347" s="12"/>
      <c r="Q1347" s="12">
        <f>+(Tabla1[[#This Row],[COSTO COCHE]]/30)*Tabla1[[#This Row],[TOTAL DIAS PROYECTO]]</f>
        <v>0</v>
      </c>
      <c r="R1347" s="12">
        <f>+Tabla1[[#This Row],[COSTO TOTAL ALOJAMIENTO]]+Tabla1[[#This Row],[COSTO TOTAL COCHE]]</f>
        <v>1664</v>
      </c>
      <c r="S1347" s="2"/>
      <c r="T1347" s="2" t="s">
        <v>35</v>
      </c>
      <c r="U1347" s="14">
        <v>45509</v>
      </c>
      <c r="V1347" s="14"/>
      <c r="W1347" s="26"/>
      <c r="X1347" s="2">
        <v>1</v>
      </c>
      <c r="Y1347" s="11"/>
      <c r="Z1347" s="2" t="s">
        <v>36</v>
      </c>
      <c r="AA1347" s="13" t="s">
        <v>10323</v>
      </c>
      <c r="AB1347" s="13" t="s">
        <v>10324</v>
      </c>
    </row>
    <row r="1348" spans="1:28" ht="15" customHeight="1">
      <c r="A1348" s="2" t="s">
        <v>9341</v>
      </c>
      <c r="B1348" s="2" t="s">
        <v>28</v>
      </c>
      <c r="C1348" s="18" t="s">
        <v>2866</v>
      </c>
      <c r="D1348" s="2" t="s">
        <v>749</v>
      </c>
      <c r="E1348" s="2" t="s">
        <v>288</v>
      </c>
      <c r="F1348" s="11" t="s">
        <v>1144</v>
      </c>
      <c r="G1348" t="s">
        <v>751</v>
      </c>
      <c r="H1348" s="2" t="s">
        <v>2199</v>
      </c>
      <c r="I1348" s="12" t="s">
        <v>2473</v>
      </c>
      <c r="J1348" s="8">
        <f>+Tabla1[[#This Row],[FECHA ENTRADA]]</f>
        <v>45487</v>
      </c>
      <c r="K1348" s="22">
        <v>45821</v>
      </c>
      <c r="L1348" s="13">
        <f>_xlfn.DAYS(Tabla1[[#This Row],[FECHA FIN ]],Tabla1[[#This Row],[FECHA INICIO]])</f>
        <v>334</v>
      </c>
      <c r="M1348" s="12"/>
      <c r="N1348" s="12">
        <v>436.43</v>
      </c>
      <c r="O1348" s="12">
        <f>(Tabla1[[#This Row],[COSTO FIJO ]]/30)*Tabla1[[#This Row],[TOTAL DIAS PROYECTO]]+(Tabla1[[#This Row],[COSTO TEMPORAL]])</f>
        <v>4858.9206666666669</v>
      </c>
      <c r="P1348" s="12">
        <f>8180.25/45</f>
        <v>181.78333333333333</v>
      </c>
      <c r="Q1348" s="12">
        <f>+(Tabla1[[#This Row],[COSTO COCHE]]/30)*Tabla1[[#This Row],[TOTAL DIAS PROYECTO]]</f>
        <v>2023.8544444444442</v>
      </c>
      <c r="R1348" s="12">
        <f>+Tabla1[[#This Row],[COSTO TOTAL ALOJAMIENTO]]+Tabla1[[#This Row],[COSTO TOTAL COCHE]]</f>
        <v>6882.7751111111111</v>
      </c>
      <c r="S1348" s="2"/>
      <c r="T1348" s="2" t="s">
        <v>44</v>
      </c>
      <c r="U1348" s="14">
        <v>45487</v>
      </c>
      <c r="V1348" s="14">
        <v>45634</v>
      </c>
      <c r="W1348" s="26"/>
      <c r="X1348" s="2">
        <v>1</v>
      </c>
      <c r="Y1348" s="11"/>
      <c r="Z1348" s="2" t="s">
        <v>36</v>
      </c>
      <c r="AA1348" s="13" t="s">
        <v>10362</v>
      </c>
      <c r="AB1348" s="13" t="s">
        <v>10363</v>
      </c>
    </row>
    <row r="1349" spans="1:28">
      <c r="A1349" s="2" t="s">
        <v>8965</v>
      </c>
      <c r="B1349" s="2" t="s">
        <v>28</v>
      </c>
      <c r="C1349" s="86" t="s">
        <v>1520</v>
      </c>
      <c r="D1349" s="2" t="s">
        <v>30</v>
      </c>
      <c r="E1349" s="2" t="s">
        <v>380</v>
      </c>
      <c r="F1349" s="11" t="s">
        <v>383</v>
      </c>
      <c r="G1349" t="s">
        <v>381</v>
      </c>
      <c r="H1349" s="2" t="s">
        <v>2867</v>
      </c>
      <c r="I1349" s="12" t="s">
        <v>382</v>
      </c>
      <c r="J1349" s="8">
        <f>+Tabla1[[#This Row],[FECHA ENTRADA]]</f>
        <v>45464</v>
      </c>
      <c r="K1349" s="22">
        <v>45821</v>
      </c>
      <c r="L1349" s="13">
        <f>_xlfn.DAYS(Tabla1[[#This Row],[FECHA FIN ]],Tabla1[[#This Row],[FECHA INICIO]])</f>
        <v>357</v>
      </c>
      <c r="M1349" s="12"/>
      <c r="N1349" s="12">
        <v>450</v>
      </c>
      <c r="O1349" s="12">
        <f>(Tabla1[[#This Row],[COSTO FIJO ]]/30)*Tabla1[[#This Row],[TOTAL DIAS PROYECTO]]+(Tabla1[[#This Row],[COSTO TEMPORAL]])</f>
        <v>5355</v>
      </c>
      <c r="P1349" s="12"/>
      <c r="Q1349" s="12">
        <f>+(Tabla1[[#This Row],[COSTO COCHE]]/30)*Tabla1[[#This Row],[TOTAL DIAS PROYECTO]]</f>
        <v>0</v>
      </c>
      <c r="R1349" s="12">
        <f>+Tabla1[[#This Row],[COSTO TOTAL ALOJAMIENTO]]+Tabla1[[#This Row],[COSTO TOTAL COCHE]]</f>
        <v>5355</v>
      </c>
      <c r="S1349" s="2"/>
      <c r="T1349" s="2" t="s">
        <v>35</v>
      </c>
      <c r="U1349" s="14">
        <v>45464</v>
      </c>
      <c r="V1349" s="14"/>
      <c r="W1349" s="26">
        <v>320</v>
      </c>
      <c r="X1349" s="16">
        <v>5</v>
      </c>
      <c r="Y1349" s="11" t="s">
        <v>2868</v>
      </c>
      <c r="Z1349" s="2" t="s">
        <v>36</v>
      </c>
      <c r="AA1349" s="13" t="s">
        <v>10370</v>
      </c>
      <c r="AB1349" s="13" t="s">
        <v>10371</v>
      </c>
    </row>
    <row r="1350" spans="1:28" ht="15" customHeight="1">
      <c r="A1350" s="2" t="s">
        <v>8772</v>
      </c>
      <c r="B1350" s="2" t="s">
        <v>28</v>
      </c>
      <c r="C1350" s="11" t="s">
        <v>681</v>
      </c>
      <c r="D1350" s="2" t="s">
        <v>30</v>
      </c>
      <c r="E1350" s="2" t="s">
        <v>855</v>
      </c>
      <c r="F1350" s="11" t="s">
        <v>865</v>
      </c>
      <c r="G1350" s="46" t="s">
        <v>866</v>
      </c>
      <c r="H1350" s="2" t="s">
        <v>1200</v>
      </c>
      <c r="I1350" s="12" t="s">
        <v>1201</v>
      </c>
      <c r="J1350" s="41">
        <f>+Tabla1[[#This Row],[FECHA ENTRADA]]</f>
        <v>45550</v>
      </c>
      <c r="K1350" s="8">
        <v>45650</v>
      </c>
      <c r="L1350" s="42">
        <f>_xlfn.DAYS(Tabla1[[#This Row],[FECHA FIN ]],Tabla1[[#This Row],[FECHA INICIO]])</f>
        <v>100</v>
      </c>
      <c r="M1350" s="12"/>
      <c r="N1350" s="12"/>
      <c r="O1350" s="28">
        <f>(Tabla1[[#This Row],[COSTO FIJO ]]/30)*Tabla1[[#This Row],[TOTAL DIAS PROYECTO]]+(Tabla1[[#This Row],[COSTO TEMPORAL]])</f>
        <v>0</v>
      </c>
      <c r="P1350" s="12"/>
      <c r="Q1350" s="12">
        <f>+(Tabla1[[#This Row],[COSTO COCHE]]/30)*Tabla1[[#This Row],[TOTAL DIAS PROYECTO]]</f>
        <v>0</v>
      </c>
      <c r="R1350" s="12">
        <f>+Tabla1[[#This Row],[COSTO TOTAL ALOJAMIENTO]]+Tabla1[[#This Row],[COSTO TOTAL COCHE]]</f>
        <v>0</v>
      </c>
      <c r="S1350" s="2"/>
      <c r="T1350" s="2" t="s">
        <v>35</v>
      </c>
      <c r="U1350" s="14">
        <v>45550</v>
      </c>
      <c r="V1350" s="75"/>
      <c r="W1350" s="26"/>
      <c r="X1350" s="2">
        <v>15</v>
      </c>
      <c r="Y1350" s="11" t="s">
        <v>2869</v>
      </c>
      <c r="Z1350" s="2" t="s">
        <v>36</v>
      </c>
      <c r="AA1350" s="13" t="s">
        <v>10401</v>
      </c>
      <c r="AB1350" s="13" t="s">
        <v>10402</v>
      </c>
    </row>
    <row r="1351" spans="1:28" ht="15" customHeight="1">
      <c r="A1351" s="2" t="s">
        <v>8695</v>
      </c>
      <c r="B1351" s="2" t="s">
        <v>28</v>
      </c>
      <c r="C1351" s="11" t="s">
        <v>319</v>
      </c>
      <c r="D1351" s="2" t="s">
        <v>749</v>
      </c>
      <c r="E1351" s="2" t="s">
        <v>288</v>
      </c>
      <c r="F1351" s="11" t="s">
        <v>1141</v>
      </c>
      <c r="G1351" t="s">
        <v>1142</v>
      </c>
      <c r="H1351" s="2" t="s">
        <v>2870</v>
      </c>
      <c r="I1351" s="12" t="s">
        <v>753</v>
      </c>
      <c r="J1351" s="8">
        <f>+Tabla1[[#This Row],[FECHA ENTRADA]]</f>
        <v>45529</v>
      </c>
      <c r="K1351" s="8">
        <v>45596</v>
      </c>
      <c r="L1351" s="13">
        <f>_xlfn.DAYS(Tabla1[[#This Row],[FECHA FIN ]],Tabla1[[#This Row],[FECHA INICIO]])</f>
        <v>67</v>
      </c>
      <c r="M1351" s="12"/>
      <c r="N1351" s="12">
        <v>450</v>
      </c>
      <c r="O1351" s="12">
        <f>(Tabla1[[#This Row],[COSTO FIJO ]]/30)*Tabla1[[#This Row],[TOTAL DIAS PROYECTO]]+(Tabla1[[#This Row],[COSTO TEMPORAL]])</f>
        <v>1005</v>
      </c>
      <c r="P1351" s="12">
        <f>8180.25/45</f>
        <v>181.78333333333333</v>
      </c>
      <c r="Q1351" s="12">
        <f>+(Tabla1[[#This Row],[COSTO COCHE]]/30)*Tabla1[[#This Row],[TOTAL DIAS PROYECTO]]</f>
        <v>405.98277777777776</v>
      </c>
      <c r="R1351" s="12">
        <f>+Tabla1[[#This Row],[COSTO TOTAL ALOJAMIENTO]]+Tabla1[[#This Row],[COSTO TOTAL COCHE]]</f>
        <v>1410.9827777777778</v>
      </c>
      <c r="S1351" s="2"/>
      <c r="T1351" s="2" t="s">
        <v>44</v>
      </c>
      <c r="U1351" s="14">
        <v>45529</v>
      </c>
      <c r="V1351" s="14">
        <v>45619</v>
      </c>
      <c r="W1351" s="26"/>
      <c r="X1351" s="2">
        <v>23</v>
      </c>
      <c r="Y1351" s="11" t="s">
        <v>2871</v>
      </c>
      <c r="Z1351" s="2" t="s">
        <v>36</v>
      </c>
      <c r="AA1351" s="13" t="s">
        <v>10362</v>
      </c>
      <c r="AB1351" s="13" t="s">
        <v>10363</v>
      </c>
    </row>
    <row r="1352" spans="1:28">
      <c r="A1352" s="2" t="s">
        <v>8645</v>
      </c>
      <c r="B1352" s="2" t="s">
        <v>28</v>
      </c>
      <c r="C1352" s="18" t="s">
        <v>108</v>
      </c>
      <c r="D1352" s="2" t="s">
        <v>749</v>
      </c>
      <c r="E1352" s="2" t="s">
        <v>288</v>
      </c>
      <c r="F1352" s="11" t="s">
        <v>750</v>
      </c>
      <c r="G1352" s="30" t="s">
        <v>156</v>
      </c>
      <c r="H1352" s="2" t="s">
        <v>2870</v>
      </c>
      <c r="I1352" s="12" t="s">
        <v>753</v>
      </c>
      <c r="J1352" s="8">
        <f>+Tabla1[[#This Row],[FECHA ENTRADA]]</f>
        <v>45529</v>
      </c>
      <c r="K1352" s="8">
        <v>45604</v>
      </c>
      <c r="L1352" s="13">
        <f>_xlfn.DAYS(Tabla1[[#This Row],[FECHA FIN ]],Tabla1[[#This Row],[FECHA INICIO]])</f>
        <v>75</v>
      </c>
      <c r="M1352" s="12"/>
      <c r="N1352" s="12"/>
      <c r="O1352" s="12">
        <f>(Tabla1[[#This Row],[COSTO FIJO ]]/30)*Tabla1[[#This Row],[TOTAL DIAS PROYECTO]]+(Tabla1[[#This Row],[COSTO TEMPORAL]])</f>
        <v>0</v>
      </c>
      <c r="P1352" s="12">
        <f>8180.25/45</f>
        <v>181.78333333333333</v>
      </c>
      <c r="Q1352" s="12">
        <f>+(Tabla1[[#This Row],[COSTO COCHE]]/30)*Tabla1[[#This Row],[TOTAL DIAS PROYECTO]]</f>
        <v>454.45833333333331</v>
      </c>
      <c r="R1352" s="12">
        <f>+Tabla1[[#This Row],[COSTO TOTAL ALOJAMIENTO]]+Tabla1[[#This Row],[COSTO TOTAL COCHE]]</f>
        <v>454.45833333333331</v>
      </c>
      <c r="S1352" s="2"/>
      <c r="T1352" s="2" t="s">
        <v>35</v>
      </c>
      <c r="U1352" s="14">
        <v>45529</v>
      </c>
      <c r="V1352" s="14"/>
      <c r="W1352" s="26"/>
      <c r="X1352" s="2">
        <v>10</v>
      </c>
      <c r="Y1352" s="11"/>
      <c r="Z1352" s="2" t="s">
        <v>36</v>
      </c>
      <c r="AA1352" s="13" t="s">
        <v>10362</v>
      </c>
      <c r="AB1352" s="13" t="s">
        <v>10363</v>
      </c>
    </row>
    <row r="1353" spans="1:28" ht="15" customHeight="1">
      <c r="A1353" s="2" t="s">
        <v>9342</v>
      </c>
      <c r="B1353" s="2" t="s">
        <v>978</v>
      </c>
      <c r="C1353" s="11" t="s">
        <v>2872</v>
      </c>
      <c r="D1353" s="2" t="s">
        <v>30</v>
      </c>
      <c r="E1353" s="2" t="s">
        <v>31</v>
      </c>
      <c r="F1353" s="11" t="s">
        <v>451</v>
      </c>
      <c r="G1353" s="50" t="s">
        <v>452</v>
      </c>
      <c r="H1353" s="2"/>
      <c r="I1353" s="2" t="s">
        <v>978</v>
      </c>
      <c r="J1353" s="22">
        <f>+Tabla1[[#This Row],[FECHA ENTRADA]]</f>
        <v>45699</v>
      </c>
      <c r="K1353" s="22">
        <v>45821</v>
      </c>
      <c r="L1353" s="23">
        <f>_xlfn.DAYS(Tabla1[[#This Row],[FECHA FIN ]],Tabla1[[#This Row],[FECHA INICIO]])</f>
        <v>122</v>
      </c>
      <c r="M1353" s="12"/>
      <c r="N1353" s="12">
        <v>283.33</v>
      </c>
      <c r="O1353" s="24">
        <f>(Tabla1[[#This Row],[COSTO FIJO ]]/30)*Tabla1[[#This Row],[TOTAL DIAS PROYECTO]]+(Tabla1[[#This Row],[COSTO TEMPORAL]])</f>
        <v>1152.2086666666667</v>
      </c>
      <c r="P1353" s="12"/>
      <c r="Q1353" s="12">
        <f>+(Tabla1[[#This Row],[COSTO COCHE]]/30)*Tabla1[[#This Row],[TOTAL DIAS PROYECTO]]</f>
        <v>0</v>
      </c>
      <c r="R1353" s="12">
        <f>+Tabla1[[#This Row],[COSTO TOTAL ALOJAMIENTO]]+Tabla1[[#This Row],[COSTO TOTAL COCHE]]</f>
        <v>1152.2086666666667</v>
      </c>
      <c r="S1353" s="2"/>
      <c r="T1353" s="2" t="s">
        <v>35</v>
      </c>
      <c r="U1353" s="14">
        <v>45699</v>
      </c>
      <c r="V1353" s="25"/>
      <c r="W1353" s="26"/>
      <c r="X1353" s="2">
        <v>1</v>
      </c>
      <c r="Y1353" s="11"/>
      <c r="Z1353" s="2" t="s">
        <v>36</v>
      </c>
      <c r="AA1353" s="13" t="s">
        <v>10323</v>
      </c>
      <c r="AB1353" s="13" t="s">
        <v>10324</v>
      </c>
    </row>
    <row r="1354" spans="1:28" ht="15" customHeight="1">
      <c r="A1354" s="2" t="s">
        <v>9074</v>
      </c>
      <c r="B1354" s="2" t="s">
        <v>368</v>
      </c>
      <c r="C1354" s="11" t="s">
        <v>1899</v>
      </c>
      <c r="D1354" s="2" t="s">
        <v>30</v>
      </c>
      <c r="E1354" s="2" t="s">
        <v>31</v>
      </c>
      <c r="F1354" s="11" t="s">
        <v>715</v>
      </c>
      <c r="G1354" s="11" t="s">
        <v>716</v>
      </c>
      <c r="H1354" s="2" t="s">
        <v>1707</v>
      </c>
      <c r="I1354" s="12" t="s">
        <v>1104</v>
      </c>
      <c r="J1354" s="22">
        <f>+Tabla1[[#This Row],[FECHA ENTRADA]]</f>
        <v>45574</v>
      </c>
      <c r="K1354" s="22">
        <v>45821</v>
      </c>
      <c r="L1354" s="23">
        <f>_xlfn.DAYS(Tabla1[[#This Row],[FECHA FIN ]],Tabla1[[#This Row],[FECHA INICIO]])</f>
        <v>247</v>
      </c>
      <c r="M1354" s="12"/>
      <c r="N1354" s="12">
        <v>160</v>
      </c>
      <c r="O1354" s="24">
        <f>(Tabla1[[#This Row],[COSTO FIJO ]]/30)*Tabla1[[#This Row],[TOTAL DIAS PROYECTO]]+(Tabla1[[#This Row],[COSTO TEMPORAL]])</f>
        <v>1317.3333333333333</v>
      </c>
      <c r="P1354" s="12"/>
      <c r="Q1354" s="12">
        <f>+(Tabla1[[#This Row],[COSTO COCHE]]/30)*Tabla1[[#This Row],[TOTAL DIAS PROYECTO]]</f>
        <v>0</v>
      </c>
      <c r="R1354" s="12">
        <f>+Tabla1[[#This Row],[COSTO TOTAL ALOJAMIENTO]]+Tabla1[[#This Row],[COSTO TOTAL COCHE]]</f>
        <v>1317.3333333333333</v>
      </c>
      <c r="S1354" s="2"/>
      <c r="T1354" s="2" t="s">
        <v>35</v>
      </c>
      <c r="U1354" s="14">
        <v>45574</v>
      </c>
      <c r="V1354" s="79"/>
      <c r="W1354" s="26"/>
      <c r="X1354" s="2">
        <v>1</v>
      </c>
      <c r="Y1354" s="11" t="s">
        <v>1120</v>
      </c>
      <c r="Z1354" s="2" t="s">
        <v>36</v>
      </c>
      <c r="AA1354" s="13" t="s">
        <v>10323</v>
      </c>
      <c r="AB1354" s="13" t="s">
        <v>10324</v>
      </c>
    </row>
    <row r="1355" spans="1:28" ht="15" customHeight="1">
      <c r="A1355" s="2" t="s">
        <v>8880</v>
      </c>
      <c r="B1355" s="2" t="s">
        <v>368</v>
      </c>
      <c r="C1355" s="11" t="s">
        <v>1146</v>
      </c>
      <c r="D1355" s="2" t="s">
        <v>30</v>
      </c>
      <c r="E1355" s="2" t="s">
        <v>213</v>
      </c>
      <c r="F1355" s="11" t="s">
        <v>1196</v>
      </c>
      <c r="G1355" s="21" t="s">
        <v>1197</v>
      </c>
      <c r="H1355" s="2" t="s">
        <v>1465</v>
      </c>
      <c r="I1355" s="12" t="s">
        <v>1208</v>
      </c>
      <c r="J1355" s="41">
        <f>+Tabla1[[#This Row],[FECHA ENTRADA]]</f>
        <v>45669</v>
      </c>
      <c r="K1355" s="22">
        <v>45821</v>
      </c>
      <c r="L1355" s="42">
        <f>_xlfn.DAYS(Tabla1[[#This Row],[FECHA FIN ]],Tabla1[[#This Row],[FECHA INICIO]])</f>
        <v>152</v>
      </c>
      <c r="M1355" s="12"/>
      <c r="N1355" s="12">
        <f>1811.6/17</f>
        <v>106.56470588235294</v>
      </c>
      <c r="O1355" s="28">
        <f>(Tabla1[[#This Row],[COSTO FIJO ]]/30)*Tabla1[[#This Row],[TOTAL DIAS PROYECTO]]+(Tabla1[[#This Row],[COSTO TEMPORAL]])</f>
        <v>539.92784313725497</v>
      </c>
      <c r="P1355" s="12"/>
      <c r="Q1355" s="12">
        <f>+(Tabla1[[#This Row],[COSTO COCHE]]/30)*Tabla1[[#This Row],[TOTAL DIAS PROYECTO]]</f>
        <v>0</v>
      </c>
      <c r="R1355" s="12">
        <f>+Tabla1[[#This Row],[COSTO TOTAL ALOJAMIENTO]]+Tabla1[[#This Row],[COSTO TOTAL COCHE]]</f>
        <v>539.92784313725497</v>
      </c>
      <c r="S1355" s="2"/>
      <c r="T1355" s="2" t="s">
        <v>35</v>
      </c>
      <c r="U1355" s="14">
        <v>45669</v>
      </c>
      <c r="V1355" s="43"/>
      <c r="W1355" s="26"/>
      <c r="X1355" s="2">
        <v>1</v>
      </c>
      <c r="Y1355" s="11"/>
      <c r="Z1355" s="2" t="s">
        <v>36</v>
      </c>
      <c r="AA1355" s="13" t="s">
        <v>10349</v>
      </c>
      <c r="AB1355" s="13" t="s">
        <v>10350</v>
      </c>
    </row>
    <row r="1356" spans="1:28">
      <c r="A1356" s="2" t="s">
        <v>8899</v>
      </c>
      <c r="B1356" s="2" t="s">
        <v>978</v>
      </c>
      <c r="C1356" s="11" t="s">
        <v>1205</v>
      </c>
      <c r="D1356" s="2" t="s">
        <v>30</v>
      </c>
      <c r="E1356" s="2" t="s">
        <v>253</v>
      </c>
      <c r="F1356" s="11" t="s">
        <v>254</v>
      </c>
      <c r="G1356" s="11" t="s">
        <v>255</v>
      </c>
      <c r="H1356" s="2" t="s">
        <v>1530</v>
      </c>
      <c r="I1356" s="12" t="s">
        <v>1155</v>
      </c>
      <c r="J1356" s="22">
        <f>+Tabla1[[#This Row],[FECHA ENTRADA]]</f>
        <v>45574</v>
      </c>
      <c r="K1356" s="22">
        <v>45821</v>
      </c>
      <c r="L1356" s="42">
        <f>_xlfn.DAYS(Tabla1[[#This Row],[FECHA FIN ]],Tabla1[[#This Row],[FECHA INICIO]])</f>
        <v>247</v>
      </c>
      <c r="M1356" s="12"/>
      <c r="N1356" s="12"/>
      <c r="O1356" s="28">
        <f>(Tabla1[[#This Row],[COSTO FIJO ]]/30)*Tabla1[[#This Row],[TOTAL DIAS PROYECTO]]+(Tabla1[[#This Row],[COSTO TEMPORAL]])</f>
        <v>0</v>
      </c>
      <c r="P1356" s="12"/>
      <c r="Q1356" s="12">
        <f>+(Tabla1[[#This Row],[COSTO COCHE]]/30)*Tabla1[[#This Row],[TOTAL DIAS PROYECTO]]</f>
        <v>0</v>
      </c>
      <c r="R1356" s="12">
        <f>+Tabla1[[#This Row],[COSTO TOTAL ALOJAMIENTO]]+Tabla1[[#This Row],[COSTO TOTAL COCHE]]</f>
        <v>0</v>
      </c>
      <c r="S1356" s="2"/>
      <c r="T1356" s="2" t="s">
        <v>35</v>
      </c>
      <c r="U1356" s="14">
        <v>45574</v>
      </c>
      <c r="V1356" s="43"/>
      <c r="W1356" s="26"/>
      <c r="X1356" s="2">
        <v>1</v>
      </c>
      <c r="Y1356" s="11" t="s">
        <v>2873</v>
      </c>
      <c r="Z1356" s="2" t="s">
        <v>36</v>
      </c>
      <c r="AA1356" s="13" t="s">
        <v>10357</v>
      </c>
      <c r="AB1356" s="13" t="s">
        <v>10358</v>
      </c>
    </row>
    <row r="1357" spans="1:28">
      <c r="A1357" s="2" t="s">
        <v>9307</v>
      </c>
      <c r="B1357" s="2" t="s">
        <v>28</v>
      </c>
      <c r="C1357" s="11" t="s">
        <v>2771</v>
      </c>
      <c r="D1357" s="2" t="s">
        <v>30</v>
      </c>
      <c r="E1357" s="2" t="s">
        <v>31</v>
      </c>
      <c r="F1357" s="11" t="s">
        <v>530</v>
      </c>
      <c r="G1357" s="11" t="s">
        <v>531</v>
      </c>
      <c r="H1357" s="2" t="s">
        <v>1356</v>
      </c>
      <c r="I1357" s="12" t="s">
        <v>1357</v>
      </c>
      <c r="J1357" s="41">
        <f>+Tabla1[[#This Row],[FECHA ENTRADA]]</f>
        <v>45613</v>
      </c>
      <c r="K1357" s="22">
        <v>45821</v>
      </c>
      <c r="L1357" s="42">
        <f>_xlfn.DAYS(Tabla1[[#This Row],[FECHA FIN ]],Tabla1[[#This Row],[FECHA INICIO]])</f>
        <v>208</v>
      </c>
      <c r="M1357" s="12"/>
      <c r="N1357" s="12">
        <f>1811.6/17</f>
        <v>106.56470588235294</v>
      </c>
      <c r="O1357" s="28">
        <f>(Tabla1[[#This Row],[COSTO FIJO ]]/30)*Tabla1[[#This Row],[TOTAL DIAS PROYECTO]]+(Tabla1[[#This Row],[COSTO TEMPORAL]])</f>
        <v>738.84862745098042</v>
      </c>
      <c r="P1357" s="12"/>
      <c r="Q1357" s="12">
        <f>+(Tabla1[[#This Row],[COSTO COCHE]]/30)*Tabla1[[#This Row],[TOTAL DIAS PROYECTO]]</f>
        <v>0</v>
      </c>
      <c r="R1357" s="12">
        <f>+Tabla1[[#This Row],[COSTO TOTAL ALOJAMIENTO]]+Tabla1[[#This Row],[COSTO TOTAL COCHE]]</f>
        <v>738.84862745098042</v>
      </c>
      <c r="S1357" s="2"/>
      <c r="T1357" s="2" t="s">
        <v>35</v>
      </c>
      <c r="U1357" s="14">
        <v>45613</v>
      </c>
      <c r="V1357" s="43"/>
      <c r="W1357" s="26"/>
      <c r="X1357" s="2">
        <v>1</v>
      </c>
      <c r="Y1357" s="11"/>
      <c r="Z1357" s="2" t="s">
        <v>36</v>
      </c>
      <c r="AA1357" s="13" t="s">
        <v>10323</v>
      </c>
      <c r="AB1357" s="13" t="s">
        <v>10324</v>
      </c>
    </row>
    <row r="1358" spans="1:28" ht="15" customHeight="1">
      <c r="A1358" s="2" t="s">
        <v>8642</v>
      </c>
      <c r="B1358" s="2" t="s">
        <v>28</v>
      </c>
      <c r="C1358" s="11" t="s">
        <v>2874</v>
      </c>
      <c r="D1358" s="2" t="s">
        <v>30</v>
      </c>
      <c r="E1358" s="2" t="s">
        <v>415</v>
      </c>
      <c r="F1358" s="11" t="s">
        <v>1148</v>
      </c>
      <c r="G1358" s="30" t="s">
        <v>1149</v>
      </c>
      <c r="H1358" s="2" t="s">
        <v>2748</v>
      </c>
      <c r="I1358" s="12" t="s">
        <v>800</v>
      </c>
      <c r="J1358" s="41">
        <f>+Tabla1[[#This Row],[FECHA ENTRADA]]</f>
        <v>45629</v>
      </c>
      <c r="K1358" s="22">
        <v>45821</v>
      </c>
      <c r="L1358" s="42">
        <f>_xlfn.DAYS(Tabla1[[#This Row],[FECHA FIN ]],Tabla1[[#This Row],[FECHA INICIO]])</f>
        <v>192</v>
      </c>
      <c r="M1358" s="12"/>
      <c r="N1358" s="12"/>
      <c r="O1358" s="28">
        <f>(Tabla1[[#This Row],[COSTO FIJO ]]/30)*Tabla1[[#This Row],[TOTAL DIAS PROYECTO]]+(Tabla1[[#This Row],[COSTO TEMPORAL]])</f>
        <v>0</v>
      </c>
      <c r="P1358" s="12"/>
      <c r="Q1358" s="12">
        <f>+(Tabla1[[#This Row],[COSTO COCHE]]/30)*Tabla1[[#This Row],[TOTAL DIAS PROYECTO]]</f>
        <v>0</v>
      </c>
      <c r="R1358" s="12">
        <f>+Tabla1[[#This Row],[COSTO TOTAL ALOJAMIENTO]]+Tabla1[[#This Row],[COSTO TOTAL COCHE]]</f>
        <v>0</v>
      </c>
      <c r="S1358" s="2"/>
      <c r="T1358" s="2" t="s">
        <v>44</v>
      </c>
      <c r="U1358" s="14">
        <v>45629</v>
      </c>
      <c r="V1358" s="43">
        <v>45635</v>
      </c>
      <c r="W1358" s="26"/>
      <c r="X1358" s="2"/>
      <c r="Y1358" s="11"/>
      <c r="Z1358" s="2" t="s">
        <v>36</v>
      </c>
      <c r="AA1358" s="13">
        <v>-0.37739</v>
      </c>
      <c r="AB1358" s="13" t="s">
        <v>10372</v>
      </c>
    </row>
    <row r="1359" spans="1:28" ht="15" customHeight="1">
      <c r="A1359" s="2" t="s">
        <v>9343</v>
      </c>
      <c r="B1359" s="2" t="s">
        <v>368</v>
      </c>
      <c r="C1359" s="11" t="s">
        <v>2875</v>
      </c>
      <c r="D1359" s="2" t="s">
        <v>99</v>
      </c>
      <c r="E1359" s="2" t="s">
        <v>109</v>
      </c>
      <c r="F1359" s="11" t="s">
        <v>1793</v>
      </c>
      <c r="G1359" s="21">
        <v>973266788</v>
      </c>
      <c r="H1359" s="2" t="s">
        <v>2827</v>
      </c>
      <c r="I1359" s="12" t="s">
        <v>42</v>
      </c>
      <c r="J1359" s="41">
        <f>+Tabla1[[#This Row],[FECHA ENTRADA]]</f>
        <v>45713</v>
      </c>
      <c r="K1359" s="22">
        <v>45737</v>
      </c>
      <c r="L1359" s="42">
        <f>_xlfn.DAYS(Tabla1[[#This Row],[FECHA FIN ]],Tabla1[[#This Row],[FECHA INICIO]])</f>
        <v>24</v>
      </c>
      <c r="M1359" s="12"/>
      <c r="N1359" s="12">
        <f>1811.6/17</f>
        <v>106.56470588235294</v>
      </c>
      <c r="O1359" s="28">
        <f>(Tabla1[[#This Row],[COSTO FIJO ]]/30)*Tabla1[[#This Row],[TOTAL DIAS PROYECTO]]+(Tabla1[[#This Row],[COSTO TEMPORAL]])</f>
        <v>85.251764705882351</v>
      </c>
      <c r="P1359" s="12"/>
      <c r="Q1359" s="12">
        <f>+(Tabla1[[#This Row],[COSTO COCHE]]/30)*Tabla1[[#This Row],[TOTAL DIAS PROYECTO]]</f>
        <v>0</v>
      </c>
      <c r="R1359" s="12">
        <f>+Tabla1[[#This Row],[COSTO TOTAL ALOJAMIENTO]]+Tabla1[[#This Row],[COSTO TOTAL COCHE]]</f>
        <v>85.251764705882351</v>
      </c>
      <c r="S1359" s="2"/>
      <c r="T1359" s="2" t="s">
        <v>44</v>
      </c>
      <c r="U1359" s="14">
        <v>45713</v>
      </c>
      <c r="V1359" s="25">
        <v>45737</v>
      </c>
      <c r="W1359" s="26"/>
      <c r="X1359" s="2"/>
      <c r="Y1359" s="11" t="s">
        <v>2388</v>
      </c>
      <c r="Z1359" s="2" t="s">
        <v>36</v>
      </c>
      <c r="AA1359" s="13">
        <v>0.62217999999999996</v>
      </c>
      <c r="AB1359" s="13" t="s">
        <v>10339</v>
      </c>
    </row>
    <row r="1360" spans="1:28" ht="15" customHeight="1">
      <c r="A1360" s="2" t="s">
        <v>8869</v>
      </c>
      <c r="B1360" s="2" t="s">
        <v>28</v>
      </c>
      <c r="C1360" s="52" t="s">
        <v>1097</v>
      </c>
      <c r="D1360" s="2" t="s">
        <v>30</v>
      </c>
      <c r="E1360" s="2" t="s">
        <v>415</v>
      </c>
      <c r="F1360" s="11" t="s">
        <v>1148</v>
      </c>
      <c r="G1360" s="30" t="s">
        <v>1149</v>
      </c>
      <c r="H1360" s="2" t="s">
        <v>2748</v>
      </c>
      <c r="I1360" s="12" t="s">
        <v>800</v>
      </c>
      <c r="J1360" s="41">
        <f>+Tabla1[[#This Row],[FECHA ENTRADA]]</f>
        <v>45629</v>
      </c>
      <c r="K1360" s="22">
        <v>45635</v>
      </c>
      <c r="L1360" s="42">
        <f>_xlfn.DAYS(Tabla1[[#This Row],[FECHA FIN ]],Tabla1[[#This Row],[FECHA INICIO]])</f>
        <v>6</v>
      </c>
      <c r="M1360" s="12"/>
      <c r="N1360" s="20"/>
      <c r="O1360" s="28">
        <f>(Tabla1[[#This Row],[COSTO FIJO ]]/30)*Tabla1[[#This Row],[TOTAL DIAS PROYECTO]]+(Tabla1[[#This Row],[COSTO TEMPORAL]])</f>
        <v>0</v>
      </c>
      <c r="P1360" s="12"/>
      <c r="Q1360" s="12">
        <f>+(Tabla1[[#This Row],[COSTO COCHE]]/30)*Tabla1[[#This Row],[TOTAL DIAS PROYECTO]]</f>
        <v>0</v>
      </c>
      <c r="R1360" s="12">
        <f>+Tabla1[[#This Row],[COSTO TOTAL ALOJAMIENTO]]+Tabla1[[#This Row],[COSTO TOTAL COCHE]]</f>
        <v>0</v>
      </c>
      <c r="S1360" s="2"/>
      <c r="T1360" s="2" t="s">
        <v>44</v>
      </c>
      <c r="U1360" s="14">
        <v>45629</v>
      </c>
      <c r="V1360" s="43">
        <v>45635</v>
      </c>
      <c r="W1360" s="26"/>
      <c r="X1360" s="2"/>
      <c r="Y1360" s="11"/>
      <c r="Z1360" s="2" t="s">
        <v>36</v>
      </c>
      <c r="AA1360" s="13">
        <v>-0.37739</v>
      </c>
      <c r="AB1360" s="13" t="s">
        <v>10372</v>
      </c>
    </row>
    <row r="1361" spans="1:28" ht="15" customHeight="1">
      <c r="A1361" s="2" t="s">
        <v>8638</v>
      </c>
      <c r="B1361" s="2" t="s">
        <v>28</v>
      </c>
      <c r="C1361" s="11" t="s">
        <v>2766</v>
      </c>
      <c r="D1361" s="2" t="s">
        <v>30</v>
      </c>
      <c r="E1361" s="2" t="s">
        <v>422</v>
      </c>
      <c r="F1361" s="11" t="s">
        <v>2876</v>
      </c>
      <c r="G1361" s="21" t="s">
        <v>2877</v>
      </c>
      <c r="H1361" s="64" t="s">
        <v>2767</v>
      </c>
      <c r="I1361" s="64" t="s">
        <v>2454</v>
      </c>
      <c r="J1361" s="22">
        <f>+Tabla1[[#This Row],[FECHA ENTRADA]]</f>
        <v>45760</v>
      </c>
      <c r="K1361" s="22">
        <v>45771</v>
      </c>
      <c r="L1361" s="23">
        <f>_xlfn.DAYS(Tabla1[[#This Row],[FECHA FIN ]],Tabla1[[#This Row],[FECHA INICIO]])</f>
        <v>11</v>
      </c>
      <c r="M1361" s="12"/>
      <c r="N1361" s="12"/>
      <c r="O1361" s="24">
        <f>(Tabla1[[#This Row],[COSTO FIJO ]]/30)*Tabla1[[#This Row],[TOTAL DIAS PROYECTO]]+(Tabla1[[#This Row],[COSTO TEMPORAL]])</f>
        <v>0</v>
      </c>
      <c r="P1361" s="12"/>
      <c r="Q1361" s="12">
        <f>+(Tabla1[[#This Row],[COSTO COCHE]]/30)*Tabla1[[#This Row],[TOTAL DIAS PROYECTO]]</f>
        <v>0</v>
      </c>
      <c r="R1361" s="12">
        <f>+Tabla1[[#This Row],[COSTO TOTAL ALOJAMIENTO]]+Tabla1[[#This Row],[COSTO TOTAL COCHE]]</f>
        <v>0</v>
      </c>
      <c r="S1361" s="2" t="s">
        <v>403</v>
      </c>
      <c r="T1361" s="14" t="s">
        <v>44</v>
      </c>
      <c r="U1361" s="14">
        <v>45760</v>
      </c>
      <c r="V1361" s="25">
        <v>45771</v>
      </c>
      <c r="W1361" s="2"/>
      <c r="X1361" s="2"/>
      <c r="Y1361" s="11"/>
      <c r="Z1361" s="2" t="s">
        <v>36</v>
      </c>
      <c r="AA1361" s="13">
        <v>-326.69799999999998</v>
      </c>
      <c r="AB1361" s="13" t="s">
        <v>10373</v>
      </c>
    </row>
    <row r="1362" spans="1:28">
      <c r="A1362" s="2" t="s">
        <v>9344</v>
      </c>
      <c r="B1362" s="2" t="s">
        <v>368</v>
      </c>
      <c r="C1362" s="11" t="s">
        <v>2878</v>
      </c>
      <c r="D1362" s="2" t="s">
        <v>30</v>
      </c>
      <c r="E1362" s="2" t="s">
        <v>213</v>
      </c>
      <c r="F1362" s="11" t="s">
        <v>996</v>
      </c>
      <c r="G1362" s="11" t="s">
        <v>997</v>
      </c>
      <c r="H1362" s="2" t="s">
        <v>1112</v>
      </c>
      <c r="I1362" s="12" t="s">
        <v>514</v>
      </c>
      <c r="J1362" s="8">
        <f>+Tabla1[[#This Row],[FECHA ENTRADA]]</f>
        <v>45474</v>
      </c>
      <c r="K1362" s="22">
        <v>45821</v>
      </c>
      <c r="L1362" s="13">
        <f>_xlfn.DAYS(Tabla1[[#This Row],[FECHA FIN ]],Tabla1[[#This Row],[FECHA INICIO]])</f>
        <v>347</v>
      </c>
      <c r="M1362" s="12"/>
      <c r="N1362" s="12">
        <f>1811.6/17</f>
        <v>106.56470588235294</v>
      </c>
      <c r="O1362" s="12">
        <f>(Tabla1[[#This Row],[COSTO FIJO ]]/30)*Tabla1[[#This Row],[TOTAL DIAS PROYECTO]]+(Tabla1[[#This Row],[COSTO TEMPORAL]])</f>
        <v>1232.5984313725492</v>
      </c>
      <c r="P1362" s="12">
        <f>((800+651.96)*50%)/10</f>
        <v>72.597999999999999</v>
      </c>
      <c r="Q1362" s="12">
        <f>+(Tabla1[[#This Row],[COSTO COCHE]]/30)*Tabla1[[#This Row],[TOTAL DIAS PROYECTO]]</f>
        <v>839.71686666666665</v>
      </c>
      <c r="R1362" s="12">
        <f>+Tabla1[[#This Row],[COSTO TOTAL ALOJAMIENTO]]+Tabla1[[#This Row],[COSTO TOTAL COCHE]]</f>
        <v>2072.315298039216</v>
      </c>
      <c r="S1362" s="2"/>
      <c r="T1362" s="2" t="s">
        <v>35</v>
      </c>
      <c r="U1362" s="14">
        <v>45474</v>
      </c>
      <c r="V1362" s="14"/>
      <c r="W1362" s="26"/>
      <c r="X1362" s="2">
        <v>1</v>
      </c>
      <c r="Y1362" s="11"/>
      <c r="Z1362" s="2" t="s">
        <v>36</v>
      </c>
      <c r="AA1362" s="13" t="s">
        <v>10349</v>
      </c>
      <c r="AB1362" s="13" t="s">
        <v>10350</v>
      </c>
    </row>
    <row r="1363" spans="1:28" ht="15" customHeight="1">
      <c r="A1363" s="2" t="s">
        <v>9345</v>
      </c>
      <c r="B1363" s="2" t="s">
        <v>28</v>
      </c>
      <c r="C1363" s="11" t="s">
        <v>2879</v>
      </c>
      <c r="D1363" s="2" t="s">
        <v>99</v>
      </c>
      <c r="E1363" s="2" t="s">
        <v>253</v>
      </c>
      <c r="F1363" s="11" t="s">
        <v>254</v>
      </c>
      <c r="G1363" s="11" t="s">
        <v>255</v>
      </c>
      <c r="H1363" s="2" t="s">
        <v>2880</v>
      </c>
      <c r="I1363" s="12" t="s">
        <v>2342</v>
      </c>
      <c r="J1363" s="22">
        <f>+Tabla1[[#This Row],[FECHA ENTRADA]]</f>
        <v>45809</v>
      </c>
      <c r="K1363" s="22">
        <v>45821</v>
      </c>
      <c r="L1363" s="23">
        <f>_xlfn.DAYS(Tabla1[[#This Row],[FECHA FIN ]],Tabla1[[#This Row],[FECHA INICIO]])</f>
        <v>12</v>
      </c>
      <c r="M1363" s="12"/>
      <c r="N1363" s="12"/>
      <c r="O1363" s="24">
        <f>(Tabla1[[#This Row],[COSTO FIJO ]]/30)*Tabla1[[#This Row],[TOTAL DIAS PROYECTO]]+(Tabla1[[#This Row],[COSTO TEMPORAL]])</f>
        <v>0</v>
      </c>
      <c r="P1363" s="12"/>
      <c r="Q1363" s="12">
        <f>+(Tabla1[[#This Row],[COSTO COCHE]]/30)*Tabla1[[#This Row],[TOTAL DIAS PROYECTO]]</f>
        <v>0</v>
      </c>
      <c r="R1363" s="12">
        <f>+Tabla1[[#This Row],[COSTO TOTAL ALOJAMIENTO]]+Tabla1[[#This Row],[COSTO TOTAL COCHE]]</f>
        <v>0</v>
      </c>
      <c r="S1363" s="2"/>
      <c r="T1363" s="2" t="s">
        <v>35</v>
      </c>
      <c r="U1363" s="14">
        <v>45809</v>
      </c>
      <c r="V1363" s="98"/>
      <c r="W1363" s="2"/>
      <c r="X1363" s="2">
        <v>1</v>
      </c>
      <c r="Y1363" s="11" t="s">
        <v>2881</v>
      </c>
      <c r="Z1363" s="2" t="s">
        <v>36</v>
      </c>
      <c r="AA1363" s="23" t="s">
        <v>10357</v>
      </c>
      <c r="AB1363" s="13" t="s">
        <v>10358</v>
      </c>
    </row>
    <row r="1364" spans="1:28" ht="15" customHeight="1">
      <c r="A1364" s="2" t="s">
        <v>8899</v>
      </c>
      <c r="B1364" s="2" t="s">
        <v>368</v>
      </c>
      <c r="C1364" s="11" t="s">
        <v>1205</v>
      </c>
      <c r="D1364" s="2" t="s">
        <v>30</v>
      </c>
      <c r="E1364" s="2" t="s">
        <v>31</v>
      </c>
      <c r="F1364" s="11" t="s">
        <v>2882</v>
      </c>
      <c r="G1364" s="11" t="s">
        <v>2883</v>
      </c>
      <c r="H1364" s="2" t="s">
        <v>2884</v>
      </c>
      <c r="I1364" s="12" t="s">
        <v>1208</v>
      </c>
      <c r="J1364" s="8">
        <f>+Tabla1[[#This Row],[FECHA ENTRADA]]</f>
        <v>45530</v>
      </c>
      <c r="K1364" s="22">
        <v>45821</v>
      </c>
      <c r="L1364" s="13">
        <f>_xlfn.DAYS(Tabla1[[#This Row],[FECHA FIN ]],Tabla1[[#This Row],[FECHA INICIO]])</f>
        <v>291</v>
      </c>
      <c r="M1364" s="12"/>
      <c r="N1364" s="12">
        <v>200</v>
      </c>
      <c r="O1364" s="12">
        <f>(Tabla1[[#This Row],[COSTO FIJO ]]/30)*Tabla1[[#This Row],[TOTAL DIAS PROYECTO]]+(Tabla1[[#This Row],[COSTO TEMPORAL]])</f>
        <v>1940</v>
      </c>
      <c r="P1364" s="12">
        <f>+(651.96*50%)/2</f>
        <v>162.99</v>
      </c>
      <c r="Q1364" s="12">
        <f>+(Tabla1[[#This Row],[COSTO COCHE]]/30)*Tabla1[[#This Row],[TOTAL DIAS PROYECTO]]</f>
        <v>1581.0030000000002</v>
      </c>
      <c r="R1364" s="12">
        <f>+Tabla1[[#This Row],[COSTO TOTAL ALOJAMIENTO]]+Tabla1[[#This Row],[COSTO TOTAL COCHE]]</f>
        <v>3521.0030000000002</v>
      </c>
      <c r="S1364" s="2"/>
      <c r="T1364" s="2" t="s">
        <v>35</v>
      </c>
      <c r="U1364" s="14">
        <v>45530</v>
      </c>
      <c r="V1364" s="14"/>
      <c r="W1364" s="26">
        <v>300</v>
      </c>
      <c r="X1364" s="2">
        <v>1</v>
      </c>
      <c r="Y1364" s="11"/>
      <c r="Z1364" s="2" t="s">
        <v>36</v>
      </c>
      <c r="AA1364" s="13" t="s">
        <v>10323</v>
      </c>
      <c r="AB1364" s="13" t="s">
        <v>10324</v>
      </c>
    </row>
    <row r="1365" spans="1:28" ht="15" customHeight="1">
      <c r="A1365" s="2" t="s">
        <v>8899</v>
      </c>
      <c r="B1365" s="2" t="s">
        <v>28</v>
      </c>
      <c r="C1365" s="11" t="s">
        <v>1205</v>
      </c>
      <c r="D1365" s="2" t="s">
        <v>30</v>
      </c>
      <c r="E1365" s="2" t="s">
        <v>31</v>
      </c>
      <c r="F1365" s="11" t="s">
        <v>2885</v>
      </c>
      <c r="G1365" s="11" t="s">
        <v>2886</v>
      </c>
      <c r="H1365" s="2" t="s">
        <v>2887</v>
      </c>
      <c r="I1365" s="12" t="s">
        <v>1101</v>
      </c>
      <c r="J1365" s="8">
        <f>+Tabla1[[#This Row],[FECHA ENTRADA]]</f>
        <v>45502</v>
      </c>
      <c r="K1365" s="22">
        <v>45821</v>
      </c>
      <c r="L1365" s="13">
        <f>_xlfn.DAYS(Tabla1[[#This Row],[FECHA FIN ]],Tabla1[[#This Row],[FECHA INICIO]])</f>
        <v>319</v>
      </c>
      <c r="M1365" s="12"/>
      <c r="N1365" s="12">
        <f>1811.6/17</f>
        <v>106.56470588235294</v>
      </c>
      <c r="O1365" s="12">
        <f>(Tabla1[[#This Row],[COSTO FIJO ]]/30)*Tabla1[[#This Row],[TOTAL DIAS PROYECTO]]+(Tabla1[[#This Row],[COSTO TEMPORAL]])</f>
        <v>1133.1380392156864</v>
      </c>
      <c r="P1365" s="12"/>
      <c r="Q1365" s="12">
        <f>+(Tabla1[[#This Row],[COSTO COCHE]]/30)*Tabla1[[#This Row],[TOTAL DIAS PROYECTO]]</f>
        <v>0</v>
      </c>
      <c r="R1365" s="12">
        <f>+Tabla1[[#This Row],[COSTO TOTAL ALOJAMIENTO]]+Tabla1[[#This Row],[COSTO TOTAL COCHE]]</f>
        <v>1133.1380392156864</v>
      </c>
      <c r="S1365" s="2"/>
      <c r="T1365" s="2" t="s">
        <v>35</v>
      </c>
      <c r="U1365" s="14">
        <v>45502</v>
      </c>
      <c r="V1365" s="14"/>
      <c r="W1365" s="26"/>
      <c r="X1365" s="2">
        <v>1</v>
      </c>
      <c r="Y1365" s="18" t="s">
        <v>657</v>
      </c>
      <c r="Z1365" s="2" t="s">
        <v>36</v>
      </c>
      <c r="AA1365" s="13" t="s">
        <v>10323</v>
      </c>
      <c r="AB1365" s="13" t="s">
        <v>10324</v>
      </c>
    </row>
    <row r="1366" spans="1:28" ht="15" customHeight="1">
      <c r="A1366" s="2" t="s">
        <v>8719</v>
      </c>
      <c r="B1366" s="2" t="s">
        <v>28</v>
      </c>
      <c r="C1366" s="11" t="s">
        <v>438</v>
      </c>
      <c r="D1366" s="2" t="s">
        <v>749</v>
      </c>
      <c r="E1366" s="2" t="s">
        <v>288</v>
      </c>
      <c r="F1366" s="11" t="s">
        <v>1141</v>
      </c>
      <c r="G1366" t="s">
        <v>1142</v>
      </c>
      <c r="H1366" s="2" t="s">
        <v>2870</v>
      </c>
      <c r="I1366" s="12" t="s">
        <v>753</v>
      </c>
      <c r="J1366" s="8">
        <f>+Tabla1[[#This Row],[FECHA ENTRADA]]</f>
        <v>45529</v>
      </c>
      <c r="K1366" s="8">
        <v>45618</v>
      </c>
      <c r="L1366" s="13">
        <f>_xlfn.DAYS(Tabla1[[#This Row],[FECHA FIN ]],Tabla1[[#This Row],[FECHA INICIO]])</f>
        <v>89</v>
      </c>
      <c r="M1366" s="12"/>
      <c r="N1366" s="12">
        <v>450</v>
      </c>
      <c r="O1366" s="12">
        <f>(Tabla1[[#This Row],[COSTO FIJO ]]/30)*Tabla1[[#This Row],[TOTAL DIAS PROYECTO]]+(Tabla1[[#This Row],[COSTO TEMPORAL]])</f>
        <v>1335</v>
      </c>
      <c r="P1366" s="12">
        <f>8180.25/45</f>
        <v>181.78333333333333</v>
      </c>
      <c r="Q1366" s="12">
        <f>+(Tabla1[[#This Row],[COSTO COCHE]]/30)*Tabla1[[#This Row],[TOTAL DIAS PROYECTO]]</f>
        <v>539.29055555555556</v>
      </c>
      <c r="R1366" s="12">
        <f>+Tabla1[[#This Row],[COSTO TOTAL ALOJAMIENTO]]+Tabla1[[#This Row],[COSTO TOTAL COCHE]]</f>
        <v>1874.2905555555556</v>
      </c>
      <c r="S1366" s="2"/>
      <c r="T1366" s="2" t="s">
        <v>44</v>
      </c>
      <c r="U1366" s="14">
        <v>45529</v>
      </c>
      <c r="V1366" s="14">
        <v>45619</v>
      </c>
      <c r="W1366" s="26"/>
      <c r="X1366" s="2">
        <v>23</v>
      </c>
      <c r="Y1366" s="11" t="s">
        <v>2871</v>
      </c>
      <c r="Z1366" s="2" t="s">
        <v>36</v>
      </c>
      <c r="AA1366" s="13" t="s">
        <v>10362</v>
      </c>
      <c r="AB1366" s="13" t="s">
        <v>10363</v>
      </c>
    </row>
    <row r="1367" spans="1:28" ht="15" customHeight="1">
      <c r="A1367" s="2" t="s">
        <v>9149</v>
      </c>
      <c r="B1367" s="2" t="s">
        <v>28</v>
      </c>
      <c r="C1367" s="18" t="s">
        <v>2223</v>
      </c>
      <c r="D1367" s="2" t="s">
        <v>749</v>
      </c>
      <c r="E1367" s="2" t="s">
        <v>288</v>
      </c>
      <c r="F1367" s="11" t="s">
        <v>1141</v>
      </c>
      <c r="G1367" s="30" t="s">
        <v>1142</v>
      </c>
      <c r="H1367" s="2" t="s">
        <v>2870</v>
      </c>
      <c r="I1367" s="12" t="s">
        <v>753</v>
      </c>
      <c r="J1367" s="8">
        <f>+Tabla1[[#This Row],[FECHA ENTRADA]]</f>
        <v>45529</v>
      </c>
      <c r="K1367" s="22">
        <v>45821</v>
      </c>
      <c r="L1367" s="13">
        <f>_xlfn.DAYS(Tabla1[[#This Row],[FECHA FIN ]],Tabla1[[#This Row],[FECHA INICIO]])</f>
        <v>292</v>
      </c>
      <c r="M1367" s="12"/>
      <c r="N1367" s="12">
        <f>1811.6/17</f>
        <v>106.56470588235294</v>
      </c>
      <c r="O1367" s="12">
        <f>(Tabla1[[#This Row],[COSTO FIJO ]]/30)*Tabla1[[#This Row],[TOTAL DIAS PROYECTO]]+(Tabla1[[#This Row],[COSTO TEMPORAL]])</f>
        <v>1037.2298039215686</v>
      </c>
      <c r="P1367" s="12">
        <f>8180.25/45</f>
        <v>181.78333333333333</v>
      </c>
      <c r="Q1367" s="12">
        <f>+(Tabla1[[#This Row],[COSTO COCHE]]/30)*Tabla1[[#This Row],[TOTAL DIAS PROYECTO]]</f>
        <v>1769.3577777777775</v>
      </c>
      <c r="R1367" s="12">
        <f>+Tabla1[[#This Row],[COSTO TOTAL ALOJAMIENTO]]+Tabla1[[#This Row],[COSTO TOTAL COCHE]]</f>
        <v>2806.5875816993462</v>
      </c>
      <c r="S1367" s="2"/>
      <c r="T1367" s="2" t="s">
        <v>44</v>
      </c>
      <c r="U1367" s="14">
        <v>45529</v>
      </c>
      <c r="V1367" s="14">
        <v>45619</v>
      </c>
      <c r="W1367" s="26"/>
      <c r="X1367" s="2">
        <v>23</v>
      </c>
      <c r="Y1367" s="11" t="s">
        <v>2871</v>
      </c>
      <c r="Z1367" s="2" t="s">
        <v>36</v>
      </c>
      <c r="AA1367" s="13" t="s">
        <v>10362</v>
      </c>
      <c r="AB1367" s="13" t="s">
        <v>10363</v>
      </c>
    </row>
    <row r="1368" spans="1:28" ht="15" customHeight="1">
      <c r="A1368" s="2" t="s">
        <v>9346</v>
      </c>
      <c r="B1368" s="2" t="s">
        <v>28</v>
      </c>
      <c r="C1368" s="11" t="s">
        <v>2888</v>
      </c>
      <c r="D1368" s="2" t="s">
        <v>30</v>
      </c>
      <c r="E1368" s="2" t="s">
        <v>502</v>
      </c>
      <c r="F1368" s="11" t="s">
        <v>2834</v>
      </c>
      <c r="G1368" s="11" t="s">
        <v>2835</v>
      </c>
      <c r="H1368" s="2" t="s">
        <v>2889</v>
      </c>
      <c r="I1368" s="12" t="s">
        <v>506</v>
      </c>
      <c r="J1368" s="8">
        <f>+Tabla1[[#This Row],[FECHA ENTRADA]]</f>
        <v>45468</v>
      </c>
      <c r="K1368" s="22">
        <v>45540</v>
      </c>
      <c r="L1368" s="13">
        <f>_xlfn.DAYS(Tabla1[[#This Row],[FECHA FIN ]],Tabla1[[#This Row],[FECHA INICIO]])</f>
        <v>72</v>
      </c>
      <c r="M1368" s="12"/>
      <c r="N1368" s="12">
        <v>250</v>
      </c>
      <c r="O1368" s="12">
        <f>(Tabla1[[#This Row],[COSTO FIJO ]]/30)*Tabla1[[#This Row],[TOTAL DIAS PROYECTO]]+(Tabla1[[#This Row],[COSTO TEMPORAL]])</f>
        <v>600</v>
      </c>
      <c r="P1368" s="12">
        <f>+((803.8+542.69)*50%)/9</f>
        <v>74.805000000000007</v>
      </c>
      <c r="Q1368" s="12">
        <f>+(Tabla1[[#This Row],[COSTO COCHE]]/30)*Tabla1[[#This Row],[TOTAL DIAS PROYECTO]]</f>
        <v>179.53200000000001</v>
      </c>
      <c r="R1368" s="12">
        <f>+Tabla1[[#This Row],[COSTO TOTAL ALOJAMIENTO]]+Tabla1[[#This Row],[COSTO TOTAL COCHE]]</f>
        <v>779.53200000000004</v>
      </c>
      <c r="S1368" s="2"/>
      <c r="T1368" s="2" t="s">
        <v>35</v>
      </c>
      <c r="U1368" s="14">
        <v>45468</v>
      </c>
      <c r="V1368" s="14"/>
      <c r="W1368" s="26"/>
      <c r="X1368" s="2">
        <v>1</v>
      </c>
      <c r="Y1368" s="11" t="s">
        <v>2890</v>
      </c>
      <c r="Z1368" s="2" t="s">
        <v>36</v>
      </c>
      <c r="AA1368" s="13" t="s">
        <v>10378</v>
      </c>
      <c r="AB1368" s="13" t="s">
        <v>10379</v>
      </c>
    </row>
    <row r="1369" spans="1:28" ht="15" customHeight="1">
      <c r="A1369" s="2" t="s">
        <v>9308</v>
      </c>
      <c r="B1369" s="2" t="s">
        <v>368</v>
      </c>
      <c r="C1369" s="11" t="s">
        <v>2777</v>
      </c>
      <c r="D1369" s="2" t="s">
        <v>99</v>
      </c>
      <c r="E1369" s="2" t="s">
        <v>734</v>
      </c>
      <c r="F1369" s="11" t="s">
        <v>735</v>
      </c>
      <c r="G1369" s="67" t="s">
        <v>736</v>
      </c>
      <c r="H1369" s="2" t="s">
        <v>1993</v>
      </c>
      <c r="I1369" s="29" t="s">
        <v>1994</v>
      </c>
      <c r="J1369" s="22">
        <f>+Tabla1[[#This Row],[FECHA ENTRADA]]</f>
        <v>45756</v>
      </c>
      <c r="K1369" s="22">
        <v>45821</v>
      </c>
      <c r="L1369" s="23">
        <f>_xlfn.DAYS(Tabla1[[#This Row],[FECHA FIN ]],Tabla1[[#This Row],[FECHA INICIO]])</f>
        <v>65</v>
      </c>
      <c r="M1369" s="12"/>
      <c r="N1369" s="12"/>
      <c r="O1369" s="24">
        <f>(Tabla1[[#This Row],[COSTO FIJO ]]/30)*Tabla1[[#This Row],[TOTAL DIAS PROYECTO]]+(Tabla1[[#This Row],[COSTO TEMPORAL]])</f>
        <v>0</v>
      </c>
      <c r="P1369" s="12"/>
      <c r="Q1369" s="12">
        <f>+(Tabla1[[#This Row],[COSTO COCHE]]/30)*Tabla1[[#This Row],[TOTAL DIAS PROYECTO]]</f>
        <v>0</v>
      </c>
      <c r="R1369" s="12">
        <f>+Tabla1[[#This Row],[COSTO TOTAL ALOJAMIENTO]]+Tabla1[[#This Row],[COSTO TOTAL COCHE]]</f>
        <v>0</v>
      </c>
      <c r="S1369" s="2"/>
      <c r="T1369" s="2" t="s">
        <v>35</v>
      </c>
      <c r="U1369" s="14">
        <v>45756</v>
      </c>
      <c r="V1369" s="25"/>
      <c r="W1369" s="26"/>
      <c r="X1369" s="2">
        <v>1</v>
      </c>
      <c r="Y1369" s="11" t="s">
        <v>1995</v>
      </c>
      <c r="Z1369" s="2" t="s">
        <v>36</v>
      </c>
      <c r="AA1369" s="13" t="s">
        <v>10396</v>
      </c>
      <c r="AB1369" s="13" t="s">
        <v>10397</v>
      </c>
    </row>
    <row r="1370" spans="1:28" ht="15" customHeight="1">
      <c r="A1370" s="2" t="s">
        <v>9347</v>
      </c>
      <c r="B1370" s="2" t="s">
        <v>28</v>
      </c>
      <c r="C1370" s="11" t="s">
        <v>2891</v>
      </c>
      <c r="D1370" s="2" t="s">
        <v>30</v>
      </c>
      <c r="E1370" s="2" t="s">
        <v>114</v>
      </c>
      <c r="F1370" s="11" t="s">
        <v>115</v>
      </c>
      <c r="G1370" s="11" t="s">
        <v>116</v>
      </c>
      <c r="H1370" s="2" t="s">
        <v>117</v>
      </c>
      <c r="I1370" s="12" t="s">
        <v>118</v>
      </c>
      <c r="J1370" s="8">
        <f>+Tabla1[[#This Row],[FECHA ENTRADA]]</f>
        <v>45375</v>
      </c>
      <c r="K1370" s="22">
        <v>45821</v>
      </c>
      <c r="L1370" s="13">
        <f>_xlfn.DAYS(Tabla1[[#This Row],[FECHA FIN ]],Tabla1[[#This Row],[FECHA INICIO]])</f>
        <v>446</v>
      </c>
      <c r="M1370" s="12"/>
      <c r="N1370" s="12">
        <f>1811.6/17</f>
        <v>106.56470588235294</v>
      </c>
      <c r="O1370" s="12">
        <f>(Tabla1[[#This Row],[COSTO FIJO ]]/30)*Tabla1[[#This Row],[TOTAL DIAS PROYECTO]]+(Tabla1[[#This Row],[COSTO TEMPORAL]])</f>
        <v>1584.2619607843137</v>
      </c>
      <c r="P1370" s="12"/>
      <c r="Q1370" s="12">
        <f>+(Tabla1[[#This Row],[COSTO COCHE]]/30)*Tabla1[[#This Row],[TOTAL DIAS PROYECTO]]</f>
        <v>0</v>
      </c>
      <c r="R1370" s="12">
        <f>+Tabla1[[#This Row],[COSTO TOTAL ALOJAMIENTO]]+Tabla1[[#This Row],[COSTO TOTAL COCHE]]</f>
        <v>1584.2619607843137</v>
      </c>
      <c r="S1370" s="2"/>
      <c r="T1370" s="2" t="s">
        <v>35</v>
      </c>
      <c r="U1370" s="14">
        <v>45375</v>
      </c>
      <c r="V1370" s="14">
        <v>45397</v>
      </c>
      <c r="W1370" s="15"/>
      <c r="X1370" s="16">
        <v>1</v>
      </c>
      <c r="Y1370" s="18" t="s">
        <v>192</v>
      </c>
      <c r="Z1370" s="2" t="s">
        <v>36</v>
      </c>
      <c r="AA1370" s="13" t="s">
        <v>10340</v>
      </c>
      <c r="AB1370" s="13" t="s">
        <v>10341</v>
      </c>
    </row>
    <row r="1371" spans="1:28" ht="15" customHeight="1">
      <c r="A1371" s="2" t="s">
        <v>9348</v>
      </c>
      <c r="B1371" s="2" t="s">
        <v>368</v>
      </c>
      <c r="C1371" s="11" t="s">
        <v>2892</v>
      </c>
      <c r="D1371" s="2" t="s">
        <v>30</v>
      </c>
      <c r="E1371" s="2" t="s">
        <v>31</v>
      </c>
      <c r="F1371" s="11" t="s">
        <v>758</v>
      </c>
      <c r="G1371" s="11" t="s">
        <v>759</v>
      </c>
      <c r="H1371" s="2" t="s">
        <v>2893</v>
      </c>
      <c r="I1371" s="12" t="s">
        <v>1104</v>
      </c>
      <c r="J1371" s="22">
        <f>+Tabla1[[#This Row],[FECHA ENTRADA]]</f>
        <v>45628</v>
      </c>
      <c r="K1371" s="22">
        <v>45821</v>
      </c>
      <c r="L1371" s="23">
        <f>_xlfn.DAYS(Tabla1[[#This Row],[FECHA FIN ]],Tabla1[[#This Row],[FECHA INICIO]])</f>
        <v>193</v>
      </c>
      <c r="M1371" s="12"/>
      <c r="N1371" s="12"/>
      <c r="O1371" s="24">
        <f>(Tabla1[[#This Row],[COSTO FIJO ]]/30)*Tabla1[[#This Row],[TOTAL DIAS PROYECTO]]+(Tabla1[[#This Row],[COSTO TEMPORAL]])</f>
        <v>0</v>
      </c>
      <c r="P1371" s="12"/>
      <c r="Q1371" s="12">
        <f>+(Tabla1[[#This Row],[COSTO COCHE]]/30)*Tabla1[[#This Row],[TOTAL DIAS PROYECTO]]</f>
        <v>0</v>
      </c>
      <c r="R1371" s="12">
        <f>+Tabla1[[#This Row],[COSTO TOTAL ALOJAMIENTO]]+Tabla1[[#This Row],[COSTO TOTAL COCHE]]</f>
        <v>0</v>
      </c>
      <c r="S1371" s="2"/>
      <c r="T1371" s="2" t="s">
        <v>35</v>
      </c>
      <c r="U1371" s="14">
        <v>45628</v>
      </c>
      <c r="V1371" s="25"/>
      <c r="W1371" s="26"/>
      <c r="X1371" s="2">
        <v>1</v>
      </c>
      <c r="Y1371" s="11" t="s">
        <v>2894</v>
      </c>
      <c r="Z1371" s="2" t="s">
        <v>36</v>
      </c>
      <c r="AA1371" s="13" t="s">
        <v>10323</v>
      </c>
      <c r="AB1371" s="13" t="s">
        <v>10324</v>
      </c>
    </row>
    <row r="1372" spans="1:28" ht="15" customHeight="1">
      <c r="A1372" s="2" t="s">
        <v>8638</v>
      </c>
      <c r="B1372" s="2" t="s">
        <v>28</v>
      </c>
      <c r="C1372" s="11" t="s">
        <v>2768</v>
      </c>
      <c r="D1372" s="2" t="s">
        <v>30</v>
      </c>
      <c r="E1372" s="2" t="s">
        <v>422</v>
      </c>
      <c r="F1372" s="11" t="s">
        <v>2876</v>
      </c>
      <c r="G1372" s="21" t="s">
        <v>2877</v>
      </c>
      <c r="H1372" s="64" t="s">
        <v>2767</v>
      </c>
      <c r="I1372" s="64" t="s">
        <v>2454</v>
      </c>
      <c r="J1372" s="22">
        <f>+Tabla1[[#This Row],[FECHA ENTRADA]]</f>
        <v>45760</v>
      </c>
      <c r="K1372" s="22">
        <v>45771</v>
      </c>
      <c r="L1372" s="23">
        <f>_xlfn.DAYS(Tabla1[[#This Row],[FECHA FIN ]],Tabla1[[#This Row],[FECHA INICIO]])</f>
        <v>11</v>
      </c>
      <c r="M1372" s="12"/>
      <c r="N1372" s="12"/>
      <c r="O1372" s="24">
        <f>(Tabla1[[#This Row],[COSTO FIJO ]]/30)*Tabla1[[#This Row],[TOTAL DIAS PROYECTO]]+(Tabla1[[#This Row],[COSTO TEMPORAL]])</f>
        <v>0</v>
      </c>
      <c r="P1372" s="12"/>
      <c r="Q1372" s="12">
        <f>+(Tabla1[[#This Row],[COSTO COCHE]]/30)*Tabla1[[#This Row],[TOTAL DIAS PROYECTO]]</f>
        <v>0</v>
      </c>
      <c r="R1372" s="12">
        <f>+Tabla1[[#This Row],[COSTO TOTAL ALOJAMIENTO]]+Tabla1[[#This Row],[COSTO TOTAL COCHE]]</f>
        <v>0</v>
      </c>
      <c r="S1372" s="2" t="s">
        <v>403</v>
      </c>
      <c r="T1372" s="14" t="s">
        <v>44</v>
      </c>
      <c r="U1372" s="14">
        <v>45760</v>
      </c>
      <c r="V1372" s="25">
        <v>45771</v>
      </c>
      <c r="W1372" s="2"/>
      <c r="X1372" s="2"/>
      <c r="Y1372" s="11"/>
      <c r="Z1372" s="2" t="s">
        <v>36</v>
      </c>
      <c r="AA1372" s="13">
        <v>-326.69799999999998</v>
      </c>
      <c r="AB1372" s="13" t="s">
        <v>10373</v>
      </c>
    </row>
    <row r="1373" spans="1:28" ht="15" customHeight="1">
      <c r="A1373" s="2" t="s">
        <v>8675</v>
      </c>
      <c r="B1373" s="30" t="s">
        <v>368</v>
      </c>
      <c r="C1373" s="11" t="s">
        <v>240</v>
      </c>
      <c r="D1373" s="2" t="s">
        <v>2895</v>
      </c>
      <c r="E1373" s="2" t="s">
        <v>2896</v>
      </c>
      <c r="F1373" s="11"/>
      <c r="G1373" s="30" t="s">
        <v>2860</v>
      </c>
      <c r="H1373" s="2" t="s">
        <v>2897</v>
      </c>
      <c r="I1373" s="12" t="s">
        <v>2862</v>
      </c>
      <c r="J1373" s="8">
        <f>+Tabla1[[#This Row],[FECHA ENTRADA]]</f>
        <v>45536</v>
      </c>
      <c r="K1373" s="8">
        <v>45556</v>
      </c>
      <c r="L1373" s="13">
        <f>_xlfn.DAYS(Tabla1[[#This Row],[FECHA FIN ]],Tabla1[[#This Row],[FECHA INICIO]])</f>
        <v>20</v>
      </c>
      <c r="M1373" s="12"/>
      <c r="N1373" s="12"/>
      <c r="O1373" s="12">
        <f>(Tabla1[[#This Row],[COSTO FIJO ]]/30)*Tabla1[[#This Row],[TOTAL DIAS PROYECTO]]+(Tabla1[[#This Row],[COSTO TEMPORAL]])</f>
        <v>0</v>
      </c>
      <c r="P1373" s="12"/>
      <c r="Q1373" s="12">
        <f>+(Tabla1[[#This Row],[COSTO COCHE]]/30)*Tabla1[[#This Row],[TOTAL DIAS PROYECTO]]</f>
        <v>0</v>
      </c>
      <c r="R1373" s="12">
        <f>+Tabla1[[#This Row],[COSTO TOTAL ALOJAMIENTO]]+Tabla1[[#This Row],[COSTO TOTAL COCHE]]</f>
        <v>0</v>
      </c>
      <c r="S1373" s="2"/>
      <c r="T1373" s="2" t="s">
        <v>35</v>
      </c>
      <c r="U1373" s="14">
        <v>45536</v>
      </c>
      <c r="V1373" s="14"/>
      <c r="W1373" s="26"/>
      <c r="X1373" s="2"/>
      <c r="Y1373" s="11" t="s">
        <v>2898</v>
      </c>
      <c r="Z1373" s="2" t="s">
        <v>36</v>
      </c>
      <c r="AA1373" s="13" t="s">
        <v>10437</v>
      </c>
      <c r="AB1373" s="13">
        <v>39.475810000000003</v>
      </c>
    </row>
    <row r="1374" spans="1:28">
      <c r="A1374" s="2" t="s">
        <v>8860</v>
      </c>
      <c r="B1374" s="2" t="s">
        <v>28</v>
      </c>
      <c r="C1374" s="11" t="s">
        <v>1054</v>
      </c>
      <c r="D1374" s="2" t="s">
        <v>30</v>
      </c>
      <c r="E1374" s="2" t="s">
        <v>31</v>
      </c>
      <c r="F1374" s="11" t="s">
        <v>530</v>
      </c>
      <c r="G1374" s="49" t="s">
        <v>531</v>
      </c>
      <c r="H1374" s="2" t="s">
        <v>1468</v>
      </c>
      <c r="I1374" s="12" t="s">
        <v>34</v>
      </c>
      <c r="J1374" s="41">
        <f>+Tabla1[[#This Row],[FECHA ENTRADA]]</f>
        <v>45686</v>
      </c>
      <c r="K1374" s="22">
        <v>45821</v>
      </c>
      <c r="L1374" s="42">
        <f>_xlfn.DAYS(Tabla1[[#This Row],[FECHA FIN ]],Tabla1[[#This Row],[FECHA INICIO]])</f>
        <v>135</v>
      </c>
      <c r="M1374" s="12"/>
      <c r="N1374" s="12">
        <f>1811.6/17</f>
        <v>106.56470588235294</v>
      </c>
      <c r="O1374" s="28">
        <f>(Tabla1[[#This Row],[COSTO FIJO ]]/30)*Tabla1[[#This Row],[TOTAL DIAS PROYECTO]]+(Tabla1[[#This Row],[COSTO TEMPORAL]])</f>
        <v>479.54117647058825</v>
      </c>
      <c r="P1374" s="12">
        <f>942.69/16</f>
        <v>58.918125000000003</v>
      </c>
      <c r="Q1374" s="12">
        <f>+(Tabla1[[#This Row],[COSTO COCHE]]/30)*Tabla1[[#This Row],[TOTAL DIAS PROYECTO]]</f>
        <v>265.13156250000003</v>
      </c>
      <c r="R1374" s="12">
        <f>+Tabla1[[#This Row],[COSTO TOTAL ALOJAMIENTO]]+Tabla1[[#This Row],[COSTO TOTAL COCHE]]</f>
        <v>744.67273897058828</v>
      </c>
      <c r="S1374" s="2"/>
      <c r="T1374" s="2" t="s">
        <v>35</v>
      </c>
      <c r="U1374" s="14">
        <v>45686</v>
      </c>
      <c r="V1374" s="43"/>
      <c r="W1374" s="26"/>
      <c r="X1374" s="2">
        <v>1</v>
      </c>
      <c r="Y1374" s="11" t="s">
        <v>2899</v>
      </c>
      <c r="Z1374" s="2" t="s">
        <v>36</v>
      </c>
      <c r="AA1374" s="13" t="s">
        <v>10323</v>
      </c>
      <c r="AB1374" s="13" t="s">
        <v>10324</v>
      </c>
    </row>
    <row r="1375" spans="1:28" ht="15" customHeight="1">
      <c r="A1375" s="2" t="s">
        <v>9349</v>
      </c>
      <c r="B1375" s="2" t="s">
        <v>28</v>
      </c>
      <c r="C1375" s="11" t="s">
        <v>2900</v>
      </c>
      <c r="D1375" s="2" t="s">
        <v>30</v>
      </c>
      <c r="E1375" s="2" t="s">
        <v>599</v>
      </c>
      <c r="F1375" s="11" t="s">
        <v>1064</v>
      </c>
      <c r="G1375" s="11" t="s">
        <v>1065</v>
      </c>
      <c r="H1375" s="2" t="s">
        <v>1069</v>
      </c>
      <c r="I1375" s="12" t="s">
        <v>1067</v>
      </c>
      <c r="J1375" s="41">
        <f>+Tabla1[[#This Row],[FECHA ENTRADA]]</f>
        <v>45601</v>
      </c>
      <c r="K1375" s="22">
        <v>45669</v>
      </c>
      <c r="L1375" s="42">
        <f>_xlfn.DAYS(Tabla1[[#This Row],[FECHA FIN ]],Tabla1[[#This Row],[FECHA INICIO]])</f>
        <v>68</v>
      </c>
      <c r="M1375" s="12"/>
      <c r="N1375" s="12">
        <f>1811.6/17</f>
        <v>106.56470588235294</v>
      </c>
      <c r="O1375" s="28">
        <f>(Tabla1[[#This Row],[COSTO FIJO ]]/30)*Tabla1[[#This Row],[TOTAL DIAS PROYECTO]]+(Tabla1[[#This Row],[COSTO TEMPORAL]])</f>
        <v>241.54666666666668</v>
      </c>
      <c r="P1375" s="12"/>
      <c r="Q1375" s="12">
        <f>+(Tabla1[[#This Row],[COSTO COCHE]]/30)*Tabla1[[#This Row],[TOTAL DIAS PROYECTO]]</f>
        <v>0</v>
      </c>
      <c r="R1375" s="12">
        <f>+Tabla1[[#This Row],[COSTO TOTAL ALOJAMIENTO]]+Tabla1[[#This Row],[COSTO TOTAL COCHE]]</f>
        <v>241.54666666666668</v>
      </c>
      <c r="S1375" s="2"/>
      <c r="T1375" s="2" t="s">
        <v>528</v>
      </c>
      <c r="U1375" s="14">
        <v>45601</v>
      </c>
      <c r="V1375" s="25">
        <v>45638</v>
      </c>
      <c r="W1375" s="26"/>
      <c r="X1375" s="2"/>
      <c r="Y1375" s="11" t="s">
        <v>1068</v>
      </c>
      <c r="Z1375" s="2" t="s">
        <v>36</v>
      </c>
      <c r="AA1375" s="13" t="s">
        <v>10382</v>
      </c>
      <c r="AB1375" s="13">
        <v>4038884</v>
      </c>
    </row>
    <row r="1376" spans="1:28" ht="15" customHeight="1">
      <c r="A1376" s="2" t="s">
        <v>8828</v>
      </c>
      <c r="B1376" s="2" t="s">
        <v>28</v>
      </c>
      <c r="C1376" s="11" t="s">
        <v>923</v>
      </c>
      <c r="D1376" s="2" t="s">
        <v>30</v>
      </c>
      <c r="E1376" s="2" t="s">
        <v>31</v>
      </c>
      <c r="F1376" s="11" t="s">
        <v>451</v>
      </c>
      <c r="G1376" s="21" t="s">
        <v>452</v>
      </c>
      <c r="H1376" s="2" t="s">
        <v>2061</v>
      </c>
      <c r="I1376" s="12" t="s">
        <v>2062</v>
      </c>
      <c r="J1376" s="41">
        <f>+Tabla1[[#This Row],[FECHA ENTRADA]]</f>
        <v>45770</v>
      </c>
      <c r="K1376" s="22">
        <v>45821</v>
      </c>
      <c r="L1376" s="13">
        <f>_xlfn.DAYS(Tabla1[[#This Row],[FECHA FIN ]],Tabla1[[#This Row],[FECHA INICIO]])</f>
        <v>51</v>
      </c>
      <c r="M1376" s="12"/>
      <c r="N1376" s="12">
        <v>283.33</v>
      </c>
      <c r="O1376" s="12">
        <f>(Tabla1[[#This Row],[COSTO FIJO ]]/30)*Tabla1[[#This Row],[TOTAL DIAS PROYECTO]]+(Tabla1[[#This Row],[COSTO TEMPORAL]])</f>
        <v>481.66099999999994</v>
      </c>
      <c r="P1376" s="12">
        <v>120</v>
      </c>
      <c r="Q1376" s="12">
        <f>+(Tabla1[[#This Row],[COSTO COCHE]]/30)*Tabla1[[#This Row],[TOTAL DIAS PROYECTO]]</f>
        <v>204</v>
      </c>
      <c r="R1376" s="12">
        <f>+Tabla1[[#This Row],[COSTO TOTAL ALOJAMIENTO]]+Tabla1[[#This Row],[COSTO TOTAL COCHE]]</f>
        <v>685.66099999999994</v>
      </c>
      <c r="S1376" s="2"/>
      <c r="T1376" s="2" t="s">
        <v>35</v>
      </c>
      <c r="U1376" s="14">
        <v>45770</v>
      </c>
      <c r="V1376" s="14"/>
      <c r="W1376" s="26"/>
      <c r="X1376" s="2">
        <v>1</v>
      </c>
      <c r="Y1376" s="18"/>
      <c r="Z1376" s="2" t="s">
        <v>36</v>
      </c>
      <c r="AA1376" s="13" t="s">
        <v>10323</v>
      </c>
      <c r="AB1376" s="13" t="s">
        <v>10324</v>
      </c>
    </row>
    <row r="1377" spans="1:28">
      <c r="A1377" s="2" t="s">
        <v>9333</v>
      </c>
      <c r="B1377" s="2" t="s">
        <v>978</v>
      </c>
      <c r="C1377" s="11" t="s">
        <v>2845</v>
      </c>
      <c r="D1377" s="2" t="s">
        <v>30</v>
      </c>
      <c r="E1377" s="2" t="s">
        <v>253</v>
      </c>
      <c r="F1377" s="11" t="s">
        <v>581</v>
      </c>
      <c r="G1377" s="49" t="s">
        <v>255</v>
      </c>
      <c r="H1377" s="2" t="s">
        <v>2901</v>
      </c>
      <c r="I1377" s="10" t="s">
        <v>2902</v>
      </c>
      <c r="J1377" s="41">
        <f>+Tabla1[[#This Row],[FECHA ENTRADA]]</f>
        <v>45697</v>
      </c>
      <c r="K1377" s="22">
        <v>45821</v>
      </c>
      <c r="L1377" s="42">
        <f>_xlfn.DAYS(Tabla1[[#This Row],[FECHA FIN ]],Tabla1[[#This Row],[FECHA INICIO]])</f>
        <v>124</v>
      </c>
      <c r="M1377" s="12"/>
      <c r="N1377" s="12"/>
      <c r="O1377" s="28">
        <f>(Tabla1[[#This Row],[COSTO FIJO ]]/30)*Tabla1[[#This Row],[TOTAL DIAS PROYECTO]]+(Tabla1[[#This Row],[COSTO TEMPORAL]])</f>
        <v>0</v>
      </c>
      <c r="P1377" s="12"/>
      <c r="Q1377" s="12">
        <f>+(Tabla1[[#This Row],[COSTO COCHE]]/30)*Tabla1[[#This Row],[TOTAL DIAS PROYECTO]]</f>
        <v>0</v>
      </c>
      <c r="R1377" s="12">
        <f>+Tabla1[[#This Row],[COSTO TOTAL ALOJAMIENTO]]+Tabla1[[#This Row],[COSTO TOTAL COCHE]]</f>
        <v>0</v>
      </c>
      <c r="S1377" s="2"/>
      <c r="T1377" s="2" t="s">
        <v>35</v>
      </c>
      <c r="U1377" s="14">
        <v>45697</v>
      </c>
      <c r="V1377" s="79"/>
      <c r="W1377" s="26"/>
      <c r="X1377" s="2">
        <v>1</v>
      </c>
      <c r="Y1377" s="11"/>
      <c r="Z1377" s="2" t="s">
        <v>36</v>
      </c>
      <c r="AA1377" s="13" t="s">
        <v>10357</v>
      </c>
      <c r="AB1377" s="13" t="s">
        <v>10358</v>
      </c>
    </row>
    <row r="1378" spans="1:28" ht="15" customHeight="1">
      <c r="A1378" s="2" t="s">
        <v>9179</v>
      </c>
      <c r="B1378" s="2" t="s">
        <v>368</v>
      </c>
      <c r="C1378" s="11" t="s">
        <v>2336</v>
      </c>
      <c r="D1378" s="2" t="s">
        <v>99</v>
      </c>
      <c r="E1378" s="2" t="s">
        <v>109</v>
      </c>
      <c r="F1378" s="11" t="s">
        <v>2903</v>
      </c>
      <c r="G1378" s="49" t="s">
        <v>2904</v>
      </c>
      <c r="H1378" s="2" t="s">
        <v>2335</v>
      </c>
      <c r="I1378" s="12" t="s">
        <v>42</v>
      </c>
      <c r="J1378" s="22">
        <f>+Tabla1[[#This Row],[FECHA ENTRADA]]</f>
        <v>45730</v>
      </c>
      <c r="K1378" s="22">
        <v>45821</v>
      </c>
      <c r="L1378" s="23">
        <f>_xlfn.DAYS(Tabla1[[#This Row],[FECHA FIN ]],Tabla1[[#This Row],[FECHA INICIO]])</f>
        <v>91</v>
      </c>
      <c r="M1378" s="12"/>
      <c r="N1378" s="24"/>
      <c r="O1378" s="24">
        <f>(Tabla1[[#This Row],[COSTO FIJO ]]/30)*Tabla1[[#This Row],[TOTAL DIAS PROYECTO]]+(Tabla1[[#This Row],[COSTO TEMPORAL]])</f>
        <v>0</v>
      </c>
      <c r="P1378" s="12"/>
      <c r="Q1378" s="12">
        <f>+(Tabla1[[#This Row],[COSTO COCHE]]/30)*Tabla1[[#This Row],[TOTAL DIAS PROYECTO]]</f>
        <v>0</v>
      </c>
      <c r="R1378" s="12">
        <f>+Tabla1[[#This Row],[COSTO TOTAL ALOJAMIENTO]]+Tabla1[[#This Row],[COSTO TOTAL COCHE]]</f>
        <v>0</v>
      </c>
      <c r="S1378" s="2"/>
      <c r="T1378" s="2" t="s">
        <v>44</v>
      </c>
      <c r="U1378" s="14">
        <v>45730</v>
      </c>
      <c r="V1378" s="25">
        <v>45747</v>
      </c>
      <c r="W1378" s="26"/>
      <c r="X1378" s="2"/>
      <c r="Y1378" s="11" t="s">
        <v>1166</v>
      </c>
      <c r="Z1378" s="2" t="s">
        <v>36</v>
      </c>
      <c r="AA1378" s="13">
        <v>0.62217999999999996</v>
      </c>
      <c r="AB1378" s="13" t="s">
        <v>10339</v>
      </c>
    </row>
    <row r="1379" spans="1:28">
      <c r="A1379" s="2" t="s">
        <v>9162</v>
      </c>
      <c r="B1379" s="2" t="s">
        <v>28</v>
      </c>
      <c r="C1379" s="18" t="s">
        <v>2282</v>
      </c>
      <c r="D1379" s="2" t="s">
        <v>30</v>
      </c>
      <c r="E1379" s="2" t="s">
        <v>380</v>
      </c>
      <c r="F1379" s="11" t="s">
        <v>1579</v>
      </c>
      <c r="G1379" s="11" t="s">
        <v>1580</v>
      </c>
      <c r="H1379" s="2" t="s">
        <v>2905</v>
      </c>
      <c r="I1379" s="12" t="s">
        <v>2906</v>
      </c>
      <c r="J1379" s="41">
        <v>45559</v>
      </c>
      <c r="K1379" s="22">
        <v>45561</v>
      </c>
      <c r="L1379" s="42">
        <f>_xlfn.DAYS(Tabla1[[#This Row],[FECHA FIN ]],Tabla1[[#This Row],[FECHA INICIO]])</f>
        <v>2</v>
      </c>
      <c r="M1379" s="12"/>
      <c r="N1379" s="24"/>
      <c r="O1379" s="28">
        <f>(Tabla1[[#This Row],[COSTO FIJO ]]/30)*Tabla1[[#This Row],[TOTAL DIAS PROYECTO]]+(Tabla1[[#This Row],[COSTO TEMPORAL]])</f>
        <v>0</v>
      </c>
      <c r="P1379" s="12"/>
      <c r="Q1379" s="12">
        <f>+(Tabla1[[#This Row],[COSTO COCHE]]/30)*Tabla1[[#This Row],[TOTAL DIAS PROYECTO]]</f>
        <v>0</v>
      </c>
      <c r="R1379" s="12">
        <f>+Tabla1[[#This Row],[COSTO TOTAL ALOJAMIENTO]]+Tabla1[[#This Row],[COSTO TOTAL COCHE]]</f>
        <v>0</v>
      </c>
      <c r="S1379" s="2"/>
      <c r="T1379" s="2" t="s">
        <v>35</v>
      </c>
      <c r="U1379" s="14">
        <v>45559</v>
      </c>
      <c r="V1379" s="75"/>
      <c r="W1379" s="26"/>
      <c r="X1379" s="2">
        <v>1</v>
      </c>
      <c r="Y1379" s="11"/>
      <c r="Z1379" s="2" t="s">
        <v>36</v>
      </c>
      <c r="AA1379" s="13" t="s">
        <v>10370</v>
      </c>
      <c r="AB1379" s="13" t="s">
        <v>10371</v>
      </c>
    </row>
    <row r="1380" spans="1:28" ht="15" customHeight="1">
      <c r="A1380" s="2" t="s">
        <v>9350</v>
      </c>
      <c r="B1380" s="2" t="s">
        <v>28</v>
      </c>
      <c r="C1380" s="11" t="s">
        <v>2907</v>
      </c>
      <c r="D1380" s="2" t="s">
        <v>99</v>
      </c>
      <c r="E1380" s="2" t="s">
        <v>415</v>
      </c>
      <c r="F1380" s="11" t="s">
        <v>2773</v>
      </c>
      <c r="G1380" s="49" t="s">
        <v>1413</v>
      </c>
      <c r="H1380" s="2" t="s">
        <v>2908</v>
      </c>
      <c r="I1380" s="12" t="s">
        <v>800</v>
      </c>
      <c r="J1380" s="41">
        <f>+Tabla1[[#This Row],[FECHA ENTRADA]]</f>
        <v>45711</v>
      </c>
      <c r="K1380" s="22">
        <v>45821</v>
      </c>
      <c r="L1380" s="42">
        <f>_xlfn.DAYS(Tabla1[[#This Row],[FECHA FIN ]],Tabla1[[#This Row],[FECHA INICIO]])</f>
        <v>110</v>
      </c>
      <c r="M1380" s="12"/>
      <c r="N1380" s="12">
        <f>1811.6/17</f>
        <v>106.56470588235294</v>
      </c>
      <c r="O1380" s="28">
        <f>(Tabla1[[#This Row],[COSTO FIJO ]]/30)*Tabla1[[#This Row],[TOTAL DIAS PROYECTO]]+(Tabla1[[#This Row],[COSTO TEMPORAL]])</f>
        <v>390.7372549019608</v>
      </c>
      <c r="P1380" s="12"/>
      <c r="Q1380" s="12">
        <f>+(Tabla1[[#This Row],[COSTO COCHE]]/30)*Tabla1[[#This Row],[TOTAL DIAS PROYECTO]]</f>
        <v>0</v>
      </c>
      <c r="R1380" s="12">
        <f>+Tabla1[[#This Row],[COSTO TOTAL ALOJAMIENTO]]+Tabla1[[#This Row],[COSTO TOTAL COCHE]]</f>
        <v>390.7372549019608</v>
      </c>
      <c r="S1380" s="2"/>
      <c r="T1380" s="2" t="s">
        <v>35</v>
      </c>
      <c r="U1380" s="14">
        <v>45711</v>
      </c>
      <c r="V1380" s="43"/>
      <c r="W1380" s="26"/>
      <c r="X1380" s="2">
        <v>1</v>
      </c>
      <c r="Y1380" s="11" t="s">
        <v>1166</v>
      </c>
      <c r="Z1380" s="2" t="s">
        <v>36</v>
      </c>
      <c r="AA1380" s="13">
        <v>-0.37739</v>
      </c>
      <c r="AB1380" s="13" t="s">
        <v>10372</v>
      </c>
    </row>
    <row r="1381" spans="1:28">
      <c r="A1381" s="2" t="s">
        <v>9180</v>
      </c>
      <c r="B1381" s="10" t="s">
        <v>978</v>
      </c>
      <c r="C1381" s="11" t="s">
        <v>2337</v>
      </c>
      <c r="D1381" s="2" t="s">
        <v>30</v>
      </c>
      <c r="E1381" s="2" t="s">
        <v>31</v>
      </c>
      <c r="F1381" s="11" t="s">
        <v>530</v>
      </c>
      <c r="G1381" s="11" t="s">
        <v>531</v>
      </c>
      <c r="H1381" s="2" t="s">
        <v>2909</v>
      </c>
      <c r="I1381" s="12" t="s">
        <v>1540</v>
      </c>
      <c r="J1381" s="41">
        <f>+Tabla1[[#This Row],[FECHA ENTRADA]]</f>
        <v>45614</v>
      </c>
      <c r="K1381" s="22">
        <v>45821</v>
      </c>
      <c r="L1381" s="42">
        <f>_xlfn.DAYS(Tabla1[[#This Row],[FECHA FIN ]],Tabla1[[#This Row],[FECHA INICIO]])</f>
        <v>207</v>
      </c>
      <c r="M1381" s="12"/>
      <c r="N1381" s="12">
        <f>1811.6/17</f>
        <v>106.56470588235294</v>
      </c>
      <c r="O1381" s="28">
        <f>(Tabla1[[#This Row],[COSTO FIJO ]]/30)*Tabla1[[#This Row],[TOTAL DIAS PROYECTO]]+(Tabla1[[#This Row],[COSTO TEMPORAL]])</f>
        <v>735.29647058823537</v>
      </c>
      <c r="P1381" s="12"/>
      <c r="Q1381" s="12">
        <f>+(Tabla1[[#This Row],[COSTO COCHE]]/30)*Tabla1[[#This Row],[TOTAL DIAS PROYECTO]]</f>
        <v>0</v>
      </c>
      <c r="R1381" s="12">
        <f>+Tabla1[[#This Row],[COSTO TOTAL ALOJAMIENTO]]+Tabla1[[#This Row],[COSTO TOTAL COCHE]]</f>
        <v>735.29647058823537</v>
      </c>
      <c r="S1381" s="2"/>
      <c r="T1381" s="2" t="s">
        <v>35</v>
      </c>
      <c r="U1381" s="14">
        <v>45614</v>
      </c>
      <c r="V1381" s="43">
        <v>45626</v>
      </c>
      <c r="W1381" s="26"/>
      <c r="X1381" s="2">
        <v>1</v>
      </c>
      <c r="Y1381" s="11" t="s">
        <v>1166</v>
      </c>
      <c r="Z1381" s="2" t="s">
        <v>36</v>
      </c>
      <c r="AA1381" s="13" t="s">
        <v>10323</v>
      </c>
      <c r="AB1381" s="13" t="s">
        <v>10324</v>
      </c>
    </row>
    <row r="1382" spans="1:28" ht="15" customHeight="1">
      <c r="A1382" s="2" t="s">
        <v>8949</v>
      </c>
      <c r="B1382" s="2" t="s">
        <v>28</v>
      </c>
      <c r="C1382" s="86" t="s">
        <v>1426</v>
      </c>
      <c r="D1382" s="2" t="s">
        <v>30</v>
      </c>
      <c r="E1382" s="2" t="s">
        <v>31</v>
      </c>
      <c r="F1382" s="11" t="s">
        <v>1004</v>
      </c>
      <c r="G1382" s="51" t="s">
        <v>1005</v>
      </c>
      <c r="H1382" s="2" t="s">
        <v>2789</v>
      </c>
      <c r="I1382" s="12" t="s">
        <v>1208</v>
      </c>
      <c r="J1382" s="41">
        <f>+Tabla1[[#This Row],[FECHA ENTRADA]]</f>
        <v>45594</v>
      </c>
      <c r="K1382" s="22">
        <v>45726</v>
      </c>
      <c r="L1382" s="42">
        <f>_xlfn.DAYS(Tabla1[[#This Row],[FECHA FIN ]],Tabla1[[#This Row],[FECHA INICIO]])</f>
        <v>132</v>
      </c>
      <c r="M1382" s="12"/>
      <c r="N1382" s="24">
        <v>320</v>
      </c>
      <c r="O1382" s="28">
        <f>(Tabla1[[#This Row],[COSTO FIJO ]]/30)*Tabla1[[#This Row],[TOTAL DIAS PROYECTO]]+(Tabla1[[#This Row],[COSTO TEMPORAL]])</f>
        <v>1408</v>
      </c>
      <c r="P1382" s="12">
        <f>400/2</f>
        <v>200</v>
      </c>
      <c r="Q1382" s="12">
        <f>+(Tabla1[[#This Row],[COSTO COCHE]]/30)*Tabla1[[#This Row],[TOTAL DIAS PROYECTO]]</f>
        <v>880</v>
      </c>
      <c r="R1382" s="12">
        <f>+Tabla1[[#This Row],[COSTO TOTAL ALOJAMIENTO]]+Tabla1[[#This Row],[COSTO TOTAL COCHE]]</f>
        <v>2288</v>
      </c>
      <c r="S1382" s="2"/>
      <c r="T1382" s="2" t="s">
        <v>35</v>
      </c>
      <c r="U1382" s="14">
        <v>45594</v>
      </c>
      <c r="V1382" s="43"/>
      <c r="W1382" s="26">
        <v>1600</v>
      </c>
      <c r="X1382" s="2">
        <v>1</v>
      </c>
      <c r="Y1382" s="11" t="s">
        <v>2790</v>
      </c>
      <c r="Z1382" s="2" t="s">
        <v>36</v>
      </c>
      <c r="AA1382" s="13" t="s">
        <v>10323</v>
      </c>
      <c r="AB1382" s="13" t="s">
        <v>10324</v>
      </c>
    </row>
    <row r="1383" spans="1:28" ht="15" customHeight="1">
      <c r="A1383" s="2" t="s">
        <v>9145</v>
      </c>
      <c r="B1383" s="2" t="s">
        <v>28</v>
      </c>
      <c r="C1383" s="11" t="s">
        <v>2204</v>
      </c>
      <c r="D1383" s="2" t="s">
        <v>30</v>
      </c>
      <c r="E1383" s="2" t="s">
        <v>127</v>
      </c>
      <c r="F1383" s="11" t="s">
        <v>1186</v>
      </c>
      <c r="G1383" s="46" t="s">
        <v>1187</v>
      </c>
      <c r="H1383" s="2" t="s">
        <v>1188</v>
      </c>
      <c r="I1383" s="12" t="s">
        <v>377</v>
      </c>
      <c r="J1383" s="41">
        <f>+Tabla1[[#This Row],[FECHA ENTRADA]]</f>
        <v>45635</v>
      </c>
      <c r="K1383" s="22">
        <v>45821</v>
      </c>
      <c r="L1383" s="42">
        <f>_xlfn.DAYS(Tabla1[[#This Row],[FECHA FIN ]],Tabla1[[#This Row],[FECHA INICIO]])</f>
        <v>186</v>
      </c>
      <c r="M1383" s="12"/>
      <c r="N1383" s="12">
        <f>1811.6/17</f>
        <v>106.56470588235294</v>
      </c>
      <c r="O1383" s="28">
        <f>(Tabla1[[#This Row],[COSTO FIJO ]]/30)*Tabla1[[#This Row],[TOTAL DIAS PROYECTO]]+(Tabla1[[#This Row],[COSTO TEMPORAL]])</f>
        <v>660.70117647058828</v>
      </c>
      <c r="P1383" s="12"/>
      <c r="Q1383" s="12">
        <f>+(Tabla1[[#This Row],[COSTO COCHE]]/30)*Tabla1[[#This Row],[TOTAL DIAS PROYECTO]]</f>
        <v>0</v>
      </c>
      <c r="R1383" s="12">
        <f>+Tabla1[[#This Row],[COSTO TOTAL ALOJAMIENTO]]+Tabla1[[#This Row],[COSTO TOTAL COCHE]]</f>
        <v>660.70117647058828</v>
      </c>
      <c r="S1383" s="2"/>
      <c r="T1383" s="2" t="s">
        <v>44</v>
      </c>
      <c r="U1383" s="14">
        <v>45635</v>
      </c>
      <c r="V1383" s="43">
        <v>45640</v>
      </c>
      <c r="W1383" s="26"/>
      <c r="X1383" s="2"/>
      <c r="Y1383" s="11"/>
      <c r="Z1383" s="2" t="s">
        <v>36</v>
      </c>
      <c r="AA1383" s="13" t="s">
        <v>10342</v>
      </c>
      <c r="AB1383" s="13" t="s">
        <v>10343</v>
      </c>
    </row>
    <row r="1384" spans="1:28">
      <c r="A1384" s="2" t="s">
        <v>9298</v>
      </c>
      <c r="B1384" s="2" t="s">
        <v>28</v>
      </c>
      <c r="C1384" s="11" t="s">
        <v>2737</v>
      </c>
      <c r="D1384" s="2" t="s">
        <v>30</v>
      </c>
      <c r="E1384" s="2" t="s">
        <v>734</v>
      </c>
      <c r="F1384" s="11" t="s">
        <v>735</v>
      </c>
      <c r="G1384" s="30" t="s">
        <v>736</v>
      </c>
      <c r="H1384" s="2" t="s">
        <v>2910</v>
      </c>
      <c r="I1384" s="12" t="s">
        <v>152</v>
      </c>
      <c r="J1384" s="22">
        <f>+Tabla1[[#This Row],[FECHA ENTRADA]]</f>
        <v>45620</v>
      </c>
      <c r="K1384" s="22">
        <v>45821</v>
      </c>
      <c r="L1384" s="23">
        <f>_xlfn.DAYS(Tabla1[[#This Row],[FECHA FIN ]],Tabla1[[#This Row],[FECHA INICIO]])</f>
        <v>201</v>
      </c>
      <c r="M1384" s="12"/>
      <c r="N1384" s="12"/>
      <c r="O1384" s="24">
        <f>(Tabla1[[#This Row],[COSTO FIJO ]]/30)*Tabla1[[#This Row],[TOTAL DIAS PROYECTO]]+(Tabla1[[#This Row],[COSTO TEMPORAL]])</f>
        <v>0</v>
      </c>
      <c r="P1384" s="12"/>
      <c r="Q1384" s="12">
        <f>+(Tabla1[[#This Row],[COSTO COCHE]]/30)*Tabla1[[#This Row],[TOTAL DIAS PROYECTO]]</f>
        <v>0</v>
      </c>
      <c r="R1384" s="12">
        <f>+Tabla1[[#This Row],[COSTO TOTAL ALOJAMIENTO]]+Tabla1[[#This Row],[COSTO TOTAL COCHE]]</f>
        <v>0</v>
      </c>
      <c r="S1384" s="2"/>
      <c r="T1384" s="2" t="s">
        <v>35</v>
      </c>
      <c r="U1384" s="14">
        <v>45620</v>
      </c>
      <c r="V1384" s="25"/>
      <c r="W1384" s="26"/>
      <c r="X1384" s="2">
        <v>1</v>
      </c>
      <c r="Y1384" s="96">
        <v>45674</v>
      </c>
      <c r="Z1384" s="2" t="s">
        <v>36</v>
      </c>
      <c r="AA1384" s="13" t="s">
        <v>10396</v>
      </c>
      <c r="AB1384" s="13" t="s">
        <v>10397</v>
      </c>
    </row>
    <row r="1385" spans="1:28" ht="15" customHeight="1">
      <c r="A1385" s="2" t="s">
        <v>8644</v>
      </c>
      <c r="B1385" s="2" t="s">
        <v>28</v>
      </c>
      <c r="C1385" s="11" t="s">
        <v>104</v>
      </c>
      <c r="D1385" s="2" t="s">
        <v>30</v>
      </c>
      <c r="E1385" s="2" t="s">
        <v>225</v>
      </c>
      <c r="F1385" s="11" t="s">
        <v>1502</v>
      </c>
      <c r="G1385" s="11" t="s">
        <v>1505</v>
      </c>
      <c r="H1385" s="2" t="s">
        <v>2911</v>
      </c>
      <c r="I1385" s="12" t="s">
        <v>228</v>
      </c>
      <c r="J1385" s="8">
        <f>+Tabla1[[#This Row],[FECHA ENTRADA]]</f>
        <v>45374</v>
      </c>
      <c r="K1385" s="8">
        <v>45411</v>
      </c>
      <c r="L1385" s="13">
        <f>_xlfn.DAYS(Tabla1[[#This Row],[FECHA FIN ]],Tabla1[[#This Row],[FECHA INICIO]])</f>
        <v>37</v>
      </c>
      <c r="M1385" s="12"/>
      <c r="N1385" s="12"/>
      <c r="O1385" s="12">
        <f>(Tabla1[[#This Row],[COSTO FIJO ]]/30)*Tabla1[[#This Row],[TOTAL DIAS PROYECTO]]+(Tabla1[[#This Row],[COSTO TEMPORAL]])</f>
        <v>0</v>
      </c>
      <c r="P1385" s="12"/>
      <c r="Q1385" s="12">
        <f>+(Tabla1[[#This Row],[COSTO COCHE]]/30)*Tabla1[[#This Row],[TOTAL DIAS PROYECTO]]</f>
        <v>0</v>
      </c>
      <c r="R1385" s="12">
        <f>+Tabla1[[#This Row],[COSTO TOTAL ALOJAMIENTO]]+Tabla1[[#This Row],[COSTO TOTAL COCHE]]</f>
        <v>0</v>
      </c>
      <c r="S1385" s="2"/>
      <c r="T1385" s="2" t="s">
        <v>35</v>
      </c>
      <c r="U1385" s="14">
        <v>45374</v>
      </c>
      <c r="V1385" s="14">
        <v>45408</v>
      </c>
      <c r="W1385" s="15"/>
      <c r="X1385" s="16">
        <v>20</v>
      </c>
      <c r="Y1385" s="18" t="s">
        <v>2912</v>
      </c>
      <c r="Z1385" s="2" t="s">
        <v>36</v>
      </c>
      <c r="AA1385" s="13" t="s">
        <v>10353</v>
      </c>
      <c r="AB1385" s="13" t="s">
        <v>10354</v>
      </c>
    </row>
    <row r="1386" spans="1:28" ht="15" customHeight="1">
      <c r="A1386" s="2" t="s">
        <v>9351</v>
      </c>
      <c r="B1386" s="2" t="s">
        <v>28</v>
      </c>
      <c r="C1386" s="11" t="s">
        <v>2913</v>
      </c>
      <c r="D1386" s="2" t="s">
        <v>30</v>
      </c>
      <c r="E1386" s="2" t="s">
        <v>476</v>
      </c>
      <c r="F1386" s="11" t="s">
        <v>477</v>
      </c>
      <c r="G1386" s="11" t="s">
        <v>478</v>
      </c>
      <c r="H1386" s="2" t="s">
        <v>479</v>
      </c>
      <c r="I1386" s="12" t="s">
        <v>165</v>
      </c>
      <c r="J1386" s="8">
        <f>+Tabla1[[#This Row],[FECHA ENTRADA]]</f>
        <v>45504</v>
      </c>
      <c r="K1386" s="22">
        <v>45821</v>
      </c>
      <c r="L1386" s="13">
        <f>_xlfn.DAYS(Tabla1[[#This Row],[FECHA FIN ]],Tabla1[[#This Row],[FECHA INICIO]])</f>
        <v>317</v>
      </c>
      <c r="M1386" s="12"/>
      <c r="N1386" s="12">
        <f>1811.6/17</f>
        <v>106.56470588235294</v>
      </c>
      <c r="O1386" s="12">
        <f>(Tabla1[[#This Row],[COSTO FIJO ]]/30)*Tabla1[[#This Row],[TOTAL DIAS PROYECTO]]+(Tabla1[[#This Row],[COSTO TEMPORAL]])</f>
        <v>1126.033725490196</v>
      </c>
      <c r="P1386" s="12"/>
      <c r="Q1386" s="12">
        <f>+(Tabla1[[#This Row],[COSTO COCHE]]/30)*Tabla1[[#This Row],[TOTAL DIAS PROYECTO]]</f>
        <v>0</v>
      </c>
      <c r="R1386" s="12">
        <f>+Tabla1[[#This Row],[COSTO TOTAL ALOJAMIENTO]]+Tabla1[[#This Row],[COSTO TOTAL COCHE]]</f>
        <v>1126.033725490196</v>
      </c>
      <c r="S1386" s="2"/>
      <c r="T1386" s="2" t="s">
        <v>35</v>
      </c>
      <c r="U1386" s="14">
        <v>45504</v>
      </c>
      <c r="V1386" s="14"/>
      <c r="W1386" s="26"/>
      <c r="X1386" s="2">
        <v>1</v>
      </c>
      <c r="Y1386" s="18" t="s">
        <v>2914</v>
      </c>
      <c r="Z1386" s="2" t="s">
        <v>36</v>
      </c>
      <c r="AA1386" s="13">
        <v>-7.8640699999999999</v>
      </c>
      <c r="AB1386" s="13">
        <v>42.336689999999997</v>
      </c>
    </row>
    <row r="1387" spans="1:28">
      <c r="A1387" s="2" t="s">
        <v>9352</v>
      </c>
      <c r="B1387" s="2" t="s">
        <v>28</v>
      </c>
      <c r="C1387" s="11" t="s">
        <v>2915</v>
      </c>
      <c r="D1387" s="2" t="s">
        <v>30</v>
      </c>
      <c r="E1387" s="2" t="s">
        <v>31</v>
      </c>
      <c r="F1387" s="11" t="s">
        <v>758</v>
      </c>
      <c r="G1387" s="11" t="s">
        <v>758</v>
      </c>
      <c r="H1387" s="2" t="s">
        <v>2061</v>
      </c>
      <c r="I1387" s="12" t="s">
        <v>2062</v>
      </c>
      <c r="J1387" s="41">
        <f>+Tabla1[[#This Row],[FECHA ENTRADA]]</f>
        <v>45807</v>
      </c>
      <c r="K1387" s="22">
        <v>45821</v>
      </c>
      <c r="L1387" s="42">
        <f>_xlfn.DAYS(Tabla1[[#This Row],[FECHA FIN ]],Tabla1[[#This Row],[FECHA INICIO]])</f>
        <v>14</v>
      </c>
      <c r="M1387" s="12"/>
      <c r="N1387" s="12"/>
      <c r="O1387" s="28">
        <f>(Tabla1[[#This Row],[COSTO FIJO ]]/30)*Tabla1[[#This Row],[TOTAL DIAS PROYECTO]]+(Tabla1[[#This Row],[COSTO TEMPORAL]])</f>
        <v>0</v>
      </c>
      <c r="P1387" s="12"/>
      <c r="Q1387" s="12">
        <f>+(Tabla1[[#This Row],[COSTO COCHE]]/30)*Tabla1[[#This Row],[TOTAL DIAS PROYECTO]]</f>
        <v>0</v>
      </c>
      <c r="R1387" s="12">
        <f>+Tabla1[[#This Row],[COSTO TOTAL ALOJAMIENTO]]+Tabla1[[#This Row],[COSTO TOTAL COCHE]]</f>
        <v>0</v>
      </c>
      <c r="S1387" s="2"/>
      <c r="T1387" s="14" t="s">
        <v>35</v>
      </c>
      <c r="U1387" s="14">
        <v>45807</v>
      </c>
      <c r="V1387" s="75"/>
      <c r="W1387" s="2"/>
      <c r="X1387" s="16">
        <v>1</v>
      </c>
      <c r="Y1387" s="11"/>
      <c r="Z1387" s="2" t="s">
        <v>36</v>
      </c>
      <c r="AA1387" s="13" t="s">
        <v>10323</v>
      </c>
      <c r="AB1387" s="13" t="s">
        <v>10324</v>
      </c>
    </row>
    <row r="1388" spans="1:28" ht="15" customHeight="1">
      <c r="A1388" s="2" t="s">
        <v>9353</v>
      </c>
      <c r="B1388" s="2" t="s">
        <v>978</v>
      </c>
      <c r="C1388" s="11" t="s">
        <v>2916</v>
      </c>
      <c r="D1388" s="2" t="s">
        <v>30</v>
      </c>
      <c r="E1388" s="2" t="s">
        <v>253</v>
      </c>
      <c r="F1388" s="11" t="s">
        <v>1152</v>
      </c>
      <c r="G1388" s="46" t="s">
        <v>1153</v>
      </c>
      <c r="H1388" s="2" t="s">
        <v>1154</v>
      </c>
      <c r="I1388" s="12" t="s">
        <v>1155</v>
      </c>
      <c r="J1388" s="41">
        <f>+Tabla1[[#This Row],[FECHA ENTRADA]]</f>
        <v>45630</v>
      </c>
      <c r="K1388" s="22">
        <v>45821</v>
      </c>
      <c r="L1388" s="42">
        <f>_xlfn.DAYS(Tabla1[[#This Row],[FECHA FIN ]],Tabla1[[#This Row],[FECHA INICIO]])</f>
        <v>191</v>
      </c>
      <c r="M1388" s="12"/>
      <c r="N1388" s="12"/>
      <c r="O1388" s="28">
        <f>(Tabla1[[#This Row],[COSTO FIJO ]]/30)*Tabla1[[#This Row],[TOTAL DIAS PROYECTO]]+(Tabla1[[#This Row],[COSTO TEMPORAL]])</f>
        <v>0</v>
      </c>
      <c r="P1388" s="12"/>
      <c r="Q1388" s="12">
        <f>+(Tabla1[[#This Row],[COSTO COCHE]]/30)*Tabla1[[#This Row],[TOTAL DIAS PROYECTO]]</f>
        <v>0</v>
      </c>
      <c r="R1388" s="12">
        <f>+Tabla1[[#This Row],[COSTO TOTAL ALOJAMIENTO]]+Tabla1[[#This Row],[COSTO TOTAL COCHE]]</f>
        <v>0</v>
      </c>
      <c r="S1388" s="2"/>
      <c r="T1388" s="2" t="s">
        <v>44</v>
      </c>
      <c r="U1388" s="14">
        <v>45630</v>
      </c>
      <c r="V1388" s="43">
        <v>45642</v>
      </c>
      <c r="W1388" s="26"/>
      <c r="X1388" s="2"/>
      <c r="Y1388" s="11"/>
      <c r="Z1388" s="2" t="s">
        <v>36</v>
      </c>
      <c r="AA1388" s="13" t="s">
        <v>10357</v>
      </c>
      <c r="AB1388" s="13" t="s">
        <v>10358</v>
      </c>
    </row>
    <row r="1389" spans="1:28" ht="15" customHeight="1">
      <c r="A1389" s="2" t="s">
        <v>9070</v>
      </c>
      <c r="B1389" s="2" t="s">
        <v>978</v>
      </c>
      <c r="C1389" s="11" t="s">
        <v>1882</v>
      </c>
      <c r="D1389" s="2" t="s">
        <v>30</v>
      </c>
      <c r="E1389" s="2" t="s">
        <v>253</v>
      </c>
      <c r="F1389" s="11" t="s">
        <v>1152</v>
      </c>
      <c r="G1389" s="46" t="s">
        <v>1153</v>
      </c>
      <c r="H1389" s="2" t="s">
        <v>1154</v>
      </c>
      <c r="I1389" s="12" t="s">
        <v>1155</v>
      </c>
      <c r="J1389" s="41">
        <f>+Tabla1[[#This Row],[FECHA ENTRADA]]</f>
        <v>45630</v>
      </c>
      <c r="K1389" s="22">
        <v>45821</v>
      </c>
      <c r="L1389" s="42">
        <f>_xlfn.DAYS(Tabla1[[#This Row],[FECHA FIN ]],Tabla1[[#This Row],[FECHA INICIO]])</f>
        <v>191</v>
      </c>
      <c r="M1389" s="12"/>
      <c r="N1389" s="12">
        <f>1811.6/17</f>
        <v>106.56470588235294</v>
      </c>
      <c r="O1389" s="28">
        <f>(Tabla1[[#This Row],[COSTO FIJO ]]/30)*Tabla1[[#This Row],[TOTAL DIAS PROYECTO]]+(Tabla1[[#This Row],[COSTO TEMPORAL]])</f>
        <v>678.46196078431376</v>
      </c>
      <c r="P1389" s="12"/>
      <c r="Q1389" s="12">
        <f>+(Tabla1[[#This Row],[COSTO COCHE]]/30)*Tabla1[[#This Row],[TOTAL DIAS PROYECTO]]</f>
        <v>0</v>
      </c>
      <c r="R1389" s="12">
        <f>+Tabla1[[#This Row],[COSTO TOTAL ALOJAMIENTO]]+Tabla1[[#This Row],[COSTO TOTAL COCHE]]</f>
        <v>678.46196078431376</v>
      </c>
      <c r="S1389" s="2"/>
      <c r="T1389" s="2" t="s">
        <v>44</v>
      </c>
      <c r="U1389" s="14">
        <v>45630</v>
      </c>
      <c r="V1389" s="43">
        <v>45642</v>
      </c>
      <c r="W1389" s="26"/>
      <c r="X1389" s="2"/>
      <c r="Y1389" s="11"/>
      <c r="Z1389" s="2" t="s">
        <v>36</v>
      </c>
      <c r="AA1389" s="13" t="s">
        <v>10357</v>
      </c>
      <c r="AB1389" s="13" t="s">
        <v>10358</v>
      </c>
    </row>
    <row r="1390" spans="1:28" ht="15" customHeight="1">
      <c r="A1390" s="2" t="s">
        <v>9354</v>
      </c>
      <c r="B1390" s="2" t="s">
        <v>978</v>
      </c>
      <c r="C1390" s="18" t="s">
        <v>2917</v>
      </c>
      <c r="D1390" s="2" t="s">
        <v>30</v>
      </c>
      <c r="E1390" s="2" t="s">
        <v>253</v>
      </c>
      <c r="F1390" s="11" t="s">
        <v>1152</v>
      </c>
      <c r="G1390" s="46" t="s">
        <v>1153</v>
      </c>
      <c r="H1390" s="2" t="s">
        <v>1154</v>
      </c>
      <c r="I1390" s="12" t="s">
        <v>1155</v>
      </c>
      <c r="J1390" s="41">
        <f>+Tabla1[[#This Row],[FECHA ENTRADA]]</f>
        <v>45630</v>
      </c>
      <c r="K1390" s="22">
        <v>45821</v>
      </c>
      <c r="L1390" s="42">
        <f>_xlfn.DAYS(Tabla1[[#This Row],[FECHA FIN ]],Tabla1[[#This Row],[FECHA INICIO]])</f>
        <v>191</v>
      </c>
      <c r="M1390" s="12"/>
      <c r="N1390" s="24"/>
      <c r="O1390" s="28">
        <f>(Tabla1[[#This Row],[COSTO FIJO ]]/30)*Tabla1[[#This Row],[TOTAL DIAS PROYECTO]]+(Tabla1[[#This Row],[COSTO TEMPORAL]])</f>
        <v>0</v>
      </c>
      <c r="P1390" s="12"/>
      <c r="Q1390" s="12">
        <f>+(Tabla1[[#This Row],[COSTO COCHE]]/30)*Tabla1[[#This Row],[TOTAL DIAS PROYECTO]]</f>
        <v>0</v>
      </c>
      <c r="R1390" s="12">
        <f>+Tabla1[[#This Row],[COSTO TOTAL ALOJAMIENTO]]+Tabla1[[#This Row],[COSTO TOTAL COCHE]]</f>
        <v>0</v>
      </c>
      <c r="S1390" s="2"/>
      <c r="T1390" s="2" t="s">
        <v>44</v>
      </c>
      <c r="U1390" s="14">
        <v>45630</v>
      </c>
      <c r="V1390" s="43">
        <v>45642</v>
      </c>
      <c r="W1390" s="26"/>
      <c r="X1390" s="2"/>
      <c r="Y1390" s="11"/>
      <c r="Z1390" s="2" t="s">
        <v>36</v>
      </c>
      <c r="AA1390" s="13" t="s">
        <v>10357</v>
      </c>
      <c r="AB1390" s="13" t="s">
        <v>10358</v>
      </c>
    </row>
    <row r="1391" spans="1:28">
      <c r="A1391" s="2" t="s">
        <v>9355</v>
      </c>
      <c r="B1391" s="2" t="s">
        <v>28</v>
      </c>
      <c r="C1391" s="11" t="s">
        <v>2918</v>
      </c>
      <c r="D1391" s="2" t="s">
        <v>30</v>
      </c>
      <c r="E1391" s="2" t="s">
        <v>31</v>
      </c>
      <c r="F1391" s="11" t="s">
        <v>67</v>
      </c>
      <c r="G1391" s="11" t="s">
        <v>68</v>
      </c>
      <c r="H1391" s="2" t="s">
        <v>69</v>
      </c>
      <c r="I1391" s="12" t="s">
        <v>34</v>
      </c>
      <c r="J1391" s="8">
        <f>+Tabla1[[#This Row],[FECHA ENTRADA]]</f>
        <v>45354</v>
      </c>
      <c r="K1391" s="22">
        <v>45821</v>
      </c>
      <c r="L1391" s="13">
        <f>_xlfn.DAYS(Tabla1[[#This Row],[FECHA FIN ]],Tabla1[[#This Row],[FECHA INICIO]])</f>
        <v>467</v>
      </c>
      <c r="M1391" s="12"/>
      <c r="N1391" s="12">
        <f>1811.6/17</f>
        <v>106.56470588235294</v>
      </c>
      <c r="O1391" s="12">
        <f>(Tabla1[[#This Row],[COSTO FIJO ]]/30)*Tabla1[[#This Row],[TOTAL DIAS PROYECTO]]+(Tabla1[[#This Row],[COSTO TEMPORAL]])</f>
        <v>1658.8572549019609</v>
      </c>
      <c r="P1391" s="12"/>
      <c r="Q1391" s="12">
        <f>+(Tabla1[[#This Row],[COSTO COCHE]]/30)*Tabla1[[#This Row],[TOTAL DIAS PROYECTO]]</f>
        <v>0</v>
      </c>
      <c r="R1391" s="12">
        <f>+Tabla1[[#This Row],[COSTO TOTAL ALOJAMIENTO]]+Tabla1[[#This Row],[COSTO TOTAL COCHE]]</f>
        <v>1658.8572549019609</v>
      </c>
      <c r="S1391" s="2"/>
      <c r="T1391" s="2" t="s">
        <v>35</v>
      </c>
      <c r="U1391" s="14">
        <v>45354</v>
      </c>
      <c r="V1391" s="14"/>
      <c r="W1391" s="15"/>
      <c r="X1391" s="16">
        <v>1</v>
      </c>
      <c r="Y1391" s="18" t="s">
        <v>2919</v>
      </c>
      <c r="Z1391" s="2" t="s">
        <v>36</v>
      </c>
      <c r="AA1391" s="13" t="s">
        <v>10323</v>
      </c>
      <c r="AB1391" s="13" t="s">
        <v>10324</v>
      </c>
    </row>
    <row r="1392" spans="1:28">
      <c r="A1392" s="2" t="s">
        <v>9356</v>
      </c>
      <c r="B1392" s="2" t="s">
        <v>28</v>
      </c>
      <c r="C1392" s="11" t="s">
        <v>2920</v>
      </c>
      <c r="D1392" s="2" t="s">
        <v>30</v>
      </c>
      <c r="E1392" s="2" t="s">
        <v>114</v>
      </c>
      <c r="F1392" s="11" t="s">
        <v>115</v>
      </c>
      <c r="G1392" s="11" t="s">
        <v>116</v>
      </c>
      <c r="H1392" s="2" t="s">
        <v>117</v>
      </c>
      <c r="I1392" s="12" t="s">
        <v>118</v>
      </c>
      <c r="J1392" s="8">
        <f>+Tabla1[[#This Row],[FECHA ENTRADA]]</f>
        <v>45375</v>
      </c>
      <c r="K1392" s="22">
        <v>45821</v>
      </c>
      <c r="L1392" s="13">
        <f>_xlfn.DAYS(Tabla1[[#This Row],[FECHA FIN ]],Tabla1[[#This Row],[FECHA INICIO]])</f>
        <v>446</v>
      </c>
      <c r="M1392" s="12"/>
      <c r="N1392" s="12">
        <f>1811.6/17</f>
        <v>106.56470588235294</v>
      </c>
      <c r="O1392" s="12">
        <f>(Tabla1[[#This Row],[COSTO FIJO ]]/30)*Tabla1[[#This Row],[TOTAL DIAS PROYECTO]]+(Tabla1[[#This Row],[COSTO TEMPORAL]])</f>
        <v>1584.2619607843137</v>
      </c>
      <c r="P1392" s="12"/>
      <c r="Q1392" s="12">
        <f>+(Tabla1[[#This Row],[COSTO COCHE]]/30)*Tabla1[[#This Row],[TOTAL DIAS PROYECTO]]</f>
        <v>0</v>
      </c>
      <c r="R1392" s="12">
        <f>+Tabla1[[#This Row],[COSTO TOTAL ALOJAMIENTO]]+Tabla1[[#This Row],[COSTO TOTAL COCHE]]</f>
        <v>1584.2619607843137</v>
      </c>
      <c r="S1392" s="2"/>
      <c r="T1392" s="2" t="s">
        <v>35</v>
      </c>
      <c r="U1392" s="14">
        <v>45375</v>
      </c>
      <c r="V1392" s="14">
        <v>45397</v>
      </c>
      <c r="W1392" s="15"/>
      <c r="X1392" s="16">
        <v>1</v>
      </c>
      <c r="Y1392" s="18" t="s">
        <v>192</v>
      </c>
      <c r="Z1392" s="2" t="s">
        <v>36</v>
      </c>
      <c r="AA1392" s="13" t="s">
        <v>10340</v>
      </c>
      <c r="AB1392" s="13" t="s">
        <v>10341</v>
      </c>
    </row>
    <row r="1393" spans="1:28">
      <c r="A1393" s="2" t="s">
        <v>9357</v>
      </c>
      <c r="B1393" s="2" t="s">
        <v>368</v>
      </c>
      <c r="C1393" s="11" t="s">
        <v>2921</v>
      </c>
      <c r="D1393" s="2" t="s">
        <v>30</v>
      </c>
      <c r="E1393" s="2" t="s">
        <v>31</v>
      </c>
      <c r="F1393" s="11" t="s">
        <v>758</v>
      </c>
      <c r="G1393" s="11" t="s">
        <v>759</v>
      </c>
      <c r="H1393" s="2" t="s">
        <v>2893</v>
      </c>
      <c r="I1393" s="12" t="s">
        <v>1104</v>
      </c>
      <c r="J1393" s="22">
        <f>+Tabla1[[#This Row],[FECHA ENTRADA]]</f>
        <v>45628</v>
      </c>
      <c r="K1393" s="22">
        <v>45821</v>
      </c>
      <c r="L1393" s="23">
        <f>_xlfn.DAYS(Tabla1[[#This Row],[FECHA FIN ]],Tabla1[[#This Row],[FECHA INICIO]])</f>
        <v>193</v>
      </c>
      <c r="M1393" s="12"/>
      <c r="N1393" s="12"/>
      <c r="O1393" s="24">
        <f>(Tabla1[[#This Row],[COSTO FIJO ]]/30)*Tabla1[[#This Row],[TOTAL DIAS PROYECTO]]+(Tabla1[[#This Row],[COSTO TEMPORAL]])</f>
        <v>0</v>
      </c>
      <c r="P1393" s="12"/>
      <c r="Q1393" s="12">
        <f>+(Tabla1[[#This Row],[COSTO COCHE]]/30)*Tabla1[[#This Row],[TOTAL DIAS PROYECTO]]</f>
        <v>0</v>
      </c>
      <c r="R1393" s="12">
        <f>+Tabla1[[#This Row],[COSTO TOTAL ALOJAMIENTO]]+Tabla1[[#This Row],[COSTO TOTAL COCHE]]</f>
        <v>0</v>
      </c>
      <c r="S1393" s="2"/>
      <c r="T1393" s="2" t="s">
        <v>35</v>
      </c>
      <c r="U1393" s="14">
        <v>45628</v>
      </c>
      <c r="V1393" s="25"/>
      <c r="W1393" s="26"/>
      <c r="X1393" s="2">
        <v>1</v>
      </c>
      <c r="Y1393" s="11"/>
      <c r="Z1393" s="2" t="s">
        <v>36</v>
      </c>
      <c r="AA1393" s="13" t="s">
        <v>10323</v>
      </c>
      <c r="AB1393" s="13" t="s">
        <v>10324</v>
      </c>
    </row>
    <row r="1394" spans="1:28" ht="15" customHeight="1">
      <c r="A1394" s="2" t="s">
        <v>8638</v>
      </c>
      <c r="B1394" s="2" t="s">
        <v>28</v>
      </c>
      <c r="C1394" s="11" t="s">
        <v>2769</v>
      </c>
      <c r="D1394" s="2" t="s">
        <v>30</v>
      </c>
      <c r="E1394" s="2" t="s">
        <v>422</v>
      </c>
      <c r="F1394" s="11" t="s">
        <v>2876</v>
      </c>
      <c r="G1394" s="21" t="s">
        <v>2877</v>
      </c>
      <c r="H1394" s="64" t="s">
        <v>2767</v>
      </c>
      <c r="I1394" s="64" t="s">
        <v>2454</v>
      </c>
      <c r="J1394" s="22">
        <f>+Tabla1[[#This Row],[FECHA ENTRADA]]</f>
        <v>45760</v>
      </c>
      <c r="K1394" s="22">
        <v>45821</v>
      </c>
      <c r="L1394" s="23">
        <f>_xlfn.DAYS(Tabla1[[#This Row],[FECHA FIN ]],Tabla1[[#This Row],[FECHA INICIO]])</f>
        <v>61</v>
      </c>
      <c r="M1394" s="12"/>
      <c r="N1394" s="24">
        <f>851.4/3</f>
        <v>283.8</v>
      </c>
      <c r="O1394" s="24">
        <f>(Tabla1[[#This Row],[COSTO FIJO ]]/30)*Tabla1[[#This Row],[TOTAL DIAS PROYECTO]]+(Tabla1[[#This Row],[COSTO TEMPORAL]])</f>
        <v>577.06000000000006</v>
      </c>
      <c r="P1394" s="12"/>
      <c r="Q1394" s="12">
        <f>+(Tabla1[[#This Row],[COSTO COCHE]]/30)*Tabla1[[#This Row],[TOTAL DIAS PROYECTO]]</f>
        <v>0</v>
      </c>
      <c r="R1394" s="12">
        <f>+Tabla1[[#This Row],[COSTO TOTAL ALOJAMIENTO]]+Tabla1[[#This Row],[COSTO TOTAL COCHE]]</f>
        <v>577.06000000000006</v>
      </c>
      <c r="S1394" s="2" t="s">
        <v>403</v>
      </c>
      <c r="T1394" s="14" t="s">
        <v>44</v>
      </c>
      <c r="U1394" s="14">
        <v>45760</v>
      </c>
      <c r="V1394" s="25">
        <v>45771</v>
      </c>
      <c r="W1394" s="2"/>
      <c r="X1394" s="2"/>
      <c r="Y1394" s="11"/>
      <c r="Z1394" s="2" t="s">
        <v>36</v>
      </c>
      <c r="AA1394" s="13">
        <v>-326.69799999999998</v>
      </c>
      <c r="AB1394" s="13" t="s">
        <v>10373</v>
      </c>
    </row>
    <row r="1395" spans="1:28">
      <c r="A1395" s="2" t="s">
        <v>9233</v>
      </c>
      <c r="B1395" s="2" t="s">
        <v>368</v>
      </c>
      <c r="C1395" s="11" t="s">
        <v>2524</v>
      </c>
      <c r="D1395" s="2" t="s">
        <v>30</v>
      </c>
      <c r="E1395" s="2" t="s">
        <v>447</v>
      </c>
      <c r="F1395" s="11" t="s">
        <v>840</v>
      </c>
      <c r="G1395" s="49" t="s">
        <v>1095</v>
      </c>
      <c r="H1395" s="2" t="s">
        <v>842</v>
      </c>
      <c r="I1395" s="12" t="s">
        <v>843</v>
      </c>
      <c r="J1395" s="41">
        <v>45566</v>
      </c>
      <c r="K1395" s="22">
        <v>45821</v>
      </c>
      <c r="L1395" s="42">
        <f>_xlfn.DAYS(Tabla1[[#This Row],[FECHA FIN ]],Tabla1[[#This Row],[FECHA INICIO]])</f>
        <v>255</v>
      </c>
      <c r="M1395" s="12"/>
      <c r="N1395" s="12">
        <f>1811.6/17</f>
        <v>106.56470588235294</v>
      </c>
      <c r="O1395" s="28">
        <f>(Tabla1[[#This Row],[COSTO FIJO ]]/30)*Tabla1[[#This Row],[TOTAL DIAS PROYECTO]]+(Tabla1[[#This Row],[COSTO TEMPORAL]])</f>
        <v>905.80000000000007</v>
      </c>
      <c r="P1395" s="12"/>
      <c r="Q1395" s="12">
        <f>+(Tabla1[[#This Row],[COSTO COCHE]]/30)*Tabla1[[#This Row],[TOTAL DIAS PROYECTO]]</f>
        <v>0</v>
      </c>
      <c r="R1395" s="12">
        <f>+Tabla1[[#This Row],[COSTO TOTAL ALOJAMIENTO]]+Tabla1[[#This Row],[COSTO TOTAL COCHE]]</f>
        <v>905.80000000000007</v>
      </c>
      <c r="S1395" s="2"/>
      <c r="T1395" s="2" t="s">
        <v>35</v>
      </c>
      <c r="U1395" s="14">
        <v>45566</v>
      </c>
      <c r="V1395" s="43"/>
      <c r="W1395" s="26"/>
      <c r="X1395" s="2">
        <v>1</v>
      </c>
      <c r="Y1395" s="11" t="s">
        <v>2706</v>
      </c>
      <c r="Z1395" s="2" t="s">
        <v>36</v>
      </c>
      <c r="AA1395" s="13">
        <v>-697.06100000000004</v>
      </c>
      <c r="AB1395" s="13" t="s">
        <v>10377</v>
      </c>
    </row>
    <row r="1396" spans="1:28" ht="15" customHeight="1">
      <c r="A1396" s="2" t="s">
        <v>9358</v>
      </c>
      <c r="B1396" s="2" t="s">
        <v>28</v>
      </c>
      <c r="C1396" s="11" t="s">
        <v>2922</v>
      </c>
      <c r="D1396" s="2" t="s">
        <v>30</v>
      </c>
      <c r="E1396" s="2" t="s">
        <v>31</v>
      </c>
      <c r="F1396" s="11" t="s">
        <v>530</v>
      </c>
      <c r="G1396" s="11" t="s">
        <v>531</v>
      </c>
      <c r="H1396" s="2" t="s">
        <v>526</v>
      </c>
      <c r="I1396" s="12" t="s">
        <v>527</v>
      </c>
      <c r="J1396" s="8">
        <f>+Tabla1[[#This Row],[FECHA ENTRADA]]</f>
        <v>45502</v>
      </c>
      <c r="K1396" s="22">
        <v>45821</v>
      </c>
      <c r="L1396" s="13">
        <f>_xlfn.DAYS(Tabla1[[#This Row],[FECHA FIN ]],Tabla1[[#This Row],[FECHA INICIO]])</f>
        <v>319</v>
      </c>
      <c r="M1396" s="12"/>
      <c r="N1396" s="12">
        <f>1811.6/17</f>
        <v>106.56470588235294</v>
      </c>
      <c r="O1396" s="47">
        <f>(Tabla1[[#This Row],[COSTO FIJO ]]/30)*Tabla1[[#This Row],[TOTAL DIAS PROYECTO]]+(Tabla1[[#This Row],[COSTO TEMPORAL]])</f>
        <v>1133.1380392156864</v>
      </c>
      <c r="P1396" s="12">
        <f>+(((800*3)+520.54)*50%)/19</f>
        <v>76.856315789473683</v>
      </c>
      <c r="Q1396" s="47">
        <f>+(Tabla1[[#This Row],[COSTO COCHE]]/30)*Tabla1[[#This Row],[TOTAL DIAS PROYECTO]]</f>
        <v>817.23882456140348</v>
      </c>
      <c r="R1396" s="47">
        <f>+Tabla1[[#This Row],[COSTO TOTAL ALOJAMIENTO]]+Tabla1[[#This Row],[COSTO TOTAL COCHE]]</f>
        <v>1950.37686377709</v>
      </c>
      <c r="S1396" s="2"/>
      <c r="T1396" s="2" t="s">
        <v>35</v>
      </c>
      <c r="U1396" s="14">
        <v>45502</v>
      </c>
      <c r="V1396" s="14"/>
      <c r="W1396" s="26"/>
      <c r="X1396" s="2">
        <v>1</v>
      </c>
      <c r="Y1396" s="11" t="s">
        <v>2923</v>
      </c>
      <c r="Z1396" s="2" t="s">
        <v>36</v>
      </c>
      <c r="AA1396" s="13" t="s">
        <v>10323</v>
      </c>
      <c r="AB1396" s="13" t="s">
        <v>10324</v>
      </c>
    </row>
    <row r="1397" spans="1:28" ht="15" customHeight="1">
      <c r="A1397" s="2" t="s">
        <v>8742</v>
      </c>
      <c r="B1397" s="2" t="s">
        <v>28</v>
      </c>
      <c r="C1397" s="11" t="s">
        <v>535</v>
      </c>
      <c r="D1397" s="2" t="s">
        <v>30</v>
      </c>
      <c r="E1397" s="2" t="s">
        <v>415</v>
      </c>
      <c r="F1397" s="11" t="s">
        <v>2773</v>
      </c>
      <c r="G1397" s="49" t="s">
        <v>1413</v>
      </c>
      <c r="H1397" s="2" t="s">
        <v>2924</v>
      </c>
      <c r="I1397" s="12" t="s">
        <v>800</v>
      </c>
      <c r="J1397" s="41">
        <f>+Tabla1[[#This Row],[FECHA ENTRADA]]</f>
        <v>45775</v>
      </c>
      <c r="K1397" s="22">
        <v>45821</v>
      </c>
      <c r="L1397" s="13">
        <f>_xlfn.DAYS(Tabla1[[#This Row],[FECHA FIN ]],Tabla1[[#This Row],[FECHA INICIO]])</f>
        <v>46</v>
      </c>
      <c r="M1397" s="12"/>
      <c r="N1397" s="12"/>
      <c r="O1397" s="12">
        <f>(Tabla1[[#This Row],[COSTO FIJO ]]/30)*Tabla1[[#This Row],[TOTAL DIAS PROYECTO]]+(Tabla1[[#This Row],[COSTO TEMPORAL]])</f>
        <v>0</v>
      </c>
      <c r="P1397" s="12"/>
      <c r="Q1397" s="12">
        <f>+(Tabla1[[#This Row],[COSTO COCHE]]/30)*Tabla1[[#This Row],[TOTAL DIAS PROYECTO]]</f>
        <v>0</v>
      </c>
      <c r="R1397" s="12">
        <f>+Tabla1[[#This Row],[COSTO TOTAL ALOJAMIENTO]]+Tabla1[[#This Row],[COSTO TOTAL COCHE]]</f>
        <v>0</v>
      </c>
      <c r="S1397" s="2"/>
      <c r="T1397" s="2" t="s">
        <v>35</v>
      </c>
      <c r="U1397" s="14">
        <v>45775</v>
      </c>
      <c r="V1397" s="14"/>
      <c r="W1397" s="26"/>
      <c r="X1397" s="16">
        <v>1</v>
      </c>
      <c r="Y1397" s="183" t="s">
        <v>2775</v>
      </c>
      <c r="Z1397" s="2" t="s">
        <v>36</v>
      </c>
      <c r="AA1397" s="13">
        <v>-0.37739</v>
      </c>
      <c r="AB1397" s="13" t="s">
        <v>10372</v>
      </c>
    </row>
    <row r="1398" spans="1:28" ht="15" customHeight="1">
      <c r="A1398" s="2" t="s">
        <v>9353</v>
      </c>
      <c r="B1398" s="2" t="s">
        <v>978</v>
      </c>
      <c r="C1398" s="11" t="s">
        <v>2916</v>
      </c>
      <c r="D1398" s="2" t="s">
        <v>30</v>
      </c>
      <c r="E1398" s="2" t="s">
        <v>253</v>
      </c>
      <c r="F1398" s="11" t="s">
        <v>1226</v>
      </c>
      <c r="G1398" s="30" t="s">
        <v>1227</v>
      </c>
      <c r="H1398" s="2" t="s">
        <v>1154</v>
      </c>
      <c r="I1398" s="12" t="s">
        <v>1155</v>
      </c>
      <c r="J1398" s="41">
        <f>+Tabla1[[#This Row],[FECHA ENTRADA]]</f>
        <v>45642</v>
      </c>
      <c r="K1398" s="22">
        <v>45821</v>
      </c>
      <c r="L1398" s="42">
        <f>_xlfn.DAYS(Tabla1[[#This Row],[FECHA FIN ]],Tabla1[[#This Row],[FECHA INICIO]])</f>
        <v>179</v>
      </c>
      <c r="M1398" s="12"/>
      <c r="N1398" s="12"/>
      <c r="O1398" s="28">
        <f>(Tabla1[[#This Row],[COSTO FIJO ]]/30)*Tabla1[[#This Row],[TOTAL DIAS PROYECTO]]+(Tabla1[[#This Row],[COSTO TEMPORAL]])</f>
        <v>0</v>
      </c>
      <c r="P1398" s="12"/>
      <c r="Q1398" s="12">
        <f>+(Tabla1[[#This Row],[COSTO COCHE]]/30)*Tabla1[[#This Row],[TOTAL DIAS PROYECTO]]</f>
        <v>0</v>
      </c>
      <c r="R1398" s="12">
        <f>+Tabla1[[#This Row],[COSTO TOTAL ALOJAMIENTO]]+Tabla1[[#This Row],[COSTO TOTAL COCHE]]</f>
        <v>0</v>
      </c>
      <c r="S1398" s="2"/>
      <c r="T1398" s="2" t="s">
        <v>44</v>
      </c>
      <c r="U1398" s="14">
        <v>45642</v>
      </c>
      <c r="V1398" s="43">
        <v>45645</v>
      </c>
      <c r="W1398" s="26"/>
      <c r="X1398" s="2"/>
      <c r="Y1398" s="11" t="s">
        <v>1166</v>
      </c>
      <c r="Z1398" s="2" t="s">
        <v>36</v>
      </c>
      <c r="AA1398" s="13" t="s">
        <v>10357</v>
      </c>
      <c r="AB1398" s="13" t="s">
        <v>10358</v>
      </c>
    </row>
    <row r="1399" spans="1:28" ht="15" customHeight="1">
      <c r="A1399" s="2" t="s">
        <v>9070</v>
      </c>
      <c r="B1399" s="2" t="s">
        <v>978</v>
      </c>
      <c r="C1399" s="11" t="s">
        <v>1882</v>
      </c>
      <c r="D1399" s="2" t="s">
        <v>30</v>
      </c>
      <c r="E1399" s="2" t="s">
        <v>253</v>
      </c>
      <c r="F1399" s="11" t="s">
        <v>1226</v>
      </c>
      <c r="G1399" s="30" t="s">
        <v>1227</v>
      </c>
      <c r="H1399" s="2" t="s">
        <v>1154</v>
      </c>
      <c r="I1399" s="12" t="s">
        <v>1155</v>
      </c>
      <c r="J1399" s="41">
        <f>+Tabla1[[#This Row],[FECHA ENTRADA]]</f>
        <v>45642</v>
      </c>
      <c r="K1399" s="22">
        <v>45821</v>
      </c>
      <c r="L1399" s="42">
        <f>_xlfn.DAYS(Tabla1[[#This Row],[FECHA FIN ]],Tabla1[[#This Row],[FECHA INICIO]])</f>
        <v>179</v>
      </c>
      <c r="M1399" s="12"/>
      <c r="N1399" s="12">
        <f>1811.6/17</f>
        <v>106.56470588235294</v>
      </c>
      <c r="O1399" s="28">
        <f>(Tabla1[[#This Row],[COSTO FIJO ]]/30)*Tabla1[[#This Row],[TOTAL DIAS PROYECTO]]+(Tabla1[[#This Row],[COSTO TEMPORAL]])</f>
        <v>635.83607843137258</v>
      </c>
      <c r="P1399" s="12"/>
      <c r="Q1399" s="12">
        <f>+(Tabla1[[#This Row],[COSTO COCHE]]/30)*Tabla1[[#This Row],[TOTAL DIAS PROYECTO]]</f>
        <v>0</v>
      </c>
      <c r="R1399" s="12">
        <f>+Tabla1[[#This Row],[COSTO TOTAL ALOJAMIENTO]]+Tabla1[[#This Row],[COSTO TOTAL COCHE]]</f>
        <v>635.83607843137258</v>
      </c>
      <c r="S1399" s="2"/>
      <c r="T1399" s="2" t="s">
        <v>44</v>
      </c>
      <c r="U1399" s="14">
        <v>45642</v>
      </c>
      <c r="V1399" s="43">
        <v>45645</v>
      </c>
      <c r="W1399" s="26"/>
      <c r="X1399" s="2"/>
      <c r="Y1399" s="11" t="s">
        <v>1166</v>
      </c>
      <c r="Z1399" s="2" t="s">
        <v>36</v>
      </c>
      <c r="AA1399" s="13" t="s">
        <v>10357</v>
      </c>
      <c r="AB1399" s="13" t="s">
        <v>10358</v>
      </c>
    </row>
    <row r="1400" spans="1:28">
      <c r="A1400" s="2" t="s">
        <v>9359</v>
      </c>
      <c r="B1400" s="187" t="s">
        <v>28</v>
      </c>
      <c r="C1400" s="11" t="s">
        <v>2925</v>
      </c>
      <c r="D1400" s="2" t="s">
        <v>30</v>
      </c>
      <c r="E1400" s="2" t="s">
        <v>31</v>
      </c>
      <c r="F1400" s="11" t="s">
        <v>451</v>
      </c>
      <c r="G1400" s="21" t="s">
        <v>452</v>
      </c>
      <c r="H1400" s="2" t="s">
        <v>2926</v>
      </c>
      <c r="I1400" s="12" t="s">
        <v>181</v>
      </c>
      <c r="J1400" s="22">
        <f>+Tabla1[[#This Row],[FECHA ENTRADA]]</f>
        <v>45679</v>
      </c>
      <c r="K1400" s="22">
        <v>45821</v>
      </c>
      <c r="L1400" s="23">
        <f>_xlfn.DAYS(Tabla1[[#This Row],[FECHA FIN ]],Tabla1[[#This Row],[FECHA INICIO]])</f>
        <v>142</v>
      </c>
      <c r="M1400" s="12"/>
      <c r="N1400" s="12">
        <v>283.33</v>
      </c>
      <c r="O1400" s="24">
        <f>(Tabla1[[#This Row],[COSTO FIJO ]]/30)*Tabla1[[#This Row],[TOTAL DIAS PROYECTO]]+(Tabla1[[#This Row],[COSTO TEMPORAL]])</f>
        <v>1341.0953333333332</v>
      </c>
      <c r="P1400" s="12"/>
      <c r="Q1400" s="12">
        <f>+(Tabla1[[#This Row],[COSTO COCHE]]/30)*Tabla1[[#This Row],[TOTAL DIAS PROYECTO]]</f>
        <v>0</v>
      </c>
      <c r="R1400" s="12">
        <f>+Tabla1[[#This Row],[COSTO TOTAL ALOJAMIENTO]]+Tabla1[[#This Row],[COSTO TOTAL COCHE]]</f>
        <v>1341.0953333333332</v>
      </c>
      <c r="S1400" s="2"/>
      <c r="T1400" s="2" t="s">
        <v>35</v>
      </c>
      <c r="U1400" s="14">
        <v>45679</v>
      </c>
      <c r="V1400" s="25"/>
      <c r="W1400" s="26">
        <v>1700</v>
      </c>
      <c r="X1400" s="2">
        <v>1</v>
      </c>
      <c r="Y1400" s="188" t="s">
        <v>2927</v>
      </c>
      <c r="Z1400" s="2" t="s">
        <v>36</v>
      </c>
      <c r="AA1400" s="13" t="s">
        <v>10323</v>
      </c>
      <c r="AB1400" s="13" t="s">
        <v>10324</v>
      </c>
    </row>
    <row r="1401" spans="1:28" ht="15" customHeight="1">
      <c r="A1401" s="2" t="s">
        <v>9354</v>
      </c>
      <c r="B1401" s="2" t="s">
        <v>978</v>
      </c>
      <c r="C1401" s="18" t="s">
        <v>2917</v>
      </c>
      <c r="D1401" s="2" t="s">
        <v>30</v>
      </c>
      <c r="E1401" s="2" t="s">
        <v>253</v>
      </c>
      <c r="F1401" s="11" t="s">
        <v>1226</v>
      </c>
      <c r="G1401" s="30" t="s">
        <v>1227</v>
      </c>
      <c r="H1401" s="2" t="s">
        <v>1154</v>
      </c>
      <c r="I1401" s="12" t="s">
        <v>1155</v>
      </c>
      <c r="J1401" s="41">
        <f>+Tabla1[[#This Row],[FECHA ENTRADA]]</f>
        <v>45642</v>
      </c>
      <c r="K1401" s="22">
        <v>45821</v>
      </c>
      <c r="L1401" s="42">
        <f>_xlfn.DAYS(Tabla1[[#This Row],[FECHA FIN ]],Tabla1[[#This Row],[FECHA INICIO]])</f>
        <v>179</v>
      </c>
      <c r="M1401" s="12"/>
      <c r="N1401" s="24"/>
      <c r="O1401" s="28">
        <f>(Tabla1[[#This Row],[COSTO FIJO ]]/30)*Tabla1[[#This Row],[TOTAL DIAS PROYECTO]]+(Tabla1[[#This Row],[COSTO TEMPORAL]])</f>
        <v>0</v>
      </c>
      <c r="P1401" s="12"/>
      <c r="Q1401" s="12">
        <f>+(Tabla1[[#This Row],[COSTO COCHE]]/30)*Tabla1[[#This Row],[TOTAL DIAS PROYECTO]]</f>
        <v>0</v>
      </c>
      <c r="R1401" s="12">
        <f>+Tabla1[[#This Row],[COSTO TOTAL ALOJAMIENTO]]+Tabla1[[#This Row],[COSTO TOTAL COCHE]]</f>
        <v>0</v>
      </c>
      <c r="S1401" s="2"/>
      <c r="T1401" s="2" t="s">
        <v>44</v>
      </c>
      <c r="U1401" s="14">
        <v>45642</v>
      </c>
      <c r="V1401" s="43">
        <v>45645</v>
      </c>
      <c r="W1401" s="26"/>
      <c r="X1401" s="2"/>
      <c r="Y1401" s="11" t="s">
        <v>1166</v>
      </c>
      <c r="Z1401" s="2" t="s">
        <v>36</v>
      </c>
      <c r="AA1401" s="13" t="s">
        <v>10357</v>
      </c>
      <c r="AB1401" s="13" t="s">
        <v>10358</v>
      </c>
    </row>
    <row r="1402" spans="1:28" ht="15" customHeight="1">
      <c r="A1402" s="2" t="s">
        <v>9360</v>
      </c>
      <c r="B1402" s="2" t="s">
        <v>28</v>
      </c>
      <c r="C1402" s="11" t="s">
        <v>2928</v>
      </c>
      <c r="D1402" s="2" t="s">
        <v>78</v>
      </c>
      <c r="E1402" s="2" t="s">
        <v>2929</v>
      </c>
      <c r="F1402" s="11" t="s">
        <v>2930</v>
      </c>
      <c r="G1402" s="11" t="s">
        <v>2931</v>
      </c>
      <c r="H1402" s="2" t="s">
        <v>2932</v>
      </c>
      <c r="I1402" s="12" t="s">
        <v>2933</v>
      </c>
      <c r="J1402" s="8">
        <f>+Tabla1[[#This Row],[FECHA ENTRADA]]</f>
        <v>45423</v>
      </c>
      <c r="K1402" s="22">
        <v>45821</v>
      </c>
      <c r="L1402" s="13">
        <f>_xlfn.DAYS(Tabla1[[#This Row],[FECHA FIN ]],Tabla1[[#This Row],[FECHA INICIO]])</f>
        <v>398</v>
      </c>
      <c r="M1402" s="12"/>
      <c r="N1402" s="12">
        <f>1811.6/17</f>
        <v>106.56470588235294</v>
      </c>
      <c r="O1402" s="12">
        <f>(Tabla1[[#This Row],[COSTO FIJO ]]/30)*Tabla1[[#This Row],[TOTAL DIAS PROYECTO]]+(Tabla1[[#This Row],[COSTO TEMPORAL]])</f>
        <v>1413.758431372549</v>
      </c>
      <c r="P1402" s="12"/>
      <c r="Q1402" s="12">
        <f>+(Tabla1[[#This Row],[COSTO COCHE]]/30)*Tabla1[[#This Row],[TOTAL DIAS PROYECTO]]</f>
        <v>0</v>
      </c>
      <c r="R1402" s="12">
        <f>+Tabla1[[#This Row],[COSTO TOTAL ALOJAMIENTO]]+Tabla1[[#This Row],[COSTO TOTAL COCHE]]</f>
        <v>1413.758431372549</v>
      </c>
      <c r="S1402" s="2" t="s">
        <v>84</v>
      </c>
      <c r="T1402" s="2" t="s">
        <v>44</v>
      </c>
      <c r="U1402" s="14">
        <v>45423</v>
      </c>
      <c r="V1402" s="14">
        <v>45648</v>
      </c>
      <c r="W1402" s="26"/>
      <c r="X1402" s="2"/>
      <c r="Y1402" s="189" t="s">
        <v>2934</v>
      </c>
      <c r="Z1402" s="2" t="s">
        <v>36</v>
      </c>
      <c r="AA1402" s="13" t="s">
        <v>10438</v>
      </c>
      <c r="AB1402" s="13" t="s">
        <v>10439</v>
      </c>
    </row>
    <row r="1403" spans="1:28">
      <c r="A1403" s="2" t="s">
        <v>9286</v>
      </c>
      <c r="B1403" s="2" t="s">
        <v>28</v>
      </c>
      <c r="C1403" s="11" t="s">
        <v>2700</v>
      </c>
      <c r="D1403" s="2" t="s">
        <v>30</v>
      </c>
      <c r="E1403" s="2" t="s">
        <v>31</v>
      </c>
      <c r="F1403" s="11" t="s">
        <v>530</v>
      </c>
      <c r="G1403" s="11" t="s">
        <v>531</v>
      </c>
      <c r="H1403" s="2" t="s">
        <v>1055</v>
      </c>
      <c r="I1403" s="12" t="s">
        <v>527</v>
      </c>
      <c r="J1403" s="8">
        <f>+Tabla1[[#This Row],[FECHA ENTRADA]]</f>
        <v>45499</v>
      </c>
      <c r="K1403" s="22">
        <v>45821</v>
      </c>
      <c r="L1403" s="13">
        <f>_xlfn.DAYS(Tabla1[[#This Row],[FECHA FIN ]],Tabla1[[#This Row],[FECHA INICIO]])</f>
        <v>322</v>
      </c>
      <c r="M1403" s="12"/>
      <c r="N1403" s="12">
        <f>1811.6/17</f>
        <v>106.56470588235294</v>
      </c>
      <c r="O1403" s="12">
        <f>(Tabla1[[#This Row],[COSTO FIJO ]]/30)*Tabla1[[#This Row],[TOTAL DIAS PROYECTO]]+(Tabla1[[#This Row],[COSTO TEMPORAL]])</f>
        <v>1143.7945098039215</v>
      </c>
      <c r="P1403" s="12">
        <f>+(((800*3)+520.54)*50%)/19</f>
        <v>76.856315789473683</v>
      </c>
      <c r="Q1403" s="12">
        <f>+(Tabla1[[#This Row],[COSTO COCHE]]/30)*Tabla1[[#This Row],[TOTAL DIAS PROYECTO]]</f>
        <v>824.92445614035091</v>
      </c>
      <c r="R1403" s="12">
        <f>+Tabla1[[#This Row],[COSTO TOTAL ALOJAMIENTO]]+Tabla1[[#This Row],[COSTO TOTAL COCHE]]</f>
        <v>1968.7189659442724</v>
      </c>
      <c r="S1403" s="2"/>
      <c r="T1403" s="2" t="s">
        <v>35</v>
      </c>
      <c r="U1403" s="14">
        <v>45499</v>
      </c>
      <c r="V1403" s="14"/>
      <c r="W1403" s="26"/>
      <c r="X1403" s="2">
        <v>1</v>
      </c>
      <c r="Y1403" s="11" t="s">
        <v>2935</v>
      </c>
      <c r="Z1403" s="2" t="s">
        <v>36</v>
      </c>
      <c r="AA1403" s="13" t="s">
        <v>10323</v>
      </c>
      <c r="AB1403" s="13" t="s">
        <v>10324</v>
      </c>
    </row>
    <row r="1404" spans="1:28" ht="15" customHeight="1">
      <c r="A1404" s="2" t="s">
        <v>9286</v>
      </c>
      <c r="B1404" s="2" t="s">
        <v>368</v>
      </c>
      <c r="C1404" s="11" t="s">
        <v>2700</v>
      </c>
      <c r="D1404" s="2" t="s">
        <v>30</v>
      </c>
      <c r="E1404" s="2" t="s">
        <v>31</v>
      </c>
      <c r="F1404" s="11" t="s">
        <v>451</v>
      </c>
      <c r="G1404" s="11" t="s">
        <v>452</v>
      </c>
      <c r="H1404" s="2" t="s">
        <v>453</v>
      </c>
      <c r="I1404" s="12" t="s">
        <v>454</v>
      </c>
      <c r="J1404" s="8">
        <f>+Tabla1[[#This Row],[FECHA ENTRADA]]</f>
        <v>45499</v>
      </c>
      <c r="K1404" s="22">
        <v>45821</v>
      </c>
      <c r="L1404" s="13">
        <f>_xlfn.DAYS(Tabla1[[#This Row],[FECHA FIN ]],Tabla1[[#This Row],[FECHA INICIO]])</f>
        <v>322</v>
      </c>
      <c r="M1404" s="12"/>
      <c r="N1404" s="12">
        <f>1811.6/17</f>
        <v>106.56470588235294</v>
      </c>
      <c r="O1404" s="12">
        <f>(Tabla1[[#This Row],[COSTO FIJO ]]/30)*Tabla1[[#This Row],[TOTAL DIAS PROYECTO]]+(Tabla1[[#This Row],[COSTO TEMPORAL]])</f>
        <v>1143.7945098039215</v>
      </c>
      <c r="P1404" s="12"/>
      <c r="Q1404" s="12">
        <f>+(Tabla1[[#This Row],[COSTO COCHE]]/30)*Tabla1[[#This Row],[TOTAL DIAS PROYECTO]]</f>
        <v>0</v>
      </c>
      <c r="R1404" s="12">
        <f>+Tabla1[[#This Row],[COSTO TOTAL ALOJAMIENTO]]+Tabla1[[#This Row],[COSTO TOTAL COCHE]]</f>
        <v>1143.7945098039215</v>
      </c>
      <c r="S1404" s="2"/>
      <c r="T1404" s="2" t="s">
        <v>35</v>
      </c>
      <c r="U1404" s="14">
        <v>45499</v>
      </c>
      <c r="V1404" s="14"/>
      <c r="W1404" s="26"/>
      <c r="X1404" s="2">
        <v>1</v>
      </c>
      <c r="Y1404" s="18" t="s">
        <v>455</v>
      </c>
      <c r="Z1404" s="2" t="s">
        <v>36</v>
      </c>
      <c r="AA1404" s="13" t="s">
        <v>10323</v>
      </c>
      <c r="AB1404" s="13" t="s">
        <v>10324</v>
      </c>
    </row>
    <row r="1405" spans="1:28" ht="15" customHeight="1">
      <c r="A1405" s="2" t="s">
        <v>9122</v>
      </c>
      <c r="B1405" s="2" t="s">
        <v>368</v>
      </c>
      <c r="C1405" s="11" t="s">
        <v>2093</v>
      </c>
      <c r="D1405" s="2" t="s">
        <v>99</v>
      </c>
      <c r="E1405" s="2" t="s">
        <v>109</v>
      </c>
      <c r="F1405" s="11" t="s">
        <v>2903</v>
      </c>
      <c r="G1405" s="49" t="s">
        <v>2904</v>
      </c>
      <c r="H1405" s="2" t="s">
        <v>2007</v>
      </c>
      <c r="I1405" s="12" t="s">
        <v>42</v>
      </c>
      <c r="J1405" s="22">
        <f>+Tabla1[[#This Row],[FECHA ENTRADA]]</f>
        <v>45730</v>
      </c>
      <c r="K1405" s="22">
        <v>45748</v>
      </c>
      <c r="L1405" s="23">
        <f>_xlfn.DAYS(Tabla1[[#This Row],[FECHA FIN ]],Tabla1[[#This Row],[FECHA INICIO]])</f>
        <v>18</v>
      </c>
      <c r="M1405" s="12"/>
      <c r="N1405" s="24">
        <v>416.66</v>
      </c>
      <c r="O1405" s="24">
        <f>(Tabla1[[#This Row],[COSTO FIJO ]]/30)*Tabla1[[#This Row],[TOTAL DIAS PROYECTO]]+(Tabla1[[#This Row],[COSTO TEMPORAL]])</f>
        <v>249.99600000000001</v>
      </c>
      <c r="P1405" s="12"/>
      <c r="Q1405" s="12">
        <f>+(Tabla1[[#This Row],[COSTO COCHE]]/30)*Tabla1[[#This Row],[TOTAL DIAS PROYECTO]]</f>
        <v>0</v>
      </c>
      <c r="R1405" s="12">
        <f>+Tabla1[[#This Row],[COSTO TOTAL ALOJAMIENTO]]+Tabla1[[#This Row],[COSTO TOTAL COCHE]]</f>
        <v>249.99600000000001</v>
      </c>
      <c r="S1405" s="2"/>
      <c r="T1405" s="2" t="s">
        <v>44</v>
      </c>
      <c r="U1405" s="14">
        <v>45730</v>
      </c>
      <c r="V1405" s="25">
        <v>45747</v>
      </c>
      <c r="W1405" s="26"/>
      <c r="X1405" s="2"/>
      <c r="Y1405" s="11" t="s">
        <v>1166</v>
      </c>
      <c r="Z1405" s="2" t="s">
        <v>36</v>
      </c>
      <c r="AA1405" s="13">
        <v>0.62217999999999996</v>
      </c>
      <c r="AB1405" s="13" t="s">
        <v>10339</v>
      </c>
    </row>
    <row r="1406" spans="1:28" ht="15" customHeight="1">
      <c r="A1406" s="2" t="s">
        <v>8638</v>
      </c>
      <c r="B1406" s="2" t="s">
        <v>28</v>
      </c>
      <c r="C1406" s="11" t="s">
        <v>2769</v>
      </c>
      <c r="D1406" s="2" t="s">
        <v>30</v>
      </c>
      <c r="E1406" s="2" t="s">
        <v>422</v>
      </c>
      <c r="F1406" s="11" t="s">
        <v>2585</v>
      </c>
      <c r="G1406" s="49" t="s">
        <v>2603</v>
      </c>
      <c r="H1406" s="2" t="s">
        <v>2767</v>
      </c>
      <c r="I1406" s="12" t="s">
        <v>2454</v>
      </c>
      <c r="J1406" s="22">
        <f>+Tabla1[[#This Row],[FECHA ENTRADA]]</f>
        <v>45771</v>
      </c>
      <c r="K1406" s="22">
        <v>45821</v>
      </c>
      <c r="L1406" s="23">
        <f>_xlfn.DAYS(Tabla1[[#This Row],[FECHA FIN ]],Tabla1[[#This Row],[FECHA INICIO]])</f>
        <v>50</v>
      </c>
      <c r="M1406" s="12"/>
      <c r="N1406" s="12"/>
      <c r="O1406" s="24">
        <f>(Tabla1[[#This Row],[COSTO FIJO ]]/30)*Tabla1[[#This Row],[TOTAL DIAS PROYECTO]]+(Tabla1[[#This Row],[COSTO TEMPORAL]])</f>
        <v>0</v>
      </c>
      <c r="P1406" s="12"/>
      <c r="Q1406" s="12">
        <f>+(Tabla1[[#This Row],[COSTO COCHE]]/30)*Tabla1[[#This Row],[TOTAL DIAS PROYECTO]]</f>
        <v>0</v>
      </c>
      <c r="R1406" s="12">
        <f>+Tabla1[[#This Row],[COSTO TOTAL ALOJAMIENTO]]+Tabla1[[#This Row],[COSTO TOTAL COCHE]]</f>
        <v>0</v>
      </c>
      <c r="S1406" s="2"/>
      <c r="T1406" s="14" t="s">
        <v>44</v>
      </c>
      <c r="U1406" s="14">
        <v>45771</v>
      </c>
      <c r="V1406" s="25">
        <v>45778</v>
      </c>
      <c r="W1406" s="2"/>
      <c r="X1406" s="2"/>
      <c r="Y1406" s="11"/>
      <c r="Z1406" s="2" t="s">
        <v>36</v>
      </c>
      <c r="AA1406" s="13">
        <v>-326.69799999999998</v>
      </c>
      <c r="AB1406" s="13" t="s">
        <v>10373</v>
      </c>
    </row>
    <row r="1407" spans="1:28" ht="15" customHeight="1">
      <c r="A1407" s="2" t="s">
        <v>9361</v>
      </c>
      <c r="B1407" s="2" t="s">
        <v>368</v>
      </c>
      <c r="C1407" s="11" t="s">
        <v>2936</v>
      </c>
      <c r="D1407" s="2" t="s">
        <v>30</v>
      </c>
      <c r="E1407" s="2" t="s">
        <v>1130</v>
      </c>
      <c r="F1407" s="11" t="s">
        <v>2012</v>
      </c>
      <c r="G1407" s="46" t="s">
        <v>2013</v>
      </c>
      <c r="H1407" s="2" t="s">
        <v>2787</v>
      </c>
      <c r="I1407" s="29" t="s">
        <v>2614</v>
      </c>
      <c r="J1407" s="22">
        <f>+Tabla1[[#This Row],[FECHA ENTRADA]]</f>
        <v>45691</v>
      </c>
      <c r="K1407" s="22">
        <v>45821</v>
      </c>
      <c r="L1407" s="23">
        <f>_xlfn.DAYS(Tabla1[[#This Row],[FECHA FIN ]],Tabla1[[#This Row],[FECHA INICIO]])</f>
        <v>130</v>
      </c>
      <c r="M1407" s="12"/>
      <c r="N1407" s="12"/>
      <c r="O1407" s="24">
        <f>(Tabla1[[#This Row],[COSTO FIJO ]]/30)*Tabla1[[#This Row],[TOTAL DIAS PROYECTO]]+(Tabla1[[#This Row],[COSTO TEMPORAL]])</f>
        <v>0</v>
      </c>
      <c r="P1407" s="12">
        <v>100</v>
      </c>
      <c r="Q1407" s="12">
        <f>+(Tabla1[[#This Row],[COSTO COCHE]]/30)*Tabla1[[#This Row],[TOTAL DIAS PROYECTO]]</f>
        <v>433.33333333333337</v>
      </c>
      <c r="R1407" s="12">
        <f>+Tabla1[[#This Row],[COSTO TOTAL ALOJAMIENTO]]+Tabla1[[#This Row],[COSTO TOTAL COCHE]]</f>
        <v>433.33333333333337</v>
      </c>
      <c r="S1407" s="2"/>
      <c r="T1407" s="2" t="s">
        <v>35</v>
      </c>
      <c r="U1407" s="14">
        <v>45691</v>
      </c>
      <c r="V1407" s="25">
        <v>45752</v>
      </c>
      <c r="W1407" s="26">
        <v>350</v>
      </c>
      <c r="X1407" s="2">
        <v>1</v>
      </c>
      <c r="Y1407" s="11"/>
      <c r="Z1407" s="2" t="s">
        <v>36</v>
      </c>
      <c r="AA1407" s="13" t="s">
        <v>10412</v>
      </c>
      <c r="AB1407" s="13">
        <v>4200955</v>
      </c>
    </row>
    <row r="1408" spans="1:28">
      <c r="A1408" s="2" t="s">
        <v>9362</v>
      </c>
      <c r="B1408" s="2" t="s">
        <v>28</v>
      </c>
      <c r="C1408" s="11" t="s">
        <v>2937</v>
      </c>
      <c r="D1408" s="2" t="s">
        <v>30</v>
      </c>
      <c r="E1408" s="2" t="s">
        <v>380</v>
      </c>
      <c r="F1408" s="11" t="s">
        <v>1579</v>
      </c>
      <c r="G1408" s="11" t="s">
        <v>1580</v>
      </c>
      <c r="H1408" s="2" t="s">
        <v>2938</v>
      </c>
      <c r="I1408" s="12" t="s">
        <v>2906</v>
      </c>
      <c r="J1408" s="41">
        <v>45559</v>
      </c>
      <c r="K1408" s="8">
        <v>45581</v>
      </c>
      <c r="L1408" s="42">
        <f>_xlfn.DAYS(Tabla1[[#This Row],[FECHA FIN ]],Tabla1[[#This Row],[FECHA INICIO]])</f>
        <v>22</v>
      </c>
      <c r="M1408" s="12"/>
      <c r="N1408" s="12"/>
      <c r="O1408" s="28">
        <f>(Tabla1[[#This Row],[COSTO FIJO ]]/30)*Tabla1[[#This Row],[TOTAL DIAS PROYECTO]]+(Tabla1[[#This Row],[COSTO TEMPORAL]])</f>
        <v>0</v>
      </c>
      <c r="P1408" s="12"/>
      <c r="Q1408" s="12">
        <f>+(Tabla1[[#This Row],[COSTO COCHE]]/30)*Tabla1[[#This Row],[TOTAL DIAS PROYECTO]]</f>
        <v>0</v>
      </c>
      <c r="R1408" s="12">
        <f>+Tabla1[[#This Row],[COSTO TOTAL ALOJAMIENTO]]+Tabla1[[#This Row],[COSTO TOTAL COCHE]]</f>
        <v>0</v>
      </c>
      <c r="S1408" s="2"/>
      <c r="T1408" s="2" t="s">
        <v>35</v>
      </c>
      <c r="U1408" s="14"/>
      <c r="V1408" s="75"/>
      <c r="W1408" s="26"/>
      <c r="X1408" s="2">
        <v>1</v>
      </c>
      <c r="Y1408" s="11"/>
      <c r="Z1408" s="2" t="s">
        <v>36</v>
      </c>
      <c r="AA1408" s="13" t="s">
        <v>10370</v>
      </c>
      <c r="AB1408" s="13" t="s">
        <v>10371</v>
      </c>
    </row>
    <row r="1409" spans="1:28" ht="15" customHeight="1">
      <c r="A1409" s="2" t="s">
        <v>9363</v>
      </c>
      <c r="B1409" s="2" t="s">
        <v>368</v>
      </c>
      <c r="C1409" s="11" t="s">
        <v>2939</v>
      </c>
      <c r="D1409" s="2" t="s">
        <v>30</v>
      </c>
      <c r="E1409" s="2" t="s">
        <v>151</v>
      </c>
      <c r="F1409" s="11" t="s">
        <v>1259</v>
      </c>
      <c r="G1409" s="46"/>
      <c r="H1409" s="2" t="s">
        <v>1260</v>
      </c>
      <c r="I1409" s="12" t="s">
        <v>152</v>
      </c>
      <c r="J1409" s="41">
        <f>+Tabla1[[#This Row],[FECHA ENTRADA]]</f>
        <v>45613</v>
      </c>
      <c r="K1409" s="22">
        <v>45821</v>
      </c>
      <c r="L1409" s="42">
        <f>_xlfn.DAYS(Tabla1[[#This Row],[FECHA FIN ]],Tabla1[[#This Row],[FECHA INICIO]])</f>
        <v>208</v>
      </c>
      <c r="M1409" s="12"/>
      <c r="N1409" s="12"/>
      <c r="O1409" s="28">
        <f>(Tabla1[[#This Row],[COSTO FIJO ]]/30)*Tabla1[[#This Row],[TOTAL DIAS PROYECTO]]+(Tabla1[[#This Row],[COSTO TEMPORAL]])</f>
        <v>0</v>
      </c>
      <c r="P1409" s="12"/>
      <c r="Q1409" s="12">
        <f>+(Tabla1[[#This Row],[COSTO COCHE]]/30)*Tabla1[[#This Row],[TOTAL DIAS PROYECTO]]</f>
        <v>0</v>
      </c>
      <c r="R1409" s="12">
        <f>+Tabla1[[#This Row],[COSTO TOTAL ALOJAMIENTO]]+Tabla1[[#This Row],[COSTO TOTAL COCHE]]</f>
        <v>0</v>
      </c>
      <c r="S1409" s="2"/>
      <c r="T1409" s="2" t="s">
        <v>44</v>
      </c>
      <c r="U1409" s="14">
        <v>45613</v>
      </c>
      <c r="V1409" s="43">
        <v>45649</v>
      </c>
      <c r="W1409" s="26"/>
      <c r="X1409" s="2"/>
      <c r="Y1409" s="11" t="s">
        <v>1166</v>
      </c>
      <c r="Z1409" s="2" t="s">
        <v>36</v>
      </c>
      <c r="AA1409" s="13" t="s">
        <v>10345</v>
      </c>
      <c r="AB1409" s="13" t="s">
        <v>10346</v>
      </c>
    </row>
    <row r="1410" spans="1:28" ht="15" customHeight="1">
      <c r="A1410" s="2" t="s">
        <v>9364</v>
      </c>
      <c r="B1410" s="2" t="s">
        <v>28</v>
      </c>
      <c r="C1410" s="18" t="s">
        <v>2940</v>
      </c>
      <c r="D1410" s="2" t="s">
        <v>30</v>
      </c>
      <c r="E1410" s="2" t="s">
        <v>151</v>
      </c>
      <c r="F1410" s="11" t="s">
        <v>1259</v>
      </c>
      <c r="G1410" s="46"/>
      <c r="H1410" s="2" t="s">
        <v>2446</v>
      </c>
      <c r="I1410" s="12" t="s">
        <v>152</v>
      </c>
      <c r="J1410" s="41">
        <f>+Tabla1[[#This Row],[FECHA ENTRADA]]</f>
        <v>45644</v>
      </c>
      <c r="K1410" s="22">
        <v>45821</v>
      </c>
      <c r="L1410" s="42">
        <f>_xlfn.DAYS(Tabla1[[#This Row],[FECHA FIN ]],Tabla1[[#This Row],[FECHA INICIO]])</f>
        <v>177</v>
      </c>
      <c r="M1410" s="12"/>
      <c r="N1410" s="24"/>
      <c r="O1410" s="28">
        <f>(Tabla1[[#This Row],[COSTO FIJO ]]/30)*Tabla1[[#This Row],[TOTAL DIAS PROYECTO]]+(Tabla1[[#This Row],[COSTO TEMPORAL]])</f>
        <v>0</v>
      </c>
      <c r="P1410" s="12"/>
      <c r="Q1410" s="12">
        <f>+(Tabla1[[#This Row],[COSTO COCHE]]/30)*Tabla1[[#This Row],[TOTAL DIAS PROYECTO]]</f>
        <v>0</v>
      </c>
      <c r="R1410" s="12">
        <f>+Tabla1[[#This Row],[COSTO TOTAL ALOJAMIENTO]]+Tabla1[[#This Row],[COSTO TOTAL COCHE]]</f>
        <v>0</v>
      </c>
      <c r="S1410" s="2"/>
      <c r="T1410" s="2" t="s">
        <v>44</v>
      </c>
      <c r="U1410" s="14">
        <v>45644</v>
      </c>
      <c r="V1410" s="43">
        <v>45649</v>
      </c>
      <c r="W1410" s="26"/>
      <c r="X1410" s="2"/>
      <c r="Y1410" s="11"/>
      <c r="Z1410" s="2" t="s">
        <v>36</v>
      </c>
      <c r="AA1410" s="13" t="s">
        <v>10345</v>
      </c>
      <c r="AB1410" s="13" t="s">
        <v>10346</v>
      </c>
    </row>
    <row r="1411" spans="1:28">
      <c r="A1411" s="2" t="s">
        <v>9305</v>
      </c>
      <c r="B1411" s="2" t="s">
        <v>28</v>
      </c>
      <c r="C1411" s="11" t="s">
        <v>2759</v>
      </c>
      <c r="D1411" s="2" t="s">
        <v>99</v>
      </c>
      <c r="E1411" s="2" t="s">
        <v>245</v>
      </c>
      <c r="F1411" s="11" t="s">
        <v>1858</v>
      </c>
      <c r="G1411" s="133" t="s">
        <v>1859</v>
      </c>
      <c r="H1411" s="2" t="s">
        <v>2761</v>
      </c>
      <c r="I1411" s="10" t="s">
        <v>249</v>
      </c>
      <c r="J1411" s="22">
        <f>+Tabla1[[#This Row],[FECHA ENTRADA]]</f>
        <v>45734</v>
      </c>
      <c r="K1411" s="22">
        <v>45821</v>
      </c>
      <c r="L1411" s="23">
        <f>_xlfn.DAYS(Tabla1[[#This Row],[FECHA FIN ]],Tabla1[[#This Row],[FECHA INICIO]])</f>
        <v>87</v>
      </c>
      <c r="M1411" s="12"/>
      <c r="N1411" s="12"/>
      <c r="O1411" s="24">
        <f>(Tabla1[[#This Row],[COSTO FIJO ]]/30)*Tabla1[[#This Row],[TOTAL DIAS PROYECTO]]+(Tabla1[[#This Row],[COSTO TEMPORAL]])</f>
        <v>0</v>
      </c>
      <c r="P1411" s="12">
        <v>92.307692307692307</v>
      </c>
      <c r="Q1411" s="12">
        <f>+(Tabla1[[#This Row],[COSTO COCHE]]/30)*Tabla1[[#This Row],[TOTAL DIAS PROYECTO]]</f>
        <v>267.69230769230768</v>
      </c>
      <c r="R1411" s="12">
        <f>+Tabla1[[#This Row],[COSTO TOTAL ALOJAMIENTO]]+Tabla1[[#This Row],[COSTO TOTAL COCHE]]</f>
        <v>267.69230769230768</v>
      </c>
      <c r="S1411" s="2"/>
      <c r="T1411" s="2" t="s">
        <v>35</v>
      </c>
      <c r="U1411" s="14">
        <v>45734</v>
      </c>
      <c r="V1411" s="25"/>
      <c r="W1411" s="26"/>
      <c r="X1411" s="2">
        <v>1</v>
      </c>
      <c r="Y1411" t="s">
        <v>2941</v>
      </c>
      <c r="Z1411" s="2" t="s">
        <v>36</v>
      </c>
      <c r="AA1411" s="13" t="s">
        <v>10355</v>
      </c>
      <c r="AB1411" s="13" t="s">
        <v>10356</v>
      </c>
    </row>
    <row r="1412" spans="1:28" ht="15" customHeight="1">
      <c r="A1412" s="2" t="s">
        <v>9365</v>
      </c>
      <c r="B1412" s="2" t="s">
        <v>368</v>
      </c>
      <c r="C1412" s="11" t="s">
        <v>2942</v>
      </c>
      <c r="D1412" s="2" t="s">
        <v>30</v>
      </c>
      <c r="E1412" s="2" t="s">
        <v>213</v>
      </c>
      <c r="F1412" s="11" t="s">
        <v>996</v>
      </c>
      <c r="G1412" s="11" t="s">
        <v>997</v>
      </c>
      <c r="H1412" s="2" t="s">
        <v>1198</v>
      </c>
      <c r="I1412" s="12" t="s">
        <v>514</v>
      </c>
      <c r="J1412" s="22">
        <f>+Tabla1[[#This Row],[FECHA ENTRADA]]</f>
        <v>45580</v>
      </c>
      <c r="K1412" s="22">
        <v>45821</v>
      </c>
      <c r="L1412" s="23">
        <f>_xlfn.DAYS(Tabla1[[#This Row],[FECHA FIN ]],Tabla1[[#This Row],[FECHA INICIO]])</f>
        <v>241</v>
      </c>
      <c r="M1412" s="12"/>
      <c r="N1412" s="12">
        <f>1811.6/17</f>
        <v>106.56470588235294</v>
      </c>
      <c r="O1412" s="24">
        <f>(Tabla1[[#This Row],[COSTO FIJO ]]/30)*Tabla1[[#This Row],[TOTAL DIAS PROYECTO]]+(Tabla1[[#This Row],[COSTO TEMPORAL]])</f>
        <v>856.06980392156868</v>
      </c>
      <c r="P1412" s="12"/>
      <c r="Q1412" s="12">
        <f>+(Tabla1[[#This Row],[COSTO COCHE]]/30)*Tabla1[[#This Row],[TOTAL DIAS PROYECTO]]</f>
        <v>0</v>
      </c>
      <c r="R1412" s="12">
        <f>+Tabla1[[#This Row],[COSTO TOTAL ALOJAMIENTO]]+Tabla1[[#This Row],[COSTO TOTAL COCHE]]</f>
        <v>856.06980392156868</v>
      </c>
      <c r="S1412" s="2"/>
      <c r="T1412" s="2" t="s">
        <v>35</v>
      </c>
      <c r="U1412" s="14">
        <v>45580</v>
      </c>
      <c r="V1412" s="25"/>
      <c r="W1412" s="26"/>
      <c r="X1412" s="2">
        <v>1</v>
      </c>
      <c r="Y1412" s="11" t="s">
        <v>1526</v>
      </c>
      <c r="Z1412" s="2" t="s">
        <v>36</v>
      </c>
      <c r="AA1412" s="13" t="s">
        <v>10349</v>
      </c>
      <c r="AB1412" s="13" t="s">
        <v>10350</v>
      </c>
    </row>
    <row r="1413" spans="1:28" ht="15" customHeight="1">
      <c r="A1413" s="2" t="s">
        <v>9366</v>
      </c>
      <c r="B1413" s="2" t="s">
        <v>28</v>
      </c>
      <c r="C1413" s="11" t="s">
        <v>2943</v>
      </c>
      <c r="D1413" s="2" t="s">
        <v>30</v>
      </c>
      <c r="E1413" s="2" t="s">
        <v>253</v>
      </c>
      <c r="F1413" s="11" t="s">
        <v>1688</v>
      </c>
      <c r="G1413" s="11" t="s">
        <v>2944</v>
      </c>
      <c r="H1413" s="2" t="s">
        <v>2945</v>
      </c>
      <c r="I1413" s="12" t="s">
        <v>774</v>
      </c>
      <c r="J1413" s="8">
        <f>+Tabla1[[#This Row],[FECHA ENTRADA]]</f>
        <v>45413</v>
      </c>
      <c r="K1413" s="22">
        <v>45821</v>
      </c>
      <c r="L1413" s="13">
        <f>_xlfn.DAYS(Tabla1[[#This Row],[FECHA FIN ]],Tabla1[[#This Row],[FECHA INICIO]])</f>
        <v>408</v>
      </c>
      <c r="M1413" s="12"/>
      <c r="N1413" s="12">
        <f>1811.6/17</f>
        <v>106.56470588235294</v>
      </c>
      <c r="O1413" s="12">
        <f>(Tabla1[[#This Row],[COSTO FIJO ]]/30)*Tabla1[[#This Row],[TOTAL DIAS PROYECTO]]+(Tabla1[[#This Row],[COSTO TEMPORAL]])</f>
        <v>1449.28</v>
      </c>
      <c r="P1413" s="12"/>
      <c r="Q1413" s="12">
        <f>+(Tabla1[[#This Row],[COSTO COCHE]]/30)*Tabla1[[#This Row],[TOTAL DIAS PROYECTO]]</f>
        <v>0</v>
      </c>
      <c r="R1413" s="12">
        <f>+Tabla1[[#This Row],[COSTO TOTAL ALOJAMIENTO]]+Tabla1[[#This Row],[COSTO TOTAL COCHE]]</f>
        <v>1449.28</v>
      </c>
      <c r="S1413" s="2"/>
      <c r="T1413" s="2" t="s">
        <v>35</v>
      </c>
      <c r="U1413" s="14">
        <v>45413</v>
      </c>
      <c r="V1413" s="14"/>
      <c r="W1413" s="2"/>
      <c r="X1413" s="2">
        <v>1</v>
      </c>
      <c r="Y1413" s="18"/>
      <c r="Z1413" s="2" t="s">
        <v>36</v>
      </c>
      <c r="AA1413" s="13" t="s">
        <v>10357</v>
      </c>
      <c r="AB1413" s="13" t="s">
        <v>10358</v>
      </c>
    </row>
    <row r="1414" spans="1:28" ht="15" customHeight="1">
      <c r="A1414" s="2" t="s">
        <v>9367</v>
      </c>
      <c r="B1414" s="2" t="s">
        <v>368</v>
      </c>
      <c r="C1414" s="11" t="s">
        <v>2946</v>
      </c>
      <c r="D1414" s="2" t="s">
        <v>30</v>
      </c>
      <c r="E1414" s="2" t="s">
        <v>31</v>
      </c>
      <c r="F1414" s="11" t="s">
        <v>530</v>
      </c>
      <c r="G1414" s="11" t="s">
        <v>531</v>
      </c>
      <c r="H1414" s="2" t="s">
        <v>1420</v>
      </c>
      <c r="I1414" s="12" t="s">
        <v>1421</v>
      </c>
      <c r="J1414" s="41">
        <v>45574</v>
      </c>
      <c r="K1414" s="22">
        <v>45821</v>
      </c>
      <c r="L1414" s="42">
        <f>_xlfn.DAYS(Tabla1[[#This Row],[FECHA FIN ]],Tabla1[[#This Row],[FECHA INICIO]])</f>
        <v>247</v>
      </c>
      <c r="M1414" s="12"/>
      <c r="N1414" s="12">
        <f>1811.6/17</f>
        <v>106.56470588235294</v>
      </c>
      <c r="O1414" s="28">
        <f>(Tabla1[[#This Row],[COSTO FIJO ]]/30)*Tabla1[[#This Row],[TOTAL DIAS PROYECTO]]+(Tabla1[[#This Row],[COSTO TEMPORAL]])</f>
        <v>877.38274509803921</v>
      </c>
      <c r="P1414" s="12"/>
      <c r="Q1414" s="12">
        <f>+(Tabla1[[#This Row],[COSTO COCHE]]/30)*Tabla1[[#This Row],[TOTAL DIAS PROYECTO]]</f>
        <v>0</v>
      </c>
      <c r="R1414" s="12">
        <f>+Tabla1[[#This Row],[COSTO TOTAL ALOJAMIENTO]]+Tabla1[[#This Row],[COSTO TOTAL COCHE]]</f>
        <v>877.38274509803921</v>
      </c>
      <c r="S1414" s="2"/>
      <c r="T1414" s="2" t="s">
        <v>35</v>
      </c>
      <c r="U1414" s="14">
        <v>45574</v>
      </c>
      <c r="V1414" s="43"/>
      <c r="W1414" s="26"/>
      <c r="X1414" s="2">
        <v>1</v>
      </c>
      <c r="Y1414" s="11" t="s">
        <v>2947</v>
      </c>
      <c r="Z1414" s="2" t="s">
        <v>36</v>
      </c>
      <c r="AA1414" s="13" t="s">
        <v>10323</v>
      </c>
      <c r="AB1414" s="13" t="s">
        <v>10324</v>
      </c>
    </row>
    <row r="1415" spans="1:28" ht="15" customHeight="1">
      <c r="A1415" s="2" t="s">
        <v>9368</v>
      </c>
      <c r="B1415" s="2" t="s">
        <v>28</v>
      </c>
      <c r="C1415" s="18" t="s">
        <v>2948</v>
      </c>
      <c r="D1415" s="2" t="s">
        <v>30</v>
      </c>
      <c r="E1415" s="2" t="s">
        <v>502</v>
      </c>
      <c r="F1415" s="11" t="s">
        <v>2834</v>
      </c>
      <c r="G1415" s="11" t="s">
        <v>2835</v>
      </c>
      <c r="H1415" s="2" t="s">
        <v>2889</v>
      </c>
      <c r="I1415" s="12" t="s">
        <v>506</v>
      </c>
      <c r="J1415" s="8">
        <f>+Tabla1[[#This Row],[FECHA ENTRADA]]</f>
        <v>45468</v>
      </c>
      <c r="K1415" s="22">
        <v>45644</v>
      </c>
      <c r="L1415" s="13">
        <f>_xlfn.DAYS(Tabla1[[#This Row],[FECHA FIN ]],Tabla1[[#This Row],[FECHA INICIO]])</f>
        <v>176</v>
      </c>
      <c r="M1415" s="12"/>
      <c r="N1415" s="24">
        <v>250</v>
      </c>
      <c r="O1415" s="12">
        <f>(Tabla1[[#This Row],[COSTO FIJO ]]/30)*Tabla1[[#This Row],[TOTAL DIAS PROYECTO]]+(Tabla1[[#This Row],[COSTO TEMPORAL]])</f>
        <v>1466.6666666666667</v>
      </c>
      <c r="P1415" s="12">
        <f>+((803.8+542.69)*50%)/9</f>
        <v>74.805000000000007</v>
      </c>
      <c r="Q1415" s="12">
        <f>+(Tabla1[[#This Row],[COSTO COCHE]]/30)*Tabla1[[#This Row],[TOTAL DIAS PROYECTO]]</f>
        <v>438.85599999999999</v>
      </c>
      <c r="R1415" s="12">
        <f>+Tabla1[[#This Row],[COSTO TOTAL ALOJAMIENTO]]+Tabla1[[#This Row],[COSTO TOTAL COCHE]]</f>
        <v>1905.5226666666667</v>
      </c>
      <c r="S1415" s="2"/>
      <c r="T1415" s="2" t="s">
        <v>35</v>
      </c>
      <c r="U1415" s="14">
        <v>45468</v>
      </c>
      <c r="V1415" s="14"/>
      <c r="W1415" s="26"/>
      <c r="X1415" s="2">
        <v>1</v>
      </c>
      <c r="Y1415" s="18" t="s">
        <v>2949</v>
      </c>
      <c r="Z1415" s="2" t="s">
        <v>36</v>
      </c>
      <c r="AA1415" s="13" t="s">
        <v>10378</v>
      </c>
      <c r="AB1415" s="13" t="s">
        <v>10379</v>
      </c>
    </row>
    <row r="1416" spans="1:28" ht="15" customHeight="1">
      <c r="A1416" s="2" t="s">
        <v>9166</v>
      </c>
      <c r="B1416" s="2" t="s">
        <v>28</v>
      </c>
      <c r="C1416" s="11" t="s">
        <v>2291</v>
      </c>
      <c r="D1416" s="2" t="s">
        <v>30</v>
      </c>
      <c r="E1416" s="2" t="s">
        <v>1664</v>
      </c>
      <c r="F1416" s="11" t="s">
        <v>1665</v>
      </c>
      <c r="G1416" s="46" t="s">
        <v>1666</v>
      </c>
      <c r="H1416" s="2" t="s">
        <v>2712</v>
      </c>
      <c r="I1416" s="12" t="s">
        <v>96</v>
      </c>
      <c r="J1416" s="41">
        <f>+Tabla1[[#This Row],[FECHA ENTRADA]]</f>
        <v>45712</v>
      </c>
      <c r="K1416" s="8">
        <f ca="1">TODAY()</f>
        <v>46260</v>
      </c>
      <c r="L1416" s="42">
        <f ca="1">_xlfn.DAYS(Tabla1[[#This Row],[FECHA FIN ]],Tabla1[[#This Row],[FECHA INICIO]])</f>
        <v>548</v>
      </c>
      <c r="M1416" s="12"/>
      <c r="N1416" s="20">
        <v>429.36</v>
      </c>
      <c r="O1416" s="28">
        <f ca="1">(Tabla1[[#This Row],[COSTO FIJO ]]/30)*Tabla1[[#This Row],[TOTAL DIAS PROYECTO]]+(Tabla1[[#This Row],[COSTO TEMPORAL]])</f>
        <v>7842.9760000000006</v>
      </c>
      <c r="P1416" s="12">
        <f>1714.47/8</f>
        <v>214.30875</v>
      </c>
      <c r="Q1416" s="12">
        <f ca="1">+(Tabla1[[#This Row],[COSTO COCHE]]/30)*Tabla1[[#This Row],[TOTAL DIAS PROYECTO]]</f>
        <v>3914.7065000000002</v>
      </c>
      <c r="R1416" s="12">
        <f ca="1">+Tabla1[[#This Row],[COSTO TOTAL ALOJAMIENTO]]+Tabla1[[#This Row],[COSTO TOTAL COCHE]]</f>
        <v>11757.682500000001</v>
      </c>
      <c r="S1416" s="2" t="s">
        <v>403</v>
      </c>
      <c r="T1416" s="2" t="s">
        <v>44</v>
      </c>
      <c r="U1416" s="14">
        <v>45712</v>
      </c>
      <c r="V1416" s="43">
        <v>45747</v>
      </c>
      <c r="W1416" s="26"/>
      <c r="X1416" s="2"/>
      <c r="Y1416" s="11" t="s">
        <v>1166</v>
      </c>
      <c r="Z1416" s="2" t="s">
        <v>36</v>
      </c>
      <c r="AA1416" s="13" t="s">
        <v>10425</v>
      </c>
      <c r="AB1416" s="13" t="s">
        <v>10426</v>
      </c>
    </row>
    <row r="1417" spans="1:28" ht="15" customHeight="1">
      <c r="A1417" s="2" t="s">
        <v>8642</v>
      </c>
      <c r="B1417" s="2" t="s">
        <v>28</v>
      </c>
      <c r="C1417" s="18" t="s">
        <v>2950</v>
      </c>
      <c r="D1417" s="2" t="s">
        <v>30</v>
      </c>
      <c r="E1417" s="2" t="s">
        <v>31</v>
      </c>
      <c r="F1417" s="11" t="s">
        <v>1004</v>
      </c>
      <c r="G1417" s="51" t="s">
        <v>1005</v>
      </c>
      <c r="H1417" s="2" t="s">
        <v>2951</v>
      </c>
      <c r="I1417" s="12" t="s">
        <v>1208</v>
      </c>
      <c r="J1417" s="41">
        <f>+Tabla1[[#This Row],[FECHA ENTRADA]]</f>
        <v>45607</v>
      </c>
      <c r="K1417" s="22">
        <v>45821</v>
      </c>
      <c r="L1417" s="42">
        <f>_xlfn.DAYS(Tabla1[[#This Row],[FECHA FIN ]],Tabla1[[#This Row],[FECHA INICIO]])</f>
        <v>214</v>
      </c>
      <c r="M1417" s="12"/>
      <c r="N1417" s="24"/>
      <c r="O1417" s="28">
        <f>(Tabla1[[#This Row],[COSTO FIJO ]]/30)*Tabla1[[#This Row],[TOTAL DIAS PROYECTO]]+(Tabla1[[#This Row],[COSTO TEMPORAL]])</f>
        <v>0</v>
      </c>
      <c r="P1417" s="12"/>
      <c r="Q1417" s="12">
        <f>+(Tabla1[[#This Row],[COSTO COCHE]]/30)*Tabla1[[#This Row],[TOTAL DIAS PROYECTO]]</f>
        <v>0</v>
      </c>
      <c r="R1417" s="12">
        <f>+Tabla1[[#This Row],[COSTO TOTAL ALOJAMIENTO]]+Tabla1[[#This Row],[COSTO TOTAL COCHE]]</f>
        <v>0</v>
      </c>
      <c r="S1417" s="2"/>
      <c r="T1417" s="2" t="s">
        <v>35</v>
      </c>
      <c r="U1417" s="14">
        <v>45607</v>
      </c>
      <c r="V1417" s="43"/>
      <c r="W1417" s="26"/>
      <c r="X1417" s="2">
        <v>1</v>
      </c>
      <c r="Y1417" s="11" t="s">
        <v>2790</v>
      </c>
      <c r="Z1417" s="2" t="s">
        <v>36</v>
      </c>
      <c r="AA1417" s="13" t="s">
        <v>10323</v>
      </c>
      <c r="AB1417" s="13" t="s">
        <v>10324</v>
      </c>
    </row>
    <row r="1418" spans="1:28" ht="15" customHeight="1">
      <c r="A1418" s="2" t="s">
        <v>9305</v>
      </c>
      <c r="B1418" s="2" t="s">
        <v>28</v>
      </c>
      <c r="C1418" s="11" t="s">
        <v>2759</v>
      </c>
      <c r="D1418" s="2" t="s">
        <v>30</v>
      </c>
      <c r="E1418" s="2" t="s">
        <v>599</v>
      </c>
      <c r="F1418" s="11" t="s">
        <v>600</v>
      </c>
      <c r="G1418" s="11" t="s">
        <v>601</v>
      </c>
      <c r="H1418" s="2" t="s">
        <v>2952</v>
      </c>
      <c r="I1418" s="12" t="s">
        <v>603</v>
      </c>
      <c r="J1418" s="41">
        <f>+Tabla1[[#This Row],[FECHA ENTRADA]]</f>
        <v>45646</v>
      </c>
      <c r="K1418" s="22">
        <v>45821</v>
      </c>
      <c r="L1418" s="42">
        <f>_xlfn.DAYS(Tabla1[[#This Row],[FECHA FIN ]],Tabla1[[#This Row],[FECHA INICIO]])</f>
        <v>175</v>
      </c>
      <c r="M1418" s="12"/>
      <c r="N1418" s="12"/>
      <c r="O1418" s="28">
        <f>(Tabla1[[#This Row],[COSTO FIJO ]]/30)*Tabla1[[#This Row],[TOTAL DIAS PROYECTO]]+(Tabla1[[#This Row],[COSTO TEMPORAL]])</f>
        <v>0</v>
      </c>
      <c r="P1418" s="12"/>
      <c r="Q1418" s="12">
        <f>+(Tabla1[[#This Row],[COSTO COCHE]]/30)*Tabla1[[#This Row],[TOTAL DIAS PROYECTO]]</f>
        <v>0</v>
      </c>
      <c r="R1418" s="12">
        <f>+Tabla1[[#This Row],[COSTO TOTAL ALOJAMIENTO]]+Tabla1[[#This Row],[COSTO TOTAL COCHE]]</f>
        <v>0</v>
      </c>
      <c r="S1418" s="2"/>
      <c r="T1418" s="2" t="s">
        <v>44</v>
      </c>
      <c r="U1418" s="14">
        <v>45646</v>
      </c>
      <c r="V1418" s="43">
        <v>45657</v>
      </c>
      <c r="W1418" s="26"/>
      <c r="X1418" s="2"/>
      <c r="Y1418" s="11"/>
      <c r="Z1418" s="2" t="s">
        <v>36</v>
      </c>
      <c r="AA1418" s="13" t="s">
        <v>10382</v>
      </c>
      <c r="AB1418" s="13">
        <v>4038884</v>
      </c>
    </row>
    <row r="1419" spans="1:28" ht="15" customHeight="1">
      <c r="A1419" s="2" t="s">
        <v>9369</v>
      </c>
      <c r="B1419" s="2" t="s">
        <v>28</v>
      </c>
      <c r="C1419" s="11" t="s">
        <v>2953</v>
      </c>
      <c r="D1419" s="2" t="s">
        <v>30</v>
      </c>
      <c r="E1419" s="2" t="s">
        <v>599</v>
      </c>
      <c r="F1419" s="11" t="s">
        <v>600</v>
      </c>
      <c r="G1419" s="11" t="s">
        <v>601</v>
      </c>
      <c r="H1419" s="2" t="s">
        <v>2952</v>
      </c>
      <c r="I1419" s="12" t="s">
        <v>603</v>
      </c>
      <c r="J1419" s="41">
        <f>+Tabla1[[#This Row],[FECHA ENTRADA]]</f>
        <v>45646</v>
      </c>
      <c r="K1419" s="22">
        <v>45663</v>
      </c>
      <c r="L1419" s="42">
        <f>_xlfn.DAYS(Tabla1[[#This Row],[FECHA FIN ]],Tabla1[[#This Row],[FECHA INICIO]])</f>
        <v>17</v>
      </c>
      <c r="M1419" s="12"/>
      <c r="N1419" s="12">
        <f>1811.6/17</f>
        <v>106.56470588235294</v>
      </c>
      <c r="O1419" s="28">
        <f>(Tabla1[[#This Row],[COSTO FIJO ]]/30)*Tabla1[[#This Row],[TOTAL DIAS PROYECTO]]+(Tabla1[[#This Row],[COSTO TEMPORAL]])</f>
        <v>60.38666666666667</v>
      </c>
      <c r="P1419" s="12"/>
      <c r="Q1419" s="12">
        <f>+(Tabla1[[#This Row],[COSTO COCHE]]/30)*Tabla1[[#This Row],[TOTAL DIAS PROYECTO]]</f>
        <v>0</v>
      </c>
      <c r="R1419" s="12">
        <f>+Tabla1[[#This Row],[COSTO TOTAL ALOJAMIENTO]]+Tabla1[[#This Row],[COSTO TOTAL COCHE]]</f>
        <v>60.38666666666667</v>
      </c>
      <c r="S1419" s="2"/>
      <c r="T1419" s="2" t="s">
        <v>44</v>
      </c>
      <c r="U1419" s="14">
        <v>45646</v>
      </c>
      <c r="V1419" s="43">
        <v>45657</v>
      </c>
      <c r="W1419" s="26"/>
      <c r="X1419" s="2"/>
      <c r="Y1419" s="11"/>
      <c r="Z1419" s="2" t="s">
        <v>36</v>
      </c>
      <c r="AA1419" s="13" t="s">
        <v>10382</v>
      </c>
      <c r="AB1419" s="13">
        <v>4038884</v>
      </c>
    </row>
    <row r="1420" spans="1:28">
      <c r="A1420" s="2" t="s">
        <v>9098</v>
      </c>
      <c r="B1420" s="2" t="s">
        <v>368</v>
      </c>
      <c r="C1420" s="86" t="s">
        <v>2018</v>
      </c>
      <c r="D1420" s="2" t="s">
        <v>30</v>
      </c>
      <c r="E1420" s="2" t="s">
        <v>213</v>
      </c>
      <c r="F1420" s="11" t="s">
        <v>1196</v>
      </c>
      <c r="G1420" s="21" t="s">
        <v>1197</v>
      </c>
      <c r="H1420" s="2" t="s">
        <v>1198</v>
      </c>
      <c r="I1420" s="12" t="s">
        <v>514</v>
      </c>
      <c r="J1420" s="22">
        <f>+Tabla1[[#This Row],[FECHA ENTRADA]]</f>
        <v>45582</v>
      </c>
      <c r="K1420" s="22">
        <v>45821</v>
      </c>
      <c r="L1420" s="23">
        <f>_xlfn.DAYS(Tabla1[[#This Row],[FECHA FIN ]],Tabla1[[#This Row],[FECHA INICIO]])</f>
        <v>239</v>
      </c>
      <c r="M1420" s="12"/>
      <c r="N1420" s="12"/>
      <c r="O1420" s="24">
        <f>(Tabla1[[#This Row],[COSTO FIJO ]]/30)*Tabla1[[#This Row],[TOTAL DIAS PROYECTO]]+(Tabla1[[#This Row],[COSTO TEMPORAL]])</f>
        <v>0</v>
      </c>
      <c r="P1420" s="12">
        <f>2134.37/19</f>
        <v>112.33526315789473</v>
      </c>
      <c r="Q1420" s="12">
        <f>+(Tabla1[[#This Row],[COSTO COCHE]]/30)*Tabla1[[#This Row],[TOTAL DIAS PROYECTO]]</f>
        <v>894.93759649122796</v>
      </c>
      <c r="R1420" s="12">
        <f>+Tabla1[[#This Row],[COSTO TOTAL ALOJAMIENTO]]+Tabla1[[#This Row],[COSTO TOTAL COCHE]]</f>
        <v>894.93759649122796</v>
      </c>
      <c r="S1420" s="2"/>
      <c r="T1420" s="2" t="s">
        <v>35</v>
      </c>
      <c r="U1420" s="14">
        <v>45582</v>
      </c>
      <c r="V1420" s="25"/>
      <c r="W1420" s="26"/>
      <c r="X1420" s="2">
        <v>1</v>
      </c>
      <c r="Y1420" s="11" t="s">
        <v>530</v>
      </c>
      <c r="Z1420" s="2" t="s">
        <v>36</v>
      </c>
      <c r="AA1420" s="13" t="s">
        <v>10349</v>
      </c>
      <c r="AB1420" s="13" t="s">
        <v>10350</v>
      </c>
    </row>
    <row r="1421" spans="1:28" ht="15" customHeight="1">
      <c r="A1421" s="2" t="s">
        <v>8847</v>
      </c>
      <c r="B1421" s="2" t="s">
        <v>368</v>
      </c>
      <c r="C1421" s="11" t="s">
        <v>1001</v>
      </c>
      <c r="D1421" s="2" t="s">
        <v>99</v>
      </c>
      <c r="E1421" s="2" t="s">
        <v>538</v>
      </c>
      <c r="F1421" s="11" t="s">
        <v>539</v>
      </c>
      <c r="G1421" s="11" t="s">
        <v>540</v>
      </c>
      <c r="H1421" s="2" t="s">
        <v>2954</v>
      </c>
      <c r="I1421" s="12" t="s">
        <v>1392</v>
      </c>
      <c r="J1421" s="22">
        <f>+Tabla1[[#This Row],[FECHA ENTRADA]]</f>
        <v>45718</v>
      </c>
      <c r="K1421" s="22">
        <v>45763</v>
      </c>
      <c r="L1421" s="23">
        <f>_xlfn.DAYS(Tabla1[[#This Row],[FECHA FIN ]],Tabla1[[#This Row],[FECHA INICIO]])</f>
        <v>45</v>
      </c>
      <c r="M1421" s="12"/>
      <c r="N1421" s="12"/>
      <c r="O1421" s="24">
        <f>(Tabla1[[#This Row],[COSTO FIJO ]]/30)*Tabla1[[#This Row],[TOTAL DIAS PROYECTO]]+(Tabla1[[#This Row],[COSTO TEMPORAL]])</f>
        <v>0</v>
      </c>
      <c r="P1421" s="12"/>
      <c r="Q1421" s="12">
        <f>+(Tabla1[[#This Row],[COSTO COCHE]]/30)*Tabla1[[#This Row],[TOTAL DIAS PROYECTO]]</f>
        <v>0</v>
      </c>
      <c r="R1421" s="12">
        <f>+Tabla1[[#This Row],[COSTO TOTAL ALOJAMIENTO]]+Tabla1[[#This Row],[COSTO TOTAL COCHE]]</f>
        <v>0</v>
      </c>
      <c r="S1421" s="2"/>
      <c r="T1421" s="2" t="s">
        <v>613</v>
      </c>
      <c r="U1421" s="14">
        <v>45718</v>
      </c>
      <c r="V1421" s="79"/>
      <c r="W1421" s="26"/>
      <c r="X1421" s="2">
        <v>1</v>
      </c>
      <c r="Y1421" t="s">
        <v>2955</v>
      </c>
      <c r="Z1421" s="2" t="s">
        <v>36</v>
      </c>
      <c r="AA1421" s="13">
        <v>-378939</v>
      </c>
      <c r="AB1421" s="13">
        <v>3776578</v>
      </c>
    </row>
    <row r="1422" spans="1:28">
      <c r="A1422" s="2" t="s">
        <v>9370</v>
      </c>
      <c r="B1422" s="2" t="s">
        <v>28</v>
      </c>
      <c r="C1422" s="31" t="s">
        <v>2956</v>
      </c>
      <c r="D1422" s="2" t="s">
        <v>30</v>
      </c>
      <c r="E1422" s="2" t="s">
        <v>415</v>
      </c>
      <c r="F1422" s="11" t="s">
        <v>2773</v>
      </c>
      <c r="G1422" s="49" t="s">
        <v>1413</v>
      </c>
      <c r="H1422" s="2" t="s">
        <v>2957</v>
      </c>
      <c r="I1422" s="12" t="s">
        <v>800</v>
      </c>
      <c r="J1422" s="41">
        <f>+Tabla1[[#This Row],[FECHA ENTRADA]]</f>
        <v>45683</v>
      </c>
      <c r="K1422" s="22">
        <v>45821</v>
      </c>
      <c r="L1422" s="42">
        <f>_xlfn.DAYS(Tabla1[[#This Row],[FECHA FIN ]],Tabla1[[#This Row],[FECHA INICIO]])</f>
        <v>138</v>
      </c>
      <c r="M1422" s="12"/>
      <c r="N1422" s="12"/>
      <c r="O1422" s="28">
        <f>(Tabla1[[#This Row],[COSTO FIJO ]]/30)*Tabla1[[#This Row],[TOTAL DIAS PROYECTO]]+(Tabla1[[#This Row],[COSTO TEMPORAL]])</f>
        <v>0</v>
      </c>
      <c r="P1422" s="12"/>
      <c r="Q1422" s="12">
        <f>+(Tabla1[[#This Row],[COSTO COCHE]]/30)*Tabla1[[#This Row],[TOTAL DIAS PROYECTO]]</f>
        <v>0</v>
      </c>
      <c r="R1422" s="12">
        <f>+Tabla1[[#This Row],[COSTO TOTAL ALOJAMIENTO]]+Tabla1[[#This Row],[COSTO TOTAL COCHE]]</f>
        <v>0</v>
      </c>
      <c r="S1422" s="2"/>
      <c r="T1422" s="2" t="s">
        <v>35</v>
      </c>
      <c r="U1422" s="14">
        <v>45683</v>
      </c>
      <c r="V1422" s="79"/>
      <c r="W1422" s="26"/>
      <c r="X1422" s="2">
        <v>1</v>
      </c>
      <c r="Y1422" s="11"/>
      <c r="Z1422" s="2" t="s">
        <v>36</v>
      </c>
      <c r="AA1422" s="13">
        <v>-0.37739</v>
      </c>
      <c r="AB1422" s="13" t="s">
        <v>10372</v>
      </c>
    </row>
    <row r="1423" spans="1:28" ht="15" customHeight="1">
      <c r="A1423" s="2" t="s">
        <v>9034</v>
      </c>
      <c r="B1423" s="2" t="s">
        <v>28</v>
      </c>
      <c r="C1423" s="18" t="s">
        <v>1752</v>
      </c>
      <c r="D1423" s="2" t="s">
        <v>78</v>
      </c>
      <c r="E1423" s="2" t="s">
        <v>79</v>
      </c>
      <c r="F1423" s="11" t="s">
        <v>142</v>
      </c>
      <c r="G1423" s="11" t="s">
        <v>143</v>
      </c>
      <c r="H1423" s="2" t="s">
        <v>704</v>
      </c>
      <c r="I1423" s="29" t="s">
        <v>145</v>
      </c>
      <c r="J1423" s="8">
        <f>+Tabla1[[#This Row],[FECHA ENTRADA]]</f>
        <v>45427</v>
      </c>
      <c r="K1423" s="22">
        <v>45821</v>
      </c>
      <c r="L1423" s="13">
        <f>_xlfn.DAYS(Tabla1[[#This Row],[FECHA FIN ]],Tabla1[[#This Row],[FECHA INICIO]])</f>
        <v>394</v>
      </c>
      <c r="M1423" s="12"/>
      <c r="N1423" s="12">
        <f>1811.6/17</f>
        <v>106.56470588235294</v>
      </c>
      <c r="O1423" s="12">
        <f>(Tabla1[[#This Row],[COSTO FIJO ]]/30)*Tabla1[[#This Row],[TOTAL DIAS PROYECTO]]+(Tabla1[[#This Row],[COSTO TEMPORAL]])</f>
        <v>1399.5498039215686</v>
      </c>
      <c r="P1423" s="12"/>
      <c r="Q1423" s="12">
        <f>+(Tabla1[[#This Row],[COSTO COCHE]]/30)*Tabla1[[#This Row],[TOTAL DIAS PROYECTO]]</f>
        <v>0</v>
      </c>
      <c r="R1423" s="12">
        <f>+Tabla1[[#This Row],[COSTO TOTAL ALOJAMIENTO]]+Tabla1[[#This Row],[COSTO TOTAL COCHE]]</f>
        <v>1399.5498039215686</v>
      </c>
      <c r="S1423" s="2"/>
      <c r="T1423" s="2" t="s">
        <v>44</v>
      </c>
      <c r="U1423" s="14">
        <v>45427</v>
      </c>
      <c r="V1423" s="14">
        <v>45658</v>
      </c>
      <c r="W1423" s="26"/>
      <c r="X1423" s="2">
        <v>12</v>
      </c>
      <c r="Y1423" s="11" t="s">
        <v>2958</v>
      </c>
      <c r="Z1423" s="2" t="s">
        <v>36</v>
      </c>
      <c r="AA1423" s="13" t="s">
        <v>10333</v>
      </c>
      <c r="AB1423" s="13" t="s">
        <v>10334</v>
      </c>
    </row>
    <row r="1424" spans="1:28" ht="15" customHeight="1">
      <c r="A1424" s="2" t="s">
        <v>9329</v>
      </c>
      <c r="B1424" s="2" t="s">
        <v>368</v>
      </c>
      <c r="C1424" s="181" t="s">
        <v>2840</v>
      </c>
      <c r="D1424" s="2" t="s">
        <v>30</v>
      </c>
      <c r="E1424" s="2" t="s">
        <v>734</v>
      </c>
      <c r="F1424" s="11" t="s">
        <v>735</v>
      </c>
      <c r="G1424" s="30" t="s">
        <v>736</v>
      </c>
      <c r="H1424" s="2" t="s">
        <v>2472</v>
      </c>
      <c r="I1424" s="12" t="s">
        <v>152</v>
      </c>
      <c r="J1424" s="22">
        <f>+Tabla1[[#This Row],[FECHA ENTRADA]]</f>
        <v>45641</v>
      </c>
      <c r="K1424" s="22">
        <v>45821</v>
      </c>
      <c r="L1424" s="23">
        <f>_xlfn.DAYS(Tabla1[[#This Row],[FECHA FIN ]],Tabla1[[#This Row],[FECHA INICIO]])</f>
        <v>180</v>
      </c>
      <c r="M1424" s="12"/>
      <c r="N1424" s="12"/>
      <c r="O1424" s="24">
        <f>(Tabla1[[#This Row],[COSTO FIJO ]]/30)*Tabla1[[#This Row],[TOTAL DIAS PROYECTO]]+(Tabla1[[#This Row],[COSTO TEMPORAL]])</f>
        <v>0</v>
      </c>
      <c r="P1424" s="12"/>
      <c r="Q1424" s="12">
        <f>+(Tabla1[[#This Row],[COSTO COCHE]]/30)*Tabla1[[#This Row],[TOTAL DIAS PROYECTO]]</f>
        <v>0</v>
      </c>
      <c r="R1424" s="12">
        <f>+Tabla1[[#This Row],[COSTO TOTAL ALOJAMIENTO]]+Tabla1[[#This Row],[COSTO TOTAL COCHE]]</f>
        <v>0</v>
      </c>
      <c r="S1424" s="2"/>
      <c r="T1424" s="2" t="s">
        <v>35</v>
      </c>
      <c r="U1424" s="14">
        <v>45641</v>
      </c>
      <c r="V1424" s="25"/>
      <c r="W1424" s="26"/>
      <c r="X1424" s="2">
        <v>1</v>
      </c>
      <c r="Y1424" s="96">
        <v>45674</v>
      </c>
      <c r="Z1424" s="2" t="s">
        <v>36</v>
      </c>
      <c r="AA1424" s="13" t="s">
        <v>10396</v>
      </c>
      <c r="AB1424" s="13" t="s">
        <v>10397</v>
      </c>
    </row>
    <row r="1425" spans="1:28" ht="15" customHeight="1">
      <c r="A1425" s="2" t="s">
        <v>8835</v>
      </c>
      <c r="B1425" s="2" t="s">
        <v>368</v>
      </c>
      <c r="C1425" s="11" t="s">
        <v>954</v>
      </c>
      <c r="D1425" s="2" t="s">
        <v>30</v>
      </c>
      <c r="E1425" s="2" t="s">
        <v>31</v>
      </c>
      <c r="F1425" s="11" t="s">
        <v>1004</v>
      </c>
      <c r="G1425" s="51" t="s">
        <v>1005</v>
      </c>
      <c r="H1425" s="2" t="s">
        <v>2959</v>
      </c>
      <c r="I1425" s="12" t="s">
        <v>1208</v>
      </c>
      <c r="J1425" s="41">
        <f>+Tabla1[[#This Row],[FECHA ENTRADA]]</f>
        <v>45634</v>
      </c>
      <c r="K1425" s="8">
        <v>45644</v>
      </c>
      <c r="L1425" s="42">
        <f>_xlfn.DAYS(Tabla1[[#This Row],[FECHA FIN ]],Tabla1[[#This Row],[FECHA INICIO]])</f>
        <v>10</v>
      </c>
      <c r="M1425" s="12"/>
      <c r="N1425" s="12"/>
      <c r="O1425" s="28">
        <f>(Tabla1[[#This Row],[COSTO FIJO ]]/30)*Tabla1[[#This Row],[TOTAL DIAS PROYECTO]]+(Tabla1[[#This Row],[COSTO TEMPORAL]])</f>
        <v>0</v>
      </c>
      <c r="P1425" s="12"/>
      <c r="Q1425" s="12">
        <f>+(Tabla1[[#This Row],[COSTO COCHE]]/30)*Tabla1[[#This Row],[TOTAL DIAS PROYECTO]]</f>
        <v>0</v>
      </c>
      <c r="R1425" s="12">
        <f>+Tabla1[[#This Row],[COSTO TOTAL ALOJAMIENTO]]+Tabla1[[#This Row],[COSTO TOTAL COCHE]]</f>
        <v>0</v>
      </c>
      <c r="S1425" s="2"/>
      <c r="T1425" s="2" t="s">
        <v>35</v>
      </c>
      <c r="U1425" s="14">
        <v>45634</v>
      </c>
      <c r="V1425" s="43"/>
      <c r="W1425" s="26"/>
      <c r="X1425" s="2">
        <v>1</v>
      </c>
      <c r="Y1425" s="11"/>
      <c r="Z1425" s="2" t="s">
        <v>36</v>
      </c>
      <c r="AA1425" s="13" t="s">
        <v>10323</v>
      </c>
      <c r="AB1425" s="13" t="s">
        <v>10324</v>
      </c>
    </row>
    <row r="1426" spans="1:28" ht="15" customHeight="1">
      <c r="A1426" s="2" t="s">
        <v>8809</v>
      </c>
      <c r="B1426" s="2" t="s">
        <v>28</v>
      </c>
      <c r="C1426" s="18" t="s">
        <v>853</v>
      </c>
      <c r="D1426" s="2" t="s">
        <v>78</v>
      </c>
      <c r="E1426" s="2" t="s">
        <v>79</v>
      </c>
      <c r="F1426" s="11" t="s">
        <v>142</v>
      </c>
      <c r="G1426" s="11" t="s">
        <v>143</v>
      </c>
      <c r="H1426" s="2" t="s">
        <v>144</v>
      </c>
      <c r="I1426" s="29" t="s">
        <v>145</v>
      </c>
      <c r="J1426" s="8">
        <f>+Tabla1[[#This Row],[FECHA ENTRADA]]</f>
        <v>45346</v>
      </c>
      <c r="K1426" s="22">
        <v>45821</v>
      </c>
      <c r="L1426" s="13">
        <f>_xlfn.DAYS(Tabla1[[#This Row],[FECHA FIN ]],Tabla1[[#This Row],[FECHA INICIO]])</f>
        <v>475</v>
      </c>
      <c r="M1426" s="12"/>
      <c r="N1426" s="24">
        <v>450</v>
      </c>
      <c r="O1426" s="12">
        <f>(Tabla1[[#This Row],[COSTO FIJO ]]/30)*Tabla1[[#This Row],[TOTAL DIAS PROYECTO]]+(Tabla1[[#This Row],[COSTO TEMPORAL]])</f>
        <v>7125</v>
      </c>
      <c r="P1426" s="12"/>
      <c r="Q1426" s="12">
        <f>+(Tabla1[[#This Row],[COSTO COCHE]]/30)*Tabla1[[#This Row],[TOTAL DIAS PROYECTO]]</f>
        <v>0</v>
      </c>
      <c r="R1426" s="12">
        <f>+Tabla1[[#This Row],[COSTO TOTAL ALOJAMIENTO]]+Tabla1[[#This Row],[COSTO TOTAL COCHE]]</f>
        <v>7125</v>
      </c>
      <c r="S1426" s="2"/>
      <c r="T1426" s="2" t="s">
        <v>44</v>
      </c>
      <c r="U1426" s="14">
        <v>45346</v>
      </c>
      <c r="V1426" s="14">
        <v>45658</v>
      </c>
      <c r="W1426" s="15"/>
      <c r="X1426" s="16">
        <v>23</v>
      </c>
      <c r="Y1426" s="11"/>
      <c r="Z1426" s="2" t="s">
        <v>36</v>
      </c>
      <c r="AA1426" s="13" t="s">
        <v>10333</v>
      </c>
      <c r="AB1426" s="13" t="s">
        <v>10334</v>
      </c>
    </row>
    <row r="1427" spans="1:28" ht="15" customHeight="1">
      <c r="A1427" s="2" t="s">
        <v>9136</v>
      </c>
      <c r="B1427" s="2" t="s">
        <v>28</v>
      </c>
      <c r="C1427" s="115" t="s">
        <v>2152</v>
      </c>
      <c r="D1427" s="2" t="s">
        <v>78</v>
      </c>
      <c r="E1427" s="2" t="s">
        <v>79</v>
      </c>
      <c r="F1427" s="11" t="s">
        <v>142</v>
      </c>
      <c r="G1427" s="11" t="s">
        <v>143</v>
      </c>
      <c r="H1427" s="2" t="s">
        <v>366</v>
      </c>
      <c r="I1427" s="29" t="s">
        <v>145</v>
      </c>
      <c r="J1427" s="8">
        <f>+Tabla1[[#This Row],[FECHA ENTRADA]]</f>
        <v>45458</v>
      </c>
      <c r="K1427" s="22">
        <v>45821</v>
      </c>
      <c r="L1427" s="13">
        <f>_xlfn.DAYS(Tabla1[[#This Row],[FECHA FIN ]],Tabla1[[#This Row],[FECHA INICIO]])</f>
        <v>363</v>
      </c>
      <c r="M1427" s="12"/>
      <c r="N1427" s="24"/>
      <c r="O1427" s="12">
        <f>(Tabla1[[#This Row],[COSTO FIJO ]]/30)*Tabla1[[#This Row],[TOTAL DIAS PROYECTO]]+(Tabla1[[#This Row],[COSTO TEMPORAL]])</f>
        <v>0</v>
      </c>
      <c r="P1427" s="12"/>
      <c r="Q1427" s="12">
        <f>+(Tabla1[[#This Row],[COSTO COCHE]]/30)*Tabla1[[#This Row],[TOTAL DIAS PROYECTO]]</f>
        <v>0</v>
      </c>
      <c r="R1427" s="12">
        <f>+Tabla1[[#This Row],[COSTO TOTAL ALOJAMIENTO]]+Tabla1[[#This Row],[COSTO TOTAL COCHE]]</f>
        <v>0</v>
      </c>
      <c r="S1427" s="2"/>
      <c r="T1427" s="2" t="s">
        <v>44</v>
      </c>
      <c r="U1427" s="14">
        <v>45458</v>
      </c>
      <c r="V1427" s="14">
        <v>45658</v>
      </c>
      <c r="W1427" s="26"/>
      <c r="X1427" s="2">
        <v>13</v>
      </c>
      <c r="Y1427" s="11" t="s">
        <v>2960</v>
      </c>
      <c r="Z1427" s="2" t="s">
        <v>36</v>
      </c>
      <c r="AA1427" s="13" t="s">
        <v>10333</v>
      </c>
      <c r="AB1427" s="13" t="s">
        <v>10334</v>
      </c>
    </row>
    <row r="1428" spans="1:28">
      <c r="A1428" s="2" t="s">
        <v>8883</v>
      </c>
      <c r="B1428" s="2" t="s">
        <v>368</v>
      </c>
      <c r="C1428" s="18" t="s">
        <v>1156</v>
      </c>
      <c r="D1428" s="2" t="s">
        <v>30</v>
      </c>
      <c r="E1428" s="2" t="s">
        <v>447</v>
      </c>
      <c r="F1428" s="11" t="s">
        <v>840</v>
      </c>
      <c r="G1428" s="21" t="s">
        <v>1095</v>
      </c>
      <c r="H1428" s="2" t="s">
        <v>2317</v>
      </c>
      <c r="I1428" s="12" t="s">
        <v>843</v>
      </c>
      <c r="J1428" s="22">
        <f>+Tabla1[[#This Row],[FECHA ENTRADA]]</f>
        <v>45615</v>
      </c>
      <c r="K1428" s="22">
        <v>45821</v>
      </c>
      <c r="L1428" s="23">
        <f>_xlfn.DAYS(Tabla1[[#This Row],[FECHA FIN ]],Tabla1[[#This Row],[FECHA INICIO]])</f>
        <v>206</v>
      </c>
      <c r="M1428" s="12"/>
      <c r="N1428" s="12">
        <f>1811.6/17</f>
        <v>106.56470588235294</v>
      </c>
      <c r="O1428" s="24">
        <f>(Tabla1[[#This Row],[COSTO FIJO ]]/30)*Tabla1[[#This Row],[TOTAL DIAS PROYECTO]]+(Tabla1[[#This Row],[COSTO TEMPORAL]])</f>
        <v>731.7443137254902</v>
      </c>
      <c r="P1428" s="12"/>
      <c r="Q1428" s="12">
        <f>+(Tabla1[[#This Row],[COSTO COCHE]]/30)*Tabla1[[#This Row],[TOTAL DIAS PROYECTO]]</f>
        <v>0</v>
      </c>
      <c r="R1428" s="12">
        <f>+Tabla1[[#This Row],[COSTO TOTAL ALOJAMIENTO]]+Tabla1[[#This Row],[COSTO TOTAL COCHE]]</f>
        <v>731.7443137254902</v>
      </c>
      <c r="S1428" s="2"/>
      <c r="T1428" s="2" t="s">
        <v>35</v>
      </c>
      <c r="U1428" s="14">
        <v>45615</v>
      </c>
      <c r="V1428" s="79"/>
      <c r="W1428" s="26"/>
      <c r="X1428" s="2">
        <v>1</v>
      </c>
      <c r="Y1428" s="11" t="s">
        <v>2961</v>
      </c>
      <c r="Z1428" s="2" t="s">
        <v>36</v>
      </c>
      <c r="AA1428" s="13">
        <v>-697.06100000000004</v>
      </c>
      <c r="AB1428" s="13" t="s">
        <v>10377</v>
      </c>
    </row>
    <row r="1429" spans="1:28" ht="15" customHeight="1">
      <c r="A1429" s="2" t="s">
        <v>9202</v>
      </c>
      <c r="B1429" s="2" t="s">
        <v>28</v>
      </c>
      <c r="C1429" s="86" t="s">
        <v>2419</v>
      </c>
      <c r="D1429" s="2" t="s">
        <v>30</v>
      </c>
      <c r="E1429" s="2" t="s">
        <v>151</v>
      </c>
      <c r="F1429" s="11" t="s">
        <v>2962</v>
      </c>
      <c r="G1429" s="30" t="s">
        <v>2963</v>
      </c>
      <c r="H1429" s="2" t="s">
        <v>1260</v>
      </c>
      <c r="I1429" s="12" t="s">
        <v>152</v>
      </c>
      <c r="J1429" s="41">
        <f>+Tabla1[[#This Row],[FECHA ENTRADA]]</f>
        <v>45686</v>
      </c>
      <c r="K1429" s="22">
        <v>45821</v>
      </c>
      <c r="L1429" s="42">
        <f>_xlfn.DAYS(Tabla1[[#This Row],[FECHA FIN ]],Tabla1[[#This Row],[FECHA INICIO]])</f>
        <v>135</v>
      </c>
      <c r="M1429" s="12"/>
      <c r="N1429" s="12">
        <f>1811.6/17</f>
        <v>106.56470588235294</v>
      </c>
      <c r="O1429" s="28">
        <f>(Tabla1[[#This Row],[COSTO FIJO ]]/30)*Tabla1[[#This Row],[TOTAL DIAS PROYECTO]]+(Tabla1[[#This Row],[COSTO TEMPORAL]])</f>
        <v>479.54117647058825</v>
      </c>
      <c r="P1429" s="12">
        <f>3067.87/22</f>
        <v>139.44863636363635</v>
      </c>
      <c r="Q1429" s="12">
        <f>+(Tabla1[[#This Row],[COSTO COCHE]]/30)*Tabla1[[#This Row],[TOTAL DIAS PROYECTO]]</f>
        <v>627.51886363636368</v>
      </c>
      <c r="R1429" s="12">
        <f>+Tabla1[[#This Row],[COSTO TOTAL ALOJAMIENTO]]+Tabla1[[#This Row],[COSTO TOTAL COCHE]]</f>
        <v>1107.0600401069519</v>
      </c>
      <c r="S1429" s="2"/>
      <c r="T1429" s="2" t="s">
        <v>35</v>
      </c>
      <c r="U1429" s="14">
        <v>45686</v>
      </c>
      <c r="V1429" s="43"/>
      <c r="W1429" s="26"/>
      <c r="X1429" s="2">
        <v>1</v>
      </c>
      <c r="Y1429" s="11"/>
      <c r="Z1429" s="2" t="s">
        <v>36</v>
      </c>
      <c r="AA1429" s="13" t="s">
        <v>10345</v>
      </c>
      <c r="AB1429" s="13" t="s">
        <v>10346</v>
      </c>
    </row>
    <row r="1430" spans="1:28" ht="15" customHeight="1">
      <c r="A1430" s="2" t="s">
        <v>9165</v>
      </c>
      <c r="B1430" s="2" t="s">
        <v>368</v>
      </c>
      <c r="C1430" s="104" t="s">
        <v>2289</v>
      </c>
      <c r="D1430" s="2" t="s">
        <v>78</v>
      </c>
      <c r="E1430" s="2" t="s">
        <v>1483</v>
      </c>
      <c r="F1430" s="11" t="s">
        <v>2964</v>
      </c>
      <c r="G1430" s="46" t="s">
        <v>2965</v>
      </c>
      <c r="H1430" s="2" t="s">
        <v>1486</v>
      </c>
      <c r="I1430" s="29" t="s">
        <v>1487</v>
      </c>
      <c r="J1430" s="41">
        <f>+Tabla1[[#This Row],[FECHA ENTRADA]]</f>
        <v>45629</v>
      </c>
      <c r="K1430" s="22">
        <v>45821</v>
      </c>
      <c r="L1430" s="42">
        <f>_xlfn.DAYS(Tabla1[[#This Row],[FECHA FIN ]],Tabla1[[#This Row],[FECHA INICIO]])</f>
        <v>192</v>
      </c>
      <c r="M1430" s="12"/>
      <c r="N1430" s="12"/>
      <c r="O1430" s="28">
        <f>(Tabla1[[#This Row],[COSTO FIJO ]]/30)*Tabla1[[#This Row],[TOTAL DIAS PROYECTO]]+(Tabla1[[#This Row],[COSTO TEMPORAL]])</f>
        <v>0</v>
      </c>
      <c r="P1430" s="12">
        <v>100</v>
      </c>
      <c r="Q1430" s="12">
        <f>+(Tabla1[[#This Row],[COSTO COCHE]]/30)*Tabla1[[#This Row],[TOTAL DIAS PROYECTO]]</f>
        <v>640</v>
      </c>
      <c r="R1430" s="12">
        <f>+Tabla1[[#This Row],[COSTO TOTAL ALOJAMIENTO]]+Tabla1[[#This Row],[COSTO TOTAL COCHE]]</f>
        <v>640</v>
      </c>
      <c r="S1430" s="2" t="s">
        <v>84</v>
      </c>
      <c r="T1430" s="2" t="s">
        <v>44</v>
      </c>
      <c r="U1430" s="14">
        <v>45629</v>
      </c>
      <c r="V1430" s="43">
        <v>45659</v>
      </c>
      <c r="W1430" s="26"/>
      <c r="X1430" s="2"/>
      <c r="Y1430" s="11"/>
      <c r="Z1430" s="2" t="s">
        <v>36</v>
      </c>
      <c r="AA1430" s="13" t="s">
        <v>10422</v>
      </c>
      <c r="AB1430" s="13" t="s">
        <v>10423</v>
      </c>
    </row>
    <row r="1431" spans="1:28" ht="15" customHeight="1">
      <c r="A1431" s="2" t="s">
        <v>9371</v>
      </c>
      <c r="B1431" s="2" t="s">
        <v>368</v>
      </c>
      <c r="C1431" s="11" t="s">
        <v>2966</v>
      </c>
      <c r="D1431" s="2" t="s">
        <v>78</v>
      </c>
      <c r="E1431" s="2" t="s">
        <v>1483</v>
      </c>
      <c r="F1431" s="11" t="s">
        <v>2964</v>
      </c>
      <c r="G1431" s="46" t="s">
        <v>2965</v>
      </c>
      <c r="H1431" s="2" t="s">
        <v>1486</v>
      </c>
      <c r="I1431" s="29" t="s">
        <v>1487</v>
      </c>
      <c r="J1431" s="41">
        <f>+Tabla1[[#This Row],[FECHA ENTRADA]]</f>
        <v>45629</v>
      </c>
      <c r="K1431" s="22">
        <v>45821</v>
      </c>
      <c r="L1431" s="42">
        <f>_xlfn.DAYS(Tabla1[[#This Row],[FECHA FIN ]],Tabla1[[#This Row],[FECHA INICIO]])</f>
        <v>192</v>
      </c>
      <c r="M1431" s="12"/>
      <c r="N1431" s="12">
        <f>1811.6/17</f>
        <v>106.56470588235294</v>
      </c>
      <c r="O1431" s="28">
        <f>(Tabla1[[#This Row],[COSTO FIJO ]]/30)*Tabla1[[#This Row],[TOTAL DIAS PROYECTO]]+(Tabla1[[#This Row],[COSTO TEMPORAL]])</f>
        <v>682.01411764705881</v>
      </c>
      <c r="P1431" s="12">
        <v>100</v>
      </c>
      <c r="Q1431" s="12">
        <f>+(Tabla1[[#This Row],[COSTO COCHE]]/30)*Tabla1[[#This Row],[TOTAL DIAS PROYECTO]]</f>
        <v>640</v>
      </c>
      <c r="R1431" s="12">
        <f>+Tabla1[[#This Row],[COSTO TOTAL ALOJAMIENTO]]+Tabla1[[#This Row],[COSTO TOTAL COCHE]]</f>
        <v>1322.0141176470588</v>
      </c>
      <c r="S1431" s="2" t="s">
        <v>84</v>
      </c>
      <c r="T1431" s="2" t="s">
        <v>44</v>
      </c>
      <c r="U1431" s="14">
        <v>45629</v>
      </c>
      <c r="V1431" s="43">
        <v>45659</v>
      </c>
      <c r="W1431" s="26"/>
      <c r="X1431" s="2"/>
      <c r="Y1431" s="11" t="s">
        <v>1166</v>
      </c>
      <c r="Z1431" s="2" t="s">
        <v>36</v>
      </c>
      <c r="AA1431" s="13" t="s">
        <v>10422</v>
      </c>
      <c r="AB1431" s="13" t="s">
        <v>10423</v>
      </c>
    </row>
    <row r="1432" spans="1:28">
      <c r="A1432" s="2" t="s">
        <v>8676</v>
      </c>
      <c r="B1432" s="2" t="s">
        <v>28</v>
      </c>
      <c r="C1432" s="86" t="s">
        <v>244</v>
      </c>
      <c r="D1432" s="2" t="s">
        <v>30</v>
      </c>
      <c r="E1432" s="2" t="s">
        <v>31</v>
      </c>
      <c r="F1432" s="11" t="s">
        <v>530</v>
      </c>
      <c r="G1432" s="11" t="s">
        <v>531</v>
      </c>
      <c r="H1432" s="2" t="s">
        <v>1356</v>
      </c>
      <c r="I1432" s="12" t="s">
        <v>1357</v>
      </c>
      <c r="J1432" s="41">
        <f>+Tabla1[[#This Row],[FECHA ENTRADA]]</f>
        <v>45613</v>
      </c>
      <c r="K1432" s="22">
        <v>45821</v>
      </c>
      <c r="L1432" s="42">
        <f>_xlfn.DAYS(Tabla1[[#This Row],[FECHA FIN ]],Tabla1[[#This Row],[FECHA INICIO]])</f>
        <v>208</v>
      </c>
      <c r="M1432" s="12"/>
      <c r="N1432" s="12">
        <f>1811.6/17</f>
        <v>106.56470588235294</v>
      </c>
      <c r="O1432" s="28">
        <f>(Tabla1[[#This Row],[COSTO FIJO ]]/30)*Tabla1[[#This Row],[TOTAL DIAS PROYECTO]]+(Tabla1[[#This Row],[COSTO TEMPORAL]])</f>
        <v>738.84862745098042</v>
      </c>
      <c r="P1432" s="12"/>
      <c r="Q1432" s="12">
        <f>+(Tabla1[[#This Row],[COSTO COCHE]]/30)*Tabla1[[#This Row],[TOTAL DIAS PROYECTO]]</f>
        <v>0</v>
      </c>
      <c r="R1432" s="12">
        <f>+Tabla1[[#This Row],[COSTO TOTAL ALOJAMIENTO]]+Tabla1[[#This Row],[COSTO TOTAL COCHE]]</f>
        <v>738.84862745098042</v>
      </c>
      <c r="S1432" s="2"/>
      <c r="T1432" s="2" t="s">
        <v>35</v>
      </c>
      <c r="U1432" s="14">
        <v>45613</v>
      </c>
      <c r="V1432" s="43"/>
      <c r="W1432" s="26"/>
      <c r="X1432" s="2">
        <v>1</v>
      </c>
      <c r="Y1432" s="11"/>
      <c r="Z1432" s="2" t="s">
        <v>36</v>
      </c>
      <c r="AA1432" s="13" t="s">
        <v>10323</v>
      </c>
      <c r="AB1432" s="13" t="s">
        <v>10324</v>
      </c>
    </row>
    <row r="1433" spans="1:28">
      <c r="A1433" s="2" t="s">
        <v>8673</v>
      </c>
      <c r="B1433" s="30" t="s">
        <v>368</v>
      </c>
      <c r="C1433" s="11" t="s">
        <v>235</v>
      </c>
      <c r="D1433" s="2" t="s">
        <v>2895</v>
      </c>
      <c r="E1433" s="2" t="s">
        <v>2896</v>
      </c>
      <c r="F1433" s="11"/>
      <c r="G1433" s="30" t="s">
        <v>2860</v>
      </c>
      <c r="H1433" s="2" t="s">
        <v>2897</v>
      </c>
      <c r="I1433" s="12" t="s">
        <v>2862</v>
      </c>
      <c r="J1433" s="8">
        <f>+Tabla1[[#This Row],[FECHA ENTRADA]]</f>
        <v>45536</v>
      </c>
      <c r="K1433" s="8">
        <v>45561</v>
      </c>
      <c r="L1433" s="13">
        <f>_xlfn.DAYS(Tabla1[[#This Row],[FECHA FIN ]],Tabla1[[#This Row],[FECHA INICIO]])</f>
        <v>25</v>
      </c>
      <c r="M1433" s="12"/>
      <c r="N1433" s="12"/>
      <c r="O1433" s="12">
        <f>(Tabla1[[#This Row],[COSTO FIJO ]]/30)*Tabla1[[#This Row],[TOTAL DIAS PROYECTO]]+(Tabla1[[#This Row],[COSTO TEMPORAL]])</f>
        <v>0</v>
      </c>
      <c r="P1433" s="12"/>
      <c r="Q1433" s="12">
        <f>+(Tabla1[[#This Row],[COSTO COCHE]]/30)*Tabla1[[#This Row],[TOTAL DIAS PROYECTO]]</f>
        <v>0</v>
      </c>
      <c r="R1433" s="12">
        <f>+Tabla1[[#This Row],[COSTO TOTAL ALOJAMIENTO]]+Tabla1[[#This Row],[COSTO TOTAL COCHE]]</f>
        <v>0</v>
      </c>
      <c r="S1433" s="2"/>
      <c r="T1433" s="2" t="s">
        <v>35</v>
      </c>
      <c r="U1433" s="14">
        <v>45536</v>
      </c>
      <c r="V1433" s="14"/>
      <c r="W1433" s="26"/>
      <c r="X1433" s="2"/>
      <c r="Y1433" s="11" t="s">
        <v>2967</v>
      </c>
      <c r="Z1433" s="2" t="s">
        <v>36</v>
      </c>
      <c r="AA1433" s="13" t="s">
        <v>10437</v>
      </c>
      <c r="AB1433" s="13">
        <v>39.475810000000003</v>
      </c>
    </row>
    <row r="1434" spans="1:28" ht="15" customHeight="1">
      <c r="A1434" s="2" t="s">
        <v>9372</v>
      </c>
      <c r="B1434" s="2" t="s">
        <v>368</v>
      </c>
      <c r="C1434" s="11" t="s">
        <v>2968</v>
      </c>
      <c r="D1434" s="2" t="s">
        <v>78</v>
      </c>
      <c r="E1434" s="2" t="s">
        <v>1483</v>
      </c>
      <c r="F1434" s="11" t="s">
        <v>2964</v>
      </c>
      <c r="G1434" s="46" t="s">
        <v>2965</v>
      </c>
      <c r="H1434" s="2" t="s">
        <v>1486</v>
      </c>
      <c r="I1434" s="29" t="s">
        <v>1487</v>
      </c>
      <c r="J1434" s="41">
        <f>+Tabla1[[#This Row],[FECHA ENTRADA]]</f>
        <v>45629</v>
      </c>
      <c r="K1434" s="22">
        <v>45821</v>
      </c>
      <c r="L1434" s="42">
        <f>_xlfn.DAYS(Tabla1[[#This Row],[FECHA FIN ]],Tabla1[[#This Row],[FECHA INICIO]])</f>
        <v>192</v>
      </c>
      <c r="M1434" s="12"/>
      <c r="N1434" s="12">
        <f>1811.6/17</f>
        <v>106.56470588235294</v>
      </c>
      <c r="O1434" s="28">
        <f>(Tabla1[[#This Row],[COSTO FIJO ]]/30)*Tabla1[[#This Row],[TOTAL DIAS PROYECTO]]+(Tabla1[[#This Row],[COSTO TEMPORAL]])</f>
        <v>682.01411764705881</v>
      </c>
      <c r="P1434" s="12">
        <v>100</v>
      </c>
      <c r="Q1434" s="12">
        <f>+(Tabla1[[#This Row],[COSTO COCHE]]/30)*Tabla1[[#This Row],[TOTAL DIAS PROYECTO]]</f>
        <v>640</v>
      </c>
      <c r="R1434" s="12">
        <f>+Tabla1[[#This Row],[COSTO TOTAL ALOJAMIENTO]]+Tabla1[[#This Row],[COSTO TOTAL COCHE]]</f>
        <v>1322.0141176470588</v>
      </c>
      <c r="S1434" s="2" t="s">
        <v>84</v>
      </c>
      <c r="T1434" s="2" t="s">
        <v>44</v>
      </c>
      <c r="U1434" s="14">
        <v>45629</v>
      </c>
      <c r="V1434" s="43">
        <v>45659</v>
      </c>
      <c r="W1434" s="26"/>
      <c r="X1434" s="2"/>
      <c r="Y1434" s="11" t="s">
        <v>1166</v>
      </c>
      <c r="Z1434" s="2" t="s">
        <v>36</v>
      </c>
      <c r="AA1434" s="13" t="s">
        <v>10422</v>
      </c>
      <c r="AB1434" s="13" t="s">
        <v>10423</v>
      </c>
    </row>
    <row r="1435" spans="1:28" ht="15" customHeight="1">
      <c r="A1435" s="2" t="s">
        <v>9336</v>
      </c>
      <c r="B1435" s="2" t="s">
        <v>978</v>
      </c>
      <c r="C1435" s="18" t="s">
        <v>2850</v>
      </c>
      <c r="D1435" s="2" t="s">
        <v>30</v>
      </c>
      <c r="E1435" s="2" t="s">
        <v>253</v>
      </c>
      <c r="F1435" s="11" t="s">
        <v>581</v>
      </c>
      <c r="G1435" s="49" t="s">
        <v>255</v>
      </c>
      <c r="H1435" s="2" t="s">
        <v>2901</v>
      </c>
      <c r="I1435" s="10" t="s">
        <v>2902</v>
      </c>
      <c r="J1435" s="41">
        <f>+Tabla1[[#This Row],[FECHA ENTRADA]]</f>
        <v>45697</v>
      </c>
      <c r="K1435" s="22">
        <v>45821</v>
      </c>
      <c r="L1435" s="42">
        <f>_xlfn.DAYS(Tabla1[[#This Row],[FECHA FIN ]],Tabla1[[#This Row],[FECHA INICIO]])</f>
        <v>124</v>
      </c>
      <c r="M1435" s="12"/>
      <c r="N1435" s="20">
        <v>162.5</v>
      </c>
      <c r="O1435" s="28">
        <f>(Tabla1[[#This Row],[COSTO FIJO ]]/30)*Tabla1[[#This Row],[TOTAL DIAS PROYECTO]]+(Tabla1[[#This Row],[COSTO TEMPORAL]])</f>
        <v>671.66666666666674</v>
      </c>
      <c r="P1435" s="12"/>
      <c r="Q1435" s="12">
        <f>+(Tabla1[[#This Row],[COSTO COCHE]]/30)*Tabla1[[#This Row],[TOTAL DIAS PROYECTO]]</f>
        <v>0</v>
      </c>
      <c r="R1435" s="12">
        <f>+Tabla1[[#This Row],[COSTO TOTAL ALOJAMIENTO]]+Tabla1[[#This Row],[COSTO TOTAL COCHE]]</f>
        <v>671.66666666666674</v>
      </c>
      <c r="S1435" s="2"/>
      <c r="T1435" s="2" t="s">
        <v>35</v>
      </c>
      <c r="U1435" s="14">
        <v>45697</v>
      </c>
      <c r="V1435" s="79"/>
      <c r="W1435" s="26"/>
      <c r="X1435" s="2">
        <v>1</v>
      </c>
      <c r="Y1435" s="11"/>
      <c r="Z1435" s="2" t="s">
        <v>36</v>
      </c>
      <c r="AA1435" s="13" t="s">
        <v>10357</v>
      </c>
      <c r="AB1435" s="13" t="s">
        <v>10358</v>
      </c>
    </row>
    <row r="1436" spans="1:28">
      <c r="A1436" s="2" t="s">
        <v>8903</v>
      </c>
      <c r="B1436" s="10" t="s">
        <v>978</v>
      </c>
      <c r="C1436" s="18" t="s">
        <v>1213</v>
      </c>
      <c r="D1436" s="2" t="s">
        <v>30</v>
      </c>
      <c r="E1436" s="2" t="s">
        <v>31</v>
      </c>
      <c r="F1436" s="11" t="s">
        <v>530</v>
      </c>
      <c r="G1436" s="11" t="s">
        <v>531</v>
      </c>
      <c r="H1436" s="2" t="s">
        <v>2909</v>
      </c>
      <c r="I1436" s="12" t="s">
        <v>1540</v>
      </c>
      <c r="J1436" s="41">
        <f>+Tabla1[[#This Row],[FECHA ENTRADA]]</f>
        <v>45614</v>
      </c>
      <c r="K1436" s="22">
        <v>45821</v>
      </c>
      <c r="L1436" s="42">
        <f>_xlfn.DAYS(Tabla1[[#This Row],[FECHA FIN ]],Tabla1[[#This Row],[FECHA INICIO]])</f>
        <v>207</v>
      </c>
      <c r="M1436" s="12"/>
      <c r="N1436" s="24">
        <v>150</v>
      </c>
      <c r="O1436" s="28">
        <f>(Tabla1[[#This Row],[COSTO FIJO ]]/30)*Tabla1[[#This Row],[TOTAL DIAS PROYECTO]]+(Tabla1[[#This Row],[COSTO TEMPORAL]])</f>
        <v>1035</v>
      </c>
      <c r="P1436" s="12"/>
      <c r="Q1436" s="12">
        <f>+(Tabla1[[#This Row],[COSTO COCHE]]/30)*Tabla1[[#This Row],[TOTAL DIAS PROYECTO]]</f>
        <v>0</v>
      </c>
      <c r="R1436" s="12">
        <f>+Tabla1[[#This Row],[COSTO TOTAL ALOJAMIENTO]]+Tabla1[[#This Row],[COSTO TOTAL COCHE]]</f>
        <v>1035</v>
      </c>
      <c r="S1436" s="2"/>
      <c r="T1436" s="2" t="s">
        <v>35</v>
      </c>
      <c r="U1436" s="14">
        <v>45614</v>
      </c>
      <c r="V1436" s="43">
        <v>45626</v>
      </c>
      <c r="W1436" s="26"/>
      <c r="X1436" s="2">
        <v>1</v>
      </c>
      <c r="Y1436" s="11" t="s">
        <v>1166</v>
      </c>
      <c r="Z1436" s="2" t="s">
        <v>36</v>
      </c>
      <c r="AA1436" s="13" t="s">
        <v>10323</v>
      </c>
      <c r="AB1436" s="13" t="s">
        <v>10324</v>
      </c>
    </row>
    <row r="1437" spans="1:28" ht="15" customHeight="1">
      <c r="A1437" s="2" t="s">
        <v>8969</v>
      </c>
      <c r="B1437" s="2" t="s">
        <v>368</v>
      </c>
      <c r="C1437" s="11" t="s">
        <v>1533</v>
      </c>
      <c r="D1437" s="2" t="s">
        <v>99</v>
      </c>
      <c r="E1437" s="2" t="s">
        <v>109</v>
      </c>
      <c r="F1437" s="11" t="s">
        <v>2903</v>
      </c>
      <c r="G1437" s="49" t="s">
        <v>2904</v>
      </c>
      <c r="H1437" s="2" t="s">
        <v>2007</v>
      </c>
      <c r="I1437" s="12" t="s">
        <v>42</v>
      </c>
      <c r="J1437" s="22">
        <f>+Tabla1[[#This Row],[FECHA ENTRADA]]</f>
        <v>45730</v>
      </c>
      <c r="K1437" s="22">
        <f ca="1">TODAY()</f>
        <v>46260</v>
      </c>
      <c r="L1437" s="23">
        <f ca="1">_xlfn.DAYS(Tabla1[[#This Row],[FECHA FIN ]],Tabla1[[#This Row],[FECHA INICIO]])</f>
        <v>530</v>
      </c>
      <c r="M1437" s="12"/>
      <c r="N1437" s="24">
        <v>416.66</v>
      </c>
      <c r="O1437" s="24">
        <f ca="1">(Tabla1[[#This Row],[COSTO FIJO ]]/30)*Tabla1[[#This Row],[TOTAL DIAS PROYECTO]]+(Tabla1[[#This Row],[COSTO TEMPORAL]])</f>
        <v>7360.9933333333338</v>
      </c>
      <c r="P1437" s="12"/>
      <c r="Q1437" s="12">
        <f ca="1">+(Tabla1[[#This Row],[COSTO COCHE]]/30)*Tabla1[[#This Row],[TOTAL DIAS PROYECTO]]</f>
        <v>0</v>
      </c>
      <c r="R1437" s="12">
        <f ca="1">+Tabla1[[#This Row],[COSTO TOTAL ALOJAMIENTO]]+Tabla1[[#This Row],[COSTO TOTAL COCHE]]</f>
        <v>7360.9933333333338</v>
      </c>
      <c r="S1437" s="2"/>
      <c r="T1437" s="2" t="s">
        <v>44</v>
      </c>
      <c r="U1437" s="14">
        <v>45730</v>
      </c>
      <c r="V1437" s="25">
        <v>45747</v>
      </c>
      <c r="W1437" s="26"/>
      <c r="X1437" s="2"/>
      <c r="Y1437" s="11" t="s">
        <v>1166</v>
      </c>
      <c r="Z1437" s="2" t="s">
        <v>36</v>
      </c>
      <c r="AA1437" s="13">
        <v>0.62217999999999996</v>
      </c>
      <c r="AB1437" s="13" t="s">
        <v>10339</v>
      </c>
    </row>
    <row r="1438" spans="1:28">
      <c r="A1438" s="2" t="s">
        <v>9099</v>
      </c>
      <c r="B1438" s="2" t="s">
        <v>368</v>
      </c>
      <c r="C1438" s="18" t="s">
        <v>2022</v>
      </c>
      <c r="D1438" s="2" t="s">
        <v>30</v>
      </c>
      <c r="E1438" s="2" t="s">
        <v>213</v>
      </c>
      <c r="F1438" s="11" t="s">
        <v>996</v>
      </c>
      <c r="G1438" s="11" t="s">
        <v>997</v>
      </c>
      <c r="H1438" s="2" t="s">
        <v>1124</v>
      </c>
      <c r="I1438" s="12" t="s">
        <v>514</v>
      </c>
      <c r="J1438" s="8">
        <f>+Tabla1[[#This Row],[FECHA ENTRADA]]</f>
        <v>45546</v>
      </c>
      <c r="K1438" s="22">
        <v>45821</v>
      </c>
      <c r="L1438" s="13">
        <f>_xlfn.DAYS(Tabla1[[#This Row],[FECHA FIN ]],Tabla1[[#This Row],[FECHA INICIO]])</f>
        <v>275</v>
      </c>
      <c r="M1438" s="12"/>
      <c r="N1438" s="12">
        <f>1811.6/17</f>
        <v>106.56470588235294</v>
      </c>
      <c r="O1438" s="12">
        <f>(Tabla1[[#This Row],[COSTO FIJO ]]/30)*Tabla1[[#This Row],[TOTAL DIAS PROYECTO]]+(Tabla1[[#This Row],[COSTO TEMPORAL]])</f>
        <v>976.84313725490199</v>
      </c>
      <c r="P1438" s="12">
        <f>((800+651.96)*50%)/10</f>
        <v>72.597999999999999</v>
      </c>
      <c r="Q1438" s="12">
        <f>+(Tabla1[[#This Row],[COSTO COCHE]]/30)*Tabla1[[#This Row],[TOTAL DIAS PROYECTO]]</f>
        <v>665.48166666666668</v>
      </c>
      <c r="R1438" s="12">
        <f>+Tabla1[[#This Row],[COSTO TOTAL ALOJAMIENTO]]+Tabla1[[#This Row],[COSTO TOTAL COCHE]]</f>
        <v>1642.3248039215687</v>
      </c>
      <c r="S1438" s="2"/>
      <c r="T1438" s="2" t="s">
        <v>35</v>
      </c>
      <c r="U1438" s="14">
        <v>45546</v>
      </c>
      <c r="V1438" s="14"/>
      <c r="W1438" s="26"/>
      <c r="X1438" s="2">
        <v>1</v>
      </c>
      <c r="Y1438" s="11" t="s">
        <v>2969</v>
      </c>
      <c r="Z1438" s="64" t="s">
        <v>36</v>
      </c>
      <c r="AA1438" s="13" t="s">
        <v>10349</v>
      </c>
      <c r="AB1438" s="13" t="s">
        <v>10350</v>
      </c>
    </row>
    <row r="1439" spans="1:28" ht="15" customHeight="1">
      <c r="A1439" s="2" t="s">
        <v>8890</v>
      </c>
      <c r="B1439" s="2" t="s">
        <v>368</v>
      </c>
      <c r="C1439" s="11" t="s">
        <v>1172</v>
      </c>
      <c r="D1439" s="2" t="s">
        <v>99</v>
      </c>
      <c r="E1439" s="2" t="s">
        <v>109</v>
      </c>
      <c r="F1439" s="11" t="s">
        <v>2903</v>
      </c>
      <c r="G1439" s="49" t="s">
        <v>2904</v>
      </c>
      <c r="H1439" s="2" t="s">
        <v>2335</v>
      </c>
      <c r="I1439" s="12" t="s">
        <v>42</v>
      </c>
      <c r="J1439" s="22">
        <f>+Tabla1[[#This Row],[FECHA ENTRADA]]</f>
        <v>45730</v>
      </c>
      <c r="K1439" s="22">
        <f ca="1">TODAY()</f>
        <v>46260</v>
      </c>
      <c r="L1439" s="23">
        <f ca="1">_xlfn.DAYS(Tabla1[[#This Row],[FECHA FIN ]],Tabla1[[#This Row],[FECHA INICIO]])</f>
        <v>530</v>
      </c>
      <c r="M1439" s="12"/>
      <c r="N1439" s="24">
        <v>416.66</v>
      </c>
      <c r="O1439" s="24">
        <f ca="1">(Tabla1[[#This Row],[COSTO FIJO ]]/30)*Tabla1[[#This Row],[TOTAL DIAS PROYECTO]]+(Tabla1[[#This Row],[COSTO TEMPORAL]])</f>
        <v>7360.9933333333338</v>
      </c>
      <c r="P1439" s="12"/>
      <c r="Q1439" s="12">
        <f ca="1">+(Tabla1[[#This Row],[COSTO COCHE]]/30)*Tabla1[[#This Row],[TOTAL DIAS PROYECTO]]</f>
        <v>0</v>
      </c>
      <c r="R1439" s="12">
        <f ca="1">+Tabla1[[#This Row],[COSTO TOTAL ALOJAMIENTO]]+Tabla1[[#This Row],[COSTO TOTAL COCHE]]</f>
        <v>7360.9933333333338</v>
      </c>
      <c r="S1439" s="2"/>
      <c r="T1439" s="2" t="s">
        <v>44</v>
      </c>
      <c r="U1439" s="14">
        <v>45730</v>
      </c>
      <c r="V1439" s="25">
        <v>45747</v>
      </c>
      <c r="W1439" s="26">
        <v>200</v>
      </c>
      <c r="X1439" s="2"/>
      <c r="Y1439" s="11" t="s">
        <v>1166</v>
      </c>
      <c r="Z1439" s="2" t="s">
        <v>36</v>
      </c>
      <c r="AA1439" s="13">
        <v>0.62217999999999996</v>
      </c>
      <c r="AB1439" s="13" t="s">
        <v>10339</v>
      </c>
    </row>
    <row r="1440" spans="1:28" ht="15" customHeight="1">
      <c r="A1440" s="2" t="s">
        <v>9045</v>
      </c>
      <c r="B1440" s="2" t="s">
        <v>368</v>
      </c>
      <c r="C1440" s="18" t="s">
        <v>1798</v>
      </c>
      <c r="D1440" s="2" t="s">
        <v>78</v>
      </c>
      <c r="E1440" s="2" t="s">
        <v>1483</v>
      </c>
      <c r="F1440" s="11" t="s">
        <v>2964</v>
      </c>
      <c r="G1440" s="46" t="s">
        <v>2965</v>
      </c>
      <c r="H1440" s="2" t="s">
        <v>2970</v>
      </c>
      <c r="I1440" s="29" t="s">
        <v>1487</v>
      </c>
      <c r="J1440" s="41">
        <f>+Tabla1[[#This Row],[FECHA ENTRADA]]</f>
        <v>45636</v>
      </c>
      <c r="K1440" s="22">
        <v>45821</v>
      </c>
      <c r="L1440" s="42">
        <f>_xlfn.DAYS(Tabla1[[#This Row],[FECHA FIN ]],Tabla1[[#This Row],[FECHA INICIO]])</f>
        <v>185</v>
      </c>
      <c r="M1440" s="12"/>
      <c r="N1440" s="12">
        <f>1811.6/17</f>
        <v>106.56470588235294</v>
      </c>
      <c r="O1440" s="28">
        <f>(Tabla1[[#This Row],[COSTO FIJO ]]/30)*Tabla1[[#This Row],[TOTAL DIAS PROYECTO]]+(Tabla1[[#This Row],[COSTO TEMPORAL]])</f>
        <v>657.14901960784312</v>
      </c>
      <c r="P1440" s="12">
        <v>100</v>
      </c>
      <c r="Q1440" s="12">
        <f>+(Tabla1[[#This Row],[COSTO COCHE]]/30)*Tabla1[[#This Row],[TOTAL DIAS PROYECTO]]</f>
        <v>616.66666666666674</v>
      </c>
      <c r="R1440" s="12">
        <f>+Tabla1[[#This Row],[COSTO TOTAL ALOJAMIENTO]]+Tabla1[[#This Row],[COSTO TOTAL COCHE]]</f>
        <v>1273.81568627451</v>
      </c>
      <c r="S1440" s="2" t="s">
        <v>84</v>
      </c>
      <c r="T1440" s="2" t="s">
        <v>44</v>
      </c>
      <c r="U1440" s="14">
        <v>45636</v>
      </c>
      <c r="V1440" s="43">
        <v>45659</v>
      </c>
      <c r="W1440" s="26"/>
      <c r="X1440" s="2"/>
      <c r="Y1440" s="11" t="s">
        <v>1166</v>
      </c>
      <c r="Z1440" s="2" t="s">
        <v>36</v>
      </c>
      <c r="AA1440" s="13" t="s">
        <v>10422</v>
      </c>
      <c r="AB1440" s="13" t="s">
        <v>10423</v>
      </c>
    </row>
    <row r="1441" spans="1:28" ht="15" customHeight="1">
      <c r="A1441" s="2" t="s">
        <v>8976</v>
      </c>
      <c r="B1441" s="2" t="s">
        <v>368</v>
      </c>
      <c r="C1441" s="11" t="s">
        <v>1570</v>
      </c>
      <c r="D1441" s="2" t="s">
        <v>99</v>
      </c>
      <c r="E1441" s="2" t="s">
        <v>109</v>
      </c>
      <c r="F1441" s="11" t="s">
        <v>2903</v>
      </c>
      <c r="G1441" s="49" t="s">
        <v>2904</v>
      </c>
      <c r="H1441" s="2" t="s">
        <v>2386</v>
      </c>
      <c r="I1441" s="12" t="s">
        <v>42</v>
      </c>
      <c r="J1441" s="22">
        <f>+Tabla1[[#This Row],[FECHA ENTRADA]]</f>
        <v>45731</v>
      </c>
      <c r="K1441" s="22">
        <v>45748</v>
      </c>
      <c r="L1441" s="23">
        <f>_xlfn.DAYS(Tabla1[[#This Row],[FECHA FIN ]],Tabla1[[#This Row],[FECHA INICIO]])</f>
        <v>17</v>
      </c>
      <c r="M1441" s="12"/>
      <c r="N1441" s="24">
        <v>416.66</v>
      </c>
      <c r="O1441" s="24">
        <f>(Tabla1[[#This Row],[COSTO FIJO ]]/30)*Tabla1[[#This Row],[TOTAL DIAS PROYECTO]]+(Tabla1[[#This Row],[COSTO TEMPORAL]])</f>
        <v>236.10733333333334</v>
      </c>
      <c r="P1441" s="12"/>
      <c r="Q1441" s="12">
        <f>+(Tabla1[[#This Row],[COSTO COCHE]]/30)*Tabla1[[#This Row],[TOTAL DIAS PROYECTO]]</f>
        <v>0</v>
      </c>
      <c r="R1441" s="12">
        <f>+Tabla1[[#This Row],[COSTO TOTAL ALOJAMIENTO]]+Tabla1[[#This Row],[COSTO TOTAL COCHE]]</f>
        <v>236.10733333333334</v>
      </c>
      <c r="S1441" s="2"/>
      <c r="T1441" s="2" t="s">
        <v>44</v>
      </c>
      <c r="U1441" s="14">
        <v>45731</v>
      </c>
      <c r="V1441" s="25">
        <v>45747</v>
      </c>
      <c r="W1441" s="26"/>
      <c r="X1441" s="2"/>
      <c r="Y1441" s="11" t="s">
        <v>1166</v>
      </c>
      <c r="Z1441" s="116" t="s">
        <v>36</v>
      </c>
      <c r="AA1441" s="13">
        <v>0.62217999999999996</v>
      </c>
      <c r="AB1441" s="13" t="s">
        <v>10339</v>
      </c>
    </row>
    <row r="1442" spans="1:28">
      <c r="A1442" s="2" t="s">
        <v>9268</v>
      </c>
      <c r="B1442" s="2" t="s">
        <v>368</v>
      </c>
      <c r="C1442" s="18" t="s">
        <v>2657</v>
      </c>
      <c r="D1442" s="2" t="s">
        <v>30</v>
      </c>
      <c r="E1442" s="2" t="s">
        <v>213</v>
      </c>
      <c r="F1442" s="11" t="s">
        <v>1196</v>
      </c>
      <c r="G1442" s="21" t="s">
        <v>1197</v>
      </c>
      <c r="H1442" s="2" t="s">
        <v>1198</v>
      </c>
      <c r="I1442" s="12" t="s">
        <v>514</v>
      </c>
      <c r="J1442" s="22">
        <f>+Tabla1[[#This Row],[FECHA ENTRADA]]</f>
        <v>45582</v>
      </c>
      <c r="K1442" s="22">
        <v>45821</v>
      </c>
      <c r="L1442" s="23">
        <f>_xlfn.DAYS(Tabla1[[#This Row],[FECHA FIN ]],Tabla1[[#This Row],[FECHA INICIO]])</f>
        <v>239</v>
      </c>
      <c r="M1442" s="12"/>
      <c r="N1442" s="12">
        <f>1811.6/17</f>
        <v>106.56470588235294</v>
      </c>
      <c r="O1442" s="24">
        <f>(Tabla1[[#This Row],[COSTO FIJO ]]/30)*Tabla1[[#This Row],[TOTAL DIAS PROYECTO]]+(Tabla1[[#This Row],[COSTO TEMPORAL]])</f>
        <v>848.96549019607846</v>
      </c>
      <c r="P1442" s="12"/>
      <c r="Q1442" s="12">
        <f>+(Tabla1[[#This Row],[COSTO COCHE]]/30)*Tabla1[[#This Row],[TOTAL DIAS PROYECTO]]</f>
        <v>0</v>
      </c>
      <c r="R1442" s="12">
        <f>+Tabla1[[#This Row],[COSTO TOTAL ALOJAMIENTO]]+Tabla1[[#This Row],[COSTO TOTAL COCHE]]</f>
        <v>848.96549019607846</v>
      </c>
      <c r="S1442" s="2"/>
      <c r="T1442" s="2" t="s">
        <v>35</v>
      </c>
      <c r="U1442" s="14">
        <v>45582</v>
      </c>
      <c r="V1442" s="25"/>
      <c r="W1442" s="26"/>
      <c r="X1442" s="2">
        <v>1</v>
      </c>
      <c r="Y1442" s="11" t="s">
        <v>530</v>
      </c>
      <c r="Z1442" s="2" t="s">
        <v>36</v>
      </c>
      <c r="AA1442" s="13" t="s">
        <v>10349</v>
      </c>
      <c r="AB1442" s="13" t="s">
        <v>10350</v>
      </c>
    </row>
    <row r="1443" spans="1:28" ht="15" customHeight="1">
      <c r="A1443" s="2" t="s">
        <v>9373</v>
      </c>
      <c r="B1443" s="2" t="s">
        <v>368</v>
      </c>
      <c r="C1443" s="18" t="s">
        <v>2971</v>
      </c>
      <c r="D1443" s="2" t="s">
        <v>30</v>
      </c>
      <c r="E1443" s="2" t="s">
        <v>855</v>
      </c>
      <c r="F1443" s="11" t="s">
        <v>1285</v>
      </c>
      <c r="G1443" s="46" t="s">
        <v>1286</v>
      </c>
      <c r="H1443" s="2" t="s">
        <v>1287</v>
      </c>
      <c r="I1443" s="12" t="s">
        <v>1288</v>
      </c>
      <c r="J1443" s="41">
        <f>+Tabla1[[#This Row],[FECHA ENTRADA]]</f>
        <v>45636</v>
      </c>
      <c r="K1443" s="22">
        <v>45821</v>
      </c>
      <c r="L1443" s="42">
        <f>_xlfn.DAYS(Tabla1[[#This Row],[FECHA FIN ]],Tabla1[[#This Row],[FECHA INICIO]])</f>
        <v>185</v>
      </c>
      <c r="M1443" s="12"/>
      <c r="N1443" s="24"/>
      <c r="O1443" s="28">
        <f>(Tabla1[[#This Row],[COSTO FIJO ]]/30)*Tabla1[[#This Row],[TOTAL DIAS PROYECTO]]+(Tabla1[[#This Row],[COSTO TEMPORAL]])</f>
        <v>0</v>
      </c>
      <c r="P1443" s="12"/>
      <c r="Q1443" s="12">
        <f>+(Tabla1[[#This Row],[COSTO COCHE]]/30)*Tabla1[[#This Row],[TOTAL DIAS PROYECTO]]</f>
        <v>0</v>
      </c>
      <c r="R1443" s="12">
        <f>+Tabla1[[#This Row],[COSTO TOTAL ALOJAMIENTO]]+Tabla1[[#This Row],[COSTO TOTAL COCHE]]</f>
        <v>0</v>
      </c>
      <c r="S1443" s="2"/>
      <c r="T1443" s="2" t="s">
        <v>44</v>
      </c>
      <c r="U1443" s="14">
        <v>45636</v>
      </c>
      <c r="V1443" s="43">
        <v>45659</v>
      </c>
      <c r="W1443" s="26"/>
      <c r="X1443" s="2"/>
      <c r="Y1443" s="11"/>
      <c r="Z1443" s="2" t="s">
        <v>36</v>
      </c>
      <c r="AA1443" s="13" t="s">
        <v>10401</v>
      </c>
      <c r="AB1443" s="13" t="s">
        <v>10402</v>
      </c>
    </row>
    <row r="1444" spans="1:28" ht="15" customHeight="1">
      <c r="A1444" s="2" t="s">
        <v>9194</v>
      </c>
      <c r="B1444" s="2" t="s">
        <v>368</v>
      </c>
      <c r="C1444" s="11" t="s">
        <v>2396</v>
      </c>
      <c r="D1444" s="2" t="s">
        <v>30</v>
      </c>
      <c r="E1444" s="2" t="s">
        <v>31</v>
      </c>
      <c r="F1444" s="11" t="s">
        <v>1222</v>
      </c>
      <c r="G1444" s="49" t="s">
        <v>1223</v>
      </c>
      <c r="H1444" s="2" t="s">
        <v>1224</v>
      </c>
      <c r="I1444" s="12" t="s">
        <v>1225</v>
      </c>
      <c r="J1444" s="41">
        <f>+Tabla1[[#This Row],[FECHA ENTRADA]]</f>
        <v>45625</v>
      </c>
      <c r="K1444" s="8">
        <f ca="1">TODAY()</f>
        <v>46260</v>
      </c>
      <c r="L1444" s="42">
        <f ca="1">_xlfn.DAYS(Tabla1[[#This Row],[FECHA FIN ]],Tabla1[[#This Row],[FECHA INICIO]])</f>
        <v>635</v>
      </c>
      <c r="M1444" s="12"/>
      <c r="N1444" s="12"/>
      <c r="O1444" s="28">
        <f ca="1">(Tabla1[[#This Row],[COSTO FIJO ]]/30)*Tabla1[[#This Row],[TOTAL DIAS PROYECTO]]+(Tabla1[[#This Row],[COSTO TEMPORAL]])</f>
        <v>0</v>
      </c>
      <c r="P1444" s="12"/>
      <c r="Q1444" s="12">
        <f ca="1">+(Tabla1[[#This Row],[COSTO COCHE]]/30)*Tabla1[[#This Row],[TOTAL DIAS PROYECTO]]</f>
        <v>0</v>
      </c>
      <c r="R1444" s="12">
        <f ca="1">+Tabla1[[#This Row],[COSTO TOTAL ALOJAMIENTO]]+Tabla1[[#This Row],[COSTO TOTAL COCHE]]</f>
        <v>0</v>
      </c>
      <c r="S1444" s="2"/>
      <c r="T1444" s="2" t="s">
        <v>35</v>
      </c>
      <c r="U1444" s="14">
        <v>45625</v>
      </c>
      <c r="V1444" s="43"/>
      <c r="W1444" s="26">
        <v>695</v>
      </c>
      <c r="X1444" s="2">
        <v>28</v>
      </c>
      <c r="Y1444" s="11"/>
      <c r="Z1444" s="2" t="s">
        <v>36</v>
      </c>
      <c r="AA1444" s="13" t="s">
        <v>10323</v>
      </c>
      <c r="AB1444" s="13" t="s">
        <v>10324</v>
      </c>
    </row>
    <row r="1445" spans="1:28" ht="15" customHeight="1">
      <c r="A1445" s="2" t="s">
        <v>9374</v>
      </c>
      <c r="B1445" s="2" t="s">
        <v>368</v>
      </c>
      <c r="C1445" s="99" t="s">
        <v>2972</v>
      </c>
      <c r="D1445" s="2" t="s">
        <v>30</v>
      </c>
      <c r="E1445" s="2" t="s">
        <v>826</v>
      </c>
      <c r="F1445" s="11" t="s">
        <v>827</v>
      </c>
      <c r="G1445" s="11" t="s">
        <v>828</v>
      </c>
      <c r="H1445" s="2" t="s">
        <v>1138</v>
      </c>
      <c r="I1445" s="12" t="s">
        <v>152</v>
      </c>
      <c r="J1445" s="8">
        <f>+Tabla1[[#This Row],[FECHA ENTRADA]]</f>
        <v>45501</v>
      </c>
      <c r="K1445" s="22">
        <v>45821</v>
      </c>
      <c r="L1445" s="13">
        <f>_xlfn.DAYS(Tabla1[[#This Row],[FECHA FIN ]],Tabla1[[#This Row],[FECHA INICIO]])</f>
        <v>320</v>
      </c>
      <c r="M1445" s="12"/>
      <c r="N1445" s="12">
        <f>1811.6/17</f>
        <v>106.56470588235294</v>
      </c>
      <c r="O1445" s="12">
        <f>(Tabla1[[#This Row],[COSTO FIJO ]]/30)*Tabla1[[#This Row],[TOTAL DIAS PROYECTO]]+(Tabla1[[#This Row],[COSTO TEMPORAL]])</f>
        <v>1136.6901960784314</v>
      </c>
      <c r="P1445" s="12"/>
      <c r="Q1445" s="12">
        <f>+(Tabla1[[#This Row],[COSTO COCHE]]/30)*Tabla1[[#This Row],[TOTAL DIAS PROYECTO]]</f>
        <v>0</v>
      </c>
      <c r="R1445" s="12">
        <f>+Tabla1[[#This Row],[COSTO TOTAL ALOJAMIENTO]]+Tabla1[[#This Row],[COSTO TOTAL COCHE]]</f>
        <v>1136.6901960784314</v>
      </c>
      <c r="S1445" s="2"/>
      <c r="T1445" s="2" t="s">
        <v>35</v>
      </c>
      <c r="U1445" s="14">
        <v>45501</v>
      </c>
      <c r="V1445" s="8">
        <v>45565</v>
      </c>
      <c r="W1445" s="26"/>
      <c r="X1445" s="2">
        <v>1</v>
      </c>
      <c r="Y1445" s="11" t="s">
        <v>1139</v>
      </c>
      <c r="Z1445" s="2" t="s">
        <v>36</v>
      </c>
      <c r="AA1445" s="13" t="s">
        <v>10399</v>
      </c>
      <c r="AB1445" s="13" t="s">
        <v>10400</v>
      </c>
    </row>
    <row r="1446" spans="1:28" ht="15" customHeight="1">
      <c r="A1446" s="2" t="s">
        <v>9375</v>
      </c>
      <c r="B1446" s="2" t="s">
        <v>368</v>
      </c>
      <c r="C1446" s="11" t="s">
        <v>2973</v>
      </c>
      <c r="D1446" s="2" t="s">
        <v>30</v>
      </c>
      <c r="E1446" s="2" t="s">
        <v>31</v>
      </c>
      <c r="F1446" s="11" t="s">
        <v>715</v>
      </c>
      <c r="G1446" s="11" t="s">
        <v>716</v>
      </c>
      <c r="H1446" s="2" t="s">
        <v>2802</v>
      </c>
      <c r="I1446" s="12" t="s">
        <v>1104</v>
      </c>
      <c r="J1446" s="41">
        <f>+Tabla1[[#This Row],[FECHA ENTRADA]]</f>
        <v>45607</v>
      </c>
      <c r="K1446" s="22">
        <v>45821</v>
      </c>
      <c r="L1446" s="42">
        <f>_xlfn.DAYS(Tabla1[[#This Row],[FECHA FIN ]],Tabla1[[#This Row],[FECHA INICIO]])</f>
        <v>214</v>
      </c>
      <c r="M1446" s="12"/>
      <c r="N1446" s="12">
        <v>160</v>
      </c>
      <c r="O1446" s="28">
        <f>(Tabla1[[#This Row],[COSTO FIJO ]]/30)*Tabla1[[#This Row],[TOTAL DIAS PROYECTO]]+(Tabla1[[#This Row],[COSTO TEMPORAL]])</f>
        <v>1141.3333333333333</v>
      </c>
      <c r="P1446" s="12"/>
      <c r="Q1446" s="12">
        <f>+(Tabla1[[#This Row],[COSTO COCHE]]/30)*Tabla1[[#This Row],[TOTAL DIAS PROYECTO]]</f>
        <v>0</v>
      </c>
      <c r="R1446" s="12">
        <f>+Tabla1[[#This Row],[COSTO TOTAL ALOJAMIENTO]]+Tabla1[[#This Row],[COSTO TOTAL COCHE]]</f>
        <v>1141.3333333333333</v>
      </c>
      <c r="S1446" s="2"/>
      <c r="T1446" s="2" t="s">
        <v>35</v>
      </c>
      <c r="U1446" s="14">
        <v>45607</v>
      </c>
      <c r="V1446" s="43"/>
      <c r="W1446" s="26"/>
      <c r="X1446" s="2"/>
      <c r="Y1446" s="11"/>
      <c r="Z1446" s="2" t="s">
        <v>36</v>
      </c>
      <c r="AA1446" s="13" t="s">
        <v>10323</v>
      </c>
      <c r="AB1446" s="13" t="s">
        <v>10324</v>
      </c>
    </row>
    <row r="1447" spans="1:28" ht="15" customHeight="1">
      <c r="A1447" s="2" t="s">
        <v>9340</v>
      </c>
      <c r="B1447" s="2" t="s">
        <v>28</v>
      </c>
      <c r="C1447" s="18" t="s">
        <v>2864</v>
      </c>
      <c r="D1447" s="2" t="s">
        <v>30</v>
      </c>
      <c r="E1447" s="2" t="s">
        <v>608</v>
      </c>
      <c r="F1447" s="11" t="s">
        <v>2974</v>
      </c>
      <c r="G1447" s="11" t="s">
        <v>1008</v>
      </c>
      <c r="H1447" s="2" t="s">
        <v>2975</v>
      </c>
      <c r="I1447" s="12" t="s">
        <v>34</v>
      </c>
      <c r="J1447" s="41">
        <f>+Tabla1[[#This Row],[FECHA ENTRADA]]</f>
        <v>45599</v>
      </c>
      <c r="K1447" s="22">
        <v>45821</v>
      </c>
      <c r="L1447" s="42">
        <f>_xlfn.DAYS(Tabla1[[#This Row],[FECHA FIN ]],Tabla1[[#This Row],[FECHA INICIO]])</f>
        <v>222</v>
      </c>
      <c r="M1447" s="12"/>
      <c r="N1447" s="12">
        <v>330</v>
      </c>
      <c r="O1447" s="28">
        <f>(Tabla1[[#This Row],[COSTO FIJO ]]/30)*Tabla1[[#This Row],[TOTAL DIAS PROYECTO]]+(Tabla1[[#This Row],[COSTO TEMPORAL]])</f>
        <v>2442</v>
      </c>
      <c r="P1447" s="12"/>
      <c r="Q1447" s="12">
        <f>+(Tabla1[[#This Row],[COSTO COCHE]]/30)*Tabla1[[#This Row],[TOTAL DIAS PROYECTO]]</f>
        <v>0</v>
      </c>
      <c r="R1447" s="12">
        <f>+Tabla1[[#This Row],[COSTO TOTAL ALOJAMIENTO]]+Tabla1[[#This Row],[COSTO TOTAL COCHE]]</f>
        <v>2442</v>
      </c>
      <c r="S1447" s="2"/>
      <c r="T1447" s="2" t="s">
        <v>35</v>
      </c>
      <c r="U1447" s="14">
        <v>45599</v>
      </c>
      <c r="V1447" s="43"/>
      <c r="W1447" s="26">
        <v>330</v>
      </c>
      <c r="X1447" s="2">
        <v>1</v>
      </c>
      <c r="Y1447" s="11"/>
      <c r="Z1447" s="2" t="s">
        <v>36</v>
      </c>
      <c r="AA1447" s="13" t="s">
        <v>10383</v>
      </c>
      <c r="AB1447" s="13" t="s">
        <v>10384</v>
      </c>
    </row>
    <row r="1448" spans="1:28" ht="15" customHeight="1">
      <c r="A1448" s="2" t="s">
        <v>9327</v>
      </c>
      <c r="B1448" s="2" t="s">
        <v>368</v>
      </c>
      <c r="C1448" s="11" t="s">
        <v>2836</v>
      </c>
      <c r="D1448" s="2" t="s">
        <v>72</v>
      </c>
      <c r="E1448" s="2" t="s">
        <v>1115</v>
      </c>
      <c r="F1448" s="11" t="s">
        <v>1239</v>
      </c>
      <c r="G1448" s="46" t="s">
        <v>1240</v>
      </c>
      <c r="H1448" s="2" t="s">
        <v>1118</v>
      </c>
      <c r="I1448" s="12" t="s">
        <v>1119</v>
      </c>
      <c r="J1448" s="41">
        <f>+Tabla1[[#This Row],[FECHA ENTRADA]]</f>
        <v>45630</v>
      </c>
      <c r="K1448" s="22">
        <v>45821</v>
      </c>
      <c r="L1448" s="42">
        <f>_xlfn.DAYS(Tabla1[[#This Row],[FECHA FIN ]],Tabla1[[#This Row],[FECHA INICIO]])</f>
        <v>191</v>
      </c>
      <c r="M1448" s="12"/>
      <c r="N1448" s="12"/>
      <c r="O1448" s="28">
        <f>(Tabla1[[#This Row],[COSTO FIJO ]]/30)*Tabla1[[#This Row],[TOTAL DIAS PROYECTO]]+(Tabla1[[#This Row],[COSTO TEMPORAL]])</f>
        <v>0</v>
      </c>
      <c r="P1448" s="12"/>
      <c r="Q1448" s="12">
        <f>+(Tabla1[[#This Row],[COSTO COCHE]]/30)*Tabla1[[#This Row],[TOTAL DIAS PROYECTO]]</f>
        <v>0</v>
      </c>
      <c r="R1448" s="12">
        <f>+Tabla1[[#This Row],[COSTO TOTAL ALOJAMIENTO]]+Tabla1[[#This Row],[COSTO TOTAL COCHE]]</f>
        <v>0</v>
      </c>
      <c r="S1448" s="2" t="s">
        <v>84</v>
      </c>
      <c r="T1448" s="2" t="s">
        <v>44</v>
      </c>
      <c r="U1448" s="14">
        <v>45630</v>
      </c>
      <c r="V1448" s="43">
        <v>45661</v>
      </c>
      <c r="W1448" s="26"/>
      <c r="X1448" s="2"/>
      <c r="Y1448" s="11" t="s">
        <v>1120</v>
      </c>
      <c r="Z1448" s="2" t="s">
        <v>36</v>
      </c>
      <c r="AA1448" s="13" t="s">
        <v>10411</v>
      </c>
      <c r="AB1448" s="13">
        <v>50.656529999999997</v>
      </c>
    </row>
    <row r="1449" spans="1:28" ht="15" customHeight="1">
      <c r="A1449" s="2" t="s">
        <v>8638</v>
      </c>
      <c r="B1449" s="2" t="s">
        <v>28</v>
      </c>
      <c r="C1449" s="11" t="s">
        <v>2766</v>
      </c>
      <c r="D1449" s="2" t="s">
        <v>30</v>
      </c>
      <c r="E1449" s="2" t="s">
        <v>422</v>
      </c>
      <c r="F1449" s="11" t="s">
        <v>2585</v>
      </c>
      <c r="G1449" s="49" t="s">
        <v>2452</v>
      </c>
      <c r="H1449" s="2" t="s">
        <v>2767</v>
      </c>
      <c r="I1449" s="12" t="s">
        <v>2454</v>
      </c>
      <c r="J1449" s="22">
        <f>+Tabla1[[#This Row],[FECHA ENTRADA]]</f>
        <v>45771</v>
      </c>
      <c r="K1449" s="22">
        <f ca="1">TODAY()</f>
        <v>46260</v>
      </c>
      <c r="L1449" s="23">
        <f ca="1">_xlfn.DAYS(Tabla1[[#This Row],[FECHA FIN ]],Tabla1[[#This Row],[FECHA INICIO]])</f>
        <v>489</v>
      </c>
      <c r="M1449" s="12"/>
      <c r="N1449" s="12">
        <f>1811.6/17</f>
        <v>106.56470588235294</v>
      </c>
      <c r="O1449" s="24">
        <f ca="1">(Tabla1[[#This Row],[COSTO FIJO ]]/30)*Tabla1[[#This Row],[TOTAL DIAS PROYECTO]]+(Tabla1[[#This Row],[COSTO TEMPORAL]])</f>
        <v>1737.0047058823529</v>
      </c>
      <c r="P1449" s="12"/>
      <c r="Q1449" s="12">
        <f ca="1">+(Tabla1[[#This Row],[COSTO COCHE]]/30)*Tabla1[[#This Row],[TOTAL DIAS PROYECTO]]</f>
        <v>0</v>
      </c>
      <c r="R1449" s="12">
        <f ca="1">+Tabla1[[#This Row],[COSTO TOTAL ALOJAMIENTO]]+Tabla1[[#This Row],[COSTO TOTAL COCHE]]</f>
        <v>1737.0047058823529</v>
      </c>
      <c r="S1449" s="2"/>
      <c r="T1449" s="14" t="s">
        <v>44</v>
      </c>
      <c r="U1449" s="14">
        <v>45771</v>
      </c>
      <c r="V1449" s="25">
        <v>45778</v>
      </c>
      <c r="W1449" s="2"/>
      <c r="X1449" s="2"/>
      <c r="Y1449" s="11"/>
      <c r="Z1449" s="2" t="s">
        <v>36</v>
      </c>
      <c r="AA1449" s="13">
        <v>-326.69799999999998</v>
      </c>
      <c r="AB1449" s="13" t="s">
        <v>10373</v>
      </c>
    </row>
    <row r="1450" spans="1:28" ht="15" customHeight="1">
      <c r="A1450" s="2" t="s">
        <v>9376</v>
      </c>
      <c r="B1450" s="2" t="s">
        <v>368</v>
      </c>
      <c r="C1450" s="11" t="s">
        <v>2976</v>
      </c>
      <c r="D1450" s="2" t="s">
        <v>78</v>
      </c>
      <c r="E1450" s="2" t="s">
        <v>1297</v>
      </c>
      <c r="F1450" s="11" t="s">
        <v>1298</v>
      </c>
      <c r="G1450" s="46" t="s">
        <v>1299</v>
      </c>
      <c r="H1450" s="2" t="s">
        <v>1300</v>
      </c>
      <c r="I1450" s="29" t="s">
        <v>1301</v>
      </c>
      <c r="J1450" s="41">
        <f>+Tabla1[[#This Row],[FECHA ENTRADA]]</f>
        <v>45633</v>
      </c>
      <c r="K1450" s="22">
        <v>45821</v>
      </c>
      <c r="L1450" s="42">
        <f>_xlfn.DAYS(Tabla1[[#This Row],[FECHA FIN ]],Tabla1[[#This Row],[FECHA INICIO]])</f>
        <v>188</v>
      </c>
      <c r="M1450" s="12"/>
      <c r="N1450" s="12"/>
      <c r="O1450" s="28">
        <f>(Tabla1[[#This Row],[COSTO FIJO ]]/30)*Tabla1[[#This Row],[TOTAL DIAS PROYECTO]]+(Tabla1[[#This Row],[COSTO TEMPORAL]])</f>
        <v>0</v>
      </c>
      <c r="P1450" s="12">
        <v>80</v>
      </c>
      <c r="Q1450" s="12">
        <f>+(Tabla1[[#This Row],[COSTO COCHE]]/30)*Tabla1[[#This Row],[TOTAL DIAS PROYECTO]]</f>
        <v>501.33333333333331</v>
      </c>
      <c r="R1450" s="12">
        <f>+Tabla1[[#This Row],[COSTO TOTAL ALOJAMIENTO]]+Tabla1[[#This Row],[COSTO TOTAL COCHE]]</f>
        <v>501.33333333333331</v>
      </c>
      <c r="S1450" s="2" t="s">
        <v>84</v>
      </c>
      <c r="T1450" s="2" t="s">
        <v>44</v>
      </c>
      <c r="U1450" s="14">
        <v>45633</v>
      </c>
      <c r="V1450" s="43">
        <v>45662</v>
      </c>
      <c r="W1450" s="26"/>
      <c r="X1450" s="2"/>
      <c r="Y1450" s="11"/>
      <c r="Z1450" s="2" t="s">
        <v>36</v>
      </c>
      <c r="AA1450" s="13" t="s">
        <v>10414</v>
      </c>
      <c r="AB1450" s="13">
        <v>5094783</v>
      </c>
    </row>
    <row r="1451" spans="1:28" ht="15" customHeight="1">
      <c r="A1451" s="2" t="s">
        <v>9377</v>
      </c>
      <c r="B1451" s="2" t="s">
        <v>368</v>
      </c>
      <c r="C1451" s="104" t="s">
        <v>2977</v>
      </c>
      <c r="D1451" s="2" t="s">
        <v>78</v>
      </c>
      <c r="E1451" s="2" t="s">
        <v>1297</v>
      </c>
      <c r="F1451" s="11" t="s">
        <v>1298</v>
      </c>
      <c r="G1451" s="46" t="s">
        <v>1299</v>
      </c>
      <c r="H1451" s="2" t="s">
        <v>1300</v>
      </c>
      <c r="I1451" s="29" t="s">
        <v>1301</v>
      </c>
      <c r="J1451" s="41">
        <f>+Tabla1[[#This Row],[FECHA ENTRADA]]</f>
        <v>45633</v>
      </c>
      <c r="K1451" s="22">
        <v>45821</v>
      </c>
      <c r="L1451" s="42">
        <f>_xlfn.DAYS(Tabla1[[#This Row],[FECHA FIN ]],Tabla1[[#This Row],[FECHA INICIO]])</f>
        <v>188</v>
      </c>
      <c r="M1451" s="12"/>
      <c r="N1451" s="12"/>
      <c r="O1451" s="28">
        <f>(Tabla1[[#This Row],[COSTO FIJO ]]/30)*Tabla1[[#This Row],[TOTAL DIAS PROYECTO]]+(Tabla1[[#This Row],[COSTO TEMPORAL]])</f>
        <v>0</v>
      </c>
      <c r="P1451" s="12">
        <v>80</v>
      </c>
      <c r="Q1451" s="12">
        <f>+(Tabla1[[#This Row],[COSTO COCHE]]/30)*Tabla1[[#This Row],[TOTAL DIAS PROYECTO]]</f>
        <v>501.33333333333331</v>
      </c>
      <c r="R1451" s="12">
        <f>+Tabla1[[#This Row],[COSTO TOTAL ALOJAMIENTO]]+Tabla1[[#This Row],[COSTO TOTAL COCHE]]</f>
        <v>501.33333333333331</v>
      </c>
      <c r="S1451" s="2" t="s">
        <v>84</v>
      </c>
      <c r="T1451" s="2" t="s">
        <v>44</v>
      </c>
      <c r="U1451" s="14">
        <v>45633</v>
      </c>
      <c r="V1451" s="43">
        <v>45662</v>
      </c>
      <c r="W1451" s="26"/>
      <c r="X1451" s="2"/>
      <c r="Y1451" s="11"/>
      <c r="Z1451" s="2" t="s">
        <v>36</v>
      </c>
      <c r="AA1451" s="13" t="s">
        <v>10414</v>
      </c>
      <c r="AB1451" s="13">
        <v>5094783</v>
      </c>
    </row>
    <row r="1452" spans="1:28" ht="15" customHeight="1">
      <c r="A1452" s="2" t="s">
        <v>8638</v>
      </c>
      <c r="B1452" s="2" t="s">
        <v>28</v>
      </c>
      <c r="C1452" s="181" t="s">
        <v>2768</v>
      </c>
      <c r="D1452" s="2" t="s">
        <v>30</v>
      </c>
      <c r="E1452" s="2" t="s">
        <v>422</v>
      </c>
      <c r="F1452" s="11" t="s">
        <v>2585</v>
      </c>
      <c r="G1452" s="49" t="s">
        <v>2452</v>
      </c>
      <c r="H1452" s="2" t="s">
        <v>2767</v>
      </c>
      <c r="I1452" s="12" t="s">
        <v>2454</v>
      </c>
      <c r="J1452" s="22">
        <f>+Tabla1[[#This Row],[FECHA ENTRADA]]</f>
        <v>45771</v>
      </c>
      <c r="K1452" s="22">
        <f ca="1">TODAY()</f>
        <v>46260</v>
      </c>
      <c r="L1452" s="23">
        <f ca="1">_xlfn.DAYS(Tabla1[[#This Row],[FECHA FIN ]],Tabla1[[#This Row],[FECHA INICIO]])</f>
        <v>489</v>
      </c>
      <c r="M1452" s="12"/>
      <c r="N1452" s="12">
        <f>1811.6/17</f>
        <v>106.56470588235294</v>
      </c>
      <c r="O1452" s="24">
        <f ca="1">(Tabla1[[#This Row],[COSTO FIJO ]]/30)*Tabla1[[#This Row],[TOTAL DIAS PROYECTO]]+(Tabla1[[#This Row],[COSTO TEMPORAL]])</f>
        <v>1737.0047058823529</v>
      </c>
      <c r="P1452" s="12"/>
      <c r="Q1452" s="12">
        <f ca="1">+(Tabla1[[#This Row],[COSTO COCHE]]/30)*Tabla1[[#This Row],[TOTAL DIAS PROYECTO]]</f>
        <v>0</v>
      </c>
      <c r="R1452" s="12">
        <f ca="1">+Tabla1[[#This Row],[COSTO TOTAL ALOJAMIENTO]]+Tabla1[[#This Row],[COSTO TOTAL COCHE]]</f>
        <v>1737.0047058823529</v>
      </c>
      <c r="S1452" s="2"/>
      <c r="T1452" s="14" t="s">
        <v>44</v>
      </c>
      <c r="U1452" s="14">
        <v>45771</v>
      </c>
      <c r="V1452" s="25">
        <v>45778</v>
      </c>
      <c r="W1452" s="2"/>
      <c r="X1452" s="2"/>
      <c r="Y1452" s="11"/>
      <c r="Z1452" s="2" t="s">
        <v>36</v>
      </c>
      <c r="AA1452" s="13">
        <v>-326.69799999999998</v>
      </c>
      <c r="AB1452" s="13" t="s">
        <v>10373</v>
      </c>
    </row>
    <row r="1453" spans="1:28" ht="15" customHeight="1">
      <c r="A1453" s="2" t="s">
        <v>9363</v>
      </c>
      <c r="B1453" s="2" t="s">
        <v>368</v>
      </c>
      <c r="C1453" s="11" t="s">
        <v>2939</v>
      </c>
      <c r="D1453" s="2" t="s">
        <v>30</v>
      </c>
      <c r="E1453" s="2" t="s">
        <v>259</v>
      </c>
      <c r="F1453" s="11" t="s">
        <v>260</v>
      </c>
      <c r="G1453" s="11" t="s">
        <v>261</v>
      </c>
      <c r="H1453" s="2" t="s">
        <v>1260</v>
      </c>
      <c r="I1453" s="12" t="s">
        <v>152</v>
      </c>
      <c r="J1453" s="41">
        <f>+Tabla1[[#This Row],[FECHA ENTRADA]]</f>
        <v>45649</v>
      </c>
      <c r="K1453" s="22">
        <v>45821</v>
      </c>
      <c r="L1453" s="42">
        <f>_xlfn.DAYS(Tabla1[[#This Row],[FECHA FIN ]],Tabla1[[#This Row],[FECHA INICIO]])</f>
        <v>172</v>
      </c>
      <c r="M1453" s="12"/>
      <c r="N1453" s="12"/>
      <c r="O1453" s="28">
        <f>(Tabla1[[#This Row],[COSTO FIJO ]]/30)*Tabla1[[#This Row],[TOTAL DIAS PROYECTO]]+(Tabla1[[#This Row],[COSTO TEMPORAL]])</f>
        <v>0</v>
      </c>
      <c r="P1453" s="12"/>
      <c r="Q1453" s="12">
        <f>+(Tabla1[[#This Row],[COSTO COCHE]]/30)*Tabla1[[#This Row],[TOTAL DIAS PROYECTO]]</f>
        <v>0</v>
      </c>
      <c r="R1453" s="12">
        <f>+Tabla1[[#This Row],[COSTO TOTAL ALOJAMIENTO]]+Tabla1[[#This Row],[COSTO TOTAL COCHE]]</f>
        <v>0</v>
      </c>
      <c r="S1453" s="2"/>
      <c r="T1453" s="2" t="s">
        <v>44</v>
      </c>
      <c r="U1453" s="14">
        <v>45649</v>
      </c>
      <c r="V1453" s="43">
        <v>45663</v>
      </c>
      <c r="W1453" s="26"/>
      <c r="X1453" s="2"/>
      <c r="Y1453" s="11" t="s">
        <v>1120</v>
      </c>
      <c r="Z1453" s="2" t="s">
        <v>36</v>
      </c>
      <c r="AA1453" s="13">
        <v>-0.87734000000000001</v>
      </c>
      <c r="AB1453" s="13" t="s">
        <v>10359</v>
      </c>
    </row>
    <row r="1454" spans="1:28" ht="15" customHeight="1">
      <c r="A1454" s="2" t="s">
        <v>9378</v>
      </c>
      <c r="B1454" s="2" t="s">
        <v>28</v>
      </c>
      <c r="C1454" s="31" t="s">
        <v>2978</v>
      </c>
      <c r="D1454" s="2" t="s">
        <v>99</v>
      </c>
      <c r="E1454" s="2" t="s">
        <v>422</v>
      </c>
      <c r="F1454" s="11" t="s">
        <v>2183</v>
      </c>
      <c r="G1454" s="118" t="s">
        <v>698</v>
      </c>
      <c r="H1454" s="2" t="s">
        <v>2979</v>
      </c>
      <c r="I1454" t="s">
        <v>1932</v>
      </c>
      <c r="J1454" s="41">
        <f>+Tabla1[[#This Row],[FECHA ENTRADA]]</f>
        <v>45776</v>
      </c>
      <c r="K1454" s="8">
        <v>45944</v>
      </c>
      <c r="L1454" s="23">
        <f>_xlfn.DAYS(Tabla1[[#This Row],[FECHA FIN ]],Tabla1[[#This Row],[FECHA INICIO]])</f>
        <v>168</v>
      </c>
      <c r="M1454" s="12"/>
      <c r="N1454" s="12">
        <v>316</v>
      </c>
      <c r="O1454" s="24">
        <f>(Tabla1[[#This Row],[COSTO FIJO ]]/30)*Tabla1[[#This Row],[TOTAL DIAS PROYECTO]]+(Tabla1[[#This Row],[COSTO TEMPORAL]])</f>
        <v>1769.6</v>
      </c>
      <c r="P1454" s="12">
        <v>80</v>
      </c>
      <c r="Q1454" s="12">
        <f>+(Tabla1[[#This Row],[COSTO COCHE]]/30)*Tabla1[[#This Row],[TOTAL DIAS PROYECTO]]</f>
        <v>448</v>
      </c>
      <c r="R1454" s="12">
        <f>+Tabla1[[#This Row],[COSTO TOTAL ALOJAMIENTO]]+Tabla1[[#This Row],[COSTO TOTAL COCHE]]</f>
        <v>2217.6</v>
      </c>
      <c r="S1454" s="2"/>
      <c r="T1454" s="2" t="s">
        <v>35</v>
      </c>
      <c r="U1454" s="14">
        <v>45776</v>
      </c>
      <c r="V1454" s="25"/>
      <c r="W1454" s="26"/>
      <c r="X1454" s="2">
        <v>1</v>
      </c>
      <c r="Y1454" s="11" t="s">
        <v>2266</v>
      </c>
      <c r="Z1454" s="2" t="s">
        <v>36</v>
      </c>
      <c r="AA1454" s="13">
        <v>-326.69799999999998</v>
      </c>
      <c r="AB1454" s="13" t="s">
        <v>10373</v>
      </c>
    </row>
    <row r="1455" spans="1:28" ht="15" customHeight="1">
      <c r="A1455" s="2" t="s">
        <v>9379</v>
      </c>
      <c r="B1455" s="2" t="s">
        <v>28</v>
      </c>
      <c r="C1455" s="31" t="s">
        <v>2980</v>
      </c>
      <c r="D1455" s="2" t="s">
        <v>30</v>
      </c>
      <c r="E1455" s="2" t="s">
        <v>31</v>
      </c>
      <c r="F1455" s="11" t="s">
        <v>758</v>
      </c>
      <c r="G1455" s="11" t="s">
        <v>759</v>
      </c>
      <c r="H1455" s="2" t="s">
        <v>1241</v>
      </c>
      <c r="I1455" s="12" t="s">
        <v>181</v>
      </c>
      <c r="J1455" s="8">
        <f>+Tabla1[[#This Row],[FECHA ENTRADA]]</f>
        <v>45515</v>
      </c>
      <c r="K1455" s="22">
        <v>45821</v>
      </c>
      <c r="L1455" s="13">
        <f>_xlfn.DAYS(Tabla1[[#This Row],[FECHA FIN ]],Tabla1[[#This Row],[FECHA INICIO]])</f>
        <v>306</v>
      </c>
      <c r="M1455" s="12"/>
      <c r="N1455" s="20"/>
      <c r="O1455" s="12">
        <f>(Tabla1[[#This Row],[COSTO FIJO ]]/30)*Tabla1[[#This Row],[TOTAL DIAS PROYECTO]]+(Tabla1[[#This Row],[COSTO TEMPORAL]])</f>
        <v>0</v>
      </c>
      <c r="P1455" s="12"/>
      <c r="Q1455" s="12">
        <f>+(Tabla1[[#This Row],[COSTO COCHE]]/30)*Tabla1[[#This Row],[TOTAL DIAS PROYECTO]]</f>
        <v>0</v>
      </c>
      <c r="R1455" s="12">
        <f>+Tabla1[[#This Row],[COSTO TOTAL ALOJAMIENTO]]+Tabla1[[#This Row],[COSTO TOTAL COCHE]]</f>
        <v>0</v>
      </c>
      <c r="S1455" s="2"/>
      <c r="T1455" s="2" t="s">
        <v>35</v>
      </c>
      <c r="U1455" s="14">
        <v>45515</v>
      </c>
      <c r="V1455" s="14"/>
      <c r="W1455" s="26"/>
      <c r="X1455" s="2">
        <v>1</v>
      </c>
      <c r="Y1455" s="11" t="s">
        <v>2981</v>
      </c>
      <c r="Z1455" s="2" t="s">
        <v>36</v>
      </c>
      <c r="AA1455" s="13" t="s">
        <v>10323</v>
      </c>
      <c r="AB1455" s="13" t="s">
        <v>10324</v>
      </c>
    </row>
    <row r="1456" spans="1:28" ht="15" customHeight="1">
      <c r="A1456" s="2" t="s">
        <v>9380</v>
      </c>
      <c r="B1456" s="2" t="s">
        <v>28</v>
      </c>
      <c r="C1456" s="11" t="s">
        <v>2982</v>
      </c>
      <c r="D1456" s="2" t="s">
        <v>99</v>
      </c>
      <c r="E1456" s="2" t="s">
        <v>245</v>
      </c>
      <c r="F1456" s="11" t="s">
        <v>2983</v>
      </c>
      <c r="G1456" s="49" t="s">
        <v>2984</v>
      </c>
      <c r="H1456" s="2" t="s">
        <v>2985</v>
      </c>
      <c r="I1456" s="10" t="s">
        <v>1019</v>
      </c>
      <c r="J1456" s="22">
        <f>+Tabla1[[#This Row],[FECHA ENTRADA]]</f>
        <v>45747</v>
      </c>
      <c r="K1456" s="22">
        <v>45770</v>
      </c>
      <c r="L1456" s="23">
        <f>_xlfn.DAYS(Tabla1[[#This Row],[FECHA FIN ]],Tabla1[[#This Row],[FECHA INICIO]])</f>
        <v>23</v>
      </c>
      <c r="M1456" s="12"/>
      <c r="N1456" s="12"/>
      <c r="O1456" s="24">
        <f>(Tabla1[[#This Row],[COSTO FIJO ]]/30)*Tabla1[[#This Row],[TOTAL DIAS PROYECTO]]+(Tabla1[[#This Row],[COSTO TEMPORAL]])</f>
        <v>0</v>
      </c>
      <c r="P1456" s="12"/>
      <c r="Q1456" s="12">
        <f>+(Tabla1[[#This Row],[COSTO COCHE]]/30)*Tabla1[[#This Row],[TOTAL DIAS PROYECTO]]</f>
        <v>0</v>
      </c>
      <c r="R1456" s="12">
        <f>+Tabla1[[#This Row],[COSTO TOTAL ALOJAMIENTO]]+Tabla1[[#This Row],[COSTO TOTAL COCHE]]</f>
        <v>0</v>
      </c>
      <c r="S1456" s="2" t="s">
        <v>403</v>
      </c>
      <c r="T1456" s="2" t="s">
        <v>44</v>
      </c>
      <c r="U1456" s="14">
        <v>45747</v>
      </c>
      <c r="V1456" s="25">
        <v>45770</v>
      </c>
      <c r="W1456" s="26"/>
      <c r="X1456" s="2"/>
      <c r="Y1456" s="11"/>
      <c r="Z1456" s="2" t="s">
        <v>36</v>
      </c>
      <c r="AA1456" s="13" t="s">
        <v>10355</v>
      </c>
      <c r="AB1456" s="13" t="s">
        <v>10356</v>
      </c>
    </row>
    <row r="1457" spans="1:28" ht="15" customHeight="1">
      <c r="A1457" s="2" t="s">
        <v>8962</v>
      </c>
      <c r="B1457" s="2" t="s">
        <v>28</v>
      </c>
      <c r="C1457" s="11" t="s">
        <v>1503</v>
      </c>
      <c r="D1457" s="2" t="s">
        <v>30</v>
      </c>
      <c r="E1457" s="2" t="s">
        <v>502</v>
      </c>
      <c r="F1457" s="11" t="s">
        <v>503</v>
      </c>
      <c r="G1457" s="11" t="s">
        <v>504</v>
      </c>
      <c r="H1457" s="2" t="s">
        <v>2986</v>
      </c>
      <c r="I1457" s="12" t="s">
        <v>506</v>
      </c>
      <c r="J1457" s="41">
        <f>+Tabla1[[#This Row],[FECHA ENTRADA]]</f>
        <v>45552</v>
      </c>
      <c r="K1457" s="22">
        <v>45821</v>
      </c>
      <c r="L1457" s="42">
        <f>_xlfn.DAYS(Tabla1[[#This Row],[FECHA FIN ]],Tabla1[[#This Row],[FECHA INICIO]])</f>
        <v>269</v>
      </c>
      <c r="M1457" s="12"/>
      <c r="N1457" s="12">
        <f>1811.6/17</f>
        <v>106.56470588235294</v>
      </c>
      <c r="O1457" s="28">
        <f>(Tabla1[[#This Row],[COSTO FIJO ]]/30)*Tabla1[[#This Row],[TOTAL DIAS PROYECTO]]+(Tabla1[[#This Row],[COSTO TEMPORAL]])</f>
        <v>955.53019607843135</v>
      </c>
      <c r="P1457" s="12">
        <f>+((803.8+542.69)*50%)/9</f>
        <v>74.805000000000007</v>
      </c>
      <c r="Q1457" s="12">
        <f>+(Tabla1[[#This Row],[COSTO COCHE]]/30)*Tabla1[[#This Row],[TOTAL DIAS PROYECTO]]</f>
        <v>670.75149999999996</v>
      </c>
      <c r="R1457" s="12">
        <f>+Tabla1[[#This Row],[COSTO TOTAL ALOJAMIENTO]]+Tabla1[[#This Row],[COSTO TOTAL COCHE]]</f>
        <v>1626.2816960784312</v>
      </c>
      <c r="S1457" s="2"/>
      <c r="T1457" s="2" t="s">
        <v>35</v>
      </c>
      <c r="U1457" s="14">
        <v>45552</v>
      </c>
      <c r="V1457" s="79"/>
      <c r="W1457" s="26"/>
      <c r="X1457" s="2">
        <v>1</v>
      </c>
      <c r="Y1457" s="11"/>
      <c r="Z1457" s="2" t="s">
        <v>36</v>
      </c>
      <c r="AA1457" s="13" t="s">
        <v>10378</v>
      </c>
      <c r="AB1457" s="13" t="s">
        <v>10379</v>
      </c>
    </row>
    <row r="1458" spans="1:28" ht="15" customHeight="1">
      <c r="A1458" s="2" t="s">
        <v>9381</v>
      </c>
      <c r="B1458" s="2" t="s">
        <v>368</v>
      </c>
      <c r="C1458" s="18" t="s">
        <v>2987</v>
      </c>
      <c r="D1458" s="2" t="s">
        <v>30</v>
      </c>
      <c r="E1458" s="2" t="s">
        <v>855</v>
      </c>
      <c r="F1458" s="11" t="s">
        <v>1312</v>
      </c>
      <c r="G1458" s="46" t="s">
        <v>1313</v>
      </c>
      <c r="H1458" s="2" t="s">
        <v>2988</v>
      </c>
      <c r="I1458" s="12" t="s">
        <v>1288</v>
      </c>
      <c r="J1458" s="41">
        <f>+Tabla1[[#This Row],[FECHA ENTRADA]]</f>
        <v>45659</v>
      </c>
      <c r="K1458" s="22">
        <v>45821</v>
      </c>
      <c r="L1458" s="42">
        <f>_xlfn.DAYS(Tabla1[[#This Row],[FECHA FIN ]],Tabla1[[#This Row],[FECHA INICIO]])</f>
        <v>162</v>
      </c>
      <c r="M1458" s="12"/>
      <c r="N1458" s="24"/>
      <c r="O1458" s="28">
        <f>(Tabla1[[#This Row],[COSTO FIJO ]]/30)*Tabla1[[#This Row],[TOTAL DIAS PROYECTO]]+(Tabla1[[#This Row],[COSTO TEMPORAL]])</f>
        <v>0</v>
      </c>
      <c r="P1458" s="12"/>
      <c r="Q1458" s="12">
        <f>+(Tabla1[[#This Row],[COSTO COCHE]]/30)*Tabla1[[#This Row],[TOTAL DIAS PROYECTO]]</f>
        <v>0</v>
      </c>
      <c r="R1458" s="12">
        <f>+Tabla1[[#This Row],[COSTO TOTAL ALOJAMIENTO]]+Tabla1[[#This Row],[COSTO TOTAL COCHE]]</f>
        <v>0</v>
      </c>
      <c r="S1458" s="2"/>
      <c r="T1458" s="2" t="s">
        <v>44</v>
      </c>
      <c r="U1458" s="14">
        <v>45659</v>
      </c>
      <c r="V1458" s="43">
        <v>45664</v>
      </c>
      <c r="W1458" s="26"/>
      <c r="X1458" s="2"/>
      <c r="Y1458" s="11"/>
      <c r="Z1458" s="2" t="s">
        <v>36</v>
      </c>
      <c r="AA1458" s="13" t="s">
        <v>10401</v>
      </c>
      <c r="AB1458" s="13" t="s">
        <v>10402</v>
      </c>
    </row>
    <row r="1459" spans="1:28" ht="15" customHeight="1">
      <c r="A1459" s="2" t="s">
        <v>8638</v>
      </c>
      <c r="B1459" s="2" t="s">
        <v>28</v>
      </c>
      <c r="C1459" s="86" t="s">
        <v>2989</v>
      </c>
      <c r="D1459" s="2" t="s">
        <v>30</v>
      </c>
      <c r="E1459" s="2" t="s">
        <v>225</v>
      </c>
      <c r="F1459" s="11" t="s">
        <v>226</v>
      </c>
      <c r="G1459" s="11" t="s">
        <v>227</v>
      </c>
      <c r="H1459" s="2" t="s">
        <v>2911</v>
      </c>
      <c r="I1459" s="12" t="s">
        <v>228</v>
      </c>
      <c r="J1459" s="8">
        <f>+Tabla1[[#This Row],[FECHA ENTRADA]]</f>
        <v>45374</v>
      </c>
      <c r="K1459" s="22">
        <v>45821</v>
      </c>
      <c r="L1459" s="13">
        <f>_xlfn.DAYS(Tabla1[[#This Row],[FECHA FIN ]],Tabla1[[#This Row],[FECHA INICIO]])</f>
        <v>447</v>
      </c>
      <c r="M1459" s="12"/>
      <c r="N1459" s="12">
        <f>1182.5/3</f>
        <v>394.16666666666669</v>
      </c>
      <c r="O1459" s="12">
        <f>(Tabla1[[#This Row],[COSTO FIJO ]]/30)*Tabla1[[#This Row],[TOTAL DIAS PROYECTO]]+(Tabla1[[#This Row],[COSTO TEMPORAL]])</f>
        <v>5873.0833333333339</v>
      </c>
      <c r="P1459" s="12"/>
      <c r="Q1459" s="12">
        <f>+(Tabla1[[#This Row],[COSTO COCHE]]/30)*Tabla1[[#This Row],[TOTAL DIAS PROYECTO]]</f>
        <v>0</v>
      </c>
      <c r="R1459" s="12">
        <f>+Tabla1[[#This Row],[COSTO TOTAL ALOJAMIENTO]]+Tabla1[[#This Row],[COSTO TOTAL COCHE]]</f>
        <v>5873.0833333333339</v>
      </c>
      <c r="S1459" s="2"/>
      <c r="T1459" s="2" t="s">
        <v>35</v>
      </c>
      <c r="U1459" s="14">
        <v>45374</v>
      </c>
      <c r="V1459" s="14"/>
      <c r="W1459" s="15"/>
      <c r="X1459" s="16">
        <v>1</v>
      </c>
      <c r="Y1459" s="11" t="s">
        <v>2990</v>
      </c>
      <c r="Z1459" s="2" t="s">
        <v>36</v>
      </c>
      <c r="AA1459" s="13" t="s">
        <v>10353</v>
      </c>
      <c r="AB1459" s="13" t="s">
        <v>10354</v>
      </c>
    </row>
    <row r="1460" spans="1:28">
      <c r="A1460" s="2" t="s">
        <v>9149</v>
      </c>
      <c r="B1460" s="2" t="s">
        <v>28</v>
      </c>
      <c r="C1460" s="87" t="s">
        <v>2223</v>
      </c>
      <c r="D1460" s="2" t="s">
        <v>30</v>
      </c>
      <c r="E1460" s="2" t="s">
        <v>447</v>
      </c>
      <c r="F1460" s="11" t="s">
        <v>2738</v>
      </c>
      <c r="G1460" s="30" t="s">
        <v>2739</v>
      </c>
      <c r="H1460" s="2" t="s">
        <v>2740</v>
      </c>
      <c r="I1460" s="2" t="s">
        <v>2741</v>
      </c>
      <c r="J1460" s="8">
        <f>+Tabla1[[#This Row],[FECHA ENTRADA]]</f>
        <v>45496</v>
      </c>
      <c r="K1460" s="22">
        <v>45526</v>
      </c>
      <c r="L1460" s="13">
        <f>_xlfn.DAYS(Tabla1[[#This Row],[FECHA FIN ]],Tabla1[[#This Row],[FECHA INICIO]])</f>
        <v>30</v>
      </c>
      <c r="M1460" s="12"/>
      <c r="N1460" s="12">
        <v>225</v>
      </c>
      <c r="O1460" s="12">
        <f>(Tabla1[[#This Row],[COSTO FIJO ]]/30)*Tabla1[[#This Row],[TOTAL DIAS PROYECTO]]+(Tabla1[[#This Row],[COSTO TEMPORAL]])</f>
        <v>225</v>
      </c>
      <c r="P1460" s="12"/>
      <c r="Q1460" s="12">
        <f>+(Tabla1[[#This Row],[COSTO COCHE]]/30)*Tabla1[[#This Row],[TOTAL DIAS PROYECTO]]</f>
        <v>0</v>
      </c>
      <c r="R1460" s="12">
        <f>+Tabla1[[#This Row],[COSTO TOTAL ALOJAMIENTO]]+Tabla1[[#This Row],[COSTO TOTAL COCHE]]</f>
        <v>225</v>
      </c>
      <c r="S1460" s="2"/>
      <c r="T1460" s="2" t="s">
        <v>35</v>
      </c>
      <c r="U1460" s="14">
        <v>45496</v>
      </c>
      <c r="V1460" s="14"/>
      <c r="W1460" s="26">
        <v>450</v>
      </c>
      <c r="X1460" s="2">
        <v>1</v>
      </c>
      <c r="Y1460" s="18" t="s">
        <v>2742</v>
      </c>
      <c r="Z1460" s="2" t="s">
        <v>36</v>
      </c>
      <c r="AA1460" s="13">
        <v>-697.06100000000004</v>
      </c>
      <c r="AB1460" s="13" t="s">
        <v>10377</v>
      </c>
    </row>
    <row r="1461" spans="1:28" ht="15" customHeight="1">
      <c r="A1461" s="2" t="s">
        <v>8961</v>
      </c>
      <c r="B1461" s="2" t="s">
        <v>368</v>
      </c>
      <c r="C1461" s="11" t="s">
        <v>1498</v>
      </c>
      <c r="D1461" s="2" t="s">
        <v>30</v>
      </c>
      <c r="E1461" s="2" t="s">
        <v>380</v>
      </c>
      <c r="F1461" s="11" t="s">
        <v>1861</v>
      </c>
      <c r="G1461" s="11" t="s">
        <v>2991</v>
      </c>
      <c r="H1461" s="2" t="s">
        <v>2992</v>
      </c>
      <c r="I1461" s="12" t="s">
        <v>2993</v>
      </c>
      <c r="J1461" s="8">
        <f>+Tabla1[[#This Row],[FECHA ENTRADA]]</f>
        <v>45502</v>
      </c>
      <c r="K1461" s="8">
        <v>45534</v>
      </c>
      <c r="L1461" s="13">
        <f>_xlfn.DAYS(Tabla1[[#This Row],[FECHA FIN ]],Tabla1[[#This Row],[FECHA INICIO]])</f>
        <v>32</v>
      </c>
      <c r="M1461" s="12"/>
      <c r="N1461" s="12">
        <f>154.4+239.5</f>
        <v>393.9</v>
      </c>
      <c r="O1461" s="12">
        <f>(Tabla1[[#This Row],[COSTO FIJO ]]/30)*Tabla1[[#This Row],[TOTAL DIAS PROYECTO]]+(Tabla1[[#This Row],[COSTO TEMPORAL]])</f>
        <v>420.15999999999997</v>
      </c>
      <c r="P1461" s="12"/>
      <c r="Q1461" s="12">
        <f>+(Tabla1[[#This Row],[COSTO COCHE]]/30)*Tabla1[[#This Row],[TOTAL DIAS PROYECTO]]</f>
        <v>0</v>
      </c>
      <c r="R1461" s="12">
        <f>+Tabla1[[#This Row],[COSTO TOTAL ALOJAMIENTO]]+Tabla1[[#This Row],[COSTO TOTAL COCHE]]</f>
        <v>420.15999999999997</v>
      </c>
      <c r="S1461" s="2"/>
      <c r="T1461" s="2" t="s">
        <v>35</v>
      </c>
      <c r="U1461" s="14">
        <v>45502</v>
      </c>
      <c r="V1461" s="14"/>
      <c r="W1461" s="26">
        <v>320</v>
      </c>
      <c r="X1461" s="2">
        <v>20</v>
      </c>
      <c r="Y1461" s="18" t="s">
        <v>2994</v>
      </c>
      <c r="Z1461" s="2" t="s">
        <v>36</v>
      </c>
      <c r="AA1461" s="13" t="s">
        <v>10370</v>
      </c>
      <c r="AB1461" s="13" t="s">
        <v>10371</v>
      </c>
    </row>
    <row r="1462" spans="1:28" ht="15" customHeight="1">
      <c r="A1462" s="2" t="s">
        <v>8838</v>
      </c>
      <c r="B1462" s="2" t="s">
        <v>28</v>
      </c>
      <c r="C1462" s="18" t="s">
        <v>965</v>
      </c>
      <c r="D1462" s="2" t="s">
        <v>30</v>
      </c>
      <c r="E1462" s="2" t="s">
        <v>31</v>
      </c>
      <c r="F1462" s="11" t="s">
        <v>530</v>
      </c>
      <c r="G1462" s="11" t="s">
        <v>531</v>
      </c>
      <c r="H1462" s="2" t="s">
        <v>532</v>
      </c>
      <c r="I1462" s="12" t="s">
        <v>527</v>
      </c>
      <c r="J1462" s="8">
        <f>+Tabla1[[#This Row],[FECHA ENTRADA]]</f>
        <v>45517</v>
      </c>
      <c r="K1462" s="22">
        <v>45821</v>
      </c>
      <c r="L1462" s="13">
        <f>_xlfn.DAYS(Tabla1[[#This Row],[FECHA FIN ]],Tabla1[[#This Row],[FECHA INICIO]])</f>
        <v>304</v>
      </c>
      <c r="M1462" s="12"/>
      <c r="N1462" s="12">
        <v>166.66666666666666</v>
      </c>
      <c r="O1462" s="12">
        <f>(Tabla1[[#This Row],[COSTO FIJO ]]/30)*Tabla1[[#This Row],[TOTAL DIAS PROYECTO]]+(Tabla1[[#This Row],[COSTO TEMPORAL]])</f>
        <v>1688.8888888888889</v>
      </c>
      <c r="P1462" s="12"/>
      <c r="Q1462" s="12">
        <f>+(Tabla1[[#This Row],[COSTO COCHE]]/30)*Tabla1[[#This Row],[TOTAL DIAS PROYECTO]]</f>
        <v>0</v>
      </c>
      <c r="R1462" s="12">
        <f>+Tabla1[[#This Row],[COSTO TOTAL ALOJAMIENTO]]+Tabla1[[#This Row],[COSTO TOTAL COCHE]]</f>
        <v>1688.8888888888889</v>
      </c>
      <c r="S1462" s="2"/>
      <c r="T1462" s="2" t="s">
        <v>35</v>
      </c>
      <c r="U1462" s="14">
        <v>45517</v>
      </c>
      <c r="V1462" s="14"/>
      <c r="W1462" s="26"/>
      <c r="X1462" s="2">
        <v>1</v>
      </c>
      <c r="Y1462" s="18" t="s">
        <v>2995</v>
      </c>
      <c r="Z1462" s="2" t="s">
        <v>36</v>
      </c>
      <c r="AA1462" s="13" t="s">
        <v>10323</v>
      </c>
      <c r="AB1462" s="13" t="s">
        <v>10324</v>
      </c>
    </row>
    <row r="1463" spans="1:28" ht="15" customHeight="1">
      <c r="A1463" s="2" t="s">
        <v>8839</v>
      </c>
      <c r="B1463" s="2" t="s">
        <v>28</v>
      </c>
      <c r="C1463" s="115" t="s">
        <v>968</v>
      </c>
      <c r="D1463" s="2" t="s">
        <v>30</v>
      </c>
      <c r="E1463" s="2" t="s">
        <v>31</v>
      </c>
      <c r="F1463" s="11" t="s">
        <v>530</v>
      </c>
      <c r="G1463" s="11" t="s">
        <v>531</v>
      </c>
      <c r="H1463" s="2" t="s">
        <v>532</v>
      </c>
      <c r="I1463" s="12" t="s">
        <v>527</v>
      </c>
      <c r="J1463" s="8">
        <f>+Tabla1[[#This Row],[FECHA ENTRADA]]</f>
        <v>45517</v>
      </c>
      <c r="K1463" s="22">
        <v>45821</v>
      </c>
      <c r="L1463" s="13">
        <f>_xlfn.DAYS(Tabla1[[#This Row],[FECHA FIN ]],Tabla1[[#This Row],[FECHA INICIO]])</f>
        <v>304</v>
      </c>
      <c r="M1463" s="12"/>
      <c r="N1463" s="12">
        <v>166.66666666666666</v>
      </c>
      <c r="O1463" s="12">
        <f>(Tabla1[[#This Row],[COSTO FIJO ]]/30)*Tabla1[[#This Row],[TOTAL DIAS PROYECTO]]+(Tabla1[[#This Row],[COSTO TEMPORAL]])</f>
        <v>1688.8888888888889</v>
      </c>
      <c r="P1463" s="12"/>
      <c r="Q1463" s="12">
        <f>+(Tabla1[[#This Row],[COSTO COCHE]]/30)*Tabla1[[#This Row],[TOTAL DIAS PROYECTO]]</f>
        <v>0</v>
      </c>
      <c r="R1463" s="12">
        <f>+Tabla1[[#This Row],[COSTO TOTAL ALOJAMIENTO]]+Tabla1[[#This Row],[COSTO TOTAL COCHE]]</f>
        <v>1688.8888888888889</v>
      </c>
      <c r="S1463" s="2"/>
      <c r="T1463" s="2" t="s">
        <v>35</v>
      </c>
      <c r="U1463" s="14">
        <v>45517</v>
      </c>
      <c r="V1463" s="14"/>
      <c r="W1463" s="26"/>
      <c r="X1463" s="2">
        <v>1</v>
      </c>
      <c r="Y1463" s="18" t="s">
        <v>2995</v>
      </c>
      <c r="Z1463" s="2" t="s">
        <v>36</v>
      </c>
      <c r="AA1463" s="13" t="s">
        <v>10323</v>
      </c>
      <c r="AB1463" s="13" t="s">
        <v>10324</v>
      </c>
    </row>
    <row r="1464" spans="1:28" ht="15" customHeight="1">
      <c r="A1464" s="2" t="s">
        <v>9382</v>
      </c>
      <c r="B1464" s="2" t="s">
        <v>368</v>
      </c>
      <c r="C1464" s="11" t="s">
        <v>2996</v>
      </c>
      <c r="D1464" s="2" t="s">
        <v>1332</v>
      </c>
      <c r="E1464" s="2" t="s">
        <v>1333</v>
      </c>
      <c r="F1464" s="11" t="s">
        <v>1334</v>
      </c>
      <c r="G1464" s="46" t="s">
        <v>1335</v>
      </c>
      <c r="H1464" s="2" t="s">
        <v>1336</v>
      </c>
      <c r="I1464" s="12" t="s">
        <v>1337</v>
      </c>
      <c r="J1464" s="41">
        <f>+Tabla1[[#This Row],[FECHA ENTRADA]]</f>
        <v>45659</v>
      </c>
      <c r="K1464" s="22">
        <v>45821</v>
      </c>
      <c r="L1464" s="42">
        <f>_xlfn.DAYS(Tabla1[[#This Row],[FECHA FIN ]],Tabla1[[#This Row],[FECHA INICIO]])</f>
        <v>162</v>
      </c>
      <c r="M1464" s="12"/>
      <c r="N1464" s="12">
        <f>1811.6/17</f>
        <v>106.56470588235294</v>
      </c>
      <c r="O1464" s="28">
        <f>(Tabla1[[#This Row],[COSTO FIJO ]]/30)*Tabla1[[#This Row],[TOTAL DIAS PROYECTO]]+(Tabla1[[#This Row],[COSTO TEMPORAL]])</f>
        <v>575.44941176470593</v>
      </c>
      <c r="P1464" s="12"/>
      <c r="Q1464" s="12">
        <f>+(Tabla1[[#This Row],[COSTO COCHE]]/30)*Tabla1[[#This Row],[TOTAL DIAS PROYECTO]]</f>
        <v>0</v>
      </c>
      <c r="R1464" s="12">
        <f>+Tabla1[[#This Row],[COSTO TOTAL ALOJAMIENTO]]+Tabla1[[#This Row],[COSTO TOTAL COCHE]]</f>
        <v>575.44941176470593</v>
      </c>
      <c r="S1464" s="2" t="s">
        <v>84</v>
      </c>
      <c r="T1464" s="2" t="s">
        <v>44</v>
      </c>
      <c r="U1464" s="14">
        <v>45659</v>
      </c>
      <c r="V1464" s="43">
        <v>45666</v>
      </c>
      <c r="W1464" s="26"/>
      <c r="X1464" s="2"/>
      <c r="Y1464" s="11"/>
      <c r="Z1464" s="2" t="s">
        <v>36</v>
      </c>
      <c r="AA1464" s="13" t="s">
        <v>10415</v>
      </c>
      <c r="AB1464" s="13">
        <v>5017058</v>
      </c>
    </row>
    <row r="1465" spans="1:28" ht="15" customHeight="1">
      <c r="A1465" s="2" t="s">
        <v>8638</v>
      </c>
      <c r="B1465" s="2" t="s">
        <v>28</v>
      </c>
      <c r="C1465" s="11" t="s">
        <v>2766</v>
      </c>
      <c r="D1465" s="2" t="s">
        <v>30</v>
      </c>
      <c r="E1465" s="2" t="s">
        <v>422</v>
      </c>
      <c r="F1465" s="11" t="s">
        <v>2997</v>
      </c>
      <c r="G1465" s="46">
        <v>699109800</v>
      </c>
      <c r="H1465" s="2" t="s">
        <v>2767</v>
      </c>
      <c r="I1465" s="12" t="s">
        <v>2454</v>
      </c>
      <c r="J1465" s="41">
        <f>+Tabla1[[#This Row],[FECHA ENTRADA]]</f>
        <v>45777</v>
      </c>
      <c r="K1465" s="22">
        <v>45782</v>
      </c>
      <c r="L1465" s="23">
        <f>_xlfn.DAYS(Tabla1[[#This Row],[FECHA FIN ]],Tabla1[[#This Row],[FECHA INICIO]])</f>
        <v>5</v>
      </c>
      <c r="M1465" s="12"/>
      <c r="N1465" s="12">
        <v>125</v>
      </c>
      <c r="O1465" s="24">
        <f>(Tabla1[[#This Row],[COSTO FIJO ]]/30)*Tabla1[[#This Row],[TOTAL DIAS PROYECTO]]+(Tabla1[[#This Row],[COSTO TEMPORAL]])</f>
        <v>20.833333333333336</v>
      </c>
      <c r="P1465" s="12"/>
      <c r="Q1465" s="12">
        <f>+(Tabla1[[#This Row],[COSTO COCHE]]/30)*Tabla1[[#This Row],[TOTAL DIAS PROYECTO]]</f>
        <v>0</v>
      </c>
      <c r="R1465" s="12">
        <f>+Tabla1[[#This Row],[COSTO TOTAL ALOJAMIENTO]]+Tabla1[[#This Row],[COSTO TOTAL COCHE]]</f>
        <v>20.833333333333336</v>
      </c>
      <c r="S1465" s="2"/>
      <c r="T1465" s="14" t="s">
        <v>44</v>
      </c>
      <c r="U1465" s="14">
        <v>45777</v>
      </c>
      <c r="V1465" s="25">
        <v>45782</v>
      </c>
      <c r="W1465" s="2"/>
      <c r="X1465" s="2"/>
      <c r="Y1465" s="11"/>
      <c r="Z1465" s="2" t="s">
        <v>36</v>
      </c>
      <c r="AA1465" s="13">
        <v>-326.69799999999998</v>
      </c>
      <c r="AB1465" s="13" t="s">
        <v>10373</v>
      </c>
    </row>
    <row r="1466" spans="1:28" ht="15" customHeight="1">
      <c r="A1466" s="2" t="s">
        <v>8638</v>
      </c>
      <c r="B1466" s="2" t="s">
        <v>28</v>
      </c>
      <c r="C1466" s="31" t="s">
        <v>2998</v>
      </c>
      <c r="D1466" s="2" t="s">
        <v>30</v>
      </c>
      <c r="E1466" s="2" t="s">
        <v>253</v>
      </c>
      <c r="F1466" s="11" t="s">
        <v>254</v>
      </c>
      <c r="G1466" s="11" t="s">
        <v>255</v>
      </c>
      <c r="H1466" s="2" t="s">
        <v>2341</v>
      </c>
      <c r="I1466" s="12" t="s">
        <v>2342</v>
      </c>
      <c r="J1466" s="41">
        <f>+Tabla1[[#This Row],[FECHA ENTRADA]]</f>
        <v>45783</v>
      </c>
      <c r="K1466" s="22">
        <v>45821</v>
      </c>
      <c r="L1466" s="23">
        <f>Tabla1[[#This Row],[FECHA FIN ]]-Tabla1[[#This Row],[FECHA INICIO]]</f>
        <v>38</v>
      </c>
      <c r="M1466" s="12"/>
      <c r="N1466" s="12"/>
      <c r="O1466" s="24">
        <f>(Tabla1[[#This Row],[COSTO FIJO ]]/30)*Tabla1[[#This Row],[TOTAL DIAS PROYECTO]]+(Tabla1[[#This Row],[COSTO TEMPORAL]])</f>
        <v>0</v>
      </c>
      <c r="P1466" s="12"/>
      <c r="Q1466" s="12">
        <f>+(Tabla1[[#This Row],[COSTO COCHE]]/30)*Tabla1[[#This Row],[TOTAL DIAS PROYECTO]]</f>
        <v>0</v>
      </c>
      <c r="R1466" s="12">
        <f>+Tabla1[[#This Row],[COSTO TOTAL ALOJAMIENTO]]+Tabla1[[#This Row],[COSTO TOTAL COCHE]]</f>
        <v>0</v>
      </c>
      <c r="S1466" s="2"/>
      <c r="T1466" s="2" t="s">
        <v>35</v>
      </c>
      <c r="U1466" s="14">
        <v>45783</v>
      </c>
      <c r="V1466" s="25"/>
      <c r="W1466" s="26"/>
      <c r="X1466" s="2">
        <v>1</v>
      </c>
      <c r="Y1466" s="11" t="s">
        <v>2999</v>
      </c>
      <c r="Z1466" s="2" t="s">
        <v>36</v>
      </c>
      <c r="AA1466" s="13" t="s">
        <v>10357</v>
      </c>
      <c r="AB1466" s="13" t="s">
        <v>10358</v>
      </c>
    </row>
    <row r="1467" spans="1:28">
      <c r="A1467" s="2" t="s">
        <v>9383</v>
      </c>
      <c r="B1467" s="2" t="s">
        <v>28</v>
      </c>
      <c r="C1467" s="107" t="s">
        <v>3000</v>
      </c>
      <c r="D1467" s="2" t="s">
        <v>30</v>
      </c>
      <c r="E1467" s="2" t="s">
        <v>985</v>
      </c>
      <c r="F1467" s="11" t="s">
        <v>1607</v>
      </c>
      <c r="G1467" s="30" t="s">
        <v>1127</v>
      </c>
      <c r="H1467" s="2" t="s">
        <v>1418</v>
      </c>
      <c r="I1467" s="12" t="s">
        <v>1272</v>
      </c>
      <c r="J1467" s="8">
        <f>+Tabla1[[#This Row],[FECHA ENTRADA]]</f>
        <v>45496</v>
      </c>
      <c r="K1467" s="22">
        <v>45821</v>
      </c>
      <c r="L1467" s="13">
        <f>_xlfn.DAYS(Tabla1[[#This Row],[FECHA FIN ]],Tabla1[[#This Row],[FECHA INICIO]])</f>
        <v>325</v>
      </c>
      <c r="M1467" s="12"/>
      <c r="N1467" s="24"/>
      <c r="O1467" s="12">
        <f>(Tabla1[[#This Row],[COSTO FIJO ]]/30)*Tabla1[[#This Row],[TOTAL DIAS PROYECTO]]+(Tabla1[[#This Row],[COSTO TEMPORAL]])</f>
        <v>0</v>
      </c>
      <c r="P1467" s="12"/>
      <c r="Q1467" s="12">
        <f>+(Tabla1[[#This Row],[COSTO COCHE]]/30)*Tabla1[[#This Row],[TOTAL DIAS PROYECTO]]</f>
        <v>0</v>
      </c>
      <c r="R1467" s="12">
        <f>+Tabla1[[#This Row],[COSTO TOTAL ALOJAMIENTO]]+Tabla1[[#This Row],[COSTO TOTAL COCHE]]</f>
        <v>0</v>
      </c>
      <c r="S1467" s="2"/>
      <c r="T1467" s="2" t="s">
        <v>35</v>
      </c>
      <c r="U1467" s="14">
        <v>45496</v>
      </c>
      <c r="V1467" s="14"/>
      <c r="W1467" s="26">
        <v>850</v>
      </c>
      <c r="X1467" s="2">
        <v>1</v>
      </c>
      <c r="Y1467" s="11" t="s">
        <v>3001</v>
      </c>
      <c r="Z1467" s="2" t="s">
        <v>36</v>
      </c>
      <c r="AA1467" s="13" t="s">
        <v>10407</v>
      </c>
      <c r="AB1467" s="13" t="s">
        <v>10408</v>
      </c>
    </row>
    <row r="1468" spans="1:28">
      <c r="A1468" s="2" t="s">
        <v>9384</v>
      </c>
      <c r="B1468" s="2" t="s">
        <v>28</v>
      </c>
      <c r="C1468" s="11" t="s">
        <v>3002</v>
      </c>
      <c r="D1468" s="2" t="s">
        <v>30</v>
      </c>
      <c r="E1468" s="2" t="s">
        <v>225</v>
      </c>
      <c r="F1468" s="11" t="s">
        <v>1502</v>
      </c>
      <c r="G1468" s="11" t="s">
        <v>1505</v>
      </c>
      <c r="H1468" s="2" t="s">
        <v>2911</v>
      </c>
      <c r="I1468" s="12" t="s">
        <v>228</v>
      </c>
      <c r="J1468" s="8">
        <f>+Tabla1[[#This Row],[FECHA ENTRADA]]</f>
        <v>45374</v>
      </c>
      <c r="K1468" s="22">
        <v>45821</v>
      </c>
      <c r="L1468" s="13">
        <f>_xlfn.DAYS(Tabla1[[#This Row],[FECHA FIN ]],Tabla1[[#This Row],[FECHA INICIO]])</f>
        <v>447</v>
      </c>
      <c r="M1468" s="12"/>
      <c r="N1468" s="12"/>
      <c r="O1468" s="12">
        <f>(Tabla1[[#This Row],[COSTO FIJO ]]/30)*Tabla1[[#This Row],[TOTAL DIAS PROYECTO]]+(Tabla1[[#This Row],[COSTO TEMPORAL]])</f>
        <v>0</v>
      </c>
      <c r="P1468" s="12"/>
      <c r="Q1468" s="12">
        <f>+(Tabla1[[#This Row],[COSTO COCHE]]/30)*Tabla1[[#This Row],[TOTAL DIAS PROYECTO]]</f>
        <v>0</v>
      </c>
      <c r="R1468" s="12">
        <f>+Tabla1[[#This Row],[COSTO TOTAL ALOJAMIENTO]]+Tabla1[[#This Row],[COSTO TOTAL COCHE]]</f>
        <v>0</v>
      </c>
      <c r="S1468" s="2"/>
      <c r="T1468" s="2" t="s">
        <v>35</v>
      </c>
      <c r="U1468" s="14">
        <v>45374</v>
      </c>
      <c r="V1468" s="14"/>
      <c r="W1468" s="15"/>
      <c r="X1468" s="16">
        <v>20</v>
      </c>
      <c r="Y1468" s="18" t="s">
        <v>3003</v>
      </c>
      <c r="Z1468" s="2" t="s">
        <v>36</v>
      </c>
      <c r="AA1468" s="13" t="s">
        <v>10353</v>
      </c>
      <c r="AB1468" s="13" t="s">
        <v>10354</v>
      </c>
    </row>
    <row r="1469" spans="1:28">
      <c r="A1469" s="2" t="s">
        <v>9300</v>
      </c>
      <c r="B1469" s="2" t="s">
        <v>28</v>
      </c>
      <c r="C1469" s="18" t="s">
        <v>2745</v>
      </c>
      <c r="D1469" s="2" t="s">
        <v>30</v>
      </c>
      <c r="E1469" s="2" t="s">
        <v>114</v>
      </c>
      <c r="F1469" s="11" t="s">
        <v>3004</v>
      </c>
      <c r="G1469" s="11" t="s">
        <v>3005</v>
      </c>
      <c r="H1469" s="2">
        <v>2023</v>
      </c>
      <c r="I1469" s="2" t="s">
        <v>118</v>
      </c>
      <c r="J1469" s="8">
        <f>+Tabla1[[#This Row],[FECHA ENTRADA]]</f>
        <v>0</v>
      </c>
      <c r="K1469" s="22">
        <v>45821</v>
      </c>
      <c r="L1469" s="13">
        <f>_xlfn.DAYS(Tabla1[[#This Row],[FECHA FIN ]],Tabla1[[#This Row],[FECHA INICIO]])</f>
        <v>45821</v>
      </c>
      <c r="M1469" s="12"/>
      <c r="N1469" s="24"/>
      <c r="O1469" s="12">
        <f>(Tabla1[[#This Row],[COSTO FIJO ]]/30)*Tabla1[[#This Row],[TOTAL DIAS PROYECTO]]+(Tabla1[[#This Row],[COSTO TEMPORAL]])</f>
        <v>0</v>
      </c>
      <c r="P1469" s="12"/>
      <c r="Q1469" s="12">
        <f>+(Tabla1[[#This Row],[COSTO COCHE]]/30)*Tabla1[[#This Row],[TOTAL DIAS PROYECTO]]</f>
        <v>0</v>
      </c>
      <c r="R1469" s="12">
        <f>+Tabla1[[#This Row],[COSTO TOTAL ALOJAMIENTO]]+Tabla1[[#This Row],[COSTO TOTAL COCHE]]</f>
        <v>0</v>
      </c>
      <c r="S1469" s="2"/>
      <c r="T1469" s="2" t="s">
        <v>35</v>
      </c>
      <c r="U1469" s="14"/>
      <c r="V1469" s="14">
        <v>45405</v>
      </c>
      <c r="W1469" s="15"/>
      <c r="X1469" s="16">
        <v>1</v>
      </c>
      <c r="Y1469" s="18" t="s">
        <v>223</v>
      </c>
      <c r="Z1469" s="2" t="s">
        <v>36</v>
      </c>
      <c r="AA1469" s="13" t="s">
        <v>10340</v>
      </c>
      <c r="AB1469" s="13" t="s">
        <v>10341</v>
      </c>
    </row>
    <row r="1470" spans="1:28" ht="15" customHeight="1">
      <c r="A1470" s="2" t="s">
        <v>8638</v>
      </c>
      <c r="B1470" s="2" t="s">
        <v>28</v>
      </c>
      <c r="C1470" s="11" t="s">
        <v>2768</v>
      </c>
      <c r="D1470" s="2" t="s">
        <v>30</v>
      </c>
      <c r="E1470" s="2" t="s">
        <v>422</v>
      </c>
      <c r="F1470" s="11" t="s">
        <v>2997</v>
      </c>
      <c r="G1470" s="46">
        <v>699109800</v>
      </c>
      <c r="H1470" s="2" t="s">
        <v>2767</v>
      </c>
      <c r="I1470" s="12" t="s">
        <v>2454</v>
      </c>
      <c r="J1470" s="41">
        <f>+Tabla1[[#This Row],[FECHA ENTRADA]]</f>
        <v>45777</v>
      </c>
      <c r="K1470" s="22">
        <v>45782</v>
      </c>
      <c r="L1470" s="23">
        <f>_xlfn.DAYS(Tabla1[[#This Row],[FECHA FIN ]],Tabla1[[#This Row],[FECHA INICIO]])</f>
        <v>5</v>
      </c>
      <c r="M1470" s="12"/>
      <c r="N1470" s="12">
        <v>125</v>
      </c>
      <c r="O1470" s="24">
        <f>(Tabla1[[#This Row],[COSTO FIJO ]]/30)*Tabla1[[#This Row],[TOTAL DIAS PROYECTO]]+(Tabla1[[#This Row],[COSTO TEMPORAL]])</f>
        <v>20.833333333333336</v>
      </c>
      <c r="P1470" s="12"/>
      <c r="Q1470" s="12">
        <f>+(Tabla1[[#This Row],[COSTO COCHE]]/30)*Tabla1[[#This Row],[TOTAL DIAS PROYECTO]]</f>
        <v>0</v>
      </c>
      <c r="R1470" s="12">
        <f>+Tabla1[[#This Row],[COSTO TOTAL ALOJAMIENTO]]+Tabla1[[#This Row],[COSTO TOTAL COCHE]]</f>
        <v>20.833333333333336</v>
      </c>
      <c r="S1470" s="2"/>
      <c r="T1470" s="14" t="s">
        <v>44</v>
      </c>
      <c r="U1470" s="14">
        <v>45777</v>
      </c>
      <c r="V1470" s="25">
        <v>45782</v>
      </c>
      <c r="W1470" s="2"/>
      <c r="X1470" s="2"/>
      <c r="Y1470" s="11"/>
      <c r="Z1470" s="2" t="s">
        <v>36</v>
      </c>
      <c r="AA1470" s="13">
        <v>-326.69799999999998</v>
      </c>
      <c r="AB1470" s="13" t="s">
        <v>10373</v>
      </c>
    </row>
    <row r="1471" spans="1:28" ht="15" customHeight="1">
      <c r="A1471" s="2" t="s">
        <v>9349</v>
      </c>
      <c r="B1471" s="2" t="s">
        <v>28</v>
      </c>
      <c r="C1471" s="11" t="s">
        <v>2900</v>
      </c>
      <c r="D1471" s="2" t="s">
        <v>30</v>
      </c>
      <c r="E1471" s="2" t="s">
        <v>55</v>
      </c>
      <c r="F1471" s="11" t="s">
        <v>105</v>
      </c>
      <c r="G1471" s="11" t="s">
        <v>106</v>
      </c>
      <c r="H1471" s="2" t="s">
        <v>588</v>
      </c>
      <c r="I1471" s="54" t="s">
        <v>589</v>
      </c>
      <c r="J1471" s="8">
        <f>+Tabla1[[#This Row],[FECHA ENTRADA]]</f>
        <v>45495</v>
      </c>
      <c r="K1471" s="22">
        <v>45572</v>
      </c>
      <c r="L1471" s="13">
        <f>_xlfn.DAYS(Tabla1[[#This Row],[FECHA FIN ]],Tabla1[[#This Row],[FECHA INICIO]])</f>
        <v>77</v>
      </c>
      <c r="M1471" s="12"/>
      <c r="N1471" s="12">
        <f>1811.6/17</f>
        <v>106.56470588235294</v>
      </c>
      <c r="O1471" s="12">
        <f>(Tabla1[[#This Row],[COSTO FIJO ]]/30)*Tabla1[[#This Row],[TOTAL DIAS PROYECTO]]+(Tabla1[[#This Row],[COSTO TEMPORAL]])</f>
        <v>273.51607843137253</v>
      </c>
      <c r="P1471" s="12"/>
      <c r="Q1471" s="12">
        <f>+(Tabla1[[#This Row],[COSTO COCHE]]/30)*Tabla1[[#This Row],[TOTAL DIAS PROYECTO]]</f>
        <v>0</v>
      </c>
      <c r="R1471" s="12">
        <f>+Tabla1[[#This Row],[COSTO TOTAL ALOJAMIENTO]]+Tabla1[[#This Row],[COSTO TOTAL COCHE]]</f>
        <v>273.51607843137253</v>
      </c>
      <c r="S1471" s="2"/>
      <c r="T1471" s="2" t="s">
        <v>35</v>
      </c>
      <c r="U1471" s="14">
        <v>45495</v>
      </c>
      <c r="V1471" s="14"/>
      <c r="W1471" s="26"/>
      <c r="X1471" s="2">
        <v>1</v>
      </c>
      <c r="Y1471" s="18" t="s">
        <v>590</v>
      </c>
      <c r="Z1471" s="2" t="s">
        <v>36</v>
      </c>
      <c r="AA1471" s="13" t="s">
        <v>10327</v>
      </c>
      <c r="AB1471" s="13" t="s">
        <v>10328</v>
      </c>
    </row>
    <row r="1472" spans="1:28" ht="15" customHeight="1">
      <c r="A1472" s="2" t="s">
        <v>8638</v>
      </c>
      <c r="B1472" s="2" t="s">
        <v>28</v>
      </c>
      <c r="C1472" s="11" t="s">
        <v>2450</v>
      </c>
      <c r="D1472" s="2" t="s">
        <v>30</v>
      </c>
      <c r="E1472" s="2" t="s">
        <v>422</v>
      </c>
      <c r="F1472" s="11" t="s">
        <v>2997</v>
      </c>
      <c r="G1472" s="46">
        <v>699109800</v>
      </c>
      <c r="H1472" s="2" t="s">
        <v>2453</v>
      </c>
      <c r="I1472" s="12" t="s">
        <v>2454</v>
      </c>
      <c r="J1472" s="41">
        <f>+Tabla1[[#This Row],[FECHA ENTRADA]]</f>
        <v>45777</v>
      </c>
      <c r="K1472" s="22">
        <v>45821</v>
      </c>
      <c r="L1472" s="23">
        <f>_xlfn.DAYS(Tabla1[[#This Row],[FECHA FIN ]],Tabla1[[#This Row],[FECHA INICIO]])</f>
        <v>44</v>
      </c>
      <c r="M1472" s="12"/>
      <c r="N1472" s="12"/>
      <c r="O1472" s="24">
        <f>(Tabla1[[#This Row],[COSTO FIJO ]]/30)*Tabla1[[#This Row],[TOTAL DIAS PROYECTO]]+(Tabla1[[#This Row],[COSTO TEMPORAL]])</f>
        <v>0</v>
      </c>
      <c r="P1472" s="12"/>
      <c r="Q1472" s="12">
        <f>+(Tabla1[[#This Row],[COSTO COCHE]]/30)*Tabla1[[#This Row],[TOTAL DIAS PROYECTO]]</f>
        <v>0</v>
      </c>
      <c r="R1472" s="12">
        <f>+Tabla1[[#This Row],[COSTO TOTAL ALOJAMIENTO]]+Tabla1[[#This Row],[COSTO TOTAL COCHE]]</f>
        <v>0</v>
      </c>
      <c r="S1472" s="2"/>
      <c r="T1472" s="14" t="s">
        <v>44</v>
      </c>
      <c r="U1472" s="14">
        <v>45777</v>
      </c>
      <c r="V1472" s="25">
        <v>45782</v>
      </c>
      <c r="W1472" s="2"/>
      <c r="X1472" s="2"/>
      <c r="Y1472" s="11"/>
      <c r="Z1472" s="2" t="s">
        <v>36</v>
      </c>
      <c r="AA1472" s="13">
        <v>-326.69799999999998</v>
      </c>
      <c r="AB1472" s="13" t="s">
        <v>10373</v>
      </c>
    </row>
    <row r="1473" spans="1:28" ht="15" customHeight="1">
      <c r="A1473" s="2" t="s">
        <v>8638</v>
      </c>
      <c r="B1473" s="2" t="s">
        <v>28</v>
      </c>
      <c r="C1473" s="11" t="s">
        <v>2534</v>
      </c>
      <c r="D1473" s="2" t="s">
        <v>30</v>
      </c>
      <c r="E1473" s="2" t="s">
        <v>422</v>
      </c>
      <c r="F1473" s="11" t="s">
        <v>2997</v>
      </c>
      <c r="G1473" s="46">
        <v>699109800</v>
      </c>
      <c r="H1473" s="2" t="s">
        <v>2453</v>
      </c>
      <c r="I1473" s="12" t="s">
        <v>2454</v>
      </c>
      <c r="J1473" s="41">
        <f>+Tabla1[[#This Row],[FECHA ENTRADA]]</f>
        <v>45777</v>
      </c>
      <c r="K1473" s="22">
        <v>45821</v>
      </c>
      <c r="L1473" s="23">
        <f>_xlfn.DAYS(Tabla1[[#This Row],[FECHA FIN ]],Tabla1[[#This Row],[FECHA INICIO]])</f>
        <v>44</v>
      </c>
      <c r="M1473" s="12"/>
      <c r="N1473" s="24"/>
      <c r="O1473" s="24">
        <f>(Tabla1[[#This Row],[COSTO FIJO ]]/30)*Tabla1[[#This Row],[TOTAL DIAS PROYECTO]]+(Tabla1[[#This Row],[COSTO TEMPORAL]])</f>
        <v>0</v>
      </c>
      <c r="P1473" s="12"/>
      <c r="Q1473" s="12">
        <f>+(Tabla1[[#This Row],[COSTO COCHE]]/30)*Tabla1[[#This Row],[TOTAL DIAS PROYECTO]]</f>
        <v>0</v>
      </c>
      <c r="R1473" s="12">
        <f>+Tabla1[[#This Row],[COSTO TOTAL ALOJAMIENTO]]+Tabla1[[#This Row],[COSTO TOTAL COCHE]]</f>
        <v>0</v>
      </c>
      <c r="S1473" s="2"/>
      <c r="T1473" s="14" t="s">
        <v>44</v>
      </c>
      <c r="U1473" s="14">
        <v>45777</v>
      </c>
      <c r="V1473" s="25">
        <v>45782</v>
      </c>
      <c r="W1473" s="2"/>
      <c r="X1473" s="2"/>
      <c r="Y1473" s="11"/>
      <c r="Z1473" s="2" t="s">
        <v>36</v>
      </c>
      <c r="AA1473" s="13">
        <v>-326.69799999999998</v>
      </c>
      <c r="AB1473" s="13" t="s">
        <v>10373</v>
      </c>
    </row>
    <row r="1474" spans="1:28" ht="15" customHeight="1">
      <c r="A1474" s="2" t="s">
        <v>9179</v>
      </c>
      <c r="B1474" s="2" t="s">
        <v>28</v>
      </c>
      <c r="C1474" s="99" t="s">
        <v>2336</v>
      </c>
      <c r="D1474" s="2" t="s">
        <v>30</v>
      </c>
      <c r="E1474" s="2" t="s">
        <v>31</v>
      </c>
      <c r="F1474" s="11" t="s">
        <v>758</v>
      </c>
      <c r="G1474" s="11" t="s">
        <v>759</v>
      </c>
      <c r="H1474" s="2" t="s">
        <v>3006</v>
      </c>
      <c r="I1474" s="12" t="s">
        <v>181</v>
      </c>
      <c r="J1474" s="8">
        <f>+Tabla1[[#This Row],[FECHA ENTRADA]]</f>
        <v>45487</v>
      </c>
      <c r="K1474" s="22">
        <v>45821</v>
      </c>
      <c r="L1474" s="13">
        <f>_xlfn.DAYS(Tabla1[[#This Row],[FECHA FIN ]],Tabla1[[#This Row],[FECHA INICIO]])</f>
        <v>334</v>
      </c>
      <c r="M1474" s="12"/>
      <c r="N1474" s="20">
        <v>212.5</v>
      </c>
      <c r="O1474" s="12">
        <f>(Tabla1[[#This Row],[COSTO FIJO ]]/30)*Tabla1[[#This Row],[TOTAL DIAS PROYECTO]]+(Tabla1[[#This Row],[COSTO TEMPORAL]])</f>
        <v>2365.833333333333</v>
      </c>
      <c r="P1474" s="12"/>
      <c r="Q1474" s="12">
        <f>+(Tabla1[[#This Row],[COSTO COCHE]]/30)*Tabla1[[#This Row],[TOTAL DIAS PROYECTO]]</f>
        <v>0</v>
      </c>
      <c r="R1474" s="12">
        <f>+Tabla1[[#This Row],[COSTO TOTAL ALOJAMIENTO]]+Tabla1[[#This Row],[COSTO TOTAL COCHE]]</f>
        <v>2365.833333333333</v>
      </c>
      <c r="S1474" s="2"/>
      <c r="T1474" s="2" t="s">
        <v>35</v>
      </c>
      <c r="U1474" s="14">
        <v>45487</v>
      </c>
      <c r="V1474" s="14">
        <v>45490</v>
      </c>
      <c r="W1474" s="26"/>
      <c r="X1474" s="2">
        <v>1</v>
      </c>
      <c r="Y1474" s="11" t="s">
        <v>3007</v>
      </c>
      <c r="Z1474" s="2" t="s">
        <v>36</v>
      </c>
      <c r="AA1474" s="13" t="s">
        <v>10323</v>
      </c>
      <c r="AB1474" s="13" t="s">
        <v>10324</v>
      </c>
    </row>
    <row r="1475" spans="1:28">
      <c r="A1475" s="2" t="s">
        <v>9385</v>
      </c>
      <c r="B1475" s="2" t="s">
        <v>28</v>
      </c>
      <c r="C1475" s="48" t="s">
        <v>3008</v>
      </c>
      <c r="D1475" s="2" t="s">
        <v>30</v>
      </c>
      <c r="E1475" s="2" t="s">
        <v>476</v>
      </c>
      <c r="F1475" s="11" t="s">
        <v>482</v>
      </c>
      <c r="G1475" s="11" t="s">
        <v>483</v>
      </c>
      <c r="H1475" s="2" t="s">
        <v>484</v>
      </c>
      <c r="I1475" s="12" t="s">
        <v>165</v>
      </c>
      <c r="J1475" s="8">
        <f>+Tabla1[[#This Row],[FECHA ENTRADA]]</f>
        <v>45396</v>
      </c>
      <c r="K1475" s="22">
        <v>45821</v>
      </c>
      <c r="L1475" s="13">
        <f>_xlfn.DAYS(Tabla1[[#This Row],[FECHA FIN ]],Tabla1[[#This Row],[FECHA INICIO]])</f>
        <v>425</v>
      </c>
      <c r="M1475" s="12"/>
      <c r="N1475" s="24"/>
      <c r="O1475" s="12">
        <f>(Tabla1[[#This Row],[COSTO FIJO ]]/30)*Tabla1[[#This Row],[TOTAL DIAS PROYECTO]]+(Tabla1[[#This Row],[COSTO TEMPORAL]])</f>
        <v>0</v>
      </c>
      <c r="P1475" s="12"/>
      <c r="Q1475" s="12">
        <f>+(Tabla1[[#This Row],[COSTO COCHE]]/30)*Tabla1[[#This Row],[TOTAL DIAS PROYECTO]]</f>
        <v>0</v>
      </c>
      <c r="R1475" s="12">
        <f>+Tabla1[[#This Row],[COSTO TOTAL ALOJAMIENTO]]+Tabla1[[#This Row],[COSTO TOTAL COCHE]]</f>
        <v>0</v>
      </c>
      <c r="S1475" s="2"/>
      <c r="T1475" s="2" t="s">
        <v>35</v>
      </c>
      <c r="U1475" s="14">
        <v>45396</v>
      </c>
      <c r="V1475" s="14"/>
      <c r="W1475" s="15"/>
      <c r="X1475" s="16">
        <v>1</v>
      </c>
      <c r="Y1475" s="18" t="s">
        <v>485</v>
      </c>
      <c r="Z1475" s="2" t="s">
        <v>36</v>
      </c>
      <c r="AA1475" s="13">
        <v>-7.8640699999999999</v>
      </c>
      <c r="AB1475" s="13">
        <v>42.336689999999997</v>
      </c>
    </row>
    <row r="1476" spans="1:28" ht="15" customHeight="1">
      <c r="A1476" s="2" t="s">
        <v>9386</v>
      </c>
      <c r="B1476" s="2" t="s">
        <v>28</v>
      </c>
      <c r="C1476" s="50" t="s">
        <v>3009</v>
      </c>
      <c r="D1476" s="2" t="s">
        <v>30</v>
      </c>
      <c r="E1476" s="2" t="s">
        <v>31</v>
      </c>
      <c r="F1476" s="11" t="s">
        <v>451</v>
      </c>
      <c r="G1476" s="50" t="s">
        <v>452</v>
      </c>
      <c r="H1476" s="2" t="s">
        <v>2061</v>
      </c>
      <c r="I1476" s="12" t="s">
        <v>2062</v>
      </c>
      <c r="J1476" s="41">
        <f>+Tabla1[[#This Row],[FECHA ENTRADA]]</f>
        <v>45807</v>
      </c>
      <c r="K1476" s="22">
        <v>45821</v>
      </c>
      <c r="L1476" s="42">
        <f>_xlfn.DAYS(Tabla1[[#This Row],[FECHA FIN ]],Tabla1[[#This Row],[FECHA INICIO]])</f>
        <v>14</v>
      </c>
      <c r="M1476" s="12"/>
      <c r="N1476" s="20">
        <v>283.33333333333331</v>
      </c>
      <c r="O1476" s="28">
        <f>(Tabla1[[#This Row],[COSTO FIJO ]]/30)*Tabla1[[#This Row],[TOTAL DIAS PROYECTO]]+(Tabla1[[#This Row],[COSTO TEMPORAL]])</f>
        <v>132.22222222222223</v>
      </c>
      <c r="P1476" s="12"/>
      <c r="Q1476" s="12">
        <f>+(Tabla1[[#This Row],[COSTO COCHE]]/30)*Tabla1[[#This Row],[TOTAL DIAS PROYECTO]]</f>
        <v>0</v>
      </c>
      <c r="R1476" s="12">
        <f>+Tabla1[[#This Row],[COSTO TOTAL ALOJAMIENTO]]+Tabla1[[#This Row],[COSTO TOTAL COCHE]]</f>
        <v>132.22222222222223</v>
      </c>
      <c r="S1476" s="2"/>
      <c r="T1476" s="14" t="s">
        <v>35</v>
      </c>
      <c r="U1476" s="14">
        <v>45807</v>
      </c>
      <c r="V1476" s="75"/>
      <c r="W1476" s="2"/>
      <c r="X1476" s="2">
        <v>1</v>
      </c>
      <c r="Y1476" s="11"/>
      <c r="Z1476" s="2" t="s">
        <v>36</v>
      </c>
      <c r="AA1476" s="13" t="s">
        <v>10323</v>
      </c>
      <c r="AB1476" s="13" t="s">
        <v>10324</v>
      </c>
    </row>
    <row r="1477" spans="1:28">
      <c r="A1477" s="2" t="s">
        <v>9387</v>
      </c>
      <c r="B1477" s="2" t="s">
        <v>368</v>
      </c>
      <c r="C1477" s="11" t="s">
        <v>3010</v>
      </c>
      <c r="D1477" s="2" t="s">
        <v>99</v>
      </c>
      <c r="E1477" s="2" t="s">
        <v>213</v>
      </c>
      <c r="F1477" s="11" t="s">
        <v>1196</v>
      </c>
      <c r="G1477" s="21" t="s">
        <v>1197</v>
      </c>
      <c r="H1477" s="2" t="s">
        <v>2813</v>
      </c>
      <c r="I1477" s="12" t="s">
        <v>514</v>
      </c>
      <c r="J1477" s="22">
        <f>+Tabla1[[#This Row],[FECHA ENTRADA]]</f>
        <v>45699</v>
      </c>
      <c r="K1477" s="22">
        <v>45821</v>
      </c>
      <c r="L1477" s="23">
        <f>_xlfn.DAYS(Tabla1[[#This Row],[FECHA FIN ]],Tabla1[[#This Row],[FECHA INICIO]])</f>
        <v>122</v>
      </c>
      <c r="M1477" s="12"/>
      <c r="N1477" s="20">
        <v>410</v>
      </c>
      <c r="O1477" s="24">
        <f>(Tabla1[[#This Row],[COSTO FIJO ]]/30)*Tabla1[[#This Row],[TOTAL DIAS PROYECTO]]+(Tabla1[[#This Row],[COSTO TEMPORAL]])</f>
        <v>1667.3333333333333</v>
      </c>
      <c r="P1477" s="12">
        <f>2134.37/19</f>
        <v>112.33526315789473</v>
      </c>
      <c r="Q1477" s="12">
        <f>+(Tabla1[[#This Row],[COSTO COCHE]]/30)*Tabla1[[#This Row],[TOTAL DIAS PROYECTO]]</f>
        <v>456.83007017543855</v>
      </c>
      <c r="R1477" s="12">
        <f>+Tabla1[[#This Row],[COSTO TOTAL ALOJAMIENTO]]+Tabla1[[#This Row],[COSTO TOTAL COCHE]]</f>
        <v>2124.1634035087718</v>
      </c>
      <c r="S1477" s="2"/>
      <c r="T1477" s="2" t="s">
        <v>35</v>
      </c>
      <c r="U1477" s="14">
        <v>45699</v>
      </c>
      <c r="V1477" s="25"/>
      <c r="W1477" s="26"/>
      <c r="X1477" s="2">
        <v>1</v>
      </c>
      <c r="Y1477" s="11"/>
      <c r="Z1477" s="2" t="s">
        <v>36</v>
      </c>
      <c r="AA1477" s="13" t="s">
        <v>10349</v>
      </c>
      <c r="AB1477" s="13" t="s">
        <v>10350</v>
      </c>
    </row>
    <row r="1478" spans="1:28" ht="15" customHeight="1">
      <c r="A1478" s="2" t="s">
        <v>9304</v>
      </c>
      <c r="B1478" s="2" t="s">
        <v>28</v>
      </c>
      <c r="C1478" s="11" t="s">
        <v>2754</v>
      </c>
      <c r="D1478" s="2" t="s">
        <v>30</v>
      </c>
      <c r="E1478" s="33" t="s">
        <v>55</v>
      </c>
      <c r="F1478" s="11" t="s">
        <v>553</v>
      </c>
      <c r="G1478" s="11" t="s">
        <v>106</v>
      </c>
      <c r="H1478" s="2" t="s">
        <v>518</v>
      </c>
      <c r="I1478" s="12" t="s">
        <v>57</v>
      </c>
      <c r="J1478" s="8">
        <f>+Tabla1[[#This Row],[FECHA ENTRADA]]</f>
        <v>45505</v>
      </c>
      <c r="K1478" s="22">
        <v>45821</v>
      </c>
      <c r="L1478" s="13">
        <f>_xlfn.DAYS(Tabla1[[#This Row],[FECHA FIN ]],Tabla1[[#This Row],[FECHA INICIO]])</f>
        <v>316</v>
      </c>
      <c r="M1478" s="12"/>
      <c r="N1478" s="12">
        <f>1811.6/17</f>
        <v>106.56470588235294</v>
      </c>
      <c r="O1478" s="12">
        <f>(Tabla1[[#This Row],[COSTO FIJO ]]/30)*Tabla1[[#This Row],[TOTAL DIAS PROYECTO]]+(Tabla1[[#This Row],[COSTO TEMPORAL]])</f>
        <v>1122.481568627451</v>
      </c>
      <c r="P1478" s="12">
        <f>674.58/5</f>
        <v>134.916</v>
      </c>
      <c r="Q1478" s="12">
        <f>+(Tabla1[[#This Row],[COSTO COCHE]]/30)*Tabla1[[#This Row],[TOTAL DIAS PROYECTO]]</f>
        <v>1421.1152000000002</v>
      </c>
      <c r="R1478" s="12">
        <f>+Tabla1[[#This Row],[COSTO TOTAL ALOJAMIENTO]]+Tabla1[[#This Row],[COSTO TOTAL COCHE]]</f>
        <v>2543.5967686274512</v>
      </c>
      <c r="S1478" s="2"/>
      <c r="T1478" s="2" t="s">
        <v>35</v>
      </c>
      <c r="U1478" s="14">
        <v>45505</v>
      </c>
      <c r="V1478" s="14"/>
      <c r="W1478" s="26"/>
      <c r="X1478" s="2">
        <v>1</v>
      </c>
      <c r="Y1478" s="190" t="s">
        <v>3011</v>
      </c>
      <c r="Z1478" s="2" t="s">
        <v>36</v>
      </c>
      <c r="AA1478" s="13" t="s">
        <v>10327</v>
      </c>
      <c r="AB1478" s="13" t="s">
        <v>10328</v>
      </c>
    </row>
    <row r="1479" spans="1:28" ht="15" customHeight="1">
      <c r="A1479" s="2" t="s">
        <v>9388</v>
      </c>
      <c r="B1479" s="29" t="s">
        <v>1457</v>
      </c>
      <c r="C1479" s="11" t="s">
        <v>3012</v>
      </c>
      <c r="D1479" s="2" t="s">
        <v>30</v>
      </c>
      <c r="E1479" s="2" t="s">
        <v>855</v>
      </c>
      <c r="F1479" s="11" t="s">
        <v>1312</v>
      </c>
      <c r="G1479" s="46" t="s">
        <v>1313</v>
      </c>
      <c r="H1479" s="2" t="s">
        <v>1461</v>
      </c>
      <c r="I1479" s="12" t="s">
        <v>1288</v>
      </c>
      <c r="J1479" s="41">
        <f>+Tabla1[[#This Row],[FECHA ENTRADA]]</f>
        <v>45664</v>
      </c>
      <c r="K1479" s="22">
        <v>45821</v>
      </c>
      <c r="L1479" s="42">
        <f>_xlfn.DAYS(Tabla1[[#This Row],[FECHA FIN ]],Tabla1[[#This Row],[FECHA INICIO]])</f>
        <v>157</v>
      </c>
      <c r="M1479" s="12"/>
      <c r="N1479" s="12">
        <f>1811.6/17</f>
        <v>106.56470588235294</v>
      </c>
      <c r="O1479" s="28">
        <f>(Tabla1[[#This Row],[COSTO FIJO ]]/30)*Tabla1[[#This Row],[TOTAL DIAS PROYECTO]]+(Tabla1[[#This Row],[COSTO TEMPORAL]])</f>
        <v>557.68862745098045</v>
      </c>
      <c r="P1479" s="12"/>
      <c r="Q1479" s="12">
        <f>+(Tabla1[[#This Row],[COSTO COCHE]]/30)*Tabla1[[#This Row],[TOTAL DIAS PROYECTO]]</f>
        <v>0</v>
      </c>
      <c r="R1479" s="12">
        <f>+Tabla1[[#This Row],[COSTO TOTAL ALOJAMIENTO]]+Tabla1[[#This Row],[COSTO TOTAL COCHE]]</f>
        <v>557.68862745098045</v>
      </c>
      <c r="S1479" s="2"/>
      <c r="T1479" s="2" t="s">
        <v>44</v>
      </c>
      <c r="U1479" s="14">
        <v>45664</v>
      </c>
      <c r="V1479" s="43">
        <v>45672</v>
      </c>
      <c r="W1479" s="26"/>
      <c r="X1479" s="2"/>
      <c r="Y1479" s="11"/>
      <c r="Z1479" s="2" t="s">
        <v>36</v>
      </c>
      <c r="AA1479" s="13" t="s">
        <v>10401</v>
      </c>
      <c r="AB1479" s="13" t="s">
        <v>10402</v>
      </c>
    </row>
    <row r="1480" spans="1:28" ht="15" customHeight="1">
      <c r="A1480" s="2" t="s">
        <v>9232</v>
      </c>
      <c r="B1480" s="2" t="s">
        <v>368</v>
      </c>
      <c r="C1480" s="86" t="s">
        <v>2523</v>
      </c>
      <c r="D1480" s="2" t="s">
        <v>30</v>
      </c>
      <c r="E1480" s="2" t="s">
        <v>447</v>
      </c>
      <c r="F1480" s="11" t="s">
        <v>840</v>
      </c>
      <c r="G1480" s="21" t="s">
        <v>1095</v>
      </c>
      <c r="H1480" s="2" t="s">
        <v>1369</v>
      </c>
      <c r="I1480" s="12" t="s">
        <v>843</v>
      </c>
      <c r="J1480" s="22">
        <f>+Tabla1[[#This Row],[FECHA ENTRADA]]</f>
        <v>45644</v>
      </c>
      <c r="K1480" s="22">
        <v>45821</v>
      </c>
      <c r="L1480" s="23">
        <f>_xlfn.DAYS(Tabla1[[#This Row],[FECHA FIN ]],Tabla1[[#This Row],[FECHA INICIO]])</f>
        <v>177</v>
      </c>
      <c r="M1480" s="12"/>
      <c r="N1480" s="12">
        <f>1811.6/17</f>
        <v>106.56470588235294</v>
      </c>
      <c r="O1480" s="24">
        <f>(Tabla1[[#This Row],[COSTO FIJO ]]/30)*Tabla1[[#This Row],[TOTAL DIAS PROYECTO]]+(Tabla1[[#This Row],[COSTO TEMPORAL]])</f>
        <v>628.73176470588237</v>
      </c>
      <c r="P1480" s="12"/>
      <c r="Q1480" s="12">
        <f>+(Tabla1[[#This Row],[COSTO COCHE]]/30)*Tabla1[[#This Row],[TOTAL DIAS PROYECTO]]</f>
        <v>0</v>
      </c>
      <c r="R1480" s="12">
        <f>+Tabla1[[#This Row],[COSTO TOTAL ALOJAMIENTO]]+Tabla1[[#This Row],[COSTO TOTAL COCHE]]</f>
        <v>628.73176470588237</v>
      </c>
      <c r="S1480" s="2"/>
      <c r="T1480" s="2" t="s">
        <v>44</v>
      </c>
      <c r="U1480" s="14">
        <v>45644</v>
      </c>
      <c r="V1480" s="43">
        <v>45672</v>
      </c>
      <c r="W1480" s="26"/>
      <c r="X1480" s="2">
        <v>1</v>
      </c>
      <c r="Y1480" s="11" t="s">
        <v>1370</v>
      </c>
      <c r="Z1480" s="2" t="s">
        <v>36</v>
      </c>
      <c r="AA1480" s="13">
        <v>-697.06100000000004</v>
      </c>
      <c r="AB1480" s="13" t="s">
        <v>10377</v>
      </c>
    </row>
    <row r="1481" spans="1:28" ht="15" customHeight="1">
      <c r="A1481" s="2" t="s">
        <v>9389</v>
      </c>
      <c r="B1481" s="29" t="s">
        <v>1457</v>
      </c>
      <c r="C1481" s="191" t="s">
        <v>3013</v>
      </c>
      <c r="D1481" s="2" t="s">
        <v>30</v>
      </c>
      <c r="E1481" s="2" t="s">
        <v>855</v>
      </c>
      <c r="F1481" s="11" t="s">
        <v>1312</v>
      </c>
      <c r="G1481" s="46" t="s">
        <v>1313</v>
      </c>
      <c r="H1481" s="2" t="s">
        <v>1461</v>
      </c>
      <c r="I1481" s="12" t="s">
        <v>1288</v>
      </c>
      <c r="J1481" s="41">
        <f>+Tabla1[[#This Row],[FECHA ENTRADA]]</f>
        <v>45664</v>
      </c>
      <c r="K1481" s="22">
        <v>45821</v>
      </c>
      <c r="L1481" s="42">
        <f>_xlfn.DAYS(Tabla1[[#This Row],[FECHA FIN ]],Tabla1[[#This Row],[FECHA INICIO]])</f>
        <v>157</v>
      </c>
      <c r="M1481" s="12"/>
      <c r="N1481" s="24"/>
      <c r="O1481" s="28">
        <f>(Tabla1[[#This Row],[COSTO FIJO ]]/30)*Tabla1[[#This Row],[TOTAL DIAS PROYECTO]]+(Tabla1[[#This Row],[COSTO TEMPORAL]])</f>
        <v>0</v>
      </c>
      <c r="P1481" s="12"/>
      <c r="Q1481" s="12">
        <f>+(Tabla1[[#This Row],[COSTO COCHE]]/30)*Tabla1[[#This Row],[TOTAL DIAS PROYECTO]]</f>
        <v>0</v>
      </c>
      <c r="R1481" s="12">
        <f>+Tabla1[[#This Row],[COSTO TOTAL ALOJAMIENTO]]+Tabla1[[#This Row],[COSTO TOTAL COCHE]]</f>
        <v>0</v>
      </c>
      <c r="S1481" s="2"/>
      <c r="T1481" s="2" t="s">
        <v>44</v>
      </c>
      <c r="U1481" s="14">
        <v>45664</v>
      </c>
      <c r="V1481" s="43">
        <v>45672</v>
      </c>
      <c r="W1481" s="26"/>
      <c r="X1481" s="2"/>
      <c r="Y1481" s="11"/>
      <c r="Z1481" s="2" t="s">
        <v>36</v>
      </c>
      <c r="AA1481" s="13" t="s">
        <v>10401</v>
      </c>
      <c r="AB1481" s="13" t="s">
        <v>10402</v>
      </c>
    </row>
    <row r="1482" spans="1:28" ht="15" customHeight="1">
      <c r="A1482" s="2" t="s">
        <v>8788</v>
      </c>
      <c r="B1482" s="2" t="s">
        <v>28</v>
      </c>
      <c r="C1482" s="18" t="s">
        <v>765</v>
      </c>
      <c r="D1482" s="2" t="s">
        <v>30</v>
      </c>
      <c r="E1482" s="33" t="s">
        <v>55</v>
      </c>
      <c r="F1482" s="11" t="s">
        <v>553</v>
      </c>
      <c r="G1482" s="11" t="s">
        <v>106</v>
      </c>
      <c r="H1482" s="2" t="s">
        <v>554</v>
      </c>
      <c r="I1482" s="2" t="s">
        <v>57</v>
      </c>
      <c r="J1482" s="8">
        <f>+Tabla1[[#This Row],[FECHA ENTRADA]]</f>
        <v>45505</v>
      </c>
      <c r="K1482" s="22">
        <v>45821</v>
      </c>
      <c r="L1482" s="13">
        <f>_xlfn.DAYS(Tabla1[[#This Row],[FECHA FIN ]],Tabla1[[#This Row],[FECHA INICIO]])</f>
        <v>316</v>
      </c>
      <c r="M1482" s="12"/>
      <c r="N1482" s="12">
        <f>1811.6/17</f>
        <v>106.56470588235294</v>
      </c>
      <c r="O1482" s="12">
        <f>(Tabla1[[#This Row],[COSTO FIJO ]]/30)*Tabla1[[#This Row],[TOTAL DIAS PROYECTO]]+(Tabla1[[#This Row],[COSTO TEMPORAL]])</f>
        <v>1122.481568627451</v>
      </c>
      <c r="P1482" s="12">
        <f>674.58/5</f>
        <v>134.916</v>
      </c>
      <c r="Q1482" s="12">
        <f>+(Tabla1[[#This Row],[COSTO COCHE]]/30)*Tabla1[[#This Row],[TOTAL DIAS PROYECTO]]</f>
        <v>1421.1152000000002</v>
      </c>
      <c r="R1482" s="12">
        <f>+Tabla1[[#This Row],[COSTO TOTAL ALOJAMIENTO]]+Tabla1[[#This Row],[COSTO TOTAL COCHE]]</f>
        <v>2543.5967686274512</v>
      </c>
      <c r="S1482" s="2"/>
      <c r="T1482" s="2" t="s">
        <v>35</v>
      </c>
      <c r="U1482" s="14">
        <v>45505</v>
      </c>
      <c r="V1482" s="14"/>
      <c r="W1482" s="26">
        <v>600</v>
      </c>
      <c r="X1482" s="16">
        <v>1</v>
      </c>
      <c r="Y1482" s="18" t="s">
        <v>3014</v>
      </c>
      <c r="Z1482" s="2" t="s">
        <v>36</v>
      </c>
      <c r="AA1482" s="13" t="s">
        <v>10327</v>
      </c>
      <c r="AB1482" s="13" t="s">
        <v>10328</v>
      </c>
    </row>
    <row r="1483" spans="1:28" ht="15" customHeight="1">
      <c r="A1483" s="2" t="s">
        <v>9022</v>
      </c>
      <c r="B1483" s="29" t="s">
        <v>1457</v>
      </c>
      <c r="C1483" s="86" t="s">
        <v>1717</v>
      </c>
      <c r="D1483" s="2" t="s">
        <v>30</v>
      </c>
      <c r="E1483" s="2" t="s">
        <v>855</v>
      </c>
      <c r="F1483" s="11" t="s">
        <v>1312</v>
      </c>
      <c r="G1483" s="46" t="s">
        <v>1313</v>
      </c>
      <c r="H1483" s="2" t="s">
        <v>1461</v>
      </c>
      <c r="I1483" s="12" t="s">
        <v>1288</v>
      </c>
      <c r="J1483" s="41">
        <f>+Tabla1[[#This Row],[FECHA ENTRADA]]</f>
        <v>45664</v>
      </c>
      <c r="K1483" s="22">
        <v>45821</v>
      </c>
      <c r="L1483" s="42">
        <f>_xlfn.DAYS(Tabla1[[#This Row],[FECHA FIN ]],Tabla1[[#This Row],[FECHA INICIO]])</f>
        <v>157</v>
      </c>
      <c r="M1483" s="12"/>
      <c r="N1483" s="20"/>
      <c r="O1483" s="28">
        <f>(Tabla1[[#This Row],[COSTO FIJO ]]/30)*Tabla1[[#This Row],[TOTAL DIAS PROYECTO]]+(Tabla1[[#This Row],[COSTO TEMPORAL]])</f>
        <v>0</v>
      </c>
      <c r="P1483" s="12"/>
      <c r="Q1483" s="12">
        <f>+(Tabla1[[#This Row],[COSTO COCHE]]/30)*Tabla1[[#This Row],[TOTAL DIAS PROYECTO]]</f>
        <v>0</v>
      </c>
      <c r="R1483" s="12">
        <f>+Tabla1[[#This Row],[COSTO TOTAL ALOJAMIENTO]]+Tabla1[[#This Row],[COSTO TOTAL COCHE]]</f>
        <v>0</v>
      </c>
      <c r="S1483" s="2"/>
      <c r="T1483" s="2" t="s">
        <v>44</v>
      </c>
      <c r="U1483" s="14">
        <v>45664</v>
      </c>
      <c r="V1483" s="43">
        <v>45672</v>
      </c>
      <c r="W1483" s="26"/>
      <c r="X1483" s="2"/>
      <c r="Y1483" s="11"/>
      <c r="Z1483" s="2" t="s">
        <v>36</v>
      </c>
      <c r="AA1483" s="13" t="s">
        <v>10401</v>
      </c>
      <c r="AB1483" s="13" t="s">
        <v>10402</v>
      </c>
    </row>
    <row r="1484" spans="1:28" ht="15" customHeight="1">
      <c r="A1484" s="2" t="s">
        <v>9231</v>
      </c>
      <c r="B1484" s="2" t="s">
        <v>368</v>
      </c>
      <c r="C1484" s="86" t="s">
        <v>2522</v>
      </c>
      <c r="D1484" s="2" t="s">
        <v>30</v>
      </c>
      <c r="E1484" s="2" t="s">
        <v>447</v>
      </c>
      <c r="F1484" s="11" t="s">
        <v>840</v>
      </c>
      <c r="G1484" s="49" t="s">
        <v>1095</v>
      </c>
      <c r="H1484" s="2" t="s">
        <v>2507</v>
      </c>
      <c r="I1484" s="12" t="s">
        <v>843</v>
      </c>
      <c r="J1484" s="41">
        <f>+Tabla1[[#This Row],[FECHA ENTRADA]]</f>
        <v>45590</v>
      </c>
      <c r="K1484" s="22">
        <v>45821</v>
      </c>
      <c r="L1484" s="42">
        <f>_xlfn.DAYS(Tabla1[[#This Row],[FECHA FIN ]],Tabla1[[#This Row],[FECHA INICIO]])</f>
        <v>231</v>
      </c>
      <c r="M1484" s="12"/>
      <c r="N1484" s="12">
        <f>+(2500+450)/7</f>
        <v>421.42857142857144</v>
      </c>
      <c r="O1484" s="28">
        <f>(Tabla1[[#This Row],[COSTO FIJO ]]/30)*Tabla1[[#This Row],[TOTAL DIAS PROYECTO]]+(Tabla1[[#This Row],[COSTO TEMPORAL]])</f>
        <v>3245</v>
      </c>
      <c r="P1484" s="12"/>
      <c r="Q1484" s="12">
        <f>+(Tabla1[[#This Row],[COSTO COCHE]]/30)*Tabla1[[#This Row],[TOTAL DIAS PROYECTO]]</f>
        <v>0</v>
      </c>
      <c r="R1484" s="12">
        <f>+Tabla1[[#This Row],[COSTO TOTAL ALOJAMIENTO]]+Tabla1[[#This Row],[COSTO TOTAL COCHE]]</f>
        <v>3245</v>
      </c>
      <c r="S1484" s="2"/>
      <c r="T1484" s="2" t="s">
        <v>44</v>
      </c>
      <c r="U1484" s="14">
        <v>45590</v>
      </c>
      <c r="V1484" s="43">
        <v>45672</v>
      </c>
      <c r="W1484" s="26"/>
      <c r="X1484" s="2">
        <v>1</v>
      </c>
      <c r="Y1484" s="11" t="s">
        <v>1370</v>
      </c>
      <c r="Z1484" s="2" t="s">
        <v>36</v>
      </c>
      <c r="AA1484" s="13">
        <v>-697.06100000000004</v>
      </c>
      <c r="AB1484" s="13" t="s">
        <v>10377</v>
      </c>
    </row>
    <row r="1485" spans="1:28">
      <c r="A1485" s="2" t="s">
        <v>8642</v>
      </c>
      <c r="B1485" s="2" t="s">
        <v>28</v>
      </c>
      <c r="C1485" s="115" t="s">
        <v>2950</v>
      </c>
      <c r="D1485" s="2" t="s">
        <v>30</v>
      </c>
      <c r="E1485" s="2" t="s">
        <v>55</v>
      </c>
      <c r="F1485" s="11" t="s">
        <v>553</v>
      </c>
      <c r="G1485" s="11" t="s">
        <v>106</v>
      </c>
      <c r="H1485" s="2" t="s">
        <v>3015</v>
      </c>
      <c r="I1485" s="2" t="s">
        <v>57</v>
      </c>
      <c r="J1485" s="8">
        <f>+Tabla1[[#This Row],[FECHA ENTRADA]]</f>
        <v>45505</v>
      </c>
      <c r="K1485" s="22">
        <v>45821</v>
      </c>
      <c r="L1485" s="13">
        <f>_xlfn.DAYS(Tabla1[[#This Row],[FECHA FIN ]],Tabla1[[#This Row],[FECHA INICIO]])</f>
        <v>316</v>
      </c>
      <c r="M1485" s="12"/>
      <c r="N1485" s="24"/>
      <c r="O1485" s="12">
        <f>(Tabla1[[#This Row],[COSTO FIJO ]]/30)*Tabla1[[#This Row],[TOTAL DIAS PROYECTO]]+(Tabla1[[#This Row],[COSTO TEMPORAL]])</f>
        <v>0</v>
      </c>
      <c r="P1485" s="12">
        <f>674.58/5</f>
        <v>134.916</v>
      </c>
      <c r="Q1485" s="12">
        <f>+(Tabla1[[#This Row],[COSTO COCHE]]/30)*Tabla1[[#This Row],[TOTAL DIAS PROYECTO]]</f>
        <v>1421.1152000000002</v>
      </c>
      <c r="R1485" s="12">
        <f>+Tabla1[[#This Row],[COSTO TOTAL ALOJAMIENTO]]+Tabla1[[#This Row],[COSTO TOTAL COCHE]]</f>
        <v>1421.1152000000002</v>
      </c>
      <c r="S1485" s="2"/>
      <c r="T1485" s="2" t="s">
        <v>35</v>
      </c>
      <c r="U1485" s="14">
        <v>45505</v>
      </c>
      <c r="V1485" s="14"/>
      <c r="W1485" s="26"/>
      <c r="X1485" s="2">
        <v>1</v>
      </c>
      <c r="Y1485" s="18" t="s">
        <v>3016</v>
      </c>
      <c r="Z1485" s="2" t="s">
        <v>36</v>
      </c>
      <c r="AA1485" s="13" t="s">
        <v>10327</v>
      </c>
      <c r="AB1485" s="13" t="s">
        <v>10328</v>
      </c>
    </row>
    <row r="1486" spans="1:28" ht="15" customHeight="1">
      <c r="A1486" s="2" t="s">
        <v>9390</v>
      </c>
      <c r="B1486" s="2" t="s">
        <v>28</v>
      </c>
      <c r="C1486" s="11" t="s">
        <v>3017</v>
      </c>
      <c r="D1486" s="2" t="s">
        <v>30</v>
      </c>
      <c r="E1486" s="2" t="s">
        <v>31</v>
      </c>
      <c r="F1486" s="11"/>
      <c r="G1486" s="11"/>
      <c r="H1486" s="2">
        <v>2023</v>
      </c>
      <c r="I1486" s="2" t="s">
        <v>385</v>
      </c>
      <c r="J1486" s="8">
        <v>45383</v>
      </c>
      <c r="K1486" s="22">
        <v>45821</v>
      </c>
      <c r="L1486" s="13">
        <f>_xlfn.DAYS(Tabla1[[#This Row],[FECHA FIN ]],Tabla1[[#This Row],[FECHA INICIO]])</f>
        <v>438</v>
      </c>
      <c r="M1486" s="12"/>
      <c r="N1486" s="12">
        <v>300</v>
      </c>
      <c r="O1486" s="12">
        <f>(Tabla1[[#This Row],[COSTO FIJO ]]/30)*Tabla1[[#This Row],[TOTAL DIAS PROYECTO]]+(Tabla1[[#This Row],[COSTO TEMPORAL]])</f>
        <v>4380</v>
      </c>
      <c r="P1486" s="12"/>
      <c r="Q1486" s="12">
        <f>+(Tabla1[[#This Row],[COSTO COCHE]]/30)*Tabla1[[#This Row],[TOTAL DIAS PROYECTO]]</f>
        <v>0</v>
      </c>
      <c r="R1486" s="12">
        <f>+Tabla1[[#This Row],[COSTO TOTAL ALOJAMIENTO]]+Tabla1[[#This Row],[COSTO TOTAL COCHE]]</f>
        <v>4380</v>
      </c>
      <c r="S1486" s="2"/>
      <c r="T1486" s="2" t="s">
        <v>58</v>
      </c>
      <c r="U1486" s="14"/>
      <c r="V1486" s="14"/>
      <c r="W1486" s="2"/>
      <c r="X1486" s="2"/>
      <c r="Y1486" s="18" t="s">
        <v>509</v>
      </c>
      <c r="Z1486" s="2" t="s">
        <v>36</v>
      </c>
      <c r="AA1486" s="13" t="s">
        <v>10323</v>
      </c>
      <c r="AB1486" s="13" t="s">
        <v>10324</v>
      </c>
    </row>
    <row r="1487" spans="1:28" ht="15" customHeight="1">
      <c r="A1487" s="2" t="s">
        <v>9391</v>
      </c>
      <c r="B1487" s="2" t="s">
        <v>28</v>
      </c>
      <c r="C1487" s="18" t="s">
        <v>3018</v>
      </c>
      <c r="D1487" s="2" t="s">
        <v>30</v>
      </c>
      <c r="E1487" s="2" t="s">
        <v>55</v>
      </c>
      <c r="F1487" s="11" t="s">
        <v>3019</v>
      </c>
      <c r="G1487" s="11" t="s">
        <v>106</v>
      </c>
      <c r="H1487" s="2" t="s">
        <v>3020</v>
      </c>
      <c r="I1487" s="2" t="s">
        <v>57</v>
      </c>
      <c r="J1487" s="8">
        <f>+Tabla1[[#This Row],[FECHA ENTRADA]]</f>
        <v>45508</v>
      </c>
      <c r="K1487" s="22">
        <v>45821</v>
      </c>
      <c r="L1487" s="13">
        <f>_xlfn.DAYS(Tabla1[[#This Row],[FECHA FIN ]],Tabla1[[#This Row],[FECHA INICIO]])</f>
        <v>313</v>
      </c>
      <c r="M1487" s="12"/>
      <c r="N1487" s="12">
        <v>300</v>
      </c>
      <c r="O1487" s="12">
        <f>(Tabla1[[#This Row],[COSTO FIJO ]]/30)*Tabla1[[#This Row],[TOTAL DIAS PROYECTO]]+(Tabla1[[#This Row],[COSTO TEMPORAL]])</f>
        <v>3130</v>
      </c>
      <c r="P1487" s="12"/>
      <c r="Q1487" s="12">
        <f>+(Tabla1[[#This Row],[COSTO COCHE]]/30)*Tabla1[[#This Row],[TOTAL DIAS PROYECTO]]</f>
        <v>0</v>
      </c>
      <c r="R1487" s="12">
        <f>+Tabla1[[#This Row],[COSTO TOTAL ALOJAMIENTO]]+Tabla1[[#This Row],[COSTO TOTAL COCHE]]</f>
        <v>3130</v>
      </c>
      <c r="S1487" s="2"/>
      <c r="T1487" s="2" t="s">
        <v>613</v>
      </c>
      <c r="U1487" s="14">
        <v>45508</v>
      </c>
      <c r="V1487" s="14"/>
      <c r="W1487" s="26"/>
      <c r="X1487" s="2">
        <v>1</v>
      </c>
      <c r="Y1487" s="18" t="s">
        <v>3021</v>
      </c>
      <c r="Z1487" s="2" t="s">
        <v>36</v>
      </c>
      <c r="AA1487" s="13" t="s">
        <v>10327</v>
      </c>
      <c r="AB1487" s="13" t="s">
        <v>10328</v>
      </c>
    </row>
    <row r="1488" spans="1:28" ht="15" customHeight="1">
      <c r="A1488" s="2" t="s">
        <v>9235</v>
      </c>
      <c r="B1488" s="2" t="s">
        <v>28</v>
      </c>
      <c r="C1488" s="11" t="s">
        <v>2535</v>
      </c>
      <c r="D1488" s="2" t="s">
        <v>30</v>
      </c>
      <c r="E1488" s="2" t="s">
        <v>422</v>
      </c>
      <c r="F1488" s="11" t="s">
        <v>2997</v>
      </c>
      <c r="G1488" s="46">
        <v>699109800</v>
      </c>
      <c r="H1488" s="2" t="s">
        <v>2453</v>
      </c>
      <c r="I1488" s="12" t="s">
        <v>2454</v>
      </c>
      <c r="J1488" s="41">
        <f>+Tabla1[[#This Row],[FECHA ENTRADA]]</f>
        <v>45777</v>
      </c>
      <c r="K1488" s="22">
        <v>45821</v>
      </c>
      <c r="L1488" s="23">
        <f>_xlfn.DAYS(Tabla1[[#This Row],[FECHA FIN ]],Tabla1[[#This Row],[FECHA INICIO]])</f>
        <v>44</v>
      </c>
      <c r="M1488" s="12"/>
      <c r="N1488" s="12">
        <v>125</v>
      </c>
      <c r="O1488" s="24">
        <f>(Tabla1[[#This Row],[COSTO FIJO ]]/30)*Tabla1[[#This Row],[TOTAL DIAS PROYECTO]]+(Tabla1[[#This Row],[COSTO TEMPORAL]])</f>
        <v>183.33333333333334</v>
      </c>
      <c r="P1488" s="12"/>
      <c r="Q1488" s="12">
        <f>+(Tabla1[[#This Row],[COSTO COCHE]]/30)*Tabla1[[#This Row],[TOTAL DIAS PROYECTO]]</f>
        <v>0</v>
      </c>
      <c r="R1488" s="12">
        <f>+Tabla1[[#This Row],[COSTO TOTAL ALOJAMIENTO]]+Tabla1[[#This Row],[COSTO TOTAL COCHE]]</f>
        <v>183.33333333333334</v>
      </c>
      <c r="S1488" s="2"/>
      <c r="T1488" s="14" t="s">
        <v>44</v>
      </c>
      <c r="U1488" s="14">
        <v>45777</v>
      </c>
      <c r="V1488" s="25">
        <v>45782</v>
      </c>
      <c r="W1488" s="2"/>
      <c r="X1488" s="2"/>
      <c r="Y1488" s="11"/>
      <c r="Z1488" s="2" t="s">
        <v>36</v>
      </c>
      <c r="AA1488" s="13">
        <v>-326.69799999999998</v>
      </c>
      <c r="AB1488" s="13" t="s">
        <v>10373</v>
      </c>
    </row>
    <row r="1489" spans="1:28">
      <c r="A1489" s="2" t="s">
        <v>9392</v>
      </c>
      <c r="B1489" s="2" t="s">
        <v>28</v>
      </c>
      <c r="C1489" s="11" t="s">
        <v>3022</v>
      </c>
      <c r="D1489" s="2" t="s">
        <v>161</v>
      </c>
      <c r="E1489" s="2" t="s">
        <v>1748</v>
      </c>
      <c r="F1489" s="11"/>
      <c r="G1489" s="49"/>
      <c r="H1489" s="2" t="s">
        <v>3023</v>
      </c>
      <c r="I1489" t="s">
        <v>1750</v>
      </c>
      <c r="J1489" s="22">
        <f>+Tabla1[[#This Row],[FECHA ENTRADA]]</f>
        <v>45705</v>
      </c>
      <c r="K1489" s="22">
        <v>45821</v>
      </c>
      <c r="L1489" s="23">
        <f>_xlfn.DAYS(Tabla1[[#This Row],[FECHA FIN ]],Tabla1[[#This Row],[FECHA INICIO]])</f>
        <v>116</v>
      </c>
      <c r="M1489" s="12"/>
      <c r="N1489" s="12">
        <v>300</v>
      </c>
      <c r="O1489" s="24">
        <f>(Tabla1[[#This Row],[COSTO FIJO ]]/30)*Tabla1[[#This Row],[TOTAL DIAS PROYECTO]]+(Tabla1[[#This Row],[COSTO TEMPORAL]])</f>
        <v>1160</v>
      </c>
      <c r="P1489" s="12"/>
      <c r="Q1489" s="12">
        <f>+(Tabla1[[#This Row],[COSTO COCHE]]/30)*Tabla1[[#This Row],[TOTAL DIAS PROYECTO]]</f>
        <v>0</v>
      </c>
      <c r="R1489" s="12">
        <f>+Tabla1[[#This Row],[COSTO TOTAL ALOJAMIENTO]]+Tabla1[[#This Row],[COSTO TOTAL COCHE]]</f>
        <v>1160</v>
      </c>
      <c r="S1489" s="2"/>
      <c r="T1489" s="2" t="s">
        <v>58</v>
      </c>
      <c r="U1489" s="14">
        <v>45705</v>
      </c>
      <c r="V1489" s="25"/>
      <c r="W1489" s="26"/>
      <c r="X1489" s="2"/>
      <c r="Y1489" s="11"/>
      <c r="Z1489" s="2" t="s">
        <v>36</v>
      </c>
      <c r="AA1489" s="13" t="s">
        <v>10428</v>
      </c>
      <c r="AB1489" s="13" t="s">
        <v>10429</v>
      </c>
    </row>
    <row r="1490" spans="1:28">
      <c r="A1490" s="2" t="s">
        <v>9364</v>
      </c>
      <c r="B1490" s="2" t="s">
        <v>368</v>
      </c>
      <c r="C1490" s="192" t="s">
        <v>2940</v>
      </c>
      <c r="D1490" s="2" t="s">
        <v>30</v>
      </c>
      <c r="E1490" s="2" t="s">
        <v>151</v>
      </c>
      <c r="F1490" s="11" t="s">
        <v>2114</v>
      </c>
      <c r="G1490" s="11" t="s">
        <v>227</v>
      </c>
      <c r="H1490" s="2" t="s">
        <v>2446</v>
      </c>
      <c r="I1490" s="12" t="s">
        <v>152</v>
      </c>
      <c r="J1490" s="41">
        <f>+Tabla1[[#This Row],[FECHA ENTRADA]]</f>
        <v>45666</v>
      </c>
      <c r="K1490" s="22">
        <v>45821</v>
      </c>
      <c r="L1490" s="42">
        <f>_xlfn.DAYS(Tabla1[[#This Row],[FECHA FIN ]],Tabla1[[#This Row],[FECHA INICIO]])</f>
        <v>155</v>
      </c>
      <c r="M1490" s="12"/>
      <c r="N1490" s="28">
        <v>375</v>
      </c>
      <c r="O1490" s="28">
        <f>(Tabla1[[#This Row],[COSTO FIJO ]]/30)*Tabla1[[#This Row],[TOTAL DIAS PROYECTO]]+(Tabla1[[#This Row],[COSTO TEMPORAL]])</f>
        <v>1937.5</v>
      </c>
      <c r="P1490" s="12"/>
      <c r="Q1490" s="12">
        <f>+(Tabla1[[#This Row],[COSTO COCHE]]/30)*Tabla1[[#This Row],[TOTAL DIAS PROYECTO]]</f>
        <v>0</v>
      </c>
      <c r="R1490" s="12">
        <f>+Tabla1[[#This Row],[COSTO TOTAL ALOJAMIENTO]]+Tabla1[[#This Row],[COSTO TOTAL COCHE]]</f>
        <v>1937.5</v>
      </c>
      <c r="S1490" s="2"/>
      <c r="T1490" s="2" t="s">
        <v>35</v>
      </c>
      <c r="U1490" s="14">
        <v>45666</v>
      </c>
      <c r="V1490" s="43"/>
      <c r="W1490" s="26">
        <v>375</v>
      </c>
      <c r="X1490" s="2">
        <v>1</v>
      </c>
      <c r="Y1490" s="11" t="s">
        <v>3024</v>
      </c>
      <c r="Z1490" s="2" t="s">
        <v>36</v>
      </c>
      <c r="AA1490" s="13" t="s">
        <v>10345</v>
      </c>
      <c r="AB1490" s="13" t="s">
        <v>10346</v>
      </c>
    </row>
    <row r="1491" spans="1:28" ht="15" customHeight="1">
      <c r="A1491" s="2" t="s">
        <v>8962</v>
      </c>
      <c r="B1491" s="2" t="s">
        <v>28</v>
      </c>
      <c r="C1491" s="104" t="s">
        <v>1503</v>
      </c>
      <c r="D1491" s="2" t="s">
        <v>30</v>
      </c>
      <c r="E1491" s="2" t="s">
        <v>259</v>
      </c>
      <c r="F1491" s="11"/>
      <c r="G1491" s="11"/>
      <c r="H1491" s="2" t="s">
        <v>3025</v>
      </c>
      <c r="I1491" s="12" t="s">
        <v>292</v>
      </c>
      <c r="J1491" s="8">
        <f>+Tabla1[[#This Row],[FECHA ENTRADA]]</f>
        <v>45382</v>
      </c>
      <c r="K1491" s="22">
        <v>45821</v>
      </c>
      <c r="L1491" s="13">
        <f>_xlfn.DAYS(Tabla1[[#This Row],[FECHA FIN ]],Tabla1[[#This Row],[FECHA INICIO]])</f>
        <v>439</v>
      </c>
      <c r="M1491" s="12"/>
      <c r="N1491" s="12">
        <v>300</v>
      </c>
      <c r="O1491" s="12">
        <f>(Tabla1[[#This Row],[COSTO FIJO ]]/30)*Tabla1[[#This Row],[TOTAL DIAS PROYECTO]]+(Tabla1[[#This Row],[COSTO TEMPORAL]])</f>
        <v>4390</v>
      </c>
      <c r="P1491" s="12"/>
      <c r="Q1491" s="12">
        <f>+(Tabla1[[#This Row],[COSTO COCHE]]/30)*Tabla1[[#This Row],[TOTAL DIAS PROYECTO]]</f>
        <v>0</v>
      </c>
      <c r="R1491" s="12">
        <f>+Tabla1[[#This Row],[COSTO TOTAL ALOJAMIENTO]]+Tabla1[[#This Row],[COSTO TOTAL COCHE]]</f>
        <v>4390</v>
      </c>
      <c r="S1491" s="2"/>
      <c r="T1491" s="2" t="s">
        <v>58</v>
      </c>
      <c r="U1491" s="14">
        <v>45382</v>
      </c>
      <c r="V1491" s="14"/>
      <c r="W1491" s="15"/>
      <c r="X1491" s="16">
        <v>5</v>
      </c>
      <c r="Y1491" s="11" t="s">
        <v>3026</v>
      </c>
      <c r="Z1491" s="2" t="s">
        <v>36</v>
      </c>
      <c r="AA1491" s="13">
        <v>-0.87734000000000001</v>
      </c>
      <c r="AB1491" s="13" t="s">
        <v>10359</v>
      </c>
    </row>
    <row r="1492" spans="1:28" ht="15" customHeight="1">
      <c r="A1492" s="2" t="s">
        <v>9393</v>
      </c>
      <c r="B1492" s="2" t="s">
        <v>28</v>
      </c>
      <c r="C1492" s="11" t="s">
        <v>3027</v>
      </c>
      <c r="D1492" s="2" t="s">
        <v>30</v>
      </c>
      <c r="E1492" s="2" t="s">
        <v>55</v>
      </c>
      <c r="F1492" s="11" t="s">
        <v>1653</v>
      </c>
      <c r="G1492" s="11" t="s">
        <v>1440</v>
      </c>
      <c r="H1492" s="2" t="s">
        <v>1424</v>
      </c>
      <c r="I1492" s="2" t="s">
        <v>236</v>
      </c>
      <c r="J1492" s="41">
        <f>+Tabla1[[#This Row],[FECHA ENTRADA]]</f>
        <v>45564</v>
      </c>
      <c r="K1492" s="22">
        <v>45821</v>
      </c>
      <c r="L1492" s="42">
        <f>_xlfn.DAYS(Tabla1[[#This Row],[FECHA FIN ]],Tabla1[[#This Row],[FECHA INICIO]])</f>
        <v>257</v>
      </c>
      <c r="M1492" s="12"/>
      <c r="N1492" s="12">
        <f>1811.6/17</f>
        <v>106.56470588235294</v>
      </c>
      <c r="O1492" s="28">
        <f>(Tabla1[[#This Row],[COSTO FIJO ]]/30)*Tabla1[[#This Row],[TOTAL DIAS PROYECTO]]+(Tabla1[[#This Row],[COSTO TEMPORAL]])</f>
        <v>912.90431372549017</v>
      </c>
      <c r="P1492" s="12"/>
      <c r="Q1492" s="12">
        <f>+(Tabla1[[#This Row],[COSTO COCHE]]/30)*Tabla1[[#This Row],[TOTAL DIAS PROYECTO]]</f>
        <v>0</v>
      </c>
      <c r="R1492" s="12">
        <f>+Tabla1[[#This Row],[COSTO TOTAL ALOJAMIENTO]]+Tabla1[[#This Row],[COSTO TOTAL COCHE]]</f>
        <v>912.90431372549017</v>
      </c>
      <c r="S1492" s="2"/>
      <c r="T1492" s="2" t="s">
        <v>35</v>
      </c>
      <c r="U1492" s="14">
        <v>45564</v>
      </c>
      <c r="V1492" s="79">
        <v>45583</v>
      </c>
      <c r="W1492" s="26">
        <v>225</v>
      </c>
      <c r="X1492" s="2">
        <v>1</v>
      </c>
      <c r="Y1492" s="11" t="s">
        <v>3028</v>
      </c>
      <c r="Z1492" s="2" t="s">
        <v>36</v>
      </c>
      <c r="AA1492" s="13" t="s">
        <v>10327</v>
      </c>
      <c r="AB1492" s="13" t="s">
        <v>10328</v>
      </c>
    </row>
    <row r="1493" spans="1:28" ht="15" customHeight="1">
      <c r="A1493" s="2" t="s">
        <v>9394</v>
      </c>
      <c r="B1493" s="2" t="s">
        <v>28</v>
      </c>
      <c r="C1493" s="115" t="s">
        <v>3029</v>
      </c>
      <c r="D1493" s="33" t="s">
        <v>30</v>
      </c>
      <c r="E1493" s="33" t="s">
        <v>225</v>
      </c>
      <c r="F1493" s="11" t="s">
        <v>226</v>
      </c>
      <c r="G1493" s="34" t="s">
        <v>227</v>
      </c>
      <c r="H1493" s="33" t="s">
        <v>2911</v>
      </c>
      <c r="I1493" s="36" t="s">
        <v>228</v>
      </c>
      <c r="J1493" s="8">
        <f>+Tabla1[[#This Row],[FECHA ENTRADA]]</f>
        <v>45375</v>
      </c>
      <c r="K1493" s="22">
        <v>45821</v>
      </c>
      <c r="L1493" s="13">
        <f>_xlfn.DAYS(Tabla1[[#This Row],[FECHA FIN ]],Tabla1[[#This Row],[FECHA INICIO]])</f>
        <v>446</v>
      </c>
      <c r="M1493" s="12"/>
      <c r="N1493" s="36">
        <v>340</v>
      </c>
      <c r="O1493" s="36">
        <f>(Tabla1[[#This Row],[COSTO FIJO ]]/30)*Tabla1[[#This Row],[TOTAL DIAS PROYECTO]]+(Tabla1[[#This Row],[COSTO TEMPORAL]])</f>
        <v>5054.666666666667</v>
      </c>
      <c r="P1493" s="36"/>
      <c r="Q1493" s="36">
        <f>+(Tabla1[[#This Row],[COSTO COCHE]]/30)*Tabla1[[#This Row],[TOTAL DIAS PROYECTO]]</f>
        <v>0</v>
      </c>
      <c r="R1493" s="36">
        <f>+Tabla1[[#This Row],[COSTO TOTAL ALOJAMIENTO]]+Tabla1[[#This Row],[COSTO TOTAL COCHE]]</f>
        <v>5054.666666666667</v>
      </c>
      <c r="S1493" s="33"/>
      <c r="T1493" s="33" t="s">
        <v>35</v>
      </c>
      <c r="U1493" s="37">
        <v>45375</v>
      </c>
      <c r="V1493" s="37">
        <v>45397</v>
      </c>
      <c r="W1493" s="38">
        <v>340</v>
      </c>
      <c r="X1493" s="39">
        <v>1</v>
      </c>
      <c r="Y1493" s="18" t="s">
        <v>3030</v>
      </c>
      <c r="Z1493" s="33" t="s">
        <v>36</v>
      </c>
      <c r="AA1493" s="13" t="s">
        <v>10353</v>
      </c>
      <c r="AB1493" s="13" t="s">
        <v>10354</v>
      </c>
    </row>
    <row r="1494" spans="1:28">
      <c r="A1494" s="2" t="s">
        <v>9268</v>
      </c>
      <c r="B1494" s="2" t="s">
        <v>368</v>
      </c>
      <c r="C1494" s="115" t="s">
        <v>2657</v>
      </c>
      <c r="D1494" s="2" t="s">
        <v>30</v>
      </c>
      <c r="E1494" s="2" t="s">
        <v>109</v>
      </c>
      <c r="F1494" s="11" t="s">
        <v>898</v>
      </c>
      <c r="G1494" s="21" t="s">
        <v>899</v>
      </c>
      <c r="H1494" s="2" t="s">
        <v>1556</v>
      </c>
      <c r="I1494" s="12" t="s">
        <v>42</v>
      </c>
      <c r="J1494" s="41">
        <f>+Tabla1[[#This Row],[FECHA ENTRADA]]</f>
        <v>45692</v>
      </c>
      <c r="K1494" s="22">
        <v>45821</v>
      </c>
      <c r="L1494" s="42">
        <f>_xlfn.DAYS(Tabla1[[#This Row],[FECHA FIN ]],Tabla1[[#This Row],[FECHA INICIO]])</f>
        <v>129</v>
      </c>
      <c r="M1494" s="12"/>
      <c r="N1494" s="12"/>
      <c r="O1494" s="28">
        <f>(Tabla1[[#This Row],[COSTO FIJO ]]/30)*Tabla1[[#This Row],[TOTAL DIAS PROYECTO]]+(Tabla1[[#This Row],[COSTO TEMPORAL]])</f>
        <v>0</v>
      </c>
      <c r="P1494" s="12"/>
      <c r="Q1494" s="12">
        <f>+(Tabla1[[#This Row],[COSTO COCHE]]/30)*Tabla1[[#This Row],[TOTAL DIAS PROYECTO]]</f>
        <v>0</v>
      </c>
      <c r="R1494" s="12">
        <f>+Tabla1[[#This Row],[COSTO TOTAL ALOJAMIENTO]]+Tabla1[[#This Row],[COSTO TOTAL COCHE]]</f>
        <v>0</v>
      </c>
      <c r="S1494" s="2"/>
      <c r="T1494" s="2" t="s">
        <v>35</v>
      </c>
      <c r="U1494" s="14">
        <v>45692</v>
      </c>
      <c r="V1494" s="43"/>
      <c r="W1494" s="26"/>
      <c r="X1494" s="2">
        <v>1</v>
      </c>
      <c r="Y1494" s="11" t="s">
        <v>3031</v>
      </c>
      <c r="Z1494" s="2" t="s">
        <v>36</v>
      </c>
      <c r="AA1494" s="13">
        <v>0.62217999999999996</v>
      </c>
      <c r="AB1494" s="13" t="s">
        <v>10339</v>
      </c>
    </row>
    <row r="1495" spans="1:28" ht="15" customHeight="1">
      <c r="A1495" s="2" t="s">
        <v>9395</v>
      </c>
      <c r="B1495" s="2" t="s">
        <v>368</v>
      </c>
      <c r="C1495" s="11" t="s">
        <v>3032</v>
      </c>
      <c r="D1495" s="2" t="s">
        <v>99</v>
      </c>
      <c r="E1495" s="2" t="s">
        <v>109</v>
      </c>
      <c r="F1495" s="11" t="s">
        <v>1793</v>
      </c>
      <c r="G1495" s="21">
        <v>973266788</v>
      </c>
      <c r="H1495" s="2" t="s">
        <v>1989</v>
      </c>
      <c r="I1495" s="12" t="s">
        <v>42</v>
      </c>
      <c r="J1495" s="22">
        <f>+Tabla1[[#This Row],[FECHA ENTRADA]]</f>
        <v>45734</v>
      </c>
      <c r="K1495" s="22">
        <v>45734</v>
      </c>
      <c r="L1495" s="23">
        <f>_xlfn.DAYS(Tabla1[[#This Row],[FECHA FIN ]],Tabla1[[#This Row],[FECHA INICIO]])</f>
        <v>0</v>
      </c>
      <c r="M1495" s="12"/>
      <c r="N1495" s="12">
        <f>84.88/2</f>
        <v>42.44</v>
      </c>
      <c r="O1495" s="24">
        <f>(Tabla1[[#This Row],[COSTO FIJO ]]/30)*Tabla1[[#This Row],[TOTAL DIAS PROYECTO]]+(Tabla1[[#This Row],[COSTO TEMPORAL]])</f>
        <v>0</v>
      </c>
      <c r="P1495" s="12"/>
      <c r="Q1495" s="12">
        <f>+(Tabla1[[#This Row],[COSTO COCHE]]/30)*Tabla1[[#This Row],[TOTAL DIAS PROYECTO]]</f>
        <v>0</v>
      </c>
      <c r="R1495" s="12">
        <f>+Tabla1[[#This Row],[COSTO TOTAL ALOJAMIENTO]]+Tabla1[[#This Row],[COSTO TOTAL COCHE]]</f>
        <v>0</v>
      </c>
      <c r="S1495" s="2"/>
      <c r="T1495" s="2" t="s">
        <v>44</v>
      </c>
      <c r="U1495" s="14">
        <v>45734</v>
      </c>
      <c r="V1495" s="25">
        <v>45736</v>
      </c>
      <c r="W1495" s="26"/>
      <c r="X1495" s="2"/>
      <c r="Y1495" s="11"/>
      <c r="Z1495" s="2" t="s">
        <v>36</v>
      </c>
      <c r="AA1495" s="13">
        <v>0.62217999999999996</v>
      </c>
      <c r="AB1495" s="13" t="s">
        <v>10339</v>
      </c>
    </row>
    <row r="1496" spans="1:28" ht="15" customHeight="1">
      <c r="A1496" s="2" t="s">
        <v>9396</v>
      </c>
      <c r="B1496" s="2" t="s">
        <v>368</v>
      </c>
      <c r="C1496" s="11" t="s">
        <v>3033</v>
      </c>
      <c r="D1496" s="2" t="s">
        <v>99</v>
      </c>
      <c r="E1496" s="2" t="s">
        <v>213</v>
      </c>
      <c r="F1496" s="11" t="s">
        <v>1196</v>
      </c>
      <c r="G1496" s="21" t="s">
        <v>1197</v>
      </c>
      <c r="H1496" s="2" t="s">
        <v>2813</v>
      </c>
      <c r="I1496" s="12" t="s">
        <v>514</v>
      </c>
      <c r="J1496" s="22">
        <f>+Tabla1[[#This Row],[FECHA ENTRADA]]</f>
        <v>45699</v>
      </c>
      <c r="K1496" s="22">
        <v>45821</v>
      </c>
      <c r="L1496" s="23">
        <f>_xlfn.DAYS(Tabla1[[#This Row],[FECHA FIN ]],Tabla1[[#This Row],[FECHA INICIO]])</f>
        <v>122</v>
      </c>
      <c r="M1496" s="12"/>
      <c r="N1496" s="24"/>
      <c r="O1496" s="24">
        <f>(Tabla1[[#This Row],[COSTO FIJO ]]/30)*Tabla1[[#This Row],[TOTAL DIAS PROYECTO]]+(Tabla1[[#This Row],[COSTO TEMPORAL]])</f>
        <v>0</v>
      </c>
      <c r="P1496" s="12">
        <f>2586.33/26</f>
        <v>99.474230769230772</v>
      </c>
      <c r="Q1496" s="12">
        <f>+(Tabla1[[#This Row],[COSTO COCHE]]/30)*Tabla1[[#This Row],[TOTAL DIAS PROYECTO]]</f>
        <v>404.52853846153846</v>
      </c>
      <c r="R1496" s="12">
        <f>+Tabla1[[#This Row],[COSTO TOTAL ALOJAMIENTO]]+Tabla1[[#This Row],[COSTO TOTAL COCHE]]</f>
        <v>404.52853846153846</v>
      </c>
      <c r="S1496" s="2"/>
      <c r="T1496" s="2" t="s">
        <v>35</v>
      </c>
      <c r="U1496" s="14">
        <v>45699</v>
      </c>
      <c r="V1496" s="25"/>
      <c r="W1496" s="26"/>
      <c r="X1496" s="2">
        <v>1</v>
      </c>
      <c r="Y1496" s="11"/>
      <c r="Z1496" s="2" t="s">
        <v>36</v>
      </c>
      <c r="AA1496" s="13" t="s">
        <v>10349</v>
      </c>
      <c r="AB1496" s="13" t="s">
        <v>10350</v>
      </c>
    </row>
    <row r="1497" spans="1:28">
      <c r="A1497" s="2" t="s">
        <v>8844</v>
      </c>
      <c r="B1497" s="2" t="s">
        <v>28</v>
      </c>
      <c r="C1497" s="11" t="s">
        <v>984</v>
      </c>
      <c r="D1497" s="2" t="s">
        <v>30</v>
      </c>
      <c r="E1497" s="2" t="s">
        <v>502</v>
      </c>
      <c r="F1497" s="11" t="s">
        <v>503</v>
      </c>
      <c r="G1497" s="11" t="s">
        <v>504</v>
      </c>
      <c r="H1497" s="2" t="s">
        <v>3034</v>
      </c>
      <c r="I1497" s="12" t="s">
        <v>506</v>
      </c>
      <c r="J1497" s="22">
        <f>+Tabla1[[#This Row],[FECHA ENTRADA]]</f>
        <v>45620</v>
      </c>
      <c r="K1497" s="8">
        <v>45636</v>
      </c>
      <c r="L1497" s="23">
        <f>_xlfn.DAYS(Tabla1[[#This Row],[FECHA FIN ]],Tabla1[[#This Row],[FECHA INICIO]])</f>
        <v>16</v>
      </c>
      <c r="M1497" s="12"/>
      <c r="N1497" s="12"/>
      <c r="O1497" s="24">
        <f>(Tabla1[[#This Row],[COSTO FIJO ]]/30)*Tabla1[[#This Row],[TOTAL DIAS PROYECTO]]+(Tabla1[[#This Row],[COSTO TEMPORAL]])</f>
        <v>0</v>
      </c>
      <c r="P1497" s="12"/>
      <c r="Q1497" s="12">
        <f>+(Tabla1[[#This Row],[COSTO COCHE]]/30)*Tabla1[[#This Row],[TOTAL DIAS PROYECTO]]</f>
        <v>0</v>
      </c>
      <c r="R1497" s="12">
        <f>+Tabla1[[#This Row],[COSTO TOTAL ALOJAMIENTO]]+Tabla1[[#This Row],[COSTO TOTAL COCHE]]</f>
        <v>0</v>
      </c>
      <c r="S1497" s="2"/>
      <c r="T1497" s="2" t="s">
        <v>35</v>
      </c>
      <c r="U1497" s="14">
        <v>45620</v>
      </c>
      <c r="V1497" s="25"/>
      <c r="W1497" s="26">
        <v>1200</v>
      </c>
      <c r="X1497" s="2">
        <v>1</v>
      </c>
      <c r="Y1497" s="11"/>
      <c r="Z1497" s="2" t="s">
        <v>36</v>
      </c>
      <c r="AA1497" s="13" t="s">
        <v>10378</v>
      </c>
      <c r="AB1497" s="13" t="s">
        <v>10379</v>
      </c>
    </row>
    <row r="1498" spans="1:28">
      <c r="A1498" s="2" t="s">
        <v>9397</v>
      </c>
      <c r="B1498" s="2" t="s">
        <v>28</v>
      </c>
      <c r="C1498" s="11" t="s">
        <v>3035</v>
      </c>
      <c r="D1498" s="2" t="s">
        <v>30</v>
      </c>
      <c r="E1498" s="2" t="s">
        <v>127</v>
      </c>
      <c r="F1498" s="11" t="s">
        <v>128</v>
      </c>
      <c r="G1498" s="11" t="s">
        <v>1900</v>
      </c>
      <c r="H1498" s="2" t="s">
        <v>684</v>
      </c>
      <c r="I1498" s="12" t="s">
        <v>377</v>
      </c>
      <c r="J1498" s="8">
        <f>+Tabla1[[#This Row],[FECHA ENTRADA]]</f>
        <v>45479</v>
      </c>
      <c r="K1498" s="8">
        <v>45639</v>
      </c>
      <c r="L1498" s="13">
        <f>_xlfn.DAYS(Tabla1[[#This Row],[FECHA FIN ]],Tabla1[[#This Row],[FECHA INICIO]])</f>
        <v>160</v>
      </c>
      <c r="M1498" s="12"/>
      <c r="N1498" s="12"/>
      <c r="O1498" s="12">
        <f>(Tabla1[[#This Row],[COSTO FIJO ]]/30)*Tabla1[[#This Row],[TOTAL DIAS PROYECTO]]+(Tabla1[[#This Row],[COSTO TEMPORAL]])</f>
        <v>0</v>
      </c>
      <c r="P1498" s="12"/>
      <c r="Q1498" s="12">
        <f>+(Tabla1[[#This Row],[COSTO COCHE]]/30)*Tabla1[[#This Row],[TOTAL DIAS PROYECTO]]</f>
        <v>0</v>
      </c>
      <c r="R1498" s="12">
        <f>+Tabla1[[#This Row],[COSTO TOTAL ALOJAMIENTO]]+Tabla1[[#This Row],[COSTO TOTAL COCHE]]</f>
        <v>0</v>
      </c>
      <c r="S1498" s="2"/>
      <c r="T1498" s="2" t="s">
        <v>35</v>
      </c>
      <c r="U1498" s="14">
        <v>45479</v>
      </c>
      <c r="V1498" s="14"/>
      <c r="W1498" s="26"/>
      <c r="X1498" s="2">
        <v>20</v>
      </c>
      <c r="Y1498" s="31" t="s">
        <v>3036</v>
      </c>
      <c r="Z1498" s="2" t="s">
        <v>36</v>
      </c>
      <c r="AA1498" s="13" t="s">
        <v>10342</v>
      </c>
      <c r="AB1498" s="13" t="s">
        <v>10343</v>
      </c>
    </row>
    <row r="1499" spans="1:28" ht="15" customHeight="1">
      <c r="A1499" s="2" t="s">
        <v>8708</v>
      </c>
      <c r="B1499" s="2" t="s">
        <v>28</v>
      </c>
      <c r="C1499" s="11" t="s">
        <v>388</v>
      </c>
      <c r="D1499" s="2" t="s">
        <v>30</v>
      </c>
      <c r="E1499" s="2" t="s">
        <v>225</v>
      </c>
      <c r="F1499" s="11" t="s">
        <v>1502</v>
      </c>
      <c r="G1499" s="11" t="s">
        <v>1505</v>
      </c>
      <c r="H1499" s="2" t="s">
        <v>3037</v>
      </c>
      <c r="I1499" s="12" t="s">
        <v>228</v>
      </c>
      <c r="J1499" s="8">
        <f>+Tabla1[[#This Row],[FECHA ENTRADA]]</f>
        <v>45487</v>
      </c>
      <c r="K1499" s="8">
        <v>45513</v>
      </c>
      <c r="L1499" s="13">
        <f>_xlfn.DAYS(Tabla1[[#This Row],[FECHA FIN ]],Tabla1[[#This Row],[FECHA INICIO]])</f>
        <v>26</v>
      </c>
      <c r="M1499" s="12"/>
      <c r="N1499" s="12"/>
      <c r="O1499" s="12">
        <f>(Tabla1[[#This Row],[COSTO FIJO ]]/30)*Tabla1[[#This Row],[TOTAL DIAS PROYECTO]]+(Tabla1[[#This Row],[COSTO TEMPORAL]])</f>
        <v>0</v>
      </c>
      <c r="P1499" s="12"/>
      <c r="Q1499" s="12">
        <f>+(Tabla1[[#This Row],[COSTO COCHE]]/30)*Tabla1[[#This Row],[TOTAL DIAS PROYECTO]]</f>
        <v>0</v>
      </c>
      <c r="R1499" s="12">
        <f>+Tabla1[[#This Row],[COSTO TOTAL ALOJAMIENTO]]+Tabla1[[#This Row],[COSTO TOTAL COCHE]]</f>
        <v>0</v>
      </c>
      <c r="S1499" s="2"/>
      <c r="T1499" s="2" t="s">
        <v>35</v>
      </c>
      <c r="U1499" s="14">
        <v>45487</v>
      </c>
      <c r="V1499" s="14"/>
      <c r="W1499" s="26"/>
      <c r="X1499" s="2">
        <v>20</v>
      </c>
      <c r="Y1499" s="18" t="s">
        <v>3038</v>
      </c>
      <c r="Z1499" s="2" t="s">
        <v>36</v>
      </c>
      <c r="AA1499" s="13" t="s">
        <v>10353</v>
      </c>
      <c r="AB1499" s="13" t="s">
        <v>10354</v>
      </c>
    </row>
    <row r="1500" spans="1:28" ht="15" customHeight="1">
      <c r="A1500" s="2" t="s">
        <v>9398</v>
      </c>
      <c r="B1500" s="2" t="s">
        <v>28</v>
      </c>
      <c r="C1500" s="11" t="s">
        <v>3039</v>
      </c>
      <c r="D1500" s="2" t="s">
        <v>30</v>
      </c>
      <c r="E1500" s="2" t="s">
        <v>225</v>
      </c>
      <c r="F1500" s="11"/>
      <c r="G1500" s="11"/>
      <c r="H1500" s="2" t="s">
        <v>3037</v>
      </c>
      <c r="I1500" s="12" t="s">
        <v>228</v>
      </c>
      <c r="J1500" s="8">
        <f>+Tabla1[[#This Row],[FECHA ENTRADA]]</f>
        <v>45487</v>
      </c>
      <c r="K1500" s="8">
        <v>45572</v>
      </c>
      <c r="L1500" s="13">
        <f>_xlfn.DAYS(Tabla1[[#This Row],[FECHA FIN ]],Tabla1[[#This Row],[FECHA INICIO]])</f>
        <v>85</v>
      </c>
      <c r="M1500" s="12"/>
      <c r="N1500" s="12"/>
      <c r="O1500" s="12">
        <f>(Tabla1[[#This Row],[COSTO FIJO ]]/30)*Tabla1[[#This Row],[TOTAL DIAS PROYECTO]]+(Tabla1[[#This Row],[COSTO TEMPORAL]])</f>
        <v>0</v>
      </c>
      <c r="P1500" s="12"/>
      <c r="Q1500" s="12">
        <f>+(Tabla1[[#This Row],[COSTO COCHE]]/30)*Tabla1[[#This Row],[TOTAL DIAS PROYECTO]]</f>
        <v>0</v>
      </c>
      <c r="R1500" s="12">
        <f>+Tabla1[[#This Row],[COSTO TOTAL ALOJAMIENTO]]+Tabla1[[#This Row],[COSTO TOTAL COCHE]]</f>
        <v>0</v>
      </c>
      <c r="S1500" s="2"/>
      <c r="T1500" s="2" t="s">
        <v>58</v>
      </c>
      <c r="U1500" s="14">
        <v>45487</v>
      </c>
      <c r="V1500" s="14"/>
      <c r="W1500" s="26"/>
      <c r="X1500" s="2">
        <v>20</v>
      </c>
      <c r="Y1500" s="11" t="s">
        <v>3040</v>
      </c>
      <c r="Z1500" s="2" t="s">
        <v>36</v>
      </c>
      <c r="AA1500" s="13" t="s">
        <v>10353</v>
      </c>
      <c r="AB1500" s="13" t="s">
        <v>10354</v>
      </c>
    </row>
    <row r="1501" spans="1:28" ht="15" customHeight="1">
      <c r="A1501" s="2" t="s">
        <v>8874</v>
      </c>
      <c r="B1501" s="2" t="s">
        <v>368</v>
      </c>
      <c r="C1501" s="11" t="s">
        <v>1121</v>
      </c>
      <c r="D1501" s="2" t="s">
        <v>99</v>
      </c>
      <c r="E1501" s="2" t="s">
        <v>109</v>
      </c>
      <c r="F1501" s="11" t="s">
        <v>1793</v>
      </c>
      <c r="G1501" s="21">
        <v>973266788</v>
      </c>
      <c r="H1501" s="2" t="s">
        <v>3041</v>
      </c>
      <c r="I1501" s="12" t="s">
        <v>42</v>
      </c>
      <c r="J1501" s="22">
        <f>+Tabla1[[#This Row],[FECHA ENTRADA]]</f>
        <v>45734</v>
      </c>
      <c r="K1501" s="22">
        <v>45737</v>
      </c>
      <c r="L1501" s="23">
        <f>_xlfn.DAYS(Tabla1[[#This Row],[FECHA FIN ]],Tabla1[[#This Row],[FECHA INICIO]])</f>
        <v>3</v>
      </c>
      <c r="N1501" s="28"/>
      <c r="O1501" s="24">
        <f>(Tabla1[[#This Row],[COSTO FIJO ]]/30)*Tabla1[[#This Row],[TOTAL DIAS PROYECTO]]+(Tabla1[[#This Row],[COSTO TEMPORAL]])</f>
        <v>0</v>
      </c>
      <c r="P1501" s="12"/>
      <c r="Q1501" s="12">
        <f>+(Tabla1[[#This Row],[COSTO COCHE]]/30)*Tabla1[[#This Row],[TOTAL DIAS PROYECTO]]</f>
        <v>0</v>
      </c>
      <c r="R1501" s="12">
        <f>+Tabla1[[#This Row],[COSTO TOTAL ALOJAMIENTO]]+Tabla1[[#This Row],[COSTO TOTAL COCHE]]</f>
        <v>0</v>
      </c>
      <c r="S1501" s="2"/>
      <c r="T1501" s="2" t="s">
        <v>44</v>
      </c>
      <c r="U1501" s="14">
        <v>45734</v>
      </c>
      <c r="V1501" s="25">
        <v>45737</v>
      </c>
      <c r="W1501" s="26"/>
      <c r="X1501" s="2"/>
      <c r="Y1501" s="136" t="s">
        <v>2388</v>
      </c>
      <c r="Z1501" s="2" t="s">
        <v>36</v>
      </c>
      <c r="AA1501" s="13">
        <v>0.62217999999999996</v>
      </c>
      <c r="AB1501" s="13" t="s">
        <v>10339</v>
      </c>
    </row>
    <row r="1502" spans="1:28" ht="15" customHeight="1">
      <c r="A1502" s="2" t="s">
        <v>9352</v>
      </c>
      <c r="B1502" s="2" t="s">
        <v>978</v>
      </c>
      <c r="C1502" s="31" t="s">
        <v>2915</v>
      </c>
      <c r="D1502" s="2" t="s">
        <v>30</v>
      </c>
      <c r="E1502" s="2" t="s">
        <v>109</v>
      </c>
      <c r="F1502" s="11" t="s">
        <v>898</v>
      </c>
      <c r="G1502" s="128" t="s">
        <v>3042</v>
      </c>
      <c r="H1502" s="2" t="s">
        <v>3043</v>
      </c>
      <c r="I1502" s="12" t="s">
        <v>3044</v>
      </c>
      <c r="J1502" s="41">
        <f>+Tabla1[[#This Row],[FECHA ENTRADA]]</f>
        <v>46249</v>
      </c>
      <c r="K1502" s="22">
        <v>46258</v>
      </c>
      <c r="L1502" s="42">
        <f>_xlfn.DAYS(Tabla1[[#This Row],[FECHA FIN ]],Tabla1[[#This Row],[FECHA INICIO]])</f>
        <v>9</v>
      </c>
      <c r="M1502" s="12"/>
      <c r="N1502" s="28">
        <v>300</v>
      </c>
      <c r="O1502" s="28">
        <f>(Tabla1[[#This Row],[COSTO FIJO ]]/30)*Tabla1[[#This Row],[TOTAL DIAS PROYECTO]]+(Tabla1[[#This Row],[COSTO TEMPORAL]])</f>
        <v>90</v>
      </c>
      <c r="P1502" s="12"/>
      <c r="Q1502" s="12">
        <f>+(Tabla1[[#This Row],[COSTO COCHE]]/30)*Tabla1[[#This Row],[TOTAL DIAS PROYECTO]]</f>
        <v>0</v>
      </c>
      <c r="R1502" s="12">
        <f>+Tabla1[[#This Row],[COSTO TOTAL ALOJAMIENTO]]+Tabla1[[#This Row],[COSTO TOTAL COCHE]]</f>
        <v>90</v>
      </c>
      <c r="S1502" s="2"/>
      <c r="T1502" s="14" t="s">
        <v>35</v>
      </c>
      <c r="U1502" s="14">
        <v>46249</v>
      </c>
      <c r="V1502" s="43"/>
      <c r="W1502" s="12"/>
      <c r="X1502" s="2">
        <v>15</v>
      </c>
      <c r="Y1502" s="11" t="s">
        <v>3045</v>
      </c>
      <c r="Z1502" s="2" t="s">
        <v>36</v>
      </c>
      <c r="AA1502" s="13">
        <v>0.62217999999999996</v>
      </c>
      <c r="AB1502" s="13" t="s">
        <v>10339</v>
      </c>
    </row>
    <row r="1503" spans="1:28" ht="15" customHeight="1">
      <c r="A1503" s="2" t="s">
        <v>8638</v>
      </c>
      <c r="B1503" s="2" t="s">
        <v>28</v>
      </c>
      <c r="C1503" s="11" t="s">
        <v>2769</v>
      </c>
      <c r="D1503" s="2" t="s">
        <v>30</v>
      </c>
      <c r="E1503" s="2" t="s">
        <v>422</v>
      </c>
      <c r="F1503" s="11" t="s">
        <v>2997</v>
      </c>
      <c r="G1503" s="46">
        <v>699109800</v>
      </c>
      <c r="H1503" s="2" t="s">
        <v>2767</v>
      </c>
      <c r="I1503" s="12" t="s">
        <v>2454</v>
      </c>
      <c r="J1503" s="41">
        <f>+Tabla1[[#This Row],[FECHA ENTRADA]]</f>
        <v>45777</v>
      </c>
      <c r="K1503" s="22">
        <v>45821</v>
      </c>
      <c r="L1503" s="23">
        <f>_xlfn.DAYS(Tabla1[[#This Row],[FECHA FIN ]],Tabla1[[#This Row],[FECHA INICIO]])</f>
        <v>44</v>
      </c>
      <c r="M1503" s="12"/>
      <c r="N1503" s="24"/>
      <c r="O1503" s="24">
        <f>(Tabla1[[#This Row],[COSTO FIJO ]]/30)*Tabla1[[#This Row],[TOTAL DIAS PROYECTO]]+(Tabla1[[#This Row],[COSTO TEMPORAL]])</f>
        <v>0</v>
      </c>
      <c r="P1503" s="12"/>
      <c r="Q1503" s="12">
        <f>+(Tabla1[[#This Row],[COSTO COCHE]]/30)*Tabla1[[#This Row],[TOTAL DIAS PROYECTO]]</f>
        <v>0</v>
      </c>
      <c r="R1503" s="12">
        <f>+Tabla1[[#This Row],[COSTO TOTAL ALOJAMIENTO]]+Tabla1[[#This Row],[COSTO TOTAL COCHE]]</f>
        <v>0</v>
      </c>
      <c r="S1503" s="2"/>
      <c r="T1503" s="14" t="s">
        <v>44</v>
      </c>
      <c r="U1503" s="14">
        <v>45777</v>
      </c>
      <c r="V1503" s="25">
        <v>45782</v>
      </c>
      <c r="W1503" s="2"/>
      <c r="X1503" s="2"/>
      <c r="Y1503" s="11"/>
      <c r="Z1503" s="2" t="s">
        <v>36</v>
      </c>
      <c r="AA1503" s="13">
        <v>-326.69799999999998</v>
      </c>
      <c r="AB1503" s="13" t="s">
        <v>10373</v>
      </c>
    </row>
    <row r="1504" spans="1:28" ht="15" customHeight="1">
      <c r="A1504" s="2" t="s">
        <v>8638</v>
      </c>
      <c r="B1504" s="2" t="s">
        <v>28</v>
      </c>
      <c r="C1504" s="11" t="s">
        <v>2766</v>
      </c>
      <c r="D1504" s="2" t="s">
        <v>30</v>
      </c>
      <c r="E1504" s="2" t="s">
        <v>422</v>
      </c>
      <c r="F1504" s="11" t="s">
        <v>2997</v>
      </c>
      <c r="G1504" s="49">
        <v>699109800</v>
      </c>
      <c r="H1504" s="2" t="s">
        <v>2767</v>
      </c>
      <c r="I1504" s="12" t="s">
        <v>2454</v>
      </c>
      <c r="J1504" s="22">
        <f>+Tabla1[[#This Row],[FECHA ENTRADA]]</f>
        <v>45782</v>
      </c>
      <c r="K1504" s="22">
        <v>45791</v>
      </c>
      <c r="L1504" s="23">
        <f>_xlfn.DAYS(Tabla1[[#This Row],[FECHA FIN ]],Tabla1[[#This Row],[FECHA INICIO]])</f>
        <v>9</v>
      </c>
      <c r="M1504" s="12"/>
      <c r="N1504" s="12">
        <v>180</v>
      </c>
      <c r="O1504" s="24">
        <f>(Tabla1[[#This Row],[COSTO FIJO ]]/30)*Tabla1[[#This Row],[TOTAL DIAS PROYECTO]]+(Tabla1[[#This Row],[COSTO TEMPORAL]])</f>
        <v>54</v>
      </c>
      <c r="P1504" s="12"/>
      <c r="Q1504" s="12">
        <f>+(Tabla1[[#This Row],[COSTO COCHE]]/30)*Tabla1[[#This Row],[TOTAL DIAS PROYECTO]]</f>
        <v>0</v>
      </c>
      <c r="R1504" s="12">
        <f>+Tabla1[[#This Row],[COSTO TOTAL ALOJAMIENTO]]+Tabla1[[#This Row],[COSTO TOTAL COCHE]]</f>
        <v>54</v>
      </c>
      <c r="S1504" s="2"/>
      <c r="T1504" s="14" t="s">
        <v>44</v>
      </c>
      <c r="U1504" s="14">
        <v>45782</v>
      </c>
      <c r="V1504" s="25">
        <v>45791</v>
      </c>
      <c r="W1504" s="2"/>
      <c r="X1504" s="2"/>
      <c r="Y1504" s="11"/>
      <c r="Z1504" s="2" t="s">
        <v>36</v>
      </c>
      <c r="AA1504" s="13">
        <v>-326.69799999999998</v>
      </c>
      <c r="AB1504" s="13" t="s">
        <v>10373</v>
      </c>
    </row>
    <row r="1505" spans="1:28" ht="15" customHeight="1">
      <c r="A1505" s="2" t="s">
        <v>9312</v>
      </c>
      <c r="B1505" s="2" t="s">
        <v>28</v>
      </c>
      <c r="C1505" s="11" t="s">
        <v>2786</v>
      </c>
      <c r="D1505" s="2" t="s">
        <v>30</v>
      </c>
      <c r="E1505" s="2" t="s">
        <v>415</v>
      </c>
      <c r="F1505" s="11" t="s">
        <v>3046</v>
      </c>
      <c r="G1505" s="46" t="s">
        <v>3047</v>
      </c>
      <c r="H1505" s="2" t="s">
        <v>2788</v>
      </c>
      <c r="I1505" s="12" t="s">
        <v>800</v>
      </c>
      <c r="J1505" s="41">
        <f>+Tabla1[[#This Row],[FECHA ENTRADA]]</f>
        <v>45669</v>
      </c>
      <c r="K1505" s="22">
        <v>45821</v>
      </c>
      <c r="L1505" s="42">
        <f>_xlfn.DAYS(Tabla1[[#This Row],[FECHA FIN ]],Tabla1[[#This Row],[FECHA INICIO]])</f>
        <v>152</v>
      </c>
      <c r="M1505" s="12"/>
      <c r="N1505" s="12"/>
      <c r="O1505" s="28">
        <f>(Tabla1[[#This Row],[COSTO FIJO ]]/30)*Tabla1[[#This Row],[TOTAL DIAS PROYECTO]]+(Tabla1[[#This Row],[COSTO TEMPORAL]])</f>
        <v>0</v>
      </c>
      <c r="P1505" s="12"/>
      <c r="Q1505" s="12">
        <f>+(Tabla1[[#This Row],[COSTO COCHE]]/30)*Tabla1[[#This Row],[TOTAL DIAS PROYECTO]]</f>
        <v>0</v>
      </c>
      <c r="R1505" s="12">
        <f>+Tabla1[[#This Row],[COSTO TOTAL ALOJAMIENTO]]+Tabla1[[#This Row],[COSTO TOTAL COCHE]]</f>
        <v>0</v>
      </c>
      <c r="S1505" s="2"/>
      <c r="T1505" s="2" t="s">
        <v>44</v>
      </c>
      <c r="U1505" s="14">
        <v>45669</v>
      </c>
      <c r="V1505" s="43">
        <v>45675</v>
      </c>
      <c r="W1505" s="26"/>
      <c r="X1505" s="2"/>
      <c r="Y1505" s="11" t="s">
        <v>3048</v>
      </c>
      <c r="Z1505" s="2" t="s">
        <v>36</v>
      </c>
      <c r="AA1505" s="13">
        <v>-0.37739</v>
      </c>
      <c r="AB1505" s="13" t="s">
        <v>10372</v>
      </c>
    </row>
    <row r="1506" spans="1:28" ht="15" customHeight="1">
      <c r="A1506" s="2" t="s">
        <v>8714</v>
      </c>
      <c r="B1506" s="2" t="s">
        <v>368</v>
      </c>
      <c r="C1506" s="18" t="s">
        <v>414</v>
      </c>
      <c r="D1506" s="2" t="s">
        <v>30</v>
      </c>
      <c r="E1506" s="2" t="s">
        <v>380</v>
      </c>
      <c r="F1506" s="11"/>
      <c r="G1506" s="11" t="s">
        <v>622</v>
      </c>
      <c r="H1506" s="2" t="s">
        <v>2992</v>
      </c>
      <c r="I1506" s="12" t="s">
        <v>2993</v>
      </c>
      <c r="J1506" s="8">
        <f>+Tabla1[[#This Row],[FECHA ENTRADA]]</f>
        <v>45502</v>
      </c>
      <c r="K1506" s="22">
        <v>45821</v>
      </c>
      <c r="L1506" s="13">
        <f>_xlfn.DAYS(Tabla1[[#This Row],[FECHA FIN ]],Tabla1[[#This Row],[FECHA INICIO]])</f>
        <v>319</v>
      </c>
      <c r="M1506" s="12"/>
      <c r="N1506" s="24"/>
      <c r="O1506" s="12">
        <f>(Tabla1[[#This Row],[COSTO FIJO ]]/30)*Tabla1[[#This Row],[TOTAL DIAS PROYECTO]]+(Tabla1[[#This Row],[COSTO TEMPORAL]])</f>
        <v>0</v>
      </c>
      <c r="P1506" s="12"/>
      <c r="Q1506" s="12">
        <f>+(Tabla1[[#This Row],[COSTO COCHE]]/30)*Tabla1[[#This Row],[TOTAL DIAS PROYECTO]]</f>
        <v>0</v>
      </c>
      <c r="R1506" s="12">
        <f>+Tabla1[[#This Row],[COSTO TOTAL ALOJAMIENTO]]+Tabla1[[#This Row],[COSTO TOTAL COCHE]]</f>
        <v>0</v>
      </c>
      <c r="S1506" s="2"/>
      <c r="T1506" s="2" t="s">
        <v>35</v>
      </c>
      <c r="U1506" s="14">
        <v>45502</v>
      </c>
      <c r="V1506" s="14"/>
      <c r="W1506" s="26"/>
      <c r="X1506" s="2">
        <v>5</v>
      </c>
      <c r="Y1506" s="11" t="s">
        <v>623</v>
      </c>
      <c r="Z1506" s="2" t="s">
        <v>36</v>
      </c>
      <c r="AA1506" s="13" t="s">
        <v>10370</v>
      </c>
      <c r="AB1506" s="13" t="s">
        <v>10371</v>
      </c>
    </row>
    <row r="1507" spans="1:28" ht="15" customHeight="1">
      <c r="A1507" s="2" t="s">
        <v>9399</v>
      </c>
      <c r="B1507" s="2" t="s">
        <v>368</v>
      </c>
      <c r="C1507" s="11" t="s">
        <v>3049</v>
      </c>
      <c r="D1507" s="2" t="s">
        <v>30</v>
      </c>
      <c r="E1507" s="2" t="s">
        <v>380</v>
      </c>
      <c r="F1507" s="11" t="s">
        <v>3050</v>
      </c>
      <c r="G1507" s="11"/>
      <c r="H1507" s="2" t="s">
        <v>2992</v>
      </c>
      <c r="I1507" s="12" t="s">
        <v>2993</v>
      </c>
      <c r="J1507" s="8">
        <f>+Tabla1[[#This Row],[FECHA ENTRADA]]</f>
        <v>45502</v>
      </c>
      <c r="K1507" s="22">
        <v>45821</v>
      </c>
      <c r="L1507" s="13">
        <f>_xlfn.DAYS(Tabla1[[#This Row],[FECHA FIN ]],Tabla1[[#This Row],[FECHA INICIO]])</f>
        <v>319</v>
      </c>
      <c r="M1507" s="12"/>
      <c r="N1507" s="12">
        <f>1811.6/17</f>
        <v>106.56470588235294</v>
      </c>
      <c r="O1507" s="12">
        <f>(Tabla1[[#This Row],[COSTO FIJO ]]/30)*Tabla1[[#This Row],[TOTAL DIAS PROYECTO]]+(Tabla1[[#This Row],[COSTO TEMPORAL]])</f>
        <v>1133.1380392156864</v>
      </c>
      <c r="P1507" s="12"/>
      <c r="Q1507" s="12">
        <f>+(Tabla1[[#This Row],[COSTO COCHE]]/30)*Tabla1[[#This Row],[TOTAL DIAS PROYECTO]]</f>
        <v>0</v>
      </c>
      <c r="R1507" s="12">
        <f>+Tabla1[[#This Row],[COSTO TOTAL ALOJAMIENTO]]+Tabla1[[#This Row],[COSTO TOTAL COCHE]]</f>
        <v>1133.1380392156864</v>
      </c>
      <c r="S1507" s="2" t="s">
        <v>403</v>
      </c>
      <c r="T1507" s="2" t="s">
        <v>44</v>
      </c>
      <c r="U1507" s="14">
        <v>45502</v>
      </c>
      <c r="V1507" s="14"/>
      <c r="W1507" s="26"/>
      <c r="X1507" s="2"/>
      <c r="Y1507" s="18" t="s">
        <v>3051</v>
      </c>
      <c r="Z1507" s="2" t="s">
        <v>36</v>
      </c>
      <c r="AA1507" s="13" t="s">
        <v>10370</v>
      </c>
      <c r="AB1507" s="13" t="s">
        <v>10371</v>
      </c>
    </row>
    <row r="1508" spans="1:28" ht="15" customHeight="1">
      <c r="A1508" s="2" t="s">
        <v>8642</v>
      </c>
      <c r="B1508" s="2" t="s">
        <v>368</v>
      </c>
      <c r="C1508" s="18" t="s">
        <v>2950</v>
      </c>
      <c r="D1508" s="2" t="s">
        <v>30</v>
      </c>
      <c r="E1508" s="2" t="s">
        <v>213</v>
      </c>
      <c r="F1508" s="11" t="s">
        <v>1525</v>
      </c>
      <c r="G1508" t="s">
        <v>1197</v>
      </c>
      <c r="H1508" s="2" t="s">
        <v>1465</v>
      </c>
      <c r="I1508" s="12" t="s">
        <v>1208</v>
      </c>
      <c r="J1508" s="41">
        <f>+Tabla1[[#This Row],[FECHA ENTRADA]]</f>
        <v>45669</v>
      </c>
      <c r="K1508" s="22">
        <v>45821</v>
      </c>
      <c r="L1508" s="42">
        <f>_xlfn.DAYS(Tabla1[[#This Row],[FECHA FIN ]],Tabla1[[#This Row],[FECHA INICIO]])</f>
        <v>152</v>
      </c>
      <c r="M1508" s="12"/>
      <c r="N1508" s="24"/>
      <c r="O1508" s="28">
        <f>(Tabla1[[#This Row],[COSTO FIJO ]]/30)*Tabla1[[#This Row],[TOTAL DIAS PROYECTO]]+(Tabla1[[#This Row],[COSTO TEMPORAL]])</f>
        <v>0</v>
      </c>
      <c r="P1508" s="12"/>
      <c r="Q1508" s="12">
        <f>+(Tabla1[[#This Row],[COSTO COCHE]]/30)*Tabla1[[#This Row],[TOTAL DIAS PROYECTO]]</f>
        <v>0</v>
      </c>
      <c r="R1508" s="12">
        <f>+Tabla1[[#This Row],[COSTO TOTAL ALOJAMIENTO]]+Tabla1[[#This Row],[COSTO TOTAL COCHE]]</f>
        <v>0</v>
      </c>
      <c r="S1508" s="2"/>
      <c r="T1508" s="2" t="s">
        <v>35</v>
      </c>
      <c r="U1508" s="14">
        <v>45669</v>
      </c>
      <c r="V1508" s="43"/>
      <c r="W1508" s="26"/>
      <c r="X1508" s="2">
        <v>1</v>
      </c>
      <c r="Y1508" s="11"/>
      <c r="Z1508" s="2" t="s">
        <v>36</v>
      </c>
      <c r="AA1508" s="13" t="s">
        <v>10349</v>
      </c>
      <c r="AB1508" s="13" t="s">
        <v>10350</v>
      </c>
    </row>
    <row r="1509" spans="1:28" ht="15" customHeight="1">
      <c r="A1509" s="2" t="s">
        <v>8642</v>
      </c>
      <c r="B1509" s="2" t="s">
        <v>368</v>
      </c>
      <c r="C1509" s="18" t="s">
        <v>2950</v>
      </c>
      <c r="D1509" s="2" t="s">
        <v>30</v>
      </c>
      <c r="E1509" s="2" t="s">
        <v>31</v>
      </c>
      <c r="F1509" s="11" t="s">
        <v>2882</v>
      </c>
      <c r="G1509" s="11" t="s">
        <v>2883</v>
      </c>
      <c r="H1509" s="2" t="s">
        <v>2884</v>
      </c>
      <c r="I1509" s="12" t="s">
        <v>1208</v>
      </c>
      <c r="J1509" s="8">
        <f>+Tabla1[[#This Row],[FECHA ENTRADA]]</f>
        <v>45530</v>
      </c>
      <c r="K1509" s="22">
        <v>45821</v>
      </c>
      <c r="L1509" s="13">
        <f>_xlfn.DAYS(Tabla1[[#This Row],[FECHA FIN ]],Tabla1[[#This Row],[FECHA INICIO]])</f>
        <v>291</v>
      </c>
      <c r="M1509" s="12"/>
      <c r="N1509" s="24">
        <v>200</v>
      </c>
      <c r="O1509" s="12">
        <f>(Tabla1[[#This Row],[COSTO FIJO ]]/30)*Tabla1[[#This Row],[TOTAL DIAS PROYECTO]]+(Tabla1[[#This Row],[COSTO TEMPORAL]])</f>
        <v>1940</v>
      </c>
      <c r="P1509" s="12">
        <f>+(651.96*50%)/2</f>
        <v>162.99</v>
      </c>
      <c r="Q1509" s="12">
        <f>+(Tabla1[[#This Row],[COSTO COCHE]]/30)*Tabla1[[#This Row],[TOTAL DIAS PROYECTO]]</f>
        <v>1581.0030000000002</v>
      </c>
      <c r="R1509" s="12">
        <f>+Tabla1[[#This Row],[COSTO TOTAL ALOJAMIENTO]]+Tabla1[[#This Row],[COSTO TOTAL COCHE]]</f>
        <v>3521.0030000000002</v>
      </c>
      <c r="S1509" s="2"/>
      <c r="T1509" s="2" t="s">
        <v>35</v>
      </c>
      <c r="U1509" s="14">
        <v>45530</v>
      </c>
      <c r="V1509" s="14"/>
      <c r="W1509" s="26"/>
      <c r="X1509" s="2">
        <v>1</v>
      </c>
      <c r="Y1509" s="11"/>
      <c r="Z1509" s="2" t="s">
        <v>36</v>
      </c>
      <c r="AA1509" s="13" t="s">
        <v>10323</v>
      </c>
      <c r="AB1509" s="13" t="s">
        <v>10324</v>
      </c>
    </row>
    <row r="1510" spans="1:28" ht="15" customHeight="1">
      <c r="A1510" s="2" t="s">
        <v>9400</v>
      </c>
      <c r="B1510" s="2" t="s">
        <v>368</v>
      </c>
      <c r="C1510" s="11" t="s">
        <v>3052</v>
      </c>
      <c r="D1510" s="2" t="s">
        <v>30</v>
      </c>
      <c r="E1510" s="2" t="s">
        <v>31</v>
      </c>
      <c r="F1510" s="11" t="s">
        <v>1004</v>
      </c>
      <c r="G1510" s="51" t="s">
        <v>1005</v>
      </c>
      <c r="H1510" s="2" t="s">
        <v>3053</v>
      </c>
      <c r="I1510" s="12" t="s">
        <v>3054</v>
      </c>
      <c r="J1510" s="22">
        <f>+Tabla1[[#This Row],[FECHA ENTRADA]]</f>
        <v>45697</v>
      </c>
      <c r="K1510" s="22">
        <v>45821</v>
      </c>
      <c r="L1510" s="23">
        <f>_xlfn.DAYS(Tabla1[[#This Row],[FECHA FIN ]],Tabla1[[#This Row],[FECHA INICIO]])</f>
        <v>124</v>
      </c>
      <c r="M1510" s="12"/>
      <c r="N1510" s="12">
        <f>1811.6/17</f>
        <v>106.56470588235294</v>
      </c>
      <c r="O1510" s="24">
        <f>(Tabla1[[#This Row],[COSTO FIJO ]]/30)*Tabla1[[#This Row],[TOTAL DIAS PROYECTO]]+(Tabla1[[#This Row],[COSTO TEMPORAL]])</f>
        <v>440.46745098039219</v>
      </c>
      <c r="P1510" s="12">
        <f>400/3</f>
        <v>133.33333333333334</v>
      </c>
      <c r="Q1510" s="12">
        <f>+(Tabla1[[#This Row],[COSTO COCHE]]/30)*Tabla1[[#This Row],[TOTAL DIAS PROYECTO]]</f>
        <v>551.11111111111109</v>
      </c>
      <c r="R1510" s="12">
        <f>+Tabla1[[#This Row],[COSTO TOTAL ALOJAMIENTO]]+Tabla1[[#This Row],[COSTO TOTAL COCHE]]</f>
        <v>991.57856209150327</v>
      </c>
      <c r="S1510" s="2"/>
      <c r="T1510" s="2" t="s">
        <v>35</v>
      </c>
      <c r="U1510" s="14">
        <v>45697</v>
      </c>
      <c r="V1510" s="79"/>
      <c r="W1510" s="26"/>
      <c r="X1510" s="2">
        <v>1</v>
      </c>
      <c r="Y1510" s="11" t="s">
        <v>1120</v>
      </c>
      <c r="Z1510" s="2" t="s">
        <v>36</v>
      </c>
      <c r="AA1510" s="13" t="s">
        <v>10323</v>
      </c>
      <c r="AB1510" s="13" t="s">
        <v>10324</v>
      </c>
    </row>
    <row r="1511" spans="1:28" s="193" customFormat="1" ht="15" customHeight="1">
      <c r="A1511" s="2" t="s">
        <v>8741</v>
      </c>
      <c r="B1511" s="2" t="s">
        <v>368</v>
      </c>
      <c r="C1511" s="11" t="s">
        <v>534</v>
      </c>
      <c r="D1511" s="2" t="s">
        <v>30</v>
      </c>
      <c r="E1511" s="2" t="s">
        <v>380</v>
      </c>
      <c r="F1511" s="11" t="s">
        <v>3050</v>
      </c>
      <c r="G1511" s="11"/>
      <c r="H1511" s="2" t="s">
        <v>2992</v>
      </c>
      <c r="I1511" s="12" t="s">
        <v>2993</v>
      </c>
      <c r="J1511" s="8">
        <f>+Tabla1[[#This Row],[FECHA ENTRADA]]</f>
        <v>45502</v>
      </c>
      <c r="K1511" s="8"/>
      <c r="L1511" s="13">
        <f>_xlfn.DAYS(Tabla1[[#This Row],[FECHA FIN ]],Tabla1[[#This Row],[FECHA INICIO]])</f>
        <v>-45502</v>
      </c>
      <c r="M1511" s="12"/>
      <c r="N1511" s="12">
        <f>154.4+137.85</f>
        <v>292.25</v>
      </c>
      <c r="O1511" s="12">
        <f>(Tabla1[[#This Row],[COSTO FIJO ]]/30)*Tabla1[[#This Row],[TOTAL DIAS PROYECTO]]+(Tabla1[[#This Row],[COSTO TEMPORAL]])</f>
        <v>-443265.31666666671</v>
      </c>
      <c r="P1511" s="12"/>
      <c r="Q1511" s="12">
        <f>+(Tabla1[[#This Row],[COSTO COCHE]]/30)*Tabla1[[#This Row],[TOTAL DIAS PROYECTO]]</f>
        <v>0</v>
      </c>
      <c r="R1511" s="12">
        <f>+Tabla1[[#This Row],[COSTO TOTAL ALOJAMIENTO]]+Tabla1[[#This Row],[COSTO TOTAL COCHE]]</f>
        <v>-443265.31666666671</v>
      </c>
      <c r="S1511" s="2" t="s">
        <v>403</v>
      </c>
      <c r="T1511" s="2" t="s">
        <v>44</v>
      </c>
      <c r="U1511" s="14">
        <v>45502</v>
      </c>
      <c r="V1511" s="14"/>
      <c r="W1511" s="26"/>
      <c r="X1511" s="2"/>
      <c r="Y1511" s="18"/>
      <c r="Z1511" s="2" t="s">
        <v>36</v>
      </c>
      <c r="AA1511" s="13" t="s">
        <v>10370</v>
      </c>
      <c r="AB1511" s="13" t="s">
        <v>10371</v>
      </c>
    </row>
    <row r="1512" spans="1:28" ht="15" customHeight="1">
      <c r="A1512" s="2" t="s">
        <v>8923</v>
      </c>
      <c r="B1512" s="2" t="s">
        <v>28</v>
      </c>
      <c r="C1512" s="18" t="s">
        <v>1289</v>
      </c>
      <c r="D1512" s="2" t="s">
        <v>1398</v>
      </c>
      <c r="E1512" s="2" t="s">
        <v>288</v>
      </c>
      <c r="F1512" s="11" t="s">
        <v>750</v>
      </c>
      <c r="G1512" s="30" t="s">
        <v>751</v>
      </c>
      <c r="H1512" s="2" t="s">
        <v>3055</v>
      </c>
      <c r="I1512" s="10" t="s">
        <v>753</v>
      </c>
      <c r="J1512" s="41">
        <f>+Tabla1[[#This Row],[FECHA ENTRADA]]</f>
        <v>45585</v>
      </c>
      <c r="K1512" s="8">
        <v>45633</v>
      </c>
      <c r="L1512" s="42">
        <f>_xlfn.DAYS(Tabla1[[#This Row],[FECHA FIN ]],Tabla1[[#This Row],[FECHA INICIO]])</f>
        <v>48</v>
      </c>
      <c r="M1512" s="12"/>
      <c r="N1512" s="12">
        <v>520</v>
      </c>
      <c r="O1512" s="28">
        <f>(Tabla1[[#This Row],[COSTO FIJO ]]/30)*Tabla1[[#This Row],[TOTAL DIAS PROYECTO]]+(Tabla1[[#This Row],[COSTO TEMPORAL]])</f>
        <v>832</v>
      </c>
      <c r="P1512" s="12"/>
      <c r="Q1512" s="12">
        <f>+(Tabla1[[#This Row],[COSTO COCHE]]/30)*Tabla1[[#This Row],[TOTAL DIAS PROYECTO]]</f>
        <v>0</v>
      </c>
      <c r="R1512" s="12">
        <f>+Tabla1[[#This Row],[COSTO TOTAL ALOJAMIENTO]]+Tabla1[[#This Row],[COSTO TOTAL COCHE]]</f>
        <v>832</v>
      </c>
      <c r="S1512" s="2"/>
      <c r="T1512" s="2" t="s">
        <v>44</v>
      </c>
      <c r="U1512" s="14">
        <v>45585</v>
      </c>
      <c r="V1512" s="14">
        <v>45636</v>
      </c>
      <c r="W1512" s="26"/>
      <c r="X1512" s="2">
        <v>10</v>
      </c>
      <c r="Y1512" s="11"/>
      <c r="Z1512" s="2" t="s">
        <v>36</v>
      </c>
      <c r="AA1512" s="13" t="s">
        <v>10362</v>
      </c>
      <c r="AB1512" s="13" t="s">
        <v>10363</v>
      </c>
    </row>
    <row r="1513" spans="1:28" ht="15" customHeight="1">
      <c r="A1513" s="2">
        <v>0</v>
      </c>
      <c r="B1513" s="2" t="s">
        <v>28</v>
      </c>
      <c r="C1513" s="104" t="s">
        <v>3056</v>
      </c>
      <c r="D1513" s="2" t="s">
        <v>30</v>
      </c>
      <c r="E1513" s="2" t="s">
        <v>225</v>
      </c>
      <c r="F1513" s="11" t="s">
        <v>226</v>
      </c>
      <c r="G1513" s="11" t="s">
        <v>227</v>
      </c>
      <c r="H1513" s="2" t="s">
        <v>3037</v>
      </c>
      <c r="I1513" s="12" t="s">
        <v>228</v>
      </c>
      <c r="J1513" s="8">
        <f>+Tabla1[[#This Row],[FECHA ENTRADA]]</f>
        <v>45487</v>
      </c>
      <c r="K1513" s="22">
        <v>45821</v>
      </c>
      <c r="L1513" s="13">
        <f>_xlfn.DAYS(Tabla1[[#This Row],[FECHA FIN ]],Tabla1[[#This Row],[FECHA INICIO]])</f>
        <v>334</v>
      </c>
      <c r="M1513" s="12"/>
      <c r="N1513" s="12"/>
      <c r="O1513" s="12">
        <f>(Tabla1[[#This Row],[COSTO FIJO ]]/30)*Tabla1[[#This Row],[TOTAL DIAS PROYECTO]]+(Tabla1[[#This Row],[COSTO TEMPORAL]])</f>
        <v>0</v>
      </c>
      <c r="P1513" s="12"/>
      <c r="Q1513" s="12">
        <f>+(Tabla1[[#This Row],[COSTO COCHE]]/30)*Tabla1[[#This Row],[TOTAL DIAS PROYECTO]]</f>
        <v>0</v>
      </c>
      <c r="R1513" s="12">
        <f>+Tabla1[[#This Row],[COSTO TOTAL ALOJAMIENTO]]+Tabla1[[#This Row],[COSTO TOTAL COCHE]]</f>
        <v>0</v>
      </c>
      <c r="S1513" s="2"/>
      <c r="T1513" s="2" t="s">
        <v>35</v>
      </c>
      <c r="U1513" s="14">
        <v>45487</v>
      </c>
      <c r="V1513" s="14"/>
      <c r="W1513" s="26">
        <v>340</v>
      </c>
      <c r="X1513" s="2">
        <v>1</v>
      </c>
      <c r="Y1513" s="11" t="s">
        <v>3057</v>
      </c>
      <c r="Z1513" s="2" t="s">
        <v>36</v>
      </c>
      <c r="AA1513" s="13" t="s">
        <v>10353</v>
      </c>
      <c r="AB1513" s="13" t="s">
        <v>10354</v>
      </c>
    </row>
    <row r="1514" spans="1:28" ht="15" customHeight="1">
      <c r="A1514" s="2" t="s">
        <v>9317</v>
      </c>
      <c r="B1514" s="2" t="s">
        <v>28</v>
      </c>
      <c r="C1514" s="194" t="s">
        <v>2806</v>
      </c>
      <c r="D1514" s="2" t="s">
        <v>30</v>
      </c>
      <c r="E1514" s="2" t="s">
        <v>31</v>
      </c>
      <c r="F1514" s="11" t="s">
        <v>758</v>
      </c>
      <c r="G1514" s="11"/>
      <c r="H1514" s="2" t="s">
        <v>1055</v>
      </c>
      <c r="I1514" s="12" t="s">
        <v>527</v>
      </c>
      <c r="J1514" s="8">
        <f>+Tabla1[[#This Row],[FECHA ENTRADA]]</f>
        <v>45515</v>
      </c>
      <c r="K1514" s="22">
        <v>45821</v>
      </c>
      <c r="L1514" s="13">
        <f>_xlfn.DAYS(Tabla1[[#This Row],[FECHA FIN ]],Tabla1[[#This Row],[FECHA INICIO]])</f>
        <v>306</v>
      </c>
      <c r="M1514" s="12"/>
      <c r="N1514" s="20">
        <v>212.5</v>
      </c>
      <c r="O1514" s="12">
        <f>(Tabla1[[#This Row],[COSTO FIJO ]]/30)*Tabla1[[#This Row],[TOTAL DIAS PROYECTO]]+(Tabla1[[#This Row],[COSTO TEMPORAL]])</f>
        <v>2167.5</v>
      </c>
      <c r="P1514" s="12"/>
      <c r="Q1514" s="12">
        <f>+(Tabla1[[#This Row],[COSTO COCHE]]/30)*Tabla1[[#This Row],[TOTAL DIAS PROYECTO]]</f>
        <v>0</v>
      </c>
      <c r="R1514" s="12">
        <f>+Tabla1[[#This Row],[COSTO TOTAL ALOJAMIENTO]]+Tabla1[[#This Row],[COSTO TOTAL COCHE]]</f>
        <v>2167.5</v>
      </c>
      <c r="S1514" s="2"/>
      <c r="T1514" s="2" t="s">
        <v>35</v>
      </c>
      <c r="U1514" s="14">
        <v>45515</v>
      </c>
      <c r="V1514" s="14"/>
      <c r="W1514" s="26"/>
      <c r="X1514" s="2">
        <v>1</v>
      </c>
      <c r="Y1514" s="18" t="s">
        <v>3058</v>
      </c>
      <c r="Z1514" s="2" t="s">
        <v>36</v>
      </c>
      <c r="AA1514" s="13" t="s">
        <v>10323</v>
      </c>
      <c r="AB1514" s="13" t="s">
        <v>10324</v>
      </c>
    </row>
    <row r="1515" spans="1:28" ht="15" customHeight="1">
      <c r="A1515" s="2" t="s">
        <v>9393</v>
      </c>
      <c r="B1515" s="2" t="s">
        <v>368</v>
      </c>
      <c r="C1515" s="181" t="s">
        <v>3027</v>
      </c>
      <c r="D1515" s="2" t="s">
        <v>30</v>
      </c>
      <c r="E1515" s="2" t="s">
        <v>380</v>
      </c>
      <c r="F1515" s="11" t="s">
        <v>623</v>
      </c>
      <c r="G1515" s="11" t="s">
        <v>622</v>
      </c>
      <c r="H1515" s="2" t="s">
        <v>3059</v>
      </c>
      <c r="I1515" s="47" t="s">
        <v>2993</v>
      </c>
      <c r="J1515" s="8">
        <f>+Tabla1[[#This Row],[FECHA ENTRADA]]</f>
        <v>45510</v>
      </c>
      <c r="K1515" s="22">
        <v>45821</v>
      </c>
      <c r="L1515" s="13">
        <f>_xlfn.DAYS(Tabla1[[#This Row],[FECHA FIN ]],Tabla1[[#This Row],[FECHA INICIO]])</f>
        <v>311</v>
      </c>
      <c r="M1515" s="12"/>
      <c r="N1515" s="12">
        <f>1811.6/17</f>
        <v>106.56470588235294</v>
      </c>
      <c r="O1515" s="12">
        <f>(Tabla1[[#This Row],[COSTO FIJO ]]/30)*Tabla1[[#This Row],[TOTAL DIAS PROYECTO]]+(Tabla1[[#This Row],[COSTO TEMPORAL]])</f>
        <v>1104.7207843137255</v>
      </c>
      <c r="P1515" s="12">
        <f>+(749.45*50%)/2</f>
        <v>187.36250000000001</v>
      </c>
      <c r="Q1515" s="12">
        <f>+(Tabla1[[#This Row],[COSTO COCHE]]/30)*Tabla1[[#This Row],[TOTAL DIAS PROYECTO]]</f>
        <v>1942.3245833333335</v>
      </c>
      <c r="R1515" s="12">
        <f>+Tabla1[[#This Row],[COSTO TOTAL ALOJAMIENTO]]+Tabla1[[#This Row],[COSTO TOTAL COCHE]]</f>
        <v>3047.0453676470588</v>
      </c>
      <c r="S1515" s="2"/>
      <c r="T1515" s="2" t="s">
        <v>35</v>
      </c>
      <c r="U1515" s="14">
        <v>45510</v>
      </c>
      <c r="V1515" s="14"/>
      <c r="W1515" s="26">
        <v>2400</v>
      </c>
      <c r="X1515" s="2">
        <v>5</v>
      </c>
      <c r="Y1515" s="11" t="s">
        <v>3060</v>
      </c>
      <c r="Z1515" s="2" t="s">
        <v>36</v>
      </c>
      <c r="AA1515" s="13" t="s">
        <v>10370</v>
      </c>
      <c r="AB1515" s="13" t="s">
        <v>10371</v>
      </c>
    </row>
    <row r="1516" spans="1:28">
      <c r="A1516" s="2" t="s">
        <v>9401</v>
      </c>
      <c r="B1516" s="2" t="s">
        <v>368</v>
      </c>
      <c r="C1516" s="86" t="s">
        <v>3061</v>
      </c>
      <c r="D1516" s="2" t="s">
        <v>30</v>
      </c>
      <c r="E1516" s="2" t="s">
        <v>826</v>
      </c>
      <c r="F1516" s="11" t="s">
        <v>827</v>
      </c>
      <c r="G1516" s="11" t="s">
        <v>828</v>
      </c>
      <c r="H1516" s="2" t="s">
        <v>1138</v>
      </c>
      <c r="I1516" s="12" t="s">
        <v>152</v>
      </c>
      <c r="J1516" s="8">
        <f>+Tabla1[[#This Row],[FECHA ENTRADA]]</f>
        <v>45501</v>
      </c>
      <c r="K1516" s="22">
        <v>45821</v>
      </c>
      <c r="L1516" s="13">
        <f>_xlfn.DAYS(Tabla1[[#This Row],[FECHA FIN ]],Tabla1[[#This Row],[FECHA INICIO]])</f>
        <v>320</v>
      </c>
      <c r="M1516" s="12"/>
      <c r="N1516" s="20">
        <v>450</v>
      </c>
      <c r="O1516" s="12">
        <f>(Tabla1[[#This Row],[COSTO FIJO ]]/30)*Tabla1[[#This Row],[TOTAL DIAS PROYECTO]]+(Tabla1[[#This Row],[COSTO TEMPORAL]])</f>
        <v>4800</v>
      </c>
      <c r="P1516" s="12">
        <f>651.96/2</f>
        <v>325.98</v>
      </c>
      <c r="Q1516" s="12">
        <f>+(Tabla1[[#This Row],[COSTO COCHE]]/30)*Tabla1[[#This Row],[TOTAL DIAS PROYECTO]]</f>
        <v>3477.1200000000003</v>
      </c>
      <c r="R1516" s="12">
        <f>+Tabla1[[#This Row],[COSTO TOTAL ALOJAMIENTO]]+Tabla1[[#This Row],[COSTO TOTAL COCHE]]</f>
        <v>8277.1200000000008</v>
      </c>
      <c r="S1516" s="2"/>
      <c r="T1516" s="2" t="s">
        <v>35</v>
      </c>
      <c r="U1516" s="14">
        <v>45501</v>
      </c>
      <c r="V1516" s="8">
        <v>45565</v>
      </c>
      <c r="W1516" s="26"/>
      <c r="X1516" s="2">
        <v>1</v>
      </c>
      <c r="Y1516" s="11" t="s">
        <v>3062</v>
      </c>
      <c r="Z1516" s="2" t="s">
        <v>36</v>
      </c>
      <c r="AA1516" s="13" t="s">
        <v>10399</v>
      </c>
      <c r="AB1516" s="13" t="s">
        <v>10400</v>
      </c>
    </row>
    <row r="1517" spans="1:28" ht="15" customHeight="1">
      <c r="A1517" s="2" t="s">
        <v>9402</v>
      </c>
      <c r="B1517" s="2" t="s">
        <v>28</v>
      </c>
      <c r="C1517" s="11" t="s">
        <v>3063</v>
      </c>
      <c r="D1517" s="2" t="s">
        <v>99</v>
      </c>
      <c r="E1517" s="2" t="s">
        <v>245</v>
      </c>
      <c r="F1517" s="11" t="s">
        <v>2983</v>
      </c>
      <c r="G1517" s="49" t="s">
        <v>2984</v>
      </c>
      <c r="H1517" s="2" t="s">
        <v>2985</v>
      </c>
      <c r="I1517" s="10" t="s">
        <v>1019</v>
      </c>
      <c r="J1517" s="22">
        <f>+Tabla1[[#This Row],[FECHA ENTRADA]]</f>
        <v>45747</v>
      </c>
      <c r="K1517" s="22">
        <v>45821</v>
      </c>
      <c r="L1517" s="23">
        <f>_xlfn.DAYS(Tabla1[[#This Row],[FECHA FIN ]],Tabla1[[#This Row],[FECHA INICIO]])</f>
        <v>74</v>
      </c>
      <c r="M1517" s="12"/>
      <c r="N1517" s="12">
        <v>127.5</v>
      </c>
      <c r="O1517" s="24">
        <f>(Tabla1[[#This Row],[COSTO FIJO ]]/30)*Tabla1[[#This Row],[TOTAL DIAS PROYECTO]]+(Tabla1[[#This Row],[COSTO TEMPORAL]])</f>
        <v>314.5</v>
      </c>
      <c r="P1517" s="12"/>
      <c r="Q1517" s="12">
        <f>+(Tabla1[[#This Row],[COSTO COCHE]]/30)*Tabla1[[#This Row],[TOTAL DIAS PROYECTO]]</f>
        <v>0</v>
      </c>
      <c r="R1517" s="12">
        <f>+Tabla1[[#This Row],[COSTO TOTAL ALOJAMIENTO]]+Tabla1[[#This Row],[COSTO TOTAL COCHE]]</f>
        <v>314.5</v>
      </c>
      <c r="S1517" s="2" t="s">
        <v>403</v>
      </c>
      <c r="T1517" s="2" t="s">
        <v>44</v>
      </c>
      <c r="U1517" s="14">
        <v>45747</v>
      </c>
      <c r="V1517" s="25">
        <v>45770</v>
      </c>
      <c r="W1517" s="26"/>
      <c r="X1517" s="2"/>
      <c r="Y1517" s="11"/>
      <c r="Z1517" s="2" t="s">
        <v>36</v>
      </c>
      <c r="AA1517" s="13" t="s">
        <v>10355</v>
      </c>
      <c r="AB1517" s="13" t="s">
        <v>10356</v>
      </c>
    </row>
    <row r="1518" spans="1:28" ht="15" customHeight="1">
      <c r="A1518" s="2" t="s">
        <v>9403</v>
      </c>
      <c r="B1518" s="2" t="s">
        <v>28</v>
      </c>
      <c r="C1518" s="11" t="s">
        <v>3064</v>
      </c>
      <c r="D1518" s="2" t="s">
        <v>30</v>
      </c>
      <c r="E1518" s="2" t="s">
        <v>31</v>
      </c>
      <c r="F1518" s="11"/>
      <c r="G1518" s="11"/>
      <c r="H1518" s="2">
        <v>2023</v>
      </c>
      <c r="I1518" s="2" t="s">
        <v>385</v>
      </c>
      <c r="J1518" s="8">
        <v>45258</v>
      </c>
      <c r="K1518" s="22">
        <v>45821</v>
      </c>
      <c r="L1518" s="13">
        <f>_xlfn.DAYS(Tabla1[[#This Row],[FECHA FIN ]],Tabla1[[#This Row],[FECHA INICIO]])</f>
        <v>563</v>
      </c>
      <c r="M1518" s="12"/>
      <c r="N1518" s="12">
        <v>300</v>
      </c>
      <c r="O1518" s="12">
        <f>(Tabla1[[#This Row],[COSTO FIJO ]]/30)*Tabla1[[#This Row],[TOTAL DIAS PROYECTO]]+(Tabla1[[#This Row],[COSTO TEMPORAL]])</f>
        <v>5630</v>
      </c>
      <c r="P1518" s="12"/>
      <c r="Q1518" s="12">
        <f>+(Tabla1[[#This Row],[COSTO COCHE]]/30)*Tabla1[[#This Row],[TOTAL DIAS PROYECTO]]</f>
        <v>0</v>
      </c>
      <c r="R1518" s="12">
        <f>+Tabla1[[#This Row],[COSTO TOTAL ALOJAMIENTO]]+Tabla1[[#This Row],[COSTO TOTAL COCHE]]</f>
        <v>5630</v>
      </c>
      <c r="S1518" s="2"/>
      <c r="T1518" s="2" t="s">
        <v>58</v>
      </c>
      <c r="U1518" s="14"/>
      <c r="V1518" s="14"/>
      <c r="W1518" s="15"/>
      <c r="X1518" s="16"/>
      <c r="Y1518" s="11" t="s">
        <v>3065</v>
      </c>
      <c r="Z1518" s="2" t="s">
        <v>36</v>
      </c>
      <c r="AA1518" s="13" t="s">
        <v>10323</v>
      </c>
      <c r="AB1518" s="13" t="s">
        <v>10324</v>
      </c>
    </row>
    <row r="1519" spans="1:28" ht="15" customHeight="1">
      <c r="A1519" s="2" t="s">
        <v>8884</v>
      </c>
      <c r="B1519" s="2" t="s">
        <v>28</v>
      </c>
      <c r="C1519" s="11" t="s">
        <v>1160</v>
      </c>
      <c r="D1519" s="2" t="s">
        <v>30</v>
      </c>
      <c r="E1519" s="2" t="s">
        <v>599</v>
      </c>
      <c r="F1519" s="11" t="s">
        <v>1394</v>
      </c>
      <c r="G1519" s="46" t="s">
        <v>1395</v>
      </c>
      <c r="H1519" s="2" t="s">
        <v>1396</v>
      </c>
      <c r="I1519" s="12" t="s">
        <v>1067</v>
      </c>
      <c r="J1519" s="41">
        <f>+Tabla1[[#This Row],[FECHA ENTRADA]]</f>
        <v>45671</v>
      </c>
      <c r="K1519" s="22">
        <v>45821</v>
      </c>
      <c r="L1519" s="42">
        <f>_xlfn.DAYS(Tabla1[[#This Row],[FECHA FIN ]],Tabla1[[#This Row],[FECHA INICIO]])</f>
        <v>150</v>
      </c>
      <c r="M1519" s="12"/>
      <c r="N1519" s="12">
        <f>1811.6/17</f>
        <v>106.56470588235294</v>
      </c>
      <c r="O1519" s="28">
        <f>(Tabla1[[#This Row],[COSTO FIJO ]]/30)*Tabla1[[#This Row],[TOTAL DIAS PROYECTO]]+(Tabla1[[#This Row],[COSTO TEMPORAL]])</f>
        <v>532.82352941176475</v>
      </c>
      <c r="P1519" s="12"/>
      <c r="Q1519" s="12">
        <f>+(Tabla1[[#This Row],[COSTO COCHE]]/30)*Tabla1[[#This Row],[TOTAL DIAS PROYECTO]]</f>
        <v>0</v>
      </c>
      <c r="R1519" s="12">
        <f>+Tabla1[[#This Row],[COSTO TOTAL ALOJAMIENTO]]+Tabla1[[#This Row],[COSTO TOTAL COCHE]]</f>
        <v>532.82352941176475</v>
      </c>
      <c r="S1519" s="2"/>
      <c r="T1519" s="2" t="s">
        <v>44</v>
      </c>
      <c r="U1519" s="14">
        <v>45671</v>
      </c>
      <c r="V1519" s="43">
        <v>45677</v>
      </c>
      <c r="W1519" s="26"/>
      <c r="X1519" s="2"/>
      <c r="Y1519" s="11" t="s">
        <v>1166</v>
      </c>
      <c r="Z1519" s="2" t="s">
        <v>36</v>
      </c>
      <c r="AA1519" s="13" t="s">
        <v>10382</v>
      </c>
      <c r="AB1519" s="13">
        <v>4038884</v>
      </c>
    </row>
    <row r="1520" spans="1:28" ht="15" customHeight="1">
      <c r="A1520" s="2" t="s">
        <v>9192</v>
      </c>
      <c r="B1520" s="2" t="s">
        <v>368</v>
      </c>
      <c r="C1520" s="31" t="s">
        <v>2387</v>
      </c>
      <c r="D1520" s="2" t="s">
        <v>99</v>
      </c>
      <c r="E1520" s="2" t="s">
        <v>109</v>
      </c>
      <c r="F1520" s="11" t="s">
        <v>3066</v>
      </c>
      <c r="G1520" s="100" t="s">
        <v>3067</v>
      </c>
      <c r="H1520" s="2" t="s">
        <v>2386</v>
      </c>
      <c r="I1520" s="12" t="s">
        <v>42</v>
      </c>
      <c r="J1520" s="41">
        <f>+Tabla1[[#This Row],[FECHA ENTRADA]]</f>
        <v>45737</v>
      </c>
      <c r="K1520" s="22">
        <v>45821</v>
      </c>
      <c r="L1520" s="42">
        <f>_xlfn.DAYS(Tabla1[[#This Row],[FECHA FIN ]],Tabla1[[#This Row],[FECHA INICIO]])</f>
        <v>84</v>
      </c>
      <c r="M1520" s="12"/>
      <c r="N1520" s="12"/>
      <c r="O1520" s="24">
        <f>(Tabla1[[#This Row],[COSTO FIJO ]]/30)*Tabla1[[#This Row],[TOTAL DIAS PROYECTO]]+(Tabla1[[#This Row],[COSTO TEMPORAL]])</f>
        <v>0</v>
      </c>
      <c r="P1520" s="12"/>
      <c r="Q1520" s="12">
        <f>+(Tabla1[[#This Row],[COSTO COCHE]]/30)*Tabla1[[#This Row],[TOTAL DIAS PROYECTO]]</f>
        <v>0</v>
      </c>
      <c r="R1520" s="12">
        <f>+Tabla1[[#This Row],[COSTO TOTAL ALOJAMIENTO]]+Tabla1[[#This Row],[COSTO TOTAL COCHE]]</f>
        <v>0</v>
      </c>
      <c r="S1520" s="2"/>
      <c r="T1520" s="2" t="s">
        <v>35</v>
      </c>
      <c r="U1520" s="14">
        <v>45737</v>
      </c>
      <c r="V1520" s="43"/>
      <c r="W1520" s="26">
        <v>2400</v>
      </c>
      <c r="X1520" s="2">
        <v>4</v>
      </c>
      <c r="Y1520" s="11"/>
      <c r="Z1520" s="2" t="s">
        <v>36</v>
      </c>
      <c r="AA1520" s="13">
        <v>0.62217999999999996</v>
      </c>
      <c r="AB1520" s="13" t="s">
        <v>10339</v>
      </c>
    </row>
    <row r="1521" spans="1:28">
      <c r="A1521" s="2" t="s">
        <v>8848</v>
      </c>
      <c r="B1521" s="2" t="s">
        <v>28</v>
      </c>
      <c r="C1521" s="31" t="s">
        <v>1003</v>
      </c>
      <c r="D1521" s="2" t="s">
        <v>30</v>
      </c>
      <c r="E1521" s="2" t="s">
        <v>686</v>
      </c>
      <c r="F1521" s="11" t="s">
        <v>3068</v>
      </c>
      <c r="G1521" s="21" t="s">
        <v>3069</v>
      </c>
      <c r="H1521" s="2" t="s">
        <v>3070</v>
      </c>
      <c r="I1521" s="12" t="s">
        <v>96</v>
      </c>
      <c r="J1521" s="22">
        <f>+Tabla1[[#This Row],[FECHA ENTRADA]]</f>
        <v>45907</v>
      </c>
      <c r="K1521" s="22">
        <v>45915</v>
      </c>
      <c r="L1521" s="23">
        <f>_xlfn.DAYS(Tabla1[[#This Row],[FECHA FIN ]],Tabla1[[#This Row],[FECHA INICIO]])</f>
        <v>8</v>
      </c>
      <c r="M1521" s="12"/>
      <c r="N1521" s="20"/>
      <c r="O1521" s="24">
        <f>(Tabla1[[#This Row],[COSTO FIJO ]]/30)*Tabla1[[#This Row],[TOTAL DIAS PROYECTO]]+(Tabla1[[#This Row],[COSTO TEMPORAL]])</f>
        <v>0</v>
      </c>
      <c r="P1521" s="12"/>
      <c r="Q1521" s="12">
        <f>+(Tabla1[[#This Row],[COSTO COCHE]]/30)*Tabla1[[#This Row],[TOTAL DIAS PROYECTO]]</f>
        <v>0</v>
      </c>
      <c r="R1521" s="12">
        <f>+Tabla1[[#This Row],[COSTO TOTAL ALOJAMIENTO]]+Tabla1[[#This Row],[COSTO TOTAL COCHE]]</f>
        <v>0</v>
      </c>
      <c r="S1521" s="2"/>
      <c r="T1521" s="14" t="s">
        <v>44</v>
      </c>
      <c r="U1521" s="14">
        <v>45907</v>
      </c>
      <c r="V1521" s="79">
        <v>45931</v>
      </c>
      <c r="W1521" s="71"/>
      <c r="X1521" s="2"/>
      <c r="Y1521" s="11" t="s">
        <v>3071</v>
      </c>
      <c r="Z1521" s="2" t="s">
        <v>36</v>
      </c>
      <c r="AA1521" s="13" t="s">
        <v>10393</v>
      </c>
      <c r="AB1521" s="13">
        <v>3834517</v>
      </c>
    </row>
    <row r="1522" spans="1:28">
      <c r="A1522" s="2" t="s">
        <v>9389</v>
      </c>
      <c r="B1522" s="2" t="s">
        <v>368</v>
      </c>
      <c r="C1522" s="18" t="s">
        <v>3013</v>
      </c>
      <c r="D1522" s="2" t="s">
        <v>30</v>
      </c>
      <c r="E1522" s="2" t="s">
        <v>31</v>
      </c>
      <c r="F1522" s="11" t="s">
        <v>530</v>
      </c>
      <c r="G1522" s="11" t="s">
        <v>531</v>
      </c>
      <c r="H1522" s="2" t="s">
        <v>1315</v>
      </c>
      <c r="I1522" s="29" t="s">
        <v>1316</v>
      </c>
      <c r="J1522" s="41">
        <f>+Tabla1[[#This Row],[FECHA ENTRADA]]</f>
        <v>45627</v>
      </c>
      <c r="K1522" s="22">
        <v>45821</v>
      </c>
      <c r="L1522" s="42">
        <f>_xlfn.DAYS(Tabla1[[#This Row],[FECHA FIN ]],Tabla1[[#This Row],[FECHA INICIO]])</f>
        <v>194</v>
      </c>
      <c r="M1522" s="12"/>
      <c r="N1522" s="24"/>
      <c r="O1522" s="28">
        <f>(Tabla1[[#This Row],[COSTO FIJO ]]/30)*Tabla1[[#This Row],[TOTAL DIAS PROYECTO]]+(Tabla1[[#This Row],[COSTO TEMPORAL]])</f>
        <v>0</v>
      </c>
      <c r="P1522" s="12"/>
      <c r="Q1522" s="12">
        <f>+(Tabla1[[#This Row],[COSTO COCHE]]/30)*Tabla1[[#This Row],[TOTAL DIAS PROYECTO]]</f>
        <v>0</v>
      </c>
      <c r="R1522" s="12">
        <f>+Tabla1[[#This Row],[COSTO TOTAL ALOJAMIENTO]]+Tabla1[[#This Row],[COSTO TOTAL COCHE]]</f>
        <v>0</v>
      </c>
      <c r="S1522" s="2"/>
      <c r="T1522" s="2" t="s">
        <v>35</v>
      </c>
      <c r="U1522" s="14">
        <v>45627</v>
      </c>
      <c r="V1522" s="43"/>
      <c r="W1522" s="26"/>
      <c r="X1522" s="2">
        <v>1</v>
      </c>
      <c r="Y1522" s="11" t="s">
        <v>1317</v>
      </c>
      <c r="Z1522" s="2" t="s">
        <v>36</v>
      </c>
      <c r="AA1522" s="13" t="s">
        <v>10323</v>
      </c>
      <c r="AB1522" s="13" t="s">
        <v>10324</v>
      </c>
    </row>
    <row r="1523" spans="1:28" ht="15" customHeight="1">
      <c r="A1523" s="2" t="s">
        <v>9263</v>
      </c>
      <c r="B1523" s="2" t="s">
        <v>368</v>
      </c>
      <c r="C1523" s="86" t="s">
        <v>2640</v>
      </c>
      <c r="D1523" s="2" t="s">
        <v>30</v>
      </c>
      <c r="E1523" s="2" t="s">
        <v>213</v>
      </c>
      <c r="F1523" s="11" t="s">
        <v>1196</v>
      </c>
      <c r="G1523" s="21" t="s">
        <v>1197</v>
      </c>
      <c r="H1523" s="2" t="s">
        <v>1198</v>
      </c>
      <c r="I1523" s="12" t="s">
        <v>514</v>
      </c>
      <c r="J1523" s="22">
        <f>+Tabla1[[#This Row],[FECHA ENTRADA]]</f>
        <v>45582</v>
      </c>
      <c r="K1523" s="22">
        <v>45821</v>
      </c>
      <c r="L1523" s="23">
        <f>_xlfn.DAYS(Tabla1[[#This Row],[FECHA FIN ]],Tabla1[[#This Row],[FECHA INICIO]])</f>
        <v>239</v>
      </c>
      <c r="M1523" s="12"/>
      <c r="N1523" s="20">
        <v>410</v>
      </c>
      <c r="O1523" s="24">
        <f>(Tabla1[[#This Row],[COSTO FIJO ]]/30)*Tabla1[[#This Row],[TOTAL DIAS PROYECTO]]+(Tabla1[[#This Row],[COSTO TEMPORAL]])</f>
        <v>3266.333333333333</v>
      </c>
      <c r="P1523" s="12">
        <f>2586.33/21</f>
        <v>123.15857142857142</v>
      </c>
      <c r="Q1523" s="12">
        <f>+(Tabla1[[#This Row],[COSTO COCHE]]/30)*Tabla1[[#This Row],[TOTAL DIAS PROYECTO]]</f>
        <v>981.16328571428573</v>
      </c>
      <c r="R1523" s="12">
        <f>+Tabla1[[#This Row],[COSTO TOTAL ALOJAMIENTO]]+Tabla1[[#This Row],[COSTO TOTAL COCHE]]</f>
        <v>4247.4966190476189</v>
      </c>
      <c r="S1523" s="2" t="s">
        <v>84</v>
      </c>
      <c r="T1523" s="2" t="s">
        <v>35</v>
      </c>
      <c r="U1523" s="14">
        <v>45582</v>
      </c>
      <c r="V1523" s="25"/>
      <c r="W1523" s="26"/>
      <c r="X1523" s="2">
        <v>1</v>
      </c>
      <c r="Y1523" s="11" t="s">
        <v>2776</v>
      </c>
      <c r="Z1523" s="2" t="s">
        <v>36</v>
      </c>
      <c r="AA1523" s="13" t="s">
        <v>10349</v>
      </c>
      <c r="AB1523" s="13" t="s">
        <v>10350</v>
      </c>
    </row>
    <row r="1524" spans="1:28" ht="15" customHeight="1">
      <c r="A1524" s="2" t="s">
        <v>9336</v>
      </c>
      <c r="B1524" s="2" t="s">
        <v>28</v>
      </c>
      <c r="C1524" s="50" t="s">
        <v>2850</v>
      </c>
      <c r="D1524" s="2" t="s">
        <v>30</v>
      </c>
      <c r="E1524" s="2" t="s">
        <v>31</v>
      </c>
      <c r="F1524" s="11" t="s">
        <v>758</v>
      </c>
      <c r="G1524" s="11" t="s">
        <v>758</v>
      </c>
      <c r="H1524" s="2" t="s">
        <v>2061</v>
      </c>
      <c r="I1524" s="12" t="s">
        <v>2062</v>
      </c>
      <c r="J1524" s="41">
        <f>+Tabla1[[#This Row],[FECHA ENTRADA]]</f>
        <v>45807</v>
      </c>
      <c r="K1524" s="22">
        <v>45821</v>
      </c>
      <c r="L1524" s="42">
        <f>_xlfn.DAYS(Tabla1[[#This Row],[FECHA FIN ]],Tabla1[[#This Row],[FECHA INICIO]])</f>
        <v>14</v>
      </c>
      <c r="M1524" s="12"/>
      <c r="N1524" s="12">
        <v>212.5</v>
      </c>
      <c r="O1524" s="28">
        <f>(Tabla1[[#This Row],[COSTO FIJO ]]/30)*Tabla1[[#This Row],[TOTAL DIAS PROYECTO]]+(Tabla1[[#This Row],[COSTO TEMPORAL]])</f>
        <v>99.166666666666657</v>
      </c>
      <c r="P1524" s="12"/>
      <c r="Q1524" s="12">
        <f>+(Tabla1[[#This Row],[COSTO COCHE]]/30)*Tabla1[[#This Row],[TOTAL DIAS PROYECTO]]</f>
        <v>0</v>
      </c>
      <c r="R1524" s="12">
        <f>+Tabla1[[#This Row],[COSTO TOTAL ALOJAMIENTO]]+Tabla1[[#This Row],[COSTO TOTAL COCHE]]</f>
        <v>99.166666666666657</v>
      </c>
      <c r="S1524" s="2"/>
      <c r="T1524" s="14" t="s">
        <v>35</v>
      </c>
      <c r="U1524" s="14">
        <v>45807</v>
      </c>
      <c r="V1524" s="75"/>
      <c r="W1524" s="2"/>
      <c r="X1524" s="16">
        <v>1</v>
      </c>
      <c r="Y1524" s="11"/>
      <c r="Z1524" s="2" t="s">
        <v>36</v>
      </c>
      <c r="AA1524" s="13" t="s">
        <v>10323</v>
      </c>
      <c r="AB1524" s="13" t="s">
        <v>10324</v>
      </c>
    </row>
    <row r="1525" spans="1:28" ht="15" customHeight="1">
      <c r="A1525" s="2" t="s">
        <v>8874</v>
      </c>
      <c r="B1525" s="184" t="s">
        <v>606</v>
      </c>
      <c r="C1525" s="31" t="s">
        <v>1121</v>
      </c>
      <c r="D1525" s="2" t="s">
        <v>99</v>
      </c>
      <c r="E1525" s="2" t="s">
        <v>109</v>
      </c>
      <c r="F1525" s="11" t="s">
        <v>3066</v>
      </c>
      <c r="G1525" s="100" t="s">
        <v>3067</v>
      </c>
      <c r="H1525" s="2" t="s">
        <v>3041</v>
      </c>
      <c r="I1525" s="12" t="s">
        <v>42</v>
      </c>
      <c r="J1525" s="41">
        <f>+Tabla1[[#This Row],[FECHA ENTRADA]]</f>
        <v>45737</v>
      </c>
      <c r="K1525" s="41">
        <v>46096</v>
      </c>
      <c r="L1525" s="42">
        <f>_xlfn.DAYS(Tabla1[[#This Row],[FECHA FIN ]],Tabla1[[#This Row],[FECHA INICIO]])</f>
        <v>359</v>
      </c>
      <c r="M1525" s="12"/>
      <c r="N1525" s="12">
        <v>240</v>
      </c>
      <c r="O1525" s="24">
        <f>(Tabla1[[#This Row],[COSTO FIJO ]]/30)*Tabla1[[#This Row],[TOTAL DIAS PROYECTO]]+(Tabla1[[#This Row],[COSTO TEMPORAL]])</f>
        <v>2872</v>
      </c>
      <c r="P1525" s="12">
        <v>100</v>
      </c>
      <c r="Q1525" s="12">
        <f>+(Tabla1[[#This Row],[COSTO COCHE]]/30)*Tabla1[[#This Row],[TOTAL DIAS PROYECTO]]</f>
        <v>1196.6666666666667</v>
      </c>
      <c r="R1525" s="12">
        <f>+Tabla1[[#This Row],[COSTO TOTAL ALOJAMIENTO]]+Tabla1[[#This Row],[COSTO TOTAL COCHE]]</f>
        <v>4068.666666666667</v>
      </c>
      <c r="S1525" s="2"/>
      <c r="T1525" s="2" t="s">
        <v>35</v>
      </c>
      <c r="U1525" s="14">
        <v>45737</v>
      </c>
      <c r="V1525" s="43"/>
      <c r="W1525" s="26">
        <v>2400</v>
      </c>
      <c r="X1525" s="2">
        <v>4</v>
      </c>
      <c r="Y1525" s="11" t="s">
        <v>3072</v>
      </c>
      <c r="Z1525" s="2" t="s">
        <v>36</v>
      </c>
      <c r="AA1525" s="13">
        <v>0.62217999999999996</v>
      </c>
      <c r="AB1525" s="13" t="s">
        <v>10339</v>
      </c>
    </row>
    <row r="1526" spans="1:28" ht="15" customHeight="1">
      <c r="A1526" s="2" t="s">
        <v>8761</v>
      </c>
      <c r="B1526" s="2" t="s">
        <v>368</v>
      </c>
      <c r="C1526" s="11" t="s">
        <v>633</v>
      </c>
      <c r="D1526" s="2" t="s">
        <v>99</v>
      </c>
      <c r="E1526" s="2" t="s">
        <v>538</v>
      </c>
      <c r="F1526" s="11" t="s">
        <v>539</v>
      </c>
      <c r="G1526" s="11" t="s">
        <v>540</v>
      </c>
      <c r="H1526" s="2" t="s">
        <v>2954</v>
      </c>
      <c r="I1526" s="12" t="s">
        <v>1392</v>
      </c>
      <c r="J1526" s="22">
        <f>+Tabla1[[#This Row],[FECHA ENTRADA]]</f>
        <v>45718</v>
      </c>
      <c r="K1526" s="22">
        <v>45763</v>
      </c>
      <c r="L1526" s="23">
        <f>_xlfn.DAYS(Tabla1[[#This Row],[FECHA FIN ]],Tabla1[[#This Row],[FECHA INICIO]])</f>
        <v>45</v>
      </c>
      <c r="M1526" s="12"/>
      <c r="N1526" s="20">
        <f>(810+33.28)/4</f>
        <v>210.82</v>
      </c>
      <c r="O1526" s="24">
        <f>(Tabla1[[#This Row],[COSTO FIJO ]]/30)*Tabla1[[#This Row],[TOTAL DIAS PROYECTO]]+(Tabla1[[#This Row],[COSTO TEMPORAL]])</f>
        <v>316.22999999999996</v>
      </c>
      <c r="P1526" s="12"/>
      <c r="Q1526" s="12">
        <f>+(Tabla1[[#This Row],[COSTO COCHE]]/30)*Tabla1[[#This Row],[TOTAL DIAS PROYECTO]]</f>
        <v>0</v>
      </c>
      <c r="R1526" s="12">
        <f>+Tabla1[[#This Row],[COSTO TOTAL ALOJAMIENTO]]+Tabla1[[#This Row],[COSTO TOTAL COCHE]]</f>
        <v>316.22999999999996</v>
      </c>
      <c r="S1526" s="2"/>
      <c r="T1526" s="2" t="s">
        <v>613</v>
      </c>
      <c r="U1526" s="14">
        <v>45718</v>
      </c>
      <c r="V1526" s="79"/>
      <c r="W1526" s="26"/>
      <c r="X1526" s="2">
        <v>1</v>
      </c>
      <c r="Y1526" t="s">
        <v>2955</v>
      </c>
      <c r="Z1526" s="2" t="s">
        <v>36</v>
      </c>
      <c r="AA1526" s="13">
        <v>-378939</v>
      </c>
      <c r="AB1526" s="13">
        <v>3776578</v>
      </c>
    </row>
    <row r="1527" spans="1:28">
      <c r="A1527" s="2" t="s">
        <v>9404</v>
      </c>
      <c r="B1527" s="2" t="s">
        <v>368</v>
      </c>
      <c r="C1527" s="18" t="s">
        <v>3073</v>
      </c>
      <c r="D1527" s="2" t="s">
        <v>30</v>
      </c>
      <c r="E1527" s="2" t="s">
        <v>380</v>
      </c>
      <c r="F1527" s="11" t="s">
        <v>623</v>
      </c>
      <c r="G1527" s="11" t="s">
        <v>622</v>
      </c>
      <c r="H1527" s="2" t="s">
        <v>3059</v>
      </c>
      <c r="I1527" s="47" t="s">
        <v>2993</v>
      </c>
      <c r="J1527" s="8">
        <f>+Tabla1[[#This Row],[FECHA ENTRADA]]</f>
        <v>45510</v>
      </c>
      <c r="K1527" s="22">
        <v>45821</v>
      </c>
      <c r="L1527" s="13">
        <f>_xlfn.DAYS(Tabla1[[#This Row],[FECHA FIN ]],Tabla1[[#This Row],[FECHA INICIO]])</f>
        <v>311</v>
      </c>
      <c r="M1527" s="12"/>
      <c r="N1527" s="12">
        <v>240</v>
      </c>
      <c r="O1527" s="12">
        <f>(Tabla1[[#This Row],[COSTO FIJO ]]/30)*Tabla1[[#This Row],[TOTAL DIAS PROYECTO]]+(Tabla1[[#This Row],[COSTO TEMPORAL]])</f>
        <v>2488</v>
      </c>
      <c r="P1527" s="12">
        <f>+(749.45*50%)/2</f>
        <v>187.36250000000001</v>
      </c>
      <c r="Q1527" s="12">
        <f>+(Tabla1[[#This Row],[COSTO COCHE]]/30)*Tabla1[[#This Row],[TOTAL DIAS PROYECTO]]</f>
        <v>1942.3245833333335</v>
      </c>
      <c r="R1527" s="12">
        <f>+Tabla1[[#This Row],[COSTO TOTAL ALOJAMIENTO]]+Tabla1[[#This Row],[COSTO TOTAL COCHE]]</f>
        <v>4430.3245833333331</v>
      </c>
      <c r="S1527" s="2"/>
      <c r="T1527" s="2" t="s">
        <v>35</v>
      </c>
      <c r="U1527" s="14">
        <v>45510</v>
      </c>
      <c r="V1527" s="14"/>
      <c r="W1527" s="26"/>
      <c r="X1527" s="2">
        <v>5</v>
      </c>
      <c r="Y1527" s="11" t="s">
        <v>3060</v>
      </c>
      <c r="Z1527" s="2" t="s">
        <v>36</v>
      </c>
      <c r="AA1527" s="13" t="s">
        <v>10370</v>
      </c>
      <c r="AB1527" s="13" t="s">
        <v>10371</v>
      </c>
    </row>
    <row r="1528" spans="1:28" ht="15" customHeight="1">
      <c r="A1528" s="2" t="s">
        <v>9405</v>
      </c>
      <c r="B1528" s="2" t="s">
        <v>368</v>
      </c>
      <c r="C1528" s="31" t="s">
        <v>3074</v>
      </c>
      <c r="D1528" s="2" t="s">
        <v>99</v>
      </c>
      <c r="E1528" s="2" t="s">
        <v>31</v>
      </c>
      <c r="F1528" s="11" t="s">
        <v>530</v>
      </c>
      <c r="G1528" s="49" t="s">
        <v>531</v>
      </c>
      <c r="H1528" s="2" t="s">
        <v>2241</v>
      </c>
      <c r="I1528" s="10" t="s">
        <v>412</v>
      </c>
      <c r="J1528" s="22">
        <f>+Tabla1[[#This Row],[FECHA ENTRADA]]</f>
        <v>45740</v>
      </c>
      <c r="K1528" s="22">
        <v>45821</v>
      </c>
      <c r="L1528" s="23">
        <f>_xlfn.DAYS(Tabla1[[#This Row],[FECHA FIN ]],Tabla1[[#This Row],[FECHA INICIO]])</f>
        <v>81</v>
      </c>
      <c r="M1528" s="12"/>
      <c r="N1528" s="12">
        <v>187.5</v>
      </c>
      <c r="O1528" s="24">
        <f>(Tabla1[[#This Row],[COSTO FIJO ]]/30)*Tabla1[[#This Row],[TOTAL DIAS PROYECTO]]+(Tabla1[[#This Row],[COSTO TEMPORAL]])</f>
        <v>506.25</v>
      </c>
      <c r="P1528" s="12"/>
      <c r="Q1528" s="12">
        <f>+(Tabla1[[#This Row],[COSTO COCHE]]/30)*Tabla1[[#This Row],[TOTAL DIAS PROYECTO]]</f>
        <v>0</v>
      </c>
      <c r="R1528" s="12">
        <f>+Tabla1[[#This Row],[COSTO TOTAL ALOJAMIENTO]]+Tabla1[[#This Row],[COSTO TOTAL COCHE]]</f>
        <v>506.25</v>
      </c>
      <c r="S1528" s="2"/>
      <c r="T1528" s="2" t="s">
        <v>35</v>
      </c>
      <c r="U1528" s="14">
        <v>45740</v>
      </c>
      <c r="V1528" s="79"/>
      <c r="W1528" s="26"/>
      <c r="X1528" s="2">
        <v>1</v>
      </c>
      <c r="Y1528" t="s">
        <v>2242</v>
      </c>
      <c r="Z1528" s="2" t="s">
        <v>36</v>
      </c>
      <c r="AA1528" s="13" t="s">
        <v>10323</v>
      </c>
      <c r="AB1528" s="13" t="s">
        <v>10324</v>
      </c>
    </row>
    <row r="1529" spans="1:28" ht="15" customHeight="1">
      <c r="A1529" s="2" t="s">
        <v>9406</v>
      </c>
      <c r="B1529" s="2" t="s">
        <v>28</v>
      </c>
      <c r="C1529" s="31" t="s">
        <v>3075</v>
      </c>
      <c r="D1529" s="2" t="s">
        <v>99</v>
      </c>
      <c r="E1529" s="2" t="s">
        <v>415</v>
      </c>
      <c r="F1529" s="11" t="s">
        <v>487</v>
      </c>
      <c r="G1529" s="100" t="s">
        <v>2795</v>
      </c>
      <c r="H1529" s="2" t="s">
        <v>2796</v>
      </c>
      <c r="I1529" s="12" t="s">
        <v>2321</v>
      </c>
      <c r="J1529" s="41">
        <f>+Tabla1[[#This Row],[FECHA ENTRADA]]</f>
        <v>45720</v>
      </c>
      <c r="K1529" s="22">
        <v>45762</v>
      </c>
      <c r="L1529" s="42">
        <f>_xlfn.DAYS(Tabla1[[#This Row],[FECHA FIN ]],Tabla1[[#This Row],[FECHA INICIO]])</f>
        <v>42</v>
      </c>
      <c r="M1529" s="12"/>
      <c r="N1529" s="20">
        <v>400</v>
      </c>
      <c r="O1529" s="28">
        <f>(Tabla1[[#This Row],[COSTO FIJO ]]/30)*Tabla1[[#This Row],[TOTAL DIAS PROYECTO]]+(Tabla1[[#This Row],[COSTO TEMPORAL]])</f>
        <v>560</v>
      </c>
      <c r="P1529" s="12">
        <v>100</v>
      </c>
      <c r="Q1529" s="12">
        <f>+(Tabla1[[#This Row],[COSTO COCHE]]/30)*Tabla1[[#This Row],[TOTAL DIAS PROYECTO]]</f>
        <v>140</v>
      </c>
      <c r="R1529" s="12">
        <f>+Tabla1[[#This Row],[COSTO TOTAL ALOJAMIENTO]]+Tabla1[[#This Row],[COSTO TOTAL COCHE]]</f>
        <v>700</v>
      </c>
      <c r="S1529" s="2"/>
      <c r="T1529" s="2" t="s">
        <v>35</v>
      </c>
      <c r="U1529" s="14">
        <v>45720</v>
      </c>
      <c r="V1529" s="43"/>
      <c r="W1529" s="26">
        <v>500</v>
      </c>
      <c r="X1529" s="2">
        <v>1</v>
      </c>
      <c r="Y1529" s="11"/>
      <c r="Z1529" s="2" t="s">
        <v>36</v>
      </c>
      <c r="AA1529" s="13">
        <v>-0.37739</v>
      </c>
      <c r="AB1529" s="13" t="s">
        <v>10372</v>
      </c>
    </row>
    <row r="1530" spans="1:28" ht="15" customHeight="1">
      <c r="A1530" s="2" t="s">
        <v>9407</v>
      </c>
      <c r="B1530" s="2" t="s">
        <v>368</v>
      </c>
      <c r="C1530" s="11" t="s">
        <v>3076</v>
      </c>
      <c r="D1530" s="2" t="s">
        <v>30</v>
      </c>
      <c r="E1530" s="2" t="s">
        <v>31</v>
      </c>
      <c r="F1530" s="11" t="s">
        <v>1004</v>
      </c>
      <c r="G1530" s="51" t="s">
        <v>1005</v>
      </c>
      <c r="H1530" s="2" t="s">
        <v>3053</v>
      </c>
      <c r="I1530" s="12" t="s">
        <v>3054</v>
      </c>
      <c r="J1530" s="22">
        <f>+Tabla1[[#This Row],[FECHA ENTRADA]]</f>
        <v>45697</v>
      </c>
      <c r="K1530" s="22">
        <v>45821</v>
      </c>
      <c r="L1530" s="23">
        <f>_xlfn.DAYS(Tabla1[[#This Row],[FECHA FIN ]],Tabla1[[#This Row],[FECHA INICIO]])</f>
        <v>124</v>
      </c>
      <c r="M1530" s="12"/>
      <c r="N1530" s="20">
        <f>1600/5</f>
        <v>320</v>
      </c>
      <c r="O1530" s="24">
        <f>(Tabla1[[#This Row],[COSTO FIJO ]]/30)*Tabla1[[#This Row],[TOTAL DIAS PROYECTO]]+(Tabla1[[#This Row],[COSTO TEMPORAL]])</f>
        <v>1322.6666666666665</v>
      </c>
      <c r="P1530" s="12">
        <f>400/3</f>
        <v>133.33333333333334</v>
      </c>
      <c r="Q1530" s="12">
        <f>+(Tabla1[[#This Row],[COSTO COCHE]]/30)*Tabla1[[#This Row],[TOTAL DIAS PROYECTO]]</f>
        <v>551.11111111111109</v>
      </c>
      <c r="R1530" s="12">
        <f>+Tabla1[[#This Row],[COSTO TOTAL ALOJAMIENTO]]+Tabla1[[#This Row],[COSTO TOTAL COCHE]]</f>
        <v>1873.7777777777776</v>
      </c>
      <c r="S1530" s="2"/>
      <c r="T1530" s="2" t="s">
        <v>35</v>
      </c>
      <c r="U1530" s="14">
        <v>45697</v>
      </c>
      <c r="V1530" s="79"/>
      <c r="W1530" s="26"/>
      <c r="X1530" s="2">
        <v>1</v>
      </c>
      <c r="Y1530" s="11" t="s">
        <v>1120</v>
      </c>
      <c r="Z1530" s="2" t="s">
        <v>36</v>
      </c>
      <c r="AA1530" s="13" t="s">
        <v>10323</v>
      </c>
      <c r="AB1530" s="13" t="s">
        <v>10324</v>
      </c>
    </row>
    <row r="1531" spans="1:28" ht="15" customHeight="1">
      <c r="A1531" s="2" t="s">
        <v>8879</v>
      </c>
      <c r="B1531" s="2" t="s">
        <v>368</v>
      </c>
      <c r="C1531" s="11" t="s">
        <v>1145</v>
      </c>
      <c r="D1531" s="2" t="s">
        <v>1398</v>
      </c>
      <c r="E1531" s="2" t="s">
        <v>288</v>
      </c>
      <c r="F1531" s="11" t="s">
        <v>1399</v>
      </c>
      <c r="G1531" s="46" t="s">
        <v>1400</v>
      </c>
      <c r="H1531" s="2" t="s">
        <v>1401</v>
      </c>
      <c r="I1531" s="29" t="s">
        <v>1402</v>
      </c>
      <c r="J1531" s="41">
        <f>+Tabla1[[#This Row],[FECHA ENTRADA]]</f>
        <v>45670</v>
      </c>
      <c r="K1531" s="22">
        <v>45821</v>
      </c>
      <c r="L1531" s="42">
        <f>_xlfn.DAYS(Tabla1[[#This Row],[FECHA FIN ]],Tabla1[[#This Row],[FECHA INICIO]])</f>
        <v>151</v>
      </c>
      <c r="M1531" s="12"/>
      <c r="N1531" s="12"/>
      <c r="O1531" s="28">
        <f>(Tabla1[[#This Row],[COSTO FIJO ]]/30)*Tabla1[[#This Row],[TOTAL DIAS PROYECTO]]+(Tabla1[[#This Row],[COSTO TEMPORAL]])</f>
        <v>0</v>
      </c>
      <c r="P1531" s="12"/>
      <c r="Q1531" s="12">
        <f>+(Tabla1[[#This Row],[COSTO COCHE]]/30)*Tabla1[[#This Row],[TOTAL DIAS PROYECTO]]</f>
        <v>0</v>
      </c>
      <c r="R1531" s="12">
        <f>+Tabla1[[#This Row],[COSTO TOTAL ALOJAMIENTO]]+Tabla1[[#This Row],[COSTO TOTAL COCHE]]</f>
        <v>0</v>
      </c>
      <c r="S1531" s="2" t="s">
        <v>84</v>
      </c>
      <c r="T1531" s="2" t="s">
        <v>44</v>
      </c>
      <c r="U1531" s="14">
        <v>45670</v>
      </c>
      <c r="V1531" s="43">
        <v>45679</v>
      </c>
      <c r="W1531" s="26"/>
      <c r="X1531" s="2"/>
      <c r="Y1531" s="11"/>
      <c r="Z1531" s="2" t="s">
        <v>36</v>
      </c>
      <c r="AA1531" s="13" t="s">
        <v>10362</v>
      </c>
      <c r="AB1531" s="13" t="s">
        <v>10363</v>
      </c>
    </row>
    <row r="1532" spans="1:28">
      <c r="A1532" s="2" t="s">
        <v>8642</v>
      </c>
      <c r="B1532" s="2" t="s">
        <v>28</v>
      </c>
      <c r="C1532" s="11" t="s">
        <v>3077</v>
      </c>
      <c r="D1532" s="2" t="s">
        <v>30</v>
      </c>
      <c r="E1532" s="2" t="s">
        <v>855</v>
      </c>
      <c r="F1532" s="11" t="s">
        <v>856</v>
      </c>
      <c r="G1532" s="21" t="s">
        <v>857</v>
      </c>
      <c r="H1532" s="2" t="s">
        <v>1475</v>
      </c>
      <c r="I1532" s="12" t="s">
        <v>1201</v>
      </c>
      <c r="J1532" s="41">
        <f>+Tabla1[[#This Row],[FECHA ENTRADA]]</f>
        <v>45689</v>
      </c>
      <c r="K1532" s="22">
        <v>45821</v>
      </c>
      <c r="L1532" s="42">
        <f>_xlfn.DAYS(Tabla1[[#This Row],[FECHA FIN ]],Tabla1[[#This Row],[FECHA INICIO]])</f>
        <v>132</v>
      </c>
      <c r="M1532" s="12"/>
      <c r="N1532" s="12"/>
      <c r="O1532" s="28">
        <f>(Tabla1[[#This Row],[COSTO FIJO ]]/30)*Tabla1[[#This Row],[TOTAL DIAS PROYECTO]]+(Tabla1[[#This Row],[COSTO TEMPORAL]])</f>
        <v>0</v>
      </c>
      <c r="P1532" s="12">
        <f>654.76/4</f>
        <v>163.69</v>
      </c>
      <c r="Q1532" s="12">
        <f>+(Tabla1[[#This Row],[COSTO COCHE]]/30)*Tabla1[[#This Row],[TOTAL DIAS PROYECTO]]</f>
        <v>720.23599999999999</v>
      </c>
      <c r="R1532" s="12">
        <f>+Tabla1[[#This Row],[COSTO TOTAL ALOJAMIENTO]]+Tabla1[[#This Row],[COSTO TOTAL COCHE]]</f>
        <v>720.23599999999999</v>
      </c>
      <c r="S1532" s="2"/>
      <c r="T1532" s="2" t="s">
        <v>35</v>
      </c>
      <c r="U1532" s="14">
        <v>45689</v>
      </c>
      <c r="V1532" s="43"/>
      <c r="W1532" s="26"/>
      <c r="X1532" s="2">
        <v>1</v>
      </c>
      <c r="Y1532" t="s">
        <v>3078</v>
      </c>
      <c r="Z1532" s="2" t="s">
        <v>36</v>
      </c>
      <c r="AA1532" s="13" t="s">
        <v>10401</v>
      </c>
      <c r="AB1532" s="13" t="s">
        <v>10402</v>
      </c>
    </row>
    <row r="1533" spans="1:28">
      <c r="A1533" s="2" t="s">
        <v>8848</v>
      </c>
      <c r="B1533" s="2" t="s">
        <v>28</v>
      </c>
      <c r="C1533" s="86" t="s">
        <v>1003</v>
      </c>
      <c r="D1533" s="2" t="s">
        <v>30</v>
      </c>
      <c r="E1533" s="2" t="s">
        <v>502</v>
      </c>
      <c r="F1533" s="11" t="s">
        <v>503</v>
      </c>
      <c r="G1533" s="11" t="s">
        <v>504</v>
      </c>
      <c r="H1533" s="2" t="s">
        <v>3034</v>
      </c>
      <c r="I1533" s="12" t="s">
        <v>506</v>
      </c>
      <c r="J1533" s="22">
        <f>+Tabla1[[#This Row],[FECHA ENTRADA]]</f>
        <v>45620</v>
      </c>
      <c r="K1533" s="8">
        <v>45732</v>
      </c>
      <c r="L1533" s="23">
        <f>_xlfn.DAYS(Tabla1[[#This Row],[FECHA FIN ]],Tabla1[[#This Row],[FECHA INICIO]])</f>
        <v>112</v>
      </c>
      <c r="M1533" s="12"/>
      <c r="N1533" s="12">
        <v>400</v>
      </c>
      <c r="O1533" s="24">
        <f>(Tabla1[[#This Row],[COSTO FIJO ]]/30)*Tabla1[[#This Row],[TOTAL DIAS PROYECTO]]+(Tabla1[[#This Row],[COSTO TEMPORAL]])</f>
        <v>1493.3333333333335</v>
      </c>
      <c r="P1533" s="12">
        <f>1156.52/8</f>
        <v>144.565</v>
      </c>
      <c r="Q1533" s="12">
        <f>+(Tabla1[[#This Row],[COSTO COCHE]]/30)*Tabla1[[#This Row],[TOTAL DIAS PROYECTO]]</f>
        <v>539.70933333333335</v>
      </c>
      <c r="R1533" s="12">
        <f>+Tabla1[[#This Row],[COSTO TOTAL ALOJAMIENTO]]+Tabla1[[#This Row],[COSTO TOTAL COCHE]]</f>
        <v>2033.0426666666667</v>
      </c>
      <c r="S1533" s="2"/>
      <c r="T1533" s="2" t="s">
        <v>35</v>
      </c>
      <c r="U1533" s="14">
        <v>45620</v>
      </c>
      <c r="V1533" s="25">
        <v>45745</v>
      </c>
      <c r="W1533" s="26"/>
      <c r="X1533" s="2">
        <v>1</v>
      </c>
      <c r="Y1533" s="11"/>
      <c r="Z1533" s="2" t="s">
        <v>36</v>
      </c>
      <c r="AA1533" s="13" t="s">
        <v>10378</v>
      </c>
      <c r="AB1533" s="13" t="s">
        <v>10379</v>
      </c>
    </row>
    <row r="1534" spans="1:28" ht="15" customHeight="1">
      <c r="A1534" s="2" t="s">
        <v>8895</v>
      </c>
      <c r="B1534" s="2" t="s">
        <v>368</v>
      </c>
      <c r="C1534" s="11" t="s">
        <v>1189</v>
      </c>
      <c r="D1534" s="2" t="s">
        <v>99</v>
      </c>
      <c r="E1534" s="2" t="s">
        <v>538</v>
      </c>
      <c r="F1534" s="11" t="s">
        <v>539</v>
      </c>
      <c r="G1534" s="11" t="s">
        <v>540</v>
      </c>
      <c r="H1534" s="2" t="s">
        <v>2954</v>
      </c>
      <c r="I1534" s="12" t="s">
        <v>1392</v>
      </c>
      <c r="J1534" s="22">
        <f>+Tabla1[[#This Row],[FECHA ENTRADA]]</f>
        <v>45718</v>
      </c>
      <c r="K1534" s="22">
        <v>45763</v>
      </c>
      <c r="L1534" s="23">
        <f>_xlfn.DAYS(Tabla1[[#This Row],[FECHA FIN ]],Tabla1[[#This Row],[FECHA INICIO]])</f>
        <v>45</v>
      </c>
      <c r="M1534" s="12"/>
      <c r="N1534" s="20">
        <f>(810+33.28)/4</f>
        <v>210.82</v>
      </c>
      <c r="O1534" s="24">
        <f>(Tabla1[[#This Row],[COSTO FIJO ]]/30)*Tabla1[[#This Row],[TOTAL DIAS PROYECTO]]+(Tabla1[[#This Row],[COSTO TEMPORAL]])</f>
        <v>316.22999999999996</v>
      </c>
      <c r="P1534" s="12"/>
      <c r="Q1534" s="12">
        <f>+(Tabla1[[#This Row],[COSTO COCHE]]/30)*Tabla1[[#This Row],[TOTAL DIAS PROYECTO]]</f>
        <v>0</v>
      </c>
      <c r="R1534" s="12">
        <f>+Tabla1[[#This Row],[COSTO TOTAL ALOJAMIENTO]]+Tabla1[[#This Row],[COSTO TOTAL COCHE]]</f>
        <v>316.22999999999996</v>
      </c>
      <c r="S1534" s="2"/>
      <c r="T1534" s="2" t="s">
        <v>613</v>
      </c>
      <c r="U1534" s="14">
        <v>45718</v>
      </c>
      <c r="V1534" s="79"/>
      <c r="W1534" s="26">
        <v>900</v>
      </c>
      <c r="X1534" s="2">
        <v>1</v>
      </c>
      <c r="Y1534" t="s">
        <v>2955</v>
      </c>
      <c r="Z1534" s="2" t="s">
        <v>36</v>
      </c>
      <c r="AA1534" s="13">
        <v>-378939</v>
      </c>
      <c r="AB1534" s="13">
        <v>3776578</v>
      </c>
    </row>
    <row r="1535" spans="1:28" ht="15" customHeight="1">
      <c r="A1535" s="2" t="s">
        <v>9268</v>
      </c>
      <c r="B1535" s="2" t="s">
        <v>368</v>
      </c>
      <c r="C1535" s="31" t="s">
        <v>2657</v>
      </c>
      <c r="D1535" s="2" t="s">
        <v>30</v>
      </c>
      <c r="E1535" s="2" t="s">
        <v>109</v>
      </c>
      <c r="F1535" s="11" t="s">
        <v>898</v>
      </c>
      <c r="G1535" s="21" t="s">
        <v>899</v>
      </c>
      <c r="H1535" s="2" t="s">
        <v>3079</v>
      </c>
      <c r="I1535" s="12" t="s">
        <v>42</v>
      </c>
      <c r="J1535" s="22">
        <f>+Tabla1[[#This Row],[FECHA ENTRADA]]</f>
        <v>45760</v>
      </c>
      <c r="K1535" s="22">
        <v>45821</v>
      </c>
      <c r="L1535" s="42">
        <f>_xlfn.DAYS(Tabla1[[#This Row],[FECHA FIN ]],Tabla1[[#This Row],[FECHA INICIO]])</f>
        <v>61</v>
      </c>
      <c r="M1535" s="12"/>
      <c r="N1535" s="12"/>
      <c r="O1535" s="28">
        <f>(Tabla1[[#This Row],[COSTO FIJO ]]/30)*Tabla1[[#This Row],[TOTAL DIAS PROYECTO]]+(Tabla1[[#This Row],[COSTO TEMPORAL]])</f>
        <v>0</v>
      </c>
      <c r="P1535" s="12">
        <v>66.666666666666671</v>
      </c>
      <c r="Q1535" s="12">
        <f>+(Tabla1[[#This Row],[COSTO COCHE]]/30)*Tabla1[[#This Row],[TOTAL DIAS PROYECTO]]</f>
        <v>135.55555555555557</v>
      </c>
      <c r="R1535" s="12">
        <f>+Tabla1[[#This Row],[COSTO TOTAL ALOJAMIENTO]]+Tabla1[[#This Row],[COSTO TOTAL COCHE]]</f>
        <v>135.55555555555557</v>
      </c>
      <c r="S1535" s="2"/>
      <c r="T1535" s="2" t="s">
        <v>35</v>
      </c>
      <c r="U1535" s="14">
        <v>45760</v>
      </c>
      <c r="V1535" s="43"/>
      <c r="W1535" s="26"/>
      <c r="X1535" s="2">
        <v>1</v>
      </c>
      <c r="Y1535" s="11"/>
      <c r="Z1535" s="2" t="s">
        <v>36</v>
      </c>
      <c r="AA1535" s="13">
        <v>0.62217999999999996</v>
      </c>
      <c r="AB1535" s="13" t="s">
        <v>10339</v>
      </c>
    </row>
    <row r="1536" spans="1:28" ht="15" customHeight="1">
      <c r="A1536" s="2" t="s">
        <v>9408</v>
      </c>
      <c r="B1536" s="2" t="s">
        <v>28</v>
      </c>
      <c r="C1536" s="11" t="s">
        <v>3080</v>
      </c>
      <c r="D1536" s="2" t="s">
        <v>30</v>
      </c>
      <c r="E1536" s="2" t="s">
        <v>92</v>
      </c>
      <c r="F1536" s="11" t="s">
        <v>3081</v>
      </c>
      <c r="G1536" s="11" t="s">
        <v>94</v>
      </c>
      <c r="H1536" s="2" t="s">
        <v>3082</v>
      </c>
      <c r="I1536" s="12" t="s">
        <v>96</v>
      </c>
      <c r="J1536" s="8">
        <f>+Tabla1[[#This Row],[FECHA ENTRADA]]</f>
        <v>45349</v>
      </c>
      <c r="K1536" s="8">
        <v>45548</v>
      </c>
      <c r="L1536" s="13">
        <f>_xlfn.DAYS(Tabla1[[#This Row],[FECHA FIN ]],Tabla1[[#This Row],[FECHA INICIO]])</f>
        <v>199</v>
      </c>
      <c r="M1536" s="12"/>
      <c r="N1536" s="12"/>
      <c r="O1536" s="12">
        <f>(Tabla1[[#This Row],[COSTO FIJO ]]/30)*Tabla1[[#This Row],[TOTAL DIAS PROYECTO]]+(Tabla1[[#This Row],[COSTO TEMPORAL]])</f>
        <v>0</v>
      </c>
      <c r="P1536" s="12"/>
      <c r="Q1536" s="12">
        <f>+(Tabla1[[#This Row],[COSTO COCHE]]/30)*Tabla1[[#This Row],[TOTAL DIAS PROYECTO]]</f>
        <v>0</v>
      </c>
      <c r="R1536" s="12">
        <f>+Tabla1[[#This Row],[COSTO TOTAL ALOJAMIENTO]]+Tabla1[[#This Row],[COSTO TOTAL COCHE]]</f>
        <v>0</v>
      </c>
      <c r="S1536" s="2"/>
      <c r="T1536" s="2" t="s">
        <v>35</v>
      </c>
      <c r="U1536" s="14">
        <v>45349</v>
      </c>
      <c r="V1536" s="14"/>
      <c r="W1536" s="15"/>
      <c r="X1536" s="16">
        <v>27</v>
      </c>
      <c r="Y1536" s="31" t="s">
        <v>685</v>
      </c>
      <c r="Z1536" s="2" t="s">
        <v>36</v>
      </c>
      <c r="AA1536" s="13" t="s">
        <v>10336</v>
      </c>
      <c r="AB1536" s="13" t="s">
        <v>10337</v>
      </c>
    </row>
    <row r="1537" spans="1:28" ht="15" customHeight="1">
      <c r="A1537" s="2" t="s">
        <v>9409</v>
      </c>
      <c r="B1537" s="2" t="s">
        <v>28</v>
      </c>
      <c r="C1537" s="18" t="s">
        <v>3083</v>
      </c>
      <c r="D1537" s="2" t="s">
        <v>30</v>
      </c>
      <c r="E1537" s="2" t="s">
        <v>92</v>
      </c>
      <c r="F1537" s="11" t="s">
        <v>2958</v>
      </c>
      <c r="G1537" s="11" t="s">
        <v>94</v>
      </c>
      <c r="H1537" s="2" t="s">
        <v>3084</v>
      </c>
      <c r="I1537" s="12" t="s">
        <v>96</v>
      </c>
      <c r="J1537" s="8">
        <f>+Tabla1[[#This Row],[FECHA ENTRADA]]</f>
        <v>45333</v>
      </c>
      <c r="K1537" s="8">
        <v>45548</v>
      </c>
      <c r="L1537" s="13">
        <f>_xlfn.DAYS(Tabla1[[#This Row],[FECHA FIN ]],Tabla1[[#This Row],[FECHA INICIO]])</f>
        <v>215</v>
      </c>
      <c r="M1537" s="12"/>
      <c r="N1537" s="12">
        <v>433.33</v>
      </c>
      <c r="O1537" s="12">
        <f>(Tabla1[[#This Row],[COSTO FIJO ]]/30)*Tabla1[[#This Row],[TOTAL DIAS PROYECTO]]+(Tabla1[[#This Row],[COSTO TEMPORAL]])</f>
        <v>3105.5316666666668</v>
      </c>
      <c r="P1537" s="12"/>
      <c r="Q1537" s="12">
        <f>+(Tabla1[[#This Row],[COSTO COCHE]]/30)*Tabla1[[#This Row],[TOTAL DIAS PROYECTO]]</f>
        <v>0</v>
      </c>
      <c r="R1537" s="12">
        <f>+Tabla1[[#This Row],[COSTO TOTAL ALOJAMIENTO]]+Tabla1[[#This Row],[COSTO TOTAL COCHE]]</f>
        <v>3105.5316666666668</v>
      </c>
      <c r="S1537" s="2"/>
      <c r="T1537" s="2" t="s">
        <v>35</v>
      </c>
      <c r="U1537" s="14">
        <v>45333</v>
      </c>
      <c r="V1537" s="14"/>
      <c r="W1537" s="15"/>
      <c r="X1537" s="16">
        <v>11</v>
      </c>
      <c r="Y1537" s="31" t="s">
        <v>685</v>
      </c>
      <c r="Z1537" s="2" t="s">
        <v>36</v>
      </c>
      <c r="AA1537" s="13" t="s">
        <v>10336</v>
      </c>
      <c r="AB1537" s="13" t="s">
        <v>10337</v>
      </c>
    </row>
    <row r="1538" spans="1:28" ht="15" customHeight="1">
      <c r="A1538" s="2" t="s">
        <v>8638</v>
      </c>
      <c r="B1538" s="2" t="s">
        <v>28</v>
      </c>
      <c r="C1538" s="11" t="s">
        <v>2768</v>
      </c>
      <c r="D1538" s="2" t="s">
        <v>30</v>
      </c>
      <c r="E1538" s="2" t="s">
        <v>422</v>
      </c>
      <c r="F1538" s="11" t="s">
        <v>2997</v>
      </c>
      <c r="G1538" s="49">
        <v>699109800</v>
      </c>
      <c r="H1538" s="2" t="s">
        <v>2767</v>
      </c>
      <c r="I1538" s="12" t="s">
        <v>2454</v>
      </c>
      <c r="J1538" s="22">
        <f>+Tabla1[[#This Row],[FECHA ENTRADA]]</f>
        <v>45782</v>
      </c>
      <c r="K1538" s="22">
        <v>45791</v>
      </c>
      <c r="L1538" s="23">
        <f>_xlfn.DAYS(Tabla1[[#This Row],[FECHA FIN ]],Tabla1[[#This Row],[FECHA INICIO]])</f>
        <v>9</v>
      </c>
      <c r="M1538" s="12"/>
      <c r="N1538" s="12">
        <v>180</v>
      </c>
      <c r="O1538" s="24">
        <f>(Tabla1[[#This Row],[COSTO FIJO ]]/30)*Tabla1[[#This Row],[TOTAL DIAS PROYECTO]]+(Tabla1[[#This Row],[COSTO TEMPORAL]])</f>
        <v>54</v>
      </c>
      <c r="P1538" s="12"/>
      <c r="Q1538" s="12">
        <f>+(Tabla1[[#This Row],[COSTO COCHE]]/30)*Tabla1[[#This Row],[TOTAL DIAS PROYECTO]]</f>
        <v>0</v>
      </c>
      <c r="R1538" s="12">
        <f>+Tabla1[[#This Row],[COSTO TOTAL ALOJAMIENTO]]+Tabla1[[#This Row],[COSTO TOTAL COCHE]]</f>
        <v>54</v>
      </c>
      <c r="S1538" s="2"/>
      <c r="T1538" s="14" t="s">
        <v>44</v>
      </c>
      <c r="U1538" s="14">
        <v>45782</v>
      </c>
      <c r="V1538" s="25">
        <v>45791</v>
      </c>
      <c r="W1538" s="2"/>
      <c r="X1538" s="2"/>
      <c r="Y1538" s="11"/>
      <c r="Z1538" s="2" t="s">
        <v>36</v>
      </c>
      <c r="AA1538" s="13">
        <v>-326.69799999999998</v>
      </c>
      <c r="AB1538" s="13" t="s">
        <v>10373</v>
      </c>
    </row>
    <row r="1539" spans="1:28" ht="15" customHeight="1">
      <c r="A1539" s="2" t="s">
        <v>9391</v>
      </c>
      <c r="B1539" s="2" t="s">
        <v>368</v>
      </c>
      <c r="C1539" s="18" t="s">
        <v>3018</v>
      </c>
      <c r="D1539" s="2" t="s">
        <v>30</v>
      </c>
      <c r="E1539" s="2" t="s">
        <v>213</v>
      </c>
      <c r="F1539" s="11" t="s">
        <v>996</v>
      </c>
      <c r="G1539" s="11" t="s">
        <v>997</v>
      </c>
      <c r="H1539" s="2" t="s">
        <v>1122</v>
      </c>
      <c r="I1539" s="12" t="s">
        <v>514</v>
      </c>
      <c r="J1539" s="41">
        <f>+Tabla1[[#This Row],[FECHA ENTRADA]]</f>
        <v>45608</v>
      </c>
      <c r="K1539" s="22">
        <v>45821</v>
      </c>
      <c r="L1539" s="42">
        <f>_xlfn.DAYS(Tabla1[[#This Row],[FECHA FIN ]],Tabla1[[#This Row],[FECHA INICIO]])</f>
        <v>213</v>
      </c>
      <c r="M1539" s="12"/>
      <c r="N1539" s="12">
        <v>341</v>
      </c>
      <c r="O1539" s="28">
        <f>(Tabla1[[#This Row],[COSTO FIJO ]]/30)*Tabla1[[#This Row],[TOTAL DIAS PROYECTO]]+(Tabla1[[#This Row],[COSTO TEMPORAL]])</f>
        <v>2421.1</v>
      </c>
      <c r="P1539" s="12"/>
      <c r="Q1539" s="12">
        <f>+(Tabla1[[#This Row],[COSTO COCHE]]/30)*Tabla1[[#This Row],[TOTAL DIAS PROYECTO]]</f>
        <v>0</v>
      </c>
      <c r="R1539" s="12">
        <f>+Tabla1[[#This Row],[COSTO TOTAL ALOJAMIENTO]]+Tabla1[[#This Row],[COSTO TOTAL COCHE]]</f>
        <v>2421.1</v>
      </c>
      <c r="S1539" s="2"/>
      <c r="T1539" s="2" t="s">
        <v>35</v>
      </c>
      <c r="U1539" s="14">
        <v>45608</v>
      </c>
      <c r="V1539" s="43"/>
      <c r="W1539" s="26"/>
      <c r="X1539" s="2">
        <v>1</v>
      </c>
      <c r="Y1539" s="67" t="s">
        <v>2800</v>
      </c>
      <c r="Z1539" s="2" t="s">
        <v>36</v>
      </c>
      <c r="AA1539" s="13" t="s">
        <v>10349</v>
      </c>
      <c r="AB1539" s="13" t="s">
        <v>10350</v>
      </c>
    </row>
    <row r="1540" spans="1:28" ht="15" customHeight="1">
      <c r="A1540" s="2" t="s">
        <v>8891</v>
      </c>
      <c r="B1540" s="2" t="s">
        <v>368</v>
      </c>
      <c r="C1540" s="11" t="s">
        <v>1173</v>
      </c>
      <c r="D1540" s="2" t="s">
        <v>30</v>
      </c>
      <c r="E1540" s="2" t="s">
        <v>380</v>
      </c>
      <c r="F1540" s="11" t="s">
        <v>1579</v>
      </c>
      <c r="G1540" s="11" t="s">
        <v>1580</v>
      </c>
      <c r="H1540" s="2" t="s">
        <v>3085</v>
      </c>
      <c r="I1540" s="12" t="s">
        <v>3086</v>
      </c>
      <c r="J1540" s="41">
        <f>+Tabla1[[#This Row],[FECHA ENTRADA]]</f>
        <v>45587</v>
      </c>
      <c r="K1540" s="22">
        <v>45619</v>
      </c>
      <c r="L1540" s="42">
        <f>_xlfn.DAYS(Tabla1[[#This Row],[FECHA FIN ]],Tabla1[[#This Row],[FECHA INICIO]])</f>
        <v>32</v>
      </c>
      <c r="M1540" s="12"/>
      <c r="N1540" s="12">
        <f>1811.6/17</f>
        <v>106.56470588235294</v>
      </c>
      <c r="O1540" s="28">
        <f>(Tabla1[[#This Row],[COSTO FIJO ]]/30)*Tabla1[[#This Row],[TOTAL DIAS PROYECTO]]+(Tabla1[[#This Row],[COSTO TEMPORAL]])</f>
        <v>113.66901960784314</v>
      </c>
      <c r="P1540" s="12"/>
      <c r="Q1540" s="12">
        <f>+(Tabla1[[#This Row],[COSTO COCHE]]/30)*Tabla1[[#This Row],[TOTAL DIAS PROYECTO]]</f>
        <v>0</v>
      </c>
      <c r="R1540" s="12">
        <f>+Tabla1[[#This Row],[COSTO TOTAL ALOJAMIENTO]]+Tabla1[[#This Row],[COSTO TOTAL COCHE]]</f>
        <v>113.66901960784314</v>
      </c>
      <c r="S1540" s="2"/>
      <c r="T1540" s="2" t="s">
        <v>35</v>
      </c>
      <c r="U1540" s="14">
        <v>45587</v>
      </c>
      <c r="V1540" s="43"/>
      <c r="W1540" s="26"/>
      <c r="X1540" s="2">
        <v>1</v>
      </c>
      <c r="Y1540" s="11"/>
      <c r="Z1540" s="2" t="s">
        <v>36</v>
      </c>
      <c r="AA1540" s="13" t="s">
        <v>10370</v>
      </c>
      <c r="AB1540" s="13" t="s">
        <v>10371</v>
      </c>
    </row>
    <row r="1541" spans="1:28" ht="15" customHeight="1">
      <c r="A1541" s="2" t="s">
        <v>9281</v>
      </c>
      <c r="B1541" s="2" t="s">
        <v>368</v>
      </c>
      <c r="C1541" s="11" t="s">
        <v>2689</v>
      </c>
      <c r="D1541" s="2" t="s">
        <v>99</v>
      </c>
      <c r="E1541" s="2" t="s">
        <v>538</v>
      </c>
      <c r="F1541" s="11" t="s">
        <v>539</v>
      </c>
      <c r="G1541" s="11" t="s">
        <v>540</v>
      </c>
      <c r="H1541" s="2" t="s">
        <v>2954</v>
      </c>
      <c r="I1541" s="12" t="s">
        <v>1392</v>
      </c>
      <c r="J1541" s="22">
        <f>+Tabla1[[#This Row],[FECHA ENTRADA]]</f>
        <v>45718</v>
      </c>
      <c r="K1541" s="22">
        <v>45821</v>
      </c>
      <c r="L1541" s="23">
        <f>_xlfn.DAYS(Tabla1[[#This Row],[FECHA FIN ]],Tabla1[[#This Row],[FECHA INICIO]])</f>
        <v>103</v>
      </c>
      <c r="M1541" s="12"/>
      <c r="N1541" s="12"/>
      <c r="O1541" s="24">
        <f>(Tabla1[[#This Row],[COSTO FIJO ]]/30)*Tabla1[[#This Row],[TOTAL DIAS PROYECTO]]+(Tabla1[[#This Row],[COSTO TEMPORAL]])</f>
        <v>0</v>
      </c>
      <c r="P1541" s="12"/>
      <c r="Q1541" s="12">
        <f>+(Tabla1[[#This Row],[COSTO COCHE]]/30)*Tabla1[[#This Row],[TOTAL DIAS PROYECTO]]</f>
        <v>0</v>
      </c>
      <c r="R1541" s="12">
        <f>+Tabla1[[#This Row],[COSTO TOTAL ALOJAMIENTO]]+Tabla1[[#This Row],[COSTO TOTAL COCHE]]</f>
        <v>0</v>
      </c>
      <c r="S1541" s="2"/>
      <c r="T1541" s="2" t="s">
        <v>613</v>
      </c>
      <c r="U1541" s="14">
        <v>45718</v>
      </c>
      <c r="V1541" s="79"/>
      <c r="W1541" s="26"/>
      <c r="X1541" s="2">
        <v>1</v>
      </c>
      <c r="Y1541" t="s">
        <v>2955</v>
      </c>
      <c r="Z1541" s="2" t="s">
        <v>36</v>
      </c>
      <c r="AA1541" s="13">
        <v>-378939</v>
      </c>
      <c r="AB1541" s="13">
        <v>3776578</v>
      </c>
    </row>
    <row r="1542" spans="1:28" ht="15" customHeight="1">
      <c r="A1542" s="2" t="s">
        <v>8638</v>
      </c>
      <c r="B1542" s="2" t="s">
        <v>368</v>
      </c>
      <c r="C1542" s="31" t="s">
        <v>3087</v>
      </c>
      <c r="D1542" s="2" t="s">
        <v>99</v>
      </c>
      <c r="E1542" s="2" t="s">
        <v>415</v>
      </c>
      <c r="F1542" s="11" t="s">
        <v>3088</v>
      </c>
      <c r="G1542" s="46" t="s">
        <v>1390</v>
      </c>
      <c r="H1542" s="2" t="s">
        <v>3089</v>
      </c>
      <c r="I1542" s="12" t="s">
        <v>2200</v>
      </c>
      <c r="J1542" s="41">
        <f>+Tabla1[[#This Row],[FECHA ENTRADA]]</f>
        <v>45711</v>
      </c>
      <c r="K1542" s="22">
        <v>45821</v>
      </c>
      <c r="L1542" s="42">
        <f>_xlfn.DAYS(Tabla1[[#This Row],[FECHA FIN ]],Tabla1[[#This Row],[FECHA INICIO]])</f>
        <v>110</v>
      </c>
      <c r="M1542" s="12"/>
      <c r="N1542" s="20">
        <v>280</v>
      </c>
      <c r="O1542" s="28">
        <f>(Tabla1[[#This Row],[COSTO FIJO ]]/30)*Tabla1[[#This Row],[TOTAL DIAS PROYECTO]]+(Tabla1[[#This Row],[COSTO TEMPORAL]])</f>
        <v>1026.6666666666667</v>
      </c>
      <c r="P1542" s="12">
        <v>80</v>
      </c>
      <c r="Q1542" s="12">
        <f>+(Tabla1[[#This Row],[COSTO COCHE]]/30)*Tabla1[[#This Row],[TOTAL DIAS PROYECTO]]</f>
        <v>293.33333333333331</v>
      </c>
      <c r="R1542" s="12">
        <f>+Tabla1[[#This Row],[COSTO TOTAL ALOJAMIENTO]]+Tabla1[[#This Row],[COSTO TOTAL COCHE]]</f>
        <v>1320</v>
      </c>
      <c r="S1542" s="2"/>
      <c r="T1542" s="2" t="s">
        <v>613</v>
      </c>
      <c r="U1542" s="14">
        <v>45711</v>
      </c>
      <c r="V1542" s="43"/>
      <c r="W1542" s="26"/>
      <c r="X1542" s="2">
        <v>1</v>
      </c>
      <c r="Y1542" t="s">
        <v>3090</v>
      </c>
      <c r="Z1542" s="2" t="s">
        <v>36</v>
      </c>
      <c r="AA1542" s="13">
        <v>-0.37739</v>
      </c>
      <c r="AB1542" s="13" t="s">
        <v>10372</v>
      </c>
    </row>
    <row r="1543" spans="1:28" ht="15" customHeight="1">
      <c r="A1543" s="2" t="s">
        <v>8642</v>
      </c>
      <c r="B1543" s="2" t="s">
        <v>28</v>
      </c>
      <c r="C1543" s="11" t="s">
        <v>3077</v>
      </c>
      <c r="D1543" s="2" t="s">
        <v>30</v>
      </c>
      <c r="E1543" s="2" t="s">
        <v>1404</v>
      </c>
      <c r="F1543" s="11" t="s">
        <v>1405</v>
      </c>
      <c r="G1543" s="46" t="s">
        <v>1406</v>
      </c>
      <c r="H1543" s="2" t="s">
        <v>1407</v>
      </c>
      <c r="I1543" s="12" t="s">
        <v>377</v>
      </c>
      <c r="J1543" s="41">
        <f>+Tabla1[[#This Row],[FECHA ENTRADA]]</f>
        <v>45641</v>
      </c>
      <c r="K1543" s="22">
        <v>45821</v>
      </c>
      <c r="L1543" s="42">
        <f>_xlfn.DAYS(Tabla1[[#This Row],[FECHA FIN ]],Tabla1[[#This Row],[FECHA INICIO]])</f>
        <v>180</v>
      </c>
      <c r="M1543" s="12"/>
      <c r="N1543" s="12"/>
      <c r="O1543" s="28">
        <f>(Tabla1[[#This Row],[COSTO FIJO ]]/30)*Tabla1[[#This Row],[TOTAL DIAS PROYECTO]]+(Tabla1[[#This Row],[COSTO TEMPORAL]])</f>
        <v>0</v>
      </c>
      <c r="P1543" s="12"/>
      <c r="Q1543" s="12">
        <f>+(Tabla1[[#This Row],[COSTO COCHE]]/30)*Tabla1[[#This Row],[TOTAL DIAS PROYECTO]]</f>
        <v>0</v>
      </c>
      <c r="R1543" s="12">
        <f>+Tabla1[[#This Row],[COSTO TOTAL ALOJAMIENTO]]+Tabla1[[#This Row],[COSTO TOTAL COCHE]]</f>
        <v>0</v>
      </c>
      <c r="S1543" s="2"/>
      <c r="T1543" s="2" t="s">
        <v>44</v>
      </c>
      <c r="U1543" s="14">
        <v>45641</v>
      </c>
      <c r="V1543" s="43">
        <v>45687</v>
      </c>
      <c r="W1543" s="26"/>
      <c r="X1543" s="2"/>
      <c r="Y1543" s="11"/>
      <c r="Z1543" s="2" t="s">
        <v>36</v>
      </c>
      <c r="AA1543" s="13" t="s">
        <v>10418</v>
      </c>
      <c r="AB1543" s="13" t="s">
        <v>10419</v>
      </c>
    </row>
    <row r="1544" spans="1:28" ht="15" customHeight="1">
      <c r="A1544" s="2" t="s">
        <v>8672</v>
      </c>
      <c r="B1544" s="2" t="s">
        <v>28</v>
      </c>
      <c r="C1544" s="18" t="s">
        <v>230</v>
      </c>
      <c r="D1544" s="2" t="s">
        <v>30</v>
      </c>
      <c r="E1544" s="2" t="s">
        <v>790</v>
      </c>
      <c r="F1544" s="11" t="s">
        <v>791</v>
      </c>
      <c r="G1544" s="11" t="s">
        <v>1108</v>
      </c>
      <c r="H1544" s="2" t="s">
        <v>793</v>
      </c>
      <c r="I1544" s="33" t="s">
        <v>794</v>
      </c>
      <c r="J1544" s="8">
        <f>+Tabla1[[#This Row],[FECHA ENTRADA]]</f>
        <v>45536</v>
      </c>
      <c r="K1544" s="22">
        <v>45821</v>
      </c>
      <c r="L1544" s="13">
        <f>_xlfn.DAYS(Tabla1[[#This Row],[FECHA FIN ]],Tabla1[[#This Row],[FECHA INICIO]])</f>
        <v>285</v>
      </c>
      <c r="M1544" s="12"/>
      <c r="N1544" s="12">
        <v>200</v>
      </c>
      <c r="O1544" s="12">
        <f>(Tabla1[[#This Row],[COSTO FIJO ]]/30)*Tabla1[[#This Row],[TOTAL DIAS PROYECTO]]+(Tabla1[[#This Row],[COSTO TEMPORAL]])</f>
        <v>1900</v>
      </c>
      <c r="P1544" s="12"/>
      <c r="Q1544" s="12">
        <f>+(Tabla1[[#This Row],[COSTO COCHE]]/30)*Tabla1[[#This Row],[TOTAL DIAS PROYECTO]]</f>
        <v>0</v>
      </c>
      <c r="R1544" s="12">
        <f>+Tabla1[[#This Row],[COSTO TOTAL ALOJAMIENTO]]+Tabla1[[#This Row],[COSTO TOTAL COCHE]]</f>
        <v>1900</v>
      </c>
      <c r="S1544" s="2"/>
      <c r="T1544" s="33" t="s">
        <v>35</v>
      </c>
      <c r="U1544" s="14">
        <v>45536</v>
      </c>
      <c r="V1544" s="14"/>
      <c r="W1544" s="26"/>
      <c r="X1544" s="2">
        <v>1</v>
      </c>
      <c r="Y1544" s="31" t="s">
        <v>3091</v>
      </c>
      <c r="Z1544" s="2" t="s">
        <v>36</v>
      </c>
      <c r="AA1544" s="13">
        <v>-574377</v>
      </c>
      <c r="AB1544" s="13">
        <v>4150368</v>
      </c>
    </row>
    <row r="1545" spans="1:28" ht="15" customHeight="1">
      <c r="A1545" s="2" t="s">
        <v>9145</v>
      </c>
      <c r="B1545" s="2" t="s">
        <v>28</v>
      </c>
      <c r="C1545" s="11" t="s">
        <v>2204</v>
      </c>
      <c r="D1545" s="2" t="s">
        <v>30</v>
      </c>
      <c r="E1545" s="2" t="s">
        <v>1404</v>
      </c>
      <c r="F1545" s="11" t="s">
        <v>1405</v>
      </c>
      <c r="G1545" s="46" t="s">
        <v>1406</v>
      </c>
      <c r="H1545" s="2" t="s">
        <v>1407</v>
      </c>
      <c r="I1545" s="12" t="s">
        <v>377</v>
      </c>
      <c r="J1545" s="41">
        <f>+Tabla1[[#This Row],[FECHA ENTRADA]]</f>
        <v>45641</v>
      </c>
      <c r="K1545" s="22">
        <v>45821</v>
      </c>
      <c r="L1545" s="42">
        <f>_xlfn.DAYS(Tabla1[[#This Row],[FECHA FIN ]],Tabla1[[#This Row],[FECHA INICIO]])</f>
        <v>180</v>
      </c>
      <c r="M1545" s="12"/>
      <c r="N1545" s="12">
        <f>1811.6/17</f>
        <v>106.56470588235294</v>
      </c>
      <c r="O1545" s="28">
        <f>(Tabla1[[#This Row],[COSTO FIJO ]]/30)*Tabla1[[#This Row],[TOTAL DIAS PROYECTO]]+(Tabla1[[#This Row],[COSTO TEMPORAL]])</f>
        <v>639.38823529411764</v>
      </c>
      <c r="P1545" s="12"/>
      <c r="Q1545" s="12">
        <f>+(Tabla1[[#This Row],[COSTO COCHE]]/30)*Tabla1[[#This Row],[TOTAL DIAS PROYECTO]]</f>
        <v>0</v>
      </c>
      <c r="R1545" s="12">
        <f>+Tabla1[[#This Row],[COSTO TOTAL ALOJAMIENTO]]+Tabla1[[#This Row],[COSTO TOTAL COCHE]]</f>
        <v>639.38823529411764</v>
      </c>
      <c r="S1545" s="2"/>
      <c r="T1545" s="2" t="s">
        <v>44</v>
      </c>
      <c r="U1545" s="14">
        <v>45641</v>
      </c>
      <c r="V1545" s="43">
        <v>45687</v>
      </c>
      <c r="W1545" s="26"/>
      <c r="X1545" s="2"/>
      <c r="Y1545" s="11"/>
      <c r="Z1545" s="2" t="s">
        <v>36</v>
      </c>
      <c r="AA1545" s="13" t="s">
        <v>10418</v>
      </c>
      <c r="AB1545" s="13" t="s">
        <v>10419</v>
      </c>
    </row>
    <row r="1546" spans="1:28" ht="15" customHeight="1">
      <c r="A1546" s="2" t="s">
        <v>9410</v>
      </c>
      <c r="B1546" s="2" t="s">
        <v>28</v>
      </c>
      <c r="C1546" s="86" t="s">
        <v>3092</v>
      </c>
      <c r="D1546" s="2" t="s">
        <v>30</v>
      </c>
      <c r="E1546" s="2" t="s">
        <v>1404</v>
      </c>
      <c r="F1546" s="11" t="s">
        <v>1405</v>
      </c>
      <c r="G1546" s="46" t="s">
        <v>1406</v>
      </c>
      <c r="H1546" s="2" t="s">
        <v>1407</v>
      </c>
      <c r="I1546" s="12" t="s">
        <v>377</v>
      </c>
      <c r="J1546" s="41">
        <f>+Tabla1[[#This Row],[FECHA ENTRADA]]</f>
        <v>45641</v>
      </c>
      <c r="K1546" s="22">
        <v>45821</v>
      </c>
      <c r="L1546" s="42">
        <f>_xlfn.DAYS(Tabla1[[#This Row],[FECHA FIN ]],Tabla1[[#This Row],[FECHA INICIO]])</f>
        <v>180</v>
      </c>
      <c r="M1546" s="12"/>
      <c r="N1546" s="12">
        <f>1811.6/17</f>
        <v>106.56470588235294</v>
      </c>
      <c r="O1546" s="28">
        <f>(Tabla1[[#This Row],[COSTO FIJO ]]/30)*Tabla1[[#This Row],[TOTAL DIAS PROYECTO]]+(Tabla1[[#This Row],[COSTO TEMPORAL]])</f>
        <v>639.38823529411764</v>
      </c>
      <c r="P1546" s="12"/>
      <c r="Q1546" s="12">
        <f>+(Tabla1[[#This Row],[COSTO COCHE]]/30)*Tabla1[[#This Row],[TOTAL DIAS PROYECTO]]</f>
        <v>0</v>
      </c>
      <c r="R1546" s="12">
        <f>+Tabla1[[#This Row],[COSTO TOTAL ALOJAMIENTO]]+Tabla1[[#This Row],[COSTO TOTAL COCHE]]</f>
        <v>639.38823529411764</v>
      </c>
      <c r="S1546" s="2"/>
      <c r="T1546" s="2" t="s">
        <v>44</v>
      </c>
      <c r="U1546" s="14">
        <v>45641</v>
      </c>
      <c r="V1546" s="43">
        <v>45687</v>
      </c>
      <c r="W1546" s="26"/>
      <c r="X1546" s="2"/>
      <c r="Y1546" s="11"/>
      <c r="Z1546" s="2" t="s">
        <v>36</v>
      </c>
      <c r="AA1546" s="13" t="s">
        <v>10418</v>
      </c>
      <c r="AB1546" s="13" t="s">
        <v>10419</v>
      </c>
    </row>
    <row r="1547" spans="1:28">
      <c r="A1547" s="2" t="s">
        <v>9022</v>
      </c>
      <c r="B1547" s="2" t="s">
        <v>368</v>
      </c>
      <c r="C1547" s="52" t="s">
        <v>1717</v>
      </c>
      <c r="D1547" s="2" t="s">
        <v>30</v>
      </c>
      <c r="E1547" s="2" t="s">
        <v>31</v>
      </c>
      <c r="F1547" s="11" t="s">
        <v>530</v>
      </c>
      <c r="G1547" s="11" t="s">
        <v>531</v>
      </c>
      <c r="H1547" s="2" t="s">
        <v>1315</v>
      </c>
      <c r="I1547" s="29" t="s">
        <v>1316</v>
      </c>
      <c r="J1547" s="41">
        <f>+Tabla1[[#This Row],[FECHA ENTRADA]]</f>
        <v>45627</v>
      </c>
      <c r="K1547" s="22">
        <v>45821</v>
      </c>
      <c r="L1547" s="42">
        <f>_xlfn.DAYS(Tabla1[[#This Row],[FECHA FIN ]],Tabla1[[#This Row],[FECHA INICIO]])</f>
        <v>194</v>
      </c>
      <c r="M1547" s="12"/>
      <c r="N1547" s="24">
        <v>150</v>
      </c>
      <c r="O1547" s="28">
        <f>(Tabla1[[#This Row],[COSTO FIJO ]]/30)*Tabla1[[#This Row],[TOTAL DIAS PROYECTO]]+(Tabla1[[#This Row],[COSTO TEMPORAL]])</f>
        <v>970</v>
      </c>
      <c r="P1547" s="12"/>
      <c r="Q1547" s="12">
        <f>+(Tabla1[[#This Row],[COSTO COCHE]]/30)*Tabla1[[#This Row],[TOTAL DIAS PROYECTO]]</f>
        <v>0</v>
      </c>
      <c r="R1547" s="12">
        <f>+Tabla1[[#This Row],[COSTO TOTAL ALOJAMIENTO]]+Tabla1[[#This Row],[COSTO TOTAL COCHE]]</f>
        <v>970</v>
      </c>
      <c r="S1547" s="2"/>
      <c r="T1547" s="2" t="s">
        <v>35</v>
      </c>
      <c r="U1547" s="14">
        <v>45627</v>
      </c>
      <c r="V1547" s="43"/>
      <c r="W1547" s="26"/>
      <c r="X1547" s="2">
        <v>1</v>
      </c>
      <c r="Y1547" s="11" t="s">
        <v>1317</v>
      </c>
      <c r="Z1547" s="2" t="s">
        <v>36</v>
      </c>
      <c r="AA1547" s="13" t="s">
        <v>10323</v>
      </c>
      <c r="AB1547" s="13" t="s">
        <v>10324</v>
      </c>
    </row>
    <row r="1548" spans="1:28" ht="15" customHeight="1">
      <c r="A1548" s="2" t="s">
        <v>8638</v>
      </c>
      <c r="B1548" s="2" t="s">
        <v>28</v>
      </c>
      <c r="C1548" s="11" t="s">
        <v>2769</v>
      </c>
      <c r="D1548" s="2" t="s">
        <v>30</v>
      </c>
      <c r="E1548" s="2" t="s">
        <v>422</v>
      </c>
      <c r="F1548" s="11" t="s">
        <v>2997</v>
      </c>
      <c r="G1548" s="49">
        <v>699109800</v>
      </c>
      <c r="H1548" s="2" t="s">
        <v>2767</v>
      </c>
      <c r="I1548" s="12" t="s">
        <v>2454</v>
      </c>
      <c r="J1548" s="22">
        <f>+Tabla1[[#This Row],[FECHA ENTRADA]]</f>
        <v>45782</v>
      </c>
      <c r="K1548" s="22">
        <v>45821</v>
      </c>
      <c r="L1548" s="23">
        <f>_xlfn.DAYS(Tabla1[[#This Row],[FECHA FIN ]],Tabla1[[#This Row],[FECHA INICIO]])</f>
        <v>39</v>
      </c>
      <c r="M1548" s="12"/>
      <c r="N1548" s="24"/>
      <c r="O1548" s="24">
        <f>(Tabla1[[#This Row],[COSTO FIJO ]]/30)*Tabla1[[#This Row],[TOTAL DIAS PROYECTO]]+(Tabla1[[#This Row],[COSTO TEMPORAL]])</f>
        <v>0</v>
      </c>
      <c r="P1548" s="12"/>
      <c r="Q1548" s="12">
        <f>+(Tabla1[[#This Row],[COSTO COCHE]]/30)*Tabla1[[#This Row],[TOTAL DIAS PROYECTO]]</f>
        <v>0</v>
      </c>
      <c r="R1548" s="12">
        <f>+Tabla1[[#This Row],[COSTO TOTAL ALOJAMIENTO]]+Tabla1[[#This Row],[COSTO TOTAL COCHE]]</f>
        <v>0</v>
      </c>
      <c r="S1548" s="2"/>
      <c r="T1548" s="14" t="s">
        <v>44</v>
      </c>
      <c r="U1548" s="14">
        <v>45782</v>
      </c>
      <c r="V1548" s="25">
        <v>45791</v>
      </c>
      <c r="W1548" s="2"/>
      <c r="X1548" s="2"/>
      <c r="Y1548" s="11"/>
      <c r="Z1548" s="2" t="s">
        <v>36</v>
      </c>
      <c r="AA1548" s="13">
        <v>-326.69799999999998</v>
      </c>
      <c r="AB1548" s="13" t="s">
        <v>10373</v>
      </c>
    </row>
    <row r="1549" spans="1:28" ht="15" customHeight="1">
      <c r="A1549" s="2" t="s">
        <v>8638</v>
      </c>
      <c r="B1549" s="2" t="s">
        <v>28</v>
      </c>
      <c r="C1549" s="11" t="s">
        <v>2450</v>
      </c>
      <c r="D1549" s="2" t="s">
        <v>30</v>
      </c>
      <c r="E1549" s="2" t="s">
        <v>422</v>
      </c>
      <c r="F1549" s="11" t="s">
        <v>3093</v>
      </c>
      <c r="G1549" s="49" t="s">
        <v>2452</v>
      </c>
      <c r="H1549" s="2" t="s">
        <v>2453</v>
      </c>
      <c r="I1549" s="12" t="s">
        <v>2454</v>
      </c>
      <c r="J1549" s="22">
        <f>+Tabla1[[#This Row],[FECHA ENTRADA]]</f>
        <v>45782</v>
      </c>
      <c r="K1549" s="22">
        <v>45821</v>
      </c>
      <c r="L1549" s="23">
        <f>_xlfn.DAYS(Tabla1[[#This Row],[FECHA FIN ]],Tabla1[[#This Row],[FECHA INICIO]])</f>
        <v>39</v>
      </c>
      <c r="M1549" s="12"/>
      <c r="N1549" s="12"/>
      <c r="O1549" s="24">
        <f>(Tabla1[[#This Row],[COSTO FIJO ]]/30)*Tabla1[[#This Row],[TOTAL DIAS PROYECTO]]+(Tabla1[[#This Row],[COSTO TEMPORAL]])</f>
        <v>0</v>
      </c>
      <c r="P1549" s="12"/>
      <c r="Q1549" s="12">
        <f>+(Tabla1[[#This Row],[COSTO COCHE]]/30)*Tabla1[[#This Row],[TOTAL DIAS PROYECTO]]</f>
        <v>0</v>
      </c>
      <c r="R1549" s="12">
        <f>+Tabla1[[#This Row],[COSTO TOTAL ALOJAMIENTO]]+Tabla1[[#This Row],[COSTO TOTAL COCHE]]</f>
        <v>0</v>
      </c>
      <c r="S1549" s="2"/>
      <c r="T1549" s="14" t="s">
        <v>44</v>
      </c>
      <c r="U1549" s="14">
        <v>45782</v>
      </c>
      <c r="V1549" s="25">
        <v>45797</v>
      </c>
      <c r="W1549" s="2"/>
      <c r="X1549" s="2"/>
      <c r="Y1549" s="11"/>
      <c r="Z1549" s="2" t="s">
        <v>36</v>
      </c>
      <c r="AA1549" s="13">
        <v>-326.69799999999998</v>
      </c>
      <c r="AB1549" s="13" t="s">
        <v>10373</v>
      </c>
    </row>
    <row r="1550" spans="1:28" ht="15" customHeight="1">
      <c r="A1550" s="2" t="s">
        <v>9411</v>
      </c>
      <c r="B1550" s="2" t="s">
        <v>368</v>
      </c>
      <c r="C1550" s="18" t="s">
        <v>3094</v>
      </c>
      <c r="D1550" s="2" t="s">
        <v>30</v>
      </c>
      <c r="E1550" s="2" t="s">
        <v>213</v>
      </c>
      <c r="F1550" s="11" t="s">
        <v>996</v>
      </c>
      <c r="G1550" s="11" t="s">
        <v>997</v>
      </c>
      <c r="H1550" s="2" t="s">
        <v>1112</v>
      </c>
      <c r="I1550" s="12" t="s">
        <v>514</v>
      </c>
      <c r="J1550" s="8">
        <f>+Tabla1[[#This Row],[FECHA ENTRADA]]</f>
        <v>45474</v>
      </c>
      <c r="K1550" s="22">
        <v>45821</v>
      </c>
      <c r="L1550" s="13">
        <f>_xlfn.DAYS(Tabla1[[#This Row],[FECHA FIN ]],Tabla1[[#This Row],[FECHA INICIO]])</f>
        <v>347</v>
      </c>
      <c r="M1550" s="12"/>
      <c r="N1550" s="12">
        <v>341</v>
      </c>
      <c r="O1550" s="12">
        <f>(Tabla1[[#This Row],[COSTO FIJO ]]/30)*Tabla1[[#This Row],[TOTAL DIAS PROYECTO]]+(Tabla1[[#This Row],[COSTO TEMPORAL]])</f>
        <v>3944.2333333333336</v>
      </c>
      <c r="P1550" s="12">
        <f>((800+651.96)*50%)/10</f>
        <v>72.597999999999999</v>
      </c>
      <c r="Q1550" s="12">
        <f>+(Tabla1[[#This Row],[COSTO COCHE]]/30)*Tabla1[[#This Row],[TOTAL DIAS PROYECTO]]</f>
        <v>839.71686666666665</v>
      </c>
      <c r="R1550" s="12">
        <f>+Tabla1[[#This Row],[COSTO TOTAL ALOJAMIENTO]]+Tabla1[[#This Row],[COSTO TOTAL COCHE]]</f>
        <v>4783.9502000000002</v>
      </c>
      <c r="S1550" s="2"/>
      <c r="T1550" s="2" t="s">
        <v>35</v>
      </c>
      <c r="U1550" s="14">
        <v>45474</v>
      </c>
      <c r="V1550" s="14"/>
      <c r="W1550" s="26"/>
      <c r="X1550" s="2">
        <v>1</v>
      </c>
      <c r="Y1550" s="11"/>
      <c r="Z1550" s="2" t="s">
        <v>36</v>
      </c>
      <c r="AA1550" s="13" t="s">
        <v>10349</v>
      </c>
      <c r="AB1550" s="13" t="s">
        <v>10350</v>
      </c>
    </row>
    <row r="1551" spans="1:28" ht="15" customHeight="1">
      <c r="A1551" s="2" t="s">
        <v>8642</v>
      </c>
      <c r="B1551" s="2" t="s">
        <v>28</v>
      </c>
      <c r="C1551" s="11" t="s">
        <v>3077</v>
      </c>
      <c r="D1551" s="2" t="s">
        <v>30</v>
      </c>
      <c r="E1551" s="2" t="s">
        <v>855</v>
      </c>
      <c r="F1551" s="11" t="s">
        <v>1473</v>
      </c>
      <c r="G1551" s="21" t="s">
        <v>1474</v>
      </c>
      <c r="H1551" s="2" t="s">
        <v>1475</v>
      </c>
      <c r="I1551" s="12" t="s">
        <v>377</v>
      </c>
      <c r="J1551" s="41">
        <f>+Tabla1[[#This Row],[FECHA ENTRADA]]</f>
        <v>45316</v>
      </c>
      <c r="K1551" s="22">
        <v>45821</v>
      </c>
      <c r="L1551" s="42">
        <f>_xlfn.DAYS(Tabla1[[#This Row],[FECHA FIN ]],Tabla1[[#This Row],[FECHA INICIO]])</f>
        <v>505</v>
      </c>
      <c r="M1551" s="12"/>
      <c r="N1551" s="12"/>
      <c r="O1551" s="28">
        <f>(Tabla1[[#This Row],[COSTO FIJO ]]/30)*Tabla1[[#This Row],[TOTAL DIAS PROYECTO]]+(Tabla1[[#This Row],[COSTO TEMPORAL]])</f>
        <v>0</v>
      </c>
      <c r="P1551" s="12"/>
      <c r="Q1551" s="12">
        <f>+(Tabla1[[#This Row],[COSTO COCHE]]/30)*Tabla1[[#This Row],[TOTAL DIAS PROYECTO]]</f>
        <v>0</v>
      </c>
      <c r="R1551" s="12">
        <f>+Tabla1[[#This Row],[COSTO TOTAL ALOJAMIENTO]]+Tabla1[[#This Row],[COSTO TOTAL COCHE]]</f>
        <v>0</v>
      </c>
      <c r="S1551" s="2"/>
      <c r="T1551" s="2" t="s">
        <v>44</v>
      </c>
      <c r="U1551" s="14">
        <v>45316</v>
      </c>
      <c r="V1551" s="43">
        <v>45688</v>
      </c>
      <c r="W1551" s="26"/>
      <c r="X1551" s="2"/>
      <c r="Y1551" s="11"/>
      <c r="Z1551" s="2" t="s">
        <v>36</v>
      </c>
      <c r="AA1551" s="13" t="s">
        <v>10401</v>
      </c>
      <c r="AB1551" s="13" t="s">
        <v>10402</v>
      </c>
    </row>
    <row r="1552" spans="1:28" ht="15" customHeight="1">
      <c r="A1552" s="2" t="s">
        <v>9412</v>
      </c>
      <c r="B1552" s="2" t="s">
        <v>368</v>
      </c>
      <c r="C1552" s="11" t="s">
        <v>3095</v>
      </c>
      <c r="D1552" s="10" t="s">
        <v>30</v>
      </c>
      <c r="E1552" s="29" t="s">
        <v>1443</v>
      </c>
      <c r="F1552" s="11" t="s">
        <v>1444</v>
      </c>
      <c r="G1552" s="105" t="s">
        <v>1445</v>
      </c>
      <c r="H1552" s="2" t="s">
        <v>1446</v>
      </c>
      <c r="I1552" s="12" t="s">
        <v>1447</v>
      </c>
      <c r="J1552" s="22">
        <f>+Tabla1[[#This Row],[FECHA ENTRADA]]</f>
        <v>45676</v>
      </c>
      <c r="K1552" s="22">
        <v>45821</v>
      </c>
      <c r="L1552" s="23">
        <f>_xlfn.DAYS(Tabla1[[#This Row],[FECHA FIN ]],Tabla1[[#This Row],[FECHA INICIO]])</f>
        <v>145</v>
      </c>
      <c r="M1552" s="12"/>
      <c r="N1552" s="12">
        <f>1811.6/17</f>
        <v>106.56470588235294</v>
      </c>
      <c r="O1552" s="24">
        <f>(Tabla1[[#This Row],[COSTO FIJO ]]/30)*Tabla1[[#This Row],[TOTAL DIAS PROYECTO]]+(Tabla1[[#This Row],[COSTO TEMPORAL]])</f>
        <v>515.06274509803927</v>
      </c>
      <c r="P1552" s="12"/>
      <c r="Q1552" s="12">
        <f>+(Tabla1[[#This Row],[COSTO COCHE]]/30)*Tabla1[[#This Row],[TOTAL DIAS PROYECTO]]</f>
        <v>0</v>
      </c>
      <c r="R1552" s="12">
        <f>+Tabla1[[#This Row],[COSTO TOTAL ALOJAMIENTO]]+Tabla1[[#This Row],[COSTO TOTAL COCHE]]</f>
        <v>515.06274509803927</v>
      </c>
      <c r="S1552" s="2"/>
      <c r="T1552" s="2" t="s">
        <v>44</v>
      </c>
      <c r="U1552" s="14">
        <v>45676</v>
      </c>
      <c r="V1552" s="79">
        <v>45688</v>
      </c>
      <c r="W1552" s="2"/>
      <c r="X1552" s="2"/>
      <c r="Y1552" s="11"/>
      <c r="Z1552" s="2" t="s">
        <v>36</v>
      </c>
      <c r="AA1552" s="13" t="s">
        <v>10420</v>
      </c>
      <c r="AB1552" s="13">
        <v>3907741</v>
      </c>
    </row>
    <row r="1553" spans="1:28" ht="15" customHeight="1">
      <c r="A1553" s="2" t="s">
        <v>9413</v>
      </c>
      <c r="B1553" s="2" t="s">
        <v>28</v>
      </c>
      <c r="C1553" s="31" t="s">
        <v>3096</v>
      </c>
      <c r="D1553" s="2" t="s">
        <v>30</v>
      </c>
      <c r="E1553" s="2" t="s">
        <v>648</v>
      </c>
      <c r="F1553" s="11"/>
      <c r="G1553" s="11"/>
      <c r="H1553" s="2" t="s">
        <v>2279</v>
      </c>
      <c r="I1553" s="12" t="s">
        <v>96</v>
      </c>
      <c r="J1553" s="8">
        <f>+Tabla1[[#This Row],[FECHA ENTRADA]]</f>
        <v>45434</v>
      </c>
      <c r="K1553" s="8">
        <v>45961</v>
      </c>
      <c r="L1553" s="13">
        <f>_xlfn.DAYS(Tabla1[[#This Row],[FECHA FIN ]],Tabla1[[#This Row],[FECHA INICIO]])</f>
        <v>527</v>
      </c>
      <c r="M1553" s="12"/>
      <c r="N1553" s="28">
        <v>300</v>
      </c>
      <c r="O1553" s="12">
        <f>(Tabla1[[#This Row],[COSTO FIJO ]]/30)*Tabla1[[#This Row],[TOTAL DIAS PROYECTO]]+(Tabla1[[#This Row],[COSTO TEMPORAL]])</f>
        <v>5270</v>
      </c>
      <c r="P1553" s="12"/>
      <c r="Q1553" s="12">
        <f>+(Tabla1[[#This Row],[COSTO COCHE]]/30)*Tabla1[[#This Row],[TOTAL DIAS PROYECTO]]</f>
        <v>0</v>
      </c>
      <c r="R1553" s="12">
        <f>+Tabla1[[#This Row],[COSTO TOTAL ALOJAMIENTO]]+Tabla1[[#This Row],[COSTO TOTAL COCHE]]</f>
        <v>5270</v>
      </c>
      <c r="S1553" s="2"/>
      <c r="T1553" s="2" t="s">
        <v>646</v>
      </c>
      <c r="U1553" s="14">
        <v>45434</v>
      </c>
      <c r="V1553" s="14"/>
      <c r="W1553" s="26"/>
      <c r="X1553" s="2"/>
      <c r="Y1553" s="11" t="s">
        <v>3097</v>
      </c>
      <c r="Z1553" s="2" t="s">
        <v>36</v>
      </c>
      <c r="AA1553" s="13" t="s">
        <v>10387</v>
      </c>
      <c r="AB1553" s="13" t="s">
        <v>10388</v>
      </c>
    </row>
    <row r="1554" spans="1:28" ht="15" customHeight="1">
      <c r="A1554" s="2" t="s">
        <v>9230</v>
      </c>
      <c r="B1554" s="2" t="s">
        <v>368</v>
      </c>
      <c r="C1554" s="18" t="s">
        <v>2521</v>
      </c>
      <c r="D1554" s="2" t="s">
        <v>30</v>
      </c>
      <c r="E1554" s="2" t="s">
        <v>447</v>
      </c>
      <c r="F1554" s="11" t="s">
        <v>840</v>
      </c>
      <c r="G1554" s="49" t="s">
        <v>1095</v>
      </c>
      <c r="H1554" s="2" t="s">
        <v>842</v>
      </c>
      <c r="I1554" s="12" t="s">
        <v>843</v>
      </c>
      <c r="J1554" s="41">
        <v>45566</v>
      </c>
      <c r="K1554" s="22">
        <v>45821</v>
      </c>
      <c r="L1554" s="42">
        <f>_xlfn.DAYS(Tabla1[[#This Row],[FECHA FIN ]],Tabla1[[#This Row],[FECHA INICIO]])</f>
        <v>255</v>
      </c>
      <c r="M1554" s="12"/>
      <c r="N1554" s="12">
        <f>+(2500+450)/7</f>
        <v>421.42857142857144</v>
      </c>
      <c r="O1554" s="28">
        <f>(Tabla1[[#This Row],[COSTO FIJO ]]/30)*Tabla1[[#This Row],[TOTAL DIAS PROYECTO]]+(Tabla1[[#This Row],[COSTO TEMPORAL]])</f>
        <v>3582.1428571428569</v>
      </c>
      <c r="P1554" s="12"/>
      <c r="Q1554" s="12">
        <f>+(Tabla1[[#This Row],[COSTO COCHE]]/30)*Tabla1[[#This Row],[TOTAL DIAS PROYECTO]]</f>
        <v>0</v>
      </c>
      <c r="R1554" s="12">
        <f>+Tabla1[[#This Row],[COSTO TOTAL ALOJAMIENTO]]+Tabla1[[#This Row],[COSTO TOTAL COCHE]]</f>
        <v>3582.1428571428569</v>
      </c>
      <c r="S1554" s="2"/>
      <c r="T1554" s="2" t="s">
        <v>35</v>
      </c>
      <c r="U1554" s="14">
        <v>45566</v>
      </c>
      <c r="V1554" s="43"/>
      <c r="W1554" s="26"/>
      <c r="X1554" s="2">
        <v>1</v>
      </c>
      <c r="Y1554" s="11" t="s">
        <v>2706</v>
      </c>
      <c r="Z1554" s="2" t="s">
        <v>36</v>
      </c>
      <c r="AA1554" s="13">
        <v>-697.06100000000004</v>
      </c>
      <c r="AB1554" s="13" t="s">
        <v>10377</v>
      </c>
    </row>
    <row r="1555" spans="1:28">
      <c r="A1555" s="2" t="s">
        <v>9414</v>
      </c>
      <c r="B1555" s="2" t="s">
        <v>368</v>
      </c>
      <c r="C1555" s="181" t="s">
        <v>3098</v>
      </c>
      <c r="D1555" s="2" t="s">
        <v>30</v>
      </c>
      <c r="E1555" s="2" t="s">
        <v>31</v>
      </c>
      <c r="F1555" s="11" t="s">
        <v>1004</v>
      </c>
      <c r="G1555" s="51" t="s">
        <v>1005</v>
      </c>
      <c r="H1555" s="2" t="s">
        <v>3053</v>
      </c>
      <c r="I1555" s="12" t="s">
        <v>3054</v>
      </c>
      <c r="J1555" s="22">
        <f>+Tabla1[[#This Row],[FECHA ENTRADA]]</f>
        <v>45697</v>
      </c>
      <c r="K1555" s="22">
        <v>45821</v>
      </c>
      <c r="L1555" s="23">
        <f>_xlfn.DAYS(Tabla1[[#This Row],[FECHA FIN ]],Tabla1[[#This Row],[FECHA INICIO]])</f>
        <v>124</v>
      </c>
      <c r="M1555" s="12"/>
      <c r="N1555" s="20">
        <f>1600/5</f>
        <v>320</v>
      </c>
      <c r="O1555" s="24">
        <f>(Tabla1[[#This Row],[COSTO FIJO ]]/30)*Tabla1[[#This Row],[TOTAL DIAS PROYECTO]]+(Tabla1[[#This Row],[COSTO TEMPORAL]])</f>
        <v>1322.6666666666665</v>
      </c>
      <c r="P1555" s="12">
        <f>400/3</f>
        <v>133.33333333333334</v>
      </c>
      <c r="Q1555" s="12">
        <f>+(Tabla1[[#This Row],[COSTO COCHE]]/30)*Tabla1[[#This Row],[TOTAL DIAS PROYECTO]]</f>
        <v>551.11111111111109</v>
      </c>
      <c r="R1555" s="12">
        <f>+Tabla1[[#This Row],[COSTO TOTAL ALOJAMIENTO]]+Tabla1[[#This Row],[COSTO TOTAL COCHE]]</f>
        <v>1873.7777777777776</v>
      </c>
      <c r="S1555" s="2"/>
      <c r="T1555" s="2" t="s">
        <v>35</v>
      </c>
      <c r="U1555" s="14">
        <v>45697</v>
      </c>
      <c r="V1555" s="79"/>
      <c r="W1555" s="26"/>
      <c r="X1555" s="2">
        <v>1</v>
      </c>
      <c r="Y1555" s="11" t="s">
        <v>1120</v>
      </c>
      <c r="Z1555" s="2" t="s">
        <v>36</v>
      </c>
      <c r="AA1555" s="13" t="s">
        <v>10323</v>
      </c>
      <c r="AB1555" s="13" t="s">
        <v>10324</v>
      </c>
    </row>
    <row r="1556" spans="1:28" ht="15" customHeight="1">
      <c r="A1556" s="2" t="s">
        <v>9415</v>
      </c>
      <c r="B1556" s="2" t="s">
        <v>28</v>
      </c>
      <c r="C1556" s="31" t="s">
        <v>3099</v>
      </c>
      <c r="D1556" s="2" t="s">
        <v>741</v>
      </c>
      <c r="E1556" s="2" t="s">
        <v>266</v>
      </c>
      <c r="F1556" s="11" t="s">
        <v>2779</v>
      </c>
      <c r="G1556" s="49" t="s">
        <v>1512</v>
      </c>
      <c r="H1556" s="2" t="s">
        <v>2838</v>
      </c>
      <c r="I1556" s="12" t="s">
        <v>270</v>
      </c>
      <c r="J1556" s="22">
        <f>+Tabla1[[#This Row],[FECHA ENTRADA]]</f>
        <v>45689</v>
      </c>
      <c r="K1556" s="22">
        <v>45821</v>
      </c>
      <c r="L1556" s="23">
        <f>_xlfn.DAYS(Tabla1[[#This Row],[FECHA FIN ]],Tabla1[[#This Row],[FECHA INICIO]])</f>
        <v>132</v>
      </c>
      <c r="M1556" s="12"/>
      <c r="N1556" s="20">
        <f>1300/2</f>
        <v>650</v>
      </c>
      <c r="O1556" s="24">
        <f>(Tabla1[[#This Row],[COSTO FIJO ]]/30)*Tabla1[[#This Row],[TOTAL DIAS PROYECTO]]+(Tabla1[[#This Row],[COSTO TEMPORAL]])</f>
        <v>2860</v>
      </c>
      <c r="P1556" s="12">
        <f>749.09/4</f>
        <v>187.27250000000001</v>
      </c>
      <c r="Q1556" s="12">
        <f>+(Tabla1[[#This Row],[COSTO COCHE]]/30)*Tabla1[[#This Row],[TOTAL DIAS PROYECTO]]</f>
        <v>823.99900000000002</v>
      </c>
      <c r="R1556" s="12">
        <f>+Tabla1[[#This Row],[COSTO TOTAL ALOJAMIENTO]]+Tabla1[[#This Row],[COSTO TOTAL COCHE]]</f>
        <v>3683.9989999999998</v>
      </c>
      <c r="S1556" s="2"/>
      <c r="T1556" s="2" t="s">
        <v>613</v>
      </c>
      <c r="U1556" s="14">
        <v>45689</v>
      </c>
      <c r="V1556" s="25"/>
      <c r="W1556" s="26"/>
      <c r="X1556" s="2">
        <v>1</v>
      </c>
      <c r="Y1556" s="11"/>
      <c r="Z1556" s="2" t="s">
        <v>36</v>
      </c>
      <c r="AA1556" s="13" t="s">
        <v>10360</v>
      </c>
      <c r="AB1556" s="13" t="s">
        <v>10361</v>
      </c>
    </row>
    <row r="1557" spans="1:28">
      <c r="A1557" s="2" t="s">
        <v>9307</v>
      </c>
      <c r="B1557" s="2" t="s">
        <v>28</v>
      </c>
      <c r="C1557" s="11" t="s">
        <v>2771</v>
      </c>
      <c r="D1557" s="2" t="s">
        <v>30</v>
      </c>
      <c r="E1557" s="2" t="s">
        <v>253</v>
      </c>
      <c r="F1557" s="11"/>
      <c r="G1557" s="11"/>
      <c r="H1557" s="2">
        <v>2023</v>
      </c>
      <c r="I1557" s="2" t="s">
        <v>256</v>
      </c>
      <c r="J1557" s="8">
        <v>45278</v>
      </c>
      <c r="K1557" s="22">
        <v>45821</v>
      </c>
      <c r="L1557" s="13">
        <f>_xlfn.DAYS(Tabla1[[#This Row],[FECHA FIN ]],Tabla1[[#This Row],[FECHA INICIO]])</f>
        <v>543</v>
      </c>
      <c r="M1557" s="12"/>
      <c r="N1557" s="12">
        <v>300</v>
      </c>
      <c r="O1557" s="12">
        <f>(Tabla1[[#This Row],[COSTO FIJO ]]/30)*Tabla1[[#This Row],[TOTAL DIAS PROYECTO]]+(Tabla1[[#This Row],[COSTO TEMPORAL]])</f>
        <v>5430</v>
      </c>
      <c r="P1557" s="12"/>
      <c r="Q1557" s="12">
        <f>+(Tabla1[[#This Row],[COSTO COCHE]]/30)*Tabla1[[#This Row],[TOTAL DIAS PROYECTO]]</f>
        <v>0</v>
      </c>
      <c r="R1557" s="12">
        <f>+Tabla1[[#This Row],[COSTO TOTAL ALOJAMIENTO]]+Tabla1[[#This Row],[COSTO TOTAL COCHE]]</f>
        <v>5430</v>
      </c>
      <c r="S1557" s="2"/>
      <c r="T1557" s="2" t="s">
        <v>58</v>
      </c>
      <c r="U1557" s="14"/>
      <c r="V1557" s="14"/>
      <c r="W1557" s="15"/>
      <c r="X1557" s="16">
        <v>22</v>
      </c>
      <c r="Y1557" s="11" t="s">
        <v>3100</v>
      </c>
      <c r="Z1557" s="2" t="s">
        <v>36</v>
      </c>
      <c r="AA1557" s="13" t="s">
        <v>10357</v>
      </c>
      <c r="AB1557" s="13" t="s">
        <v>10358</v>
      </c>
    </row>
    <row r="1558" spans="1:28" ht="15" customHeight="1">
      <c r="A1558" s="2" t="s">
        <v>8964</v>
      </c>
      <c r="B1558" s="2" t="s">
        <v>28</v>
      </c>
      <c r="C1558" s="11" t="s">
        <v>1519</v>
      </c>
      <c r="D1558" s="2" t="s">
        <v>30</v>
      </c>
      <c r="E1558" s="2" t="s">
        <v>415</v>
      </c>
      <c r="F1558" s="11" t="s">
        <v>1290</v>
      </c>
      <c r="G1558" s="30" t="s">
        <v>1291</v>
      </c>
      <c r="H1558" s="2" t="s">
        <v>2748</v>
      </c>
      <c r="I1558" s="12" t="s">
        <v>800</v>
      </c>
      <c r="J1558" s="41">
        <f>+Tabla1[[#This Row],[FECHA ENTRADA]]</f>
        <v>45635</v>
      </c>
      <c r="K1558" s="22">
        <v>45821</v>
      </c>
      <c r="L1558" s="42">
        <f>_xlfn.DAYS(Tabla1[[#This Row],[FECHA FIN ]],Tabla1[[#This Row],[FECHA INICIO]])</f>
        <v>186</v>
      </c>
      <c r="M1558" s="12"/>
      <c r="N1558" s="12"/>
      <c r="O1558" s="28">
        <f>(Tabla1[[#This Row],[COSTO FIJO ]]/30)*Tabla1[[#This Row],[TOTAL DIAS PROYECTO]]+(Tabla1[[#This Row],[COSTO TEMPORAL]])</f>
        <v>0</v>
      </c>
      <c r="P1558" s="12"/>
      <c r="Q1558" s="12">
        <f>+(Tabla1[[#This Row],[COSTO COCHE]]/30)*Tabla1[[#This Row],[TOTAL DIAS PROYECTO]]</f>
        <v>0</v>
      </c>
      <c r="R1558" s="12">
        <f>+Tabla1[[#This Row],[COSTO TOTAL ALOJAMIENTO]]+Tabla1[[#This Row],[COSTO TOTAL COCHE]]</f>
        <v>0</v>
      </c>
      <c r="S1558" s="2"/>
      <c r="T1558" s="2" t="s">
        <v>35</v>
      </c>
      <c r="U1558" s="14">
        <v>45635</v>
      </c>
      <c r="V1558" s="43"/>
      <c r="W1558" s="26"/>
      <c r="X1558" s="2">
        <v>1</v>
      </c>
      <c r="Y1558" s="31" t="s">
        <v>1292</v>
      </c>
      <c r="Z1558" s="2" t="s">
        <v>36</v>
      </c>
      <c r="AA1558" s="13">
        <v>-0.37739</v>
      </c>
      <c r="AB1558" s="13" t="s">
        <v>10372</v>
      </c>
    </row>
    <row r="1559" spans="1:28" ht="15" customHeight="1">
      <c r="A1559" s="2" t="s">
        <v>8638</v>
      </c>
      <c r="B1559" s="2" t="s">
        <v>28</v>
      </c>
      <c r="C1559" s="11" t="s">
        <v>2534</v>
      </c>
      <c r="D1559" s="2" t="s">
        <v>30</v>
      </c>
      <c r="E1559" s="2" t="s">
        <v>422</v>
      </c>
      <c r="F1559" s="11" t="s">
        <v>3093</v>
      </c>
      <c r="G1559" s="49" t="s">
        <v>2452</v>
      </c>
      <c r="H1559" s="2" t="s">
        <v>2453</v>
      </c>
      <c r="I1559" s="12" t="s">
        <v>2454</v>
      </c>
      <c r="J1559" s="22">
        <f>+Tabla1[[#This Row],[FECHA ENTRADA]]</f>
        <v>45782</v>
      </c>
      <c r="K1559" s="22">
        <v>45821</v>
      </c>
      <c r="L1559" s="23">
        <f>_xlfn.DAYS(Tabla1[[#This Row],[FECHA FIN ]],Tabla1[[#This Row],[FECHA INICIO]])</f>
        <v>39</v>
      </c>
      <c r="M1559" s="12"/>
      <c r="N1559" s="24"/>
      <c r="O1559" s="24">
        <f>(Tabla1[[#This Row],[COSTO FIJO ]]/30)*Tabla1[[#This Row],[TOTAL DIAS PROYECTO]]+(Tabla1[[#This Row],[COSTO TEMPORAL]])</f>
        <v>0</v>
      </c>
      <c r="P1559" s="12"/>
      <c r="Q1559" s="12">
        <f>+(Tabla1[[#This Row],[COSTO COCHE]]/30)*Tabla1[[#This Row],[TOTAL DIAS PROYECTO]]</f>
        <v>0</v>
      </c>
      <c r="R1559" s="12">
        <f>+Tabla1[[#This Row],[COSTO TOTAL ALOJAMIENTO]]+Tabla1[[#This Row],[COSTO TOTAL COCHE]]</f>
        <v>0</v>
      </c>
      <c r="S1559" s="2"/>
      <c r="T1559" s="14" t="s">
        <v>44</v>
      </c>
      <c r="U1559" s="14">
        <v>45782</v>
      </c>
      <c r="V1559" s="25">
        <v>45797</v>
      </c>
      <c r="W1559" s="2"/>
      <c r="X1559" s="2"/>
      <c r="Y1559" s="11"/>
      <c r="Z1559" s="2" t="s">
        <v>36</v>
      </c>
      <c r="AA1559" s="13">
        <v>-326.69799999999998</v>
      </c>
      <c r="AB1559" s="13" t="s">
        <v>10373</v>
      </c>
    </row>
    <row r="1560" spans="1:28" ht="15" customHeight="1">
      <c r="A1560" s="2" t="s">
        <v>9416</v>
      </c>
      <c r="B1560" s="2" t="s">
        <v>28</v>
      </c>
      <c r="C1560" s="18" t="s">
        <v>3101</v>
      </c>
      <c r="D1560" s="2" t="s">
        <v>30</v>
      </c>
      <c r="E1560" s="2" t="s">
        <v>31</v>
      </c>
      <c r="F1560" s="11" t="s">
        <v>32</v>
      </c>
      <c r="G1560" s="11" t="s">
        <v>33</v>
      </c>
      <c r="H1560" s="2">
        <v>2023</v>
      </c>
      <c r="I1560" s="12" t="s">
        <v>34</v>
      </c>
      <c r="J1560" s="8">
        <v>45270</v>
      </c>
      <c r="K1560" s="22">
        <v>45821</v>
      </c>
      <c r="L1560" s="13">
        <f>_xlfn.DAYS(Tabla1[[#This Row],[FECHA FIN ]],Tabla1[[#This Row],[FECHA INICIO]])</f>
        <v>551</v>
      </c>
      <c r="M1560" s="12"/>
      <c r="N1560" s="12">
        <v>218.88</v>
      </c>
      <c r="O1560" s="12">
        <f>(Tabla1[[#This Row],[COSTO FIJO ]]/30)*Tabla1[[#This Row],[TOTAL DIAS PROYECTO]]+(Tabla1[[#This Row],[COSTO TEMPORAL]])</f>
        <v>4020.096</v>
      </c>
      <c r="P1560" s="12"/>
      <c r="Q1560" s="12">
        <f>+(Tabla1[[#This Row],[COSTO COCHE]]/30)*Tabla1[[#This Row],[TOTAL DIAS PROYECTO]]</f>
        <v>0</v>
      </c>
      <c r="R1560" s="12">
        <f>+Tabla1[[#This Row],[COSTO TOTAL ALOJAMIENTO]]+Tabla1[[#This Row],[COSTO TOTAL COCHE]]</f>
        <v>4020.096</v>
      </c>
      <c r="S1560" s="2"/>
      <c r="T1560" s="2" t="s">
        <v>35</v>
      </c>
      <c r="U1560" s="14"/>
      <c r="V1560" s="14"/>
      <c r="W1560" s="15"/>
      <c r="X1560" s="16">
        <v>1</v>
      </c>
      <c r="Y1560" s="18" t="s">
        <v>3102</v>
      </c>
      <c r="Z1560" s="2" t="s">
        <v>36</v>
      </c>
      <c r="AA1560" s="13" t="s">
        <v>10323</v>
      </c>
      <c r="AB1560" s="13" t="s">
        <v>10324</v>
      </c>
    </row>
    <row r="1561" spans="1:28" ht="15" customHeight="1">
      <c r="A1561" s="2" t="s">
        <v>8925</v>
      </c>
      <c r="B1561" s="2" t="s">
        <v>28</v>
      </c>
      <c r="C1561" s="18" t="s">
        <v>1304</v>
      </c>
      <c r="D1561" s="2" t="s">
        <v>30</v>
      </c>
      <c r="E1561" s="2" t="s">
        <v>31</v>
      </c>
      <c r="F1561" s="11" t="s">
        <v>758</v>
      </c>
      <c r="G1561" s="11" t="s">
        <v>759</v>
      </c>
      <c r="H1561" s="2" t="s">
        <v>356</v>
      </c>
      <c r="I1561" s="12" t="s">
        <v>357</v>
      </c>
      <c r="J1561" s="8">
        <f>+Tabla1[[#This Row],[FECHA ENTRADA]]</f>
        <v>45436</v>
      </c>
      <c r="K1561" s="22">
        <v>45815</v>
      </c>
      <c r="L1561" s="13">
        <f>_xlfn.DAYS(Tabla1[[#This Row],[FECHA FIN ]],Tabla1[[#This Row],[FECHA INICIO]])</f>
        <v>379</v>
      </c>
      <c r="M1561" s="12"/>
      <c r="N1561" s="20">
        <v>212.5</v>
      </c>
      <c r="O1561" s="12">
        <f>(Tabla1[[#This Row],[COSTO FIJO ]]/30)*Tabla1[[#This Row],[TOTAL DIAS PROYECTO]]+(Tabla1[[#This Row],[COSTO TEMPORAL]])</f>
        <v>2684.583333333333</v>
      </c>
      <c r="P1561" s="12"/>
      <c r="Q1561" s="12">
        <f>+(Tabla1[[#This Row],[COSTO COCHE]]/30)*Tabla1[[#This Row],[TOTAL DIAS PROYECTO]]</f>
        <v>0</v>
      </c>
      <c r="R1561" s="12">
        <f>+Tabla1[[#This Row],[COSTO TOTAL ALOJAMIENTO]]+Tabla1[[#This Row],[COSTO TOTAL COCHE]]</f>
        <v>2684.583333333333</v>
      </c>
      <c r="S1561" s="2"/>
      <c r="T1561" s="2" t="s">
        <v>35</v>
      </c>
      <c r="U1561" s="14">
        <v>45436</v>
      </c>
      <c r="V1561" s="14">
        <v>45447</v>
      </c>
      <c r="W1561" s="26"/>
      <c r="X1561" s="2">
        <v>1</v>
      </c>
      <c r="Y1561" s="18" t="s">
        <v>3103</v>
      </c>
      <c r="Z1561" s="2" t="s">
        <v>36</v>
      </c>
      <c r="AA1561" s="13" t="s">
        <v>10323</v>
      </c>
      <c r="AB1561" s="13" t="s">
        <v>10324</v>
      </c>
    </row>
    <row r="1562" spans="1:28" ht="15" customHeight="1">
      <c r="A1562" s="2" t="s">
        <v>9417</v>
      </c>
      <c r="B1562" s="2" t="s">
        <v>368</v>
      </c>
      <c r="C1562" s="52" t="s">
        <v>3104</v>
      </c>
      <c r="D1562" s="2" t="s">
        <v>30</v>
      </c>
      <c r="E1562" s="2" t="s">
        <v>31</v>
      </c>
      <c r="F1562" s="11" t="s">
        <v>530</v>
      </c>
      <c r="G1562" s="11" t="s">
        <v>531</v>
      </c>
      <c r="H1562" s="2" t="s">
        <v>1315</v>
      </c>
      <c r="I1562" s="29" t="s">
        <v>1316</v>
      </c>
      <c r="J1562" s="41">
        <f>+Tabla1[[#This Row],[FECHA ENTRADA]]</f>
        <v>45627</v>
      </c>
      <c r="K1562" s="22">
        <v>45821</v>
      </c>
      <c r="L1562" s="42">
        <f>_xlfn.DAYS(Tabla1[[#This Row],[FECHA FIN ]],Tabla1[[#This Row],[FECHA INICIO]])</f>
        <v>194</v>
      </c>
      <c r="M1562" s="12"/>
      <c r="N1562" s="24">
        <v>150</v>
      </c>
      <c r="O1562" s="28">
        <f>(Tabla1[[#This Row],[COSTO FIJO ]]/30)*Tabla1[[#This Row],[TOTAL DIAS PROYECTO]]+(Tabla1[[#This Row],[COSTO TEMPORAL]])</f>
        <v>970</v>
      </c>
      <c r="P1562" s="12"/>
      <c r="Q1562" s="12">
        <f>+(Tabla1[[#This Row],[COSTO COCHE]]/30)*Tabla1[[#This Row],[TOTAL DIAS PROYECTO]]</f>
        <v>0</v>
      </c>
      <c r="R1562" s="12">
        <f>+Tabla1[[#This Row],[COSTO TOTAL ALOJAMIENTO]]+Tabla1[[#This Row],[COSTO TOTAL COCHE]]</f>
        <v>970</v>
      </c>
      <c r="S1562" s="2"/>
      <c r="T1562" s="2" t="s">
        <v>35</v>
      </c>
      <c r="U1562" s="14">
        <v>45627</v>
      </c>
      <c r="V1562" s="43"/>
      <c r="W1562" s="26"/>
      <c r="X1562" s="2">
        <v>1</v>
      </c>
      <c r="Y1562" s="11" t="s">
        <v>1317</v>
      </c>
      <c r="Z1562" s="2" t="s">
        <v>36</v>
      </c>
      <c r="AA1562" s="13" t="s">
        <v>10323</v>
      </c>
      <c r="AB1562" s="13" t="s">
        <v>10324</v>
      </c>
    </row>
    <row r="1563" spans="1:28" ht="15" customHeight="1">
      <c r="A1563" s="2" t="s">
        <v>9418</v>
      </c>
      <c r="B1563" s="2" t="s">
        <v>368</v>
      </c>
      <c r="C1563" s="18" t="s">
        <v>3105</v>
      </c>
      <c r="D1563" s="2" t="s">
        <v>30</v>
      </c>
      <c r="E1563" s="2" t="s">
        <v>31</v>
      </c>
      <c r="F1563" s="11" t="s">
        <v>1599</v>
      </c>
      <c r="G1563" s="46" t="s">
        <v>512</v>
      </c>
      <c r="H1563" s="2" t="s">
        <v>3106</v>
      </c>
      <c r="I1563" s="10" t="s">
        <v>835</v>
      </c>
      <c r="J1563" s="41">
        <f>+Tabla1[[#This Row],[FECHA ENTRADA]]</f>
        <v>45599</v>
      </c>
      <c r="K1563" s="22">
        <v>45821</v>
      </c>
      <c r="L1563" s="42">
        <f>_xlfn.DAYS(Tabla1[[#This Row],[FECHA FIN ]],Tabla1[[#This Row],[FECHA INICIO]])</f>
        <v>222</v>
      </c>
      <c r="M1563" s="12"/>
      <c r="N1563" s="28">
        <v>360</v>
      </c>
      <c r="O1563" s="28">
        <f>(Tabla1[[#This Row],[COSTO FIJO ]]/30)*Tabla1[[#This Row],[TOTAL DIAS PROYECTO]]+(Tabla1[[#This Row],[COSTO TEMPORAL]])</f>
        <v>2664</v>
      </c>
      <c r="P1563" s="12"/>
      <c r="Q1563" s="12">
        <f>+(Tabla1[[#This Row],[COSTO COCHE]]/30)*Tabla1[[#This Row],[TOTAL DIAS PROYECTO]]</f>
        <v>0</v>
      </c>
      <c r="R1563" s="12">
        <f>+Tabla1[[#This Row],[COSTO TOTAL ALOJAMIENTO]]+Tabla1[[#This Row],[COSTO TOTAL COCHE]]</f>
        <v>2664</v>
      </c>
      <c r="S1563" s="2"/>
      <c r="T1563" s="2" t="s">
        <v>35</v>
      </c>
      <c r="U1563" s="14">
        <v>45599</v>
      </c>
      <c r="V1563" s="43"/>
      <c r="W1563" s="26"/>
      <c r="X1563" s="2">
        <v>1</v>
      </c>
      <c r="Y1563" s="11" t="s">
        <v>1166</v>
      </c>
      <c r="Z1563" s="2" t="s">
        <v>36</v>
      </c>
      <c r="AA1563" s="13" t="s">
        <v>10323</v>
      </c>
      <c r="AB1563" s="13" t="s">
        <v>10324</v>
      </c>
    </row>
    <row r="1564" spans="1:28" ht="15" customHeight="1">
      <c r="A1564" s="2" t="s">
        <v>9419</v>
      </c>
      <c r="B1564" s="2" t="s">
        <v>28</v>
      </c>
      <c r="C1564" s="18" t="s">
        <v>3107</v>
      </c>
      <c r="D1564" s="2" t="s">
        <v>30</v>
      </c>
      <c r="E1564" s="2" t="s">
        <v>31</v>
      </c>
      <c r="F1564" s="11" t="s">
        <v>67</v>
      </c>
      <c r="G1564" s="11" t="s">
        <v>68</v>
      </c>
      <c r="H1564" s="2" t="s">
        <v>2416</v>
      </c>
      <c r="I1564" s="2" t="s">
        <v>52</v>
      </c>
      <c r="J1564" s="8">
        <f>+Tabla1[[#This Row],[FECHA ENTRADA]]</f>
        <v>45452</v>
      </c>
      <c r="K1564" s="22">
        <v>45821</v>
      </c>
      <c r="L1564" s="13">
        <f>_xlfn.DAYS(Tabla1[[#This Row],[FECHA FIN ]],Tabla1[[#This Row],[FECHA INICIO]])</f>
        <v>369</v>
      </c>
      <c r="M1564" s="12"/>
      <c r="N1564" s="12">
        <v>450</v>
      </c>
      <c r="O1564" s="12">
        <f>(Tabla1[[#This Row],[COSTO FIJO ]]/30)*Tabla1[[#This Row],[TOTAL DIAS PROYECTO]]+(Tabla1[[#This Row],[COSTO TEMPORAL]])</f>
        <v>5535</v>
      </c>
      <c r="P1564" s="12"/>
      <c r="Q1564" s="12">
        <f>+(Tabla1[[#This Row],[COSTO COCHE]]/30)*Tabla1[[#This Row],[TOTAL DIAS PROYECTO]]</f>
        <v>0</v>
      </c>
      <c r="R1564" s="12">
        <f>+Tabla1[[#This Row],[COSTO TOTAL ALOJAMIENTO]]+Tabla1[[#This Row],[COSTO TOTAL COCHE]]</f>
        <v>5535</v>
      </c>
      <c r="S1564" s="2"/>
      <c r="T1564" s="2" t="s">
        <v>35</v>
      </c>
      <c r="U1564" s="14">
        <v>45452</v>
      </c>
      <c r="V1564" s="14"/>
      <c r="W1564" s="26"/>
      <c r="X1564" s="2">
        <v>1</v>
      </c>
      <c r="Y1564" s="18" t="s">
        <v>3108</v>
      </c>
      <c r="Z1564" s="2" t="s">
        <v>36</v>
      </c>
      <c r="AA1564" s="13" t="s">
        <v>10323</v>
      </c>
      <c r="AB1564" s="13" t="s">
        <v>10324</v>
      </c>
    </row>
    <row r="1565" spans="1:28" ht="15" customHeight="1">
      <c r="A1565" s="2" t="s">
        <v>9420</v>
      </c>
      <c r="B1565" s="2" t="s">
        <v>28</v>
      </c>
      <c r="C1565" s="31" t="s">
        <v>3109</v>
      </c>
      <c r="D1565" s="2" t="s">
        <v>30</v>
      </c>
      <c r="E1565" s="2" t="s">
        <v>476</v>
      </c>
      <c r="F1565" s="11" t="s">
        <v>1488</v>
      </c>
      <c r="G1565" s="11" t="s">
        <v>483</v>
      </c>
      <c r="H1565" s="2" t="s">
        <v>3110</v>
      </c>
      <c r="I1565" s="12" t="s">
        <v>165</v>
      </c>
      <c r="J1565" s="22">
        <f>+Tabla1[[#This Row],[FECHA ENTRADA]]</f>
        <v>45726</v>
      </c>
      <c r="K1565" s="22">
        <v>45821</v>
      </c>
      <c r="L1565" s="23">
        <f>_xlfn.DAYS(Tabla1[[#This Row],[FECHA FIN ]],Tabla1[[#This Row],[FECHA INICIO]])</f>
        <v>95</v>
      </c>
      <c r="M1565" s="12"/>
      <c r="N1565" s="20">
        <v>170</v>
      </c>
      <c r="O1565" s="24">
        <f>(Tabla1[[#This Row],[COSTO FIJO ]]/30)*Tabla1[[#This Row],[TOTAL DIAS PROYECTO]]+(Tabla1[[#This Row],[COSTO TEMPORAL]])</f>
        <v>538.33333333333337</v>
      </c>
      <c r="P1565" s="12"/>
      <c r="Q1565" s="12">
        <f>+(Tabla1[[#This Row],[COSTO COCHE]]/30)*Tabla1[[#This Row],[TOTAL DIAS PROYECTO]]</f>
        <v>0</v>
      </c>
      <c r="R1565" s="12">
        <f>+Tabla1[[#This Row],[COSTO TOTAL ALOJAMIENTO]]+Tabla1[[#This Row],[COSTO TOTAL COCHE]]</f>
        <v>538.33333333333337</v>
      </c>
      <c r="S1565" s="2"/>
      <c r="T1565" s="2" t="s">
        <v>35</v>
      </c>
      <c r="U1565" s="14">
        <v>45726</v>
      </c>
      <c r="V1565" s="25"/>
      <c r="W1565" s="26"/>
      <c r="X1565" s="2">
        <v>1</v>
      </c>
      <c r="Y1565" s="11"/>
      <c r="Z1565" s="2" t="s">
        <v>36</v>
      </c>
      <c r="AA1565" s="13">
        <v>-7.8640699999999999</v>
      </c>
      <c r="AB1565" s="13">
        <v>42.336689999999997</v>
      </c>
    </row>
    <row r="1566" spans="1:28" ht="15" customHeight="1">
      <c r="A1566" s="2" t="s">
        <v>9420</v>
      </c>
      <c r="B1566" s="2" t="s">
        <v>28</v>
      </c>
      <c r="C1566" s="18" t="s">
        <v>3109</v>
      </c>
      <c r="D1566" s="33" t="s">
        <v>30</v>
      </c>
      <c r="E1566" s="2" t="s">
        <v>476</v>
      </c>
      <c r="F1566" s="11" t="s">
        <v>482</v>
      </c>
      <c r="G1566" s="34" t="s">
        <v>483</v>
      </c>
      <c r="H1566" s="33" t="s">
        <v>1489</v>
      </c>
      <c r="I1566" s="36" t="s">
        <v>165</v>
      </c>
      <c r="J1566" s="8">
        <f>+Tabla1[[#This Row],[FECHA ENTRADA]]</f>
        <v>45386</v>
      </c>
      <c r="K1566" s="22">
        <v>45821</v>
      </c>
      <c r="L1566" s="13">
        <f>_xlfn.DAYS(Tabla1[[#This Row],[FECHA FIN ]],Tabla1[[#This Row],[FECHA INICIO]])</f>
        <v>435</v>
      </c>
      <c r="M1566" s="12"/>
      <c r="N1566" s="36">
        <v>317.5</v>
      </c>
      <c r="O1566" s="36">
        <f>(Tabla1[[#This Row],[COSTO FIJO ]]/30)*Tabla1[[#This Row],[TOTAL DIAS PROYECTO]]+(Tabla1[[#This Row],[COSTO TEMPORAL]])</f>
        <v>4603.75</v>
      </c>
      <c r="P1566" s="36"/>
      <c r="Q1566" s="36">
        <f>+(Tabla1[[#This Row],[COSTO COCHE]]/30)*Tabla1[[#This Row],[TOTAL DIAS PROYECTO]]</f>
        <v>0</v>
      </c>
      <c r="R1566" s="36">
        <f>+Tabla1[[#This Row],[COSTO TOTAL ALOJAMIENTO]]+Tabla1[[#This Row],[COSTO TOTAL COCHE]]</f>
        <v>4603.75</v>
      </c>
      <c r="S1566" s="33"/>
      <c r="T1566" s="33" t="s">
        <v>35</v>
      </c>
      <c r="U1566" s="37">
        <v>45386</v>
      </c>
      <c r="V1566" s="37"/>
      <c r="W1566" s="38">
        <v>1360</v>
      </c>
      <c r="X1566" s="39">
        <v>1</v>
      </c>
      <c r="Y1566" s="18" t="s">
        <v>3111</v>
      </c>
      <c r="Z1566" s="33" t="s">
        <v>36</v>
      </c>
      <c r="AA1566" s="13">
        <v>-7.8640699999999999</v>
      </c>
      <c r="AB1566" s="13">
        <v>42.336689999999997</v>
      </c>
    </row>
    <row r="1567" spans="1:28" ht="15" customHeight="1">
      <c r="A1567" s="2" t="s">
        <v>9057</v>
      </c>
      <c r="B1567" s="2" t="s">
        <v>28</v>
      </c>
      <c r="C1567" s="18" t="s">
        <v>1821</v>
      </c>
      <c r="D1567" s="2" t="s">
        <v>30</v>
      </c>
      <c r="E1567" s="2" t="s">
        <v>31</v>
      </c>
      <c r="F1567" s="11" t="s">
        <v>758</v>
      </c>
      <c r="G1567" s="11" t="s">
        <v>759</v>
      </c>
      <c r="H1567" s="2">
        <v>2023</v>
      </c>
      <c r="I1567" s="2" t="s">
        <v>385</v>
      </c>
      <c r="J1567" s="8">
        <f>+Tabla1[[#This Row],[FECHA ENTRADA]]</f>
        <v>45436</v>
      </c>
      <c r="K1567" s="22">
        <v>45821</v>
      </c>
      <c r="L1567" s="13">
        <f>_xlfn.DAYS(Tabla1[[#This Row],[FECHA FIN ]],Tabla1[[#This Row],[FECHA INICIO]])</f>
        <v>385</v>
      </c>
      <c r="M1567" s="12"/>
      <c r="N1567" s="20">
        <v>212.5</v>
      </c>
      <c r="O1567" s="12">
        <f>(Tabla1[[#This Row],[COSTO FIJO ]]/30)*Tabla1[[#This Row],[TOTAL DIAS PROYECTO]]+(Tabla1[[#This Row],[COSTO TEMPORAL]])</f>
        <v>2727.083333333333</v>
      </c>
      <c r="P1567" s="12"/>
      <c r="Q1567" s="12">
        <f>+(Tabla1[[#This Row],[COSTO COCHE]]/30)*Tabla1[[#This Row],[TOTAL DIAS PROYECTO]]</f>
        <v>0</v>
      </c>
      <c r="R1567" s="12">
        <f>+Tabla1[[#This Row],[COSTO TOTAL ALOJAMIENTO]]+Tabla1[[#This Row],[COSTO TOTAL COCHE]]</f>
        <v>2727.083333333333</v>
      </c>
      <c r="S1567" s="2"/>
      <c r="T1567" s="2" t="s">
        <v>35</v>
      </c>
      <c r="U1567" s="14">
        <v>45436</v>
      </c>
      <c r="V1567" s="14"/>
      <c r="W1567" s="15"/>
      <c r="X1567" s="16">
        <v>1</v>
      </c>
      <c r="Y1567" s="18"/>
      <c r="Z1567" s="2" t="s">
        <v>36</v>
      </c>
      <c r="AA1567" s="13" t="s">
        <v>10323</v>
      </c>
      <c r="AB1567" s="13" t="s">
        <v>10324</v>
      </c>
    </row>
    <row r="1568" spans="1:28" ht="15" customHeight="1">
      <c r="A1568" s="2" t="s">
        <v>8846</v>
      </c>
      <c r="B1568" s="2" t="s">
        <v>28</v>
      </c>
      <c r="C1568" s="11" t="s">
        <v>1000</v>
      </c>
      <c r="D1568" s="2" t="s">
        <v>30</v>
      </c>
      <c r="E1568" s="2" t="s">
        <v>225</v>
      </c>
      <c r="F1568" s="11" t="s">
        <v>3112</v>
      </c>
      <c r="G1568" s="46" t="s">
        <v>3113</v>
      </c>
      <c r="H1568" s="2" t="s">
        <v>3114</v>
      </c>
      <c r="I1568" s="12" t="s">
        <v>228</v>
      </c>
      <c r="J1568" s="41">
        <f>+Tabla1[[#This Row],[FECHA ENTRADA]]</f>
        <v>45671</v>
      </c>
      <c r="K1568" s="41">
        <v>45673</v>
      </c>
      <c r="L1568" s="42">
        <f>_xlfn.DAYS(Tabla1[[#This Row],[FECHA FIN ]],Tabla1[[#This Row],[FECHA INICIO]])</f>
        <v>2</v>
      </c>
      <c r="M1568" s="12"/>
      <c r="N1568" s="12">
        <f>27.8+27.8</f>
        <v>55.6</v>
      </c>
      <c r="O1568" s="28">
        <f>(Tabla1[[#This Row],[COSTO FIJO ]]/30)*Tabla1[[#This Row],[TOTAL DIAS PROYECTO]]+(Tabla1[[#This Row],[COSTO TEMPORAL]])</f>
        <v>3.7066666666666666</v>
      </c>
      <c r="P1568" s="12"/>
      <c r="Q1568" s="12">
        <f>+(Tabla1[[#This Row],[COSTO COCHE]]/30)*Tabla1[[#This Row],[TOTAL DIAS PROYECTO]]</f>
        <v>0</v>
      </c>
      <c r="R1568" s="12">
        <f>+Tabla1[[#This Row],[COSTO TOTAL ALOJAMIENTO]]+Tabla1[[#This Row],[COSTO TOTAL COCHE]]</f>
        <v>3.7066666666666666</v>
      </c>
      <c r="S1568" s="2"/>
      <c r="T1568" s="2" t="s">
        <v>44</v>
      </c>
      <c r="U1568" s="14">
        <v>45671</v>
      </c>
      <c r="V1568" s="43">
        <v>45673</v>
      </c>
      <c r="W1568" s="26"/>
      <c r="X1568" s="2"/>
      <c r="Y1568" s="11"/>
      <c r="Z1568" s="2" t="s">
        <v>36</v>
      </c>
      <c r="AA1568" s="13" t="s">
        <v>10353</v>
      </c>
      <c r="AB1568" s="13" t="s">
        <v>10354</v>
      </c>
    </row>
    <row r="1569" spans="1:28" ht="15" customHeight="1">
      <c r="A1569" s="2" t="s">
        <v>9421</v>
      </c>
      <c r="B1569" s="2" t="s">
        <v>28</v>
      </c>
      <c r="C1569" s="195" t="s">
        <v>3115</v>
      </c>
      <c r="D1569" s="2" t="s">
        <v>99</v>
      </c>
      <c r="E1569" s="2" t="s">
        <v>31</v>
      </c>
      <c r="F1569" s="11" t="s">
        <v>530</v>
      </c>
      <c r="G1569" s="49" t="s">
        <v>531</v>
      </c>
      <c r="H1569" s="2" t="s">
        <v>3116</v>
      </c>
      <c r="I1569" s="10" t="s">
        <v>1480</v>
      </c>
      <c r="J1569" s="22">
        <f>+Tabla1[[#This Row],[FECHA ENTRADA]]</f>
        <v>45791</v>
      </c>
      <c r="K1569" s="22">
        <v>45821</v>
      </c>
      <c r="L1569" s="13">
        <f>_xlfn.DAYS(Tabla1[[#This Row],[FECHA FIN ]],Tabla1[[#This Row],[FECHA INICIO]])</f>
        <v>30</v>
      </c>
      <c r="M1569" s="12"/>
      <c r="N1569" s="12">
        <v>187.5</v>
      </c>
      <c r="O1569" s="12">
        <f>(Tabla1[[#This Row],[COSTO FIJO ]]/30)*Tabla1[[#This Row],[TOTAL DIAS PROYECTO]]+(Tabla1[[#This Row],[COSTO TEMPORAL]])</f>
        <v>187.5</v>
      </c>
      <c r="P1569" s="12"/>
      <c r="Q1569" s="12">
        <f>+(Tabla1[[#This Row],[COSTO COCHE]]/30)*Tabla1[[#This Row],[TOTAL DIAS PROYECTO]]</f>
        <v>0</v>
      </c>
      <c r="R1569" s="12">
        <f>+Tabla1[[#This Row],[COSTO TOTAL ALOJAMIENTO]]+Tabla1[[#This Row],[COSTO TOTAL COCHE]]</f>
        <v>187.5</v>
      </c>
      <c r="S1569" s="2"/>
      <c r="T1569" s="2" t="s">
        <v>35</v>
      </c>
      <c r="U1569" s="14">
        <v>45791</v>
      </c>
      <c r="V1569" s="14"/>
      <c r="W1569" s="15"/>
      <c r="X1569" s="16">
        <v>1</v>
      </c>
      <c r="Y1569" t="s">
        <v>3117</v>
      </c>
      <c r="Z1569" s="2" t="s">
        <v>36</v>
      </c>
      <c r="AA1569" s="13" t="s">
        <v>10323</v>
      </c>
      <c r="AB1569" s="13" t="s">
        <v>10324</v>
      </c>
    </row>
    <row r="1570" spans="1:28" ht="15" customHeight="1">
      <c r="A1570" s="2" t="s">
        <v>9422</v>
      </c>
      <c r="B1570" s="2" t="s">
        <v>368</v>
      </c>
      <c r="C1570" s="87" t="s">
        <v>3118</v>
      </c>
      <c r="D1570" s="2" t="s">
        <v>30</v>
      </c>
      <c r="E1570" s="2" t="s">
        <v>253</v>
      </c>
      <c r="F1570" s="11" t="s">
        <v>581</v>
      </c>
      <c r="G1570" s="11" t="s">
        <v>255</v>
      </c>
      <c r="H1570" s="2" t="s">
        <v>2300</v>
      </c>
      <c r="I1570" s="12" t="s">
        <v>666</v>
      </c>
      <c r="J1570" s="41">
        <f>+Tabla1[[#This Row],[FECHA ENTRADA]]</f>
        <v>45603</v>
      </c>
      <c r="K1570" s="22">
        <v>45821</v>
      </c>
      <c r="L1570" s="42">
        <f>_xlfn.DAYS(Tabla1[[#This Row],[FECHA FIN ]],Tabla1[[#This Row],[FECHA INICIO]])</f>
        <v>218</v>
      </c>
      <c r="M1570" s="12"/>
      <c r="N1570" s="28"/>
      <c r="O1570" s="28">
        <f>(Tabla1[[#This Row],[COSTO FIJO ]]/30)*Tabla1[[#This Row],[TOTAL DIAS PROYECTO]]+(Tabla1[[#This Row],[COSTO TEMPORAL]])</f>
        <v>0</v>
      </c>
      <c r="P1570" s="12"/>
      <c r="Q1570" s="12">
        <f>+(Tabla1[[#This Row],[COSTO COCHE]]/30)*Tabla1[[#This Row],[TOTAL DIAS PROYECTO]]</f>
        <v>0</v>
      </c>
      <c r="R1570" s="12">
        <f>+Tabla1[[#This Row],[COSTO TOTAL ALOJAMIENTO]]+Tabla1[[#This Row],[COSTO TOTAL COCHE]]</f>
        <v>0</v>
      </c>
      <c r="S1570" s="2"/>
      <c r="T1570" s="2" t="s">
        <v>35</v>
      </c>
      <c r="U1570" s="14">
        <v>45603</v>
      </c>
      <c r="V1570" s="43"/>
      <c r="W1570" s="26"/>
      <c r="X1570" s="2">
        <v>1</v>
      </c>
      <c r="Y1570" s="11"/>
      <c r="Z1570" s="2" t="s">
        <v>36</v>
      </c>
      <c r="AA1570" s="13" t="s">
        <v>10357</v>
      </c>
      <c r="AB1570" s="13" t="s">
        <v>10358</v>
      </c>
    </row>
    <row r="1571" spans="1:28" ht="15" customHeight="1">
      <c r="A1571" s="2" t="s">
        <v>9319</v>
      </c>
      <c r="B1571" s="2" t="s">
        <v>368</v>
      </c>
      <c r="C1571" s="11" t="s">
        <v>2812</v>
      </c>
      <c r="D1571" s="2" t="s">
        <v>30</v>
      </c>
      <c r="E1571" s="2" t="s">
        <v>855</v>
      </c>
      <c r="F1571" s="11" t="s">
        <v>1429</v>
      </c>
      <c r="G1571" s="46" t="s">
        <v>1430</v>
      </c>
      <c r="H1571" s="2" t="s">
        <v>1431</v>
      </c>
      <c r="I1571" s="12" t="s">
        <v>843</v>
      </c>
      <c r="J1571" s="41">
        <f>+Tabla1[[#This Row],[FECHA ENTRADA]]</f>
        <v>45671</v>
      </c>
      <c r="K1571" s="22">
        <v>45821</v>
      </c>
      <c r="L1571" s="42">
        <f>_xlfn.DAYS(Tabla1[[#This Row],[FECHA FIN ]],Tabla1[[#This Row],[FECHA INICIO]])</f>
        <v>150</v>
      </c>
      <c r="M1571" s="12"/>
      <c r="N1571" s="12"/>
      <c r="O1571" s="28">
        <f>(Tabla1[[#This Row],[COSTO FIJO ]]/30)*Tabla1[[#This Row],[TOTAL DIAS PROYECTO]]+(Tabla1[[#This Row],[COSTO TEMPORAL]])</f>
        <v>0</v>
      </c>
      <c r="P1571" s="12"/>
      <c r="Q1571" s="12">
        <f>+(Tabla1[[#This Row],[COSTO COCHE]]/30)*Tabla1[[#This Row],[TOTAL DIAS PROYECTO]]</f>
        <v>0</v>
      </c>
      <c r="R1571" s="12">
        <f>+Tabla1[[#This Row],[COSTO TOTAL ALOJAMIENTO]]+Tabla1[[#This Row],[COSTO TOTAL COCHE]]</f>
        <v>0</v>
      </c>
      <c r="S1571" s="2" t="s">
        <v>84</v>
      </c>
      <c r="T1571" s="2" t="s">
        <v>44</v>
      </c>
      <c r="U1571" s="14">
        <v>45671</v>
      </c>
      <c r="V1571" s="43">
        <v>45689</v>
      </c>
      <c r="W1571" s="26"/>
      <c r="X1571" s="2"/>
      <c r="Y1571" s="11"/>
      <c r="Z1571" s="2" t="s">
        <v>36</v>
      </c>
      <c r="AA1571" s="13" t="s">
        <v>10401</v>
      </c>
      <c r="AB1571" s="13" t="s">
        <v>10402</v>
      </c>
    </row>
    <row r="1572" spans="1:28" ht="15" customHeight="1">
      <c r="A1572" s="2" t="s">
        <v>9423</v>
      </c>
      <c r="B1572" s="2" t="s">
        <v>28</v>
      </c>
      <c r="C1572" s="18" t="s">
        <v>3119</v>
      </c>
      <c r="D1572" s="2" t="s">
        <v>30</v>
      </c>
      <c r="E1572" s="2" t="s">
        <v>151</v>
      </c>
      <c r="F1572" s="11" t="s">
        <v>706</v>
      </c>
      <c r="G1572" s="11" t="s">
        <v>707</v>
      </c>
      <c r="H1572" s="2" t="s">
        <v>3120</v>
      </c>
      <c r="I1572" s="12" t="s">
        <v>152</v>
      </c>
      <c r="J1572" s="8">
        <f>+Tabla1[[#This Row],[FECHA ENTRADA]]</f>
        <v>45383</v>
      </c>
      <c r="K1572" s="22">
        <v>45821</v>
      </c>
      <c r="L1572" s="13">
        <f>_xlfn.DAYS(Tabla1[[#This Row],[FECHA FIN ]],Tabla1[[#This Row],[FECHA INICIO]])</f>
        <v>438</v>
      </c>
      <c r="M1572" s="12"/>
      <c r="N1572" s="12">
        <v>290</v>
      </c>
      <c r="O1572" s="12">
        <f>(Tabla1[[#This Row],[COSTO FIJO ]]/30)*Tabla1[[#This Row],[TOTAL DIAS PROYECTO]]+(Tabla1[[#This Row],[COSTO TEMPORAL]])</f>
        <v>4234</v>
      </c>
      <c r="P1572" s="12"/>
      <c r="Q1572" s="12">
        <f>+(Tabla1[[#This Row],[COSTO COCHE]]/30)*Tabla1[[#This Row],[TOTAL DIAS PROYECTO]]</f>
        <v>0</v>
      </c>
      <c r="R1572" s="12">
        <f>+Tabla1[[#This Row],[COSTO TOTAL ALOJAMIENTO]]+Tabla1[[#This Row],[COSTO TOTAL COCHE]]</f>
        <v>4234</v>
      </c>
      <c r="S1572" s="2"/>
      <c r="T1572" s="2" t="s">
        <v>35</v>
      </c>
      <c r="U1572" s="14">
        <v>45383</v>
      </c>
      <c r="V1572" s="14"/>
      <c r="W1572" s="15"/>
      <c r="X1572" s="16">
        <v>1</v>
      </c>
      <c r="Y1572" s="18" t="s">
        <v>3121</v>
      </c>
      <c r="Z1572" s="2" t="s">
        <v>36</v>
      </c>
      <c r="AA1572" s="13" t="s">
        <v>10345</v>
      </c>
      <c r="AB1572" s="13" t="s">
        <v>10346</v>
      </c>
    </row>
    <row r="1573" spans="1:28" ht="15" customHeight="1">
      <c r="A1573" s="2" t="s">
        <v>9055</v>
      </c>
      <c r="B1573" s="2" t="s">
        <v>368</v>
      </c>
      <c r="C1573" s="18" t="s">
        <v>1816</v>
      </c>
      <c r="D1573" s="2" t="s">
        <v>30</v>
      </c>
      <c r="E1573" s="2" t="s">
        <v>31</v>
      </c>
      <c r="F1573" s="11" t="s">
        <v>451</v>
      </c>
      <c r="G1573" s="50" t="s">
        <v>452</v>
      </c>
      <c r="H1573" s="2" t="s">
        <v>1246</v>
      </c>
      <c r="I1573" s="12" t="s">
        <v>1104</v>
      </c>
      <c r="J1573" s="8">
        <f>+Tabla1[[#This Row],[FECHA ENTRADA]]</f>
        <v>45511</v>
      </c>
      <c r="K1573" s="22">
        <v>45821</v>
      </c>
      <c r="L1573" s="13">
        <f>_xlfn.DAYS(Tabla1[[#This Row],[FECHA FIN ]],Tabla1[[#This Row],[FECHA INICIO]])</f>
        <v>310</v>
      </c>
      <c r="M1573" s="12"/>
      <c r="N1573" s="47">
        <v>283.33</v>
      </c>
      <c r="O1573" s="47">
        <f>(Tabla1[[#This Row],[COSTO FIJO ]]/30)*Tabla1[[#This Row],[TOTAL DIAS PROYECTO]]+(Tabla1[[#This Row],[COSTO TEMPORAL]])</f>
        <v>2927.7433333333333</v>
      </c>
      <c r="P1573" s="47"/>
      <c r="Q1573" s="47">
        <f>+(Tabla1[[#This Row],[COSTO COCHE]]/30)*Tabla1[[#This Row],[TOTAL DIAS PROYECTO]]</f>
        <v>0</v>
      </c>
      <c r="R1573" s="47">
        <f>+Tabla1[[#This Row],[COSTO TOTAL ALOJAMIENTO]]+Tabla1[[#This Row],[COSTO TOTAL COCHE]]</f>
        <v>2927.7433333333333</v>
      </c>
      <c r="S1573" s="2"/>
      <c r="T1573" s="2" t="s">
        <v>35</v>
      </c>
      <c r="U1573" s="14">
        <v>45511</v>
      </c>
      <c r="V1573" s="89"/>
      <c r="W1573" s="26"/>
      <c r="X1573" s="2">
        <v>1</v>
      </c>
      <c r="Y1573" s="11" t="s">
        <v>3122</v>
      </c>
      <c r="Z1573" s="2" t="s">
        <v>36</v>
      </c>
      <c r="AA1573" s="13" t="s">
        <v>10323</v>
      </c>
      <c r="AB1573" s="13" t="s">
        <v>10324</v>
      </c>
    </row>
    <row r="1574" spans="1:28" ht="15" customHeight="1">
      <c r="A1574" s="2" t="s">
        <v>9055</v>
      </c>
      <c r="B1574" s="2" t="s">
        <v>368</v>
      </c>
      <c r="C1574" s="18" t="s">
        <v>1816</v>
      </c>
      <c r="D1574" s="2" t="s">
        <v>30</v>
      </c>
      <c r="E1574" s="2" t="s">
        <v>31</v>
      </c>
      <c r="F1574" s="11" t="s">
        <v>451</v>
      </c>
      <c r="G1574" s="11" t="s">
        <v>452</v>
      </c>
      <c r="H1574" s="2" t="s">
        <v>453</v>
      </c>
      <c r="I1574" s="12" t="s">
        <v>454</v>
      </c>
      <c r="J1574" s="8">
        <f>+Tabla1[[#This Row],[FECHA ENTRADA]]</f>
        <v>45499</v>
      </c>
      <c r="K1574" s="22">
        <v>45821</v>
      </c>
      <c r="L1574" s="13">
        <f>_xlfn.DAYS(Tabla1[[#This Row],[FECHA FIN ]],Tabla1[[#This Row],[FECHA INICIO]])</f>
        <v>322</v>
      </c>
      <c r="M1574" s="12"/>
      <c r="N1574" s="12">
        <f>1700/5</f>
        <v>340</v>
      </c>
      <c r="O1574" s="12">
        <f>(Tabla1[[#This Row],[COSTO FIJO ]]/30)*Tabla1[[#This Row],[TOTAL DIAS PROYECTO]]+(Tabla1[[#This Row],[COSTO TEMPORAL]])</f>
        <v>3649.3333333333335</v>
      </c>
      <c r="P1574" s="12"/>
      <c r="Q1574" s="12">
        <f>+(Tabla1[[#This Row],[COSTO COCHE]]/30)*Tabla1[[#This Row],[TOTAL DIAS PROYECTO]]</f>
        <v>0</v>
      </c>
      <c r="R1574" s="12">
        <f>+Tabla1[[#This Row],[COSTO TOTAL ALOJAMIENTO]]+Tabla1[[#This Row],[COSTO TOTAL COCHE]]</f>
        <v>3649.3333333333335</v>
      </c>
      <c r="S1574" s="2"/>
      <c r="T1574" s="2" t="s">
        <v>35</v>
      </c>
      <c r="U1574" s="14">
        <v>45499</v>
      </c>
      <c r="V1574" s="14"/>
      <c r="W1574" s="26"/>
      <c r="X1574" s="2">
        <v>1</v>
      </c>
      <c r="Y1574" s="18" t="s">
        <v>455</v>
      </c>
      <c r="Z1574" s="2" t="s">
        <v>36</v>
      </c>
      <c r="AA1574" s="13" t="s">
        <v>10323</v>
      </c>
      <c r="AB1574" s="13" t="s">
        <v>10324</v>
      </c>
    </row>
    <row r="1575" spans="1:28" ht="15" customHeight="1">
      <c r="A1575" s="2" t="s">
        <v>9268</v>
      </c>
      <c r="B1575" s="2" t="s">
        <v>368</v>
      </c>
      <c r="C1575" s="145" t="s">
        <v>2657</v>
      </c>
      <c r="D1575" s="2" t="s">
        <v>30</v>
      </c>
      <c r="E1575" s="2" t="s">
        <v>855</v>
      </c>
      <c r="F1575" s="11" t="s">
        <v>1429</v>
      </c>
      <c r="G1575" s="46" t="s">
        <v>1430</v>
      </c>
      <c r="H1575" s="2" t="s">
        <v>1431</v>
      </c>
      <c r="I1575" s="12" t="s">
        <v>843</v>
      </c>
      <c r="J1575" s="41">
        <f>+Tabla1[[#This Row],[FECHA ENTRADA]]</f>
        <v>45671</v>
      </c>
      <c r="K1575" s="22">
        <v>45821</v>
      </c>
      <c r="L1575" s="42">
        <f>_xlfn.DAYS(Tabla1[[#This Row],[FECHA FIN ]],Tabla1[[#This Row],[FECHA INICIO]])</f>
        <v>150</v>
      </c>
      <c r="M1575" s="12"/>
      <c r="N1575" s="12">
        <f>1811.6/17</f>
        <v>106.56470588235294</v>
      </c>
      <c r="O1575" s="28">
        <f>(Tabla1[[#This Row],[COSTO FIJO ]]/30)*Tabla1[[#This Row],[TOTAL DIAS PROYECTO]]+(Tabla1[[#This Row],[COSTO TEMPORAL]])</f>
        <v>532.82352941176475</v>
      </c>
      <c r="P1575" s="12"/>
      <c r="Q1575" s="12">
        <f>+(Tabla1[[#This Row],[COSTO COCHE]]/30)*Tabla1[[#This Row],[TOTAL DIAS PROYECTO]]</f>
        <v>0</v>
      </c>
      <c r="R1575" s="12">
        <f>+Tabla1[[#This Row],[COSTO TOTAL ALOJAMIENTO]]+Tabla1[[#This Row],[COSTO TOTAL COCHE]]</f>
        <v>532.82352941176475</v>
      </c>
      <c r="S1575" s="2" t="s">
        <v>84</v>
      </c>
      <c r="T1575" s="2" t="s">
        <v>44</v>
      </c>
      <c r="U1575" s="14">
        <v>45671</v>
      </c>
      <c r="V1575" s="43">
        <v>45689</v>
      </c>
      <c r="W1575" s="26"/>
      <c r="X1575" s="2"/>
      <c r="Y1575" s="11"/>
      <c r="Z1575" s="2" t="s">
        <v>36</v>
      </c>
      <c r="AA1575" s="13" t="s">
        <v>10401</v>
      </c>
      <c r="AB1575" s="13" t="s">
        <v>10402</v>
      </c>
    </row>
    <row r="1576" spans="1:28" ht="15" customHeight="1">
      <c r="A1576" s="2" t="s">
        <v>9424</v>
      </c>
      <c r="B1576" s="2" t="s">
        <v>28</v>
      </c>
      <c r="C1576" s="11" t="s">
        <v>3123</v>
      </c>
      <c r="D1576" s="2" t="s">
        <v>30</v>
      </c>
      <c r="E1576" s="2" t="s">
        <v>31</v>
      </c>
      <c r="F1576" s="11" t="s">
        <v>758</v>
      </c>
      <c r="G1576" s="11" t="s">
        <v>759</v>
      </c>
      <c r="H1576" s="2" t="s">
        <v>3124</v>
      </c>
      <c r="I1576" s="12" t="s">
        <v>1453</v>
      </c>
      <c r="J1576" s="22">
        <f>+Tabla1[[#This Row],[FECHA ENTRADA]]</f>
        <v>45522</v>
      </c>
      <c r="K1576" s="22">
        <v>46147</v>
      </c>
      <c r="L1576" s="23">
        <f>_xlfn.DAYS(Tabla1[[#This Row],[FECHA FIN ]],Tabla1[[#This Row],[FECHA INICIO]])</f>
        <v>625</v>
      </c>
      <c r="M1576" s="12"/>
      <c r="N1576" s="12">
        <v>212.5</v>
      </c>
      <c r="O1576" s="24">
        <f>(Tabla1[[#This Row],[COSTO FIJO ]]/30)*Tabla1[[#This Row],[TOTAL DIAS PROYECTO]]+(Tabla1[[#This Row],[COSTO TEMPORAL]])</f>
        <v>4427.083333333333</v>
      </c>
      <c r="P1576" s="12"/>
      <c r="Q1576" s="12">
        <f>+(Tabla1[[#This Row],[COSTO COCHE]]/30)*Tabla1[[#This Row],[TOTAL DIAS PROYECTO]]</f>
        <v>0</v>
      </c>
      <c r="R1576" s="12">
        <f>+Tabla1[[#This Row],[COSTO TOTAL ALOJAMIENTO]]+Tabla1[[#This Row],[COSTO TOTAL COCHE]]</f>
        <v>4427.083333333333</v>
      </c>
      <c r="S1576" s="2"/>
      <c r="T1576" s="2" t="s">
        <v>35</v>
      </c>
      <c r="U1576" s="14">
        <v>45522</v>
      </c>
      <c r="V1576" s="79"/>
      <c r="W1576" s="26"/>
      <c r="X1576" s="2">
        <v>1</v>
      </c>
      <c r="Y1576" s="11"/>
      <c r="Z1576" s="2" t="s">
        <v>36</v>
      </c>
      <c r="AA1576" s="13" t="s">
        <v>10323</v>
      </c>
      <c r="AB1576" s="13" t="s">
        <v>10324</v>
      </c>
    </row>
    <row r="1577" spans="1:28" ht="15.75" customHeight="1">
      <c r="A1577" s="2" t="s">
        <v>9226</v>
      </c>
      <c r="B1577" s="2" t="s">
        <v>28</v>
      </c>
      <c r="C1577" s="11" t="s">
        <v>2505</v>
      </c>
      <c r="D1577" s="2" t="s">
        <v>30</v>
      </c>
      <c r="E1577" s="2" t="s">
        <v>720</v>
      </c>
      <c r="F1577" s="11" t="s">
        <v>721</v>
      </c>
      <c r="G1577" s="11" t="s">
        <v>722</v>
      </c>
      <c r="H1577" s="2" t="s">
        <v>723</v>
      </c>
      <c r="I1577" s="12" t="s">
        <v>547</v>
      </c>
      <c r="J1577" s="8">
        <f>+Tabla1[[#This Row],[FECHA ENTRADA]]</f>
        <v>45544</v>
      </c>
      <c r="K1577" s="8">
        <v>45553</v>
      </c>
      <c r="L1577" s="13">
        <f>_xlfn.DAYS(Tabla1[[#This Row],[FECHA FIN ]],Tabla1[[#This Row],[FECHA INICIO]])</f>
        <v>9</v>
      </c>
      <c r="M1577" s="12"/>
      <c r="N1577" s="12">
        <v>333.33333333333331</v>
      </c>
      <c r="O1577" s="12">
        <f>(Tabla1[[#This Row],[COSTO FIJO ]]/30)*Tabla1[[#This Row],[TOTAL DIAS PROYECTO]]+(Tabla1[[#This Row],[COSTO TEMPORAL]])</f>
        <v>100</v>
      </c>
      <c r="P1577" s="12">
        <f>+(576.73*50%)/2</f>
        <v>144.1825</v>
      </c>
      <c r="Q1577" s="12">
        <f>+(Tabla1[[#This Row],[COSTO COCHE]]/30)*Tabla1[[#This Row],[TOTAL DIAS PROYECTO]]</f>
        <v>43.254750000000001</v>
      </c>
      <c r="R1577" s="12">
        <f>+Tabla1[[#This Row],[COSTO TOTAL ALOJAMIENTO]]+Tabla1[[#This Row],[COSTO TOTAL COCHE]]</f>
        <v>143.25475</v>
      </c>
      <c r="S1577" s="2"/>
      <c r="T1577" s="2" t="s">
        <v>35</v>
      </c>
      <c r="U1577" s="14">
        <v>45544</v>
      </c>
      <c r="V1577" s="14"/>
      <c r="W1577" s="26"/>
      <c r="X1577" s="2">
        <v>1</v>
      </c>
      <c r="Y1577" s="31" t="s">
        <v>3125</v>
      </c>
      <c r="Z1577" s="2" t="s">
        <v>36</v>
      </c>
      <c r="AA1577" s="13" t="s">
        <v>10394</v>
      </c>
      <c r="AB1577" s="13" t="s">
        <v>10395</v>
      </c>
    </row>
    <row r="1578" spans="1:28" ht="15" customHeight="1">
      <c r="A1578" s="2" t="s">
        <v>9235</v>
      </c>
      <c r="B1578" s="2" t="s">
        <v>28</v>
      </c>
      <c r="C1578" s="11" t="s">
        <v>2535</v>
      </c>
      <c r="D1578" s="2" t="s">
        <v>30</v>
      </c>
      <c r="E1578" s="2" t="s">
        <v>422</v>
      </c>
      <c r="F1578" s="11" t="s">
        <v>3093</v>
      </c>
      <c r="G1578" s="49" t="s">
        <v>2452</v>
      </c>
      <c r="H1578" s="2" t="s">
        <v>2453</v>
      </c>
      <c r="I1578" s="12" t="s">
        <v>2454</v>
      </c>
      <c r="J1578" s="22">
        <f>+Tabla1[[#This Row],[FECHA ENTRADA]]</f>
        <v>45782</v>
      </c>
      <c r="K1578" s="22">
        <v>45821</v>
      </c>
      <c r="L1578" s="23">
        <f>_xlfn.DAYS(Tabla1[[#This Row],[FECHA FIN ]],Tabla1[[#This Row],[FECHA INICIO]])</f>
        <v>39</v>
      </c>
      <c r="M1578" s="12"/>
      <c r="N1578" s="24"/>
      <c r="O1578" s="24">
        <f>(Tabla1[[#This Row],[COSTO FIJO ]]/30)*Tabla1[[#This Row],[TOTAL DIAS PROYECTO]]+(Tabla1[[#This Row],[COSTO TEMPORAL]])</f>
        <v>0</v>
      </c>
      <c r="P1578" s="12"/>
      <c r="Q1578" s="12">
        <f>+(Tabla1[[#This Row],[COSTO COCHE]]/30)*Tabla1[[#This Row],[TOTAL DIAS PROYECTO]]</f>
        <v>0</v>
      </c>
      <c r="R1578" s="12">
        <f>+Tabla1[[#This Row],[COSTO TOTAL ALOJAMIENTO]]+Tabla1[[#This Row],[COSTO TOTAL COCHE]]</f>
        <v>0</v>
      </c>
      <c r="S1578" s="2"/>
      <c r="T1578" s="14" t="s">
        <v>44</v>
      </c>
      <c r="U1578" s="14">
        <v>45782</v>
      </c>
      <c r="V1578" s="25">
        <v>45797</v>
      </c>
      <c r="W1578" s="2"/>
      <c r="X1578" s="2"/>
      <c r="Y1578" s="11"/>
      <c r="Z1578" s="2" t="s">
        <v>36</v>
      </c>
      <c r="AA1578" s="13">
        <v>-326.69799999999998</v>
      </c>
      <c r="AB1578" s="13" t="s">
        <v>10373</v>
      </c>
    </row>
    <row r="1579" spans="1:28" ht="15" customHeight="1">
      <c r="A1579" s="2" t="s">
        <v>9297</v>
      </c>
      <c r="B1579" s="2" t="s">
        <v>368</v>
      </c>
      <c r="C1579" s="196" t="s">
        <v>2736</v>
      </c>
      <c r="D1579" s="2" t="s">
        <v>30</v>
      </c>
      <c r="E1579" s="2" t="s">
        <v>213</v>
      </c>
      <c r="F1579" s="11" t="s">
        <v>996</v>
      </c>
      <c r="G1579" s="11" t="s">
        <v>997</v>
      </c>
      <c r="H1579" s="2" t="s">
        <v>1124</v>
      </c>
      <c r="I1579" s="12" t="s">
        <v>514</v>
      </c>
      <c r="J1579" s="8">
        <f>+Tabla1[[#This Row],[FECHA ENTRADA]]</f>
        <v>45546</v>
      </c>
      <c r="K1579" s="22">
        <v>45821</v>
      </c>
      <c r="L1579" s="13">
        <f>_xlfn.DAYS(Tabla1[[#This Row],[FECHA FIN ]],Tabla1[[#This Row],[FECHA INICIO]])</f>
        <v>275</v>
      </c>
      <c r="M1579" s="12"/>
      <c r="N1579" s="12">
        <v>341</v>
      </c>
      <c r="O1579" s="12">
        <f>(Tabla1[[#This Row],[COSTO FIJO ]]/30)*Tabla1[[#This Row],[TOTAL DIAS PROYECTO]]+(Tabla1[[#This Row],[COSTO TEMPORAL]])</f>
        <v>3125.8333333333335</v>
      </c>
      <c r="P1579" s="12">
        <f>((800+651.96)*50%)/10</f>
        <v>72.597999999999999</v>
      </c>
      <c r="Q1579" s="12">
        <f>+(Tabla1[[#This Row],[COSTO COCHE]]/30)*Tabla1[[#This Row],[TOTAL DIAS PROYECTO]]</f>
        <v>665.48166666666668</v>
      </c>
      <c r="R1579" s="12">
        <f>+Tabla1[[#This Row],[COSTO TOTAL ALOJAMIENTO]]+Tabla1[[#This Row],[COSTO TOTAL COCHE]]</f>
        <v>3791.3150000000001</v>
      </c>
      <c r="S1579" s="2"/>
      <c r="T1579" s="2" t="s">
        <v>35</v>
      </c>
      <c r="U1579" s="14">
        <v>45546</v>
      </c>
      <c r="V1579" s="14"/>
      <c r="W1579" s="26"/>
      <c r="X1579" s="2">
        <v>1</v>
      </c>
      <c r="Y1579" s="11"/>
      <c r="Z1579" s="64" t="s">
        <v>36</v>
      </c>
      <c r="AA1579" s="13" t="s">
        <v>10349</v>
      </c>
      <c r="AB1579" s="13" t="s">
        <v>10350</v>
      </c>
    </row>
    <row r="1580" spans="1:28" ht="15" customHeight="1">
      <c r="A1580" s="2" t="s">
        <v>9122</v>
      </c>
      <c r="B1580" s="2" t="s">
        <v>368</v>
      </c>
      <c r="C1580" s="11" t="s">
        <v>2093</v>
      </c>
      <c r="D1580" s="2" t="s">
        <v>30</v>
      </c>
      <c r="E1580" s="2" t="s">
        <v>213</v>
      </c>
      <c r="F1580" s="11" t="s">
        <v>1525</v>
      </c>
      <c r="G1580" s="11" t="s">
        <v>1197</v>
      </c>
      <c r="H1580" s="2" t="s">
        <v>1122</v>
      </c>
      <c r="I1580" s="12" t="s">
        <v>514</v>
      </c>
      <c r="J1580" s="41">
        <f>+Tabla1[[#This Row],[FECHA ENTRADA]]</f>
        <v>45608</v>
      </c>
      <c r="K1580" s="22">
        <v>45671</v>
      </c>
      <c r="L1580" s="42">
        <f>_xlfn.DAYS(Tabla1[[#This Row],[FECHA FIN ]],Tabla1[[#This Row],[FECHA INICIO]])</f>
        <v>63</v>
      </c>
      <c r="M1580" s="12"/>
      <c r="N1580" s="12">
        <v>358.75</v>
      </c>
      <c r="O1580" s="28">
        <f>(Tabla1[[#This Row],[COSTO FIJO ]]/30)*Tabla1[[#This Row],[TOTAL DIAS PROYECTO]]+(Tabla1[[#This Row],[COSTO TEMPORAL]])</f>
        <v>753.375</v>
      </c>
      <c r="P1580" s="12"/>
      <c r="Q1580" s="12">
        <f>+(Tabla1[[#This Row],[COSTO COCHE]]/30)*Tabla1[[#This Row],[TOTAL DIAS PROYECTO]]</f>
        <v>0</v>
      </c>
      <c r="R1580" s="12">
        <f>+Tabla1[[#This Row],[COSTO TOTAL ALOJAMIENTO]]+Tabla1[[#This Row],[COSTO TOTAL COCHE]]</f>
        <v>753.375</v>
      </c>
      <c r="S1580" s="2"/>
      <c r="T1580" s="2" t="s">
        <v>35</v>
      </c>
      <c r="U1580" s="14">
        <v>45608</v>
      </c>
      <c r="V1580" s="43"/>
      <c r="W1580" s="26"/>
      <c r="X1580" s="2">
        <v>1</v>
      </c>
      <c r="Y1580" s="11" t="s">
        <v>3126</v>
      </c>
      <c r="Z1580" s="2" t="s">
        <v>36</v>
      </c>
      <c r="AA1580" s="13" t="s">
        <v>10349</v>
      </c>
      <c r="AB1580" s="13" t="s">
        <v>10350</v>
      </c>
    </row>
    <row r="1581" spans="1:28" ht="15" customHeight="1">
      <c r="A1581" s="2" t="s">
        <v>9425</v>
      </c>
      <c r="B1581" s="2" t="s">
        <v>978</v>
      </c>
      <c r="C1581" s="11" t="s">
        <v>3127</v>
      </c>
      <c r="D1581" s="2" t="s">
        <v>30</v>
      </c>
      <c r="E1581" s="2" t="s">
        <v>31</v>
      </c>
      <c r="F1581" s="11" t="s">
        <v>1004</v>
      </c>
      <c r="G1581" s="51" t="s">
        <v>1005</v>
      </c>
      <c r="H1581" s="2" t="s">
        <v>1539</v>
      </c>
      <c r="I1581" s="12" t="s">
        <v>1540</v>
      </c>
      <c r="J1581" s="41">
        <f>+Tabla1[[#This Row],[FECHA ENTRADA]]</f>
        <v>45717</v>
      </c>
      <c r="K1581" s="41">
        <v>45799</v>
      </c>
      <c r="L1581" s="42">
        <f>_xlfn.DAYS(Tabla1[[#This Row],[FECHA FIN ]],Tabla1[[#This Row],[FECHA INICIO]])</f>
        <v>82</v>
      </c>
      <c r="M1581" s="12"/>
      <c r="N1581" s="28">
        <v>320</v>
      </c>
      <c r="O1581" s="28">
        <f>(Tabla1[[#This Row],[COSTO FIJO ]]/30)*Tabla1[[#This Row],[TOTAL DIAS PROYECTO]]+(Tabla1[[#This Row],[COSTO TEMPORAL]])</f>
        <v>874.66666666666663</v>
      </c>
      <c r="P1581" s="12"/>
      <c r="Q1581" s="12">
        <f>+(Tabla1[[#This Row],[COSTO COCHE]]/30)*Tabla1[[#This Row],[TOTAL DIAS PROYECTO]]</f>
        <v>0</v>
      </c>
      <c r="R1581" s="12">
        <f>+Tabla1[[#This Row],[COSTO TOTAL ALOJAMIENTO]]+Tabla1[[#This Row],[COSTO TOTAL COCHE]]</f>
        <v>874.66666666666663</v>
      </c>
      <c r="S1581" s="2"/>
      <c r="T1581" s="2" t="s">
        <v>35</v>
      </c>
      <c r="U1581" s="14">
        <v>45717</v>
      </c>
      <c r="V1581" s="43"/>
      <c r="W1581" s="26"/>
      <c r="X1581" s="2">
        <v>1</v>
      </c>
      <c r="Y1581" s="11"/>
      <c r="Z1581" s="2" t="s">
        <v>36</v>
      </c>
      <c r="AA1581" s="13" t="s">
        <v>10323</v>
      </c>
      <c r="AB1581" s="13" t="s">
        <v>10324</v>
      </c>
    </row>
    <row r="1582" spans="1:28" ht="15" customHeight="1">
      <c r="A1582" s="2" t="s">
        <v>9426</v>
      </c>
      <c r="B1582" s="2" t="s">
        <v>28</v>
      </c>
      <c r="C1582" s="11" t="s">
        <v>3128</v>
      </c>
      <c r="D1582" s="2" t="s">
        <v>30</v>
      </c>
      <c r="E1582" s="2" t="s">
        <v>422</v>
      </c>
      <c r="F1582" s="11" t="s">
        <v>697</v>
      </c>
      <c r="G1582" s="11" t="s">
        <v>698</v>
      </c>
      <c r="H1582" s="2" t="s">
        <v>3129</v>
      </c>
      <c r="I1582" s="12" t="s">
        <v>2443</v>
      </c>
      <c r="J1582" s="22">
        <f>+Tabla1[[#This Row],[FECHA ENTRADA]]</f>
        <v>45783</v>
      </c>
      <c r="K1582" s="22">
        <v>45432</v>
      </c>
      <c r="L1582" s="23">
        <f>_xlfn.DAYS(Tabla1[[#This Row],[FECHA FIN ]],Tabla1[[#This Row],[FECHA INICIO]])</f>
        <v>-351</v>
      </c>
      <c r="M1582" s="12"/>
      <c r="N1582" s="12"/>
      <c r="O1582" s="24">
        <f>(Tabla1[[#This Row],[COSTO FIJO ]]/30)*Tabla1[[#This Row],[TOTAL DIAS PROYECTO]]+(Tabla1[[#This Row],[COSTO TEMPORAL]])</f>
        <v>0</v>
      </c>
      <c r="P1582" s="12"/>
      <c r="Q1582" s="12">
        <f>+(Tabla1[[#This Row],[COSTO COCHE]]/30)*Tabla1[[#This Row],[TOTAL DIAS PROYECTO]]</f>
        <v>0</v>
      </c>
      <c r="R1582" s="12">
        <f>+Tabla1[[#This Row],[COSTO TOTAL ALOJAMIENTO]]+Tabla1[[#This Row],[COSTO TOTAL COCHE]]</f>
        <v>0</v>
      </c>
      <c r="S1582" s="2"/>
      <c r="T1582" s="2" t="s">
        <v>613</v>
      </c>
      <c r="U1582" s="14">
        <v>45783</v>
      </c>
      <c r="V1582" s="25"/>
      <c r="W1582" s="26"/>
      <c r="X1582" s="2">
        <v>1</v>
      </c>
      <c r="Z1582" s="2" t="s">
        <v>36</v>
      </c>
      <c r="AA1582" s="13">
        <v>-326.69799999999998</v>
      </c>
      <c r="AB1582" s="13" t="s">
        <v>10373</v>
      </c>
    </row>
    <row r="1583" spans="1:28" ht="15" customHeight="1">
      <c r="A1583" s="2" t="s">
        <v>9122</v>
      </c>
      <c r="B1583" s="2" t="s">
        <v>368</v>
      </c>
      <c r="C1583" s="11" t="s">
        <v>2093</v>
      </c>
      <c r="D1583" s="2" t="s">
        <v>30</v>
      </c>
      <c r="E1583" s="2" t="s">
        <v>855</v>
      </c>
      <c r="F1583" s="11" t="s">
        <v>1429</v>
      </c>
      <c r="G1583" s="46" t="s">
        <v>1430</v>
      </c>
      <c r="H1583" s="2" t="s">
        <v>1431</v>
      </c>
      <c r="I1583" s="12" t="s">
        <v>843</v>
      </c>
      <c r="J1583" s="41">
        <f>+Tabla1[[#This Row],[FECHA ENTRADA]]</f>
        <v>45671</v>
      </c>
      <c r="K1583" s="22">
        <v>45685</v>
      </c>
      <c r="L1583" s="42">
        <f>_xlfn.DAYS(Tabla1[[#This Row],[FECHA FIN ]],Tabla1[[#This Row],[FECHA INICIO]])</f>
        <v>14</v>
      </c>
      <c r="M1583" s="12"/>
      <c r="N1583" s="20"/>
      <c r="O1583" s="28">
        <f>(Tabla1[[#This Row],[COSTO FIJO ]]/30)*Tabla1[[#This Row],[TOTAL DIAS PROYECTO]]+(Tabla1[[#This Row],[COSTO TEMPORAL]])</f>
        <v>0</v>
      </c>
      <c r="P1583" s="12"/>
      <c r="Q1583" s="12">
        <f>+(Tabla1[[#This Row],[COSTO COCHE]]/30)*Tabla1[[#This Row],[TOTAL DIAS PROYECTO]]</f>
        <v>0</v>
      </c>
      <c r="R1583" s="12">
        <f>+Tabla1[[#This Row],[COSTO TOTAL ALOJAMIENTO]]+Tabla1[[#This Row],[COSTO TOTAL COCHE]]</f>
        <v>0</v>
      </c>
      <c r="S1583" s="2" t="s">
        <v>84</v>
      </c>
      <c r="T1583" s="2" t="s">
        <v>44</v>
      </c>
      <c r="U1583" s="14">
        <v>45671</v>
      </c>
      <c r="V1583" s="43">
        <v>45689</v>
      </c>
      <c r="W1583" s="26"/>
      <c r="X1583" s="2"/>
      <c r="Y1583" s="11"/>
      <c r="Z1583" s="2" t="s">
        <v>36</v>
      </c>
      <c r="AA1583" s="13" t="s">
        <v>10401</v>
      </c>
      <c r="AB1583" s="13" t="s">
        <v>10402</v>
      </c>
    </row>
    <row r="1584" spans="1:28">
      <c r="A1584" s="2" t="s">
        <v>9427</v>
      </c>
      <c r="B1584" s="2" t="s">
        <v>28</v>
      </c>
      <c r="C1584" s="31" t="s">
        <v>3130</v>
      </c>
      <c r="D1584" s="2" t="s">
        <v>30</v>
      </c>
      <c r="E1584" s="2" t="s">
        <v>415</v>
      </c>
      <c r="F1584" s="11" t="s">
        <v>2773</v>
      </c>
      <c r="G1584" s="49" t="s">
        <v>1413</v>
      </c>
      <c r="H1584" s="2" t="s">
        <v>3131</v>
      </c>
      <c r="I1584" s="12" t="s">
        <v>800</v>
      </c>
      <c r="J1584" s="41">
        <f>+Tabla1[[#This Row],[FECHA ENTRADA]]</f>
        <v>45749</v>
      </c>
      <c r="K1584" s="22">
        <v>45821</v>
      </c>
      <c r="L1584" s="42">
        <f>_xlfn.DAYS(Tabla1[[#This Row],[FECHA FIN ]],Tabla1[[#This Row],[FECHA INICIO]])</f>
        <v>72</v>
      </c>
      <c r="M1584" s="12"/>
      <c r="N1584" s="20">
        <v>330</v>
      </c>
      <c r="O1584" s="28">
        <f>(Tabla1[[#This Row],[COSTO FIJO ]]/30)*Tabla1[[#This Row],[TOTAL DIAS PROYECTO]]+(Tabla1[[#This Row],[COSTO TEMPORAL]])</f>
        <v>792</v>
      </c>
      <c r="P1584" s="12"/>
      <c r="Q1584" s="12">
        <f>+(Tabla1[[#This Row],[COSTO COCHE]]/30)*Tabla1[[#This Row],[TOTAL DIAS PROYECTO]]</f>
        <v>0</v>
      </c>
      <c r="R1584" s="12">
        <f>+Tabla1[[#This Row],[COSTO TOTAL ALOJAMIENTO]]+Tabla1[[#This Row],[COSTO TOTAL COCHE]]</f>
        <v>792</v>
      </c>
      <c r="S1584" s="2"/>
      <c r="T1584" s="2" t="s">
        <v>35</v>
      </c>
      <c r="U1584" s="14">
        <v>45749</v>
      </c>
      <c r="V1584" s="43"/>
      <c r="W1584" s="26"/>
      <c r="X1584" s="2">
        <v>1</v>
      </c>
      <c r="Y1584" s="11" t="s">
        <v>3132</v>
      </c>
      <c r="Z1584" s="2" t="s">
        <v>36</v>
      </c>
      <c r="AA1584" s="13">
        <v>-0.37739</v>
      </c>
      <c r="AB1584" s="13" t="s">
        <v>10372</v>
      </c>
    </row>
    <row r="1585" spans="1:28" ht="15" customHeight="1">
      <c r="A1585" s="2" t="s">
        <v>9021</v>
      </c>
      <c r="B1585" s="2" t="s">
        <v>3133</v>
      </c>
      <c r="C1585" s="31" t="s">
        <v>1715</v>
      </c>
      <c r="D1585" s="2" t="s">
        <v>30</v>
      </c>
      <c r="E1585" s="2" t="s">
        <v>87</v>
      </c>
      <c r="F1585" s="31" t="s">
        <v>3134</v>
      </c>
      <c r="G1585" s="197" t="s">
        <v>3135</v>
      </c>
      <c r="H1585" s="2" t="s">
        <v>3136</v>
      </c>
      <c r="I1585" s="12" t="s">
        <v>3137</v>
      </c>
      <c r="J1585" s="22">
        <f>+Tabla1[[#This Row],[FECHA ENTRADA]]</f>
        <v>46143</v>
      </c>
      <c r="K1585" s="8">
        <v>46260</v>
      </c>
      <c r="L1585" s="23">
        <f>_xlfn.DAYS(Tabla1[[#This Row],[FECHA FIN ]],Tabla1[[#This Row],[FECHA INICIO]])</f>
        <v>117</v>
      </c>
      <c r="M1585" s="12"/>
      <c r="N1585" s="24">
        <v>450</v>
      </c>
      <c r="O1585" s="24">
        <f>(Tabla1[[#This Row],[COSTO FIJO ]]/30)*Tabla1[[#This Row],[TOTAL DIAS PROYECTO]]+(Tabla1[[#This Row],[COSTO TEMPORAL]])</f>
        <v>1755</v>
      </c>
      <c r="P1585" s="12"/>
      <c r="Q1585" s="12">
        <f>+(Tabla1[[#This Row],[COSTO COCHE]]/30)*Tabla1[[#This Row],[TOTAL DIAS PROYECTO]]</f>
        <v>0</v>
      </c>
      <c r="R1585" s="12">
        <f>+Tabla1[[#This Row],[COSTO TOTAL ALOJAMIENTO]]+Tabla1[[#This Row],[COSTO TOTAL COCHE]]</f>
        <v>1755</v>
      </c>
      <c r="S1585" s="2"/>
      <c r="T1585" s="14" t="s">
        <v>35</v>
      </c>
      <c r="U1585" s="14">
        <v>46143</v>
      </c>
      <c r="V1585" s="25"/>
      <c r="W1585" s="12"/>
      <c r="X1585" s="2">
        <v>17</v>
      </c>
      <c r="Y1585" s="11" t="s">
        <v>3138</v>
      </c>
      <c r="Z1585" s="2" t="s">
        <v>36</v>
      </c>
      <c r="AA1585" s="13" t="s">
        <v>10335</v>
      </c>
      <c r="AB1585" s="13">
        <v>404.16500000000002</v>
      </c>
    </row>
    <row r="1586" spans="1:28" ht="15" customHeight="1">
      <c r="A1586" s="2" t="s">
        <v>9250</v>
      </c>
      <c r="B1586" s="2" t="s">
        <v>368</v>
      </c>
      <c r="C1586" s="31" t="s">
        <v>2595</v>
      </c>
      <c r="D1586" s="2" t="s">
        <v>99</v>
      </c>
      <c r="E1586" s="2" t="s">
        <v>109</v>
      </c>
      <c r="F1586" s="11" t="s">
        <v>898</v>
      </c>
      <c r="G1586" s="21" t="s">
        <v>899</v>
      </c>
      <c r="H1586" s="2" t="s">
        <v>1989</v>
      </c>
      <c r="I1586" s="12" t="s">
        <v>42</v>
      </c>
      <c r="J1586" s="22">
        <f>+Tabla1[[#This Row],[FECHA ENTRADA]]</f>
        <v>45760</v>
      </c>
      <c r="K1586" s="22">
        <v>45821</v>
      </c>
      <c r="L1586" s="42">
        <f>_xlfn.DAYS(Tabla1[[#This Row],[FECHA FIN ]],Tabla1[[#This Row],[FECHA INICIO]])</f>
        <v>61</v>
      </c>
      <c r="M1586" s="12"/>
      <c r="N1586" s="24"/>
      <c r="O1586" s="28">
        <f>(Tabla1[[#This Row],[COSTO FIJO ]]/30)*Tabla1[[#This Row],[TOTAL DIAS PROYECTO]]+(Tabla1[[#This Row],[COSTO TEMPORAL]])</f>
        <v>0</v>
      </c>
      <c r="P1586" s="12"/>
      <c r="Q1586" s="12">
        <f>+(Tabla1[[#This Row],[COSTO COCHE]]/30)*Tabla1[[#This Row],[TOTAL DIAS PROYECTO]]</f>
        <v>0</v>
      </c>
      <c r="R1586" s="12">
        <f>+Tabla1[[#This Row],[COSTO TOTAL ALOJAMIENTO]]+Tabla1[[#This Row],[COSTO TOTAL COCHE]]</f>
        <v>0</v>
      </c>
      <c r="S1586" s="2"/>
      <c r="T1586" s="2" t="s">
        <v>35</v>
      </c>
      <c r="U1586" s="14">
        <v>45760</v>
      </c>
      <c r="V1586" s="43"/>
      <c r="W1586" s="26"/>
      <c r="X1586" s="2">
        <v>1</v>
      </c>
      <c r="Y1586" s="11"/>
      <c r="Z1586" s="2" t="s">
        <v>36</v>
      </c>
      <c r="AA1586" s="13">
        <v>0.62217999999999996</v>
      </c>
      <c r="AB1586" s="13" t="s">
        <v>10339</v>
      </c>
    </row>
    <row r="1587" spans="1:28" ht="15" customHeight="1">
      <c r="A1587" s="2" t="s">
        <v>8671</v>
      </c>
      <c r="B1587" s="2" t="s">
        <v>978</v>
      </c>
      <c r="C1587" s="11" t="s">
        <v>224</v>
      </c>
      <c r="D1587" s="2" t="s">
        <v>30</v>
      </c>
      <c r="E1587" s="2" t="s">
        <v>31</v>
      </c>
      <c r="F1587" s="11" t="s">
        <v>1004</v>
      </c>
      <c r="G1587" s="51" t="s">
        <v>1005</v>
      </c>
      <c r="H1587" s="2" t="s">
        <v>2721</v>
      </c>
      <c r="I1587" s="12" t="s">
        <v>1540</v>
      </c>
      <c r="J1587" s="41">
        <f>+Tabla1[[#This Row],[FECHA ENTRADA]]</f>
        <v>45717</v>
      </c>
      <c r="K1587" s="22">
        <v>45821</v>
      </c>
      <c r="L1587" s="42">
        <f>_xlfn.DAYS(Tabla1[[#This Row],[FECHA FIN ]],Tabla1[[#This Row],[FECHA INICIO]])</f>
        <v>104</v>
      </c>
      <c r="M1587" s="12"/>
      <c r="N1587" s="12"/>
      <c r="O1587" s="28">
        <f>(Tabla1[[#This Row],[COSTO FIJO ]]/30)*Tabla1[[#This Row],[TOTAL DIAS PROYECTO]]+(Tabla1[[#This Row],[COSTO TEMPORAL]])</f>
        <v>0</v>
      </c>
      <c r="P1587" s="12"/>
      <c r="Q1587" s="12">
        <f>+(Tabla1[[#This Row],[COSTO COCHE]]/30)*Tabla1[[#This Row],[TOTAL DIAS PROYECTO]]</f>
        <v>0</v>
      </c>
      <c r="R1587" s="12">
        <f>+Tabla1[[#This Row],[COSTO TOTAL ALOJAMIENTO]]+Tabla1[[#This Row],[COSTO TOTAL COCHE]]</f>
        <v>0</v>
      </c>
      <c r="S1587" s="2"/>
      <c r="T1587" s="2" t="s">
        <v>35</v>
      </c>
      <c r="U1587" s="14">
        <v>45717</v>
      </c>
      <c r="V1587" s="43"/>
      <c r="W1587" s="26"/>
      <c r="X1587" s="2">
        <v>1</v>
      </c>
      <c r="Y1587" s="11"/>
      <c r="Z1587" s="2" t="s">
        <v>36</v>
      </c>
      <c r="AA1587" s="13" t="s">
        <v>10323</v>
      </c>
      <c r="AB1587" s="13" t="s">
        <v>10324</v>
      </c>
    </row>
    <row r="1588" spans="1:28" ht="15" customHeight="1">
      <c r="A1588" s="2" t="s">
        <v>8890</v>
      </c>
      <c r="B1588" s="2" t="s">
        <v>368</v>
      </c>
      <c r="C1588" s="11" t="s">
        <v>1172</v>
      </c>
      <c r="D1588" s="2" t="s">
        <v>99</v>
      </c>
      <c r="E1588" s="2" t="s">
        <v>109</v>
      </c>
      <c r="F1588" s="11" t="s">
        <v>2307</v>
      </c>
      <c r="G1588" t="s">
        <v>3139</v>
      </c>
      <c r="H1588" s="2" t="s">
        <v>2335</v>
      </c>
      <c r="I1588" s="12" t="s">
        <v>42</v>
      </c>
      <c r="J1588" s="41">
        <f>+Tabla1[[#This Row],[FECHA ENTRADA]]</f>
        <v>45748</v>
      </c>
      <c r="K1588" s="41">
        <v>45749</v>
      </c>
      <c r="L1588" s="42">
        <f>_xlfn.DAYS(Tabla1[[#This Row],[FECHA FIN ]],Tabla1[[#This Row],[FECHA INICIO]])</f>
        <v>1</v>
      </c>
      <c r="M1588" s="12"/>
      <c r="N1588" s="12"/>
      <c r="O1588" s="28">
        <f>(Tabla1[[#This Row],[COSTO FIJO ]]/30)*Tabla1[[#This Row],[TOTAL DIAS PROYECTO]]+(Tabla1[[#This Row],[COSTO TEMPORAL]])</f>
        <v>0</v>
      </c>
      <c r="P1588" s="12">
        <f>613.83/5</f>
        <v>122.76600000000001</v>
      </c>
      <c r="Q1588" s="12">
        <f>+(Tabla1[[#This Row],[COSTO COCHE]]/30)*Tabla1[[#This Row],[TOTAL DIAS PROYECTO]]</f>
        <v>4.0922000000000001</v>
      </c>
      <c r="R1588" s="12">
        <f>+Tabla1[[#This Row],[COSTO TOTAL ALOJAMIENTO]]+Tabla1[[#This Row],[COSTO TOTAL COCHE]]</f>
        <v>4.0922000000000001</v>
      </c>
      <c r="S1588" s="2"/>
      <c r="T1588" s="2" t="s">
        <v>35</v>
      </c>
      <c r="U1588" s="14">
        <v>45748</v>
      </c>
      <c r="V1588" s="43">
        <v>45777</v>
      </c>
      <c r="W1588" s="26"/>
      <c r="X1588" s="2">
        <v>27</v>
      </c>
      <c r="Y1588" s="11"/>
      <c r="Z1588" s="2" t="s">
        <v>36</v>
      </c>
      <c r="AA1588" s="13">
        <v>0.62217999999999996</v>
      </c>
      <c r="AB1588" s="13" t="s">
        <v>10339</v>
      </c>
    </row>
    <row r="1589" spans="1:28" ht="15" customHeight="1">
      <c r="A1589" s="2" t="s">
        <v>9371</v>
      </c>
      <c r="B1589" s="2" t="s">
        <v>368</v>
      </c>
      <c r="C1589" s="181" t="s">
        <v>2966</v>
      </c>
      <c r="D1589" s="2" t="s">
        <v>78</v>
      </c>
      <c r="E1589" s="2" t="s">
        <v>1483</v>
      </c>
      <c r="F1589" s="11" t="s">
        <v>1484</v>
      </c>
      <c r="G1589" s="46" t="s">
        <v>1485</v>
      </c>
      <c r="H1589" s="2" t="s">
        <v>1486</v>
      </c>
      <c r="I1589" s="29" t="s">
        <v>1487</v>
      </c>
      <c r="J1589" s="41">
        <f>+Tabla1[[#This Row],[FECHA ENTRADA]]</f>
        <v>45659</v>
      </c>
      <c r="K1589" s="22">
        <v>45821</v>
      </c>
      <c r="L1589" s="42">
        <f>_xlfn.DAYS(Tabla1[[#This Row],[FECHA FIN ]],Tabla1[[#This Row],[FECHA INICIO]])</f>
        <v>162</v>
      </c>
      <c r="M1589" s="12"/>
      <c r="N1589" s="12">
        <f>1811.6/17</f>
        <v>106.56470588235294</v>
      </c>
      <c r="O1589" s="28">
        <f>(Tabla1[[#This Row],[COSTO FIJO ]]/30)*Tabla1[[#This Row],[TOTAL DIAS PROYECTO]]+(Tabla1[[#This Row],[COSTO TEMPORAL]])</f>
        <v>575.44941176470593</v>
      </c>
      <c r="P1589" s="12">
        <v>100</v>
      </c>
      <c r="Q1589" s="12">
        <f>+(Tabla1[[#This Row],[COSTO COCHE]]/30)*Tabla1[[#This Row],[TOTAL DIAS PROYECTO]]</f>
        <v>540</v>
      </c>
      <c r="R1589" s="12">
        <f>+Tabla1[[#This Row],[COSTO TOTAL ALOJAMIENTO]]+Tabla1[[#This Row],[COSTO TOTAL COCHE]]</f>
        <v>1115.4494117647059</v>
      </c>
      <c r="S1589" s="2" t="s">
        <v>84</v>
      </c>
      <c r="T1589" s="2" t="s">
        <v>44</v>
      </c>
      <c r="U1589" s="14">
        <v>45659</v>
      </c>
      <c r="V1589" s="43">
        <v>45690</v>
      </c>
      <c r="W1589" s="26"/>
      <c r="X1589" s="2"/>
      <c r="Y1589" s="11"/>
      <c r="Z1589" s="2" t="s">
        <v>36</v>
      </c>
      <c r="AA1589" s="13" t="s">
        <v>10422</v>
      </c>
      <c r="AB1589" s="13" t="s">
        <v>10423</v>
      </c>
    </row>
    <row r="1590" spans="1:28" ht="15" customHeight="1">
      <c r="A1590" s="2" t="s">
        <v>9372</v>
      </c>
      <c r="B1590" s="2" t="s">
        <v>368</v>
      </c>
      <c r="C1590" s="11" t="s">
        <v>2968</v>
      </c>
      <c r="D1590" s="2" t="s">
        <v>78</v>
      </c>
      <c r="E1590" s="2" t="s">
        <v>1483</v>
      </c>
      <c r="F1590" s="11" t="s">
        <v>1484</v>
      </c>
      <c r="G1590" s="46" t="s">
        <v>1485</v>
      </c>
      <c r="H1590" s="2" t="s">
        <v>1486</v>
      </c>
      <c r="I1590" s="29" t="s">
        <v>1487</v>
      </c>
      <c r="J1590" s="41">
        <f>+Tabla1[[#This Row],[FECHA ENTRADA]]</f>
        <v>45659</v>
      </c>
      <c r="K1590" s="22">
        <v>45821</v>
      </c>
      <c r="L1590" s="42">
        <f>_xlfn.DAYS(Tabla1[[#This Row],[FECHA FIN ]],Tabla1[[#This Row],[FECHA INICIO]])</f>
        <v>162</v>
      </c>
      <c r="M1590" s="12"/>
      <c r="N1590" s="12">
        <f>1811.6/17</f>
        <v>106.56470588235294</v>
      </c>
      <c r="O1590" s="28">
        <f>(Tabla1[[#This Row],[COSTO FIJO ]]/30)*Tabla1[[#This Row],[TOTAL DIAS PROYECTO]]+(Tabla1[[#This Row],[COSTO TEMPORAL]])</f>
        <v>575.44941176470593</v>
      </c>
      <c r="P1590" s="12">
        <v>100</v>
      </c>
      <c r="Q1590" s="12">
        <f>+(Tabla1[[#This Row],[COSTO COCHE]]/30)*Tabla1[[#This Row],[TOTAL DIAS PROYECTO]]</f>
        <v>540</v>
      </c>
      <c r="R1590" s="12">
        <f>+Tabla1[[#This Row],[COSTO TOTAL ALOJAMIENTO]]+Tabla1[[#This Row],[COSTO TOTAL COCHE]]</f>
        <v>1115.4494117647059</v>
      </c>
      <c r="S1590" s="2" t="s">
        <v>84</v>
      </c>
      <c r="T1590" s="2" t="s">
        <v>44</v>
      </c>
      <c r="U1590" s="14">
        <v>45659</v>
      </c>
      <c r="V1590" s="43">
        <v>45690</v>
      </c>
      <c r="W1590" s="26"/>
      <c r="X1590" s="2"/>
      <c r="Y1590" s="11"/>
      <c r="Z1590" s="2" t="s">
        <v>36</v>
      </c>
      <c r="AA1590" s="13" t="s">
        <v>10422</v>
      </c>
      <c r="AB1590" s="13" t="s">
        <v>10423</v>
      </c>
    </row>
    <row r="1591" spans="1:28" ht="15" customHeight="1">
      <c r="A1591" s="2" t="s">
        <v>9012</v>
      </c>
      <c r="B1591" s="2" t="s">
        <v>28</v>
      </c>
      <c r="C1591" s="18" t="s">
        <v>1696</v>
      </c>
      <c r="D1591" s="2" t="s">
        <v>30</v>
      </c>
      <c r="E1591" s="2" t="s">
        <v>31</v>
      </c>
      <c r="F1591" s="11" t="s">
        <v>451</v>
      </c>
      <c r="G1591" s="11" t="s">
        <v>452</v>
      </c>
      <c r="H1591" s="2" t="s">
        <v>526</v>
      </c>
      <c r="I1591" s="12" t="s">
        <v>527</v>
      </c>
      <c r="J1591" s="8">
        <f>+Tabla1[[#This Row],[FECHA ENTRADA]]</f>
        <v>45502</v>
      </c>
      <c r="K1591" s="22">
        <v>45821</v>
      </c>
      <c r="L1591" s="13">
        <f>_xlfn.DAYS(Tabla1[[#This Row],[FECHA FIN ]],Tabla1[[#This Row],[FECHA INICIO]])</f>
        <v>319</v>
      </c>
      <c r="M1591" s="12"/>
      <c r="N1591" s="12">
        <v>283.33</v>
      </c>
      <c r="O1591" s="12">
        <f>(Tabla1[[#This Row],[COSTO FIJO ]]/30)*Tabla1[[#This Row],[TOTAL DIAS PROYECTO]]+(Tabla1[[#This Row],[COSTO TEMPORAL]])</f>
        <v>3012.7423333333331</v>
      </c>
      <c r="P1591" s="12"/>
      <c r="Q1591" s="12">
        <f>+(Tabla1[[#This Row],[COSTO COCHE]]/30)*Tabla1[[#This Row],[TOTAL DIAS PROYECTO]]</f>
        <v>0</v>
      </c>
      <c r="R1591" s="12">
        <f>+Tabla1[[#This Row],[COSTO TOTAL ALOJAMIENTO]]+Tabla1[[#This Row],[COSTO TOTAL COCHE]]</f>
        <v>3012.7423333333331</v>
      </c>
      <c r="S1591" s="2"/>
      <c r="T1591" s="2" t="s">
        <v>35</v>
      </c>
      <c r="U1591" s="14">
        <v>45502</v>
      </c>
      <c r="V1591" s="14"/>
      <c r="W1591" s="26"/>
      <c r="X1591" s="2">
        <v>1</v>
      </c>
      <c r="Y1591" s="18" t="s">
        <v>3140</v>
      </c>
      <c r="Z1591" s="2" t="s">
        <v>36</v>
      </c>
      <c r="AA1591" s="13" t="s">
        <v>10323</v>
      </c>
      <c r="AB1591" s="13" t="s">
        <v>10324</v>
      </c>
    </row>
    <row r="1592" spans="1:28" ht="15" customHeight="1">
      <c r="A1592" s="2" t="s">
        <v>9428</v>
      </c>
      <c r="B1592" s="2" t="s">
        <v>28</v>
      </c>
      <c r="C1592" s="87" t="s">
        <v>3141</v>
      </c>
      <c r="D1592" s="2" t="s">
        <v>30</v>
      </c>
      <c r="E1592" s="2" t="s">
        <v>502</v>
      </c>
      <c r="F1592" s="11" t="s">
        <v>503</v>
      </c>
      <c r="G1592" s="11" t="s">
        <v>504</v>
      </c>
      <c r="H1592" s="2" t="s">
        <v>2677</v>
      </c>
      <c r="I1592" s="12" t="s">
        <v>506</v>
      </c>
      <c r="J1592" s="22">
        <f>+Tabla1[[#This Row],[FECHA ENTRADA]]</f>
        <v>45669</v>
      </c>
      <c r="K1592" s="22">
        <v>45821</v>
      </c>
      <c r="L1592" s="23">
        <f>_xlfn.DAYS(Tabla1[[#This Row],[FECHA FIN ]],Tabla1[[#This Row],[FECHA INICIO]])</f>
        <v>152</v>
      </c>
      <c r="M1592" s="12"/>
      <c r="N1592" s="12">
        <v>400</v>
      </c>
      <c r="O1592" s="24">
        <f>(Tabla1[[#This Row],[COSTO FIJO ]]/30)*Tabla1[[#This Row],[TOTAL DIAS PROYECTO]]+(Tabla1[[#This Row],[COSTO TEMPORAL]])</f>
        <v>2026.6666666666667</v>
      </c>
      <c r="P1592" s="12">
        <f>1156.52/8</f>
        <v>144.565</v>
      </c>
      <c r="Q1592" s="12">
        <f>+(Tabla1[[#This Row],[COSTO COCHE]]/30)*Tabla1[[#This Row],[TOTAL DIAS PROYECTO]]</f>
        <v>732.46266666666668</v>
      </c>
      <c r="R1592" s="12">
        <f>+Tabla1[[#This Row],[COSTO TOTAL ALOJAMIENTO]]+Tabla1[[#This Row],[COSTO TOTAL COCHE]]</f>
        <v>2759.1293333333333</v>
      </c>
      <c r="S1592" s="2"/>
      <c r="T1592" s="2" t="s">
        <v>35</v>
      </c>
      <c r="U1592" s="14">
        <v>45669</v>
      </c>
      <c r="V1592" s="25">
        <v>45745</v>
      </c>
      <c r="W1592" s="26"/>
      <c r="X1592" s="2">
        <v>1</v>
      </c>
      <c r="Y1592" s="11"/>
      <c r="Z1592" s="2" t="s">
        <v>36</v>
      </c>
      <c r="AA1592" s="13" t="s">
        <v>10378</v>
      </c>
      <c r="AB1592" s="13" t="s">
        <v>10379</v>
      </c>
    </row>
    <row r="1593" spans="1:28" ht="15" customHeight="1">
      <c r="A1593" s="2" t="s">
        <v>9045</v>
      </c>
      <c r="B1593" s="2" t="s">
        <v>368</v>
      </c>
      <c r="C1593" s="86" t="s">
        <v>1798</v>
      </c>
      <c r="D1593" s="2" t="s">
        <v>78</v>
      </c>
      <c r="E1593" s="2" t="s">
        <v>1483</v>
      </c>
      <c r="F1593" s="11" t="s">
        <v>1484</v>
      </c>
      <c r="G1593" s="46" t="s">
        <v>1485</v>
      </c>
      <c r="H1593" s="2" t="s">
        <v>2970</v>
      </c>
      <c r="I1593" s="29" t="s">
        <v>1487</v>
      </c>
      <c r="J1593" s="41">
        <f>+Tabla1[[#This Row],[FECHA ENTRADA]]</f>
        <v>45659</v>
      </c>
      <c r="K1593" s="22">
        <v>45821</v>
      </c>
      <c r="L1593" s="42">
        <f>_xlfn.DAYS(Tabla1[[#This Row],[FECHA FIN ]],Tabla1[[#This Row],[FECHA INICIO]])</f>
        <v>162</v>
      </c>
      <c r="M1593" s="12"/>
      <c r="N1593" s="12">
        <f>1811.6/17</f>
        <v>106.56470588235294</v>
      </c>
      <c r="O1593" s="28">
        <f>(Tabla1[[#This Row],[COSTO FIJO ]]/30)*Tabla1[[#This Row],[TOTAL DIAS PROYECTO]]+(Tabla1[[#This Row],[COSTO TEMPORAL]])</f>
        <v>575.44941176470593</v>
      </c>
      <c r="P1593" s="12">
        <v>100</v>
      </c>
      <c r="Q1593" s="12">
        <f>+(Tabla1[[#This Row],[COSTO COCHE]]/30)*Tabla1[[#This Row],[TOTAL DIAS PROYECTO]]</f>
        <v>540</v>
      </c>
      <c r="R1593" s="12">
        <f>+Tabla1[[#This Row],[COSTO TOTAL ALOJAMIENTO]]+Tabla1[[#This Row],[COSTO TOTAL COCHE]]</f>
        <v>1115.4494117647059</v>
      </c>
      <c r="S1593" s="2" t="s">
        <v>84</v>
      </c>
      <c r="T1593" s="2" t="s">
        <v>44</v>
      </c>
      <c r="U1593" s="14">
        <v>45659</v>
      </c>
      <c r="V1593" s="43">
        <v>45690</v>
      </c>
      <c r="W1593" s="26"/>
      <c r="X1593" s="2"/>
      <c r="Y1593" s="11"/>
      <c r="Z1593" s="2" t="s">
        <v>36</v>
      </c>
      <c r="AA1593" s="13" t="s">
        <v>10422</v>
      </c>
      <c r="AB1593" s="13" t="s">
        <v>10423</v>
      </c>
    </row>
    <row r="1594" spans="1:28" ht="15" customHeight="1">
      <c r="A1594" s="2" t="s">
        <v>9429</v>
      </c>
      <c r="B1594" s="2" t="s">
        <v>28</v>
      </c>
      <c r="C1594" s="31" t="s">
        <v>3142</v>
      </c>
      <c r="D1594" s="2" t="s">
        <v>30</v>
      </c>
      <c r="E1594" s="2" t="s">
        <v>686</v>
      </c>
      <c r="F1594" s="11" t="s">
        <v>3068</v>
      </c>
      <c r="G1594" s="21" t="s">
        <v>3069</v>
      </c>
      <c r="H1594" s="2" t="s">
        <v>3070</v>
      </c>
      <c r="I1594" s="12" t="s">
        <v>96</v>
      </c>
      <c r="J1594" s="22">
        <f>+Tabla1[[#This Row],[FECHA ENTRADA]]</f>
        <v>45907</v>
      </c>
      <c r="K1594" s="22">
        <v>45917</v>
      </c>
      <c r="L1594" s="23">
        <f>_xlfn.DAYS(Tabla1[[#This Row],[FECHA FIN ]],Tabla1[[#This Row],[FECHA INICIO]])</f>
        <v>10</v>
      </c>
      <c r="M1594" s="12"/>
      <c r="N1594" s="20"/>
      <c r="O1594" s="24">
        <f>(Tabla1[[#This Row],[COSTO FIJO ]]/30)*Tabla1[[#This Row],[TOTAL DIAS PROYECTO]]+(Tabla1[[#This Row],[COSTO TEMPORAL]])</f>
        <v>0</v>
      </c>
      <c r="P1594" s="12"/>
      <c r="Q1594" s="12">
        <f>+(Tabla1[[#This Row],[COSTO COCHE]]/30)*Tabla1[[#This Row],[TOTAL DIAS PROYECTO]]</f>
        <v>0</v>
      </c>
      <c r="R1594" s="12">
        <f>+Tabla1[[#This Row],[COSTO TOTAL ALOJAMIENTO]]+Tabla1[[#This Row],[COSTO TOTAL COCHE]]</f>
        <v>0</v>
      </c>
      <c r="S1594" s="2"/>
      <c r="T1594" s="14" t="s">
        <v>44</v>
      </c>
      <c r="U1594" s="14">
        <v>45907</v>
      </c>
      <c r="V1594" s="79">
        <v>45931</v>
      </c>
      <c r="W1594" s="71"/>
      <c r="X1594" s="2"/>
      <c r="Y1594" s="11" t="s">
        <v>3071</v>
      </c>
      <c r="Z1594" s="2" t="s">
        <v>36</v>
      </c>
      <c r="AA1594" s="13" t="s">
        <v>10393</v>
      </c>
      <c r="AB1594" s="13">
        <v>3834517</v>
      </c>
    </row>
    <row r="1595" spans="1:28" ht="15" customHeight="1">
      <c r="A1595" s="2" t="s">
        <v>8969</v>
      </c>
      <c r="B1595" s="2" t="s">
        <v>368</v>
      </c>
      <c r="C1595" s="11" t="s">
        <v>1533</v>
      </c>
      <c r="D1595" s="2" t="s">
        <v>99</v>
      </c>
      <c r="E1595" s="2" t="s">
        <v>109</v>
      </c>
      <c r="F1595" s="11" t="s">
        <v>2307</v>
      </c>
      <c r="G1595" t="s">
        <v>3139</v>
      </c>
      <c r="H1595" s="2" t="s">
        <v>2007</v>
      </c>
      <c r="I1595" s="12" t="s">
        <v>42</v>
      </c>
      <c r="J1595" s="41">
        <f>+Tabla1[[#This Row],[FECHA ENTRADA]]</f>
        <v>45748</v>
      </c>
      <c r="K1595" s="41">
        <v>45777</v>
      </c>
      <c r="L1595" s="42">
        <f>_xlfn.DAYS(Tabla1[[#This Row],[FECHA FIN ]],Tabla1[[#This Row],[FECHA INICIO]])</f>
        <v>29</v>
      </c>
      <c r="M1595" s="12"/>
      <c r="N1595" s="12"/>
      <c r="O1595" s="28">
        <f>(Tabla1[[#This Row],[COSTO FIJO ]]/30)*Tabla1[[#This Row],[TOTAL DIAS PROYECTO]]+(Tabla1[[#This Row],[COSTO TEMPORAL]])</f>
        <v>0</v>
      </c>
      <c r="P1595" s="12">
        <f>613.83/5</f>
        <v>122.76600000000001</v>
      </c>
      <c r="Q1595" s="12">
        <f>+(Tabla1[[#This Row],[COSTO COCHE]]/30)*Tabla1[[#This Row],[TOTAL DIAS PROYECTO]]</f>
        <v>118.6738</v>
      </c>
      <c r="R1595" s="12">
        <f>+Tabla1[[#This Row],[COSTO TOTAL ALOJAMIENTO]]+Tabla1[[#This Row],[COSTO TOTAL COCHE]]</f>
        <v>118.6738</v>
      </c>
      <c r="S1595" s="2"/>
      <c r="T1595" s="2" t="s">
        <v>35</v>
      </c>
      <c r="U1595" s="14">
        <v>45748</v>
      </c>
      <c r="V1595" s="43">
        <v>45777</v>
      </c>
      <c r="W1595" s="26"/>
      <c r="X1595" s="2">
        <v>27</v>
      </c>
      <c r="Y1595" s="11" t="s">
        <v>1166</v>
      </c>
      <c r="Z1595" s="2" t="s">
        <v>36</v>
      </c>
      <c r="AA1595" s="13">
        <v>0.62217999999999996</v>
      </c>
      <c r="AB1595" s="13" t="s">
        <v>10339</v>
      </c>
    </row>
    <row r="1596" spans="1:28" ht="15" customHeight="1">
      <c r="A1596" s="2" t="s">
        <v>8642</v>
      </c>
      <c r="B1596" s="2" t="s">
        <v>28</v>
      </c>
      <c r="C1596" s="18" t="s">
        <v>3143</v>
      </c>
      <c r="D1596" s="2" t="s">
        <v>30</v>
      </c>
      <c r="E1596" s="2" t="s">
        <v>92</v>
      </c>
      <c r="F1596" s="11" t="s">
        <v>3144</v>
      </c>
      <c r="G1596" s="11" t="s">
        <v>3145</v>
      </c>
      <c r="H1596" s="2" t="s">
        <v>3146</v>
      </c>
      <c r="I1596" s="12" t="s">
        <v>96</v>
      </c>
      <c r="J1596" s="8">
        <f>+Tabla1[[#This Row],[FECHA ENTRADA]]</f>
        <v>45399</v>
      </c>
      <c r="K1596" s="8"/>
      <c r="L1596" s="13">
        <f>_xlfn.DAYS(Tabla1[[#This Row],[FECHA FIN ]],Tabla1[[#This Row],[FECHA INICIO]])</f>
        <v>-45399</v>
      </c>
      <c r="M1596" s="12"/>
      <c r="N1596" s="12">
        <v>433.33</v>
      </c>
      <c r="O1596" s="12">
        <f>(Tabla1[[#This Row],[COSTO FIJO ]]/30)*Tabla1[[#This Row],[TOTAL DIAS PROYECTO]]+(Tabla1[[#This Row],[COSTO TEMPORAL]])</f>
        <v>-655758.28899999999</v>
      </c>
      <c r="P1596" s="12"/>
      <c r="Q1596" s="12">
        <f>+(Tabla1[[#This Row],[COSTO COCHE]]/30)*Tabla1[[#This Row],[TOTAL DIAS PROYECTO]]</f>
        <v>0</v>
      </c>
      <c r="R1596" s="12">
        <f>+Tabla1[[#This Row],[COSTO TOTAL ALOJAMIENTO]]+Tabla1[[#This Row],[COSTO TOTAL COCHE]]</f>
        <v>-655758.28899999999</v>
      </c>
      <c r="S1596" s="2"/>
      <c r="T1596" s="2" t="s">
        <v>44</v>
      </c>
      <c r="U1596" s="14">
        <v>45399</v>
      </c>
      <c r="V1596" s="14"/>
      <c r="W1596" s="15"/>
      <c r="X1596" s="16">
        <v>16</v>
      </c>
      <c r="Y1596" s="11"/>
      <c r="Z1596" s="2" t="s">
        <v>36</v>
      </c>
      <c r="AA1596" s="13" t="s">
        <v>10336</v>
      </c>
      <c r="AB1596" s="13" t="s">
        <v>10337</v>
      </c>
    </row>
    <row r="1597" spans="1:28" ht="15" customHeight="1">
      <c r="A1597" s="2" t="s">
        <v>9279</v>
      </c>
      <c r="B1597" s="2" t="s">
        <v>28</v>
      </c>
      <c r="C1597" s="99" t="s">
        <v>2685</v>
      </c>
      <c r="D1597" s="2" t="s">
        <v>30</v>
      </c>
      <c r="E1597" s="2" t="s">
        <v>855</v>
      </c>
      <c r="F1597" s="11" t="s">
        <v>856</v>
      </c>
      <c r="G1597" s="21" t="s">
        <v>857</v>
      </c>
      <c r="H1597" s="2" t="s">
        <v>1200</v>
      </c>
      <c r="I1597" s="12" t="s">
        <v>1201</v>
      </c>
      <c r="J1597" s="41">
        <f>+Tabla1[[#This Row],[FECHA ENTRADA]]</f>
        <v>45550</v>
      </c>
      <c r="K1597" s="22">
        <v>45821</v>
      </c>
      <c r="L1597" s="42">
        <f>_xlfn.DAYS(Tabla1[[#This Row],[FECHA FIN ]],Tabla1[[#This Row],[FECHA INICIO]])</f>
        <v>271</v>
      </c>
      <c r="M1597" s="12"/>
      <c r="N1597" s="28">
        <v>300</v>
      </c>
      <c r="O1597" s="28">
        <f>(Tabla1[[#This Row],[COSTO FIJO ]]/30)*Tabla1[[#This Row],[TOTAL DIAS PROYECTO]]+(Tabla1[[#This Row],[COSTO TEMPORAL]])</f>
        <v>2710</v>
      </c>
      <c r="P1597" s="12"/>
      <c r="Q1597" s="12">
        <f>+(Tabla1[[#This Row],[COSTO COCHE]]/30)*Tabla1[[#This Row],[TOTAL DIAS PROYECTO]]</f>
        <v>0</v>
      </c>
      <c r="R1597" s="12">
        <f>+Tabla1[[#This Row],[COSTO TOTAL ALOJAMIENTO]]+Tabla1[[#This Row],[COSTO TOTAL COCHE]]</f>
        <v>2710</v>
      </c>
      <c r="S1597" s="2"/>
      <c r="T1597" s="2" t="s">
        <v>35</v>
      </c>
      <c r="U1597" s="14">
        <v>45550</v>
      </c>
      <c r="V1597" s="75"/>
      <c r="W1597" s="26"/>
      <c r="X1597" s="2">
        <v>1</v>
      </c>
      <c r="Y1597" s="11" t="s">
        <v>1202</v>
      </c>
      <c r="Z1597" s="2" t="s">
        <v>36</v>
      </c>
      <c r="AA1597" s="13" t="s">
        <v>10401</v>
      </c>
      <c r="AB1597" s="13" t="s">
        <v>10402</v>
      </c>
    </row>
    <row r="1598" spans="1:28" ht="15" customHeight="1">
      <c r="A1598" s="2" t="s">
        <v>9118</v>
      </c>
      <c r="B1598" s="2" t="s">
        <v>711</v>
      </c>
      <c r="C1598" s="31" t="s">
        <v>2074</v>
      </c>
      <c r="D1598" s="2" t="s">
        <v>30</v>
      </c>
      <c r="E1598" s="2" t="s">
        <v>127</v>
      </c>
      <c r="F1598" s="11" t="s">
        <v>128</v>
      </c>
      <c r="G1598" s="49" t="s">
        <v>2111</v>
      </c>
      <c r="H1598" s="2" t="s">
        <v>2112</v>
      </c>
      <c r="I1598" s="12" t="s">
        <v>96</v>
      </c>
      <c r="J1598" s="41">
        <f>+Tabla1[[#This Row],[FECHA ENTRADA]]</f>
        <v>45921</v>
      </c>
      <c r="K1598" s="41">
        <v>45972</v>
      </c>
      <c r="L1598" s="42">
        <f>_xlfn.DAYS(Tabla1[[#This Row],[FECHA FIN ]],Tabla1[[#This Row],[FECHA INICIO]])</f>
        <v>51</v>
      </c>
      <c r="M1598" s="12"/>
      <c r="N1598" s="12">
        <v>250</v>
      </c>
      <c r="O1598" s="28">
        <f>(Tabla1[[#This Row],[COSTO FIJO ]]/30)*Tabla1[[#This Row],[TOTAL DIAS PROYECTO]]+(Tabla1[[#This Row],[COSTO TEMPORAL]])</f>
        <v>425.00000000000006</v>
      </c>
      <c r="P1598" s="12"/>
      <c r="Q1598" s="12">
        <f>+(Tabla1[[#This Row],[COSTO COCHE]]/30)*Tabla1[[#This Row],[TOTAL DIAS PROYECTO]]</f>
        <v>0</v>
      </c>
      <c r="R1598" s="12">
        <f>+Tabla1[[#This Row],[COSTO TOTAL ALOJAMIENTO]]+Tabla1[[#This Row],[COSTO TOTAL COCHE]]</f>
        <v>425.00000000000006</v>
      </c>
      <c r="S1598" s="2"/>
      <c r="T1598" s="14" t="s">
        <v>35</v>
      </c>
      <c r="U1598" s="14">
        <v>45921</v>
      </c>
      <c r="V1598" s="43"/>
      <c r="W1598" s="71"/>
      <c r="X1598" s="2">
        <v>1</v>
      </c>
      <c r="Y1598" s="11" t="s">
        <v>3147</v>
      </c>
      <c r="Z1598" s="2" t="s">
        <v>36</v>
      </c>
      <c r="AA1598" s="13" t="s">
        <v>10342</v>
      </c>
      <c r="AB1598" s="13" t="s">
        <v>10343</v>
      </c>
    </row>
    <row r="1599" spans="1:28" ht="15" customHeight="1">
      <c r="A1599" s="2" t="s">
        <v>9075</v>
      </c>
      <c r="B1599" s="2" t="s">
        <v>368</v>
      </c>
      <c r="C1599" s="11" t="s">
        <v>1901</v>
      </c>
      <c r="D1599" s="2" t="s">
        <v>30</v>
      </c>
      <c r="E1599" s="2" t="s">
        <v>1404</v>
      </c>
      <c r="F1599" s="11" t="s">
        <v>1405</v>
      </c>
      <c r="G1599" s="46" t="s">
        <v>1406</v>
      </c>
      <c r="H1599" s="2" t="s">
        <v>3148</v>
      </c>
      <c r="I1599" s="12" t="s">
        <v>1392</v>
      </c>
      <c r="J1599" s="41">
        <f>+Tabla1[[#This Row],[FECHA ENTRADA]]</f>
        <v>45669</v>
      </c>
      <c r="K1599" s="22">
        <v>45749</v>
      </c>
      <c r="L1599" s="42">
        <f>_xlfn.DAYS(Tabla1[[#This Row],[FECHA FIN ]],Tabla1[[#This Row],[FECHA INICIO]])</f>
        <v>80</v>
      </c>
      <c r="M1599" s="12"/>
      <c r="N1599" s="12"/>
      <c r="O1599" s="28">
        <f>(Tabla1[[#This Row],[COSTO FIJO ]]/30)*Tabla1[[#This Row],[TOTAL DIAS PROYECTO]]+(Tabla1[[#This Row],[COSTO TEMPORAL]])</f>
        <v>0</v>
      </c>
      <c r="P1599" s="12"/>
      <c r="Q1599" s="12">
        <f>+(Tabla1[[#This Row],[COSTO COCHE]]/30)*Tabla1[[#This Row],[TOTAL DIAS PROYECTO]]</f>
        <v>0</v>
      </c>
      <c r="R1599" s="12">
        <f>+Tabla1[[#This Row],[COSTO TOTAL ALOJAMIENTO]]+Tabla1[[#This Row],[COSTO TOTAL COCHE]]</f>
        <v>0</v>
      </c>
      <c r="S1599" s="2"/>
      <c r="T1599" s="2" t="s">
        <v>44</v>
      </c>
      <c r="U1599" s="14">
        <v>45669</v>
      </c>
      <c r="V1599" s="43">
        <v>45699</v>
      </c>
      <c r="W1599" s="26"/>
      <c r="X1599" s="2"/>
      <c r="Y1599" s="11"/>
      <c r="Z1599" s="2" t="s">
        <v>36</v>
      </c>
      <c r="AA1599" s="13" t="s">
        <v>10418</v>
      </c>
      <c r="AB1599" s="13" t="s">
        <v>10419</v>
      </c>
    </row>
    <row r="1600" spans="1:28" ht="15" customHeight="1">
      <c r="A1600" s="2" t="s">
        <v>9281</v>
      </c>
      <c r="B1600" s="2" t="s">
        <v>368</v>
      </c>
      <c r="C1600" s="11" t="s">
        <v>2689</v>
      </c>
      <c r="D1600" s="2" t="s">
        <v>30</v>
      </c>
      <c r="E1600" s="2" t="s">
        <v>1404</v>
      </c>
      <c r="F1600" s="11" t="s">
        <v>3149</v>
      </c>
      <c r="G1600" s="11" t="s">
        <v>3150</v>
      </c>
      <c r="H1600" s="2" t="s">
        <v>3151</v>
      </c>
      <c r="I1600" s="12" t="s">
        <v>1392</v>
      </c>
      <c r="J1600" s="41">
        <f>+Tabla1[[#This Row],[FECHA ENTRADA]]</f>
        <v>45676</v>
      </c>
      <c r="K1600" s="22">
        <v>45821</v>
      </c>
      <c r="L1600" s="42">
        <f>_xlfn.DAYS(Tabla1[[#This Row],[FECHA FIN ]],Tabla1[[#This Row],[FECHA INICIO]])</f>
        <v>145</v>
      </c>
      <c r="M1600" s="12"/>
      <c r="N1600" s="12"/>
      <c r="O1600" s="28">
        <v>528</v>
      </c>
      <c r="P1600" s="12"/>
      <c r="Q1600" s="12">
        <f>+(Tabla1[[#This Row],[COSTO COCHE]]/30)*Tabla1[[#This Row],[TOTAL DIAS PROYECTO]]</f>
        <v>0</v>
      </c>
      <c r="R1600" s="12">
        <f>+Tabla1[[#This Row],[COSTO TOTAL ALOJAMIENTO]]+Tabla1[[#This Row],[COSTO TOTAL COCHE]]</f>
        <v>528</v>
      </c>
      <c r="S1600" s="2"/>
      <c r="T1600" s="2" t="s">
        <v>44</v>
      </c>
      <c r="U1600" s="14">
        <v>45676</v>
      </c>
      <c r="V1600" s="43">
        <v>45699</v>
      </c>
      <c r="W1600" s="26"/>
      <c r="X1600" s="2"/>
      <c r="Y1600" s="11"/>
      <c r="Z1600" s="2" t="s">
        <v>36</v>
      </c>
      <c r="AA1600" s="13" t="s">
        <v>10418</v>
      </c>
      <c r="AB1600" s="13" t="s">
        <v>10419</v>
      </c>
    </row>
    <row r="1601" spans="1:28" ht="15" customHeight="1">
      <c r="A1601" s="2" t="s">
        <v>9349</v>
      </c>
      <c r="B1601" s="2" t="s">
        <v>368</v>
      </c>
      <c r="C1601" s="11" t="s">
        <v>2900</v>
      </c>
      <c r="D1601" s="2" t="s">
        <v>30</v>
      </c>
      <c r="E1601" s="2" t="s">
        <v>1404</v>
      </c>
      <c r="F1601" s="11" t="s">
        <v>1405</v>
      </c>
      <c r="G1601" s="46" t="s">
        <v>1406</v>
      </c>
      <c r="H1601" s="2" t="s">
        <v>3148</v>
      </c>
      <c r="I1601" s="12" t="s">
        <v>1392</v>
      </c>
      <c r="J1601" s="41">
        <f>+Tabla1[[#This Row],[FECHA ENTRADA]]</f>
        <v>45669</v>
      </c>
      <c r="K1601" s="22">
        <v>45683</v>
      </c>
      <c r="L1601" s="42">
        <f>_xlfn.DAYS(Tabla1[[#This Row],[FECHA FIN ]],Tabla1[[#This Row],[FECHA INICIO]])</f>
        <v>14</v>
      </c>
      <c r="M1601" s="12"/>
      <c r="N1601" s="12">
        <f>1811.6/17</f>
        <v>106.56470588235294</v>
      </c>
      <c r="O1601" s="28">
        <f>(Tabla1[[#This Row],[COSTO FIJO ]]/30)*Tabla1[[#This Row],[TOTAL DIAS PROYECTO]]+(Tabla1[[#This Row],[COSTO TEMPORAL]])</f>
        <v>49.730196078431376</v>
      </c>
      <c r="P1601" s="12"/>
      <c r="Q1601" s="12">
        <f>+(Tabla1[[#This Row],[COSTO COCHE]]/30)*Tabla1[[#This Row],[TOTAL DIAS PROYECTO]]</f>
        <v>0</v>
      </c>
      <c r="R1601" s="12">
        <f>+Tabla1[[#This Row],[COSTO TOTAL ALOJAMIENTO]]+Tabla1[[#This Row],[COSTO TOTAL COCHE]]</f>
        <v>49.730196078431376</v>
      </c>
      <c r="S1601" s="2"/>
      <c r="T1601" s="2" t="s">
        <v>44</v>
      </c>
      <c r="U1601" s="14">
        <v>45669</v>
      </c>
      <c r="V1601" s="43">
        <v>45699</v>
      </c>
      <c r="W1601" s="26"/>
      <c r="X1601" s="2"/>
      <c r="Y1601" s="11"/>
      <c r="Z1601" s="2" t="s">
        <v>36</v>
      </c>
      <c r="AA1601" s="13" t="s">
        <v>10418</v>
      </c>
      <c r="AB1601" s="13" t="s">
        <v>10419</v>
      </c>
    </row>
    <row r="1602" spans="1:28" ht="15" customHeight="1">
      <c r="A1602" s="2" t="s">
        <v>9357</v>
      </c>
      <c r="B1602" s="2" t="s">
        <v>368</v>
      </c>
      <c r="C1602" s="11" t="s">
        <v>2921</v>
      </c>
      <c r="D1602" s="2" t="s">
        <v>30</v>
      </c>
      <c r="E1602" s="2" t="s">
        <v>1404</v>
      </c>
      <c r="F1602" s="11" t="s">
        <v>3149</v>
      </c>
      <c r="G1602" s="67" t="s">
        <v>3152</v>
      </c>
      <c r="H1602" s="2" t="s">
        <v>3153</v>
      </c>
      <c r="I1602" s="12" t="s">
        <v>1392</v>
      </c>
      <c r="J1602" s="22">
        <f>+Tabla1[[#This Row],[FECHA ENTRADA]]</f>
        <v>45676</v>
      </c>
      <c r="K1602" s="22">
        <v>45821</v>
      </c>
      <c r="L1602" s="23">
        <f>_xlfn.DAYS(Tabla1[[#This Row],[FECHA FIN ]],Tabla1[[#This Row],[FECHA INICIO]])</f>
        <v>145</v>
      </c>
      <c r="M1602" s="12"/>
      <c r="N1602" s="12">
        <f>1811.6/17</f>
        <v>106.56470588235294</v>
      </c>
      <c r="O1602" s="24">
        <f>(Tabla1[[#This Row],[COSTO FIJO ]]/30)*Tabla1[[#This Row],[TOTAL DIAS PROYECTO]]+(Tabla1[[#This Row],[COSTO TEMPORAL]])</f>
        <v>515.06274509803927</v>
      </c>
      <c r="P1602" s="12"/>
      <c r="Q1602" s="12">
        <f>+(Tabla1[[#This Row],[COSTO COCHE]]/30)*Tabla1[[#This Row],[TOTAL DIAS PROYECTO]]</f>
        <v>0</v>
      </c>
      <c r="R1602" s="12">
        <f>+Tabla1[[#This Row],[COSTO TOTAL ALOJAMIENTO]]+Tabla1[[#This Row],[COSTO TOTAL COCHE]]</f>
        <v>515.06274509803927</v>
      </c>
      <c r="S1602" s="2"/>
      <c r="T1602" s="2" t="s">
        <v>44</v>
      </c>
      <c r="U1602" s="14">
        <v>45676</v>
      </c>
      <c r="V1602" s="25">
        <v>45699</v>
      </c>
      <c r="W1602" s="26"/>
      <c r="X1602" s="2"/>
      <c r="Y1602" s="11"/>
      <c r="Z1602" s="2" t="s">
        <v>36</v>
      </c>
      <c r="AA1602" s="13" t="s">
        <v>10418</v>
      </c>
      <c r="AB1602" s="13" t="s">
        <v>10419</v>
      </c>
    </row>
    <row r="1603" spans="1:28" ht="15" customHeight="1">
      <c r="A1603" s="2" t="s">
        <v>8839</v>
      </c>
      <c r="B1603" s="2" t="s">
        <v>368</v>
      </c>
      <c r="C1603" s="105" t="s">
        <v>968</v>
      </c>
      <c r="D1603" s="2" t="s">
        <v>30</v>
      </c>
      <c r="E1603" s="2" t="s">
        <v>1404</v>
      </c>
      <c r="F1603" s="11" t="s">
        <v>1405</v>
      </c>
      <c r="G1603" s="46" t="s">
        <v>1406</v>
      </c>
      <c r="H1603" s="2" t="s">
        <v>3154</v>
      </c>
      <c r="I1603" s="12" t="s">
        <v>1392</v>
      </c>
      <c r="J1603" s="41">
        <f>+Tabla1[[#This Row],[FECHA ENTRADA]]</f>
        <v>45669</v>
      </c>
      <c r="K1603" s="22">
        <v>45821</v>
      </c>
      <c r="L1603" s="42">
        <f>_xlfn.DAYS(Tabla1[[#This Row],[FECHA FIN ]],Tabla1[[#This Row],[FECHA INICIO]])</f>
        <v>152</v>
      </c>
      <c r="M1603" s="12"/>
      <c r="N1603" s="20"/>
      <c r="O1603" s="28">
        <f>(Tabla1[[#This Row],[COSTO FIJO ]]/30)*Tabla1[[#This Row],[TOTAL DIAS PROYECTO]]+(Tabla1[[#This Row],[COSTO TEMPORAL]])</f>
        <v>0</v>
      </c>
      <c r="P1603" s="12"/>
      <c r="Q1603" s="12">
        <f>+(Tabla1[[#This Row],[COSTO COCHE]]/30)*Tabla1[[#This Row],[TOTAL DIAS PROYECTO]]</f>
        <v>0</v>
      </c>
      <c r="R1603" s="12">
        <f>+Tabla1[[#This Row],[COSTO TOTAL ALOJAMIENTO]]+Tabla1[[#This Row],[COSTO TOTAL COCHE]]</f>
        <v>0</v>
      </c>
      <c r="S1603" s="2"/>
      <c r="T1603" s="2" t="s">
        <v>44</v>
      </c>
      <c r="U1603" s="14">
        <v>45669</v>
      </c>
      <c r="V1603" s="43">
        <v>45699</v>
      </c>
      <c r="W1603" s="26"/>
      <c r="X1603" s="2"/>
      <c r="Y1603" s="11"/>
      <c r="Z1603" s="2" t="s">
        <v>36</v>
      </c>
      <c r="AA1603" s="13" t="s">
        <v>10418</v>
      </c>
      <c r="AB1603" s="13" t="s">
        <v>10419</v>
      </c>
    </row>
    <row r="1604" spans="1:28" ht="15" customHeight="1">
      <c r="A1604" s="2" t="s">
        <v>9430</v>
      </c>
      <c r="B1604" s="2" t="s">
        <v>28</v>
      </c>
      <c r="C1604" s="11" t="s">
        <v>3155</v>
      </c>
      <c r="D1604" s="2" t="s">
        <v>30</v>
      </c>
      <c r="E1604" s="2" t="s">
        <v>31</v>
      </c>
      <c r="F1604" s="11"/>
      <c r="G1604" s="11"/>
      <c r="H1604" s="2">
        <v>2023</v>
      </c>
      <c r="I1604" s="2" t="s">
        <v>385</v>
      </c>
      <c r="J1604" s="8">
        <v>45122</v>
      </c>
      <c r="K1604" s="22">
        <v>45821</v>
      </c>
      <c r="L1604" s="13">
        <f>_xlfn.DAYS(Tabla1[[#This Row],[FECHA FIN ]],Tabla1[[#This Row],[FECHA INICIO]])</f>
        <v>699</v>
      </c>
      <c r="M1604" s="12"/>
      <c r="N1604" s="12">
        <v>300</v>
      </c>
      <c r="O1604" s="12">
        <f>(Tabla1[[#This Row],[COSTO FIJO ]]/30)*Tabla1[[#This Row],[TOTAL DIAS PROYECTO]]+(Tabla1[[#This Row],[COSTO TEMPORAL]])</f>
        <v>6990</v>
      </c>
      <c r="P1604" s="12"/>
      <c r="Q1604" s="12">
        <f>+(Tabla1[[#This Row],[COSTO COCHE]]/30)*Tabla1[[#This Row],[TOTAL DIAS PROYECTO]]</f>
        <v>0</v>
      </c>
      <c r="R1604" s="12">
        <f>+Tabla1[[#This Row],[COSTO TOTAL ALOJAMIENTO]]+Tabla1[[#This Row],[COSTO TOTAL COCHE]]</f>
        <v>6990</v>
      </c>
      <c r="S1604" s="2"/>
      <c r="T1604" s="2" t="s">
        <v>58</v>
      </c>
      <c r="U1604" s="14"/>
      <c r="V1604" s="14"/>
      <c r="W1604" s="2"/>
      <c r="X1604" s="2"/>
      <c r="Y1604" s="18"/>
      <c r="Z1604" s="2" t="s">
        <v>36</v>
      </c>
      <c r="AA1604" s="13" t="s">
        <v>10323</v>
      </c>
      <c r="AB1604" s="13" t="s">
        <v>10324</v>
      </c>
    </row>
    <row r="1605" spans="1:28">
      <c r="A1605" s="2" t="s">
        <v>8925</v>
      </c>
      <c r="B1605" s="2" t="s">
        <v>28</v>
      </c>
      <c r="C1605" s="18" t="s">
        <v>1304</v>
      </c>
      <c r="D1605" s="33" t="s">
        <v>30</v>
      </c>
      <c r="E1605" s="2" t="s">
        <v>31</v>
      </c>
      <c r="F1605" s="11" t="s">
        <v>32</v>
      </c>
      <c r="G1605" s="11" t="s">
        <v>33</v>
      </c>
      <c r="H1605" s="33" t="s">
        <v>346</v>
      </c>
      <c r="I1605" s="36" t="s">
        <v>357</v>
      </c>
      <c r="J1605" s="8">
        <f>+Tabla1[[#This Row],[FECHA ENTRADA]]</f>
        <v>45450</v>
      </c>
      <c r="K1605" s="22">
        <v>45844</v>
      </c>
      <c r="L1605" s="13">
        <f>_xlfn.DAYS(Tabla1[[#This Row],[FECHA FIN ]],Tabla1[[#This Row],[FECHA INICIO]])</f>
        <v>394</v>
      </c>
      <c r="M1605" s="12"/>
      <c r="N1605" s="12">
        <v>218.88</v>
      </c>
      <c r="O1605" s="36">
        <f>(Tabla1[[#This Row],[COSTO FIJO ]]/30)*Tabla1[[#This Row],[TOTAL DIAS PROYECTO]]+(Tabla1[[#This Row],[COSTO TEMPORAL]])</f>
        <v>2874.6240000000003</v>
      </c>
      <c r="P1605" s="36"/>
      <c r="Q1605" s="36">
        <f>+(Tabla1[[#This Row],[COSTO COCHE]]/30)*Tabla1[[#This Row],[TOTAL DIAS PROYECTO]]</f>
        <v>0</v>
      </c>
      <c r="R1605" s="36">
        <f>+Tabla1[[#This Row],[COSTO TOTAL ALOJAMIENTO]]+Tabla1[[#This Row],[COSTO TOTAL COCHE]]</f>
        <v>2874.6240000000003</v>
      </c>
      <c r="S1605" s="33"/>
      <c r="T1605" s="33" t="s">
        <v>35</v>
      </c>
      <c r="U1605" s="37">
        <v>45450</v>
      </c>
      <c r="V1605" s="14"/>
      <c r="W1605" s="40"/>
      <c r="X1605" s="33">
        <v>1</v>
      </c>
      <c r="Y1605" s="18" t="s">
        <v>3156</v>
      </c>
      <c r="Z1605" s="33" t="s">
        <v>36</v>
      </c>
      <c r="AA1605" s="13" t="s">
        <v>10323</v>
      </c>
      <c r="AB1605" s="13" t="s">
        <v>10324</v>
      </c>
    </row>
    <row r="1606" spans="1:28" ht="15" customHeight="1">
      <c r="A1606" s="2" t="s">
        <v>9097</v>
      </c>
      <c r="B1606" s="2" t="s">
        <v>368</v>
      </c>
      <c r="C1606" s="105" t="s">
        <v>2017</v>
      </c>
      <c r="D1606" s="2" t="s">
        <v>30</v>
      </c>
      <c r="E1606" s="2" t="s">
        <v>1404</v>
      </c>
      <c r="F1606" s="11" t="s">
        <v>1405</v>
      </c>
      <c r="G1606" s="46" t="s">
        <v>1406</v>
      </c>
      <c r="H1606" s="2" t="s">
        <v>3148</v>
      </c>
      <c r="I1606" s="12" t="s">
        <v>1392</v>
      </c>
      <c r="J1606" s="41">
        <f>+Tabla1[[#This Row],[FECHA ENTRADA]]</f>
        <v>45669</v>
      </c>
      <c r="K1606" s="22">
        <v>45683</v>
      </c>
      <c r="L1606" s="42">
        <f>_xlfn.DAYS(Tabla1[[#This Row],[FECHA FIN ]],Tabla1[[#This Row],[FECHA INICIO]])</f>
        <v>14</v>
      </c>
      <c r="M1606" s="12"/>
      <c r="N1606" s="12">
        <v>528</v>
      </c>
      <c r="O1606" s="28">
        <f>(Tabla1[[#This Row],[COSTO FIJO ]]/30)*Tabla1[[#This Row],[TOTAL DIAS PROYECTO]]+(Tabla1[[#This Row],[COSTO TEMPORAL]])</f>
        <v>246.40000000000003</v>
      </c>
      <c r="P1606" s="12"/>
      <c r="Q1606" s="12">
        <f>+(Tabla1[[#This Row],[COSTO COCHE]]/30)*Tabla1[[#This Row],[TOTAL DIAS PROYECTO]]</f>
        <v>0</v>
      </c>
      <c r="R1606" s="12">
        <f>+Tabla1[[#This Row],[COSTO TOTAL ALOJAMIENTO]]+Tabla1[[#This Row],[COSTO TOTAL COCHE]]</f>
        <v>246.40000000000003</v>
      </c>
      <c r="S1606" s="2"/>
      <c r="T1606" s="2" t="s">
        <v>44</v>
      </c>
      <c r="U1606" s="14">
        <v>45669</v>
      </c>
      <c r="V1606" s="43">
        <v>45699</v>
      </c>
      <c r="W1606" s="26"/>
      <c r="X1606" s="2"/>
      <c r="Y1606" s="11"/>
      <c r="Z1606" s="2" t="s">
        <v>36</v>
      </c>
      <c r="AA1606" s="13" t="s">
        <v>10418</v>
      </c>
      <c r="AB1606" s="13" t="s">
        <v>10419</v>
      </c>
    </row>
    <row r="1607" spans="1:28" ht="15" customHeight="1">
      <c r="A1607" s="2" t="s">
        <v>9417</v>
      </c>
      <c r="B1607" s="2" t="s">
        <v>368</v>
      </c>
      <c r="C1607" s="105" t="s">
        <v>3104</v>
      </c>
      <c r="D1607" s="2" t="s">
        <v>30</v>
      </c>
      <c r="E1607" s="2" t="s">
        <v>1404</v>
      </c>
      <c r="F1607" s="11" t="s">
        <v>3149</v>
      </c>
      <c r="G1607" s="11" t="s">
        <v>1406</v>
      </c>
      <c r="H1607" s="2" t="s">
        <v>3151</v>
      </c>
      <c r="I1607" s="12" t="s">
        <v>1392</v>
      </c>
      <c r="J1607" s="22">
        <f>+Tabla1[[#This Row],[FECHA ENTRADA]]</f>
        <v>45676</v>
      </c>
      <c r="K1607" s="22">
        <v>45821</v>
      </c>
      <c r="L1607" s="42">
        <f>_xlfn.DAYS(Tabla1[[#This Row],[FECHA FIN ]],Tabla1[[#This Row],[FECHA INICIO]])</f>
        <v>145</v>
      </c>
      <c r="M1607" s="12"/>
      <c r="N1607" s="20"/>
      <c r="O1607" s="28">
        <v>528</v>
      </c>
      <c r="P1607" s="12"/>
      <c r="Q1607" s="12">
        <f>+(Tabla1[[#This Row],[COSTO COCHE]]/30)*Tabla1[[#This Row],[TOTAL DIAS PROYECTO]]</f>
        <v>0</v>
      </c>
      <c r="R1607" s="12">
        <f>+Tabla1[[#This Row],[COSTO TOTAL ALOJAMIENTO]]+Tabla1[[#This Row],[COSTO TOTAL COCHE]]</f>
        <v>528</v>
      </c>
      <c r="S1607" s="2"/>
      <c r="T1607" s="2" t="s">
        <v>44</v>
      </c>
      <c r="U1607" s="14">
        <v>45676</v>
      </c>
      <c r="V1607" s="43">
        <v>45699</v>
      </c>
      <c r="W1607" s="26"/>
      <c r="X1607" s="2"/>
      <c r="Y1607" s="11"/>
      <c r="Z1607" s="2" t="s">
        <v>36</v>
      </c>
      <c r="AA1607" s="13" t="s">
        <v>10418</v>
      </c>
      <c r="AB1607" s="13" t="s">
        <v>10419</v>
      </c>
    </row>
    <row r="1608" spans="1:28" ht="15" customHeight="1">
      <c r="A1608" s="2" t="s">
        <v>8760</v>
      </c>
      <c r="B1608" s="2" t="s">
        <v>368</v>
      </c>
      <c r="C1608" s="105" t="s">
        <v>632</v>
      </c>
      <c r="D1608" s="2" t="s">
        <v>30</v>
      </c>
      <c r="E1608" s="2" t="s">
        <v>1404</v>
      </c>
      <c r="F1608" s="11" t="s">
        <v>1405</v>
      </c>
      <c r="G1608" s="46" t="s">
        <v>1406</v>
      </c>
      <c r="H1608" s="2" t="s">
        <v>3148</v>
      </c>
      <c r="I1608" s="12" t="s">
        <v>1392</v>
      </c>
      <c r="J1608" s="41">
        <f>+Tabla1[[#This Row],[FECHA ENTRADA]]</f>
        <v>45669</v>
      </c>
      <c r="K1608" s="22">
        <v>45821</v>
      </c>
      <c r="L1608" s="42">
        <f>_xlfn.DAYS(Tabla1[[#This Row],[FECHA FIN ]],Tabla1[[#This Row],[FECHA INICIO]])</f>
        <v>152</v>
      </c>
      <c r="M1608" s="12"/>
      <c r="N1608" s="20"/>
      <c r="O1608" s="28">
        <f>(Tabla1[[#This Row],[COSTO FIJO ]]/30)*Tabla1[[#This Row],[TOTAL DIAS PROYECTO]]+(Tabla1[[#This Row],[COSTO TEMPORAL]])</f>
        <v>0</v>
      </c>
      <c r="P1608" s="12"/>
      <c r="Q1608" s="12">
        <f>+(Tabla1[[#This Row],[COSTO COCHE]]/30)*Tabla1[[#This Row],[TOTAL DIAS PROYECTO]]</f>
        <v>0</v>
      </c>
      <c r="R1608" s="12">
        <f>+Tabla1[[#This Row],[COSTO TOTAL ALOJAMIENTO]]+Tabla1[[#This Row],[COSTO TOTAL COCHE]]</f>
        <v>0</v>
      </c>
      <c r="S1608" s="2"/>
      <c r="T1608" s="2" t="s">
        <v>44</v>
      </c>
      <c r="U1608" s="14">
        <v>45669</v>
      </c>
      <c r="V1608" s="43">
        <v>45699</v>
      </c>
      <c r="W1608" s="26"/>
      <c r="X1608" s="2"/>
      <c r="Y1608" s="11"/>
      <c r="Z1608" s="2" t="s">
        <v>36</v>
      </c>
      <c r="AA1608" s="13" t="s">
        <v>10418</v>
      </c>
      <c r="AB1608" s="13" t="s">
        <v>10419</v>
      </c>
    </row>
    <row r="1609" spans="1:28" ht="15" customHeight="1">
      <c r="A1609" s="2" t="s">
        <v>9327</v>
      </c>
      <c r="B1609" s="2" t="s">
        <v>368</v>
      </c>
      <c r="C1609" s="11" t="s">
        <v>2836</v>
      </c>
      <c r="D1609" s="2" t="s">
        <v>72</v>
      </c>
      <c r="E1609" s="2" t="s">
        <v>1115</v>
      </c>
      <c r="F1609" s="11" t="s">
        <v>3157</v>
      </c>
      <c r="G1609" s="46" t="s">
        <v>3158</v>
      </c>
      <c r="H1609" s="2" t="s">
        <v>1118</v>
      </c>
      <c r="I1609" s="12" t="s">
        <v>1119</v>
      </c>
      <c r="J1609" s="41">
        <f>+Tabla1[[#This Row],[FECHA ENTRADA]]</f>
        <v>45662</v>
      </c>
      <c r="K1609" s="22">
        <v>45821</v>
      </c>
      <c r="L1609" s="42">
        <f>_xlfn.DAYS(Tabla1[[#This Row],[FECHA FIN ]],Tabla1[[#This Row],[FECHA INICIO]])</f>
        <v>159</v>
      </c>
      <c r="M1609" s="12"/>
      <c r="N1609" s="12"/>
      <c r="O1609" s="28">
        <f>(Tabla1[[#This Row],[COSTO FIJO ]]/30)*Tabla1[[#This Row],[TOTAL DIAS PROYECTO]]+(Tabla1[[#This Row],[COSTO TEMPORAL]])</f>
        <v>0</v>
      </c>
      <c r="P1609" s="12"/>
      <c r="Q1609" s="12">
        <f>+(Tabla1[[#This Row],[COSTO COCHE]]/30)*Tabla1[[#This Row],[TOTAL DIAS PROYECTO]]</f>
        <v>0</v>
      </c>
      <c r="R1609" s="12">
        <f>+Tabla1[[#This Row],[COSTO TOTAL ALOJAMIENTO]]+Tabla1[[#This Row],[COSTO TOTAL COCHE]]</f>
        <v>0</v>
      </c>
      <c r="S1609" s="2" t="s">
        <v>84</v>
      </c>
      <c r="T1609" s="2" t="s">
        <v>44</v>
      </c>
      <c r="U1609" s="14">
        <v>45662</v>
      </c>
      <c r="V1609" s="43">
        <v>45702</v>
      </c>
      <c r="W1609" s="26"/>
      <c r="X1609" s="2"/>
      <c r="Y1609" s="11"/>
      <c r="Z1609" s="2" t="s">
        <v>36</v>
      </c>
      <c r="AA1609" s="13" t="s">
        <v>10411</v>
      </c>
      <c r="AB1609" s="13">
        <v>50.656529999999997</v>
      </c>
    </row>
    <row r="1610" spans="1:28" ht="15" customHeight="1">
      <c r="A1610" s="2" t="s">
        <v>9321</v>
      </c>
      <c r="B1610" s="2" t="s">
        <v>368</v>
      </c>
      <c r="C1610" s="11" t="s">
        <v>2816</v>
      </c>
      <c r="D1610" s="2" t="s">
        <v>30</v>
      </c>
      <c r="E1610" s="2" t="s">
        <v>877</v>
      </c>
      <c r="F1610" s="11" t="s">
        <v>3159</v>
      </c>
      <c r="G1610" s="49" t="s">
        <v>3160</v>
      </c>
      <c r="H1610" s="2" t="s">
        <v>3161</v>
      </c>
      <c r="I1610" s="12" t="s">
        <v>3162</v>
      </c>
      <c r="J1610" s="22">
        <f>+Tabla1[[#This Row],[FECHA ENTRADA]]</f>
        <v>45700</v>
      </c>
      <c r="K1610" s="22">
        <v>45821</v>
      </c>
      <c r="L1610" s="23">
        <f>_xlfn.DAYS(Tabla1[[#This Row],[FECHA FIN ]],Tabla1[[#This Row],[FECHA INICIO]])</f>
        <v>121</v>
      </c>
      <c r="M1610" s="12"/>
      <c r="N1610" s="12"/>
      <c r="O1610" s="24">
        <f>(Tabla1[[#This Row],[COSTO FIJO ]]/30)*Tabla1[[#This Row],[TOTAL DIAS PROYECTO]]+(Tabla1[[#This Row],[COSTO TEMPORAL]])</f>
        <v>0</v>
      </c>
      <c r="P1610" s="12"/>
      <c r="Q1610" s="12">
        <f>+(Tabla1[[#This Row],[COSTO COCHE]]/30)*Tabla1[[#This Row],[TOTAL DIAS PROYECTO]]</f>
        <v>0</v>
      </c>
      <c r="R1610" s="12">
        <f>+Tabla1[[#This Row],[COSTO TOTAL ALOJAMIENTO]]+Tabla1[[#This Row],[COSTO TOTAL COCHE]]</f>
        <v>0</v>
      </c>
      <c r="S1610" s="2"/>
      <c r="T1610" s="2" t="s">
        <v>44</v>
      </c>
      <c r="U1610" s="14">
        <v>45700</v>
      </c>
      <c r="V1610" s="25">
        <v>45702</v>
      </c>
      <c r="W1610" s="26"/>
      <c r="X1610" s="2"/>
      <c r="Y1610" s="11"/>
      <c r="Z1610" s="2" t="s">
        <v>36</v>
      </c>
      <c r="AA1610" s="13" t="s">
        <v>10403</v>
      </c>
      <c r="AB1610" s="13" t="s">
        <v>10404</v>
      </c>
    </row>
    <row r="1611" spans="1:28" ht="15" customHeight="1">
      <c r="A1611" s="2" t="s">
        <v>9382</v>
      </c>
      <c r="B1611" s="2" t="s">
        <v>368</v>
      </c>
      <c r="C1611" s="11" t="s">
        <v>2996</v>
      </c>
      <c r="D1611" s="2" t="s">
        <v>72</v>
      </c>
      <c r="E1611" s="2" t="s">
        <v>1115</v>
      </c>
      <c r="F1611" s="11" t="s">
        <v>3163</v>
      </c>
      <c r="G1611" s="46" t="s">
        <v>3164</v>
      </c>
      <c r="H1611" s="2" t="s">
        <v>1336</v>
      </c>
      <c r="I1611" s="12" t="s">
        <v>1337</v>
      </c>
      <c r="J1611" s="41">
        <f>+Tabla1[[#This Row],[FECHA ENTRADA]]</f>
        <v>45666</v>
      </c>
      <c r="K1611" s="22">
        <v>45821</v>
      </c>
      <c r="L1611" s="42">
        <f>_xlfn.DAYS(Tabla1[[#This Row],[FECHA FIN ]],Tabla1[[#This Row],[FECHA INICIO]])</f>
        <v>155</v>
      </c>
      <c r="M1611" s="12"/>
      <c r="N1611" s="12">
        <f>1811.6/17</f>
        <v>106.56470588235294</v>
      </c>
      <c r="O1611" s="28">
        <f>(Tabla1[[#This Row],[COSTO FIJO ]]/30)*Tabla1[[#This Row],[TOTAL DIAS PROYECTO]]+(Tabla1[[#This Row],[COSTO TEMPORAL]])</f>
        <v>550.58431372549023</v>
      </c>
      <c r="P1611" s="12"/>
      <c r="Q1611" s="12">
        <f>+(Tabla1[[#This Row],[COSTO COCHE]]/30)*Tabla1[[#This Row],[TOTAL DIAS PROYECTO]]</f>
        <v>0</v>
      </c>
      <c r="R1611" s="12">
        <f>+Tabla1[[#This Row],[COSTO TOTAL ALOJAMIENTO]]+Tabla1[[#This Row],[COSTO TOTAL COCHE]]</f>
        <v>550.58431372549023</v>
      </c>
      <c r="S1611" s="2" t="s">
        <v>84</v>
      </c>
      <c r="T1611" s="2" t="s">
        <v>44</v>
      </c>
      <c r="U1611" s="14">
        <v>45666</v>
      </c>
      <c r="V1611" s="43">
        <v>45702</v>
      </c>
      <c r="W1611" s="26"/>
      <c r="X1611" s="2"/>
      <c r="Y1611" s="11"/>
      <c r="Z1611" s="2" t="s">
        <v>36</v>
      </c>
      <c r="AA1611" s="13" t="s">
        <v>10411</v>
      </c>
      <c r="AB1611" s="13">
        <v>50.656529999999997</v>
      </c>
    </row>
    <row r="1612" spans="1:28" ht="15" customHeight="1">
      <c r="A1612" s="2" t="s">
        <v>9431</v>
      </c>
      <c r="B1612" s="2" t="s">
        <v>28</v>
      </c>
      <c r="C1612" s="18" t="s">
        <v>3165</v>
      </c>
      <c r="D1612" s="2" t="s">
        <v>30</v>
      </c>
      <c r="E1612" s="2" t="s">
        <v>855</v>
      </c>
      <c r="F1612" s="11" t="s">
        <v>856</v>
      </c>
      <c r="G1612" s="21" t="s">
        <v>857</v>
      </c>
      <c r="H1612" s="2" t="s">
        <v>1456</v>
      </c>
      <c r="I1612" s="12" t="s">
        <v>1201</v>
      </c>
      <c r="J1612" s="41">
        <f>+Tabla1[[#This Row],[FECHA ENTRADA]]</f>
        <v>45651</v>
      </c>
      <c r="K1612" s="22">
        <v>45821</v>
      </c>
      <c r="L1612" s="42">
        <f>_xlfn.DAYS(Tabla1[[#This Row],[FECHA FIN ]],Tabla1[[#This Row],[FECHA INICIO]])</f>
        <v>170</v>
      </c>
      <c r="M1612" s="12"/>
      <c r="N1612" s="28">
        <v>300</v>
      </c>
      <c r="O1612" s="28">
        <f>(Tabla1[[#This Row],[COSTO FIJO ]]/30)*Tabla1[[#This Row],[TOTAL DIAS PROYECTO]]+(Tabla1[[#This Row],[COSTO TEMPORAL]])</f>
        <v>1700</v>
      </c>
      <c r="P1612" s="12"/>
      <c r="Q1612" s="12">
        <f>+(Tabla1[[#This Row],[COSTO COCHE]]/30)*Tabla1[[#This Row],[TOTAL DIAS PROYECTO]]</f>
        <v>0</v>
      </c>
      <c r="R1612" s="12">
        <f>+Tabla1[[#This Row],[COSTO TOTAL ALOJAMIENTO]]+Tabla1[[#This Row],[COSTO TOTAL COCHE]]</f>
        <v>1700</v>
      </c>
      <c r="S1612" s="2"/>
      <c r="T1612" s="2" t="s">
        <v>35</v>
      </c>
      <c r="U1612" s="14">
        <v>45651</v>
      </c>
      <c r="V1612" s="43"/>
      <c r="W1612" s="26"/>
      <c r="X1612" s="2">
        <v>1</v>
      </c>
      <c r="Y1612" s="11" t="s">
        <v>3166</v>
      </c>
      <c r="Z1612" s="2" t="s">
        <v>36</v>
      </c>
      <c r="AA1612" s="13" t="s">
        <v>10401</v>
      </c>
      <c r="AB1612" s="13" t="s">
        <v>10402</v>
      </c>
    </row>
    <row r="1613" spans="1:28" ht="15" customHeight="1">
      <c r="A1613" s="2" t="s">
        <v>9305</v>
      </c>
      <c r="B1613" s="2" t="s">
        <v>368</v>
      </c>
      <c r="C1613" s="11" t="s">
        <v>2759</v>
      </c>
      <c r="D1613" s="2" t="s">
        <v>30</v>
      </c>
      <c r="E1613" s="2" t="s">
        <v>1514</v>
      </c>
      <c r="F1613" s="11" t="s">
        <v>3167</v>
      </c>
      <c r="G1613" s="46" t="s">
        <v>3168</v>
      </c>
      <c r="H1613" s="2" t="s">
        <v>1517</v>
      </c>
      <c r="I1613" s="12" t="s">
        <v>1392</v>
      </c>
      <c r="J1613" s="41">
        <f>+Tabla1[[#This Row],[FECHA ENTRADA]]</f>
        <v>45663</v>
      </c>
      <c r="K1613" s="22">
        <v>45821</v>
      </c>
      <c r="L1613" s="42">
        <f>_xlfn.DAYS(Tabla1[[#This Row],[FECHA FIN ]],Tabla1[[#This Row],[FECHA INICIO]])</f>
        <v>158</v>
      </c>
      <c r="M1613" s="12"/>
      <c r="N1613" s="12"/>
      <c r="O1613" s="28">
        <f>(Tabla1[[#This Row],[COSTO FIJO ]]/30)*Tabla1[[#This Row],[TOTAL DIAS PROYECTO]]+(Tabla1[[#This Row],[COSTO TEMPORAL]])</f>
        <v>0</v>
      </c>
      <c r="P1613" s="12"/>
      <c r="Q1613" s="12">
        <f>+(Tabla1[[#This Row],[COSTO COCHE]]/30)*Tabla1[[#This Row],[TOTAL DIAS PROYECTO]]</f>
        <v>0</v>
      </c>
      <c r="R1613" s="12">
        <f>+Tabla1[[#This Row],[COSTO TOTAL ALOJAMIENTO]]+Tabla1[[#This Row],[COSTO TOTAL COCHE]]</f>
        <v>0</v>
      </c>
      <c r="S1613" s="2"/>
      <c r="T1613" s="2" t="s">
        <v>44</v>
      </c>
      <c r="U1613" s="14">
        <v>45663</v>
      </c>
      <c r="V1613" s="43">
        <v>45706</v>
      </c>
      <c r="W1613" s="26"/>
      <c r="X1613" s="2">
        <v>4</v>
      </c>
      <c r="Y1613" s="110" t="s">
        <v>1593</v>
      </c>
      <c r="Z1613" s="2" t="s">
        <v>36</v>
      </c>
      <c r="AA1613" s="13" t="s">
        <v>10424</v>
      </c>
      <c r="AB1613" s="13">
        <v>398581</v>
      </c>
    </row>
    <row r="1614" spans="1:28" ht="15" customHeight="1">
      <c r="A1614" s="2" t="s">
        <v>9320</v>
      </c>
      <c r="B1614" s="2" t="s">
        <v>368</v>
      </c>
      <c r="C1614" s="11" t="s">
        <v>2814</v>
      </c>
      <c r="D1614" s="2" t="s">
        <v>30</v>
      </c>
      <c r="E1614" s="2" t="s">
        <v>1514</v>
      </c>
      <c r="F1614" s="11" t="s">
        <v>3167</v>
      </c>
      <c r="G1614" s="46" t="s">
        <v>3168</v>
      </c>
      <c r="H1614" s="2" t="s">
        <v>1517</v>
      </c>
      <c r="I1614" s="12" t="s">
        <v>1392</v>
      </c>
      <c r="J1614" s="41">
        <f>+Tabla1[[#This Row],[FECHA ENTRADA]]</f>
        <v>45663</v>
      </c>
      <c r="K1614" s="22">
        <v>45821</v>
      </c>
      <c r="L1614" s="42">
        <f>_xlfn.DAYS(Tabla1[[#This Row],[FECHA FIN ]],Tabla1[[#This Row],[FECHA INICIO]])</f>
        <v>158</v>
      </c>
      <c r="M1614" s="12"/>
      <c r="N1614" s="12">
        <f>1811.6/17</f>
        <v>106.56470588235294</v>
      </c>
      <c r="O1614" s="28">
        <f>(Tabla1[[#This Row],[COSTO FIJO ]]/30)*Tabla1[[#This Row],[TOTAL DIAS PROYECTO]]+(Tabla1[[#This Row],[COSTO TEMPORAL]])</f>
        <v>561.2407843137255</v>
      </c>
      <c r="P1614" s="12"/>
      <c r="Q1614" s="12">
        <f>+(Tabla1[[#This Row],[COSTO COCHE]]/30)*Tabla1[[#This Row],[TOTAL DIAS PROYECTO]]</f>
        <v>0</v>
      </c>
      <c r="R1614" s="12">
        <f>+Tabla1[[#This Row],[COSTO TOTAL ALOJAMIENTO]]+Tabla1[[#This Row],[COSTO TOTAL COCHE]]</f>
        <v>561.2407843137255</v>
      </c>
      <c r="S1614" s="2"/>
      <c r="T1614" s="2" t="s">
        <v>44</v>
      </c>
      <c r="U1614" s="14">
        <v>45663</v>
      </c>
      <c r="V1614" s="43">
        <v>45706</v>
      </c>
      <c r="W1614" s="26"/>
      <c r="X1614" s="2">
        <v>4</v>
      </c>
      <c r="Y1614" s="11"/>
      <c r="Z1614" s="2" t="s">
        <v>36</v>
      </c>
      <c r="AA1614" s="13" t="s">
        <v>10424</v>
      </c>
      <c r="AB1614" s="13">
        <v>398581</v>
      </c>
    </row>
    <row r="1615" spans="1:28" ht="15" customHeight="1">
      <c r="A1615" s="2" t="s">
        <v>9432</v>
      </c>
      <c r="B1615" s="2" t="s">
        <v>978</v>
      </c>
      <c r="C1615" s="11" t="s">
        <v>3169</v>
      </c>
      <c r="D1615" s="2" t="s">
        <v>30</v>
      </c>
      <c r="E1615" s="2" t="s">
        <v>55</v>
      </c>
      <c r="F1615" s="11" t="s">
        <v>1319</v>
      </c>
      <c r="G1615" s="46" t="s">
        <v>1320</v>
      </c>
      <c r="H1615" s="2" t="s">
        <v>1321</v>
      </c>
      <c r="I1615" s="30" t="s">
        <v>1322</v>
      </c>
      <c r="J1615" s="41">
        <f>+Tabla1[[#This Row],[FECHA ENTRADA]]</f>
        <v>45644</v>
      </c>
      <c r="K1615" s="22">
        <v>45821</v>
      </c>
      <c r="L1615" s="42">
        <f>_xlfn.DAYS(Tabla1[[#This Row],[FECHA FIN ]],Tabla1[[#This Row],[FECHA INICIO]])</f>
        <v>177</v>
      </c>
      <c r="M1615" s="12"/>
      <c r="N1615" s="12"/>
      <c r="O1615" s="28">
        <f>(Tabla1[[#This Row],[COSTO FIJO ]]/30)*Tabla1[[#This Row],[TOTAL DIAS PROYECTO]]+(Tabla1[[#This Row],[COSTO TEMPORAL]])</f>
        <v>0</v>
      </c>
      <c r="P1615" s="12"/>
      <c r="Q1615" s="12">
        <f>+(Tabla1[[#This Row],[COSTO COCHE]]/30)*Tabla1[[#This Row],[TOTAL DIAS PROYECTO]]</f>
        <v>0</v>
      </c>
      <c r="R1615" s="12">
        <f>+Tabla1[[#This Row],[COSTO TOTAL ALOJAMIENTO]]+Tabla1[[#This Row],[COSTO TOTAL COCHE]]</f>
        <v>0</v>
      </c>
      <c r="S1615" s="2"/>
      <c r="T1615" s="2" t="s">
        <v>44</v>
      </c>
      <c r="U1615" s="14">
        <v>45644</v>
      </c>
      <c r="V1615" s="43">
        <v>45675</v>
      </c>
      <c r="W1615" s="26"/>
      <c r="X1615" s="2"/>
      <c r="Y1615" s="11"/>
      <c r="Z1615" s="2" t="s">
        <v>36</v>
      </c>
      <c r="AA1615" s="13" t="s">
        <v>10327</v>
      </c>
      <c r="AB1615" s="13" t="s">
        <v>10328</v>
      </c>
    </row>
    <row r="1616" spans="1:28" ht="15" customHeight="1">
      <c r="A1616" s="2" t="s">
        <v>8860</v>
      </c>
      <c r="B1616" s="2" t="s">
        <v>368</v>
      </c>
      <c r="C1616" s="11" t="s">
        <v>1054</v>
      </c>
      <c r="D1616" s="2" t="s">
        <v>30</v>
      </c>
      <c r="E1616" s="2" t="s">
        <v>1443</v>
      </c>
      <c r="F1616" s="11" t="s">
        <v>1444</v>
      </c>
      <c r="G1616" s="21" t="s">
        <v>1445</v>
      </c>
      <c r="H1616" s="2" t="s">
        <v>1446</v>
      </c>
      <c r="I1616" s="12" t="s">
        <v>1447</v>
      </c>
      <c r="J1616" s="22">
        <f>+Tabla1[[#This Row],[FECHA ENTRADA]]</f>
        <v>45676</v>
      </c>
      <c r="K1616" s="22">
        <v>45821</v>
      </c>
      <c r="L1616" s="23">
        <f>_xlfn.DAYS(Tabla1[[#This Row],[FECHA FIN ]],Tabla1[[#This Row],[FECHA INICIO]])</f>
        <v>145</v>
      </c>
      <c r="M1616" s="12"/>
      <c r="N1616" s="12">
        <f>1811.6/17</f>
        <v>106.56470588235294</v>
      </c>
      <c r="O1616" s="24">
        <f>(Tabla1[[#This Row],[COSTO FIJO ]]/30)*Tabla1[[#This Row],[TOTAL DIAS PROYECTO]]+(Tabla1[[#This Row],[COSTO TEMPORAL]])</f>
        <v>515.06274509803927</v>
      </c>
      <c r="P1616" s="12"/>
      <c r="Q1616" s="12">
        <f>+(Tabla1[[#This Row],[COSTO COCHE]]/30)*Tabla1[[#This Row],[TOTAL DIAS PROYECTO]]</f>
        <v>0</v>
      </c>
      <c r="R1616" s="12">
        <f>+Tabla1[[#This Row],[COSTO TOTAL ALOJAMIENTO]]+Tabla1[[#This Row],[COSTO TOTAL COCHE]]</f>
        <v>515.06274509803927</v>
      </c>
      <c r="S1616" s="2"/>
      <c r="T1616" s="2" t="s">
        <v>44</v>
      </c>
      <c r="U1616" s="14">
        <v>45676</v>
      </c>
      <c r="V1616" s="79">
        <v>45706</v>
      </c>
      <c r="W1616" s="26"/>
      <c r="X1616" s="2"/>
      <c r="Y1616" s="11"/>
      <c r="Z1616" s="2" t="s">
        <v>36</v>
      </c>
      <c r="AA1616" s="13" t="s">
        <v>10420</v>
      </c>
      <c r="AB1616" s="13">
        <v>3907741</v>
      </c>
    </row>
    <row r="1617" spans="1:28" ht="15" customHeight="1">
      <c r="A1617" s="2" t="s">
        <v>9179</v>
      </c>
      <c r="B1617" s="2" t="s">
        <v>368</v>
      </c>
      <c r="C1617" s="11" t="s">
        <v>2336</v>
      </c>
      <c r="D1617" s="2" t="s">
        <v>99</v>
      </c>
      <c r="E1617" s="2" t="s">
        <v>109</v>
      </c>
      <c r="F1617" s="11" t="s">
        <v>2307</v>
      </c>
      <c r="G1617" t="s">
        <v>3139</v>
      </c>
      <c r="H1617" s="2" t="s">
        <v>2335</v>
      </c>
      <c r="I1617" s="12" t="s">
        <v>42</v>
      </c>
      <c r="J1617" s="41">
        <f>+Tabla1[[#This Row],[FECHA ENTRADA]]</f>
        <v>45748</v>
      </c>
      <c r="K1617" s="22">
        <v>45821</v>
      </c>
      <c r="L1617" s="42">
        <f>_xlfn.DAYS(Tabla1[[#This Row],[FECHA FIN ]],Tabla1[[#This Row],[FECHA INICIO]])</f>
        <v>73</v>
      </c>
      <c r="M1617" s="12"/>
      <c r="N1617" s="12"/>
      <c r="O1617" s="28">
        <f>(Tabla1[[#This Row],[COSTO FIJO ]]/30)*Tabla1[[#This Row],[TOTAL DIAS PROYECTO]]+(Tabla1[[#This Row],[COSTO TEMPORAL]])</f>
        <v>0</v>
      </c>
      <c r="P1617" s="12">
        <f>613.83/5</f>
        <v>122.76600000000001</v>
      </c>
      <c r="Q1617" s="12">
        <f>+(Tabla1[[#This Row],[COSTO COCHE]]/30)*Tabla1[[#This Row],[TOTAL DIAS PROYECTO]]</f>
        <v>298.73059999999998</v>
      </c>
      <c r="R1617" s="12">
        <f>+Tabla1[[#This Row],[COSTO TOTAL ALOJAMIENTO]]+Tabla1[[#This Row],[COSTO TOTAL COCHE]]</f>
        <v>298.73059999999998</v>
      </c>
      <c r="S1617" s="2"/>
      <c r="T1617" s="2" t="s">
        <v>35</v>
      </c>
      <c r="U1617" s="14">
        <v>45748</v>
      </c>
      <c r="V1617" s="43">
        <v>45777</v>
      </c>
      <c r="W1617" s="26"/>
      <c r="X1617" s="2">
        <v>27</v>
      </c>
      <c r="Y1617" s="11"/>
      <c r="Z1617" s="2" t="s">
        <v>36</v>
      </c>
      <c r="AA1617" s="13">
        <v>0.62217999999999996</v>
      </c>
      <c r="AB1617" s="13" t="s">
        <v>10339</v>
      </c>
    </row>
    <row r="1618" spans="1:28" ht="15" customHeight="1">
      <c r="A1618" s="2" t="s">
        <v>9122</v>
      </c>
      <c r="B1618" s="2" t="s">
        <v>368</v>
      </c>
      <c r="C1618" s="11" t="s">
        <v>2093</v>
      </c>
      <c r="D1618" s="2" t="s">
        <v>99</v>
      </c>
      <c r="E1618" s="2" t="s">
        <v>109</v>
      </c>
      <c r="F1618" s="11" t="s">
        <v>2307</v>
      </c>
      <c r="G1618" t="s">
        <v>3139</v>
      </c>
      <c r="H1618" s="2" t="s">
        <v>2007</v>
      </c>
      <c r="I1618" s="12" t="s">
        <v>42</v>
      </c>
      <c r="J1618" s="41">
        <f>+Tabla1[[#This Row],[FECHA ENTRADA]]</f>
        <v>45748</v>
      </c>
      <c r="K1618" s="22">
        <v>45777</v>
      </c>
      <c r="L1618" s="42">
        <f>_xlfn.DAYS(Tabla1[[#This Row],[FECHA FIN ]],Tabla1[[#This Row],[FECHA INICIO]])</f>
        <v>29</v>
      </c>
      <c r="M1618" s="12"/>
      <c r="N1618" s="12"/>
      <c r="O1618" s="28">
        <f>(Tabla1[[#This Row],[COSTO FIJO ]]/30)*Tabla1[[#This Row],[TOTAL DIAS PROYECTO]]+(Tabla1[[#This Row],[COSTO TEMPORAL]])</f>
        <v>0</v>
      </c>
      <c r="P1618" s="12">
        <f>613.83/5</f>
        <v>122.76600000000001</v>
      </c>
      <c r="Q1618" s="12">
        <f>+(Tabla1[[#This Row],[COSTO COCHE]]/30)*Tabla1[[#This Row],[TOTAL DIAS PROYECTO]]</f>
        <v>118.6738</v>
      </c>
      <c r="R1618" s="12">
        <f>+Tabla1[[#This Row],[COSTO TOTAL ALOJAMIENTO]]+Tabla1[[#This Row],[COSTO TOTAL COCHE]]</f>
        <v>118.6738</v>
      </c>
      <c r="S1618" s="2"/>
      <c r="T1618" s="2" t="s">
        <v>35</v>
      </c>
      <c r="U1618" s="14">
        <v>45748</v>
      </c>
      <c r="V1618" s="43">
        <v>45777</v>
      </c>
      <c r="W1618" s="26"/>
      <c r="X1618" s="2">
        <v>27</v>
      </c>
      <c r="Y1618" s="11" t="s">
        <v>1166</v>
      </c>
      <c r="Z1618" s="2" t="s">
        <v>36</v>
      </c>
      <c r="AA1618" s="13">
        <v>0.62217999999999996</v>
      </c>
      <c r="AB1618" s="13" t="s">
        <v>10339</v>
      </c>
    </row>
    <row r="1619" spans="1:28" ht="15" customHeight="1">
      <c r="A1619" s="117" t="s">
        <v>9433</v>
      </c>
      <c r="B1619" s="117" t="s">
        <v>711</v>
      </c>
      <c r="C1619" s="118" t="s">
        <v>3170</v>
      </c>
      <c r="D1619" s="117" t="s">
        <v>30</v>
      </c>
      <c r="E1619" s="117" t="s">
        <v>648</v>
      </c>
      <c r="F1619" s="11" t="s">
        <v>1834</v>
      </c>
      <c r="G1619" s="68" t="s">
        <v>1835</v>
      </c>
      <c r="H1619" s="117" t="s">
        <v>1836</v>
      </c>
      <c r="I1619" s="119" t="s">
        <v>96</v>
      </c>
      <c r="J1619" s="120">
        <f>+Tabla1[[#This Row],[FECHA ENTRADA]]</f>
        <v>45966</v>
      </c>
      <c r="K1619" s="121">
        <v>46007</v>
      </c>
      <c r="L1619" s="122">
        <f>_xlfn.DAYS(Tabla1[[#This Row],[FECHA FIN ]],Tabla1[[#This Row],[FECHA INICIO]])</f>
        <v>41</v>
      </c>
      <c r="M1619" s="119">
        <f>272.16/2</f>
        <v>136.08000000000001</v>
      </c>
      <c r="N1619" s="123"/>
      <c r="O1619" s="123">
        <f>(Tabla1[[#This Row],[COSTO FIJO ]]/30)*Tabla1[[#This Row],[TOTAL DIAS PROYECTO]]+(Tabla1[[#This Row],[COSTO TEMPORAL]])</f>
        <v>136.08000000000001</v>
      </c>
      <c r="P1619" s="119"/>
      <c r="Q1619" s="119">
        <f>+(Tabla1[[#This Row],[COSTO COCHE]]/30)*Tabla1[[#This Row],[TOTAL DIAS PROYECTO]]</f>
        <v>0</v>
      </c>
      <c r="R1619" s="119">
        <f>+Tabla1[[#This Row],[COSTO TOTAL ALOJAMIENTO]]+Tabla1[[#This Row],[COSTO TOTAL COCHE]]</f>
        <v>136.08000000000001</v>
      </c>
      <c r="S1619" s="117" t="s">
        <v>403</v>
      </c>
      <c r="T1619" s="124" t="s">
        <v>44</v>
      </c>
      <c r="U1619" s="124">
        <v>45966</v>
      </c>
      <c r="V1619" s="125">
        <v>46007</v>
      </c>
      <c r="W1619" s="126"/>
      <c r="X1619" s="117"/>
      <c r="Y1619" s="118" t="s">
        <v>1837</v>
      </c>
      <c r="Z1619" s="117" t="s">
        <v>36</v>
      </c>
      <c r="AA1619" s="127" t="s">
        <v>10387</v>
      </c>
      <c r="AB1619" s="127" t="s">
        <v>10388</v>
      </c>
    </row>
    <row r="1620" spans="1:28" ht="15" customHeight="1">
      <c r="A1620" s="2" t="s">
        <v>9434</v>
      </c>
      <c r="B1620" s="2" t="s">
        <v>368</v>
      </c>
      <c r="C1620" s="181" t="s">
        <v>3171</v>
      </c>
      <c r="D1620" s="2" t="s">
        <v>30</v>
      </c>
      <c r="E1620" s="2" t="s">
        <v>734</v>
      </c>
      <c r="F1620" s="11" t="s">
        <v>735</v>
      </c>
      <c r="G1620" s="67" t="s">
        <v>736</v>
      </c>
      <c r="H1620" s="2" t="s">
        <v>3172</v>
      </c>
      <c r="I1620" s="10" t="s">
        <v>1994</v>
      </c>
      <c r="J1620" s="41">
        <f>+Tabla1[[#This Row],[FECHA ENTRADA]]</f>
        <v>45679</v>
      </c>
      <c r="K1620" s="22">
        <v>45821</v>
      </c>
      <c r="L1620" s="42">
        <f>_xlfn.DAYS(Tabla1[[#This Row],[FECHA FIN ]],Tabla1[[#This Row],[FECHA INICIO]])</f>
        <v>142</v>
      </c>
      <c r="M1620" s="12"/>
      <c r="N1620" s="12">
        <f>1811.6/17</f>
        <v>106.56470588235294</v>
      </c>
      <c r="O1620" s="28">
        <f>(Tabla1[[#This Row],[COSTO FIJO ]]/30)*Tabla1[[#This Row],[TOTAL DIAS PROYECTO]]+(Tabla1[[#This Row],[COSTO TEMPORAL]])</f>
        <v>504.40627450980395</v>
      </c>
      <c r="P1620" s="12"/>
      <c r="Q1620" s="12">
        <f>+(Tabla1[[#This Row],[COSTO COCHE]]/30)*Tabla1[[#This Row],[TOTAL DIAS PROYECTO]]</f>
        <v>0</v>
      </c>
      <c r="R1620" s="12">
        <f>+Tabla1[[#This Row],[COSTO TOTAL ALOJAMIENTO]]+Tabla1[[#This Row],[COSTO TOTAL COCHE]]</f>
        <v>504.40627450980395</v>
      </c>
      <c r="S1620" s="2"/>
      <c r="T1620" s="2" t="s">
        <v>35</v>
      </c>
      <c r="U1620" s="14">
        <v>45679</v>
      </c>
      <c r="V1620" s="43"/>
      <c r="W1620" s="26"/>
      <c r="X1620" s="2">
        <v>1</v>
      </c>
      <c r="Y1620" s="11"/>
      <c r="Z1620" s="2" t="s">
        <v>36</v>
      </c>
      <c r="AA1620" s="13" t="s">
        <v>10396</v>
      </c>
      <c r="AB1620" s="13" t="s">
        <v>10397</v>
      </c>
    </row>
    <row r="1621" spans="1:28" ht="15" customHeight="1">
      <c r="A1621" s="117" t="s">
        <v>9433</v>
      </c>
      <c r="B1621" s="117" t="s">
        <v>711</v>
      </c>
      <c r="C1621" s="118" t="s">
        <v>3170</v>
      </c>
      <c r="D1621" s="117" t="s">
        <v>30</v>
      </c>
      <c r="E1621" s="117" t="s">
        <v>648</v>
      </c>
      <c r="F1621" s="11" t="s">
        <v>1844</v>
      </c>
      <c r="G1621" s="128" t="s">
        <v>1845</v>
      </c>
      <c r="H1621" s="117" t="s">
        <v>1836</v>
      </c>
      <c r="I1621" s="119" t="s">
        <v>96</v>
      </c>
      <c r="J1621" s="121">
        <f>+Tabla1[[#This Row],[FECHA ENTRADA]]</f>
        <v>46007</v>
      </c>
      <c r="K1621" s="121">
        <v>46081</v>
      </c>
      <c r="L1621" s="129">
        <f>_xlfn.DAYS(Tabla1[[#This Row],[FECHA FIN ]],Tabla1[[#This Row],[FECHA INICIO]])</f>
        <v>74</v>
      </c>
      <c r="M1621" s="119">
        <f>(1017.68)/2</f>
        <v>508.84</v>
      </c>
      <c r="N1621" s="130"/>
      <c r="O1621" s="131">
        <f>(Tabla1[[#This Row],[COSTO FIJO ]]/30)*Tabla1[[#This Row],[TOTAL DIAS PROYECTO]]+(Tabla1[[#This Row],[COSTO TEMPORAL]])</f>
        <v>508.84</v>
      </c>
      <c r="P1621" s="119"/>
      <c r="Q1621" s="119">
        <f>+(Tabla1[[#This Row],[COSTO COCHE]]/30)*Tabla1[[#This Row],[TOTAL DIAS PROYECTO]]</f>
        <v>0</v>
      </c>
      <c r="R1621" s="119">
        <f>+Tabla1[[#This Row],[COSTO TOTAL ALOJAMIENTO]]+Tabla1[[#This Row],[COSTO TOTAL COCHE]]</f>
        <v>508.84</v>
      </c>
      <c r="S1621" s="117" t="s">
        <v>84</v>
      </c>
      <c r="T1621" s="124" t="s">
        <v>44</v>
      </c>
      <c r="U1621" s="124">
        <v>46007</v>
      </c>
      <c r="V1621" s="132">
        <v>46081</v>
      </c>
      <c r="W1621" s="119"/>
      <c r="X1621" s="117"/>
      <c r="Y1621" s="118" t="s">
        <v>1846</v>
      </c>
      <c r="Z1621" s="117" t="s">
        <v>36</v>
      </c>
      <c r="AA1621" s="127" t="s">
        <v>10387</v>
      </c>
      <c r="AB1621" s="127" t="s">
        <v>10388</v>
      </c>
    </row>
    <row r="1622" spans="1:28" ht="15" customHeight="1">
      <c r="A1622" s="2" t="s">
        <v>9435</v>
      </c>
      <c r="B1622" s="2" t="s">
        <v>28</v>
      </c>
      <c r="C1622" s="11" t="s">
        <v>3173</v>
      </c>
      <c r="D1622" s="2" t="s">
        <v>30</v>
      </c>
      <c r="E1622" s="2" t="s">
        <v>253</v>
      </c>
      <c r="F1622" s="11"/>
      <c r="G1622" s="11"/>
      <c r="H1622" s="2">
        <v>2023</v>
      </c>
      <c r="I1622" s="2" t="s">
        <v>256</v>
      </c>
      <c r="J1622" s="8">
        <v>45122</v>
      </c>
      <c r="K1622" s="22">
        <v>45821</v>
      </c>
      <c r="L1622" s="13">
        <f>_xlfn.DAYS(Tabla1[[#This Row],[FECHA FIN ]],Tabla1[[#This Row],[FECHA INICIO]])</f>
        <v>699</v>
      </c>
      <c r="M1622" s="12"/>
      <c r="N1622" s="12">
        <v>300</v>
      </c>
      <c r="O1622" s="12">
        <f>(Tabla1[[#This Row],[COSTO FIJO ]]/30)*Tabla1[[#This Row],[TOTAL DIAS PROYECTO]]+(Tabla1[[#This Row],[COSTO TEMPORAL]])</f>
        <v>6990</v>
      </c>
      <c r="P1622" s="12"/>
      <c r="Q1622" s="12">
        <f>+(Tabla1[[#This Row],[COSTO COCHE]]/30)*Tabla1[[#This Row],[TOTAL DIAS PROYECTO]]</f>
        <v>0</v>
      </c>
      <c r="R1622" s="12">
        <f>+Tabla1[[#This Row],[COSTO TOTAL ALOJAMIENTO]]+Tabla1[[#This Row],[COSTO TOTAL COCHE]]</f>
        <v>6990</v>
      </c>
      <c r="S1622" s="2"/>
      <c r="T1622" s="2" t="s">
        <v>58</v>
      </c>
      <c r="U1622" s="14"/>
      <c r="V1622" s="14">
        <v>45339</v>
      </c>
      <c r="W1622" s="15"/>
      <c r="X1622" s="16"/>
      <c r="Y1622" s="18"/>
      <c r="Z1622" s="2" t="s">
        <v>36</v>
      </c>
      <c r="AA1622" s="13" t="s">
        <v>10357</v>
      </c>
      <c r="AB1622" s="13" t="s">
        <v>10358</v>
      </c>
    </row>
    <row r="1623" spans="1:28" ht="15" customHeight="1">
      <c r="A1623" s="2" t="s">
        <v>9433</v>
      </c>
      <c r="B1623" s="2" t="s">
        <v>711</v>
      </c>
      <c r="C1623" s="69" t="s">
        <v>3170</v>
      </c>
      <c r="D1623" s="2" t="s">
        <v>30</v>
      </c>
      <c r="E1623" s="2" t="s">
        <v>648</v>
      </c>
      <c r="F1623" s="11" t="s">
        <v>1876</v>
      </c>
      <c r="G1623" s="21" t="s">
        <v>1877</v>
      </c>
      <c r="H1623" s="157" t="s">
        <v>1836</v>
      </c>
      <c r="I1623" s="158" t="s">
        <v>96</v>
      </c>
      <c r="J1623" s="22">
        <f>+Tabla1[[#This Row],[FECHA ENTRADA]]</f>
        <v>46081</v>
      </c>
      <c r="K1623" s="22">
        <v>46101</v>
      </c>
      <c r="L1623" s="23">
        <f>_xlfn.DAYS(Tabla1[[#This Row],[FECHA FIN ]],Tabla1[[#This Row],[FECHA INICIO]])</f>
        <v>20</v>
      </c>
      <c r="M1623" s="12">
        <v>100</v>
      </c>
      <c r="N1623" s="20"/>
      <c r="O1623" s="24">
        <f>(Tabla1[[#This Row],[COSTO FIJO ]]/30)*Tabla1[[#This Row],[TOTAL DIAS PROYECTO]]+(Tabla1[[#This Row],[COSTO TEMPORAL]])</f>
        <v>100</v>
      </c>
      <c r="P1623" s="12"/>
      <c r="Q1623" s="12">
        <f>+(Tabla1[[#This Row],[COSTO COCHE]]/30)*Tabla1[[#This Row],[TOTAL DIAS PROYECTO]]</f>
        <v>0</v>
      </c>
      <c r="R1623" s="12">
        <f>+Tabla1[[#This Row],[COSTO TOTAL ALOJAMIENTO]]+Tabla1[[#This Row],[COSTO TOTAL COCHE]]</f>
        <v>100</v>
      </c>
      <c r="S1623" s="2"/>
      <c r="T1623" s="14" t="s">
        <v>44</v>
      </c>
      <c r="U1623" s="14">
        <v>46081</v>
      </c>
      <c r="V1623" s="25">
        <v>46099</v>
      </c>
      <c r="W1623" s="12"/>
      <c r="X1623" s="2"/>
      <c r="Y1623" s="11" t="s">
        <v>1361</v>
      </c>
      <c r="Z1623" s="2" t="s">
        <v>36</v>
      </c>
      <c r="AA1623" s="13" t="s">
        <v>10387</v>
      </c>
      <c r="AB1623" s="13" t="s">
        <v>10388</v>
      </c>
    </row>
    <row r="1624" spans="1:28" ht="15" customHeight="1">
      <c r="A1624" s="117" t="s">
        <v>9433</v>
      </c>
      <c r="B1624" s="117" t="s">
        <v>711</v>
      </c>
      <c r="C1624" s="118" t="s">
        <v>3170</v>
      </c>
      <c r="D1624" s="117" t="s">
        <v>30</v>
      </c>
      <c r="E1624" s="117" t="s">
        <v>648</v>
      </c>
      <c r="F1624" s="11" t="s">
        <v>1894</v>
      </c>
      <c r="G1624" s="128">
        <v>957384200</v>
      </c>
      <c r="H1624" s="198" t="s">
        <v>1836</v>
      </c>
      <c r="I1624" s="199" t="s">
        <v>96</v>
      </c>
      <c r="J1624" s="121">
        <f>+Tabla1[[#This Row],[FECHA ENTRADA]]</f>
        <v>46101</v>
      </c>
      <c r="K1624" s="121">
        <v>46118</v>
      </c>
      <c r="L1624" s="129">
        <f>_xlfn.DAYS(Tabla1[[#This Row],[FECHA FIN ]],Tabla1[[#This Row],[FECHA INICIO]])</f>
        <v>17</v>
      </c>
      <c r="M1624" s="119">
        <v>425</v>
      </c>
      <c r="N1624" s="130"/>
      <c r="O1624" s="131">
        <f>(Tabla1[[#This Row],[COSTO FIJO ]]/30)*Tabla1[[#This Row],[TOTAL DIAS PROYECTO]]+(Tabla1[[#This Row],[COSTO TEMPORAL]])</f>
        <v>425</v>
      </c>
      <c r="P1624" s="119"/>
      <c r="Q1624" s="119">
        <f>+(Tabla1[[#This Row],[COSTO COCHE]]/30)*Tabla1[[#This Row],[TOTAL DIAS PROYECTO]]</f>
        <v>0</v>
      </c>
      <c r="R1624" s="119">
        <f>+Tabla1[[#This Row],[COSTO TOTAL ALOJAMIENTO]]+Tabla1[[#This Row],[COSTO TOTAL COCHE]]</f>
        <v>425</v>
      </c>
      <c r="S1624" s="117"/>
      <c r="T1624" s="124" t="s">
        <v>44</v>
      </c>
      <c r="U1624" s="124">
        <v>46101</v>
      </c>
      <c r="V1624" s="132">
        <v>46121</v>
      </c>
      <c r="W1624" s="119"/>
      <c r="X1624" s="117"/>
      <c r="Y1624" s="118" t="s">
        <v>1895</v>
      </c>
      <c r="Z1624" s="117" t="s">
        <v>36</v>
      </c>
      <c r="AA1624" s="127" t="s">
        <v>10387</v>
      </c>
      <c r="AB1624" s="127" t="s">
        <v>10388</v>
      </c>
    </row>
    <row r="1625" spans="1:28" ht="15" customHeight="1">
      <c r="A1625" s="117" t="s">
        <v>9433</v>
      </c>
      <c r="B1625" s="117" t="s">
        <v>711</v>
      </c>
      <c r="C1625" s="118" t="s">
        <v>3170</v>
      </c>
      <c r="D1625" s="117" t="s">
        <v>30</v>
      </c>
      <c r="E1625" s="117" t="s">
        <v>648</v>
      </c>
      <c r="F1625" s="11" t="s">
        <v>1904</v>
      </c>
      <c r="G1625" s="128" t="s">
        <v>1905</v>
      </c>
      <c r="H1625" s="198" t="s">
        <v>1906</v>
      </c>
      <c r="I1625" s="199" t="s">
        <v>96</v>
      </c>
      <c r="J1625" s="121">
        <f>+Tabla1[[#This Row],[FECHA ENTRADA]]</f>
        <v>46118</v>
      </c>
      <c r="K1625" s="121">
        <f ca="1">TODAY()</f>
        <v>46260</v>
      </c>
      <c r="L1625" s="129">
        <f ca="1">_xlfn.DAYS(Tabla1[[#This Row],[FECHA FIN ]],Tabla1[[#This Row],[FECHA INICIO]])</f>
        <v>142</v>
      </c>
      <c r="M1625" s="119">
        <v>125</v>
      </c>
      <c r="N1625" s="130"/>
      <c r="O1625" s="131">
        <f ca="1">(Tabla1[[#This Row],[COSTO FIJO ]]/30)*Tabla1[[#This Row],[TOTAL DIAS PROYECTO]]+(Tabla1[[#This Row],[COSTO TEMPORAL]])</f>
        <v>125</v>
      </c>
      <c r="P1625" s="119"/>
      <c r="Q1625" s="119">
        <f ca="1">+(Tabla1[[#This Row],[COSTO COCHE]]/30)*Tabla1[[#This Row],[TOTAL DIAS PROYECTO]]</f>
        <v>0</v>
      </c>
      <c r="R1625" s="119">
        <f ca="1">+Tabla1[[#This Row],[COSTO TOTAL ALOJAMIENTO]]+Tabla1[[#This Row],[COSTO TOTAL COCHE]]</f>
        <v>125</v>
      </c>
      <c r="S1625" s="117" t="s">
        <v>84</v>
      </c>
      <c r="T1625" s="124" t="s">
        <v>44</v>
      </c>
      <c r="U1625" s="124">
        <v>46118</v>
      </c>
      <c r="V1625" s="25">
        <v>46126</v>
      </c>
      <c r="W1625" s="119"/>
      <c r="X1625" s="117"/>
      <c r="Y1625" s="118" t="s">
        <v>1907</v>
      </c>
      <c r="Z1625" s="117" t="s">
        <v>36</v>
      </c>
      <c r="AA1625" s="127" t="s">
        <v>10387</v>
      </c>
      <c r="AB1625" s="127" t="s">
        <v>10388</v>
      </c>
    </row>
    <row r="1626" spans="1:28" ht="15" customHeight="1">
      <c r="A1626" s="2" t="s">
        <v>9436</v>
      </c>
      <c r="B1626" s="2" t="s">
        <v>368</v>
      </c>
      <c r="C1626" s="11" t="s">
        <v>3174</v>
      </c>
      <c r="D1626" s="2" t="s">
        <v>30</v>
      </c>
      <c r="E1626" s="2" t="s">
        <v>734</v>
      </c>
      <c r="F1626" s="11" t="s">
        <v>735</v>
      </c>
      <c r="G1626" s="67" t="s">
        <v>736</v>
      </c>
      <c r="H1626" s="2" t="s">
        <v>3172</v>
      </c>
      <c r="I1626" s="29" t="s">
        <v>1994</v>
      </c>
      <c r="J1626" s="41">
        <f>+Tabla1[[#This Row],[FECHA ENTRADA]]</f>
        <v>45679</v>
      </c>
      <c r="K1626" s="22">
        <v>45821</v>
      </c>
      <c r="L1626" s="42">
        <f>_xlfn.DAYS(Tabla1[[#This Row],[FECHA FIN ]],Tabla1[[#This Row],[FECHA INICIO]])</f>
        <v>142</v>
      </c>
      <c r="M1626" s="12"/>
      <c r="N1626" s="12">
        <f>1811.6/17</f>
        <v>106.56470588235294</v>
      </c>
      <c r="O1626" s="28">
        <f>(Tabla1[[#This Row],[COSTO FIJO ]]/30)*Tabla1[[#This Row],[TOTAL DIAS PROYECTO]]+(Tabla1[[#This Row],[COSTO TEMPORAL]])</f>
        <v>504.40627450980395</v>
      </c>
      <c r="P1626" s="12"/>
      <c r="Q1626" s="12">
        <f>+(Tabla1[[#This Row],[COSTO COCHE]]/30)*Tabla1[[#This Row],[TOTAL DIAS PROYECTO]]</f>
        <v>0</v>
      </c>
      <c r="R1626" s="12">
        <f>+Tabla1[[#This Row],[COSTO TOTAL ALOJAMIENTO]]+Tabla1[[#This Row],[COSTO TOTAL COCHE]]</f>
        <v>504.40627450980395</v>
      </c>
      <c r="S1626" s="2"/>
      <c r="T1626" s="2" t="s">
        <v>35</v>
      </c>
      <c r="U1626" s="14">
        <v>45679</v>
      </c>
      <c r="V1626" s="43"/>
      <c r="W1626" s="26"/>
      <c r="X1626" s="2">
        <v>1</v>
      </c>
      <c r="Y1626" s="11" t="s">
        <v>2026</v>
      </c>
      <c r="Z1626" s="2" t="s">
        <v>36</v>
      </c>
      <c r="AA1626" s="13" t="s">
        <v>10396</v>
      </c>
      <c r="AB1626" s="13" t="s">
        <v>10397</v>
      </c>
    </row>
    <row r="1627" spans="1:28">
      <c r="A1627" s="2" t="s">
        <v>9370</v>
      </c>
      <c r="B1627" s="10" t="s">
        <v>711</v>
      </c>
      <c r="C1627" s="31" t="s">
        <v>2956</v>
      </c>
      <c r="D1627" s="2" t="s">
        <v>30</v>
      </c>
      <c r="E1627" s="2" t="s">
        <v>734</v>
      </c>
      <c r="F1627" s="11" t="s">
        <v>735</v>
      </c>
      <c r="G1627" s="200" t="s">
        <v>736</v>
      </c>
      <c r="H1627" s="157" t="s">
        <v>3175</v>
      </c>
      <c r="I1627" s="158" t="s">
        <v>1994</v>
      </c>
      <c r="J1627" s="41">
        <f>+Tabla1[[#This Row],[FECHA ENTRADA]]</f>
        <v>45769</v>
      </c>
      <c r="K1627" s="22">
        <v>45821</v>
      </c>
      <c r="L1627" s="23">
        <f>_xlfn.DAYS(Tabla1[[#This Row],[FECHA FIN ]],Tabla1[[#This Row],[FECHA INICIO]])</f>
        <v>52</v>
      </c>
      <c r="M1627" s="12"/>
      <c r="N1627" s="12"/>
      <c r="O1627" s="24">
        <f>(Tabla1[[#This Row],[COSTO FIJO ]]/30)*Tabla1[[#This Row],[TOTAL DIAS PROYECTO]]+(Tabla1[[#This Row],[COSTO TEMPORAL]])</f>
        <v>0</v>
      </c>
      <c r="P1627" s="12"/>
      <c r="Q1627" s="12">
        <f>+(Tabla1[[#This Row],[COSTO COCHE]]/30)*Tabla1[[#This Row],[TOTAL DIAS PROYECTO]]</f>
        <v>0</v>
      </c>
      <c r="R1627" s="12">
        <f>+Tabla1[[#This Row],[COSTO TOTAL ALOJAMIENTO]]+Tabla1[[#This Row],[COSTO TOTAL COCHE]]</f>
        <v>0</v>
      </c>
      <c r="S1627" s="2"/>
      <c r="T1627" s="2" t="s">
        <v>35</v>
      </c>
      <c r="U1627" s="14">
        <v>45769</v>
      </c>
      <c r="V1627" s="25"/>
      <c r="W1627" s="26"/>
      <c r="X1627" s="2">
        <v>1</v>
      </c>
      <c r="Y1627" s="11"/>
      <c r="Z1627" s="2" t="s">
        <v>36</v>
      </c>
      <c r="AA1627" s="13" t="s">
        <v>10396</v>
      </c>
      <c r="AB1627" s="13" t="s">
        <v>10397</v>
      </c>
    </row>
    <row r="1628" spans="1:28" ht="15" customHeight="1">
      <c r="A1628" s="2" t="s">
        <v>9281</v>
      </c>
      <c r="B1628" s="2" t="s">
        <v>978</v>
      </c>
      <c r="C1628" s="11" t="s">
        <v>2689</v>
      </c>
      <c r="D1628" s="2" t="s">
        <v>30</v>
      </c>
      <c r="E1628" s="2" t="s">
        <v>55</v>
      </c>
      <c r="F1628" s="11" t="s">
        <v>1319</v>
      </c>
      <c r="G1628" s="46" t="s">
        <v>1320</v>
      </c>
      <c r="H1628" s="157" t="s">
        <v>1321</v>
      </c>
      <c r="I1628" s="201" t="s">
        <v>1322</v>
      </c>
      <c r="J1628" s="41">
        <f>+Tabla1[[#This Row],[FECHA ENTRADA]]</f>
        <v>45644</v>
      </c>
      <c r="K1628" s="22">
        <v>45821</v>
      </c>
      <c r="L1628" s="42">
        <f>_xlfn.DAYS(Tabla1[[#This Row],[FECHA FIN ]],Tabla1[[#This Row],[FECHA INICIO]])</f>
        <v>177</v>
      </c>
      <c r="M1628" s="12"/>
      <c r="N1628" s="12"/>
      <c r="O1628" s="28">
        <f>(Tabla1[[#This Row],[COSTO FIJO ]]/30)*Tabla1[[#This Row],[TOTAL DIAS PROYECTO]]+(Tabla1[[#This Row],[COSTO TEMPORAL]])</f>
        <v>0</v>
      </c>
      <c r="P1628" s="12"/>
      <c r="Q1628" s="12">
        <f>+(Tabla1[[#This Row],[COSTO COCHE]]/30)*Tabla1[[#This Row],[TOTAL DIAS PROYECTO]]</f>
        <v>0</v>
      </c>
      <c r="R1628" s="12">
        <f>+Tabla1[[#This Row],[COSTO TOTAL ALOJAMIENTO]]+Tabla1[[#This Row],[COSTO TOTAL COCHE]]</f>
        <v>0</v>
      </c>
      <c r="S1628" s="2"/>
      <c r="T1628" s="2" t="s">
        <v>44</v>
      </c>
      <c r="U1628" s="14">
        <v>45644</v>
      </c>
      <c r="V1628" s="43">
        <v>45675</v>
      </c>
      <c r="W1628" s="26"/>
      <c r="X1628" s="2"/>
      <c r="Y1628" s="11" t="s">
        <v>1343</v>
      </c>
      <c r="Z1628" s="2" t="s">
        <v>36</v>
      </c>
      <c r="AA1628" s="13" t="s">
        <v>10327</v>
      </c>
      <c r="AB1628" s="13" t="s">
        <v>10328</v>
      </c>
    </row>
    <row r="1629" spans="1:28" ht="15" customHeight="1">
      <c r="A1629" s="2" t="s">
        <v>9437</v>
      </c>
      <c r="B1629" s="2" t="s">
        <v>28</v>
      </c>
      <c r="C1629" s="87" t="s">
        <v>3176</v>
      </c>
      <c r="D1629" s="2" t="s">
        <v>30</v>
      </c>
      <c r="E1629" s="2" t="s">
        <v>502</v>
      </c>
      <c r="F1629" s="11" t="s">
        <v>2834</v>
      </c>
      <c r="G1629" s="11" t="s">
        <v>2835</v>
      </c>
      <c r="H1629" s="2" t="s">
        <v>2677</v>
      </c>
      <c r="I1629" s="12" t="s">
        <v>506</v>
      </c>
      <c r="J1629" s="22">
        <f>+Tabla1[[#This Row],[FECHA ENTRADA]]</f>
        <v>45669</v>
      </c>
      <c r="K1629" s="22">
        <v>45731</v>
      </c>
      <c r="L1629" s="23">
        <f>_xlfn.DAYS(Tabla1[[#This Row],[FECHA FIN ]],Tabla1[[#This Row],[FECHA INICIO]])</f>
        <v>62</v>
      </c>
      <c r="M1629" s="12"/>
      <c r="N1629" s="12">
        <v>250</v>
      </c>
      <c r="O1629" s="24">
        <f>(Tabla1[[#This Row],[COSTO FIJO ]]/30)*Tabla1[[#This Row],[TOTAL DIAS PROYECTO]]+(Tabla1[[#This Row],[COSTO TEMPORAL]])</f>
        <v>516.66666666666674</v>
      </c>
      <c r="P1629" s="12">
        <f>1156.52/8</f>
        <v>144.565</v>
      </c>
      <c r="Q1629" s="12">
        <f>+(Tabla1[[#This Row],[COSTO COCHE]]/30)*Tabla1[[#This Row],[TOTAL DIAS PROYECTO]]</f>
        <v>298.76766666666663</v>
      </c>
      <c r="R1629" s="12">
        <f>+Tabla1[[#This Row],[COSTO TOTAL ALOJAMIENTO]]+Tabla1[[#This Row],[COSTO TOTAL COCHE]]</f>
        <v>815.43433333333337</v>
      </c>
      <c r="S1629" s="2"/>
      <c r="T1629" s="2" t="s">
        <v>35</v>
      </c>
      <c r="U1629" s="14">
        <v>45669</v>
      </c>
      <c r="V1629" s="25"/>
      <c r="W1629" s="26"/>
      <c r="X1629" s="2">
        <v>1</v>
      </c>
      <c r="Y1629" s="11"/>
      <c r="Z1629" s="2" t="s">
        <v>36</v>
      </c>
      <c r="AA1629" s="13" t="s">
        <v>10378</v>
      </c>
      <c r="AB1629" s="13" t="s">
        <v>10379</v>
      </c>
    </row>
    <row r="1630" spans="1:28" ht="15" customHeight="1">
      <c r="A1630" s="117" t="s">
        <v>9433</v>
      </c>
      <c r="B1630" s="117" t="s">
        <v>711</v>
      </c>
      <c r="C1630" s="118" t="s">
        <v>3170</v>
      </c>
      <c r="D1630" s="117" t="s">
        <v>30</v>
      </c>
      <c r="E1630" s="117" t="s">
        <v>648</v>
      </c>
      <c r="F1630" s="11" t="s">
        <v>1908</v>
      </c>
      <c r="G1630" s="128" t="s">
        <v>1909</v>
      </c>
      <c r="H1630" s="117" t="s">
        <v>1906</v>
      </c>
      <c r="I1630" s="119" t="s">
        <v>96</v>
      </c>
      <c r="J1630" s="121">
        <f>+Tabla1[[#This Row],[FECHA ENTRADA]]</f>
        <v>46125</v>
      </c>
      <c r="K1630" s="121">
        <f ca="1">TODAY()</f>
        <v>46260</v>
      </c>
      <c r="L1630" s="129">
        <f ca="1">_xlfn.DAYS(Tabla1[[#This Row],[FECHA FIN ]],Tabla1[[#This Row],[FECHA INICIO]])</f>
        <v>135</v>
      </c>
      <c r="M1630" s="119">
        <v>100</v>
      </c>
      <c r="N1630" s="130"/>
      <c r="O1630" s="131"/>
      <c r="P1630" s="119"/>
      <c r="Q1630" s="119">
        <f ca="1">+(Tabla1[[#This Row],[COSTO COCHE]]/30)*Tabla1[[#This Row],[TOTAL DIAS PROYECTO]]</f>
        <v>0</v>
      </c>
      <c r="R1630" s="119">
        <f ca="1">+Tabla1[[#This Row],[COSTO TOTAL ALOJAMIENTO]]+Tabla1[[#This Row],[COSTO TOTAL COCHE]]</f>
        <v>0</v>
      </c>
      <c r="S1630" s="117" t="s">
        <v>403</v>
      </c>
      <c r="T1630" s="124" t="s">
        <v>44</v>
      </c>
      <c r="U1630" s="124">
        <v>46125</v>
      </c>
      <c r="V1630" s="132">
        <v>46129</v>
      </c>
      <c r="W1630" s="119"/>
      <c r="X1630" s="117"/>
      <c r="Y1630" s="118" t="s">
        <v>1910</v>
      </c>
      <c r="Z1630" s="117" t="s">
        <v>36</v>
      </c>
      <c r="AA1630" s="127" t="s">
        <v>10387</v>
      </c>
      <c r="AB1630" s="127" t="s">
        <v>10388</v>
      </c>
    </row>
    <row r="1631" spans="1:28" ht="15" customHeight="1">
      <c r="A1631" s="2" t="s">
        <v>8860</v>
      </c>
      <c r="B1631" s="2" t="s">
        <v>978</v>
      </c>
      <c r="C1631" s="11" t="s">
        <v>1054</v>
      </c>
      <c r="D1631" s="2" t="s">
        <v>30</v>
      </c>
      <c r="E1631" s="2" t="s">
        <v>55</v>
      </c>
      <c r="F1631" s="11" t="s">
        <v>1319</v>
      </c>
      <c r="G1631" s="46" t="s">
        <v>1320</v>
      </c>
      <c r="H1631" s="2" t="s">
        <v>1321</v>
      </c>
      <c r="I1631" s="30" t="s">
        <v>1322</v>
      </c>
      <c r="J1631" s="41">
        <f>+Tabla1[[#This Row],[FECHA ENTRADA]]</f>
        <v>45644</v>
      </c>
      <c r="K1631" s="22">
        <v>45821</v>
      </c>
      <c r="L1631" s="42">
        <f>_xlfn.DAYS(Tabla1[[#This Row],[FECHA FIN ]],Tabla1[[#This Row],[FECHA INICIO]])</f>
        <v>177</v>
      </c>
      <c r="M1631" s="12"/>
      <c r="N1631" s="12">
        <f>1811.6/17</f>
        <v>106.56470588235294</v>
      </c>
      <c r="O1631" s="28">
        <f>(Tabla1[[#This Row],[COSTO FIJO ]]/30)*Tabla1[[#This Row],[TOTAL DIAS PROYECTO]]+(Tabla1[[#This Row],[COSTO TEMPORAL]])</f>
        <v>628.73176470588237</v>
      </c>
      <c r="P1631" s="12"/>
      <c r="Q1631" s="12">
        <f>+(Tabla1[[#This Row],[COSTO COCHE]]/30)*Tabla1[[#This Row],[TOTAL DIAS PROYECTO]]</f>
        <v>0</v>
      </c>
      <c r="R1631" s="12">
        <f>+Tabla1[[#This Row],[COSTO TOTAL ALOJAMIENTO]]+Tabla1[[#This Row],[COSTO TOTAL COCHE]]</f>
        <v>628.73176470588237</v>
      </c>
      <c r="S1631" s="2"/>
      <c r="T1631" s="2" t="s">
        <v>44</v>
      </c>
      <c r="U1631" s="14">
        <v>45644</v>
      </c>
      <c r="V1631" s="43">
        <v>45675</v>
      </c>
      <c r="W1631" s="26"/>
      <c r="X1631" s="2"/>
      <c r="Y1631" s="11" t="s">
        <v>3177</v>
      </c>
      <c r="Z1631" s="2" t="s">
        <v>36</v>
      </c>
      <c r="AA1631" s="13" t="s">
        <v>10327</v>
      </c>
      <c r="AB1631" s="13" t="s">
        <v>10328</v>
      </c>
    </row>
    <row r="1632" spans="1:28" ht="15" customHeight="1">
      <c r="A1632" s="2" t="s">
        <v>9169</v>
      </c>
      <c r="B1632" s="2" t="s">
        <v>978</v>
      </c>
      <c r="C1632" s="52" t="s">
        <v>2303</v>
      </c>
      <c r="D1632" s="2" t="s">
        <v>30</v>
      </c>
      <c r="E1632" s="2" t="s">
        <v>55</v>
      </c>
      <c r="F1632" s="11" t="s">
        <v>1319</v>
      </c>
      <c r="G1632" s="46" t="s">
        <v>1320</v>
      </c>
      <c r="H1632" s="2" t="s">
        <v>1321</v>
      </c>
      <c r="I1632" s="30" t="s">
        <v>1322</v>
      </c>
      <c r="J1632" s="41">
        <f>+Tabla1[[#This Row],[FECHA ENTRADA]]</f>
        <v>45644</v>
      </c>
      <c r="K1632" s="22">
        <v>45821</v>
      </c>
      <c r="L1632" s="42">
        <f>_xlfn.DAYS(Tabla1[[#This Row],[FECHA FIN ]],Tabla1[[#This Row],[FECHA INICIO]])</f>
        <v>177</v>
      </c>
      <c r="M1632" s="12"/>
      <c r="N1632" s="12">
        <f>1811.6/17</f>
        <v>106.56470588235294</v>
      </c>
      <c r="O1632" s="28">
        <f>(Tabla1[[#This Row],[COSTO FIJO ]]/30)*Tabla1[[#This Row],[TOTAL DIAS PROYECTO]]+(Tabla1[[#This Row],[COSTO TEMPORAL]])</f>
        <v>628.73176470588237</v>
      </c>
      <c r="P1632" s="12"/>
      <c r="Q1632" s="12">
        <f>+(Tabla1[[#This Row],[COSTO COCHE]]/30)*Tabla1[[#This Row],[TOTAL DIAS PROYECTO]]</f>
        <v>0</v>
      </c>
      <c r="R1632" s="12">
        <f>+Tabla1[[#This Row],[COSTO TOTAL ALOJAMIENTO]]+Tabla1[[#This Row],[COSTO TOTAL COCHE]]</f>
        <v>628.73176470588237</v>
      </c>
      <c r="S1632" s="2"/>
      <c r="T1632" s="2" t="s">
        <v>44</v>
      </c>
      <c r="U1632" s="14">
        <v>45644</v>
      </c>
      <c r="V1632" s="43">
        <v>45675</v>
      </c>
      <c r="W1632" s="26"/>
      <c r="X1632" s="2"/>
      <c r="Y1632" s="11"/>
      <c r="Z1632" s="2" t="s">
        <v>36</v>
      </c>
      <c r="AA1632" s="13" t="s">
        <v>10327</v>
      </c>
      <c r="AB1632" s="13" t="s">
        <v>10328</v>
      </c>
    </row>
    <row r="1633" spans="1:28" ht="15" customHeight="1">
      <c r="A1633" s="2" t="s">
        <v>9433</v>
      </c>
      <c r="B1633" s="2" t="s">
        <v>711</v>
      </c>
      <c r="C1633" s="69" t="s">
        <v>3170</v>
      </c>
      <c r="D1633" s="2" t="s">
        <v>30</v>
      </c>
      <c r="E1633" s="2" t="s">
        <v>648</v>
      </c>
      <c r="F1633" s="31" t="s">
        <v>1911</v>
      </c>
      <c r="G1633" s="49" t="s">
        <v>1912</v>
      </c>
      <c r="H1633" s="2" t="s">
        <v>1906</v>
      </c>
      <c r="I1633" s="12" t="s">
        <v>96</v>
      </c>
      <c r="J1633" s="22">
        <f>+Tabla1[[#This Row],[FECHA ENTRADA]]</f>
        <v>46129</v>
      </c>
      <c r="K1633" s="22">
        <v>46138</v>
      </c>
      <c r="L1633" s="23">
        <f>_xlfn.DAYS(Tabla1[[#This Row],[FECHA FIN ]],Tabla1[[#This Row],[FECHA INICIO]])</f>
        <v>9</v>
      </c>
      <c r="M1633" s="12"/>
      <c r="N1633" s="24">
        <v>650</v>
      </c>
      <c r="O1633" s="24">
        <f>(Tabla1[[#This Row],[COSTO FIJO ]]/30)*Tabla1[[#This Row],[TOTAL DIAS PROYECTO]]+(Tabla1[[#This Row],[COSTO TEMPORAL]])</f>
        <v>195</v>
      </c>
      <c r="P1633" s="12"/>
      <c r="Q1633" s="12">
        <f>+(Tabla1[[#This Row],[COSTO COCHE]]/30)*Tabla1[[#This Row],[TOTAL DIAS PROYECTO]]</f>
        <v>0</v>
      </c>
      <c r="R1633" s="12">
        <f>+Tabla1[[#This Row],[COSTO TOTAL ALOJAMIENTO]]+Tabla1[[#This Row],[COSTO TOTAL COCHE]]</f>
        <v>195</v>
      </c>
      <c r="S1633" s="2"/>
      <c r="T1633" s="14" t="s">
        <v>44</v>
      </c>
      <c r="U1633" s="14">
        <v>46129</v>
      </c>
      <c r="V1633" s="25">
        <v>46159</v>
      </c>
      <c r="W1633" s="12"/>
      <c r="X1633" s="2"/>
      <c r="Y1633" s="11" t="s">
        <v>1913</v>
      </c>
      <c r="Z1633" s="2" t="s">
        <v>36</v>
      </c>
      <c r="AA1633" s="13" t="s">
        <v>10387</v>
      </c>
      <c r="AB1633" s="13" t="s">
        <v>10388</v>
      </c>
    </row>
    <row r="1634" spans="1:28" ht="15" customHeight="1">
      <c r="A1634" s="2" t="s">
        <v>9433</v>
      </c>
      <c r="B1634" s="2" t="s">
        <v>711</v>
      </c>
      <c r="C1634" s="144" t="s">
        <v>3170</v>
      </c>
      <c r="D1634" s="2" t="s">
        <v>30</v>
      </c>
      <c r="E1634" s="2" t="s">
        <v>92</v>
      </c>
      <c r="F1634" s="11" t="s">
        <v>1933</v>
      </c>
      <c r="G1634" s="46" t="s">
        <v>1934</v>
      </c>
      <c r="H1634" s="2" t="s">
        <v>1935</v>
      </c>
      <c r="I1634" s="12" t="s">
        <v>96</v>
      </c>
      <c r="J1634" s="41">
        <f>+Tabla1[[#This Row],[FECHA ENTRADA]]</f>
        <v>46138</v>
      </c>
      <c r="K1634" s="22">
        <v>46174</v>
      </c>
      <c r="L1634" s="42">
        <f>_xlfn.DAYS(Tabla1[[#This Row],[FECHA FIN ]],Tabla1[[#This Row],[FECHA INICIO]])</f>
        <v>36</v>
      </c>
      <c r="M1634" s="12">
        <f>(332.5)+(1185/2)</f>
        <v>925</v>
      </c>
      <c r="N1634" s="28"/>
      <c r="O1634" s="28">
        <f>(Tabla1[[#This Row],[COSTO FIJO ]]/30)*Tabla1[[#This Row],[TOTAL DIAS PROYECTO]]+(Tabla1[[#This Row],[COSTO TEMPORAL]])</f>
        <v>925</v>
      </c>
      <c r="P1634" s="12"/>
      <c r="Q1634" s="12">
        <f>+(Tabla1[[#This Row],[COSTO COCHE]]/30)*Tabla1[[#This Row],[TOTAL DIAS PROYECTO]]</f>
        <v>0</v>
      </c>
      <c r="R1634" s="12">
        <f>+Tabla1[[#This Row],[COSTO TOTAL ALOJAMIENTO]]+Tabla1[[#This Row],[COSTO TOTAL COCHE]]</f>
        <v>925</v>
      </c>
      <c r="S1634" s="2" t="s">
        <v>403</v>
      </c>
      <c r="T1634" s="14" t="s">
        <v>44</v>
      </c>
      <c r="U1634" s="14">
        <v>46138</v>
      </c>
      <c r="V1634" s="79">
        <v>46183</v>
      </c>
      <c r="W1634" s="12"/>
      <c r="X1634" s="2"/>
      <c r="Y1634" s="11" t="s">
        <v>1364</v>
      </c>
      <c r="Z1634" s="2" t="s">
        <v>36</v>
      </c>
      <c r="AA1634" s="13" t="s">
        <v>10336</v>
      </c>
      <c r="AB1634" s="13" t="s">
        <v>10337</v>
      </c>
    </row>
    <row r="1635" spans="1:28" ht="15" customHeight="1">
      <c r="A1635" s="2" t="s">
        <v>9438</v>
      </c>
      <c r="B1635" s="2" t="s">
        <v>28</v>
      </c>
      <c r="C1635" s="11" t="s">
        <v>3178</v>
      </c>
      <c r="D1635" s="2" t="s">
        <v>30</v>
      </c>
      <c r="E1635" s="2" t="s">
        <v>985</v>
      </c>
      <c r="F1635" s="11"/>
      <c r="G1635" s="46"/>
      <c r="H1635" s="2" t="s">
        <v>1271</v>
      </c>
      <c r="I1635" s="12" t="s">
        <v>1272</v>
      </c>
      <c r="J1635" s="41">
        <f>+Tabla1[[#This Row],[FECHA ENTRADA]]</f>
        <v>45652</v>
      </c>
      <c r="K1635" s="22">
        <v>45821</v>
      </c>
      <c r="L1635" s="42">
        <f>_xlfn.DAYS(Tabla1[[#This Row],[FECHA FIN ]],Tabla1[[#This Row],[FECHA INICIO]])</f>
        <v>169</v>
      </c>
      <c r="M1635" s="12"/>
      <c r="N1635" s="12">
        <v>300</v>
      </c>
      <c r="O1635" s="28">
        <f>(Tabla1[[#This Row],[COSTO FIJO ]]/30)*Tabla1[[#This Row],[TOTAL DIAS PROYECTO]]+(Tabla1[[#This Row],[COSTO TEMPORAL]])</f>
        <v>1690</v>
      </c>
      <c r="P1635" s="12"/>
      <c r="Q1635" s="12">
        <f>+(Tabla1[[#This Row],[COSTO COCHE]]/30)*Tabla1[[#This Row],[TOTAL DIAS PROYECTO]]</f>
        <v>0</v>
      </c>
      <c r="R1635" s="12">
        <f>+Tabla1[[#This Row],[COSTO TOTAL ALOJAMIENTO]]+Tabla1[[#This Row],[COSTO TOTAL COCHE]]</f>
        <v>1690</v>
      </c>
      <c r="S1635" s="2"/>
      <c r="T1635" s="2" t="s">
        <v>58</v>
      </c>
      <c r="U1635" s="8">
        <v>45652</v>
      </c>
      <c r="V1635" s="43"/>
      <c r="W1635" s="26"/>
      <c r="X1635" s="2"/>
      <c r="Y1635" s="11" t="s">
        <v>1635</v>
      </c>
      <c r="Z1635" s="2" t="s">
        <v>36</v>
      </c>
      <c r="AA1635" s="13" t="s">
        <v>10407</v>
      </c>
      <c r="AB1635" s="13" t="s">
        <v>10408</v>
      </c>
    </row>
    <row r="1636" spans="1:28" ht="15" customHeight="1">
      <c r="A1636" s="2" t="s">
        <v>8851</v>
      </c>
      <c r="B1636" s="2" t="s">
        <v>368</v>
      </c>
      <c r="C1636" s="18" t="s">
        <v>1017</v>
      </c>
      <c r="D1636" s="2" t="s">
        <v>30</v>
      </c>
      <c r="E1636" s="2" t="s">
        <v>380</v>
      </c>
      <c r="F1636" s="11" t="s">
        <v>1579</v>
      </c>
      <c r="G1636" s="11" t="s">
        <v>1580</v>
      </c>
      <c r="H1636" s="2" t="s">
        <v>3179</v>
      </c>
      <c r="I1636" s="12" t="s">
        <v>3086</v>
      </c>
      <c r="J1636" s="41">
        <f>+Tabla1[[#This Row],[FECHA ENTRADA]]</f>
        <v>45592</v>
      </c>
      <c r="K1636" s="8">
        <v>45639</v>
      </c>
      <c r="L1636" s="42">
        <f>_xlfn.DAYS(Tabla1[[#This Row],[FECHA FIN ]],Tabla1[[#This Row],[FECHA INICIO]])</f>
        <v>47</v>
      </c>
      <c r="M1636" s="12"/>
      <c r="N1636" s="12">
        <v>250</v>
      </c>
      <c r="O1636" s="28">
        <f>(Tabla1[[#This Row],[COSTO FIJO ]]/30)*Tabla1[[#This Row],[TOTAL DIAS PROYECTO]]+(Tabla1[[#This Row],[COSTO TEMPORAL]])</f>
        <v>391.66666666666669</v>
      </c>
      <c r="P1636" s="12"/>
      <c r="Q1636" s="12">
        <f>+(Tabla1[[#This Row],[COSTO COCHE]]/30)*Tabla1[[#This Row],[TOTAL DIAS PROYECTO]]</f>
        <v>0</v>
      </c>
      <c r="R1636" s="12">
        <f>+Tabla1[[#This Row],[COSTO TOTAL ALOJAMIENTO]]+Tabla1[[#This Row],[COSTO TOTAL COCHE]]</f>
        <v>391.66666666666669</v>
      </c>
      <c r="S1636" s="2"/>
      <c r="T1636" s="2" t="s">
        <v>35</v>
      </c>
      <c r="U1636" s="14">
        <v>45592</v>
      </c>
      <c r="V1636" s="43"/>
      <c r="W1636" s="26"/>
      <c r="X1636" s="2">
        <v>1</v>
      </c>
      <c r="Y1636" s="31" t="s">
        <v>3180</v>
      </c>
      <c r="Z1636" s="2" t="s">
        <v>36</v>
      </c>
      <c r="AA1636" s="13" t="s">
        <v>10370</v>
      </c>
      <c r="AB1636" s="13" t="s">
        <v>10371</v>
      </c>
    </row>
    <row r="1637" spans="1:28" ht="15" customHeight="1">
      <c r="A1637" s="2" t="s">
        <v>9439</v>
      </c>
      <c r="B1637" s="2" t="s">
        <v>28</v>
      </c>
      <c r="C1637" s="11" t="s">
        <v>3181</v>
      </c>
      <c r="D1637" s="2" t="s">
        <v>99</v>
      </c>
      <c r="E1637" s="2" t="s">
        <v>1130</v>
      </c>
      <c r="F1637" s="11" t="s">
        <v>3182</v>
      </c>
      <c r="G1637" s="46" t="s">
        <v>3183</v>
      </c>
      <c r="H1637" s="2" t="s">
        <v>3184</v>
      </c>
      <c r="I1637" s="12" t="s">
        <v>3185</v>
      </c>
      <c r="J1637" s="41">
        <f>+Tabla1[[#This Row],[FECHA ENTRADA]]</f>
        <v>45708</v>
      </c>
      <c r="K1637" s="22">
        <v>45821</v>
      </c>
      <c r="L1637" s="42">
        <f>_xlfn.DAYS(Tabla1[[#This Row],[FECHA FIN ]],Tabla1[[#This Row],[FECHA INICIO]])</f>
        <v>113</v>
      </c>
      <c r="M1637" s="12"/>
      <c r="N1637" s="12">
        <f>1811.6/17</f>
        <v>106.56470588235294</v>
      </c>
      <c r="O1637" s="28">
        <f>(Tabla1[[#This Row],[COSTO FIJO ]]/30)*Tabla1[[#This Row],[TOTAL DIAS PROYECTO]]+(Tabla1[[#This Row],[COSTO TEMPORAL]])</f>
        <v>401.39372549019606</v>
      </c>
      <c r="P1637" s="12"/>
      <c r="Q1637" s="12">
        <f>+(Tabla1[[#This Row],[COSTO COCHE]]/30)*Tabla1[[#This Row],[TOTAL DIAS PROYECTO]]</f>
        <v>0</v>
      </c>
      <c r="R1637" s="12">
        <f>+Tabla1[[#This Row],[COSTO TOTAL ALOJAMIENTO]]+Tabla1[[#This Row],[COSTO TOTAL COCHE]]</f>
        <v>401.39372549019606</v>
      </c>
      <c r="S1637" s="2"/>
      <c r="T1637" s="2" t="s">
        <v>44</v>
      </c>
      <c r="U1637" s="14">
        <v>45708</v>
      </c>
      <c r="V1637" s="43">
        <v>45714</v>
      </c>
      <c r="W1637" s="26"/>
      <c r="X1637" s="2"/>
      <c r="Y1637" s="11"/>
      <c r="Z1637" s="2" t="s">
        <v>36</v>
      </c>
      <c r="AA1637" s="13" t="s">
        <v>10412</v>
      </c>
      <c r="AB1637" s="13">
        <v>4200955</v>
      </c>
    </row>
    <row r="1638" spans="1:28" ht="15" customHeight="1">
      <c r="A1638" s="2" t="s">
        <v>9433</v>
      </c>
      <c r="B1638" s="2" t="s">
        <v>711</v>
      </c>
      <c r="C1638" s="31" t="s">
        <v>3170</v>
      </c>
      <c r="D1638" s="2" t="s">
        <v>30</v>
      </c>
      <c r="E1638" s="2" t="s">
        <v>92</v>
      </c>
      <c r="F1638" s="11" t="s">
        <v>1933</v>
      </c>
      <c r="G1638" s="46"/>
      <c r="H1638" s="2" t="s">
        <v>1935</v>
      </c>
      <c r="I1638" s="12" t="s">
        <v>96</v>
      </c>
      <c r="J1638" s="41">
        <f>+Tabla1[[#This Row],[FECHA ENTRADA]]</f>
        <v>46174</v>
      </c>
      <c r="K1638" s="41">
        <v>46233</v>
      </c>
      <c r="L1638" s="42">
        <f>_xlfn.DAYS(Tabla1[[#This Row],[FECHA FIN ]],Tabla1[[#This Row],[FECHA INICIO]])</f>
        <v>59</v>
      </c>
      <c r="M1638" s="12"/>
      <c r="N1638" s="28">
        <v>0</v>
      </c>
      <c r="O1638" s="28">
        <f>(Tabla1[[#This Row],[COSTO FIJO ]]/30)*Tabla1[[#This Row],[TOTAL DIAS PROYECTO]]+(Tabla1[[#This Row],[COSTO TEMPORAL]])</f>
        <v>0</v>
      </c>
      <c r="P1638" s="12"/>
      <c r="Q1638" s="12">
        <f>+(Tabla1[[#This Row],[COSTO COCHE]]/30)*Tabla1[[#This Row],[TOTAL DIAS PROYECTO]]</f>
        <v>0</v>
      </c>
      <c r="R1638" s="12">
        <f>+Tabla1[[#This Row],[COSTO TOTAL ALOJAMIENTO]]+Tabla1[[#This Row],[COSTO TOTAL COCHE]]</f>
        <v>0</v>
      </c>
      <c r="S1638" s="2" t="s">
        <v>403</v>
      </c>
      <c r="T1638" s="14" t="s">
        <v>8</v>
      </c>
      <c r="U1638" s="14">
        <v>46174</v>
      </c>
      <c r="V1638" s="79"/>
      <c r="W1638" s="12"/>
      <c r="X1638" s="2"/>
      <c r="Y1638" s="11" t="s">
        <v>3186</v>
      </c>
      <c r="Z1638" s="2" t="s">
        <v>36</v>
      </c>
      <c r="AA1638" s="13" t="s">
        <v>10336</v>
      </c>
      <c r="AB1638" s="13" t="s">
        <v>10337</v>
      </c>
    </row>
    <row r="1639" spans="1:28" ht="15" customHeight="1">
      <c r="A1639" s="2" t="s">
        <v>9440</v>
      </c>
      <c r="B1639" s="2" t="s">
        <v>28</v>
      </c>
      <c r="C1639" s="11" t="s">
        <v>3187</v>
      </c>
      <c r="D1639" s="2" t="s">
        <v>99</v>
      </c>
      <c r="E1639" s="2" t="s">
        <v>1130</v>
      </c>
      <c r="F1639" s="11" t="s">
        <v>3182</v>
      </c>
      <c r="G1639" s="46" t="s">
        <v>3183</v>
      </c>
      <c r="H1639" s="2" t="s">
        <v>3184</v>
      </c>
      <c r="I1639" s="12" t="s">
        <v>3185</v>
      </c>
      <c r="J1639" s="41">
        <f>+Tabla1[[#This Row],[FECHA ENTRADA]]</f>
        <v>45708</v>
      </c>
      <c r="K1639" s="22">
        <v>45821</v>
      </c>
      <c r="L1639" s="42">
        <f>_xlfn.DAYS(Tabla1[[#This Row],[FECHA FIN ]],Tabla1[[#This Row],[FECHA INICIO]])</f>
        <v>113</v>
      </c>
      <c r="M1639" s="12"/>
      <c r="N1639" s="12">
        <f>1811.6/17</f>
        <v>106.56470588235294</v>
      </c>
      <c r="O1639" s="28">
        <f>(Tabla1[[#This Row],[COSTO FIJO ]]/30)*Tabla1[[#This Row],[TOTAL DIAS PROYECTO]]+(Tabla1[[#This Row],[COSTO TEMPORAL]])</f>
        <v>401.39372549019606</v>
      </c>
      <c r="P1639" s="12"/>
      <c r="Q1639" s="12">
        <f>+(Tabla1[[#This Row],[COSTO COCHE]]/30)*Tabla1[[#This Row],[TOTAL DIAS PROYECTO]]</f>
        <v>0</v>
      </c>
      <c r="R1639" s="12">
        <f>+Tabla1[[#This Row],[COSTO TOTAL ALOJAMIENTO]]+Tabla1[[#This Row],[COSTO TOTAL COCHE]]</f>
        <v>401.39372549019606</v>
      </c>
      <c r="S1639" s="2"/>
      <c r="T1639" s="2" t="s">
        <v>44</v>
      </c>
      <c r="U1639" s="14">
        <v>45708</v>
      </c>
      <c r="V1639" s="43">
        <v>45714</v>
      </c>
      <c r="W1639" s="26"/>
      <c r="X1639" s="2"/>
      <c r="Y1639" s="11"/>
      <c r="Z1639" s="2" t="s">
        <v>36</v>
      </c>
      <c r="AA1639" s="13" t="s">
        <v>10412</v>
      </c>
      <c r="AB1639" s="13">
        <v>4200955</v>
      </c>
    </row>
    <row r="1640" spans="1:28" ht="15" customHeight="1">
      <c r="A1640" s="2" t="s">
        <v>9441</v>
      </c>
      <c r="B1640" s="2" t="s">
        <v>28</v>
      </c>
      <c r="C1640" s="11" t="s">
        <v>3188</v>
      </c>
      <c r="D1640" s="2" t="s">
        <v>30</v>
      </c>
      <c r="E1640" s="2" t="s">
        <v>1130</v>
      </c>
      <c r="F1640" s="11" t="s">
        <v>3189</v>
      </c>
      <c r="G1640" s="46">
        <v>34671841938</v>
      </c>
      <c r="H1640" s="2" t="s">
        <v>3190</v>
      </c>
      <c r="I1640" s="12" t="s">
        <v>3185</v>
      </c>
      <c r="J1640" s="41">
        <f>+Tabla1[[#This Row],[FECHA ENTRADA]]</f>
        <v>45711</v>
      </c>
      <c r="K1640" s="22">
        <v>45821</v>
      </c>
      <c r="L1640" s="42">
        <f>_xlfn.DAYS(Tabla1[[#This Row],[FECHA FIN ]],Tabla1[[#This Row],[FECHA INICIO]])</f>
        <v>110</v>
      </c>
      <c r="M1640" s="12"/>
      <c r="N1640" s="24"/>
      <c r="O1640" s="28">
        <f>(Tabla1[[#This Row],[COSTO FIJO ]]/30)*Tabla1[[#This Row],[TOTAL DIAS PROYECTO]]+(Tabla1[[#This Row],[COSTO TEMPORAL]])</f>
        <v>0</v>
      </c>
      <c r="P1640" s="12"/>
      <c r="Q1640" s="12">
        <f>+(Tabla1[[#This Row],[COSTO COCHE]]/30)*Tabla1[[#This Row],[TOTAL DIAS PROYECTO]]</f>
        <v>0</v>
      </c>
      <c r="R1640" s="12">
        <f>+Tabla1[[#This Row],[COSTO TOTAL ALOJAMIENTO]]+Tabla1[[#This Row],[COSTO TOTAL COCHE]]</f>
        <v>0</v>
      </c>
      <c r="S1640" s="2" t="s">
        <v>84</v>
      </c>
      <c r="T1640" s="2" t="s">
        <v>44</v>
      </c>
      <c r="U1640" s="14">
        <v>45711</v>
      </c>
      <c r="V1640" s="43">
        <v>45714</v>
      </c>
      <c r="W1640" s="26"/>
      <c r="X1640" s="2"/>
      <c r="Y1640" s="11"/>
      <c r="Z1640" s="2" t="s">
        <v>36</v>
      </c>
      <c r="AA1640" s="13" t="s">
        <v>10412</v>
      </c>
      <c r="AB1640" s="13">
        <v>4200955</v>
      </c>
    </row>
    <row r="1641" spans="1:28" ht="15" customHeight="1">
      <c r="A1641" s="2" t="s">
        <v>9442</v>
      </c>
      <c r="B1641" s="2" t="s">
        <v>28</v>
      </c>
      <c r="C1641" s="11" t="s">
        <v>3191</v>
      </c>
      <c r="D1641" s="2" t="s">
        <v>30</v>
      </c>
      <c r="E1641" s="2" t="s">
        <v>1130</v>
      </c>
      <c r="F1641" s="11" t="s">
        <v>3192</v>
      </c>
      <c r="G1641" s="46">
        <v>34671841938</v>
      </c>
      <c r="H1641" s="2" t="s">
        <v>3190</v>
      </c>
      <c r="I1641" s="12" t="s">
        <v>3185</v>
      </c>
      <c r="J1641" s="41">
        <f>+Tabla1[[#This Row],[FECHA ENTRADA]]</f>
        <v>45711</v>
      </c>
      <c r="K1641" s="22">
        <v>45821</v>
      </c>
      <c r="L1641" s="42">
        <f>_xlfn.DAYS(Tabla1[[#This Row],[FECHA FIN ]],Tabla1[[#This Row],[FECHA INICIO]])</f>
        <v>110</v>
      </c>
      <c r="M1641" s="12"/>
      <c r="N1641" s="28"/>
      <c r="O1641" s="28">
        <f>(Tabla1[[#This Row],[COSTO FIJO ]]/30)*Tabla1[[#This Row],[TOTAL DIAS PROYECTO]]+(Tabla1[[#This Row],[COSTO TEMPORAL]])</f>
        <v>0</v>
      </c>
      <c r="P1641" s="12"/>
      <c r="Q1641" s="12">
        <f>+(Tabla1[[#This Row],[COSTO COCHE]]/30)*Tabla1[[#This Row],[TOTAL DIAS PROYECTO]]</f>
        <v>0</v>
      </c>
      <c r="R1641" s="12">
        <f>+Tabla1[[#This Row],[COSTO TOTAL ALOJAMIENTO]]+Tabla1[[#This Row],[COSTO TOTAL COCHE]]</f>
        <v>0</v>
      </c>
      <c r="S1641" s="2" t="s">
        <v>84</v>
      </c>
      <c r="T1641" s="2" t="s">
        <v>44</v>
      </c>
      <c r="U1641" s="14">
        <v>45711</v>
      </c>
      <c r="V1641" s="43">
        <v>45714</v>
      </c>
      <c r="W1641" s="26"/>
      <c r="X1641" s="2"/>
      <c r="Y1641" s="11"/>
      <c r="Z1641" s="2" t="s">
        <v>36</v>
      </c>
      <c r="AA1641" s="13" t="s">
        <v>10412</v>
      </c>
      <c r="AB1641" s="13">
        <v>4200955</v>
      </c>
    </row>
    <row r="1642" spans="1:28" ht="15" customHeight="1">
      <c r="A1642" s="2" t="s">
        <v>9388</v>
      </c>
      <c r="B1642" s="2" t="s">
        <v>1457</v>
      </c>
      <c r="C1642" s="11" t="s">
        <v>3012</v>
      </c>
      <c r="D1642" s="2" t="s">
        <v>72</v>
      </c>
      <c r="E1642" s="10" t="s">
        <v>1458</v>
      </c>
      <c r="F1642" s="11" t="s">
        <v>1459</v>
      </c>
      <c r="G1642" s="46" t="s">
        <v>1460</v>
      </c>
      <c r="H1642" s="2" t="s">
        <v>1461</v>
      </c>
      <c r="I1642" s="12" t="s">
        <v>1288</v>
      </c>
      <c r="J1642" s="41">
        <f>+Tabla1[[#This Row],[FECHA ENTRADA]]</f>
        <v>45672</v>
      </c>
      <c r="K1642" s="22">
        <v>45821</v>
      </c>
      <c r="L1642" s="42">
        <f>_xlfn.DAYS(Tabla1[[#This Row],[FECHA FIN ]],Tabla1[[#This Row],[FECHA INICIO]])</f>
        <v>149</v>
      </c>
      <c r="M1642" s="12"/>
      <c r="N1642" s="12">
        <f>1811.6/17</f>
        <v>106.56470588235294</v>
      </c>
      <c r="O1642" s="28">
        <f>(Tabla1[[#This Row],[COSTO FIJO ]]/30)*Tabla1[[#This Row],[TOTAL DIAS PROYECTO]]+(Tabla1[[#This Row],[COSTO TEMPORAL]])</f>
        <v>529.27137254901959</v>
      </c>
      <c r="P1642" s="12">
        <v>94.12</v>
      </c>
      <c r="Q1642" s="12">
        <f>+(Tabla1[[#This Row],[COSTO COCHE]]/30)*Tabla1[[#This Row],[TOTAL DIAS PROYECTO]]</f>
        <v>467.46266666666668</v>
      </c>
      <c r="R1642" s="12">
        <f>+Tabla1[[#This Row],[COSTO TOTAL ALOJAMIENTO]]+Tabla1[[#This Row],[COSTO TOTAL COCHE]]</f>
        <v>996.73403921568627</v>
      </c>
      <c r="S1642" s="2" t="s">
        <v>84</v>
      </c>
      <c r="T1642" s="2" t="s">
        <v>44</v>
      </c>
      <c r="U1642" s="14">
        <v>45672</v>
      </c>
      <c r="V1642" s="43">
        <v>45715</v>
      </c>
      <c r="W1642" s="26"/>
      <c r="X1642" s="2"/>
      <c r="Y1642" s="11"/>
      <c r="Z1642" s="2" t="s">
        <v>36</v>
      </c>
      <c r="AA1642" s="13" t="s">
        <v>10421</v>
      </c>
      <c r="AB1642" s="13">
        <v>5113412</v>
      </c>
    </row>
    <row r="1643" spans="1:28" ht="15" customHeight="1">
      <c r="A1643" s="2" t="s">
        <v>9389</v>
      </c>
      <c r="B1643" s="2" t="s">
        <v>1457</v>
      </c>
      <c r="C1643" s="99" t="s">
        <v>3013</v>
      </c>
      <c r="D1643" s="2" t="s">
        <v>72</v>
      </c>
      <c r="E1643" s="10" t="s">
        <v>1458</v>
      </c>
      <c r="F1643" s="11" t="s">
        <v>1459</v>
      </c>
      <c r="G1643" s="46" t="s">
        <v>1460</v>
      </c>
      <c r="H1643" s="2" t="s">
        <v>1461</v>
      </c>
      <c r="I1643" s="12" t="s">
        <v>1288</v>
      </c>
      <c r="J1643" s="41">
        <f>+Tabla1[[#This Row],[FECHA ENTRADA]]</f>
        <v>45672</v>
      </c>
      <c r="K1643" s="22">
        <v>45821</v>
      </c>
      <c r="L1643" s="42">
        <f>_xlfn.DAYS(Tabla1[[#This Row],[FECHA FIN ]],Tabla1[[#This Row],[FECHA INICIO]])</f>
        <v>149</v>
      </c>
      <c r="M1643" s="12"/>
      <c r="N1643" s="24"/>
      <c r="O1643" s="28">
        <f>(Tabla1[[#This Row],[COSTO FIJO ]]/30)*Tabla1[[#This Row],[TOTAL DIAS PROYECTO]]+(Tabla1[[#This Row],[COSTO TEMPORAL]])</f>
        <v>0</v>
      </c>
      <c r="P1643" s="12">
        <f>1600/17</f>
        <v>94.117647058823536</v>
      </c>
      <c r="Q1643" s="12">
        <f>+(Tabla1[[#This Row],[COSTO COCHE]]/30)*Tabla1[[#This Row],[TOTAL DIAS PROYECTO]]</f>
        <v>467.45098039215691</v>
      </c>
      <c r="R1643" s="12">
        <f>+Tabla1[[#This Row],[COSTO TOTAL ALOJAMIENTO]]+Tabla1[[#This Row],[COSTO TOTAL COCHE]]</f>
        <v>467.45098039215691</v>
      </c>
      <c r="S1643" s="2" t="s">
        <v>84</v>
      </c>
      <c r="T1643" s="2" t="s">
        <v>44</v>
      </c>
      <c r="U1643" s="14">
        <v>45672</v>
      </c>
      <c r="V1643" s="43">
        <v>45715</v>
      </c>
      <c r="W1643" s="26"/>
      <c r="X1643" s="2"/>
      <c r="Y1643" s="11"/>
      <c r="Z1643" s="2" t="s">
        <v>36</v>
      </c>
      <c r="AA1643" s="13" t="s">
        <v>10421</v>
      </c>
      <c r="AB1643" s="13">
        <v>5113412</v>
      </c>
    </row>
    <row r="1644" spans="1:28" ht="15" customHeight="1">
      <c r="A1644" s="2" t="s">
        <v>9022</v>
      </c>
      <c r="B1644" s="2" t="s">
        <v>1457</v>
      </c>
      <c r="C1644" s="86" t="s">
        <v>1717</v>
      </c>
      <c r="D1644" s="2" t="s">
        <v>72</v>
      </c>
      <c r="E1644" s="10" t="s">
        <v>1458</v>
      </c>
      <c r="F1644" s="11" t="s">
        <v>1459</v>
      </c>
      <c r="G1644" s="46" t="s">
        <v>1460</v>
      </c>
      <c r="H1644" s="2" t="s">
        <v>1461</v>
      </c>
      <c r="I1644" s="12" t="s">
        <v>1288</v>
      </c>
      <c r="J1644" s="41">
        <f>+Tabla1[[#This Row],[FECHA ENTRADA]]</f>
        <v>45672</v>
      </c>
      <c r="K1644" s="22">
        <v>45821</v>
      </c>
      <c r="L1644" s="42">
        <f>_xlfn.DAYS(Tabla1[[#This Row],[FECHA FIN ]],Tabla1[[#This Row],[FECHA INICIO]])</f>
        <v>149</v>
      </c>
      <c r="M1644" s="12"/>
      <c r="N1644" s="20"/>
      <c r="O1644" s="28">
        <f>(Tabla1[[#This Row],[COSTO FIJO ]]/30)*Tabla1[[#This Row],[TOTAL DIAS PROYECTO]]+(Tabla1[[#This Row],[COSTO TEMPORAL]])</f>
        <v>0</v>
      </c>
      <c r="P1644" s="12">
        <v>94.12</v>
      </c>
      <c r="Q1644" s="12">
        <f>+(Tabla1[[#This Row],[COSTO COCHE]]/30)*Tabla1[[#This Row],[TOTAL DIAS PROYECTO]]</f>
        <v>467.46266666666668</v>
      </c>
      <c r="R1644" s="12">
        <f>+Tabla1[[#This Row],[COSTO TOTAL ALOJAMIENTO]]+Tabla1[[#This Row],[COSTO TOTAL COCHE]]</f>
        <v>467.46266666666668</v>
      </c>
      <c r="S1644" s="2" t="s">
        <v>84</v>
      </c>
      <c r="T1644" s="2" t="s">
        <v>44</v>
      </c>
      <c r="U1644" s="14">
        <v>45672</v>
      </c>
      <c r="V1644" s="43">
        <v>45715</v>
      </c>
      <c r="W1644" s="26"/>
      <c r="X1644" s="2"/>
      <c r="Y1644" s="11"/>
      <c r="Z1644" s="2" t="s">
        <v>36</v>
      </c>
      <c r="AA1644" s="13" t="s">
        <v>10421</v>
      </c>
      <c r="AB1644" s="13">
        <v>5113412</v>
      </c>
    </row>
    <row r="1645" spans="1:28" ht="15" customHeight="1">
      <c r="A1645" s="2" t="s">
        <v>9219</v>
      </c>
      <c r="B1645" s="2" t="s">
        <v>3133</v>
      </c>
      <c r="C1645" s="31" t="s">
        <v>2487</v>
      </c>
      <c r="D1645" s="2" t="s">
        <v>99</v>
      </c>
      <c r="E1645" s="2" t="s">
        <v>87</v>
      </c>
      <c r="F1645" s="31" t="s">
        <v>3134</v>
      </c>
      <c r="G1645" s="197" t="s">
        <v>3135</v>
      </c>
      <c r="H1645" s="2" t="s">
        <v>3193</v>
      </c>
      <c r="I1645" s="12" t="s">
        <v>3137</v>
      </c>
      <c r="J1645" s="22">
        <f>+Tabla1[[#This Row],[FECHA ENTRADA]]</f>
        <v>46143</v>
      </c>
      <c r="K1645" s="8">
        <v>46260</v>
      </c>
      <c r="L1645" s="23">
        <f>_xlfn.DAYS(Tabla1[[#This Row],[FECHA FIN ]],Tabla1[[#This Row],[FECHA INICIO]])</f>
        <v>117</v>
      </c>
      <c r="M1645" s="12"/>
      <c r="N1645" s="24">
        <v>450</v>
      </c>
      <c r="O1645" s="24">
        <f>(Tabla1[[#This Row],[COSTO FIJO ]]/30)*Tabla1[[#This Row],[TOTAL DIAS PROYECTO]]+(Tabla1[[#This Row],[COSTO TEMPORAL]])</f>
        <v>1755</v>
      </c>
      <c r="P1645" s="12"/>
      <c r="Q1645" s="12">
        <f>+(Tabla1[[#This Row],[COSTO COCHE]]/30)*Tabla1[[#This Row],[TOTAL DIAS PROYECTO]]</f>
        <v>0</v>
      </c>
      <c r="R1645" s="12">
        <f>+Tabla1[[#This Row],[COSTO TOTAL ALOJAMIENTO]]+Tabla1[[#This Row],[COSTO TOTAL COCHE]]</f>
        <v>1755</v>
      </c>
      <c r="S1645" s="2"/>
      <c r="T1645" s="14" t="s">
        <v>35</v>
      </c>
      <c r="U1645" s="14">
        <v>46143</v>
      </c>
      <c r="V1645" s="25"/>
      <c r="W1645" s="12"/>
      <c r="X1645" s="2">
        <v>17</v>
      </c>
      <c r="Y1645" s="136" t="s">
        <v>3194</v>
      </c>
      <c r="Z1645" s="2" t="s">
        <v>36</v>
      </c>
      <c r="AA1645" s="13" t="s">
        <v>10335</v>
      </c>
      <c r="AB1645" s="13">
        <v>404.16500000000002</v>
      </c>
    </row>
    <row r="1646" spans="1:28" ht="15" customHeight="1">
      <c r="A1646" s="2" t="s">
        <v>8792</v>
      </c>
      <c r="B1646" s="2" t="s">
        <v>28</v>
      </c>
      <c r="C1646" s="11" t="s">
        <v>784</v>
      </c>
      <c r="D1646" s="2" t="s">
        <v>30</v>
      </c>
      <c r="E1646" s="2" t="s">
        <v>92</v>
      </c>
      <c r="F1646" s="11"/>
      <c r="G1646" s="11" t="s">
        <v>94</v>
      </c>
      <c r="H1646" s="2" t="s">
        <v>586</v>
      </c>
      <c r="I1646" s="12" t="s">
        <v>96</v>
      </c>
      <c r="J1646" s="8">
        <f>+Tabla1[[#This Row],[FECHA ENTRADA]]</f>
        <v>45319</v>
      </c>
      <c r="K1646" s="8">
        <v>45541</v>
      </c>
      <c r="L1646" s="13">
        <f>_xlfn.DAYS(Tabla1[[#This Row],[FECHA FIN ]],Tabla1[[#This Row],[FECHA INICIO]])</f>
        <v>222</v>
      </c>
      <c r="M1646" s="12"/>
      <c r="N1646" s="12">
        <v>300</v>
      </c>
      <c r="O1646" s="12">
        <f>(Tabla1[[#This Row],[COSTO FIJO ]]/30)*Tabla1[[#This Row],[TOTAL DIAS PROYECTO]]+(Tabla1[[#This Row],[COSTO TEMPORAL]])</f>
        <v>2220</v>
      </c>
      <c r="P1646" s="12"/>
      <c r="Q1646" s="12">
        <f>+(Tabla1[[#This Row],[COSTO COCHE]]/30)*Tabla1[[#This Row],[TOTAL DIAS PROYECTO]]</f>
        <v>0</v>
      </c>
      <c r="R1646" s="12">
        <f>+Tabla1[[#This Row],[COSTO TOTAL ALOJAMIENTO]]+Tabla1[[#This Row],[COSTO TOTAL COCHE]]</f>
        <v>2220</v>
      </c>
      <c r="S1646" s="2"/>
      <c r="T1646" s="2" t="s">
        <v>58</v>
      </c>
      <c r="U1646" s="14">
        <v>45319</v>
      </c>
      <c r="V1646" s="14"/>
      <c r="W1646" s="15"/>
      <c r="X1646" s="16">
        <v>1</v>
      </c>
      <c r="Y1646" s="11" t="s">
        <v>3195</v>
      </c>
      <c r="Z1646" s="2" t="s">
        <v>36</v>
      </c>
      <c r="AA1646" s="13" t="s">
        <v>10336</v>
      </c>
      <c r="AB1646" s="13" t="s">
        <v>10337</v>
      </c>
    </row>
    <row r="1647" spans="1:28">
      <c r="A1647" s="2" t="s">
        <v>9443</v>
      </c>
      <c r="B1647" s="2" t="s">
        <v>28</v>
      </c>
      <c r="C1647" s="18" t="s">
        <v>3196</v>
      </c>
      <c r="D1647" s="2" t="s">
        <v>30</v>
      </c>
      <c r="E1647" s="2" t="s">
        <v>502</v>
      </c>
      <c r="F1647" s="11" t="s">
        <v>1049</v>
      </c>
      <c r="G1647" s="11" t="s">
        <v>1050</v>
      </c>
      <c r="H1647" s="2" t="s">
        <v>3197</v>
      </c>
      <c r="I1647" s="12" t="s">
        <v>506</v>
      </c>
      <c r="J1647" s="41">
        <f>+Tabla1[[#This Row],[FECHA ENTRADA]]</f>
        <v>45690</v>
      </c>
      <c r="K1647" s="22">
        <v>45821</v>
      </c>
      <c r="L1647" s="42">
        <f>_xlfn.DAYS(Tabla1[[#This Row],[FECHA FIN ]],Tabla1[[#This Row],[FECHA INICIO]])</f>
        <v>131</v>
      </c>
      <c r="M1647" s="12"/>
      <c r="N1647" s="12">
        <v>216.66666666666666</v>
      </c>
      <c r="O1647" s="28">
        <f>(Tabla1[[#This Row],[COSTO FIJO ]]/30)*Tabla1[[#This Row],[TOTAL DIAS PROYECTO]]+(Tabla1[[#This Row],[COSTO TEMPORAL]])</f>
        <v>946.11111111111109</v>
      </c>
      <c r="P1647" s="12">
        <f>1156.52/8</f>
        <v>144.565</v>
      </c>
      <c r="Q1647" s="12">
        <f>+(Tabla1[[#This Row],[COSTO COCHE]]/30)*Tabla1[[#This Row],[TOTAL DIAS PROYECTO]]</f>
        <v>631.26716666666664</v>
      </c>
      <c r="R1647" s="12">
        <f>+Tabla1[[#This Row],[COSTO TOTAL ALOJAMIENTO]]+Tabla1[[#This Row],[COSTO TOTAL COCHE]]</f>
        <v>1577.3782777777778</v>
      </c>
      <c r="S1647" s="2"/>
      <c r="T1647" s="2" t="s">
        <v>35</v>
      </c>
      <c r="U1647" s="14">
        <v>45690</v>
      </c>
      <c r="V1647" s="43"/>
      <c r="W1647" s="26"/>
      <c r="X1647" s="2">
        <v>1</v>
      </c>
      <c r="Y1647" s="11"/>
      <c r="Z1647" s="2" t="s">
        <v>36</v>
      </c>
      <c r="AA1647" s="13" t="s">
        <v>10378</v>
      </c>
      <c r="AB1647" s="13" t="s">
        <v>10379</v>
      </c>
    </row>
    <row r="1648" spans="1:28" ht="15" customHeight="1">
      <c r="A1648" s="2" t="s">
        <v>9360</v>
      </c>
      <c r="B1648" s="2" t="s">
        <v>28</v>
      </c>
      <c r="C1648" s="11" t="s">
        <v>2928</v>
      </c>
      <c r="D1648" s="2" t="s">
        <v>99</v>
      </c>
      <c r="E1648" s="2" t="s">
        <v>259</v>
      </c>
      <c r="F1648" s="11" t="s">
        <v>3198</v>
      </c>
      <c r="G1648" s="46" t="s">
        <v>3199</v>
      </c>
      <c r="H1648" s="2" t="s">
        <v>3200</v>
      </c>
      <c r="I1648" s="12" t="s">
        <v>3201</v>
      </c>
      <c r="J1648" s="41">
        <f>+Tabla1[[#This Row],[FECHA ENTRADA]]</f>
        <v>45712</v>
      </c>
      <c r="K1648" s="22">
        <v>45821</v>
      </c>
      <c r="L1648" s="42">
        <f>_xlfn.DAYS(Tabla1[[#This Row],[FECHA FIN ]],Tabla1[[#This Row],[FECHA INICIO]])</f>
        <v>109</v>
      </c>
      <c r="M1648" s="12"/>
      <c r="N1648" s="12">
        <f>1811.6/17</f>
        <v>106.56470588235294</v>
      </c>
      <c r="O1648" s="28">
        <f>(Tabla1[[#This Row],[COSTO FIJO ]]/30)*Tabla1[[#This Row],[TOTAL DIAS PROYECTO]]+(Tabla1[[#This Row],[COSTO TEMPORAL]])</f>
        <v>387.18509803921569</v>
      </c>
      <c r="P1648" s="12"/>
      <c r="Q1648" s="12">
        <f>+(Tabla1[[#This Row],[COSTO COCHE]]/30)*Tabla1[[#This Row],[TOTAL DIAS PROYECTO]]</f>
        <v>0</v>
      </c>
      <c r="R1648" s="12">
        <f>+Tabla1[[#This Row],[COSTO TOTAL ALOJAMIENTO]]+Tabla1[[#This Row],[COSTO TOTAL COCHE]]</f>
        <v>387.18509803921569</v>
      </c>
      <c r="S1648" s="2"/>
      <c r="T1648" s="2" t="s">
        <v>528</v>
      </c>
      <c r="U1648" s="14">
        <v>45712</v>
      </c>
      <c r="V1648" s="43">
        <v>45716</v>
      </c>
      <c r="W1648" s="26"/>
      <c r="X1648" s="2"/>
      <c r="Y1648" s="11"/>
      <c r="Z1648" s="2" t="s">
        <v>36</v>
      </c>
      <c r="AA1648" s="13">
        <v>-0.87734000000000001</v>
      </c>
      <c r="AB1648" s="13" t="s">
        <v>10359</v>
      </c>
    </row>
    <row r="1649" spans="1:28" ht="15" customHeight="1">
      <c r="A1649" s="2" t="s">
        <v>9439</v>
      </c>
      <c r="B1649" s="2" t="s">
        <v>28</v>
      </c>
      <c r="C1649" s="11" t="s">
        <v>3181</v>
      </c>
      <c r="D1649" s="2" t="s">
        <v>99</v>
      </c>
      <c r="E1649" s="2" t="s">
        <v>1130</v>
      </c>
      <c r="F1649" s="11" t="s">
        <v>3189</v>
      </c>
      <c r="G1649" s="49">
        <v>34671841938</v>
      </c>
      <c r="H1649" s="2" t="s">
        <v>3184</v>
      </c>
      <c r="I1649" s="12" t="s">
        <v>3185</v>
      </c>
      <c r="J1649" s="22">
        <f>+Tabla1[[#This Row],[FECHA ENTRADA]]</f>
        <v>45714</v>
      </c>
      <c r="K1649" s="22">
        <v>45821</v>
      </c>
      <c r="L1649" s="23">
        <f>_xlfn.DAYS(Tabla1[[#This Row],[FECHA FIN ]],Tabla1[[#This Row],[FECHA INICIO]])</f>
        <v>107</v>
      </c>
      <c r="M1649" s="12"/>
      <c r="N1649" s="12">
        <f>1811.6/17</f>
        <v>106.56470588235294</v>
      </c>
      <c r="O1649" s="24">
        <f>(Tabla1[[#This Row],[COSTO FIJO ]]/30)*Tabla1[[#This Row],[TOTAL DIAS PROYECTO]]+(Tabla1[[#This Row],[COSTO TEMPORAL]])</f>
        <v>380.08078431372547</v>
      </c>
      <c r="P1649" s="12"/>
      <c r="Q1649" s="12">
        <f>+(Tabla1[[#This Row],[COSTO COCHE]]/30)*Tabla1[[#This Row],[TOTAL DIAS PROYECTO]]</f>
        <v>0</v>
      </c>
      <c r="R1649" s="12">
        <f>+Tabla1[[#This Row],[COSTO TOTAL ALOJAMIENTO]]+Tabla1[[#This Row],[COSTO TOTAL COCHE]]</f>
        <v>380.08078431372547</v>
      </c>
      <c r="S1649" s="2"/>
      <c r="T1649" s="2" t="s">
        <v>44</v>
      </c>
      <c r="U1649" s="14">
        <v>45714</v>
      </c>
      <c r="V1649" s="25">
        <v>45716</v>
      </c>
      <c r="W1649" s="26"/>
      <c r="X1649" s="2"/>
      <c r="Y1649" s="11" t="s">
        <v>1166</v>
      </c>
      <c r="Z1649" s="2" t="s">
        <v>36</v>
      </c>
      <c r="AA1649" s="13" t="s">
        <v>10412</v>
      </c>
      <c r="AB1649" s="13">
        <v>4200955</v>
      </c>
    </row>
    <row r="1650" spans="1:28" ht="15" customHeight="1">
      <c r="A1650" s="2" t="s">
        <v>8817</v>
      </c>
      <c r="B1650" s="2" t="s">
        <v>28</v>
      </c>
      <c r="C1650" s="86" t="s">
        <v>881</v>
      </c>
      <c r="D1650" s="2" t="s">
        <v>30</v>
      </c>
      <c r="E1650" s="2" t="s">
        <v>31</v>
      </c>
      <c r="F1650" s="11" t="s">
        <v>1477</v>
      </c>
      <c r="G1650" s="30" t="s">
        <v>1478</v>
      </c>
      <c r="H1650" s="2" t="s">
        <v>1479</v>
      </c>
      <c r="I1650" s="12" t="s">
        <v>1480</v>
      </c>
      <c r="J1650" s="8">
        <f>+Tabla1[[#This Row],[FECHA ENTRADA]]</f>
        <v>45480</v>
      </c>
      <c r="K1650" s="22">
        <v>45821</v>
      </c>
      <c r="L1650" s="13">
        <f>_xlfn.DAYS(Tabla1[[#This Row],[FECHA FIN ]],Tabla1[[#This Row],[FECHA INICIO]])</f>
        <v>341</v>
      </c>
      <c r="M1650" s="12"/>
      <c r="N1650" s="12">
        <v>500</v>
      </c>
      <c r="O1650" s="12">
        <f>(Tabla1[[#This Row],[COSTO FIJO ]]/30)*Tabla1[[#This Row],[TOTAL DIAS PROYECTO]]+(Tabla1[[#This Row],[COSTO TEMPORAL]])</f>
        <v>5683.3333333333339</v>
      </c>
      <c r="P1650" s="12"/>
      <c r="Q1650" s="12">
        <f>+(Tabla1[[#This Row],[COSTO COCHE]]/30)*Tabla1[[#This Row],[TOTAL DIAS PROYECTO]]</f>
        <v>0</v>
      </c>
      <c r="R1650" s="12">
        <f>+Tabla1[[#This Row],[COSTO TOTAL ALOJAMIENTO]]+Tabla1[[#This Row],[COSTO TOTAL COCHE]]</f>
        <v>5683.3333333333339</v>
      </c>
      <c r="S1650" s="2"/>
      <c r="T1650" s="2" t="s">
        <v>44</v>
      </c>
      <c r="U1650" s="14">
        <v>45480</v>
      </c>
      <c r="V1650" s="14">
        <v>45716</v>
      </c>
      <c r="W1650" s="26">
        <v>500</v>
      </c>
      <c r="X1650" s="2">
        <v>1</v>
      </c>
      <c r="Y1650" s="11" t="s">
        <v>1481</v>
      </c>
      <c r="Z1650" s="2" t="s">
        <v>36</v>
      </c>
      <c r="AA1650" s="13" t="s">
        <v>10323</v>
      </c>
      <c r="AB1650" s="13" t="s">
        <v>10324</v>
      </c>
    </row>
    <row r="1651" spans="1:28" ht="15" customHeight="1">
      <c r="A1651" s="2" t="s">
        <v>8638</v>
      </c>
      <c r="B1651" s="2" t="s">
        <v>28</v>
      </c>
      <c r="C1651" s="11" t="s">
        <v>3202</v>
      </c>
      <c r="D1651" s="2" t="s">
        <v>78</v>
      </c>
      <c r="E1651" s="2" t="s">
        <v>1759</v>
      </c>
      <c r="F1651" s="11" t="s">
        <v>3203</v>
      </c>
      <c r="G1651" s="21" t="s">
        <v>3204</v>
      </c>
      <c r="H1651" s="2" t="s">
        <v>3205</v>
      </c>
      <c r="I1651" s="12" t="s">
        <v>1763</v>
      </c>
      <c r="J1651" s="22">
        <f>+Tabla1[[#This Row],[FECHA ENTRADA]]</f>
        <v>45710</v>
      </c>
      <c r="K1651" s="22">
        <v>45821</v>
      </c>
      <c r="L1651" s="23">
        <f>_xlfn.DAYS(Tabla1[[#This Row],[FECHA FIN ]],Tabla1[[#This Row],[FECHA INICIO]])</f>
        <v>111</v>
      </c>
      <c r="M1651" s="12"/>
      <c r="N1651" s="12">
        <f>1811.6/17</f>
        <v>106.56470588235294</v>
      </c>
      <c r="O1651" s="24">
        <f>(Tabla1[[#This Row],[COSTO FIJO ]]/30)*Tabla1[[#This Row],[TOTAL DIAS PROYECTO]]+(Tabla1[[#This Row],[COSTO TEMPORAL]])</f>
        <v>394.2894117647059</v>
      </c>
      <c r="P1651" s="12"/>
      <c r="Q1651" s="12">
        <f>+(Tabla1[[#This Row],[COSTO COCHE]]/30)*Tabla1[[#This Row],[TOTAL DIAS PROYECTO]]</f>
        <v>0</v>
      </c>
      <c r="R1651" s="12">
        <f>+Tabla1[[#This Row],[COSTO TOTAL ALOJAMIENTO]]+Tabla1[[#This Row],[COSTO TOTAL COCHE]]</f>
        <v>394.2894117647059</v>
      </c>
      <c r="S1651" s="2" t="s">
        <v>84</v>
      </c>
      <c r="T1651" s="2" t="s">
        <v>44</v>
      </c>
      <c r="U1651" s="14">
        <v>45710</v>
      </c>
      <c r="V1651" s="79">
        <v>45717</v>
      </c>
      <c r="W1651" s="26"/>
      <c r="X1651" s="2"/>
      <c r="Y1651" s="11"/>
      <c r="Z1651" s="2" t="s">
        <v>36</v>
      </c>
      <c r="AA1651" s="13" t="s">
        <v>10430</v>
      </c>
      <c r="AB1651" s="13" t="s">
        <v>10431</v>
      </c>
    </row>
    <row r="1652" spans="1:28" ht="15" customHeight="1">
      <c r="A1652" s="2" t="s">
        <v>9444</v>
      </c>
      <c r="B1652" s="2" t="s">
        <v>28</v>
      </c>
      <c r="C1652" s="31" t="s">
        <v>3206</v>
      </c>
      <c r="D1652" s="2" t="s">
        <v>78</v>
      </c>
      <c r="E1652" s="2" t="s">
        <v>1759</v>
      </c>
      <c r="F1652" s="11" t="s">
        <v>3207</v>
      </c>
      <c r="G1652" s="21" t="s">
        <v>3204</v>
      </c>
      <c r="H1652" s="2" t="s">
        <v>3205</v>
      </c>
      <c r="I1652" s="12" t="s">
        <v>1763</v>
      </c>
      <c r="J1652" s="22">
        <f>+Tabla1[[#This Row],[FECHA ENTRADA]]</f>
        <v>45710</v>
      </c>
      <c r="K1652" s="22">
        <v>45821</v>
      </c>
      <c r="L1652" s="23">
        <f>_xlfn.DAYS(Tabla1[[#This Row],[FECHA FIN ]],Tabla1[[#This Row],[FECHA INICIO]])</f>
        <v>111</v>
      </c>
      <c r="M1652" s="12"/>
      <c r="N1652" s="20"/>
      <c r="O1652" s="24">
        <f>(Tabla1[[#This Row],[COSTO FIJO ]]/30)*Tabla1[[#This Row],[TOTAL DIAS PROYECTO]]+(Tabla1[[#This Row],[COSTO TEMPORAL]])</f>
        <v>0</v>
      </c>
      <c r="P1652" s="12"/>
      <c r="Q1652" s="12">
        <f>+(Tabla1[[#This Row],[COSTO COCHE]]/30)*Tabla1[[#This Row],[TOTAL DIAS PROYECTO]]</f>
        <v>0</v>
      </c>
      <c r="R1652" s="12">
        <f>+Tabla1[[#This Row],[COSTO TOTAL ALOJAMIENTO]]+Tabla1[[#This Row],[COSTO TOTAL COCHE]]</f>
        <v>0</v>
      </c>
      <c r="S1652" s="2" t="s">
        <v>84</v>
      </c>
      <c r="T1652" s="2" t="s">
        <v>528</v>
      </c>
      <c r="U1652" s="14">
        <v>45710</v>
      </c>
      <c r="V1652" s="79">
        <v>45717</v>
      </c>
      <c r="W1652" s="26"/>
      <c r="X1652" s="2"/>
      <c r="Y1652" s="11"/>
      <c r="Z1652" s="2" t="s">
        <v>36</v>
      </c>
      <c r="AA1652" s="13" t="s">
        <v>10430</v>
      </c>
      <c r="AB1652" s="13" t="s">
        <v>10431</v>
      </c>
    </row>
    <row r="1653" spans="1:28" ht="15" customHeight="1">
      <c r="A1653" s="2" t="s">
        <v>9412</v>
      </c>
      <c r="B1653" s="2" t="s">
        <v>978</v>
      </c>
      <c r="C1653" s="11" t="s">
        <v>3095</v>
      </c>
      <c r="D1653" s="2" t="s">
        <v>30</v>
      </c>
      <c r="E1653" s="2" t="s">
        <v>55</v>
      </c>
      <c r="F1653" s="11" t="s">
        <v>1319</v>
      </c>
      <c r="G1653" s="46" t="s">
        <v>1320</v>
      </c>
      <c r="H1653" s="2" t="s">
        <v>3208</v>
      </c>
      <c r="I1653" s="30" t="s">
        <v>1322</v>
      </c>
      <c r="J1653" s="41">
        <f>+Tabla1[[#This Row],[FECHA ENTRADA]]</f>
        <v>45649</v>
      </c>
      <c r="K1653" s="22">
        <v>45821</v>
      </c>
      <c r="L1653" s="42">
        <f>_xlfn.DAYS(Tabla1[[#This Row],[FECHA FIN ]],Tabla1[[#This Row],[FECHA INICIO]])</f>
        <v>172</v>
      </c>
      <c r="M1653" s="12"/>
      <c r="N1653" s="12">
        <f>1811.6/17</f>
        <v>106.56470588235294</v>
      </c>
      <c r="O1653" s="28">
        <f>(Tabla1[[#This Row],[COSTO FIJO ]]/30)*Tabla1[[#This Row],[TOTAL DIAS PROYECTO]]+(Tabla1[[#This Row],[COSTO TEMPORAL]])</f>
        <v>610.97098039215689</v>
      </c>
      <c r="P1653" s="12"/>
      <c r="Q1653" s="12">
        <f>+(Tabla1[[#This Row],[COSTO COCHE]]/30)*Tabla1[[#This Row],[TOTAL DIAS PROYECTO]]</f>
        <v>0</v>
      </c>
      <c r="R1653" s="12">
        <f>+Tabla1[[#This Row],[COSTO TOTAL ALOJAMIENTO]]+Tabla1[[#This Row],[COSTO TOTAL COCHE]]</f>
        <v>610.97098039215689</v>
      </c>
      <c r="S1653" s="2"/>
      <c r="T1653" s="2" t="s">
        <v>44</v>
      </c>
      <c r="U1653" s="14">
        <v>45649</v>
      </c>
      <c r="V1653" s="43">
        <v>45675</v>
      </c>
      <c r="W1653" s="26"/>
      <c r="X1653" s="2"/>
      <c r="Y1653" s="11" t="s">
        <v>1343</v>
      </c>
      <c r="Z1653" s="2" t="s">
        <v>36</v>
      </c>
      <c r="AA1653" s="13" t="s">
        <v>10327</v>
      </c>
      <c r="AB1653" s="13" t="s">
        <v>10328</v>
      </c>
    </row>
    <row r="1654" spans="1:28" ht="15" customHeight="1">
      <c r="A1654" s="2" t="s">
        <v>9445</v>
      </c>
      <c r="B1654" s="2" t="s">
        <v>28</v>
      </c>
      <c r="C1654" s="11" t="s">
        <v>3209</v>
      </c>
      <c r="D1654" s="2" t="s">
        <v>99</v>
      </c>
      <c r="E1654" s="2" t="s">
        <v>415</v>
      </c>
      <c r="F1654" s="11" t="s">
        <v>3210</v>
      </c>
      <c r="G1654" s="21">
        <v>34626811021</v>
      </c>
      <c r="H1654" s="2" t="s">
        <v>2796</v>
      </c>
      <c r="I1654" s="12" t="s">
        <v>2321</v>
      </c>
      <c r="J1654" s="22">
        <f>+Tabla1[[#This Row],[FECHA ENTRADA]]</f>
        <v>45714</v>
      </c>
      <c r="K1654" s="22">
        <v>45821</v>
      </c>
      <c r="L1654" s="23">
        <f>_xlfn.DAYS(Tabla1[[#This Row],[FECHA FIN ]],Tabla1[[#This Row],[FECHA INICIO]])</f>
        <v>107</v>
      </c>
      <c r="M1654" s="12"/>
      <c r="N1654" s="12"/>
      <c r="O1654" s="24">
        <f>(Tabla1[[#This Row],[COSTO FIJO ]]/30)*Tabla1[[#This Row],[TOTAL DIAS PROYECTO]]+(Tabla1[[#This Row],[COSTO TEMPORAL]])</f>
        <v>0</v>
      </c>
      <c r="P1654" s="12">
        <f>542.69/4</f>
        <v>135.67250000000001</v>
      </c>
      <c r="Q1654" s="12">
        <f>+(Tabla1[[#This Row],[COSTO COCHE]]/30)*Tabla1[[#This Row],[TOTAL DIAS PROYECTO]]</f>
        <v>483.89858333333342</v>
      </c>
      <c r="R1654" s="12">
        <f>+Tabla1[[#This Row],[COSTO TOTAL ALOJAMIENTO]]+Tabla1[[#This Row],[COSTO TOTAL COCHE]]</f>
        <v>483.89858333333342</v>
      </c>
      <c r="S1654" s="2"/>
      <c r="T1654" s="2" t="s">
        <v>44</v>
      </c>
      <c r="U1654" s="14">
        <v>45714</v>
      </c>
      <c r="V1654" s="79">
        <v>45720</v>
      </c>
      <c r="W1654" s="26"/>
      <c r="X1654" s="2"/>
      <c r="Y1654" s="11"/>
      <c r="Z1654" s="2" t="s">
        <v>36</v>
      </c>
      <c r="AA1654" s="13">
        <v>-0.37739</v>
      </c>
      <c r="AB1654" s="13" t="s">
        <v>10372</v>
      </c>
    </row>
    <row r="1655" spans="1:28" ht="15" customHeight="1">
      <c r="A1655" s="2" t="s">
        <v>9294</v>
      </c>
      <c r="B1655" s="2" t="s">
        <v>28</v>
      </c>
      <c r="C1655" s="11" t="s">
        <v>2731</v>
      </c>
      <c r="D1655" s="2" t="s">
        <v>99</v>
      </c>
      <c r="E1655" s="2" t="s">
        <v>415</v>
      </c>
      <c r="F1655" s="11" t="s">
        <v>3210</v>
      </c>
      <c r="G1655" s="21">
        <v>34626811021</v>
      </c>
      <c r="H1655" s="2" t="s">
        <v>2199</v>
      </c>
      <c r="I1655" s="12" t="s">
        <v>2473</v>
      </c>
      <c r="J1655" s="22">
        <f>+Tabla1[[#This Row],[FECHA ENTRADA]]</f>
        <v>45714</v>
      </c>
      <c r="K1655" s="22">
        <v>45821</v>
      </c>
      <c r="L1655" s="23">
        <f>_xlfn.DAYS(Tabla1[[#This Row],[FECHA FIN ]],Tabla1[[#This Row],[FECHA INICIO]])</f>
        <v>107</v>
      </c>
      <c r="M1655" s="12"/>
      <c r="N1655" s="20"/>
      <c r="O1655" s="24">
        <f>(Tabla1[[#This Row],[COSTO FIJO ]]/30)*Tabla1[[#This Row],[TOTAL DIAS PROYECTO]]+(Tabla1[[#This Row],[COSTO TEMPORAL]])</f>
        <v>0</v>
      </c>
      <c r="P1655" s="12">
        <f>542.69/4</f>
        <v>135.67250000000001</v>
      </c>
      <c r="Q1655" s="12">
        <f>+(Tabla1[[#This Row],[COSTO COCHE]]/30)*Tabla1[[#This Row],[TOTAL DIAS PROYECTO]]</f>
        <v>483.89858333333342</v>
      </c>
      <c r="R1655" s="12">
        <f>+Tabla1[[#This Row],[COSTO TOTAL ALOJAMIENTO]]+Tabla1[[#This Row],[COSTO TOTAL COCHE]]</f>
        <v>483.89858333333342</v>
      </c>
      <c r="S1655" s="2"/>
      <c r="T1655" s="2" t="s">
        <v>44</v>
      </c>
      <c r="U1655" s="14">
        <v>45714</v>
      </c>
      <c r="V1655" s="79">
        <v>45720</v>
      </c>
      <c r="W1655" s="26"/>
      <c r="X1655" s="2"/>
      <c r="Y1655" s="11"/>
      <c r="Z1655" s="2" t="s">
        <v>36</v>
      </c>
      <c r="AA1655" s="13">
        <v>-0.37739</v>
      </c>
      <c r="AB1655" s="13" t="s">
        <v>10372</v>
      </c>
    </row>
    <row r="1656" spans="1:28" ht="15" customHeight="1">
      <c r="A1656" s="2" t="s">
        <v>8838</v>
      </c>
      <c r="B1656" s="2" t="s">
        <v>368</v>
      </c>
      <c r="C1656" s="11" t="s">
        <v>965</v>
      </c>
      <c r="D1656" s="2" t="s">
        <v>30</v>
      </c>
      <c r="E1656" s="2" t="s">
        <v>31</v>
      </c>
      <c r="F1656" s="11" t="s">
        <v>715</v>
      </c>
      <c r="G1656" s="11" t="s">
        <v>716</v>
      </c>
      <c r="H1656" s="2" t="s">
        <v>2893</v>
      </c>
      <c r="I1656" s="12" t="s">
        <v>1104</v>
      </c>
      <c r="J1656" s="8">
        <f>+Tabla1[[#This Row],[FECHA ENTRADA]]</f>
        <v>45628</v>
      </c>
      <c r="K1656" s="22">
        <v>45821</v>
      </c>
      <c r="L1656" s="13">
        <f>_xlfn.DAYS(Tabla1[[#This Row],[FECHA FIN ]],Tabla1[[#This Row],[FECHA INICIO]])</f>
        <v>193</v>
      </c>
      <c r="M1656" s="12"/>
      <c r="N1656" s="12">
        <v>160</v>
      </c>
      <c r="O1656" s="12">
        <f>(Tabla1[[#This Row],[COSTO FIJO ]]/30)*Tabla1[[#This Row],[TOTAL DIAS PROYECTO]]+(Tabla1[[#This Row],[COSTO TEMPORAL]])</f>
        <v>1029.3333333333333</v>
      </c>
      <c r="P1656" s="12"/>
      <c r="Q1656" s="12">
        <f>+(Tabla1[[#This Row],[COSTO COCHE]]/30)*Tabla1[[#This Row],[TOTAL DIAS PROYECTO]]</f>
        <v>0</v>
      </c>
      <c r="R1656" s="12">
        <f>+Tabla1[[#This Row],[COSTO TOTAL ALOJAMIENTO]]+Tabla1[[#This Row],[COSTO TOTAL COCHE]]</f>
        <v>1029.3333333333333</v>
      </c>
      <c r="S1656" s="2"/>
      <c r="T1656" s="2" t="s">
        <v>35</v>
      </c>
      <c r="U1656" s="14">
        <v>45628</v>
      </c>
      <c r="V1656" s="14"/>
      <c r="W1656" s="26"/>
      <c r="X1656" s="2"/>
      <c r="Y1656" s="11"/>
      <c r="Z1656" s="2" t="s">
        <v>36</v>
      </c>
      <c r="AA1656" s="13" t="s">
        <v>10323</v>
      </c>
      <c r="AB1656" s="13" t="s">
        <v>10324</v>
      </c>
    </row>
    <row r="1657" spans="1:28" ht="15" customHeight="1">
      <c r="A1657" s="2" t="s">
        <v>9376</v>
      </c>
      <c r="B1657" s="2" t="s">
        <v>368</v>
      </c>
      <c r="C1657" s="11" t="s">
        <v>2976</v>
      </c>
      <c r="D1657" s="2" t="s">
        <v>78</v>
      </c>
      <c r="E1657" s="2" t="s">
        <v>1297</v>
      </c>
      <c r="F1657" s="11" t="s">
        <v>3211</v>
      </c>
      <c r="G1657" s="46" t="s">
        <v>1299</v>
      </c>
      <c r="H1657" s="2" t="s">
        <v>1300</v>
      </c>
      <c r="I1657" s="29" t="s">
        <v>1301</v>
      </c>
      <c r="J1657" s="41">
        <f>+Tabla1[[#This Row],[FECHA ENTRADA]]</f>
        <v>45662</v>
      </c>
      <c r="K1657" s="22">
        <v>45821</v>
      </c>
      <c r="L1657" s="42">
        <f>_xlfn.DAYS(Tabla1[[#This Row],[FECHA FIN ]],Tabla1[[#This Row],[FECHA INICIO]])</f>
        <v>159</v>
      </c>
      <c r="M1657" s="12"/>
      <c r="N1657" s="12">
        <f>1811.6/17</f>
        <v>106.56470588235294</v>
      </c>
      <c r="O1657" s="28">
        <f>(Tabla1[[#This Row],[COSTO FIJO ]]/30)*Tabla1[[#This Row],[TOTAL DIAS PROYECTO]]+(Tabla1[[#This Row],[COSTO TEMPORAL]])</f>
        <v>564.79294117647055</v>
      </c>
      <c r="P1657" s="12">
        <v>80</v>
      </c>
      <c r="Q1657" s="12">
        <f>+(Tabla1[[#This Row],[COSTO COCHE]]/30)*Tabla1[[#This Row],[TOTAL DIAS PROYECTO]]</f>
        <v>424</v>
      </c>
      <c r="R1657" s="12">
        <f>+Tabla1[[#This Row],[COSTO TOTAL ALOJAMIENTO]]+Tabla1[[#This Row],[COSTO TOTAL COCHE]]</f>
        <v>988.79294117647055</v>
      </c>
      <c r="S1657" s="2"/>
      <c r="T1657" s="2" t="s">
        <v>44</v>
      </c>
      <c r="U1657" s="14">
        <v>45662</v>
      </c>
      <c r="V1657" s="43">
        <v>45721</v>
      </c>
      <c r="W1657" s="26"/>
      <c r="X1657" s="2"/>
      <c r="Y1657" s="11"/>
      <c r="Z1657" s="2" t="s">
        <v>36</v>
      </c>
      <c r="AA1657" s="13" t="s">
        <v>10414</v>
      </c>
      <c r="AB1657" s="13">
        <v>5094783</v>
      </c>
    </row>
    <row r="1658" spans="1:28" ht="15" customHeight="1">
      <c r="A1658" s="2" t="s">
        <v>9377</v>
      </c>
      <c r="B1658" s="2" t="s">
        <v>368</v>
      </c>
      <c r="C1658" s="87" t="s">
        <v>2977</v>
      </c>
      <c r="D1658" s="2" t="s">
        <v>78</v>
      </c>
      <c r="E1658" s="2" t="s">
        <v>1297</v>
      </c>
      <c r="F1658" s="11" t="s">
        <v>3211</v>
      </c>
      <c r="G1658" s="46" t="s">
        <v>1299</v>
      </c>
      <c r="H1658" s="2" t="s">
        <v>1300</v>
      </c>
      <c r="I1658" s="29" t="s">
        <v>1301</v>
      </c>
      <c r="J1658" s="41">
        <f>+Tabla1[[#This Row],[FECHA ENTRADA]]</f>
        <v>45662</v>
      </c>
      <c r="K1658" s="22">
        <v>45821</v>
      </c>
      <c r="L1658" s="42">
        <f>_xlfn.DAYS(Tabla1[[#This Row],[FECHA FIN ]],Tabla1[[#This Row],[FECHA INICIO]])</f>
        <v>159</v>
      </c>
      <c r="M1658" s="12"/>
      <c r="N1658" s="20"/>
      <c r="O1658" s="28">
        <f>(Tabla1[[#This Row],[COSTO FIJO ]]/30)*Tabla1[[#This Row],[TOTAL DIAS PROYECTO]]+(Tabla1[[#This Row],[COSTO TEMPORAL]])</f>
        <v>0</v>
      </c>
      <c r="P1658" s="12">
        <v>80</v>
      </c>
      <c r="Q1658" s="12">
        <f>+(Tabla1[[#This Row],[COSTO COCHE]]/30)*Tabla1[[#This Row],[TOTAL DIAS PROYECTO]]</f>
        <v>424</v>
      </c>
      <c r="R1658" s="12">
        <f>+Tabla1[[#This Row],[COSTO TOTAL ALOJAMIENTO]]+Tabla1[[#This Row],[COSTO TOTAL COCHE]]</f>
        <v>424</v>
      </c>
      <c r="S1658" s="2"/>
      <c r="T1658" s="2" t="s">
        <v>44</v>
      </c>
      <c r="U1658" s="14">
        <v>45662</v>
      </c>
      <c r="V1658" s="43">
        <v>45721</v>
      </c>
      <c r="W1658" s="26"/>
      <c r="X1658" s="2"/>
      <c r="Y1658" s="11"/>
      <c r="Z1658" s="2" t="s">
        <v>36</v>
      </c>
      <c r="AA1658" s="13" t="s">
        <v>10414</v>
      </c>
      <c r="AB1658" s="13">
        <v>5094783</v>
      </c>
    </row>
    <row r="1659" spans="1:28" ht="15" customHeight="1">
      <c r="A1659" s="2" t="s">
        <v>9446</v>
      </c>
      <c r="B1659" s="2" t="s">
        <v>28</v>
      </c>
      <c r="C1659" s="11" t="s">
        <v>3212</v>
      </c>
      <c r="D1659" s="2" t="s">
        <v>30</v>
      </c>
      <c r="E1659" s="2" t="s">
        <v>3213</v>
      </c>
      <c r="F1659" s="11" t="s">
        <v>3214</v>
      </c>
      <c r="G1659" s="49">
        <v>982255089</v>
      </c>
      <c r="H1659" s="2" t="s">
        <v>3215</v>
      </c>
      <c r="I1659" s="12" t="s">
        <v>3216</v>
      </c>
      <c r="J1659" s="22">
        <f>+Tabla1[[#This Row],[FECHA ENTRADA]]</f>
        <v>45720</v>
      </c>
      <c r="K1659" s="22">
        <v>45821</v>
      </c>
      <c r="L1659" s="23">
        <f>_xlfn.DAYS(Tabla1[[#This Row],[FECHA FIN ]],Tabla1[[#This Row],[FECHA INICIO]])</f>
        <v>101</v>
      </c>
      <c r="M1659" s="12"/>
      <c r="N1659" s="12"/>
      <c r="O1659" s="24">
        <f>(Tabla1[[#This Row],[COSTO FIJO ]]/30)*Tabla1[[#This Row],[TOTAL DIAS PROYECTO]]+(Tabla1[[#This Row],[COSTO TEMPORAL]])</f>
        <v>0</v>
      </c>
      <c r="P1659" s="12"/>
      <c r="Q1659" s="12">
        <f>+(Tabla1[[#This Row],[COSTO COCHE]]/30)*Tabla1[[#This Row],[TOTAL DIAS PROYECTO]]</f>
        <v>0</v>
      </c>
      <c r="R1659" s="12">
        <f>+Tabla1[[#This Row],[COSTO TOTAL ALOJAMIENTO]]+Tabla1[[#This Row],[COSTO TOTAL COCHE]]</f>
        <v>0</v>
      </c>
      <c r="S1659" s="2"/>
      <c r="T1659" s="2" t="s">
        <v>44</v>
      </c>
      <c r="U1659" s="14">
        <v>45720</v>
      </c>
      <c r="V1659" s="25">
        <v>45722</v>
      </c>
      <c r="W1659" s="26"/>
      <c r="X1659" s="2"/>
      <c r="Y1659" s="11" t="s">
        <v>1166</v>
      </c>
      <c r="Z1659" s="2" t="s">
        <v>36</v>
      </c>
      <c r="AA1659" s="13" t="s">
        <v>10440</v>
      </c>
      <c r="AB1659" s="13" t="s">
        <v>10441</v>
      </c>
    </row>
    <row r="1660" spans="1:28" ht="15" customHeight="1">
      <c r="A1660" s="2" t="s">
        <v>8638</v>
      </c>
      <c r="B1660" s="2" t="s">
        <v>28</v>
      </c>
      <c r="C1660" s="11" t="s">
        <v>2181</v>
      </c>
      <c r="D1660" s="2" t="s">
        <v>30</v>
      </c>
      <c r="E1660" s="2" t="s">
        <v>422</v>
      </c>
      <c r="F1660" s="11" t="s">
        <v>2997</v>
      </c>
      <c r="G1660" s="49">
        <v>699109800</v>
      </c>
      <c r="H1660" s="2" t="s">
        <v>3217</v>
      </c>
      <c r="I1660" s="12" t="s">
        <v>2454</v>
      </c>
      <c r="J1660" s="41">
        <f>+Tabla1[[#This Row],[FECHA ENTRADA]]</f>
        <v>45790</v>
      </c>
      <c r="K1660" s="22">
        <v>45792</v>
      </c>
      <c r="L1660" s="23">
        <f>_xlfn.DAYS(Tabla1[[#This Row],[FECHA FIN ]],Tabla1[[#This Row],[FECHA INICIO]])</f>
        <v>2</v>
      </c>
      <c r="M1660" s="12">
        <v>54</v>
      </c>
      <c r="N1660" s="24"/>
      <c r="O1660" s="24">
        <f>(Tabla1[[#This Row],[COSTO FIJO ]]/30)*Tabla1[[#This Row],[TOTAL DIAS PROYECTO]]+(Tabla1[[#This Row],[COSTO TEMPORAL]])</f>
        <v>54</v>
      </c>
      <c r="P1660" s="12"/>
      <c r="Q1660" s="12">
        <f>+(Tabla1[[#This Row],[COSTO COCHE]]/30)*Tabla1[[#This Row],[TOTAL DIAS PROYECTO]]</f>
        <v>0</v>
      </c>
      <c r="R1660" s="12">
        <f>+Tabla1[[#This Row],[COSTO TOTAL ALOJAMIENTO]]+Tabla1[[#This Row],[COSTO TOTAL COCHE]]</f>
        <v>54</v>
      </c>
      <c r="S1660" s="2"/>
      <c r="T1660" s="14" t="s">
        <v>44</v>
      </c>
      <c r="U1660" s="14">
        <v>45790</v>
      </c>
      <c r="V1660" s="25">
        <v>45793</v>
      </c>
      <c r="W1660" s="2"/>
      <c r="X1660" s="2"/>
      <c r="Y1660" s="11" t="s">
        <v>1166</v>
      </c>
      <c r="Z1660" s="2" t="s">
        <v>36</v>
      </c>
      <c r="AA1660" s="13">
        <v>-326.69799999999998</v>
      </c>
      <c r="AB1660" s="13" t="s">
        <v>10373</v>
      </c>
    </row>
    <row r="1661" spans="1:28" ht="15" customHeight="1">
      <c r="A1661" s="2" t="s">
        <v>9447</v>
      </c>
      <c r="B1661" s="2" t="s">
        <v>28</v>
      </c>
      <c r="C1661" s="11" t="s">
        <v>3218</v>
      </c>
      <c r="D1661" s="2" t="s">
        <v>99</v>
      </c>
      <c r="E1661" s="2" t="s">
        <v>213</v>
      </c>
      <c r="F1661" s="11" t="s">
        <v>1711</v>
      </c>
      <c r="G1661" s="112" t="s">
        <v>1712</v>
      </c>
      <c r="H1661" s="2" t="s">
        <v>1713</v>
      </c>
      <c r="I1661" s="12" t="s">
        <v>1627</v>
      </c>
      <c r="J1661" s="41">
        <f>+Tabla1[[#This Row],[FECHA ENTRADA]]</f>
        <v>45718</v>
      </c>
      <c r="K1661" s="22">
        <v>45821</v>
      </c>
      <c r="L1661" s="42">
        <f>_xlfn.DAYS(Tabla1[[#This Row],[FECHA FIN ]],Tabla1[[#This Row],[FECHA INICIO]])</f>
        <v>103</v>
      </c>
      <c r="M1661" s="12"/>
      <c r="N1661" s="24"/>
      <c r="O1661" s="28">
        <f>(Tabla1[[#This Row],[COSTO FIJO ]]/30)*Tabla1[[#This Row],[TOTAL DIAS PROYECTO]]+(Tabla1[[#This Row],[COSTO TEMPORAL]])</f>
        <v>0</v>
      </c>
      <c r="P1661" s="12"/>
      <c r="Q1661" s="12">
        <f>+(Tabla1[[#This Row],[COSTO COCHE]]/30)*Tabla1[[#This Row],[TOTAL DIAS PROYECTO]]</f>
        <v>0</v>
      </c>
      <c r="R1661" s="12">
        <f>+Tabla1[[#This Row],[COSTO TOTAL ALOJAMIENTO]]+Tabla1[[#This Row],[COSTO TOTAL COCHE]]</f>
        <v>0</v>
      </c>
      <c r="S1661" s="26" t="s">
        <v>403</v>
      </c>
      <c r="T1661" s="2" t="s">
        <v>44</v>
      </c>
      <c r="U1661" s="14">
        <v>45718</v>
      </c>
      <c r="V1661" s="43">
        <v>45725</v>
      </c>
      <c r="W1661" s="2"/>
      <c r="X1661" s="2"/>
      <c r="Y1661" s="11"/>
      <c r="Z1661" s="2" t="s">
        <v>36</v>
      </c>
      <c r="AA1661" s="13" t="s">
        <v>10349</v>
      </c>
      <c r="AB1661" s="13" t="s">
        <v>10350</v>
      </c>
    </row>
    <row r="1662" spans="1:28" ht="15" customHeight="1">
      <c r="A1662" s="2" t="s">
        <v>9448</v>
      </c>
      <c r="B1662" s="2" t="s">
        <v>28</v>
      </c>
      <c r="C1662" s="11" t="s">
        <v>3219</v>
      </c>
      <c r="D1662" s="2" t="s">
        <v>30</v>
      </c>
      <c r="E1662" s="2" t="s">
        <v>422</v>
      </c>
      <c r="F1662" s="11" t="s">
        <v>2997</v>
      </c>
      <c r="G1662" s="49">
        <v>699109800</v>
      </c>
      <c r="H1662" s="2" t="s">
        <v>3217</v>
      </c>
      <c r="I1662" s="12" t="s">
        <v>2454</v>
      </c>
      <c r="J1662" s="41">
        <f>+Tabla1[[#This Row],[FECHA ENTRADA]]</f>
        <v>45790</v>
      </c>
      <c r="K1662" s="22">
        <v>45821</v>
      </c>
      <c r="L1662" s="23">
        <f>_xlfn.DAYS(Tabla1[[#This Row],[FECHA FIN ]],Tabla1[[#This Row],[FECHA INICIO]])</f>
        <v>31</v>
      </c>
      <c r="M1662" s="12"/>
      <c r="N1662" s="12">
        <v>54</v>
      </c>
      <c r="O1662" s="24">
        <f>(Tabla1[[#This Row],[COSTO FIJO ]]/30)*Tabla1[[#This Row],[TOTAL DIAS PROYECTO]]+(Tabla1[[#This Row],[COSTO TEMPORAL]])</f>
        <v>55.800000000000004</v>
      </c>
      <c r="P1662" s="12"/>
      <c r="Q1662" s="12">
        <f>+(Tabla1[[#This Row],[COSTO COCHE]]/30)*Tabla1[[#This Row],[TOTAL DIAS PROYECTO]]</f>
        <v>0</v>
      </c>
      <c r="R1662" s="12">
        <f>+Tabla1[[#This Row],[COSTO TOTAL ALOJAMIENTO]]+Tabla1[[#This Row],[COSTO TOTAL COCHE]]</f>
        <v>55.800000000000004</v>
      </c>
      <c r="S1662" s="2"/>
      <c r="T1662" s="14" t="s">
        <v>44</v>
      </c>
      <c r="U1662" s="14">
        <v>45790</v>
      </c>
      <c r="V1662" s="25">
        <v>45793</v>
      </c>
      <c r="W1662" s="2"/>
      <c r="X1662" s="2"/>
      <c r="Y1662" s="11" t="s">
        <v>1166</v>
      </c>
      <c r="Z1662" s="2" t="s">
        <v>36</v>
      </c>
      <c r="AA1662" s="13">
        <v>-326.69799999999998</v>
      </c>
      <c r="AB1662" s="13" t="s">
        <v>10373</v>
      </c>
    </row>
    <row r="1663" spans="1:28" ht="15" customHeight="1">
      <c r="A1663" s="2" t="s">
        <v>9449</v>
      </c>
      <c r="B1663" s="2" t="s">
        <v>28</v>
      </c>
      <c r="C1663" s="11" t="s">
        <v>3220</v>
      </c>
      <c r="D1663" s="2" t="s">
        <v>161</v>
      </c>
      <c r="E1663" s="2" t="s">
        <v>1748</v>
      </c>
      <c r="F1663" s="11"/>
      <c r="G1663" s="49"/>
      <c r="H1663" s="2" t="s">
        <v>1923</v>
      </c>
      <c r="I1663" t="s">
        <v>1750</v>
      </c>
      <c r="J1663" s="22">
        <f>+Tabla1[[#This Row],[FECHA ENTRADA]]</f>
        <v>45705</v>
      </c>
      <c r="K1663" s="22">
        <v>45821</v>
      </c>
      <c r="L1663" s="23">
        <f>_xlfn.DAYS(Tabla1[[#This Row],[FECHA FIN ]],Tabla1[[#This Row],[FECHA INICIO]])</f>
        <v>116</v>
      </c>
      <c r="M1663" s="12"/>
      <c r="N1663" s="12">
        <v>300</v>
      </c>
      <c r="O1663" s="24">
        <f>(Tabla1[[#This Row],[COSTO FIJO ]]/30)*Tabla1[[#This Row],[TOTAL DIAS PROYECTO]]+(Tabla1[[#This Row],[COSTO TEMPORAL]])</f>
        <v>1160</v>
      </c>
      <c r="P1663" s="12"/>
      <c r="Q1663" s="12">
        <f>+(Tabla1[[#This Row],[COSTO COCHE]]/30)*Tabla1[[#This Row],[TOTAL DIAS PROYECTO]]</f>
        <v>0</v>
      </c>
      <c r="R1663" s="12">
        <f>+Tabla1[[#This Row],[COSTO TOTAL ALOJAMIENTO]]+Tabla1[[#This Row],[COSTO TOTAL COCHE]]</f>
        <v>1160</v>
      </c>
      <c r="S1663" s="2"/>
      <c r="T1663" s="2" t="s">
        <v>58</v>
      </c>
      <c r="U1663" s="14">
        <v>45705</v>
      </c>
      <c r="V1663" s="25"/>
      <c r="W1663" s="26"/>
      <c r="X1663" s="2"/>
      <c r="Y1663" s="11"/>
      <c r="Z1663" s="2" t="s">
        <v>36</v>
      </c>
      <c r="AA1663" s="13" t="s">
        <v>10428</v>
      </c>
      <c r="AB1663" s="13" t="s">
        <v>10429</v>
      </c>
    </row>
    <row r="1664" spans="1:28" ht="15" customHeight="1">
      <c r="A1664" s="2" t="s">
        <v>9439</v>
      </c>
      <c r="B1664" s="2" t="s">
        <v>28</v>
      </c>
      <c r="C1664" s="104" t="s">
        <v>3181</v>
      </c>
      <c r="D1664" s="2" t="s">
        <v>99</v>
      </c>
      <c r="E1664" s="2" t="s">
        <v>939</v>
      </c>
      <c r="F1664" s="11" t="s">
        <v>2440</v>
      </c>
      <c r="G1664" s="49" t="s">
        <v>2441</v>
      </c>
      <c r="H1664" s="2" t="s">
        <v>3221</v>
      </c>
      <c r="I1664" s="12" t="s">
        <v>3185</v>
      </c>
      <c r="J1664" s="22">
        <f>+Tabla1[[#This Row],[FECHA ENTRADA]]</f>
        <v>45716</v>
      </c>
      <c r="K1664" s="22">
        <v>45821</v>
      </c>
      <c r="L1664" s="23">
        <f>_xlfn.DAYS(Tabla1[[#This Row],[FECHA FIN ]],Tabla1[[#This Row],[FECHA INICIO]])</f>
        <v>105</v>
      </c>
      <c r="M1664" s="12"/>
      <c r="N1664" s="12">
        <f>1811.6/17</f>
        <v>106.56470588235294</v>
      </c>
      <c r="O1664" s="24">
        <f>(Tabla1[[#This Row],[COSTO FIJO ]]/30)*Tabla1[[#This Row],[TOTAL DIAS PROYECTO]]+(Tabla1[[#This Row],[COSTO TEMPORAL]])</f>
        <v>372.97647058823532</v>
      </c>
      <c r="P1664" s="12"/>
      <c r="Q1664" s="12">
        <f>+(Tabla1[[#This Row],[COSTO COCHE]]/30)*Tabla1[[#This Row],[TOTAL DIAS PROYECTO]]</f>
        <v>0</v>
      </c>
      <c r="R1664" s="12">
        <f>+Tabla1[[#This Row],[COSTO TOTAL ALOJAMIENTO]]+Tabla1[[#This Row],[COSTO TOTAL COCHE]]</f>
        <v>372.97647058823532</v>
      </c>
      <c r="S1664" s="2"/>
      <c r="T1664" s="2" t="s">
        <v>44</v>
      </c>
      <c r="U1664" s="14">
        <v>45716</v>
      </c>
      <c r="V1664" s="25">
        <v>45726</v>
      </c>
      <c r="W1664" s="26"/>
      <c r="X1664" s="2"/>
      <c r="Y1664" s="11"/>
      <c r="Z1664" s="2" t="s">
        <v>36</v>
      </c>
      <c r="AA1664" s="13" t="s">
        <v>10405</v>
      </c>
      <c r="AB1664" s="13" t="s">
        <v>10406</v>
      </c>
    </row>
    <row r="1665" spans="1:28" ht="15" customHeight="1">
      <c r="A1665" s="2" t="s">
        <v>9446</v>
      </c>
      <c r="B1665" s="2" t="s">
        <v>28</v>
      </c>
      <c r="C1665" s="11" t="s">
        <v>3212</v>
      </c>
      <c r="D1665" s="2" t="s">
        <v>30</v>
      </c>
      <c r="E1665" s="2" t="s">
        <v>3213</v>
      </c>
      <c r="F1665" s="11" t="s">
        <v>3222</v>
      </c>
      <c r="G1665" s="46" t="s">
        <v>3223</v>
      </c>
      <c r="H1665" s="2" t="s">
        <v>3215</v>
      </c>
      <c r="I1665" s="12" t="s">
        <v>3216</v>
      </c>
      <c r="J1665" s="41">
        <f>+Tabla1[[#This Row],[FECHA ENTRADA]]</f>
        <v>45722</v>
      </c>
      <c r="K1665" s="22">
        <v>45821</v>
      </c>
      <c r="L1665" s="42">
        <f>_xlfn.DAYS(Tabla1[[#This Row],[FECHA FIN ]],Tabla1[[#This Row],[FECHA INICIO]])</f>
        <v>99</v>
      </c>
      <c r="M1665" s="12"/>
      <c r="N1665" s="12"/>
      <c r="O1665" s="28">
        <f>(Tabla1[[#This Row],[COSTO FIJO ]]/30)*Tabla1[[#This Row],[TOTAL DIAS PROYECTO]]+(Tabla1[[#This Row],[COSTO TEMPORAL]])</f>
        <v>0</v>
      </c>
      <c r="P1665" s="12"/>
      <c r="Q1665" s="12">
        <f>+(Tabla1[[#This Row],[COSTO COCHE]]/30)*Tabla1[[#This Row],[TOTAL DIAS PROYECTO]]</f>
        <v>0</v>
      </c>
      <c r="R1665" s="12">
        <f>+Tabla1[[#This Row],[COSTO TOTAL ALOJAMIENTO]]+Tabla1[[#This Row],[COSTO TOTAL COCHE]]</f>
        <v>0</v>
      </c>
      <c r="S1665" s="2" t="s">
        <v>84</v>
      </c>
      <c r="T1665" s="2" t="s">
        <v>44</v>
      </c>
      <c r="U1665" s="14">
        <v>45722</v>
      </c>
      <c r="V1665" s="43">
        <v>45728</v>
      </c>
      <c r="W1665" s="26"/>
      <c r="X1665" s="2"/>
      <c r="Y1665" s="11" t="s">
        <v>1166</v>
      </c>
      <c r="Z1665" s="2" t="s">
        <v>36</v>
      </c>
      <c r="AA1665" s="13" t="s">
        <v>10440</v>
      </c>
      <c r="AB1665" s="13" t="s">
        <v>10441</v>
      </c>
    </row>
    <row r="1666" spans="1:28" ht="15" customHeight="1">
      <c r="A1666" s="2" t="s">
        <v>9450</v>
      </c>
      <c r="B1666" s="2" t="s">
        <v>368</v>
      </c>
      <c r="C1666" s="104" t="s">
        <v>3224</v>
      </c>
      <c r="D1666" s="2" t="s">
        <v>30</v>
      </c>
      <c r="E1666" s="2" t="s">
        <v>87</v>
      </c>
      <c r="F1666" s="11" t="s">
        <v>1740</v>
      </c>
      <c r="G1666" s="46">
        <v>916607649</v>
      </c>
      <c r="H1666" s="2" t="s">
        <v>1741</v>
      </c>
      <c r="I1666" s="12" t="s">
        <v>1288</v>
      </c>
      <c r="J1666" s="41">
        <f>+Tabla1[[#This Row],[FECHA ENTRADA]]</f>
        <v>45721</v>
      </c>
      <c r="K1666" s="22">
        <v>45821</v>
      </c>
      <c r="L1666" s="42">
        <f>_xlfn.DAYS(Tabla1[[#This Row],[FECHA FIN ]],Tabla1[[#This Row],[FECHA INICIO]])</f>
        <v>100</v>
      </c>
      <c r="M1666" s="12"/>
      <c r="N1666" s="12"/>
      <c r="O1666" s="28">
        <f>(Tabla1[[#This Row],[COSTO FIJO ]]/30)*Tabla1[[#This Row],[TOTAL DIAS PROYECTO]]+(Tabla1[[#This Row],[COSTO TEMPORAL]])</f>
        <v>0</v>
      </c>
      <c r="P1666" s="12"/>
      <c r="Q1666" s="12">
        <f>+(Tabla1[[#This Row],[COSTO COCHE]]/30)*Tabla1[[#This Row],[TOTAL DIAS PROYECTO]]</f>
        <v>0</v>
      </c>
      <c r="R1666" s="12">
        <f>+Tabla1[[#This Row],[COSTO TOTAL ALOJAMIENTO]]+Tabla1[[#This Row],[COSTO TOTAL COCHE]]</f>
        <v>0</v>
      </c>
      <c r="S1666" s="2"/>
      <c r="T1666" s="2" t="s">
        <v>44</v>
      </c>
      <c r="U1666" s="14">
        <v>45721</v>
      </c>
      <c r="V1666" s="43">
        <v>45728</v>
      </c>
      <c r="W1666" s="26"/>
      <c r="X1666" s="2"/>
      <c r="Y1666" s="11"/>
      <c r="Z1666" s="2" t="s">
        <v>36</v>
      </c>
      <c r="AA1666" s="13" t="s">
        <v>10335</v>
      </c>
      <c r="AB1666" s="13">
        <v>404.16500000000002</v>
      </c>
    </row>
    <row r="1667" spans="1:28" ht="15" customHeight="1">
      <c r="A1667" s="2" t="s">
        <v>9328</v>
      </c>
      <c r="B1667" s="2" t="s">
        <v>368</v>
      </c>
      <c r="C1667" s="11" t="s">
        <v>2837</v>
      </c>
      <c r="D1667" s="2" t="s">
        <v>30</v>
      </c>
      <c r="E1667" s="2" t="s">
        <v>87</v>
      </c>
      <c r="F1667" s="11" t="s">
        <v>1740</v>
      </c>
      <c r="G1667" s="46">
        <v>916607649</v>
      </c>
      <c r="H1667" s="2" t="s">
        <v>1741</v>
      </c>
      <c r="I1667" s="12" t="s">
        <v>1288</v>
      </c>
      <c r="J1667" s="41">
        <f>+Tabla1[[#This Row],[FECHA ENTRADA]]</f>
        <v>45721</v>
      </c>
      <c r="K1667" s="22">
        <v>45821</v>
      </c>
      <c r="L1667" s="42">
        <f>_xlfn.DAYS(Tabla1[[#This Row],[FECHA FIN ]],Tabla1[[#This Row],[FECHA INICIO]])</f>
        <v>100</v>
      </c>
      <c r="M1667" s="12"/>
      <c r="N1667" s="12">
        <f>1811.6/17</f>
        <v>106.56470588235294</v>
      </c>
      <c r="O1667" s="28">
        <f>(Tabla1[[#This Row],[COSTO FIJO ]]/30)*Tabla1[[#This Row],[TOTAL DIAS PROYECTO]]+(Tabla1[[#This Row],[COSTO TEMPORAL]])</f>
        <v>355.21568627450984</v>
      </c>
      <c r="P1667" s="12"/>
      <c r="Q1667" s="12">
        <f>+(Tabla1[[#This Row],[COSTO COCHE]]/30)*Tabla1[[#This Row],[TOTAL DIAS PROYECTO]]</f>
        <v>0</v>
      </c>
      <c r="R1667" s="12">
        <f>+Tabla1[[#This Row],[COSTO TOTAL ALOJAMIENTO]]+Tabla1[[#This Row],[COSTO TOTAL COCHE]]</f>
        <v>355.21568627450984</v>
      </c>
      <c r="S1667" s="2"/>
      <c r="T1667" s="2" t="s">
        <v>44</v>
      </c>
      <c r="U1667" s="14">
        <v>45721</v>
      </c>
      <c r="V1667" s="43">
        <v>45728</v>
      </c>
      <c r="W1667" s="26"/>
      <c r="X1667" s="2"/>
      <c r="Y1667" s="11"/>
      <c r="Z1667" s="2" t="s">
        <v>36</v>
      </c>
      <c r="AA1667" s="13" t="s">
        <v>10335</v>
      </c>
      <c r="AB1667" s="13">
        <v>404.16500000000002</v>
      </c>
    </row>
    <row r="1668" spans="1:28" ht="15" customHeight="1">
      <c r="A1668" s="2" t="s">
        <v>9415</v>
      </c>
      <c r="B1668" s="2" t="s">
        <v>368</v>
      </c>
      <c r="C1668" s="11" t="s">
        <v>3099</v>
      </c>
      <c r="D1668" s="2" t="s">
        <v>30</v>
      </c>
      <c r="E1668" s="2" t="s">
        <v>87</v>
      </c>
      <c r="F1668" s="11" t="s">
        <v>1740</v>
      </c>
      <c r="G1668" s="46">
        <v>916607649</v>
      </c>
      <c r="H1668" s="2" t="s">
        <v>1741</v>
      </c>
      <c r="I1668" s="12" t="s">
        <v>1288</v>
      </c>
      <c r="J1668" s="41">
        <f>+Tabla1[[#This Row],[FECHA ENTRADA]]</f>
        <v>45721</v>
      </c>
      <c r="K1668" s="22">
        <v>45821</v>
      </c>
      <c r="L1668" s="42">
        <f>_xlfn.DAYS(Tabla1[[#This Row],[FECHA FIN ]],Tabla1[[#This Row],[FECHA INICIO]])</f>
        <v>100</v>
      </c>
      <c r="M1668" s="12"/>
      <c r="N1668" s="28"/>
      <c r="O1668" s="28">
        <f>(Tabla1[[#This Row],[COSTO FIJO ]]/30)*Tabla1[[#This Row],[TOTAL DIAS PROYECTO]]+(Tabla1[[#This Row],[COSTO TEMPORAL]])</f>
        <v>0</v>
      </c>
      <c r="P1668" s="12"/>
      <c r="Q1668" s="12">
        <f>+(Tabla1[[#This Row],[COSTO COCHE]]/30)*Tabla1[[#This Row],[TOTAL DIAS PROYECTO]]</f>
        <v>0</v>
      </c>
      <c r="R1668" s="12">
        <f>+Tabla1[[#This Row],[COSTO TOTAL ALOJAMIENTO]]+Tabla1[[#This Row],[COSTO TOTAL COCHE]]</f>
        <v>0</v>
      </c>
      <c r="S1668" s="2"/>
      <c r="T1668" s="2" t="s">
        <v>44</v>
      </c>
      <c r="U1668" s="14">
        <v>45721</v>
      </c>
      <c r="V1668" s="43">
        <v>45728</v>
      </c>
      <c r="W1668" s="26"/>
      <c r="X1668" s="2"/>
      <c r="Y1668" s="11"/>
      <c r="Z1668" s="2" t="s">
        <v>36</v>
      </c>
      <c r="AA1668" s="13" t="s">
        <v>10335</v>
      </c>
      <c r="AB1668" s="13">
        <v>404.16500000000002</v>
      </c>
    </row>
    <row r="1669" spans="1:28" ht="15" customHeight="1">
      <c r="A1669" s="2" t="s">
        <v>9451</v>
      </c>
      <c r="B1669" s="2" t="s">
        <v>368</v>
      </c>
      <c r="C1669" s="11" t="s">
        <v>3225</v>
      </c>
      <c r="D1669" s="2" t="s">
        <v>30</v>
      </c>
      <c r="E1669" s="2" t="s">
        <v>55</v>
      </c>
      <c r="F1669" s="11" t="s">
        <v>1319</v>
      </c>
      <c r="G1669" s="46" t="s">
        <v>1320</v>
      </c>
      <c r="H1669" s="2" t="s">
        <v>1622</v>
      </c>
      <c r="I1669" s="30" t="s">
        <v>1620</v>
      </c>
      <c r="J1669" s="41">
        <f>+Tabla1[[#This Row],[FECHA ENTRADA]]</f>
        <v>45669</v>
      </c>
      <c r="K1669" s="22">
        <v>45821</v>
      </c>
      <c r="L1669" s="42">
        <f>_xlfn.DAYS(Tabla1[[#This Row],[FECHA FIN ]],Tabla1[[#This Row],[FECHA INICIO]])</f>
        <v>152</v>
      </c>
      <c r="M1669" s="12"/>
      <c r="N1669" s="12">
        <f>1811.6/17</f>
        <v>106.56470588235294</v>
      </c>
      <c r="O1669" s="28">
        <f>(Tabla1[[#This Row],[COSTO FIJO ]]/30)*Tabla1[[#This Row],[TOTAL DIAS PROYECTO]]+(Tabla1[[#This Row],[COSTO TEMPORAL]])</f>
        <v>539.92784313725497</v>
      </c>
      <c r="P1669" s="12"/>
      <c r="Q1669" s="12"/>
      <c r="R1669" s="12">
        <f>+Tabla1[[#This Row],[COSTO TOTAL ALOJAMIENTO]]+Tabla1[[#This Row],[COSTO TOTAL COCHE]]</f>
        <v>539.92784313725497</v>
      </c>
      <c r="S1669" s="2"/>
      <c r="T1669" s="2" t="s">
        <v>44</v>
      </c>
      <c r="U1669" s="14">
        <v>45669</v>
      </c>
      <c r="V1669" s="43">
        <v>45670</v>
      </c>
      <c r="W1669" s="26"/>
      <c r="X1669" s="2"/>
      <c r="Y1669" s="11" t="s">
        <v>1166</v>
      </c>
      <c r="Z1669" s="2" t="s">
        <v>36</v>
      </c>
      <c r="AA1669" s="13" t="s">
        <v>10327</v>
      </c>
      <c r="AB1669" s="13" t="s">
        <v>10328</v>
      </c>
    </row>
    <row r="1670" spans="1:28" ht="15" customHeight="1">
      <c r="A1670" s="2" t="s">
        <v>9452</v>
      </c>
      <c r="B1670" s="2" t="s">
        <v>368</v>
      </c>
      <c r="C1670" s="52" t="s">
        <v>3226</v>
      </c>
      <c r="D1670" s="2" t="s">
        <v>30</v>
      </c>
      <c r="E1670" s="2" t="s">
        <v>55</v>
      </c>
      <c r="F1670" s="11" t="s">
        <v>1618</v>
      </c>
      <c r="G1670" s="46" t="s">
        <v>1619</v>
      </c>
      <c r="H1670" s="2" t="s">
        <v>1360</v>
      </c>
      <c r="I1670" s="30" t="s">
        <v>1620</v>
      </c>
      <c r="J1670" s="41">
        <f>+Tabla1[[#This Row],[FECHA ENTRADA]]</f>
        <v>45669</v>
      </c>
      <c r="K1670" s="22">
        <v>45821</v>
      </c>
      <c r="L1670" s="42">
        <f>_xlfn.DAYS(Tabla1[[#This Row],[FECHA FIN ]],Tabla1[[#This Row],[FECHA INICIO]])</f>
        <v>152</v>
      </c>
      <c r="M1670" s="12"/>
      <c r="N1670" s="12">
        <f>1811.6/17</f>
        <v>106.56470588235294</v>
      </c>
      <c r="O1670" s="28">
        <f>(Tabla1[[#This Row],[COSTO FIJO ]]/30)*Tabla1[[#This Row],[TOTAL DIAS PROYECTO]]+(Tabla1[[#This Row],[COSTO TEMPORAL]])</f>
        <v>539.92784313725497</v>
      </c>
      <c r="P1670" s="12"/>
      <c r="Q1670" s="12"/>
      <c r="R1670" s="12">
        <f>+Tabla1[[#This Row],[COSTO TOTAL ALOJAMIENTO]]+Tabla1[[#This Row],[COSTO TOTAL COCHE]]</f>
        <v>539.92784313725497</v>
      </c>
      <c r="S1670" s="2"/>
      <c r="T1670" s="2" t="s">
        <v>44</v>
      </c>
      <c r="U1670" s="14">
        <v>45669</v>
      </c>
      <c r="V1670" s="43">
        <v>45670</v>
      </c>
      <c r="W1670" s="26"/>
      <c r="X1670" s="2"/>
      <c r="Y1670" s="11" t="s">
        <v>1166</v>
      </c>
      <c r="Z1670" s="2" t="s">
        <v>36</v>
      </c>
      <c r="AA1670" s="13" t="s">
        <v>10327</v>
      </c>
      <c r="AB1670" s="13" t="s">
        <v>10328</v>
      </c>
    </row>
    <row r="1671" spans="1:28" ht="15" customHeight="1">
      <c r="A1671" s="2" t="s">
        <v>8949</v>
      </c>
      <c r="B1671" s="2" t="s">
        <v>368</v>
      </c>
      <c r="C1671" s="11" t="s">
        <v>1426</v>
      </c>
      <c r="D1671" s="2" t="s">
        <v>30</v>
      </c>
      <c r="E1671" s="2" t="s">
        <v>1987</v>
      </c>
      <c r="F1671" s="11" t="s">
        <v>3227</v>
      </c>
      <c r="G1671" s="49">
        <v>974470654</v>
      </c>
      <c r="H1671" s="2" t="s">
        <v>1990</v>
      </c>
      <c r="I1671" s="12" t="s">
        <v>42</v>
      </c>
      <c r="J1671" s="22">
        <f>+Tabla1[[#This Row],[FECHA ENTRADA]]</f>
        <v>45726</v>
      </c>
      <c r="K1671" s="22">
        <v>45730</v>
      </c>
      <c r="L1671" s="23">
        <f>_xlfn.DAYS(Tabla1[[#This Row],[FECHA FIN ]],Tabla1[[#This Row],[FECHA INICIO]])</f>
        <v>4</v>
      </c>
      <c r="M1671" s="12"/>
      <c r="N1671" s="24"/>
      <c r="O1671" s="24">
        <f>(Tabla1[[#This Row],[COSTO FIJO ]]/30)*Tabla1[[#This Row],[TOTAL DIAS PROYECTO]]+(Tabla1[[#This Row],[COSTO TEMPORAL]])</f>
        <v>0</v>
      </c>
      <c r="P1671" s="12"/>
      <c r="Q1671" s="12">
        <f>+(Tabla1[[#This Row],[COSTO COCHE]]/30)*Tabla1[[#This Row],[TOTAL DIAS PROYECTO]]</f>
        <v>0</v>
      </c>
      <c r="R1671" s="12">
        <f>+Tabla1[[#This Row],[COSTO TOTAL ALOJAMIENTO]]+Tabla1[[#This Row],[COSTO TOTAL COCHE]]</f>
        <v>0</v>
      </c>
      <c r="S1671" s="2"/>
      <c r="T1671" s="2" t="s">
        <v>44</v>
      </c>
      <c r="U1671" s="14">
        <v>45726</v>
      </c>
      <c r="V1671" s="25">
        <v>45729</v>
      </c>
      <c r="W1671" s="26"/>
      <c r="X1671" s="2"/>
      <c r="Y1671" s="11"/>
      <c r="Z1671" s="2" t="s">
        <v>36</v>
      </c>
      <c r="AA1671" s="13" t="s">
        <v>10435</v>
      </c>
      <c r="AB1671" s="13">
        <v>42.136150000000001</v>
      </c>
    </row>
    <row r="1672" spans="1:28" ht="15" customHeight="1">
      <c r="A1672" s="2" t="s">
        <v>9453</v>
      </c>
      <c r="B1672" s="2" t="s">
        <v>28</v>
      </c>
      <c r="C1672" s="11" t="s">
        <v>3228</v>
      </c>
      <c r="D1672" s="2" t="s">
        <v>30</v>
      </c>
      <c r="E1672" s="2" t="s">
        <v>502</v>
      </c>
      <c r="F1672" s="11" t="s">
        <v>503</v>
      </c>
      <c r="G1672" s="11" t="s">
        <v>504</v>
      </c>
      <c r="H1672" s="2" t="s">
        <v>3229</v>
      </c>
      <c r="I1672" s="12" t="s">
        <v>506</v>
      </c>
      <c r="J1672" s="41">
        <f>+Tabla1[[#This Row],[FECHA ENTRADA]]</f>
        <v>45704</v>
      </c>
      <c r="K1672" s="22">
        <v>45821</v>
      </c>
      <c r="L1672" s="42">
        <f>_xlfn.DAYS(Tabla1[[#This Row],[FECHA FIN ]],Tabla1[[#This Row],[FECHA INICIO]])</f>
        <v>117</v>
      </c>
      <c r="M1672" s="12"/>
      <c r="N1672" s="12"/>
      <c r="O1672" s="28">
        <f>(Tabla1[[#This Row],[COSTO FIJO ]]/30)*Tabla1[[#This Row],[TOTAL DIAS PROYECTO]]+(Tabla1[[#This Row],[COSTO TEMPORAL]])</f>
        <v>0</v>
      </c>
      <c r="P1672" s="12">
        <f>1156.52/8</f>
        <v>144.565</v>
      </c>
      <c r="Q1672" s="12">
        <f>+(Tabla1[[#This Row],[COSTO COCHE]]/30)*Tabla1[[#This Row],[TOTAL DIAS PROYECTO]]</f>
        <v>563.80349999999999</v>
      </c>
      <c r="R1672" s="12">
        <f>+Tabla1[[#This Row],[COSTO TOTAL ALOJAMIENTO]]+Tabla1[[#This Row],[COSTO TOTAL COCHE]]</f>
        <v>563.80349999999999</v>
      </c>
      <c r="S1672" s="2"/>
      <c r="T1672" s="2" t="s">
        <v>35</v>
      </c>
      <c r="U1672" s="14">
        <v>45704</v>
      </c>
      <c r="V1672" s="25">
        <v>45745</v>
      </c>
      <c r="W1672" s="26"/>
      <c r="X1672" s="2">
        <v>1</v>
      </c>
      <c r="Y1672" s="11"/>
      <c r="Z1672" s="2" t="s">
        <v>36</v>
      </c>
      <c r="AA1672" s="13" t="s">
        <v>10378</v>
      </c>
      <c r="AB1672" s="13" t="s">
        <v>10379</v>
      </c>
    </row>
    <row r="1673" spans="1:28" ht="15" customHeight="1">
      <c r="A1673" s="2" t="s">
        <v>8638</v>
      </c>
      <c r="B1673" s="2" t="s">
        <v>28</v>
      </c>
      <c r="C1673" s="11" t="s">
        <v>2766</v>
      </c>
      <c r="D1673" s="2" t="s">
        <v>30</v>
      </c>
      <c r="E1673" s="2" t="s">
        <v>422</v>
      </c>
      <c r="F1673" s="11" t="s">
        <v>2997</v>
      </c>
      <c r="G1673" s="21">
        <v>699109800</v>
      </c>
      <c r="H1673" s="2" t="s">
        <v>2767</v>
      </c>
      <c r="I1673" s="12" t="s">
        <v>2454</v>
      </c>
      <c r="J1673" s="22">
        <f>+Tabla1[[#This Row],[FECHA ENTRADA]]</f>
        <v>45791</v>
      </c>
      <c r="K1673" s="22">
        <v>45792</v>
      </c>
      <c r="L1673" s="23">
        <f>_xlfn.DAYS(Tabla1[[#This Row],[FECHA FIN ]],Tabla1[[#This Row],[FECHA INICIO]])</f>
        <v>1</v>
      </c>
      <c r="M1673" s="12"/>
      <c r="N1673" s="12">
        <v>54</v>
      </c>
      <c r="O1673" s="24">
        <f>(Tabla1[[#This Row],[COSTO FIJO ]]/30)*Tabla1[[#This Row],[TOTAL DIAS PROYECTO]]+(Tabla1[[#This Row],[COSTO TEMPORAL]])</f>
        <v>1.8</v>
      </c>
      <c r="P1673" s="12"/>
      <c r="Q1673" s="12">
        <f>+(Tabla1[[#This Row],[COSTO COCHE]]/30)*Tabla1[[#This Row],[TOTAL DIAS PROYECTO]]</f>
        <v>0</v>
      </c>
      <c r="R1673" s="12">
        <f>+Tabla1[[#This Row],[COSTO TOTAL ALOJAMIENTO]]+Tabla1[[#This Row],[COSTO TOTAL COCHE]]</f>
        <v>1.8</v>
      </c>
      <c r="S1673" s="2"/>
      <c r="T1673" s="14" t="s">
        <v>44</v>
      </c>
      <c r="U1673" s="14">
        <v>45791</v>
      </c>
      <c r="V1673" s="25">
        <v>45793</v>
      </c>
      <c r="W1673" s="2"/>
      <c r="X1673" s="2"/>
      <c r="Y1673" s="11" t="s">
        <v>1166</v>
      </c>
      <c r="Z1673" s="2" t="s">
        <v>36</v>
      </c>
      <c r="AA1673" s="13">
        <v>-326.69799999999998</v>
      </c>
      <c r="AB1673" s="13" t="s">
        <v>10373</v>
      </c>
    </row>
    <row r="1674" spans="1:28" ht="15" customHeight="1">
      <c r="A1674" s="2" t="s">
        <v>8638</v>
      </c>
      <c r="B1674" s="2" t="s">
        <v>28</v>
      </c>
      <c r="C1674" s="11" t="s">
        <v>2768</v>
      </c>
      <c r="D1674" s="2" t="s">
        <v>30</v>
      </c>
      <c r="E1674" s="2" t="s">
        <v>422</v>
      </c>
      <c r="F1674" s="11" t="s">
        <v>2997</v>
      </c>
      <c r="G1674" s="21">
        <v>699109800</v>
      </c>
      <c r="H1674" s="2" t="s">
        <v>2767</v>
      </c>
      <c r="I1674" s="12" t="s">
        <v>2454</v>
      </c>
      <c r="J1674" s="22">
        <f>+Tabla1[[#This Row],[FECHA ENTRADA]]</f>
        <v>45791</v>
      </c>
      <c r="K1674" s="22">
        <v>45792</v>
      </c>
      <c r="L1674" s="23">
        <f>_xlfn.DAYS(Tabla1[[#This Row],[FECHA FIN ]],Tabla1[[#This Row],[FECHA INICIO]])</f>
        <v>1</v>
      </c>
      <c r="M1674" s="12"/>
      <c r="N1674" s="12">
        <v>54</v>
      </c>
      <c r="O1674" s="24">
        <f>(Tabla1[[#This Row],[COSTO FIJO ]]/30)*Tabla1[[#This Row],[TOTAL DIAS PROYECTO]]+(Tabla1[[#This Row],[COSTO TEMPORAL]])</f>
        <v>1.8</v>
      </c>
      <c r="P1674" s="12"/>
      <c r="Q1674" s="12">
        <f>+(Tabla1[[#This Row],[COSTO COCHE]]/30)*Tabla1[[#This Row],[TOTAL DIAS PROYECTO]]</f>
        <v>0</v>
      </c>
      <c r="R1674" s="12">
        <f>+Tabla1[[#This Row],[COSTO TOTAL ALOJAMIENTO]]+Tabla1[[#This Row],[COSTO TOTAL COCHE]]</f>
        <v>1.8</v>
      </c>
      <c r="S1674" s="2"/>
      <c r="T1674" s="14" t="s">
        <v>44</v>
      </c>
      <c r="U1674" s="14">
        <v>45791</v>
      </c>
      <c r="V1674" s="25">
        <v>45793</v>
      </c>
      <c r="W1674" s="2"/>
      <c r="X1674" s="2"/>
      <c r="Y1674" s="11" t="s">
        <v>1166</v>
      </c>
      <c r="Z1674" s="2" t="s">
        <v>36</v>
      </c>
      <c r="AA1674" s="13">
        <v>-326.69799999999998</v>
      </c>
      <c r="AB1674" s="13" t="s">
        <v>10373</v>
      </c>
    </row>
    <row r="1675" spans="1:28" ht="15" customHeight="1">
      <c r="A1675" s="2" t="s">
        <v>8976</v>
      </c>
      <c r="B1675" s="2" t="s">
        <v>368</v>
      </c>
      <c r="C1675" s="11" t="s">
        <v>1570</v>
      </c>
      <c r="D1675" s="2" t="s">
        <v>99</v>
      </c>
      <c r="E1675" s="2" t="s">
        <v>109</v>
      </c>
      <c r="F1675" s="11" t="s">
        <v>2307</v>
      </c>
      <c r="G1675" t="s">
        <v>3139</v>
      </c>
      <c r="H1675" s="2" t="s">
        <v>2386</v>
      </c>
      <c r="I1675" s="12" t="s">
        <v>42</v>
      </c>
      <c r="J1675" s="41">
        <f>+Tabla1[[#This Row],[FECHA ENTRADA]]</f>
        <v>45748</v>
      </c>
      <c r="K1675" s="22">
        <v>45760</v>
      </c>
      <c r="L1675" s="42">
        <f>_xlfn.DAYS(Tabla1[[#This Row],[FECHA FIN ]],Tabla1[[#This Row],[FECHA INICIO]])</f>
        <v>12</v>
      </c>
      <c r="M1675" s="12"/>
      <c r="N1675" s="12"/>
      <c r="O1675" s="28">
        <f>(Tabla1[[#This Row],[COSTO FIJO ]]/30)*Tabla1[[#This Row],[TOTAL DIAS PROYECTO]]+(Tabla1[[#This Row],[COSTO TEMPORAL]])</f>
        <v>0</v>
      </c>
      <c r="P1675" s="12">
        <f>613.83/5</f>
        <v>122.76600000000001</v>
      </c>
      <c r="Q1675" s="12">
        <f>+(Tabla1[[#This Row],[COSTO COCHE]]/30)*Tabla1[[#This Row],[TOTAL DIAS PROYECTO]]</f>
        <v>49.106400000000001</v>
      </c>
      <c r="R1675" s="12">
        <f>+Tabla1[[#This Row],[COSTO TOTAL ALOJAMIENTO]]+Tabla1[[#This Row],[COSTO TOTAL COCHE]]</f>
        <v>49.106400000000001</v>
      </c>
      <c r="S1675" s="2"/>
      <c r="T1675" s="2" t="s">
        <v>35</v>
      </c>
      <c r="U1675" s="14">
        <v>45748</v>
      </c>
      <c r="V1675" s="43">
        <v>45777</v>
      </c>
      <c r="W1675" s="26"/>
      <c r="X1675" s="2">
        <v>27</v>
      </c>
      <c r="Y1675" s="11" t="s">
        <v>1166</v>
      </c>
      <c r="Z1675" s="2" t="s">
        <v>36</v>
      </c>
      <c r="AA1675" s="13">
        <v>0.62217999999999996</v>
      </c>
      <c r="AB1675" s="13" t="s">
        <v>10339</v>
      </c>
    </row>
    <row r="1676" spans="1:28" ht="15" customHeight="1">
      <c r="A1676" s="2" t="s">
        <v>8972</v>
      </c>
      <c r="B1676" s="2" t="s">
        <v>368</v>
      </c>
      <c r="C1676" s="11" t="s">
        <v>1555</v>
      </c>
      <c r="D1676" s="2" t="s">
        <v>99</v>
      </c>
      <c r="E1676" s="2" t="s">
        <v>109</v>
      </c>
      <c r="F1676" s="11" t="s">
        <v>1793</v>
      </c>
      <c r="G1676" s="21">
        <v>973266788</v>
      </c>
      <c r="H1676" s="2" t="s">
        <v>1556</v>
      </c>
      <c r="I1676" s="12" t="s">
        <v>42</v>
      </c>
      <c r="J1676" s="22">
        <f>+Tabla1[[#This Row],[FECHA ENTRADA]]</f>
        <v>45759</v>
      </c>
      <c r="K1676" s="22">
        <v>45763</v>
      </c>
      <c r="L1676" s="42">
        <f>_xlfn.DAYS(Tabla1[[#This Row],[FECHA FIN ]],Tabla1[[#This Row],[FECHA INICIO]])</f>
        <v>4</v>
      </c>
      <c r="M1676" s="12"/>
      <c r="N1676" s="12"/>
      <c r="O1676" s="28">
        <f>(Tabla1[[#This Row],[COSTO FIJO ]]/30)*Tabla1[[#This Row],[TOTAL DIAS PROYECTO]]+(Tabla1[[#This Row],[COSTO TEMPORAL]])</f>
        <v>0</v>
      </c>
      <c r="P1676" s="12"/>
      <c r="Q1676" s="12">
        <f>+(Tabla1[[#This Row],[COSTO COCHE]]/30)*Tabla1[[#This Row],[TOTAL DIAS PROYECTO]]</f>
        <v>0</v>
      </c>
      <c r="R1676" s="12">
        <f>+Tabla1[[#This Row],[COSTO TOTAL ALOJAMIENTO]]+Tabla1[[#This Row],[COSTO TOTAL COCHE]]</f>
        <v>0</v>
      </c>
      <c r="S1676" s="2"/>
      <c r="T1676" s="2" t="s">
        <v>44</v>
      </c>
      <c r="U1676" s="14">
        <v>45759</v>
      </c>
      <c r="V1676" s="79">
        <v>45764</v>
      </c>
      <c r="W1676" s="26"/>
      <c r="X1676" s="2"/>
      <c r="Y1676" s="11" t="s">
        <v>1120</v>
      </c>
      <c r="Z1676" s="2" t="s">
        <v>36</v>
      </c>
      <c r="AA1676" s="13">
        <v>0.62217999999999996</v>
      </c>
      <c r="AB1676" s="42" t="s">
        <v>10339</v>
      </c>
    </row>
    <row r="1677" spans="1:28" ht="15" customHeight="1">
      <c r="A1677" s="2" t="s">
        <v>9192</v>
      </c>
      <c r="B1677" s="2" t="s">
        <v>368</v>
      </c>
      <c r="C1677" s="11" t="s">
        <v>2387</v>
      </c>
      <c r="D1677" s="2" t="s">
        <v>99</v>
      </c>
      <c r="E1677" s="2" t="s">
        <v>109</v>
      </c>
      <c r="F1677" s="11" t="s">
        <v>1793</v>
      </c>
      <c r="G1677" s="133">
        <v>973266788</v>
      </c>
      <c r="H1677" s="2" t="s">
        <v>2386</v>
      </c>
      <c r="I1677" s="12" t="s">
        <v>42</v>
      </c>
      <c r="J1677" s="22">
        <f>+Tabla1[[#This Row],[FECHA ENTRADA]]</f>
        <v>45759</v>
      </c>
      <c r="K1677" s="22">
        <v>45763</v>
      </c>
      <c r="L1677" s="42">
        <f>_xlfn.DAYS(Tabla1[[#This Row],[FECHA FIN ]],Tabla1[[#This Row],[FECHA INICIO]])</f>
        <v>4</v>
      </c>
      <c r="M1677" s="12"/>
      <c r="N1677" s="12">
        <f>1811.6/17</f>
        <v>106.56470588235294</v>
      </c>
      <c r="O1677" s="28">
        <f>(Tabla1[[#This Row],[COSTO FIJO ]]/30)*Tabla1[[#This Row],[TOTAL DIAS PROYECTO]]+(Tabla1[[#This Row],[COSTO TEMPORAL]])</f>
        <v>14.208627450980392</v>
      </c>
      <c r="P1677" s="12"/>
      <c r="Q1677" s="12">
        <f>+(Tabla1[[#This Row],[COSTO COCHE]]/30)*Tabla1[[#This Row],[TOTAL DIAS PROYECTO]]</f>
        <v>0</v>
      </c>
      <c r="R1677" s="12">
        <f>+Tabla1[[#This Row],[COSTO TOTAL ALOJAMIENTO]]+Tabla1[[#This Row],[COSTO TOTAL COCHE]]</f>
        <v>14.208627450980392</v>
      </c>
      <c r="S1677" s="2"/>
      <c r="T1677" s="2" t="s">
        <v>44</v>
      </c>
      <c r="U1677" s="14">
        <v>45759</v>
      </c>
      <c r="V1677" s="79">
        <v>45764</v>
      </c>
      <c r="W1677" s="26"/>
      <c r="X1677" s="2"/>
      <c r="Y1677" s="11"/>
      <c r="Z1677" s="2" t="s">
        <v>36</v>
      </c>
      <c r="AA1677" s="13">
        <v>0.62217999999999996</v>
      </c>
      <c r="AB1677" s="42" t="s">
        <v>10339</v>
      </c>
    </row>
    <row r="1678" spans="1:28" ht="15" customHeight="1">
      <c r="A1678" s="2" t="s">
        <v>9454</v>
      </c>
      <c r="B1678" s="2" t="s">
        <v>28</v>
      </c>
      <c r="C1678" s="11" t="s">
        <v>3230</v>
      </c>
      <c r="D1678" s="2" t="s">
        <v>30</v>
      </c>
      <c r="E1678" s="2" t="s">
        <v>648</v>
      </c>
      <c r="F1678" s="11" t="s">
        <v>1544</v>
      </c>
      <c r="G1678" s="11" t="s">
        <v>1545</v>
      </c>
      <c r="H1678" s="2" t="s">
        <v>1546</v>
      </c>
      <c r="I1678" s="12" t="s">
        <v>96</v>
      </c>
      <c r="J1678" s="22">
        <f>+Tabla1[[#This Row],[FECHA ENTRADA]]</f>
        <v>45908</v>
      </c>
      <c r="K1678" s="22">
        <v>45912</v>
      </c>
      <c r="L1678" s="23">
        <f>_xlfn.DAYS(Tabla1[[#This Row],[FECHA FIN ]],Tabla1[[#This Row],[FECHA INICIO]])</f>
        <v>4</v>
      </c>
      <c r="M1678" s="12"/>
      <c r="N1678" s="12"/>
      <c r="O1678" s="24">
        <f>(Tabla1[[#This Row],[COSTO FIJO ]]/30)*Tabla1[[#This Row],[TOTAL DIAS PROYECTO]]+(Tabla1[[#This Row],[COSTO TEMPORAL]])</f>
        <v>0</v>
      </c>
      <c r="P1678" s="12"/>
      <c r="Q1678" s="12">
        <f>+(Tabla1[[#This Row],[COSTO COCHE]]/30)*Tabla1[[#This Row],[TOTAL DIAS PROYECTO]]</f>
        <v>0</v>
      </c>
      <c r="R1678" s="12">
        <f>+Tabla1[[#This Row],[COSTO TOTAL ALOJAMIENTO]]+Tabla1[[#This Row],[COSTO TOTAL COCHE]]</f>
        <v>0</v>
      </c>
      <c r="S1678" s="2"/>
      <c r="T1678" s="14" t="s">
        <v>35</v>
      </c>
      <c r="U1678" s="14">
        <v>45908</v>
      </c>
      <c r="V1678" s="79"/>
      <c r="W1678" s="71"/>
      <c r="X1678" s="2">
        <v>1</v>
      </c>
      <c r="Y1678" s="202" t="s">
        <v>3231</v>
      </c>
      <c r="Z1678" s="2" t="s">
        <v>36</v>
      </c>
      <c r="AA1678" s="13" t="s">
        <v>10387</v>
      </c>
      <c r="AB1678" s="13" t="s">
        <v>10388</v>
      </c>
    </row>
    <row r="1679" spans="1:28" ht="15" customHeight="1">
      <c r="A1679" s="2" t="s">
        <v>9342</v>
      </c>
      <c r="B1679" s="2" t="s">
        <v>978</v>
      </c>
      <c r="C1679" s="11" t="s">
        <v>2872</v>
      </c>
      <c r="D1679" s="2" t="s">
        <v>30</v>
      </c>
      <c r="E1679" s="2" t="s">
        <v>31</v>
      </c>
      <c r="F1679" s="11" t="s">
        <v>715</v>
      </c>
      <c r="G1679" s="11" t="s">
        <v>716</v>
      </c>
      <c r="H1679" s="2"/>
      <c r="I1679" s="2" t="s">
        <v>978</v>
      </c>
      <c r="J1679" s="41">
        <f>+Tabla1[[#This Row],[FECHA ENTRADA]]</f>
        <v>45699</v>
      </c>
      <c r="K1679" s="22">
        <v>45821</v>
      </c>
      <c r="L1679" s="42">
        <f>_xlfn.DAYS(Tabla1[[#This Row],[FECHA FIN ]],Tabla1[[#This Row],[FECHA INICIO]])</f>
        <v>122</v>
      </c>
      <c r="M1679" s="12"/>
      <c r="N1679" s="12">
        <v>160</v>
      </c>
      <c r="O1679" s="28">
        <f>(Tabla1[[#This Row],[COSTO FIJO ]]/30)*Tabla1[[#This Row],[TOTAL DIAS PROYECTO]]+(Tabla1[[#This Row],[COSTO TEMPORAL]])</f>
        <v>650.66666666666663</v>
      </c>
      <c r="P1679" s="12"/>
      <c r="Q1679" s="12">
        <f>+(Tabla1[[#This Row],[COSTO COCHE]]/30)*Tabla1[[#This Row],[TOTAL DIAS PROYECTO]]</f>
        <v>0</v>
      </c>
      <c r="R1679" s="12">
        <f>+Tabla1[[#This Row],[COSTO TOTAL ALOJAMIENTO]]+Tabla1[[#This Row],[COSTO TOTAL COCHE]]</f>
        <v>650.66666666666663</v>
      </c>
      <c r="S1679" s="2"/>
      <c r="T1679" s="2" t="s">
        <v>35</v>
      </c>
      <c r="U1679" s="14">
        <v>45699</v>
      </c>
      <c r="V1679" s="43"/>
      <c r="W1679" s="26"/>
      <c r="X1679" s="2">
        <v>1</v>
      </c>
      <c r="Y1679" s="11"/>
      <c r="Z1679" s="2" t="s">
        <v>36</v>
      </c>
      <c r="AA1679" s="13" t="s">
        <v>10323</v>
      </c>
      <c r="AB1679" s="13" t="s">
        <v>10324</v>
      </c>
    </row>
    <row r="1680" spans="1:28" ht="15" customHeight="1">
      <c r="A1680" s="2" t="s">
        <v>9455</v>
      </c>
      <c r="B1680" s="2" t="s">
        <v>368</v>
      </c>
      <c r="C1680" s="99" t="s">
        <v>3232</v>
      </c>
      <c r="D1680" s="2" t="s">
        <v>30</v>
      </c>
      <c r="E1680" s="2" t="s">
        <v>985</v>
      </c>
      <c r="F1680" s="11" t="s">
        <v>1848</v>
      </c>
      <c r="G1680" s="49" t="s">
        <v>1849</v>
      </c>
      <c r="H1680" s="2" t="s">
        <v>1851</v>
      </c>
      <c r="I1680" s="12" t="s">
        <v>989</v>
      </c>
      <c r="J1680" s="22">
        <f>+Tabla1[[#This Row],[FECHA ENTRADA]]</f>
        <v>45613</v>
      </c>
      <c r="K1680" s="22">
        <v>45733</v>
      </c>
      <c r="L1680" s="23">
        <f>_xlfn.DAYS(Tabla1[[#This Row],[FECHA FIN ]],Tabla1[[#This Row],[FECHA INICIO]])</f>
        <v>120</v>
      </c>
      <c r="M1680" s="12"/>
      <c r="N1680" s="24">
        <v>140</v>
      </c>
      <c r="O1680" s="24">
        <f>(Tabla1[[#This Row],[COSTO FIJO ]]/30)*Tabla1[[#This Row],[TOTAL DIAS PROYECTO]]+(Tabla1[[#This Row],[COSTO TEMPORAL]])</f>
        <v>560</v>
      </c>
      <c r="P1680" s="12"/>
      <c r="Q1680" s="12">
        <f>+(Tabla1[[#This Row],[COSTO COCHE]]/30)*Tabla1[[#This Row],[TOTAL DIAS PROYECTO]]</f>
        <v>0</v>
      </c>
      <c r="R1680" s="12">
        <f>+Tabla1[[#This Row],[COSTO TOTAL ALOJAMIENTO]]+Tabla1[[#This Row],[COSTO TOTAL COCHE]]</f>
        <v>560</v>
      </c>
      <c r="S1680" s="2"/>
      <c r="T1680" s="2" t="s">
        <v>44</v>
      </c>
      <c r="U1680" s="14">
        <v>45613</v>
      </c>
      <c r="V1680" s="43">
        <v>45733</v>
      </c>
      <c r="W1680" s="26"/>
      <c r="X1680" s="2">
        <v>15</v>
      </c>
      <c r="Y1680" s="11" t="s">
        <v>3233</v>
      </c>
      <c r="Z1680" s="2" t="s">
        <v>36</v>
      </c>
      <c r="AA1680" s="13" t="s">
        <v>10407</v>
      </c>
      <c r="AB1680" s="13" t="s">
        <v>10408</v>
      </c>
    </row>
    <row r="1681" spans="1:28" s="10" customFormat="1" ht="15" customHeight="1">
      <c r="A1681" s="2" t="s">
        <v>9055</v>
      </c>
      <c r="B1681" s="2" t="s">
        <v>368</v>
      </c>
      <c r="C1681" s="52" t="s">
        <v>1816</v>
      </c>
      <c r="D1681" s="2" t="s">
        <v>30</v>
      </c>
      <c r="E1681" s="2" t="s">
        <v>55</v>
      </c>
      <c r="F1681" s="11" t="s">
        <v>1319</v>
      </c>
      <c r="G1681" s="46" t="s">
        <v>1320</v>
      </c>
      <c r="H1681" s="2" t="s">
        <v>1622</v>
      </c>
      <c r="I1681" s="30" t="s">
        <v>1620</v>
      </c>
      <c r="J1681" s="41">
        <f>+Tabla1[[#This Row],[FECHA ENTRADA]]</f>
        <v>45669</v>
      </c>
      <c r="K1681" s="22">
        <v>45821</v>
      </c>
      <c r="L1681" s="42">
        <f>_xlfn.DAYS(Tabla1[[#This Row],[FECHA FIN ]],Tabla1[[#This Row],[FECHA INICIO]])</f>
        <v>152</v>
      </c>
      <c r="M1681" s="12"/>
      <c r="N1681" s="20"/>
      <c r="O1681" s="28">
        <f>(Tabla1[[#This Row],[COSTO FIJO ]]/30)*Tabla1[[#This Row],[TOTAL DIAS PROYECTO]]+(Tabla1[[#This Row],[COSTO TEMPORAL]])</f>
        <v>0</v>
      </c>
      <c r="P1681" s="12"/>
      <c r="Q1681" s="12"/>
      <c r="R1681" s="12">
        <f>+Tabla1[[#This Row],[COSTO TOTAL ALOJAMIENTO]]+Tabla1[[#This Row],[COSTO TOTAL COCHE]]</f>
        <v>0</v>
      </c>
      <c r="S1681" s="2"/>
      <c r="T1681" s="2" t="s">
        <v>44</v>
      </c>
      <c r="U1681" s="14">
        <v>45669</v>
      </c>
      <c r="V1681" s="43">
        <v>45670</v>
      </c>
      <c r="W1681" s="26"/>
      <c r="X1681" s="2"/>
      <c r="Y1681" s="11" t="s">
        <v>1166</v>
      </c>
      <c r="Z1681" s="2" t="s">
        <v>36</v>
      </c>
      <c r="AA1681" s="13" t="s">
        <v>10327</v>
      </c>
      <c r="AB1681" s="13" t="s">
        <v>10328</v>
      </c>
    </row>
    <row r="1682" spans="1:28" s="10" customFormat="1" ht="15" customHeight="1">
      <c r="A1682" s="2" t="s">
        <v>9456</v>
      </c>
      <c r="B1682" s="2" t="s">
        <v>711</v>
      </c>
      <c r="C1682" s="11" t="s">
        <v>3234</v>
      </c>
      <c r="D1682" s="2" t="s">
        <v>99</v>
      </c>
      <c r="E1682" s="2" t="s">
        <v>686</v>
      </c>
      <c r="F1682" s="11" t="s">
        <v>3235</v>
      </c>
      <c r="G1682" s="21" t="s">
        <v>3236</v>
      </c>
      <c r="H1682" s="2" t="s">
        <v>3237</v>
      </c>
      <c r="I1682" s="12" t="s">
        <v>96</v>
      </c>
      <c r="J1682" s="41">
        <f>+Tabla1[[#This Row],[FECHA ENTRADA]]</f>
        <v>45922</v>
      </c>
      <c r="K1682" s="22">
        <v>45937</v>
      </c>
      <c r="L1682" s="42">
        <f>_xlfn.DAYS(Tabla1[[#This Row],[FECHA FIN ]],Tabla1[[#This Row],[FECHA INICIO]])</f>
        <v>15</v>
      </c>
      <c r="M1682" s="12">
        <v>292</v>
      </c>
      <c r="N1682" s="28"/>
      <c r="O1682" s="28">
        <f>(Tabla1[[#This Row],[COSTO FIJO ]]/30)*Tabla1[[#This Row],[TOTAL DIAS PROYECTO]]+(Tabla1[[#This Row],[COSTO TEMPORAL]])</f>
        <v>292</v>
      </c>
      <c r="P1682" s="12"/>
      <c r="Q1682" s="12">
        <f>+(Tabla1[[#This Row],[COSTO COCHE]]/30)*Tabla1[[#This Row],[TOTAL DIAS PROYECTO]]</f>
        <v>0</v>
      </c>
      <c r="R1682" s="12">
        <f>+Tabla1[[#This Row],[COSTO TOTAL ALOJAMIENTO]]+Tabla1[[#This Row],[COSTO TOTAL COCHE]]</f>
        <v>292</v>
      </c>
      <c r="S1682" s="2" t="s">
        <v>84</v>
      </c>
      <c r="T1682" s="14" t="s">
        <v>44</v>
      </c>
      <c r="U1682" s="14">
        <v>45922</v>
      </c>
      <c r="V1682" s="43">
        <v>45938</v>
      </c>
      <c r="W1682" s="71"/>
      <c r="X1682" s="2"/>
      <c r="Y1682" s="11" t="s">
        <v>1166</v>
      </c>
      <c r="Z1682" s="2" t="s">
        <v>36</v>
      </c>
      <c r="AA1682" s="13" t="s">
        <v>10393</v>
      </c>
      <c r="AB1682" s="13">
        <v>3834517</v>
      </c>
    </row>
    <row r="1683" spans="1:28" ht="15" customHeight="1">
      <c r="A1683" s="2" t="s">
        <v>9456</v>
      </c>
      <c r="B1683" s="2" t="s">
        <v>711</v>
      </c>
      <c r="C1683" s="11" t="s">
        <v>3234</v>
      </c>
      <c r="D1683" s="2" t="s">
        <v>99</v>
      </c>
      <c r="E1683" s="2" t="s">
        <v>686</v>
      </c>
      <c r="F1683" s="11" t="s">
        <v>3238</v>
      </c>
      <c r="G1683" s="21" t="s">
        <v>3239</v>
      </c>
      <c r="H1683" s="2" t="s">
        <v>3237</v>
      </c>
      <c r="I1683" s="12" t="s">
        <v>96</v>
      </c>
      <c r="J1683" s="22">
        <f>+Tabla1[[#This Row],[FECHA ENTRADA]]</f>
        <v>45937</v>
      </c>
      <c r="K1683" s="22">
        <v>45986</v>
      </c>
      <c r="L1683" s="23">
        <f>_xlfn.DAYS(Tabla1[[#This Row],[FECHA FIN ]],Tabla1[[#This Row],[FECHA INICIO]])</f>
        <v>49</v>
      </c>
      <c r="M1683" s="12">
        <v>375</v>
      </c>
      <c r="N1683" s="20"/>
      <c r="O1683" s="24">
        <f>(Tabla1[[#This Row],[COSTO FIJO ]]/30)*Tabla1[[#This Row],[TOTAL DIAS PROYECTO]]+(Tabla1[[#This Row],[COSTO TEMPORAL]])</f>
        <v>375</v>
      </c>
      <c r="P1683" s="12"/>
      <c r="Q1683" s="12">
        <f>+(Tabla1[[#This Row],[COSTO COCHE]]/30)*Tabla1[[#This Row],[TOTAL DIAS PROYECTO]]</f>
        <v>0</v>
      </c>
      <c r="R1683" s="12">
        <f>+Tabla1[[#This Row],[COSTO TOTAL ALOJAMIENTO]]+Tabla1[[#This Row],[COSTO TOTAL COCHE]]</f>
        <v>375</v>
      </c>
      <c r="S1683" s="2"/>
      <c r="T1683" s="14" t="s">
        <v>44</v>
      </c>
      <c r="U1683" s="14">
        <v>45937</v>
      </c>
      <c r="V1683" s="25">
        <v>45987</v>
      </c>
      <c r="W1683" s="71"/>
      <c r="X1683" s="2"/>
      <c r="Y1683" s="11" t="s">
        <v>3240</v>
      </c>
      <c r="Z1683" s="2" t="s">
        <v>36</v>
      </c>
      <c r="AA1683" s="13" t="s">
        <v>10393</v>
      </c>
      <c r="AB1683" s="13">
        <v>3834517</v>
      </c>
    </row>
    <row r="1684" spans="1:28" ht="15" customHeight="1">
      <c r="A1684" s="2" t="s">
        <v>9360</v>
      </c>
      <c r="B1684" s="2" t="s">
        <v>28</v>
      </c>
      <c r="C1684" s="11" t="s">
        <v>2928</v>
      </c>
      <c r="D1684" s="2" t="s">
        <v>99</v>
      </c>
      <c r="E1684" s="2" t="s">
        <v>259</v>
      </c>
      <c r="F1684" s="11" t="s">
        <v>3241</v>
      </c>
      <c r="G1684" s="49" t="s">
        <v>3242</v>
      </c>
      <c r="H1684" s="2" t="s">
        <v>3200</v>
      </c>
      <c r="I1684" s="12" t="s">
        <v>3201</v>
      </c>
      <c r="J1684" s="22">
        <f>+Tabla1[[#This Row],[FECHA ENTRADA]]</f>
        <v>45716</v>
      </c>
      <c r="K1684" s="22">
        <v>45821</v>
      </c>
      <c r="L1684" s="23">
        <f>_xlfn.DAYS(Tabla1[[#This Row],[FECHA FIN ]],Tabla1[[#This Row],[FECHA INICIO]])</f>
        <v>105</v>
      </c>
      <c r="M1684" s="12"/>
      <c r="N1684" s="12">
        <f>1811.6/17</f>
        <v>106.56470588235294</v>
      </c>
      <c r="O1684" s="24">
        <f>(Tabla1[[#This Row],[COSTO FIJO ]]/30)*Tabla1[[#This Row],[TOTAL DIAS PROYECTO]]+(Tabla1[[#This Row],[COSTO TEMPORAL]])</f>
        <v>372.97647058823532</v>
      </c>
      <c r="P1684" s="12"/>
      <c r="Q1684" s="12">
        <f>+(Tabla1[[#This Row],[COSTO COCHE]]/30)*Tabla1[[#This Row],[TOTAL DIAS PROYECTO]]</f>
        <v>0</v>
      </c>
      <c r="R1684" s="12">
        <f>+Tabla1[[#This Row],[COSTO TOTAL ALOJAMIENTO]]+Tabla1[[#This Row],[COSTO TOTAL COCHE]]</f>
        <v>372.97647058823532</v>
      </c>
      <c r="S1684" s="2"/>
      <c r="T1684" s="2" t="s">
        <v>44</v>
      </c>
      <c r="U1684" s="14">
        <v>45716</v>
      </c>
      <c r="V1684" s="25">
        <v>45733</v>
      </c>
      <c r="W1684" s="26"/>
      <c r="X1684" s="2"/>
      <c r="Y1684" s="11"/>
      <c r="Z1684" s="2" t="s">
        <v>36</v>
      </c>
      <c r="AA1684" s="13">
        <v>-0.87734000000000001</v>
      </c>
      <c r="AB1684" s="13" t="s">
        <v>10359</v>
      </c>
    </row>
    <row r="1685" spans="1:28" ht="15" customHeight="1">
      <c r="A1685" s="2" t="s">
        <v>8981</v>
      </c>
      <c r="B1685" s="2" t="s">
        <v>368</v>
      </c>
      <c r="C1685" s="11" t="s">
        <v>1583</v>
      </c>
      <c r="D1685" s="2" t="s">
        <v>30</v>
      </c>
      <c r="E1685" s="2" t="s">
        <v>985</v>
      </c>
      <c r="F1685" s="11" t="s">
        <v>1848</v>
      </c>
      <c r="G1685" s="49" t="s">
        <v>1849</v>
      </c>
      <c r="H1685" s="2" t="s">
        <v>1851</v>
      </c>
      <c r="I1685" s="12" t="s">
        <v>989</v>
      </c>
      <c r="J1685" s="22">
        <f>+Tabla1[[#This Row],[FECHA ENTRADA]]</f>
        <v>45613</v>
      </c>
      <c r="K1685" s="8">
        <f ca="1">TODAY()</f>
        <v>46260</v>
      </c>
      <c r="L1685" s="23">
        <f ca="1">_xlfn.DAYS(Tabla1[[#This Row],[FECHA FIN ]],Tabla1[[#This Row],[FECHA INICIO]])</f>
        <v>647</v>
      </c>
      <c r="M1685" s="12"/>
      <c r="N1685" s="24">
        <v>140</v>
      </c>
      <c r="O1685" s="24">
        <f ca="1">(Tabla1[[#This Row],[COSTO FIJO ]]/30)*Tabla1[[#This Row],[TOTAL DIAS PROYECTO]]+(Tabla1[[#This Row],[COSTO TEMPORAL]])</f>
        <v>3019.3333333333335</v>
      </c>
      <c r="P1685" s="12"/>
      <c r="Q1685" s="12">
        <f ca="1">+(Tabla1[[#This Row],[COSTO COCHE]]/30)*Tabla1[[#This Row],[TOTAL DIAS PROYECTO]]</f>
        <v>0</v>
      </c>
      <c r="R1685" s="12">
        <f ca="1">+Tabla1[[#This Row],[COSTO TOTAL ALOJAMIENTO]]+Tabla1[[#This Row],[COSTO TOTAL COCHE]]</f>
        <v>3019.3333333333335</v>
      </c>
      <c r="S1685" s="2"/>
      <c r="T1685" s="2" t="s">
        <v>44</v>
      </c>
      <c r="U1685" s="14">
        <v>45613</v>
      </c>
      <c r="V1685" s="43">
        <v>45731</v>
      </c>
      <c r="W1685" s="26"/>
      <c r="X1685" s="2">
        <v>15</v>
      </c>
      <c r="Y1685" s="11"/>
      <c r="Z1685" s="2" t="s">
        <v>36</v>
      </c>
      <c r="AA1685" s="13" t="s">
        <v>10407</v>
      </c>
      <c r="AB1685" s="13" t="s">
        <v>10408</v>
      </c>
    </row>
    <row r="1686" spans="1:28" ht="15" customHeight="1">
      <c r="A1686" s="2" t="s">
        <v>8739</v>
      </c>
      <c r="B1686" s="2" t="s">
        <v>28</v>
      </c>
      <c r="C1686" s="86" t="s">
        <v>520</v>
      </c>
      <c r="D1686" s="2" t="s">
        <v>30</v>
      </c>
      <c r="E1686" s="2" t="s">
        <v>985</v>
      </c>
      <c r="F1686" s="11"/>
      <c r="G1686" s="30"/>
      <c r="H1686" s="2" t="s">
        <v>1637</v>
      </c>
      <c r="I1686" s="12" t="s">
        <v>1272</v>
      </c>
      <c r="J1686" s="8">
        <f>+Tabla1[[#This Row],[FECHA ENTRADA]]</f>
        <v>45532</v>
      </c>
      <c r="K1686" s="22">
        <v>45821</v>
      </c>
      <c r="L1686" s="13">
        <f>_xlfn.DAYS(Tabla1[[#This Row],[FECHA FIN ]],Tabla1[[#This Row],[FECHA INICIO]])</f>
        <v>289</v>
      </c>
      <c r="M1686" s="12"/>
      <c r="N1686" s="12">
        <v>300</v>
      </c>
      <c r="O1686" s="12">
        <f>(Tabla1[[#This Row],[COSTO FIJO ]]/30)*Tabla1[[#This Row],[TOTAL DIAS PROYECTO]]+(Tabla1[[#This Row],[COSTO TEMPORAL]])</f>
        <v>2890</v>
      </c>
      <c r="P1686" s="12"/>
      <c r="Q1686" s="12">
        <f>+(Tabla1[[#This Row],[COSTO COCHE]]/30)*Tabla1[[#This Row],[TOTAL DIAS PROYECTO]]</f>
        <v>0</v>
      </c>
      <c r="R1686" s="12">
        <f>+Tabla1[[#This Row],[COSTO TOTAL ALOJAMIENTO]]+Tabla1[[#This Row],[COSTO TOTAL COCHE]]</f>
        <v>2890</v>
      </c>
      <c r="S1686" s="2"/>
      <c r="T1686" s="2" t="s">
        <v>58</v>
      </c>
      <c r="U1686" s="14">
        <v>45532</v>
      </c>
      <c r="V1686" s="14"/>
      <c r="W1686" s="26"/>
      <c r="X1686" s="2">
        <v>1</v>
      </c>
      <c r="Y1686" s="11" t="s">
        <v>3243</v>
      </c>
      <c r="Z1686" s="2" t="s">
        <v>36</v>
      </c>
      <c r="AA1686" s="13" t="s">
        <v>10407</v>
      </c>
      <c r="AB1686" s="13" t="s">
        <v>10408</v>
      </c>
    </row>
    <row r="1687" spans="1:28" ht="15" customHeight="1">
      <c r="A1687" s="2" t="s">
        <v>9452</v>
      </c>
      <c r="B1687" s="2" t="s">
        <v>368</v>
      </c>
      <c r="C1687" s="18" t="s">
        <v>3226</v>
      </c>
      <c r="D1687" s="2" t="s">
        <v>30</v>
      </c>
      <c r="E1687" s="2" t="s">
        <v>55</v>
      </c>
      <c r="F1687" s="11" t="s">
        <v>3244</v>
      </c>
      <c r="G1687" s="46" t="s">
        <v>3245</v>
      </c>
      <c r="H1687" s="2" t="s">
        <v>1360</v>
      </c>
      <c r="I1687" s="30" t="s">
        <v>1620</v>
      </c>
      <c r="J1687" s="41">
        <f>+Tabla1[[#This Row],[FECHA ENTRADA]]</f>
        <v>45670</v>
      </c>
      <c r="K1687" s="22">
        <v>45821</v>
      </c>
      <c r="L1687" s="42">
        <f>_xlfn.DAYS(Tabla1[[#This Row],[FECHA FIN ]],Tabla1[[#This Row],[FECHA INICIO]])</f>
        <v>151</v>
      </c>
      <c r="M1687" s="12"/>
      <c r="N1687" s="12">
        <f>1811.6/17</f>
        <v>106.56470588235294</v>
      </c>
      <c r="O1687" s="28">
        <f>(Tabla1[[#This Row],[COSTO FIJO ]]/30)*Tabla1[[#This Row],[TOTAL DIAS PROYECTO]]+(Tabla1[[#This Row],[COSTO TEMPORAL]])</f>
        <v>536.3756862745098</v>
      </c>
      <c r="P1687" s="12"/>
      <c r="Q1687" s="12"/>
      <c r="R1687" s="12">
        <f>+Tabla1[[#This Row],[COSTO TOTAL ALOJAMIENTO]]+Tabla1[[#This Row],[COSTO TOTAL COCHE]]</f>
        <v>536.3756862745098</v>
      </c>
      <c r="S1687" s="2"/>
      <c r="T1687" s="2" t="s">
        <v>44</v>
      </c>
      <c r="U1687" s="14">
        <v>45670</v>
      </c>
      <c r="V1687" s="43">
        <v>45678</v>
      </c>
      <c r="W1687" s="26"/>
      <c r="X1687" s="2"/>
      <c r="Y1687" s="11" t="s">
        <v>1166</v>
      </c>
      <c r="Z1687" s="2" t="s">
        <v>36</v>
      </c>
      <c r="AA1687" s="13" t="s">
        <v>10327</v>
      </c>
      <c r="AB1687" s="13" t="s">
        <v>10328</v>
      </c>
    </row>
    <row r="1688" spans="1:28" ht="15" customHeight="1">
      <c r="A1688" s="2" t="s">
        <v>8949</v>
      </c>
      <c r="B1688" s="2" t="s">
        <v>368</v>
      </c>
      <c r="C1688" s="11" t="s">
        <v>1426</v>
      </c>
      <c r="D1688" s="2" t="s">
        <v>30</v>
      </c>
      <c r="E1688" s="2" t="s">
        <v>1987</v>
      </c>
      <c r="F1688" s="11" t="s">
        <v>3227</v>
      </c>
      <c r="G1688" s="46">
        <v>974470654</v>
      </c>
      <c r="H1688" s="2" t="s">
        <v>1990</v>
      </c>
      <c r="I1688" s="12" t="s">
        <v>42</v>
      </c>
      <c r="J1688" s="41">
        <f>+Tabla1[[#This Row],[FECHA ENTRADA]]</f>
        <v>45730</v>
      </c>
      <c r="K1688" s="22">
        <v>45734</v>
      </c>
      <c r="L1688" s="42">
        <f>_xlfn.DAYS(Tabla1[[#This Row],[FECHA FIN ]],Tabla1[[#This Row],[FECHA INICIO]])</f>
        <v>4</v>
      </c>
      <c r="M1688" s="12"/>
      <c r="N1688" s="28"/>
      <c r="O1688" s="28">
        <f>(Tabla1[[#This Row],[COSTO FIJO ]]/30)*Tabla1[[#This Row],[TOTAL DIAS PROYECTO]]+(Tabla1[[#This Row],[COSTO TEMPORAL]])</f>
        <v>0</v>
      </c>
      <c r="P1688" s="12"/>
      <c r="Q1688" s="12">
        <f>+(Tabla1[[#This Row],[COSTO COCHE]]/30)*Tabla1[[#This Row],[TOTAL DIAS PROYECTO]]</f>
        <v>0</v>
      </c>
      <c r="R1688" s="12">
        <f>+Tabla1[[#This Row],[COSTO TOTAL ALOJAMIENTO]]+Tabla1[[#This Row],[COSTO TOTAL COCHE]]</f>
        <v>0</v>
      </c>
      <c r="S1688" s="2"/>
      <c r="T1688" s="2" t="s">
        <v>528</v>
      </c>
      <c r="U1688" s="14">
        <v>45730</v>
      </c>
      <c r="V1688" s="43">
        <v>45734</v>
      </c>
      <c r="W1688" s="26"/>
      <c r="X1688" s="2"/>
      <c r="Y1688" s="11"/>
      <c r="Z1688" s="2" t="s">
        <v>36</v>
      </c>
      <c r="AA1688" s="13" t="s">
        <v>10435</v>
      </c>
      <c r="AB1688" s="13">
        <v>42.136150000000001</v>
      </c>
    </row>
    <row r="1689" spans="1:28" ht="15" customHeight="1">
      <c r="A1689" s="2" t="s">
        <v>9055</v>
      </c>
      <c r="B1689" s="2" t="s">
        <v>368</v>
      </c>
      <c r="C1689" s="18" t="s">
        <v>1816</v>
      </c>
      <c r="D1689" s="2" t="s">
        <v>30</v>
      </c>
      <c r="E1689" s="2" t="s">
        <v>55</v>
      </c>
      <c r="F1689" s="11" t="s">
        <v>3244</v>
      </c>
      <c r="G1689" s="46" t="s">
        <v>3245</v>
      </c>
      <c r="H1689" s="2" t="s">
        <v>1622</v>
      </c>
      <c r="I1689" s="30" t="s">
        <v>1620</v>
      </c>
      <c r="J1689" s="41">
        <f>+Tabla1[[#This Row],[FECHA ENTRADA]]</f>
        <v>45670</v>
      </c>
      <c r="K1689" s="22">
        <v>45821</v>
      </c>
      <c r="L1689" s="42">
        <f>_xlfn.DAYS(Tabla1[[#This Row],[FECHA FIN ]],Tabla1[[#This Row],[FECHA INICIO]])</f>
        <v>151</v>
      </c>
      <c r="M1689" s="12"/>
      <c r="N1689" s="20"/>
      <c r="O1689" s="28">
        <f>(Tabla1[[#This Row],[COSTO FIJO ]]/30)*Tabla1[[#This Row],[TOTAL DIAS PROYECTO]]+(Tabla1[[#This Row],[COSTO TEMPORAL]])</f>
        <v>0</v>
      </c>
      <c r="P1689" s="12"/>
      <c r="Q1689" s="12"/>
      <c r="R1689" s="12">
        <f>+Tabla1[[#This Row],[COSTO TOTAL ALOJAMIENTO]]+Tabla1[[#This Row],[COSTO TOTAL COCHE]]</f>
        <v>0</v>
      </c>
      <c r="S1689" s="2"/>
      <c r="T1689" s="2" t="s">
        <v>44</v>
      </c>
      <c r="U1689" s="14">
        <v>45670</v>
      </c>
      <c r="V1689" s="43">
        <v>45678</v>
      </c>
      <c r="W1689" s="26"/>
      <c r="X1689" s="2"/>
      <c r="Y1689" s="11" t="s">
        <v>1166</v>
      </c>
      <c r="Z1689" s="2" t="s">
        <v>36</v>
      </c>
      <c r="AA1689" s="13" t="s">
        <v>10327</v>
      </c>
      <c r="AB1689" s="13" t="s">
        <v>10328</v>
      </c>
    </row>
    <row r="1690" spans="1:28" ht="15" customHeight="1">
      <c r="A1690" s="2" t="s">
        <v>9457</v>
      </c>
      <c r="B1690" s="2" t="s">
        <v>28</v>
      </c>
      <c r="C1690" s="11" t="s">
        <v>3246</v>
      </c>
      <c r="D1690" s="2" t="s">
        <v>30</v>
      </c>
      <c r="E1690" s="2" t="s">
        <v>1719</v>
      </c>
      <c r="F1690" s="11" t="s">
        <v>1720</v>
      </c>
      <c r="G1690" s="46">
        <v>670663740</v>
      </c>
      <c r="H1690" s="2" t="s">
        <v>1721</v>
      </c>
      <c r="I1690" s="12" t="s">
        <v>1722</v>
      </c>
      <c r="J1690" s="41">
        <f>+Tabla1[[#This Row],[FECHA ENTRADA]]</f>
        <v>45725</v>
      </c>
      <c r="K1690" s="22">
        <v>45821</v>
      </c>
      <c r="L1690" s="42">
        <f>_xlfn.DAYS(Tabla1[[#This Row],[FECHA FIN ]],Tabla1[[#This Row],[FECHA INICIO]])</f>
        <v>96</v>
      </c>
      <c r="M1690" s="12"/>
      <c r="N1690" s="12">
        <f>1811.6/17</f>
        <v>106.56470588235294</v>
      </c>
      <c r="O1690" s="28">
        <f>(Tabla1[[#This Row],[COSTO FIJO ]]/30)*Tabla1[[#This Row],[TOTAL DIAS PROYECTO]]+(Tabla1[[#This Row],[COSTO TEMPORAL]])</f>
        <v>341.00705882352941</v>
      </c>
      <c r="P1690" s="12">
        <f>542.69/4</f>
        <v>135.67250000000001</v>
      </c>
      <c r="Q1690" s="12">
        <f>+(Tabla1[[#This Row],[COSTO COCHE]]/30)*Tabla1[[#This Row],[TOTAL DIAS PROYECTO]]</f>
        <v>434.15200000000004</v>
      </c>
      <c r="R1690" s="12">
        <f>+Tabla1[[#This Row],[COSTO TOTAL ALOJAMIENTO]]+Tabla1[[#This Row],[COSTO TOTAL COCHE]]</f>
        <v>775.15905882352945</v>
      </c>
      <c r="S1690" s="2" t="s">
        <v>84</v>
      </c>
      <c r="T1690" s="2" t="s">
        <v>44</v>
      </c>
      <c r="U1690" s="14">
        <v>45725</v>
      </c>
      <c r="V1690" s="43">
        <v>45735</v>
      </c>
      <c r="W1690" s="26"/>
      <c r="X1690" s="2"/>
      <c r="Y1690" s="11"/>
      <c r="Z1690" s="2" t="s">
        <v>36</v>
      </c>
      <c r="AA1690" s="13" t="s">
        <v>10427</v>
      </c>
      <c r="AB1690" s="13">
        <v>4260003</v>
      </c>
    </row>
    <row r="1691" spans="1:28" ht="15" customHeight="1">
      <c r="A1691" s="2" t="s">
        <v>9200</v>
      </c>
      <c r="B1691" s="2" t="s">
        <v>28</v>
      </c>
      <c r="C1691" s="11" t="s">
        <v>2415</v>
      </c>
      <c r="D1691" s="2" t="s">
        <v>99</v>
      </c>
      <c r="E1691" s="2" t="s">
        <v>253</v>
      </c>
      <c r="F1691" s="11" t="s">
        <v>771</v>
      </c>
      <c r="G1691" s="49" t="s">
        <v>772</v>
      </c>
      <c r="H1691" s="2" t="s">
        <v>1820</v>
      </c>
      <c r="I1691" s="12" t="s">
        <v>256</v>
      </c>
      <c r="J1691" s="22">
        <f>+Tabla1[[#This Row],[FECHA ENTRADA]]</f>
        <v>45734</v>
      </c>
      <c r="K1691" s="22">
        <v>45821</v>
      </c>
      <c r="L1691" s="23">
        <f>_xlfn.DAYS(Tabla1[[#This Row],[FECHA FIN ]],Tabla1[[#This Row],[FECHA INICIO]])</f>
        <v>87</v>
      </c>
      <c r="M1691" s="12"/>
      <c r="N1691" s="12"/>
      <c r="O1691" s="24">
        <f>(Tabla1[[#This Row],[COSTO FIJO ]]/30)*Tabla1[[#This Row],[TOTAL DIAS PROYECTO]]+(Tabla1[[#This Row],[COSTO TEMPORAL]])</f>
        <v>0</v>
      </c>
      <c r="P1691" s="12"/>
      <c r="Q1691" s="12">
        <f>+(Tabla1[[#This Row],[COSTO COCHE]]/30)*Tabla1[[#This Row],[TOTAL DIAS PROYECTO]]</f>
        <v>0</v>
      </c>
      <c r="R1691" s="12">
        <f>+Tabla1[[#This Row],[COSTO TOTAL ALOJAMIENTO]]+Tabla1[[#This Row],[COSTO TOTAL COCHE]]</f>
        <v>0</v>
      </c>
      <c r="S1691" s="2"/>
      <c r="T1691" s="2" t="s">
        <v>44</v>
      </c>
      <c r="U1691" s="14">
        <v>45734</v>
      </c>
      <c r="V1691" s="25">
        <v>45737</v>
      </c>
      <c r="W1691" s="26"/>
      <c r="X1691" s="2"/>
      <c r="Y1691" s="11" t="s">
        <v>1361</v>
      </c>
      <c r="Z1691" s="2" t="s">
        <v>36</v>
      </c>
      <c r="AA1691" s="13" t="s">
        <v>10357</v>
      </c>
      <c r="AB1691" s="13" t="s">
        <v>10358</v>
      </c>
    </row>
    <row r="1692" spans="1:28" ht="15" customHeight="1">
      <c r="A1692" s="2" t="s">
        <v>9450</v>
      </c>
      <c r="B1692" s="2" t="s">
        <v>368</v>
      </c>
      <c r="C1692" s="11" t="s">
        <v>3224</v>
      </c>
      <c r="D1692" s="2" t="s">
        <v>30</v>
      </c>
      <c r="E1692" s="2" t="s">
        <v>855</v>
      </c>
      <c r="F1692" s="11" t="s">
        <v>1662</v>
      </c>
      <c r="G1692" s="46" t="s">
        <v>1474</v>
      </c>
      <c r="H1692" s="2" t="s">
        <v>1741</v>
      </c>
      <c r="I1692" s="12" t="s">
        <v>1288</v>
      </c>
      <c r="J1692" s="22">
        <f>+Tabla1[[#This Row],[FECHA ENTRADA]]</f>
        <v>45728</v>
      </c>
      <c r="K1692" s="22">
        <v>45821</v>
      </c>
      <c r="L1692" s="23">
        <f>_xlfn.DAYS(Tabla1[[#This Row],[FECHA FIN ]],Tabla1[[#This Row],[FECHA INICIO]])</f>
        <v>93</v>
      </c>
      <c r="M1692" s="12"/>
      <c r="N1692" s="12"/>
      <c r="O1692" s="24">
        <f>(Tabla1[[#This Row],[COSTO FIJO ]]/30)*Tabla1[[#This Row],[TOTAL DIAS PROYECTO]]+(Tabla1[[#This Row],[COSTO TEMPORAL]])</f>
        <v>0</v>
      </c>
      <c r="P1692" s="12"/>
      <c r="Q1692" s="12">
        <f>+(Tabla1[[#This Row],[COSTO COCHE]]/30)*Tabla1[[#This Row],[TOTAL DIAS PROYECTO]]</f>
        <v>0</v>
      </c>
      <c r="R1692" s="12">
        <f>+Tabla1[[#This Row],[COSTO TOTAL ALOJAMIENTO]]+Tabla1[[#This Row],[COSTO TOTAL COCHE]]</f>
        <v>0</v>
      </c>
      <c r="S1692" s="2"/>
      <c r="T1692" s="2" t="s">
        <v>44</v>
      </c>
      <c r="U1692" s="14">
        <v>45728</v>
      </c>
      <c r="V1692" s="79">
        <v>45737</v>
      </c>
      <c r="W1692" s="26"/>
      <c r="X1692" s="2"/>
      <c r="Y1692" s="11" t="s">
        <v>1166</v>
      </c>
      <c r="Z1692" s="2" t="s">
        <v>36</v>
      </c>
      <c r="AA1692" s="13" t="s">
        <v>10401</v>
      </c>
      <c r="AB1692" s="13" t="s">
        <v>10402</v>
      </c>
    </row>
    <row r="1693" spans="1:28" ht="15" customHeight="1">
      <c r="A1693" s="2" t="s">
        <v>9458</v>
      </c>
      <c r="B1693" s="2" t="s">
        <v>28</v>
      </c>
      <c r="C1693" s="11" t="s">
        <v>3247</v>
      </c>
      <c r="D1693" s="2" t="s">
        <v>30</v>
      </c>
      <c r="E1693" s="2" t="s">
        <v>253</v>
      </c>
      <c r="F1693" s="11" t="s">
        <v>771</v>
      </c>
      <c r="G1693" s="49" t="s">
        <v>772</v>
      </c>
      <c r="H1693" s="184" t="s">
        <v>3248</v>
      </c>
      <c r="I1693" s="47" t="s">
        <v>256</v>
      </c>
      <c r="J1693" s="22">
        <f>+Tabla1[[#This Row],[FECHA ENTRADA]]</f>
        <v>45727</v>
      </c>
      <c r="K1693" s="22">
        <v>45821</v>
      </c>
      <c r="L1693" s="23">
        <f>_xlfn.DAYS(Tabla1[[#This Row],[FECHA FIN ]],Tabla1[[#This Row],[FECHA INICIO]])</f>
        <v>94</v>
      </c>
      <c r="M1693" s="12"/>
      <c r="N1693" s="12"/>
      <c r="O1693" s="24">
        <f>(Tabla1[[#This Row],[COSTO FIJO ]]/30)*Tabla1[[#This Row],[TOTAL DIAS PROYECTO]]+(Tabla1[[#This Row],[COSTO TEMPORAL]])</f>
        <v>0</v>
      </c>
      <c r="P1693" s="12"/>
      <c r="Q1693" s="12">
        <f>+(Tabla1[[#This Row],[COSTO COCHE]]/30)*Tabla1[[#This Row],[TOTAL DIAS PROYECTO]]</f>
        <v>0</v>
      </c>
      <c r="R1693" s="12">
        <f>+Tabla1[[#This Row],[COSTO TOTAL ALOJAMIENTO]]+Tabla1[[#This Row],[COSTO TOTAL COCHE]]</f>
        <v>0</v>
      </c>
      <c r="S1693" s="2"/>
      <c r="T1693" s="2" t="s">
        <v>44</v>
      </c>
      <c r="U1693" s="14">
        <v>45727</v>
      </c>
      <c r="V1693" s="25">
        <v>45737</v>
      </c>
      <c r="W1693" s="26"/>
      <c r="X1693" s="2"/>
      <c r="Y1693" s="11" t="s">
        <v>1361</v>
      </c>
      <c r="Z1693" s="2" t="s">
        <v>36</v>
      </c>
      <c r="AA1693" s="13" t="s">
        <v>10357</v>
      </c>
      <c r="AB1693" s="13" t="s">
        <v>10358</v>
      </c>
    </row>
    <row r="1694" spans="1:28" ht="15" customHeight="1">
      <c r="A1694" s="2" t="s">
        <v>9328</v>
      </c>
      <c r="B1694" s="2" t="s">
        <v>368</v>
      </c>
      <c r="C1694" s="11" t="s">
        <v>2837</v>
      </c>
      <c r="D1694" s="2" t="s">
        <v>30</v>
      </c>
      <c r="E1694" s="2" t="s">
        <v>855</v>
      </c>
      <c r="F1694" s="11" t="s">
        <v>1662</v>
      </c>
      <c r="G1694" s="46" t="s">
        <v>1474</v>
      </c>
      <c r="H1694" s="2" t="s">
        <v>1741</v>
      </c>
      <c r="I1694" s="12" t="s">
        <v>1288</v>
      </c>
      <c r="J1694" s="22">
        <f>+Tabla1[[#This Row],[FECHA ENTRADA]]</f>
        <v>45728</v>
      </c>
      <c r="K1694" s="22">
        <v>45821</v>
      </c>
      <c r="L1694" s="23">
        <f>_xlfn.DAYS(Tabla1[[#This Row],[FECHA FIN ]],Tabla1[[#This Row],[FECHA INICIO]])</f>
        <v>93</v>
      </c>
      <c r="M1694" s="12"/>
      <c r="N1694" s="12">
        <f>1811.6/17</f>
        <v>106.56470588235294</v>
      </c>
      <c r="O1694" s="24">
        <f>(Tabla1[[#This Row],[COSTO FIJO ]]/30)*Tabla1[[#This Row],[TOTAL DIAS PROYECTO]]+(Tabla1[[#This Row],[COSTO TEMPORAL]])</f>
        <v>330.35058823529414</v>
      </c>
      <c r="P1694" s="12"/>
      <c r="Q1694" s="12">
        <f>+(Tabla1[[#This Row],[COSTO COCHE]]/30)*Tabla1[[#This Row],[TOTAL DIAS PROYECTO]]</f>
        <v>0</v>
      </c>
      <c r="R1694" s="12">
        <f>+Tabla1[[#This Row],[COSTO TOTAL ALOJAMIENTO]]+Tabla1[[#This Row],[COSTO TOTAL COCHE]]</f>
        <v>330.35058823529414</v>
      </c>
      <c r="S1694" s="2"/>
      <c r="T1694" s="2" t="s">
        <v>44</v>
      </c>
      <c r="U1694" s="14">
        <v>45728</v>
      </c>
      <c r="V1694" s="79">
        <v>45737</v>
      </c>
      <c r="W1694" s="26"/>
      <c r="X1694" s="2"/>
      <c r="Y1694" s="11" t="s">
        <v>1166</v>
      </c>
      <c r="Z1694" s="2" t="s">
        <v>36</v>
      </c>
      <c r="AA1694" s="13" t="s">
        <v>10401</v>
      </c>
      <c r="AB1694" s="13" t="s">
        <v>10402</v>
      </c>
    </row>
    <row r="1695" spans="1:28" ht="15" customHeight="1">
      <c r="A1695" s="2" t="s">
        <v>8884</v>
      </c>
      <c r="B1695" s="2" t="s">
        <v>28</v>
      </c>
      <c r="C1695" s="11" t="s">
        <v>1160</v>
      </c>
      <c r="D1695" s="2" t="s">
        <v>30</v>
      </c>
      <c r="E1695" s="2" t="s">
        <v>599</v>
      </c>
      <c r="F1695" s="11" t="s">
        <v>1949</v>
      </c>
      <c r="G1695" s="30" t="s">
        <v>1950</v>
      </c>
      <c r="H1695" s="2" t="s">
        <v>1396</v>
      </c>
      <c r="I1695" s="12" t="s">
        <v>1067</v>
      </c>
      <c r="J1695" s="41">
        <f>+Tabla1[[#This Row],[FECHA ENTRADA]]</f>
        <v>45677</v>
      </c>
      <c r="K1695" s="22">
        <v>45821</v>
      </c>
      <c r="L1695" s="42">
        <f>_xlfn.DAYS(Tabla1[[#This Row],[FECHA FIN ]],Tabla1[[#This Row],[FECHA INICIO]])</f>
        <v>144</v>
      </c>
      <c r="M1695" s="12"/>
      <c r="N1695" s="12">
        <f>1811.6/17</f>
        <v>106.56470588235294</v>
      </c>
      <c r="O1695" s="28">
        <f>(Tabla1[[#This Row],[COSTO FIJO ]]/30)*Tabla1[[#This Row],[TOTAL DIAS PROYECTO]]+(Tabla1[[#This Row],[COSTO TEMPORAL]])</f>
        <v>511.51058823529411</v>
      </c>
      <c r="P1695" s="12">
        <f>400/3</f>
        <v>133.33333333333334</v>
      </c>
      <c r="Q1695" s="12">
        <f>+(Tabla1[[#This Row],[COSTO COCHE]]/30)*Tabla1[[#This Row],[TOTAL DIAS PROYECTO]]</f>
        <v>640</v>
      </c>
      <c r="R1695" s="12">
        <f>+Tabla1[[#This Row],[COSTO TOTAL ALOJAMIENTO]]+Tabla1[[#This Row],[COSTO TOTAL COCHE]]</f>
        <v>1151.5105882352941</v>
      </c>
      <c r="S1695" s="2"/>
      <c r="T1695" s="2" t="s">
        <v>44</v>
      </c>
      <c r="U1695" s="14">
        <v>45677</v>
      </c>
      <c r="V1695" s="43">
        <v>45737</v>
      </c>
      <c r="W1695" s="26"/>
      <c r="X1695" s="2">
        <v>18</v>
      </c>
      <c r="Y1695" s="30" t="s">
        <v>1951</v>
      </c>
      <c r="Z1695" s="2" t="s">
        <v>36</v>
      </c>
      <c r="AA1695" s="13" t="s">
        <v>10382</v>
      </c>
      <c r="AB1695" s="13">
        <v>4038884</v>
      </c>
    </row>
    <row r="1696" spans="1:28" ht="15" customHeight="1">
      <c r="A1696" s="2" t="s">
        <v>9459</v>
      </c>
      <c r="B1696" s="2" t="s">
        <v>28</v>
      </c>
      <c r="C1696" s="11" t="s">
        <v>3249</v>
      </c>
      <c r="D1696" s="2" t="s">
        <v>30</v>
      </c>
      <c r="E1696" s="2" t="s">
        <v>253</v>
      </c>
      <c r="F1696" s="11" t="s">
        <v>771</v>
      </c>
      <c r="G1696" s="49" t="s">
        <v>772</v>
      </c>
      <c r="H1696" s="184" t="s">
        <v>3248</v>
      </c>
      <c r="I1696" s="47" t="s">
        <v>256</v>
      </c>
      <c r="J1696" s="22">
        <f>+Tabla1[[#This Row],[FECHA ENTRADA]]</f>
        <v>45727</v>
      </c>
      <c r="K1696" s="22">
        <v>45821</v>
      </c>
      <c r="L1696" s="23">
        <f>_xlfn.DAYS(Tabla1[[#This Row],[FECHA FIN ]],Tabla1[[#This Row],[FECHA INICIO]])</f>
        <v>94</v>
      </c>
      <c r="M1696" s="12"/>
      <c r="N1696" s="24"/>
      <c r="O1696" s="24">
        <f>(Tabla1[[#This Row],[COSTO FIJO ]]/30)*Tabla1[[#This Row],[TOTAL DIAS PROYECTO]]+(Tabla1[[#This Row],[COSTO TEMPORAL]])</f>
        <v>0</v>
      </c>
      <c r="P1696" s="12"/>
      <c r="Q1696" s="12">
        <f>+(Tabla1[[#This Row],[COSTO COCHE]]/30)*Tabla1[[#This Row],[TOTAL DIAS PROYECTO]]</f>
        <v>0</v>
      </c>
      <c r="R1696" s="12">
        <f>+Tabla1[[#This Row],[COSTO TOTAL ALOJAMIENTO]]+Tabla1[[#This Row],[COSTO TOTAL COCHE]]</f>
        <v>0</v>
      </c>
      <c r="S1696" s="2"/>
      <c r="T1696" s="2" t="s">
        <v>44</v>
      </c>
      <c r="U1696" s="14">
        <v>45727</v>
      </c>
      <c r="V1696" s="25">
        <v>45737</v>
      </c>
      <c r="W1696" s="26"/>
      <c r="X1696" s="2"/>
      <c r="Y1696" s="11" t="s">
        <v>1361</v>
      </c>
      <c r="Z1696" s="2" t="s">
        <v>36</v>
      </c>
      <c r="AA1696" s="13" t="s">
        <v>10357</v>
      </c>
      <c r="AB1696" s="13" t="s">
        <v>10358</v>
      </c>
    </row>
    <row r="1697" spans="1:28" ht="15" customHeight="1">
      <c r="A1697" s="2" t="s">
        <v>9415</v>
      </c>
      <c r="B1697" s="2" t="s">
        <v>368</v>
      </c>
      <c r="C1697" s="11" t="s">
        <v>3099</v>
      </c>
      <c r="D1697" s="2" t="s">
        <v>30</v>
      </c>
      <c r="E1697" s="2" t="s">
        <v>855</v>
      </c>
      <c r="F1697" s="11" t="s">
        <v>1662</v>
      </c>
      <c r="G1697" s="46" t="s">
        <v>1474</v>
      </c>
      <c r="H1697" s="2" t="s">
        <v>1741</v>
      </c>
      <c r="I1697" s="12" t="s">
        <v>1288</v>
      </c>
      <c r="J1697" s="22">
        <f>+Tabla1[[#This Row],[FECHA ENTRADA]]</f>
        <v>45728</v>
      </c>
      <c r="K1697" s="22">
        <v>45821</v>
      </c>
      <c r="L1697" s="23">
        <f>_xlfn.DAYS(Tabla1[[#This Row],[FECHA FIN ]],Tabla1[[#This Row],[FECHA INICIO]])</f>
        <v>93</v>
      </c>
      <c r="M1697" s="12"/>
      <c r="N1697" s="20"/>
      <c r="O1697" s="24">
        <f>(Tabla1[[#This Row],[COSTO FIJO ]]/30)*Tabla1[[#This Row],[TOTAL DIAS PROYECTO]]+(Tabla1[[#This Row],[COSTO TEMPORAL]])</f>
        <v>0</v>
      </c>
      <c r="P1697" s="12"/>
      <c r="Q1697" s="12">
        <f>+(Tabla1[[#This Row],[COSTO COCHE]]/30)*Tabla1[[#This Row],[TOTAL DIAS PROYECTO]]</f>
        <v>0</v>
      </c>
      <c r="R1697" s="12">
        <f>+Tabla1[[#This Row],[COSTO TOTAL ALOJAMIENTO]]+Tabla1[[#This Row],[COSTO TOTAL COCHE]]</f>
        <v>0</v>
      </c>
      <c r="S1697" s="2"/>
      <c r="T1697" s="2" t="s">
        <v>44</v>
      </c>
      <c r="U1697" s="14">
        <v>45728</v>
      </c>
      <c r="V1697" s="79">
        <v>45737</v>
      </c>
      <c r="W1697" s="26"/>
      <c r="X1697" s="2"/>
      <c r="Y1697" s="11" t="s">
        <v>1166</v>
      </c>
      <c r="Z1697" s="2" t="s">
        <v>36</v>
      </c>
      <c r="AA1697" s="13" t="s">
        <v>10401</v>
      </c>
      <c r="AB1697" s="13" t="s">
        <v>10402</v>
      </c>
    </row>
    <row r="1698" spans="1:28" ht="15" customHeight="1">
      <c r="A1698" s="2" t="s">
        <v>8880</v>
      </c>
      <c r="B1698" s="2" t="s">
        <v>28</v>
      </c>
      <c r="C1698" s="11" t="s">
        <v>1146</v>
      </c>
      <c r="D1698" s="2" t="s">
        <v>99</v>
      </c>
      <c r="E1698" s="2" t="s">
        <v>55</v>
      </c>
      <c r="F1698" s="11" t="s">
        <v>2127</v>
      </c>
      <c r="G1698" s="46" t="s">
        <v>2128</v>
      </c>
      <c r="H1698" s="2" t="s">
        <v>1967</v>
      </c>
      <c r="I1698" s="12" t="s">
        <v>1968</v>
      </c>
      <c r="J1698" s="22">
        <f>+Tabla1[[#This Row],[FECHA ENTRADA]]</f>
        <v>45699</v>
      </c>
      <c r="K1698" s="22">
        <v>45821</v>
      </c>
      <c r="L1698" s="23">
        <f>_xlfn.DAYS(Tabla1[[#This Row],[FECHA FIN ]],Tabla1[[#This Row],[FECHA INICIO]])</f>
        <v>122</v>
      </c>
      <c r="M1698" s="12"/>
      <c r="N1698" s="12">
        <f>1811.6/17</f>
        <v>106.56470588235294</v>
      </c>
      <c r="O1698" s="24">
        <f>(Tabla1[[#This Row],[COSTO FIJO ]]/30)*Tabla1[[#This Row],[TOTAL DIAS PROYECTO]]+(Tabla1[[#This Row],[COSTO TEMPORAL]])</f>
        <v>433.36313725490197</v>
      </c>
      <c r="P1698" s="12"/>
      <c r="Q1698" s="12">
        <f>+(Tabla1[[#This Row],[COSTO COCHE]]/30)*Tabla1[[#This Row],[TOTAL DIAS PROYECTO]]</f>
        <v>0</v>
      </c>
      <c r="R1698" s="12">
        <f>+Tabla1[[#This Row],[COSTO TOTAL ALOJAMIENTO]]+Tabla1[[#This Row],[COSTO TOTAL COCHE]]</f>
        <v>433.36313725490197</v>
      </c>
      <c r="S1698" s="2"/>
      <c r="T1698" s="2" t="s">
        <v>35</v>
      </c>
      <c r="U1698" s="14">
        <v>45699</v>
      </c>
      <c r="V1698" s="25"/>
      <c r="W1698" s="26"/>
      <c r="X1698" s="2">
        <v>1</v>
      </c>
      <c r="Y1698" s="11" t="s">
        <v>1166</v>
      </c>
      <c r="Z1698" s="2" t="s">
        <v>36</v>
      </c>
      <c r="AA1698" s="13" t="s">
        <v>10327</v>
      </c>
      <c r="AB1698" s="13" t="s">
        <v>10328</v>
      </c>
    </row>
    <row r="1699" spans="1:28" ht="15" customHeight="1">
      <c r="A1699" s="2" t="s">
        <v>9451</v>
      </c>
      <c r="B1699" s="2" t="s">
        <v>368</v>
      </c>
      <c r="C1699" s="11" t="s">
        <v>3225</v>
      </c>
      <c r="D1699" s="2" t="s">
        <v>30</v>
      </c>
      <c r="E1699" s="2" t="s">
        <v>55</v>
      </c>
      <c r="F1699" s="11" t="s">
        <v>1776</v>
      </c>
      <c r="G1699" s="87" t="s">
        <v>106</v>
      </c>
      <c r="H1699" s="2" t="s">
        <v>1622</v>
      </c>
      <c r="I1699" s="30" t="s">
        <v>1620</v>
      </c>
      <c r="J1699" s="41">
        <f>+Tabla1[[#This Row],[FECHA ENTRADA]]</f>
        <v>45710</v>
      </c>
      <c r="K1699" s="22">
        <v>45821</v>
      </c>
      <c r="L1699" s="42">
        <f>_xlfn.DAYS(Tabla1[[#This Row],[FECHA FIN ]],Tabla1[[#This Row],[FECHA INICIO]])</f>
        <v>111</v>
      </c>
      <c r="M1699" s="12"/>
      <c r="N1699" s="12">
        <v>483.33333333333331</v>
      </c>
      <c r="O1699" s="28">
        <f>(Tabla1[[#This Row],[COSTO FIJO ]]/30)*Tabla1[[#This Row],[TOTAL DIAS PROYECTO]]+(Tabla1[[#This Row],[COSTO TEMPORAL]])</f>
        <v>1788.3333333333333</v>
      </c>
      <c r="P1699" s="12"/>
      <c r="Q1699" s="12"/>
      <c r="R1699" s="12">
        <f>+Tabla1[[#This Row],[COSTO TOTAL ALOJAMIENTO]]+Tabla1[[#This Row],[COSTO TOTAL COCHE]]</f>
        <v>1788.3333333333333</v>
      </c>
      <c r="S1699" s="2"/>
      <c r="T1699" s="2" t="s">
        <v>35</v>
      </c>
      <c r="U1699" s="14">
        <v>45710</v>
      </c>
      <c r="V1699" s="43"/>
      <c r="W1699" s="26"/>
      <c r="X1699" s="2">
        <v>1</v>
      </c>
      <c r="Y1699" s="11"/>
      <c r="Z1699" s="2" t="s">
        <v>36</v>
      </c>
      <c r="AA1699" s="13" t="s">
        <v>10327</v>
      </c>
      <c r="AB1699" s="13" t="s">
        <v>10328</v>
      </c>
    </row>
    <row r="1700" spans="1:28" ht="15" customHeight="1">
      <c r="A1700" s="2" t="s">
        <v>9460</v>
      </c>
      <c r="B1700" s="2" t="s">
        <v>368</v>
      </c>
      <c r="C1700" s="11" t="s">
        <v>3250</v>
      </c>
      <c r="D1700" s="2" t="s">
        <v>99</v>
      </c>
      <c r="E1700" s="2" t="s">
        <v>87</v>
      </c>
      <c r="F1700" s="11" t="s">
        <v>1740</v>
      </c>
      <c r="G1700" s="49">
        <v>916607649</v>
      </c>
      <c r="H1700" s="2" t="s">
        <v>1839</v>
      </c>
      <c r="I1700" s="12" t="s">
        <v>1288</v>
      </c>
      <c r="J1700" s="22">
        <f>+Tabla1[[#This Row],[FECHA ENTRADA]]</f>
        <v>45735</v>
      </c>
      <c r="K1700" s="22">
        <v>45821</v>
      </c>
      <c r="L1700" s="23">
        <f>_xlfn.DAYS(Tabla1[[#This Row],[FECHA FIN ]],Tabla1[[#This Row],[FECHA INICIO]])</f>
        <v>86</v>
      </c>
      <c r="M1700" s="12"/>
      <c r="N1700" s="24"/>
      <c r="O1700" s="24">
        <f>(Tabla1[[#This Row],[COSTO FIJO ]]/30)*Tabla1[[#This Row],[TOTAL DIAS PROYECTO]]+(Tabla1[[#This Row],[COSTO TEMPORAL]])</f>
        <v>0</v>
      </c>
      <c r="P1700" s="12"/>
      <c r="Q1700" s="12">
        <f>+(Tabla1[[#This Row],[COSTO COCHE]]/30)*Tabla1[[#This Row],[TOTAL DIAS PROYECTO]]</f>
        <v>0</v>
      </c>
      <c r="R1700" s="12">
        <f>+Tabla1[[#This Row],[COSTO TOTAL ALOJAMIENTO]]+Tabla1[[#This Row],[COSTO TOTAL COCHE]]</f>
        <v>0</v>
      </c>
      <c r="S1700" s="2"/>
      <c r="T1700" s="2" t="s">
        <v>44</v>
      </c>
      <c r="U1700" s="14">
        <v>45735</v>
      </c>
      <c r="V1700" s="25">
        <v>45740</v>
      </c>
      <c r="W1700" s="26"/>
      <c r="X1700" s="2"/>
      <c r="Y1700" s="11"/>
      <c r="Z1700" s="2" t="s">
        <v>36</v>
      </c>
      <c r="AA1700" s="13" t="s">
        <v>10335</v>
      </c>
      <c r="AB1700" s="13">
        <v>404.16500000000002</v>
      </c>
    </row>
    <row r="1701" spans="1:28" ht="15" customHeight="1">
      <c r="A1701" s="2" t="s">
        <v>9378</v>
      </c>
      <c r="B1701" s="2" t="s">
        <v>368</v>
      </c>
      <c r="C1701" s="11" t="s">
        <v>2978</v>
      </c>
      <c r="D1701" s="2" t="s">
        <v>749</v>
      </c>
      <c r="E1701" s="2" t="s">
        <v>1853</v>
      </c>
      <c r="F1701" s="11" t="s">
        <v>1854</v>
      </c>
      <c r="G1701" s="49" t="s">
        <v>1855</v>
      </c>
      <c r="H1701" s="2" t="s">
        <v>1856</v>
      </c>
      <c r="I1701" s="10" t="s">
        <v>1857</v>
      </c>
      <c r="J1701" s="22">
        <f>+Tabla1[[#This Row],[FECHA ENTRADA]]</f>
        <v>45741</v>
      </c>
      <c r="K1701" s="22">
        <v>45821</v>
      </c>
      <c r="L1701" s="23">
        <f>_xlfn.DAYS(Tabla1[[#This Row],[FECHA FIN ]],Tabla1[[#This Row],[FECHA INICIO]])</f>
        <v>80</v>
      </c>
      <c r="M1701" s="12"/>
      <c r="N1701" s="12"/>
      <c r="O1701" s="24">
        <f>(Tabla1[[#This Row],[COSTO FIJO ]]/30)*Tabla1[[#This Row],[TOTAL DIAS PROYECTO]]+(Tabla1[[#This Row],[COSTO TEMPORAL]])</f>
        <v>0</v>
      </c>
      <c r="P1701" s="12"/>
      <c r="Q1701" s="12">
        <f>+(Tabla1[[#This Row],[COSTO COCHE]]/30)*Tabla1[[#This Row],[TOTAL DIAS PROYECTO]]</f>
        <v>0</v>
      </c>
      <c r="R1701" s="12">
        <f>+Tabla1[[#This Row],[COSTO TOTAL ALOJAMIENTO]]+Tabla1[[#This Row],[COSTO TOTAL COCHE]]</f>
        <v>0</v>
      </c>
      <c r="S1701" s="2" t="s">
        <v>403</v>
      </c>
      <c r="T1701" s="2" t="s">
        <v>528</v>
      </c>
      <c r="U1701" s="14">
        <v>45741</v>
      </c>
      <c r="V1701" s="25">
        <v>45744</v>
      </c>
      <c r="W1701" s="26"/>
      <c r="X1701" s="2"/>
      <c r="Y1701" s="11" t="s">
        <v>1166</v>
      </c>
      <c r="Z1701" s="116" t="s">
        <v>36</v>
      </c>
      <c r="AA1701" s="13" t="s">
        <v>10432</v>
      </c>
      <c r="AB1701" s="13">
        <v>45.464269999999999</v>
      </c>
    </row>
    <row r="1702" spans="1:28" ht="15" customHeight="1">
      <c r="A1702" s="2" t="s">
        <v>9457</v>
      </c>
      <c r="B1702" s="2" t="s">
        <v>368</v>
      </c>
      <c r="C1702" s="11" t="s">
        <v>3246</v>
      </c>
      <c r="D1702" s="2" t="s">
        <v>749</v>
      </c>
      <c r="E1702" s="2" t="s">
        <v>1853</v>
      </c>
      <c r="F1702" s="11" t="s">
        <v>1854</v>
      </c>
      <c r="G1702" s="49" t="s">
        <v>1855</v>
      </c>
      <c r="H1702" s="2" t="s">
        <v>1856</v>
      </c>
      <c r="I1702" s="10" t="s">
        <v>1857</v>
      </c>
      <c r="J1702" s="22">
        <f>+Tabla1[[#This Row],[FECHA ENTRADA]]</f>
        <v>45741</v>
      </c>
      <c r="K1702" s="22">
        <v>45821</v>
      </c>
      <c r="L1702" s="23">
        <f>_xlfn.DAYS(Tabla1[[#This Row],[FECHA FIN ]],Tabla1[[#This Row],[FECHA INICIO]])</f>
        <v>80</v>
      </c>
      <c r="M1702" s="12"/>
      <c r="N1702" s="12">
        <f>1811.6/17</f>
        <v>106.56470588235294</v>
      </c>
      <c r="O1702" s="24">
        <f>(Tabla1[[#This Row],[COSTO FIJO ]]/30)*Tabla1[[#This Row],[TOTAL DIAS PROYECTO]]+(Tabla1[[#This Row],[COSTO TEMPORAL]])</f>
        <v>284.17254901960786</v>
      </c>
      <c r="P1702" s="12"/>
      <c r="Q1702" s="12">
        <f>+(Tabla1[[#This Row],[COSTO COCHE]]/30)*Tabla1[[#This Row],[TOTAL DIAS PROYECTO]]</f>
        <v>0</v>
      </c>
      <c r="R1702" s="12">
        <f>+Tabla1[[#This Row],[COSTO TOTAL ALOJAMIENTO]]+Tabla1[[#This Row],[COSTO TOTAL COCHE]]</f>
        <v>284.17254901960786</v>
      </c>
      <c r="S1702" s="2" t="s">
        <v>403</v>
      </c>
      <c r="T1702" s="2" t="s">
        <v>528</v>
      </c>
      <c r="U1702" s="14">
        <v>45741</v>
      </c>
      <c r="V1702" s="25">
        <v>45744</v>
      </c>
      <c r="W1702" s="26"/>
      <c r="X1702" s="2"/>
      <c r="Y1702" s="11" t="s">
        <v>1166</v>
      </c>
      <c r="Z1702" s="116" t="s">
        <v>36</v>
      </c>
      <c r="AA1702" s="13" t="s">
        <v>10432</v>
      </c>
      <c r="AB1702" s="13">
        <v>45.464269999999999</v>
      </c>
    </row>
    <row r="1703" spans="1:28" ht="15" customHeight="1">
      <c r="A1703" s="2" t="s">
        <v>8791</v>
      </c>
      <c r="B1703" s="2" t="s">
        <v>368</v>
      </c>
      <c r="C1703" s="87" t="s">
        <v>782</v>
      </c>
      <c r="D1703" s="2" t="s">
        <v>78</v>
      </c>
      <c r="E1703" s="2" t="s">
        <v>1297</v>
      </c>
      <c r="F1703" s="11" t="s">
        <v>3251</v>
      </c>
      <c r="G1703" s="46" t="s">
        <v>3252</v>
      </c>
      <c r="H1703" s="2" t="s">
        <v>1300</v>
      </c>
      <c r="I1703" s="29" t="s">
        <v>1301</v>
      </c>
      <c r="J1703" s="41">
        <f>+Tabla1[[#This Row],[FECHA ENTRADA]]</f>
        <v>45633</v>
      </c>
      <c r="K1703" s="22">
        <v>45821</v>
      </c>
      <c r="L1703" s="42">
        <f>_xlfn.DAYS(Tabla1[[#This Row],[FECHA FIN ]],Tabla1[[#This Row],[FECHA INICIO]])</f>
        <v>188</v>
      </c>
      <c r="M1703" s="12"/>
      <c r="N1703" s="12">
        <f>+(2603.53/5)</f>
        <v>520.70600000000002</v>
      </c>
      <c r="O1703" s="28">
        <f>(Tabla1[[#This Row],[COSTO FIJO ]]/30)*Tabla1[[#This Row],[TOTAL DIAS PROYECTO]]+(Tabla1[[#This Row],[COSTO TEMPORAL]])</f>
        <v>3263.0909333333339</v>
      </c>
      <c r="P1703" s="12">
        <f>651.96/5</f>
        <v>130.392</v>
      </c>
      <c r="Q1703" s="12">
        <f>+(Tabla1[[#This Row],[COSTO COCHE]]/30)*Tabla1[[#This Row],[TOTAL DIAS PROYECTO]]</f>
        <v>817.1232</v>
      </c>
      <c r="R1703" s="12">
        <f>+Tabla1[[#This Row],[COSTO TOTAL ALOJAMIENTO]]+Tabla1[[#This Row],[COSTO TOTAL COCHE]]</f>
        <v>4080.2141333333338</v>
      </c>
      <c r="S1703" s="2" t="s">
        <v>84</v>
      </c>
      <c r="T1703" s="2" t="s">
        <v>44</v>
      </c>
      <c r="U1703" s="14">
        <v>45633</v>
      </c>
      <c r="V1703" s="43">
        <v>45745</v>
      </c>
      <c r="W1703" s="26"/>
      <c r="X1703" s="2"/>
      <c r="Y1703" s="11"/>
      <c r="Z1703" s="2" t="s">
        <v>36</v>
      </c>
      <c r="AA1703" s="13" t="s">
        <v>10414</v>
      </c>
      <c r="AB1703" s="13">
        <v>5094783</v>
      </c>
    </row>
    <row r="1704" spans="1:28" ht="15" customHeight="1">
      <c r="A1704" s="2" t="s">
        <v>9330</v>
      </c>
      <c r="B1704" s="2" t="s">
        <v>368</v>
      </c>
      <c r="C1704" s="87" t="s">
        <v>2842</v>
      </c>
      <c r="D1704" s="2" t="s">
        <v>78</v>
      </c>
      <c r="E1704" s="2" t="s">
        <v>1297</v>
      </c>
      <c r="F1704" s="11" t="s">
        <v>3251</v>
      </c>
      <c r="G1704" s="46" t="s">
        <v>3252</v>
      </c>
      <c r="H1704" s="2" t="s">
        <v>1300</v>
      </c>
      <c r="I1704" s="29" t="s">
        <v>1301</v>
      </c>
      <c r="J1704" s="41">
        <f>+Tabla1[[#This Row],[FECHA ENTRADA]]</f>
        <v>45633</v>
      </c>
      <c r="K1704" s="22">
        <v>45821</v>
      </c>
      <c r="L1704" s="42">
        <f>_xlfn.DAYS(Tabla1[[#This Row],[FECHA FIN ]],Tabla1[[#This Row],[FECHA INICIO]])</f>
        <v>188</v>
      </c>
      <c r="M1704" s="12"/>
      <c r="N1704" s="12">
        <f>1811.6/17</f>
        <v>106.56470588235294</v>
      </c>
      <c r="O1704" s="28">
        <f>(Tabla1[[#This Row],[COSTO FIJO ]]/30)*Tabla1[[#This Row],[TOTAL DIAS PROYECTO]]+(Tabla1[[#This Row],[COSTO TEMPORAL]])</f>
        <v>667.80549019607849</v>
      </c>
      <c r="P1704" s="12">
        <f>651.96/5</f>
        <v>130.392</v>
      </c>
      <c r="Q1704" s="12">
        <f>+(Tabla1[[#This Row],[COSTO COCHE]]/30)*Tabla1[[#This Row],[TOTAL DIAS PROYECTO]]</f>
        <v>817.1232</v>
      </c>
      <c r="R1704" s="12">
        <f>+Tabla1[[#This Row],[COSTO TOTAL ALOJAMIENTO]]+Tabla1[[#This Row],[COSTO TOTAL COCHE]]</f>
        <v>1484.9286901960786</v>
      </c>
      <c r="S1704" s="2" t="s">
        <v>84</v>
      </c>
      <c r="T1704" s="2" t="s">
        <v>44</v>
      </c>
      <c r="U1704" s="14">
        <v>45633</v>
      </c>
      <c r="V1704" s="43">
        <v>45745</v>
      </c>
      <c r="W1704" s="26"/>
      <c r="X1704" s="2"/>
      <c r="Y1704" s="11"/>
      <c r="Z1704" s="2" t="s">
        <v>36</v>
      </c>
      <c r="AA1704" s="13" t="s">
        <v>10414</v>
      </c>
      <c r="AB1704" s="13">
        <v>5094783</v>
      </c>
    </row>
    <row r="1705" spans="1:28" ht="15" customHeight="1">
      <c r="A1705" s="2" t="s">
        <v>9378</v>
      </c>
      <c r="B1705" s="2" t="s">
        <v>368</v>
      </c>
      <c r="C1705" s="11" t="s">
        <v>2978</v>
      </c>
      <c r="D1705" s="2" t="s">
        <v>749</v>
      </c>
      <c r="E1705" s="2" t="s">
        <v>1853</v>
      </c>
      <c r="F1705" s="11" t="s">
        <v>1870</v>
      </c>
      <c r="G1705" s="49" t="s">
        <v>1871</v>
      </c>
      <c r="H1705" s="2" t="s">
        <v>1856</v>
      </c>
      <c r="I1705" s="10" t="s">
        <v>1857</v>
      </c>
      <c r="J1705" s="22">
        <f>+Tabla1[[#This Row],[FECHA ENTRADA]]</f>
        <v>45744</v>
      </c>
      <c r="K1705" s="22">
        <v>45821</v>
      </c>
      <c r="L1705" s="23">
        <f>_xlfn.DAYS(Tabla1[[#This Row],[FECHA FIN ]],Tabla1[[#This Row],[FECHA INICIO]])</f>
        <v>77</v>
      </c>
      <c r="M1705" s="12"/>
      <c r="N1705" s="12"/>
      <c r="O1705" s="24">
        <f>(Tabla1[[#This Row],[COSTO FIJO ]]/30)*Tabla1[[#This Row],[TOTAL DIAS PROYECTO]]+(Tabla1[[#This Row],[COSTO TEMPORAL]])</f>
        <v>0</v>
      </c>
      <c r="P1705" s="12"/>
      <c r="Q1705" s="12">
        <f>+(Tabla1[[#This Row],[COSTO COCHE]]/30)*Tabla1[[#This Row],[TOTAL DIAS PROYECTO]]</f>
        <v>0</v>
      </c>
      <c r="R1705" s="12">
        <f>+Tabla1[[#This Row],[COSTO TOTAL ALOJAMIENTO]]+Tabla1[[#This Row],[COSTO TOTAL COCHE]]</f>
        <v>0</v>
      </c>
      <c r="S1705" s="2" t="s">
        <v>403</v>
      </c>
      <c r="T1705" s="2" t="s">
        <v>528</v>
      </c>
      <c r="U1705" s="14">
        <v>45744</v>
      </c>
      <c r="V1705" s="25">
        <v>45747</v>
      </c>
      <c r="W1705" s="26"/>
      <c r="X1705" s="2"/>
      <c r="Y1705" s="11" t="s">
        <v>1166</v>
      </c>
      <c r="Z1705" s="2" t="s">
        <v>36</v>
      </c>
      <c r="AA1705" s="13" t="s">
        <v>10432</v>
      </c>
      <c r="AB1705" s="134">
        <v>45.464269999999999</v>
      </c>
    </row>
    <row r="1706" spans="1:28" ht="15" customHeight="1">
      <c r="A1706" s="2" t="s">
        <v>8638</v>
      </c>
      <c r="B1706" s="2" t="s">
        <v>28</v>
      </c>
      <c r="C1706" s="11" t="s">
        <v>2769</v>
      </c>
      <c r="D1706" s="2" t="s">
        <v>30</v>
      </c>
      <c r="E1706" s="2" t="s">
        <v>422</v>
      </c>
      <c r="F1706" s="11" t="s">
        <v>2997</v>
      </c>
      <c r="G1706" s="21">
        <v>699109800</v>
      </c>
      <c r="H1706" s="2" t="s">
        <v>2767</v>
      </c>
      <c r="I1706" s="12" t="s">
        <v>2454</v>
      </c>
      <c r="J1706" s="22">
        <f>+Tabla1[[#This Row],[FECHA ENTRADA]]</f>
        <v>45791</v>
      </c>
      <c r="K1706" s="22">
        <v>45821</v>
      </c>
      <c r="L1706" s="23">
        <f>_xlfn.DAYS(Tabla1[[#This Row],[FECHA FIN ]],Tabla1[[#This Row],[FECHA INICIO]])</f>
        <v>30</v>
      </c>
      <c r="M1706" s="12"/>
      <c r="N1706" s="24"/>
      <c r="O1706" s="24">
        <f>(Tabla1[[#This Row],[COSTO FIJO ]]/30)*Tabla1[[#This Row],[TOTAL DIAS PROYECTO]]+(Tabla1[[#This Row],[COSTO TEMPORAL]])</f>
        <v>0</v>
      </c>
      <c r="P1706" s="12"/>
      <c r="Q1706" s="12">
        <f>+(Tabla1[[#This Row],[COSTO COCHE]]/30)*Tabla1[[#This Row],[TOTAL DIAS PROYECTO]]</f>
        <v>0</v>
      </c>
      <c r="R1706" s="12">
        <f>+Tabla1[[#This Row],[COSTO TOTAL ALOJAMIENTO]]+Tabla1[[#This Row],[COSTO TOTAL COCHE]]</f>
        <v>0</v>
      </c>
      <c r="S1706" s="2"/>
      <c r="T1706" s="14" t="s">
        <v>44</v>
      </c>
      <c r="U1706" s="14">
        <v>45791</v>
      </c>
      <c r="V1706" s="25">
        <v>45793</v>
      </c>
      <c r="W1706" s="2"/>
      <c r="X1706" s="2"/>
      <c r="Y1706" s="11" t="s">
        <v>1166</v>
      </c>
      <c r="Z1706" s="2" t="s">
        <v>36</v>
      </c>
      <c r="AA1706" s="13">
        <v>-326.69799999999998</v>
      </c>
      <c r="AB1706" s="13" t="s">
        <v>10373</v>
      </c>
    </row>
    <row r="1707" spans="1:28" ht="15" customHeight="1">
      <c r="A1707" s="117" t="s">
        <v>9456</v>
      </c>
      <c r="B1707" s="117" t="s">
        <v>711</v>
      </c>
      <c r="C1707" s="118" t="s">
        <v>3234</v>
      </c>
      <c r="D1707" s="117" t="s">
        <v>99</v>
      </c>
      <c r="E1707" s="117" t="s">
        <v>686</v>
      </c>
      <c r="F1707" s="11" t="s">
        <v>3253</v>
      </c>
      <c r="G1707" s="128" t="s">
        <v>3254</v>
      </c>
      <c r="H1707" s="117" t="s">
        <v>3237</v>
      </c>
      <c r="I1707" s="119" t="s">
        <v>96</v>
      </c>
      <c r="J1707" s="121">
        <f>+Tabla1[[#This Row],[FECHA ENTRADA]]</f>
        <v>46010</v>
      </c>
      <c r="K1707" s="121">
        <f ca="1">TODAY()</f>
        <v>46260</v>
      </c>
      <c r="L1707" s="129">
        <f ca="1">_xlfn.DAYS(Tabla1[[#This Row],[FECHA FIN ]],Tabla1[[#This Row],[FECHA INICIO]])</f>
        <v>250</v>
      </c>
      <c r="M1707" s="119">
        <v>387.5</v>
      </c>
      <c r="N1707" s="130"/>
      <c r="O1707" s="131">
        <f ca="1">(Tabla1[[#This Row],[COSTO FIJO ]]/30)*Tabla1[[#This Row],[TOTAL DIAS PROYECTO]]+(Tabla1[[#This Row],[COSTO TEMPORAL]])</f>
        <v>387.5</v>
      </c>
      <c r="P1707" s="119"/>
      <c r="Q1707" s="119">
        <f ca="1">+(Tabla1[[#This Row],[COSTO COCHE]]/30)*Tabla1[[#This Row],[TOTAL DIAS PROYECTO]]</f>
        <v>0</v>
      </c>
      <c r="R1707" s="119">
        <f ca="1">+Tabla1[[#This Row],[COSTO TOTAL ALOJAMIENTO]]+Tabla1[[#This Row],[COSTO TOTAL COCHE]]</f>
        <v>387.5</v>
      </c>
      <c r="S1707" s="117"/>
      <c r="T1707" s="124" t="s">
        <v>44</v>
      </c>
      <c r="U1707" s="124">
        <v>46010</v>
      </c>
      <c r="V1707" s="125">
        <v>46101</v>
      </c>
      <c r="W1707" s="119"/>
      <c r="X1707" s="117">
        <v>1</v>
      </c>
      <c r="Y1707" s="118" t="s">
        <v>3255</v>
      </c>
      <c r="Z1707" s="117" t="s">
        <v>36</v>
      </c>
      <c r="AA1707" s="127" t="s">
        <v>10393</v>
      </c>
      <c r="AB1707" s="127">
        <v>3834517</v>
      </c>
    </row>
    <row r="1708" spans="1:28" ht="15.75" customHeight="1">
      <c r="A1708" s="2" t="s">
        <v>8638</v>
      </c>
      <c r="B1708" s="2" t="s">
        <v>28</v>
      </c>
      <c r="C1708" s="11" t="s">
        <v>3202</v>
      </c>
      <c r="D1708" s="2" t="s">
        <v>78</v>
      </c>
      <c r="E1708" s="2" t="s">
        <v>1759</v>
      </c>
      <c r="F1708" s="11" t="s">
        <v>1760</v>
      </c>
      <c r="G1708" s="46" t="s">
        <v>1761</v>
      </c>
      <c r="H1708" s="2" t="s">
        <v>3205</v>
      </c>
      <c r="I1708" s="12" t="s">
        <v>1763</v>
      </c>
      <c r="J1708" s="22">
        <f>+Tabla1[[#This Row],[FECHA ENTRADA]]</f>
        <v>45717</v>
      </c>
      <c r="K1708" s="22">
        <v>45821</v>
      </c>
      <c r="L1708" s="23">
        <f>_xlfn.DAYS(Tabla1[[#This Row],[FECHA FIN ]],Tabla1[[#This Row],[FECHA INICIO]])</f>
        <v>104</v>
      </c>
      <c r="M1708" s="12"/>
      <c r="N1708" s="12">
        <f>1811.6/17</f>
        <v>106.56470588235294</v>
      </c>
      <c r="O1708" s="24">
        <f>(Tabla1[[#This Row],[COSTO FIJO ]]/30)*Tabla1[[#This Row],[TOTAL DIAS PROYECTO]]+(Tabla1[[#This Row],[COSTO TEMPORAL]])</f>
        <v>369.42431372549021</v>
      </c>
      <c r="P1708" s="12"/>
      <c r="Q1708" s="12">
        <f>+(Tabla1[[#This Row],[COSTO COCHE]]/30)*Tabla1[[#This Row],[TOTAL DIAS PROYECTO]]</f>
        <v>0</v>
      </c>
      <c r="R1708" s="12">
        <f>+Tabla1[[#This Row],[COSTO TOTAL ALOJAMIENTO]]+Tabla1[[#This Row],[COSTO TOTAL COCHE]]</f>
        <v>369.42431372549021</v>
      </c>
      <c r="S1708" s="2" t="s">
        <v>84</v>
      </c>
      <c r="T1708" s="2" t="s">
        <v>44</v>
      </c>
      <c r="U1708" s="14">
        <v>45717</v>
      </c>
      <c r="V1708" s="25">
        <v>45747</v>
      </c>
      <c r="W1708" s="26"/>
      <c r="X1708" s="2"/>
      <c r="Y1708" s="11" t="s">
        <v>3256</v>
      </c>
      <c r="Z1708" s="116" t="s">
        <v>36</v>
      </c>
      <c r="AA1708" s="13" t="s">
        <v>10430</v>
      </c>
      <c r="AB1708" s="13" t="s">
        <v>10431</v>
      </c>
    </row>
    <row r="1709" spans="1:28" ht="15" customHeight="1">
      <c r="A1709" s="2" t="s">
        <v>9457</v>
      </c>
      <c r="B1709" s="2" t="s">
        <v>368</v>
      </c>
      <c r="C1709" s="11" t="s">
        <v>3246</v>
      </c>
      <c r="D1709" s="2" t="s">
        <v>749</v>
      </c>
      <c r="E1709" s="2" t="s">
        <v>1853</v>
      </c>
      <c r="F1709" s="11" t="s">
        <v>1870</v>
      </c>
      <c r="G1709" s="49" t="s">
        <v>1871</v>
      </c>
      <c r="H1709" s="2" t="s">
        <v>1856</v>
      </c>
      <c r="I1709" s="10" t="s">
        <v>1857</v>
      </c>
      <c r="J1709" s="22">
        <f>+Tabla1[[#This Row],[FECHA ENTRADA]]</f>
        <v>45744</v>
      </c>
      <c r="K1709" s="22">
        <v>45821</v>
      </c>
      <c r="L1709" s="23">
        <f>_xlfn.DAYS(Tabla1[[#This Row],[FECHA FIN ]],Tabla1[[#This Row],[FECHA INICIO]])</f>
        <v>77</v>
      </c>
      <c r="M1709" s="12"/>
      <c r="N1709" s="12">
        <f>1811.6/17</f>
        <v>106.56470588235294</v>
      </c>
      <c r="O1709" s="24">
        <f>(Tabla1[[#This Row],[COSTO FIJO ]]/30)*Tabla1[[#This Row],[TOTAL DIAS PROYECTO]]+(Tabla1[[#This Row],[COSTO TEMPORAL]])</f>
        <v>273.51607843137253</v>
      </c>
      <c r="P1709" s="12"/>
      <c r="Q1709" s="12">
        <f>+(Tabla1[[#This Row],[COSTO COCHE]]/30)*Tabla1[[#This Row],[TOTAL DIAS PROYECTO]]</f>
        <v>0</v>
      </c>
      <c r="R1709" s="12">
        <f>+Tabla1[[#This Row],[COSTO TOTAL ALOJAMIENTO]]+Tabla1[[#This Row],[COSTO TOTAL COCHE]]</f>
        <v>273.51607843137253</v>
      </c>
      <c r="S1709" s="2" t="s">
        <v>403</v>
      </c>
      <c r="T1709" s="2" t="s">
        <v>528</v>
      </c>
      <c r="U1709" s="14">
        <v>45744</v>
      </c>
      <c r="V1709" s="25">
        <v>45747</v>
      </c>
      <c r="W1709" s="26"/>
      <c r="X1709" s="2"/>
      <c r="Y1709" s="11" t="s">
        <v>1166</v>
      </c>
      <c r="Z1709" s="2" t="s">
        <v>36</v>
      </c>
      <c r="AA1709" s="13" t="s">
        <v>10432</v>
      </c>
      <c r="AB1709" s="134">
        <v>45.464269999999999</v>
      </c>
    </row>
    <row r="1710" spans="1:28" ht="15" customHeight="1">
      <c r="A1710" s="117" t="s">
        <v>9456</v>
      </c>
      <c r="B1710" s="117" t="s">
        <v>711</v>
      </c>
      <c r="C1710" s="118" t="s">
        <v>3234</v>
      </c>
      <c r="D1710" s="117" t="s">
        <v>99</v>
      </c>
      <c r="E1710" s="117" t="s">
        <v>686</v>
      </c>
      <c r="F1710" s="11" t="s">
        <v>3257</v>
      </c>
      <c r="G1710" s="128" t="s">
        <v>3258</v>
      </c>
      <c r="H1710" s="117" t="s">
        <v>3237</v>
      </c>
      <c r="I1710" s="119" t="s">
        <v>96</v>
      </c>
      <c r="J1710" s="121">
        <f>+Tabla1[[#This Row],[FECHA ENTRADA]]</f>
        <v>46100</v>
      </c>
      <c r="K1710" s="121">
        <v>46120</v>
      </c>
      <c r="L1710" s="129">
        <f>_xlfn.DAYS(Tabla1[[#This Row],[FECHA FIN ]],Tabla1[[#This Row],[FECHA INICIO]])</f>
        <v>20</v>
      </c>
      <c r="M1710" s="119">
        <f>1622.88/4</f>
        <v>405.72</v>
      </c>
      <c r="N1710" s="130"/>
      <c r="O1710" s="131">
        <f>(Tabla1[[#This Row],[COSTO FIJO ]]/30)*Tabla1[[#This Row],[TOTAL DIAS PROYECTO]]+(Tabla1[[#This Row],[COSTO TEMPORAL]])</f>
        <v>405.72</v>
      </c>
      <c r="P1710" s="119"/>
      <c r="Q1710" s="119">
        <f>+(Tabla1[[#This Row],[COSTO COCHE]]/30)*Tabla1[[#This Row],[TOTAL DIAS PROYECTO]]</f>
        <v>0</v>
      </c>
      <c r="R1710" s="119">
        <f>+Tabla1[[#This Row],[COSTO TOTAL ALOJAMIENTO]]+Tabla1[[#This Row],[COSTO TOTAL COCHE]]</f>
        <v>405.72</v>
      </c>
      <c r="S1710" s="117" t="s">
        <v>403</v>
      </c>
      <c r="T1710" s="124" t="s">
        <v>44</v>
      </c>
      <c r="U1710" s="124">
        <v>46100</v>
      </c>
      <c r="V1710" s="132">
        <v>46121</v>
      </c>
      <c r="W1710" s="119"/>
      <c r="X1710" s="117"/>
      <c r="Y1710" s="118" t="s">
        <v>3259</v>
      </c>
      <c r="Z1710" s="117" t="s">
        <v>36</v>
      </c>
      <c r="AA1710" s="127" t="s">
        <v>10393</v>
      </c>
      <c r="AB1710" s="127">
        <v>3834517</v>
      </c>
    </row>
    <row r="1711" spans="1:28" ht="15" customHeight="1">
      <c r="A1711" s="2" t="s">
        <v>9456</v>
      </c>
      <c r="B1711" s="2" t="s">
        <v>711</v>
      </c>
      <c r="C1711" s="11" t="s">
        <v>3234</v>
      </c>
      <c r="D1711" s="2" t="s">
        <v>99</v>
      </c>
      <c r="E1711" s="2" t="s">
        <v>686</v>
      </c>
      <c r="F1711" s="11" t="s">
        <v>3260</v>
      </c>
      <c r="G1711" s="46" t="s">
        <v>3261</v>
      </c>
      <c r="H1711" s="2" t="s">
        <v>3237</v>
      </c>
      <c r="I1711" s="12" t="s">
        <v>96</v>
      </c>
      <c r="J1711" s="41">
        <f>+Tabla1[[#This Row],[FECHA ENTRADA]]</f>
        <v>45921</v>
      </c>
      <c r="K1711" s="22">
        <f ca="1">TODAY()</f>
        <v>46260</v>
      </c>
      <c r="L1711" s="42">
        <f ca="1">_xlfn.DAYS(Tabla1[[#This Row],[FECHA FIN ]],Tabla1[[#This Row],[FECHA INICIO]])</f>
        <v>339</v>
      </c>
      <c r="M1711" s="12"/>
      <c r="N1711" s="12">
        <v>42.5</v>
      </c>
      <c r="O1711" s="28">
        <f ca="1">(Tabla1[[#This Row],[COSTO FIJO ]]/30)*Tabla1[[#This Row],[TOTAL DIAS PROYECTO]]+(Tabla1[[#This Row],[COSTO TEMPORAL]])</f>
        <v>480.25</v>
      </c>
      <c r="P1711" s="12"/>
      <c r="Q1711" s="12">
        <f ca="1">+(Tabla1[[#This Row],[COSTO COCHE]]/30)*Tabla1[[#This Row],[TOTAL DIAS PROYECTO]]</f>
        <v>0</v>
      </c>
      <c r="R1711" s="12">
        <f ca="1">+Tabla1[[#This Row],[COSTO TOTAL ALOJAMIENTO]]+Tabla1[[#This Row],[COSTO TOTAL COCHE]]</f>
        <v>480.25</v>
      </c>
      <c r="S1711" s="2" t="s">
        <v>84</v>
      </c>
      <c r="T1711" s="14" t="s">
        <v>44</v>
      </c>
      <c r="U1711" s="14">
        <v>45921</v>
      </c>
      <c r="V1711" s="43">
        <v>45922</v>
      </c>
      <c r="W1711" s="71"/>
      <c r="X1711" s="2"/>
      <c r="Y1711" s="11" t="s">
        <v>1361</v>
      </c>
      <c r="Z1711" s="2" t="s">
        <v>36</v>
      </c>
      <c r="AA1711" s="13" t="s">
        <v>10393</v>
      </c>
      <c r="AB1711" s="13">
        <v>3834517</v>
      </c>
    </row>
    <row r="1712" spans="1:28" ht="15" customHeight="1">
      <c r="A1712" s="2" t="s">
        <v>9461</v>
      </c>
      <c r="B1712" s="2" t="s">
        <v>368</v>
      </c>
      <c r="C1712" s="11" t="s">
        <v>3262</v>
      </c>
      <c r="D1712" s="2" t="s">
        <v>99</v>
      </c>
      <c r="E1712" s="2" t="s">
        <v>109</v>
      </c>
      <c r="F1712" s="11" t="s">
        <v>3066</v>
      </c>
      <c r="G1712" s="100" t="s">
        <v>3067</v>
      </c>
      <c r="H1712" s="2" t="s">
        <v>3263</v>
      </c>
      <c r="I1712" s="12" t="s">
        <v>42</v>
      </c>
      <c r="J1712" s="41">
        <f>+Tabla1[[#This Row],[FECHA ENTRADA]]</f>
        <v>45739</v>
      </c>
      <c r="K1712" s="22">
        <v>45821</v>
      </c>
      <c r="L1712" s="42">
        <f>_xlfn.DAYS(Tabla1[[#This Row],[FECHA FIN ]],Tabla1[[#This Row],[FECHA INICIO]])</f>
        <v>82</v>
      </c>
      <c r="M1712" s="12"/>
      <c r="N1712" s="12">
        <f>1811.6/17</f>
        <v>106.56470588235294</v>
      </c>
      <c r="O1712" s="28">
        <f>(Tabla1[[#This Row],[COSTO FIJO ]]/30)*Tabla1[[#This Row],[TOTAL DIAS PROYECTO]]+(Tabla1[[#This Row],[COSTO TEMPORAL]])</f>
        <v>291.27686274509807</v>
      </c>
      <c r="P1712" s="12"/>
      <c r="Q1712" s="12">
        <f>+(Tabla1[[#This Row],[COSTO COCHE]]/30)*Tabla1[[#This Row],[TOTAL DIAS PROYECTO]]</f>
        <v>0</v>
      </c>
      <c r="R1712" s="12">
        <f>+Tabla1[[#This Row],[COSTO TOTAL ALOJAMIENTO]]+Tabla1[[#This Row],[COSTO TOTAL COCHE]]</f>
        <v>291.27686274509807</v>
      </c>
      <c r="S1712" s="2"/>
      <c r="T1712" s="2" t="s">
        <v>35</v>
      </c>
      <c r="U1712" s="14">
        <v>45739</v>
      </c>
      <c r="V1712" s="43"/>
      <c r="W1712" s="26"/>
      <c r="X1712" s="2">
        <v>4</v>
      </c>
      <c r="Y1712" s="11" t="s">
        <v>3264</v>
      </c>
      <c r="Z1712" s="2" t="s">
        <v>36</v>
      </c>
      <c r="AA1712" s="13">
        <v>0.62217999999999996</v>
      </c>
      <c r="AB1712" s="13" t="s">
        <v>10339</v>
      </c>
    </row>
    <row r="1713" spans="1:29" ht="15" customHeight="1">
      <c r="A1713" s="2" t="s">
        <v>8642</v>
      </c>
      <c r="B1713" s="2" t="s">
        <v>368</v>
      </c>
      <c r="C1713" s="11" t="s">
        <v>3265</v>
      </c>
      <c r="D1713" s="2" t="s">
        <v>99</v>
      </c>
      <c r="E1713" s="2" t="s">
        <v>422</v>
      </c>
      <c r="F1713" s="11" t="s">
        <v>1983</v>
      </c>
      <c r="G1713" s="11" t="s">
        <v>2067</v>
      </c>
      <c r="H1713" s="2" t="s">
        <v>3266</v>
      </c>
      <c r="I1713" s="10" t="s">
        <v>1435</v>
      </c>
      <c r="J1713" s="22">
        <f>+Tabla1[[#This Row],[FECHA ENTRADA]]</f>
        <v>45792</v>
      </c>
      <c r="K1713" s="8">
        <f>+Tabla1[[#This Row],[FECHA SALIDA]]</f>
        <v>45796</v>
      </c>
      <c r="L1713" s="23">
        <f>_xlfn.DAYS(Tabla1[[#This Row],[FECHA FIN ]],Tabla1[[#This Row],[FECHA INICIO]])</f>
        <v>4</v>
      </c>
      <c r="M1713" s="12"/>
      <c r="N1713" s="12">
        <f>SUBTOTAL(9,L1713)</f>
        <v>4</v>
      </c>
      <c r="O1713" s="24">
        <f>(Tabla1[[#This Row],[COSTO FIJO ]]/30)*Tabla1[[#This Row],[TOTAL DIAS PROYECTO]]+(Tabla1[[#This Row],[COSTO TEMPORAL]])</f>
        <v>0.53333333333333333</v>
      </c>
      <c r="P1713" s="12"/>
      <c r="Q1713" s="12">
        <f>+(Tabla1[[#This Row],[COSTO COCHE]]/30)*Tabla1[[#This Row],[TOTAL DIAS PROYECTO]]</f>
        <v>0</v>
      </c>
      <c r="R1713" s="12">
        <f>+Tabla1[[#This Row],[COSTO TOTAL ALOJAMIENTO]]+Tabla1[[#This Row],[COSTO TOTAL COCHE]]</f>
        <v>0.53333333333333333</v>
      </c>
      <c r="S1713" s="2"/>
      <c r="T1713" s="2" t="s">
        <v>44</v>
      </c>
      <c r="U1713" s="14">
        <v>45792</v>
      </c>
      <c r="V1713" s="25">
        <v>45796</v>
      </c>
      <c r="W1713" s="26"/>
      <c r="X1713" s="2"/>
      <c r="Y1713" s="11"/>
      <c r="Z1713" s="2" t="s">
        <v>36</v>
      </c>
      <c r="AA1713" s="13">
        <v>-326.69799999999998</v>
      </c>
      <c r="AB1713" s="13" t="s">
        <v>10373</v>
      </c>
    </row>
    <row r="1714" spans="1:29" ht="15" customHeight="1">
      <c r="A1714" s="2" t="s">
        <v>8932</v>
      </c>
      <c r="B1714" s="2" t="s">
        <v>368</v>
      </c>
      <c r="C1714" s="11" t="s">
        <v>1331</v>
      </c>
      <c r="D1714" s="2" t="s">
        <v>99</v>
      </c>
      <c r="E1714" s="2" t="s">
        <v>422</v>
      </c>
      <c r="F1714" s="11" t="s">
        <v>1983</v>
      </c>
      <c r="G1714" s="11" t="s">
        <v>2067</v>
      </c>
      <c r="H1714" s="157" t="s">
        <v>3266</v>
      </c>
      <c r="I1714" s="203" t="s">
        <v>1435</v>
      </c>
      <c r="J1714" s="22">
        <f>+Tabla1[[#This Row],[FECHA ENTRADA]]</f>
        <v>45792</v>
      </c>
      <c r="K1714" s="8">
        <f>+Tabla1[[#This Row],[FECHA SALIDA]]</f>
        <v>45796</v>
      </c>
      <c r="L1714" s="23">
        <f>_xlfn.DAYS(Tabla1[[#This Row],[FECHA FIN ]],Tabla1[[#This Row],[FECHA INICIO]])</f>
        <v>4</v>
      </c>
      <c r="M1714" s="12"/>
      <c r="N1714" s="12">
        <v>123.5</v>
      </c>
      <c r="O1714" s="24">
        <f>(Tabla1[[#This Row],[COSTO FIJO ]]/30)*Tabla1[[#This Row],[TOTAL DIAS PROYECTO]]+(Tabla1[[#This Row],[COSTO TEMPORAL]])</f>
        <v>16.466666666666665</v>
      </c>
      <c r="P1714" s="12"/>
      <c r="Q1714" s="12">
        <f>+(Tabla1[[#This Row],[COSTO COCHE]]/30)*Tabla1[[#This Row],[TOTAL DIAS PROYECTO]]</f>
        <v>0</v>
      </c>
      <c r="R1714" s="12">
        <f>+Tabla1[[#This Row],[COSTO TOTAL ALOJAMIENTO]]+Tabla1[[#This Row],[COSTO TOTAL COCHE]]</f>
        <v>16.466666666666665</v>
      </c>
      <c r="S1714" s="2"/>
      <c r="T1714" s="2" t="s">
        <v>44</v>
      </c>
      <c r="U1714" s="14">
        <v>45792</v>
      </c>
      <c r="V1714" s="25">
        <v>45796</v>
      </c>
      <c r="W1714" s="26"/>
      <c r="X1714" s="2"/>
      <c r="Y1714" s="11"/>
      <c r="Z1714" s="2" t="s">
        <v>36</v>
      </c>
      <c r="AA1714" s="13">
        <v>-326.69799999999998</v>
      </c>
      <c r="AB1714" s="13" t="s">
        <v>10373</v>
      </c>
    </row>
    <row r="1715" spans="1:29" ht="15" customHeight="1">
      <c r="A1715" s="2" t="s">
        <v>8974</v>
      </c>
      <c r="B1715" s="2" t="s">
        <v>368</v>
      </c>
      <c r="C1715" s="11" t="s">
        <v>1564</v>
      </c>
      <c r="D1715" s="2" t="s">
        <v>99</v>
      </c>
      <c r="E1715" s="2" t="s">
        <v>109</v>
      </c>
      <c r="F1715" s="11" t="s">
        <v>2307</v>
      </c>
      <c r="G1715" s="30" t="s">
        <v>3139</v>
      </c>
      <c r="H1715" s="157" t="s">
        <v>1565</v>
      </c>
      <c r="I1715" s="158" t="s">
        <v>42</v>
      </c>
      <c r="J1715" s="22">
        <v>45760</v>
      </c>
      <c r="K1715" s="8">
        <v>45777</v>
      </c>
      <c r="L1715" s="23">
        <f>_xlfn.DAYS(Tabla1[[#This Row],[FECHA FIN ]],Tabla1[[#This Row],[FECHA INICIO]])</f>
        <v>17</v>
      </c>
      <c r="M1715" s="12"/>
      <c r="N1715" s="12"/>
      <c r="O1715" s="24">
        <f>(Tabla1[[#This Row],[COSTO FIJO ]]/30)*Tabla1[[#This Row],[TOTAL DIAS PROYECTO]]+(Tabla1[[#This Row],[COSTO TEMPORAL]])</f>
        <v>0</v>
      </c>
      <c r="P1715" s="12"/>
      <c r="Q1715" s="12">
        <f>+(Tabla1[[#This Row],[COSTO COCHE]]/30)*Tabla1[[#This Row],[TOTAL DIAS PROYECTO]]</f>
        <v>0</v>
      </c>
      <c r="R1715" s="12">
        <f>+Tabla1[[#This Row],[COSTO TOTAL ALOJAMIENTO]]+Tabla1[[#This Row],[COSTO TOTAL COCHE]]</f>
        <v>0</v>
      </c>
      <c r="S1715" s="2"/>
      <c r="T1715" s="2" t="s">
        <v>35</v>
      </c>
      <c r="U1715" s="14">
        <v>45760</v>
      </c>
      <c r="V1715" s="25">
        <v>45777</v>
      </c>
      <c r="W1715" s="26"/>
      <c r="X1715" s="2">
        <v>27</v>
      </c>
      <c r="Y1715" s="11" t="s">
        <v>3267</v>
      </c>
      <c r="Z1715" s="2" t="s">
        <v>36</v>
      </c>
      <c r="AA1715" s="13">
        <v>0.62217999999999996</v>
      </c>
      <c r="AB1715" s="13" t="s">
        <v>10339</v>
      </c>
    </row>
    <row r="1716" spans="1:29" ht="15" customHeight="1">
      <c r="A1716" s="117" t="s">
        <v>9456</v>
      </c>
      <c r="B1716" s="117" t="s">
        <v>711</v>
      </c>
      <c r="C1716" s="118" t="s">
        <v>3234</v>
      </c>
      <c r="D1716" s="117" t="s">
        <v>99</v>
      </c>
      <c r="E1716" s="117" t="s">
        <v>686</v>
      </c>
      <c r="F1716" s="11" t="s">
        <v>3268</v>
      </c>
      <c r="G1716" s="128" t="s">
        <v>3269</v>
      </c>
      <c r="H1716" s="198" t="s">
        <v>3237</v>
      </c>
      <c r="I1716" s="199" t="s">
        <v>96</v>
      </c>
      <c r="J1716" s="121">
        <f>+Tabla1[[#This Row],[FECHA ENTRADA]]</f>
        <v>45986</v>
      </c>
      <c r="K1716" s="121">
        <f ca="1">TODAY()</f>
        <v>46260</v>
      </c>
      <c r="L1716" s="129">
        <f ca="1">_xlfn.DAYS(Tabla1[[#This Row],[FECHA FIN ]],Tabla1[[#This Row],[FECHA INICIO]])</f>
        <v>274</v>
      </c>
      <c r="M1716" s="119">
        <f>4606.12/4</f>
        <v>1151.53</v>
      </c>
      <c r="N1716" s="130"/>
      <c r="O1716" s="131">
        <f ca="1">(Tabla1[[#This Row],[COSTO FIJO ]]/30)*Tabla1[[#This Row],[TOTAL DIAS PROYECTO]]+(Tabla1[[#This Row],[COSTO TEMPORAL]])</f>
        <v>1151.53</v>
      </c>
      <c r="P1716" s="119"/>
      <c r="Q1716" s="119">
        <f ca="1">+(Tabla1[[#This Row],[COSTO COCHE]]/30)*Tabla1[[#This Row],[TOTAL DIAS PROYECTO]]</f>
        <v>0</v>
      </c>
      <c r="R1716" s="119">
        <f ca="1">+Tabla1[[#This Row],[COSTO TOTAL ALOJAMIENTO]]+Tabla1[[#This Row],[COSTO TOTAL COCHE]]</f>
        <v>1151.53</v>
      </c>
      <c r="S1716" s="117" t="s">
        <v>84</v>
      </c>
      <c r="T1716" s="124" t="s">
        <v>44</v>
      </c>
      <c r="U1716" s="124">
        <v>45986</v>
      </c>
      <c r="V1716" s="125">
        <v>46010</v>
      </c>
      <c r="W1716" s="126"/>
      <c r="X1716" s="117"/>
      <c r="Y1716" s="118" t="s">
        <v>3270</v>
      </c>
      <c r="Z1716" s="117" t="s">
        <v>36</v>
      </c>
      <c r="AA1716" s="127" t="s">
        <v>10393</v>
      </c>
      <c r="AB1716" s="127">
        <v>3834517</v>
      </c>
    </row>
    <row r="1717" spans="1:29" ht="15" customHeight="1">
      <c r="A1717" s="117" t="s">
        <v>9462</v>
      </c>
      <c r="B1717" s="117" t="s">
        <v>606</v>
      </c>
      <c r="C1717" s="118" t="s">
        <v>3271</v>
      </c>
      <c r="D1717" s="117" t="s">
        <v>30</v>
      </c>
      <c r="E1717" s="117" t="s">
        <v>855</v>
      </c>
      <c r="F1717" s="11" t="s">
        <v>3272</v>
      </c>
      <c r="G1717" s="128" t="s">
        <v>1474</v>
      </c>
      <c r="H1717" s="198" t="s">
        <v>3273</v>
      </c>
      <c r="I1717" s="199" t="s">
        <v>3274</v>
      </c>
      <c r="J1717" s="120">
        <f>+Tabla1[[#This Row],[FECHA ENTRADA]]</f>
        <v>46049</v>
      </c>
      <c r="K1717" s="121">
        <v>46187</v>
      </c>
      <c r="L1717" s="122">
        <f>_xlfn.DAYS(Tabla1[[#This Row],[FECHA FIN ]],Tabla1[[#This Row],[FECHA INICIO]])</f>
        <v>138</v>
      </c>
      <c r="M1717" s="119">
        <v>605</v>
      </c>
      <c r="N1717" s="123"/>
      <c r="O1717" s="123">
        <f>(Tabla1[[#This Row],[COSTO FIJO ]]/30)*Tabla1[[#This Row],[TOTAL DIAS PROYECTO]]+(Tabla1[[#This Row],[COSTO TEMPORAL]])</f>
        <v>605</v>
      </c>
      <c r="P1717" s="119"/>
      <c r="Q1717" s="119">
        <f>+(Tabla1[[#This Row],[COSTO COCHE]]/30)*Tabla1[[#This Row],[TOTAL DIAS PROYECTO]]</f>
        <v>0</v>
      </c>
      <c r="R1717" s="119">
        <v>605</v>
      </c>
      <c r="S1717" s="117"/>
      <c r="T1717" s="124" t="s">
        <v>44</v>
      </c>
      <c r="U1717" s="124">
        <v>46049</v>
      </c>
      <c r="V1717" s="132">
        <v>46188</v>
      </c>
      <c r="W1717" s="119"/>
      <c r="X1717" s="117"/>
      <c r="Y1717" s="118" t="s">
        <v>3275</v>
      </c>
      <c r="Z1717" s="117" t="s">
        <v>36</v>
      </c>
      <c r="AA1717" s="127" t="s">
        <v>10401</v>
      </c>
      <c r="AB1717" s="127" t="s">
        <v>10402</v>
      </c>
    </row>
    <row r="1718" spans="1:29" ht="15" customHeight="1">
      <c r="A1718" s="2" t="s">
        <v>9463</v>
      </c>
      <c r="B1718" s="2" t="s">
        <v>368</v>
      </c>
      <c r="C1718" s="11" t="s">
        <v>3276</v>
      </c>
      <c r="D1718" s="2" t="s">
        <v>99</v>
      </c>
      <c r="E1718" s="2" t="s">
        <v>55</v>
      </c>
      <c r="F1718" s="11" t="s">
        <v>1776</v>
      </c>
      <c r="G1718" s="87" t="s">
        <v>106</v>
      </c>
      <c r="H1718" s="157" t="s">
        <v>3277</v>
      </c>
      <c r="I1718" s="204" t="s">
        <v>1620</v>
      </c>
      <c r="J1718" s="22">
        <f>+Tabla1[[#This Row],[FECHA ENTRADA]]</f>
        <v>45739</v>
      </c>
      <c r="K1718" s="22">
        <v>45821</v>
      </c>
      <c r="L1718" s="23">
        <f>_xlfn.DAYS(Tabla1[[#This Row],[FECHA FIN ]],Tabla1[[#This Row],[FECHA INICIO]])</f>
        <v>82</v>
      </c>
      <c r="M1718" s="12"/>
      <c r="N1718" s="12">
        <v>483.33333333333331</v>
      </c>
      <c r="O1718" s="24">
        <f>(Tabla1[[#This Row],[COSTO FIJO ]]/30)*Tabla1[[#This Row],[TOTAL DIAS PROYECTO]]+(Tabla1[[#This Row],[COSTO TEMPORAL]])</f>
        <v>1321.1111111111111</v>
      </c>
      <c r="P1718" s="12">
        <v>80</v>
      </c>
      <c r="Q1718" s="12">
        <f>+(Tabla1[[#This Row],[COSTO COCHE]]/30)*Tabla1[[#This Row],[TOTAL DIAS PROYECTO]]</f>
        <v>218.66666666666666</v>
      </c>
      <c r="R1718" s="12">
        <f>+Tabla1[[#This Row],[COSTO TOTAL ALOJAMIENTO]]+Tabla1[[#This Row],[COSTO TOTAL COCHE]]</f>
        <v>1539.7777777777778</v>
      </c>
      <c r="S1718" s="2"/>
      <c r="T1718" s="2" t="s">
        <v>35</v>
      </c>
      <c r="U1718" s="14">
        <v>45739</v>
      </c>
      <c r="V1718" s="25"/>
      <c r="W1718" s="26"/>
      <c r="X1718" s="2">
        <v>1</v>
      </c>
      <c r="Y1718" s="11" t="s">
        <v>2309</v>
      </c>
      <c r="Z1718" s="2" t="s">
        <v>36</v>
      </c>
      <c r="AA1718" s="13" t="s">
        <v>10327</v>
      </c>
      <c r="AB1718" s="13" t="s">
        <v>10328</v>
      </c>
    </row>
    <row r="1719" spans="1:29" ht="15" customHeight="1">
      <c r="A1719" s="2" t="s">
        <v>9382</v>
      </c>
      <c r="B1719" s="2" t="s">
        <v>368</v>
      </c>
      <c r="C1719" s="11" t="s">
        <v>2996</v>
      </c>
      <c r="D1719" s="2" t="s">
        <v>72</v>
      </c>
      <c r="E1719" s="2" t="s">
        <v>1115</v>
      </c>
      <c r="F1719" s="11" t="s">
        <v>3278</v>
      </c>
      <c r="G1719" s="46" t="s">
        <v>3279</v>
      </c>
      <c r="H1719" s="2" t="s">
        <v>1336</v>
      </c>
      <c r="I1719" s="12" t="s">
        <v>1337</v>
      </c>
      <c r="J1719" s="41">
        <f>+Tabla1[[#This Row],[FECHA ENTRADA]]</f>
        <v>45701</v>
      </c>
      <c r="K1719" s="22">
        <v>45821</v>
      </c>
      <c r="L1719" s="42">
        <f>_xlfn.DAYS(Tabla1[[#This Row],[FECHA FIN ]],Tabla1[[#This Row],[FECHA INICIO]])</f>
        <v>120</v>
      </c>
      <c r="M1719" s="12"/>
      <c r="N1719" s="12">
        <f>1811.6/17</f>
        <v>106.56470588235294</v>
      </c>
      <c r="O1719" s="28">
        <f>(Tabla1[[#This Row],[COSTO FIJO ]]/30)*Tabla1[[#This Row],[TOTAL DIAS PROYECTO]]+(Tabla1[[#This Row],[COSTO TEMPORAL]])</f>
        <v>426.25882352941176</v>
      </c>
      <c r="P1719" s="12"/>
      <c r="Q1719" s="12">
        <f>+(Tabla1[[#This Row],[COSTO COCHE]]/30)*Tabla1[[#This Row],[TOTAL DIAS PROYECTO]]</f>
        <v>0</v>
      </c>
      <c r="R1719" s="12">
        <f>+Tabla1[[#This Row],[COSTO TOTAL ALOJAMIENTO]]+Tabla1[[#This Row],[COSTO TOTAL COCHE]]</f>
        <v>426.25882352941176</v>
      </c>
      <c r="S1719" s="2" t="s">
        <v>84</v>
      </c>
      <c r="T1719" s="2" t="s">
        <v>44</v>
      </c>
      <c r="U1719" s="14">
        <v>45701</v>
      </c>
      <c r="V1719" s="43">
        <v>45748</v>
      </c>
      <c r="W1719" s="26">
        <v>250</v>
      </c>
      <c r="X1719" s="2"/>
      <c r="Y1719" s="11"/>
      <c r="Z1719" s="2" t="s">
        <v>36</v>
      </c>
      <c r="AA1719" s="13" t="s">
        <v>10411</v>
      </c>
      <c r="AB1719" s="13">
        <v>50.656529999999997</v>
      </c>
    </row>
    <row r="1720" spans="1:29" ht="15" customHeight="1">
      <c r="A1720" s="2" t="s">
        <v>8815</v>
      </c>
      <c r="B1720" s="2" t="s">
        <v>28</v>
      </c>
      <c r="C1720" s="99" t="s">
        <v>875</v>
      </c>
      <c r="D1720" s="2" t="s">
        <v>78</v>
      </c>
      <c r="E1720" s="2" t="s">
        <v>79</v>
      </c>
      <c r="F1720" s="11" t="s">
        <v>142</v>
      </c>
      <c r="G1720" s="11" t="s">
        <v>143</v>
      </c>
      <c r="H1720" s="2" t="s">
        <v>144</v>
      </c>
      <c r="I1720" s="29" t="s">
        <v>145</v>
      </c>
      <c r="J1720" s="8">
        <f>+Tabla1[[#This Row],[FECHA ENTRADA]]</f>
        <v>45346</v>
      </c>
      <c r="K1720" s="22">
        <v>45821</v>
      </c>
      <c r="L1720" s="13">
        <f>_xlfn.DAYS(Tabla1[[#This Row],[FECHA FIN ]],Tabla1[[#This Row],[FECHA INICIO]])</f>
        <v>475</v>
      </c>
      <c r="M1720" s="12"/>
      <c r="N1720" s="24"/>
      <c r="O1720" s="12">
        <f>(Tabla1[[#This Row],[COSTO FIJO ]]/30)*Tabla1[[#This Row],[TOTAL DIAS PROYECTO]]+(Tabla1[[#This Row],[COSTO TEMPORAL]])</f>
        <v>0</v>
      </c>
      <c r="P1720" s="12"/>
      <c r="Q1720" s="12">
        <f>+(Tabla1[[#This Row],[COSTO COCHE]]/30)*Tabla1[[#This Row],[TOTAL DIAS PROYECTO]]</f>
        <v>0</v>
      </c>
      <c r="R1720" s="12">
        <f>+Tabla1[[#This Row],[COSTO TOTAL ALOJAMIENTO]]+Tabla1[[#This Row],[COSTO TOTAL COCHE]]</f>
        <v>0</v>
      </c>
      <c r="S1720" s="2"/>
      <c r="T1720" s="2" t="s">
        <v>44</v>
      </c>
      <c r="U1720" s="14">
        <v>45346</v>
      </c>
      <c r="V1720" s="43">
        <v>45748</v>
      </c>
      <c r="W1720" s="15"/>
      <c r="X1720" s="16"/>
      <c r="Y1720" s="11"/>
      <c r="Z1720" s="2" t="s">
        <v>36</v>
      </c>
      <c r="AA1720" s="13" t="s">
        <v>10333</v>
      </c>
      <c r="AB1720" s="13" t="s">
        <v>10334</v>
      </c>
    </row>
    <row r="1721" spans="1:29" ht="15" customHeight="1">
      <c r="A1721" s="2" t="s">
        <v>9378</v>
      </c>
      <c r="B1721" s="2" t="s">
        <v>368</v>
      </c>
      <c r="C1721" s="11" t="s">
        <v>2978</v>
      </c>
      <c r="D1721" s="2" t="s">
        <v>749</v>
      </c>
      <c r="E1721" s="2" t="s">
        <v>1853</v>
      </c>
      <c r="F1721" s="11" t="s">
        <v>1892</v>
      </c>
      <c r="G1721" t="s">
        <v>1893</v>
      </c>
      <c r="H1721" s="2" t="s">
        <v>1856</v>
      </c>
      <c r="I1721" s="135" t="s">
        <v>1857</v>
      </c>
      <c r="J1721" s="22">
        <f>+Tabla1[[#This Row],[FECHA ENTRADA]]</f>
        <v>45747</v>
      </c>
      <c r="K1721" s="22">
        <v>45821</v>
      </c>
      <c r="L1721" s="23">
        <f>_xlfn.DAYS(Tabla1[[#This Row],[FECHA FIN ]],Tabla1[[#This Row],[FECHA INICIO]])</f>
        <v>74</v>
      </c>
      <c r="M1721" s="12"/>
      <c r="N1721" s="12"/>
      <c r="O1721" s="24">
        <f>(Tabla1[[#This Row],[COSTO FIJO ]]/30)*Tabla1[[#This Row],[TOTAL DIAS PROYECTO]]+(Tabla1[[#This Row],[COSTO TEMPORAL]])</f>
        <v>0</v>
      </c>
      <c r="P1721" s="12"/>
      <c r="Q1721" s="12">
        <f>+(Tabla1[[#This Row],[COSTO COCHE]]/30)*Tabla1[[#This Row],[TOTAL DIAS PROYECTO]]</f>
        <v>0</v>
      </c>
      <c r="R1721" s="12">
        <f>+Tabla1[[#This Row],[COSTO TOTAL ALOJAMIENTO]]+Tabla1[[#This Row],[COSTO TOTAL COCHE]]</f>
        <v>0</v>
      </c>
      <c r="S1721" s="2" t="s">
        <v>403</v>
      </c>
      <c r="T1721" s="2" t="s">
        <v>528</v>
      </c>
      <c r="U1721" s="14">
        <v>45747</v>
      </c>
      <c r="V1721" s="25">
        <v>45749</v>
      </c>
      <c r="W1721" s="26"/>
      <c r="X1721" s="2"/>
      <c r="Y1721" s="11"/>
      <c r="Z1721" s="2" t="s">
        <v>36</v>
      </c>
      <c r="AA1721" s="13" t="s">
        <v>10432</v>
      </c>
      <c r="AB1721" s="13">
        <v>45.464269999999999</v>
      </c>
    </row>
    <row r="1722" spans="1:29" ht="15" customHeight="1">
      <c r="A1722" s="2" t="s">
        <v>9453</v>
      </c>
      <c r="B1722" s="2" t="s">
        <v>711</v>
      </c>
      <c r="C1722" s="11" t="s">
        <v>3228</v>
      </c>
      <c r="D1722" s="2" t="s">
        <v>99</v>
      </c>
      <c r="E1722" s="2" t="s">
        <v>720</v>
      </c>
      <c r="F1722" s="11" t="s">
        <v>1872</v>
      </c>
      <c r="G1722" s="49" t="s">
        <v>1873</v>
      </c>
      <c r="H1722" s="2" t="s">
        <v>1874</v>
      </c>
      <c r="I1722" s="12" t="s">
        <v>506</v>
      </c>
      <c r="J1722" s="22">
        <f>+Tabla1[[#This Row],[FECHA ENTRADA]]</f>
        <v>45732</v>
      </c>
      <c r="K1722" s="22">
        <v>45821</v>
      </c>
      <c r="L1722" s="23">
        <f>_xlfn.DAYS(Tabla1[[#This Row],[FECHA FIN ]],Tabla1[[#This Row],[FECHA INICIO]])</f>
        <v>89</v>
      </c>
      <c r="M1722" s="12"/>
      <c r="N1722" s="12"/>
      <c r="O1722" s="24">
        <f>(Tabla1[[#This Row],[COSTO FIJO ]]/30)*Tabla1[[#This Row],[TOTAL DIAS PROYECTO]]+(Tabla1[[#This Row],[COSTO TEMPORAL]])</f>
        <v>0</v>
      </c>
      <c r="P1722" s="12"/>
      <c r="Q1722" s="12">
        <f>+(Tabla1[[#This Row],[COSTO COCHE]]/30)*Tabla1[[#This Row],[TOTAL DIAS PROYECTO]]</f>
        <v>0</v>
      </c>
      <c r="R1722" s="12">
        <f>+Tabla1[[#This Row],[COSTO TOTAL ALOJAMIENTO]]+Tabla1[[#This Row],[COSTO TOTAL COCHE]]</f>
        <v>0</v>
      </c>
      <c r="S1722" s="2"/>
      <c r="T1722" s="2" t="s">
        <v>528</v>
      </c>
      <c r="U1722" s="14">
        <v>45732</v>
      </c>
      <c r="V1722" s="25">
        <v>45749</v>
      </c>
      <c r="W1722" s="26"/>
      <c r="X1722" s="2"/>
      <c r="Y1722" s="11"/>
      <c r="Z1722" s="2" t="s">
        <v>36</v>
      </c>
      <c r="AA1722" s="13" t="s">
        <v>10394</v>
      </c>
      <c r="AB1722" s="13" t="s">
        <v>10395</v>
      </c>
    </row>
    <row r="1723" spans="1:29" ht="15" customHeight="1">
      <c r="A1723" s="2" t="s">
        <v>9457</v>
      </c>
      <c r="B1723" s="2" t="s">
        <v>368</v>
      </c>
      <c r="C1723" s="11" t="s">
        <v>3246</v>
      </c>
      <c r="D1723" s="2" t="s">
        <v>749</v>
      </c>
      <c r="E1723" s="2" t="s">
        <v>1853</v>
      </c>
      <c r="F1723" s="11" t="s">
        <v>1892</v>
      </c>
      <c r="G1723" t="s">
        <v>1893</v>
      </c>
      <c r="H1723" s="2" t="s">
        <v>1856</v>
      </c>
      <c r="I1723" s="135" t="s">
        <v>1857</v>
      </c>
      <c r="J1723" s="22">
        <f>+Tabla1[[#This Row],[FECHA ENTRADA]]</f>
        <v>45747</v>
      </c>
      <c r="K1723" s="22">
        <v>45821</v>
      </c>
      <c r="L1723" s="23">
        <f>_xlfn.DAYS(Tabla1[[#This Row],[FECHA FIN ]],Tabla1[[#This Row],[FECHA INICIO]])</f>
        <v>74</v>
      </c>
      <c r="M1723" s="12"/>
      <c r="N1723" s="12">
        <f>1811.6/17</f>
        <v>106.56470588235294</v>
      </c>
      <c r="O1723" s="24">
        <f>(Tabla1[[#This Row],[COSTO FIJO ]]/30)*Tabla1[[#This Row],[TOTAL DIAS PROYECTO]]+(Tabla1[[#This Row],[COSTO TEMPORAL]])</f>
        <v>262.85960784313727</v>
      </c>
      <c r="P1723" s="12"/>
      <c r="Q1723" s="12">
        <f>+(Tabla1[[#This Row],[COSTO COCHE]]/30)*Tabla1[[#This Row],[TOTAL DIAS PROYECTO]]</f>
        <v>0</v>
      </c>
      <c r="R1723" s="12">
        <f>+Tabla1[[#This Row],[COSTO TOTAL ALOJAMIENTO]]+Tabla1[[#This Row],[COSTO TOTAL COCHE]]</f>
        <v>262.85960784313727</v>
      </c>
      <c r="S1723" s="2" t="s">
        <v>403</v>
      </c>
      <c r="T1723" s="2" t="s">
        <v>528</v>
      </c>
      <c r="U1723" s="14">
        <v>45747</v>
      </c>
      <c r="V1723" s="25">
        <v>45749</v>
      </c>
      <c r="W1723" s="26"/>
      <c r="X1723" s="2"/>
      <c r="Y1723" s="11"/>
      <c r="Z1723" s="2" t="s">
        <v>36</v>
      </c>
      <c r="AA1723" s="13" t="s">
        <v>10432</v>
      </c>
      <c r="AB1723" s="13">
        <v>45.464269999999999</v>
      </c>
    </row>
    <row r="1724" spans="1:29" ht="15" customHeight="1">
      <c r="A1724" s="2" t="s">
        <v>9443</v>
      </c>
      <c r="B1724" s="2" t="s">
        <v>711</v>
      </c>
      <c r="C1724" s="11" t="s">
        <v>3196</v>
      </c>
      <c r="D1724" s="2" t="s">
        <v>99</v>
      </c>
      <c r="E1724" s="2" t="s">
        <v>720</v>
      </c>
      <c r="F1724" s="11" t="s">
        <v>1872</v>
      </c>
      <c r="G1724" s="49" t="s">
        <v>1873</v>
      </c>
      <c r="H1724" s="157" t="s">
        <v>1874</v>
      </c>
      <c r="I1724" s="158" t="s">
        <v>506</v>
      </c>
      <c r="J1724" s="22">
        <f>+Tabla1[[#This Row],[FECHA ENTRADA]]</f>
        <v>45732</v>
      </c>
      <c r="K1724" s="22">
        <v>45821</v>
      </c>
      <c r="L1724" s="23">
        <f>_xlfn.DAYS(Tabla1[[#This Row],[FECHA FIN ]],Tabla1[[#This Row],[FECHA INICIO]])</f>
        <v>89</v>
      </c>
      <c r="M1724" s="12"/>
      <c r="N1724" s="12">
        <v>441.18</v>
      </c>
      <c r="O1724" s="24">
        <f>(Tabla1[[#This Row],[COSTO FIJO ]]/30)*Tabla1[[#This Row],[TOTAL DIAS PROYECTO]]+(Tabla1[[#This Row],[COSTO TEMPORAL]])</f>
        <v>1308.8340000000001</v>
      </c>
      <c r="P1724" s="12"/>
      <c r="Q1724" s="12">
        <f>+(Tabla1[[#This Row],[COSTO COCHE]]/30)*Tabla1[[#This Row],[TOTAL DIAS PROYECTO]]</f>
        <v>0</v>
      </c>
      <c r="R1724" s="12">
        <f>+Tabla1[[#This Row],[COSTO TOTAL ALOJAMIENTO]]+Tabla1[[#This Row],[COSTO TOTAL COCHE]]</f>
        <v>1308.8340000000001</v>
      </c>
      <c r="S1724" s="2"/>
      <c r="T1724" s="2" t="s">
        <v>528</v>
      </c>
      <c r="U1724" s="14">
        <v>45732</v>
      </c>
      <c r="V1724" s="25">
        <v>45749</v>
      </c>
      <c r="W1724" s="26"/>
      <c r="X1724" s="2"/>
      <c r="Y1724" s="11"/>
      <c r="Z1724" s="2" t="s">
        <v>36</v>
      </c>
      <c r="AA1724" s="13" t="s">
        <v>10394</v>
      </c>
      <c r="AB1724" s="13" t="s">
        <v>10395</v>
      </c>
    </row>
    <row r="1725" spans="1:29" s="171" customFormat="1" ht="90" customHeight="1">
      <c r="A1725" s="2" t="s">
        <v>9450</v>
      </c>
      <c r="B1725" s="2" t="s">
        <v>368</v>
      </c>
      <c r="C1725" s="11" t="s">
        <v>3224</v>
      </c>
      <c r="D1725" s="2" t="s">
        <v>30</v>
      </c>
      <c r="E1725" s="2" t="s">
        <v>855</v>
      </c>
      <c r="F1725" s="11" t="s">
        <v>1885</v>
      </c>
      <c r="G1725" s="49" t="s">
        <v>1886</v>
      </c>
      <c r="H1725" s="157" t="s">
        <v>1741</v>
      </c>
      <c r="I1725" s="205" t="s">
        <v>1288</v>
      </c>
      <c r="J1725" s="22">
        <f>+Tabla1[[#This Row],[FECHA ENTRADA]]</f>
        <v>45737</v>
      </c>
      <c r="K1725" s="22">
        <v>45821</v>
      </c>
      <c r="L1725" s="23">
        <f>_xlfn.DAYS(Tabla1[[#This Row],[FECHA FIN ]],Tabla1[[#This Row],[FECHA INICIO]])</f>
        <v>84</v>
      </c>
      <c r="M1725" s="12"/>
      <c r="N1725" s="12"/>
      <c r="O1725" s="24">
        <f>(Tabla1[[#This Row],[COSTO FIJO ]]/30)*Tabla1[[#This Row],[TOTAL DIAS PROYECTO]]+(Tabla1[[#This Row],[COSTO TEMPORAL]])</f>
        <v>0</v>
      </c>
      <c r="P1725" s="12">
        <v>75</v>
      </c>
      <c r="Q1725" s="12">
        <f>+(Tabla1[[#This Row],[COSTO COCHE]]/30)*Tabla1[[#This Row],[TOTAL DIAS PROYECTO]]</f>
        <v>210</v>
      </c>
      <c r="R1725" s="12">
        <f>+Tabla1[[#This Row],[COSTO TOTAL ALOJAMIENTO]]+Tabla1[[#This Row],[COSTO TOTAL COCHE]]</f>
        <v>210</v>
      </c>
      <c r="S1725" s="2"/>
      <c r="T1725" s="2" t="s">
        <v>528</v>
      </c>
      <c r="U1725" s="14">
        <v>45737</v>
      </c>
      <c r="V1725" s="25">
        <v>45750</v>
      </c>
      <c r="W1725" s="26"/>
      <c r="X1725" s="2"/>
      <c r="Y1725" s="11"/>
      <c r="Z1725" s="2" t="s">
        <v>36</v>
      </c>
      <c r="AA1725" s="13" t="s">
        <v>10401</v>
      </c>
      <c r="AB1725" s="13" t="s">
        <v>10402</v>
      </c>
      <c r="AC1725"/>
    </row>
    <row r="1726" spans="1:29" ht="15" customHeight="1">
      <c r="A1726" s="2" t="s">
        <v>9328</v>
      </c>
      <c r="B1726" s="2" t="s">
        <v>368</v>
      </c>
      <c r="C1726" s="11" t="s">
        <v>2837</v>
      </c>
      <c r="D1726" s="2" t="s">
        <v>30</v>
      </c>
      <c r="E1726" s="2" t="s">
        <v>855</v>
      </c>
      <c r="F1726" s="11" t="s">
        <v>1885</v>
      </c>
      <c r="G1726" s="49" t="s">
        <v>1886</v>
      </c>
      <c r="H1726" s="157" t="s">
        <v>1741</v>
      </c>
      <c r="I1726" s="205" t="s">
        <v>1288</v>
      </c>
      <c r="J1726" s="22">
        <f>+Tabla1[[#This Row],[FECHA ENTRADA]]</f>
        <v>45737</v>
      </c>
      <c r="K1726" s="22">
        <v>45821</v>
      </c>
      <c r="L1726" s="23">
        <f>_xlfn.DAYS(Tabla1[[#This Row],[FECHA FIN ]],Tabla1[[#This Row],[FECHA INICIO]])</f>
        <v>84</v>
      </c>
      <c r="M1726" s="12"/>
      <c r="N1726" s="12">
        <v>144</v>
      </c>
      <c r="O1726" s="24">
        <f>(Tabla1[[#This Row],[COSTO FIJO ]]/30)*Tabla1[[#This Row],[TOTAL DIAS PROYECTO]]+(Tabla1[[#This Row],[COSTO TEMPORAL]])</f>
        <v>403.2</v>
      </c>
      <c r="P1726" s="12">
        <v>75</v>
      </c>
      <c r="Q1726" s="12">
        <f>+(Tabla1[[#This Row],[COSTO COCHE]]/30)*Tabla1[[#This Row],[TOTAL DIAS PROYECTO]]</f>
        <v>210</v>
      </c>
      <c r="R1726" s="12">
        <f>+Tabla1[[#This Row],[COSTO TOTAL ALOJAMIENTO]]+Tabla1[[#This Row],[COSTO TOTAL COCHE]]</f>
        <v>613.20000000000005</v>
      </c>
      <c r="S1726" s="2"/>
      <c r="T1726" s="2" t="s">
        <v>528</v>
      </c>
      <c r="U1726" s="14">
        <v>45737</v>
      </c>
      <c r="V1726" s="25">
        <v>45750</v>
      </c>
      <c r="W1726" s="26"/>
      <c r="X1726" s="2"/>
      <c r="Y1726" s="11"/>
      <c r="Z1726" s="2" t="s">
        <v>36</v>
      </c>
      <c r="AA1726" s="13" t="s">
        <v>10401</v>
      </c>
      <c r="AB1726" s="13" t="s">
        <v>10402</v>
      </c>
    </row>
    <row r="1727" spans="1:29" ht="15" customHeight="1">
      <c r="A1727" s="2" t="s">
        <v>9464</v>
      </c>
      <c r="B1727" s="2" t="s">
        <v>368</v>
      </c>
      <c r="C1727" s="11" t="s">
        <v>3280</v>
      </c>
      <c r="D1727" s="2" t="s">
        <v>30</v>
      </c>
      <c r="E1727" s="2" t="s">
        <v>855</v>
      </c>
      <c r="F1727" s="11" t="s">
        <v>1896</v>
      </c>
      <c r="G1727" s="21" t="s">
        <v>1474</v>
      </c>
      <c r="H1727" s="2" t="s">
        <v>1898</v>
      </c>
      <c r="I1727" s="91" t="s">
        <v>1288</v>
      </c>
      <c r="J1727" s="41">
        <f>+Tabla1[[#This Row],[FECHA ENTRADA]]</f>
        <v>45679</v>
      </c>
      <c r="K1727" s="22">
        <v>45821</v>
      </c>
      <c r="L1727" s="42">
        <f>_xlfn.DAYS(Tabla1[[#This Row],[FECHA FIN ]],Tabla1[[#This Row],[FECHA INICIO]])</f>
        <v>142</v>
      </c>
      <c r="M1727" s="12"/>
      <c r="N1727" s="12"/>
      <c r="O1727" s="28">
        <f>(Tabla1[[#This Row],[COSTO FIJO ]]/30)*Tabla1[[#This Row],[TOTAL DIAS PROYECTO]]+(Tabla1[[#This Row],[COSTO TEMPORAL]])</f>
        <v>0</v>
      </c>
      <c r="P1727" s="12">
        <v>100</v>
      </c>
      <c r="Q1727" s="12">
        <f>+(Tabla1[[#This Row],[COSTO COCHE]]/30)*Tabla1[[#This Row],[TOTAL DIAS PROYECTO]]</f>
        <v>473.33333333333337</v>
      </c>
      <c r="R1727" s="12">
        <f>+Tabla1[[#This Row],[COSTO TOTAL ALOJAMIENTO]]+Tabla1[[#This Row],[COSTO TOTAL COCHE]]</f>
        <v>473.33333333333337</v>
      </c>
      <c r="S1727" s="2"/>
      <c r="T1727" s="2" t="s">
        <v>44</v>
      </c>
      <c r="U1727" s="14">
        <v>45679</v>
      </c>
      <c r="V1727" s="43">
        <v>45750</v>
      </c>
      <c r="W1727" s="26"/>
      <c r="X1727" s="2"/>
      <c r="Y1727" s="11"/>
      <c r="Z1727" s="2" t="s">
        <v>36</v>
      </c>
      <c r="AA1727" s="13" t="s">
        <v>10401</v>
      </c>
      <c r="AB1727" s="13" t="s">
        <v>10402</v>
      </c>
    </row>
    <row r="1728" spans="1:29" ht="15" customHeight="1">
      <c r="A1728" s="2" t="s">
        <v>9330</v>
      </c>
      <c r="B1728" s="2" t="s">
        <v>28</v>
      </c>
      <c r="C1728" s="11" t="s">
        <v>2842</v>
      </c>
      <c r="D1728" s="2" t="s">
        <v>99</v>
      </c>
      <c r="E1728" s="2" t="s">
        <v>55</v>
      </c>
      <c r="F1728" s="11" t="s">
        <v>1653</v>
      </c>
      <c r="G1728" s="11" t="s">
        <v>1440</v>
      </c>
      <c r="H1728" s="2" t="s">
        <v>3281</v>
      </c>
      <c r="I1728" s="12" t="s">
        <v>236</v>
      </c>
      <c r="J1728" s="22">
        <f>+Tabla1[[#This Row],[FECHA ENTRADA]]</f>
        <v>45753</v>
      </c>
      <c r="K1728" s="22">
        <v>45821</v>
      </c>
      <c r="L1728" s="13">
        <f>_xlfn.DAYS(Tabla1[[#This Row],[FECHA FIN ]],Tabla1[[#This Row],[FECHA INICIO]])</f>
        <v>68</v>
      </c>
      <c r="M1728" s="12"/>
      <c r="N1728" s="12">
        <v>500</v>
      </c>
      <c r="O1728" s="12">
        <f>(Tabla1[[#This Row],[COSTO FIJO ]]/30)*Tabla1[[#This Row],[TOTAL DIAS PROYECTO]]+(Tabla1[[#This Row],[COSTO TEMPORAL]])</f>
        <v>1133.3333333333335</v>
      </c>
      <c r="P1728" s="12"/>
      <c r="Q1728" s="12">
        <f>+(Tabla1[[#This Row],[COSTO COCHE]]/30)*Tabla1[[#This Row],[TOTAL DIAS PROYECTO]]</f>
        <v>0</v>
      </c>
      <c r="R1728" s="12">
        <f>+Tabla1[[#This Row],[COSTO TOTAL ALOJAMIENTO]]+Tabla1[[#This Row],[COSTO TOTAL COCHE]]</f>
        <v>1133.3333333333335</v>
      </c>
      <c r="S1728" s="2"/>
      <c r="T1728" s="2" t="s">
        <v>35</v>
      </c>
      <c r="U1728" s="14">
        <v>45753</v>
      </c>
      <c r="V1728" s="14"/>
      <c r="W1728" s="15"/>
      <c r="X1728" s="16">
        <v>1</v>
      </c>
      <c r="Y1728" s="31"/>
      <c r="Z1728" s="2" t="s">
        <v>36</v>
      </c>
      <c r="AA1728" s="13" t="s">
        <v>10327</v>
      </c>
      <c r="AB1728" s="13" t="s">
        <v>10328</v>
      </c>
    </row>
    <row r="1729" spans="1:28" ht="15" customHeight="1">
      <c r="A1729" s="2" t="s">
        <v>9415</v>
      </c>
      <c r="B1729" s="2" t="s">
        <v>368</v>
      </c>
      <c r="C1729" s="11" t="s">
        <v>3099</v>
      </c>
      <c r="D1729" s="2" t="s">
        <v>30</v>
      </c>
      <c r="E1729" s="2" t="s">
        <v>855</v>
      </c>
      <c r="F1729" s="11" t="s">
        <v>1885</v>
      </c>
      <c r="G1729" s="49" t="s">
        <v>1886</v>
      </c>
      <c r="H1729" s="2" t="s">
        <v>1741</v>
      </c>
      <c r="I1729" s="91" t="s">
        <v>1288</v>
      </c>
      <c r="J1729" s="22">
        <f>+Tabla1[[#This Row],[FECHA ENTRADA]]</f>
        <v>45737</v>
      </c>
      <c r="K1729" s="22">
        <v>45821</v>
      </c>
      <c r="L1729" s="23">
        <f>_xlfn.DAYS(Tabla1[[#This Row],[FECHA FIN ]],Tabla1[[#This Row],[FECHA INICIO]])</f>
        <v>84</v>
      </c>
      <c r="M1729" s="12"/>
      <c r="N1729" s="24"/>
      <c r="O1729" s="24">
        <f>(Tabla1[[#This Row],[COSTO FIJO ]]/30)*Tabla1[[#This Row],[TOTAL DIAS PROYECTO]]+(Tabla1[[#This Row],[COSTO TEMPORAL]])</f>
        <v>0</v>
      </c>
      <c r="P1729" s="12">
        <v>75</v>
      </c>
      <c r="Q1729" s="12">
        <f>+(Tabla1[[#This Row],[COSTO COCHE]]/30)*Tabla1[[#This Row],[TOTAL DIAS PROYECTO]]</f>
        <v>210</v>
      </c>
      <c r="R1729" s="12">
        <f>+Tabla1[[#This Row],[COSTO TOTAL ALOJAMIENTO]]+Tabla1[[#This Row],[COSTO TOTAL COCHE]]</f>
        <v>210</v>
      </c>
      <c r="S1729" s="2"/>
      <c r="T1729" s="2" t="s">
        <v>528</v>
      </c>
      <c r="U1729" s="14">
        <v>45737</v>
      </c>
      <c r="V1729" s="25">
        <v>45750</v>
      </c>
      <c r="W1729" s="26"/>
      <c r="X1729" s="2"/>
      <c r="Y1729" s="11"/>
      <c r="Z1729" s="2" t="s">
        <v>36</v>
      </c>
      <c r="AA1729" s="13" t="s">
        <v>10401</v>
      </c>
      <c r="AB1729" s="13" t="s">
        <v>10402</v>
      </c>
    </row>
    <row r="1730" spans="1:28" ht="15" customHeight="1">
      <c r="A1730" s="2" t="s">
        <v>9198</v>
      </c>
      <c r="B1730" s="2" t="s">
        <v>368</v>
      </c>
      <c r="C1730" s="31" t="s">
        <v>2407</v>
      </c>
      <c r="D1730" s="2" t="s">
        <v>99</v>
      </c>
      <c r="E1730" s="2" t="s">
        <v>939</v>
      </c>
      <c r="F1730" s="11" t="s">
        <v>2440</v>
      </c>
      <c r="G1730" s="21" t="s">
        <v>2441</v>
      </c>
      <c r="H1730" s="2" t="s">
        <v>3282</v>
      </c>
      <c r="I1730" s="2" t="s">
        <v>1255</v>
      </c>
      <c r="J1730" s="22">
        <f>+Tabla1[[#This Row],[FECHA ENTRADA]]</f>
        <v>45746</v>
      </c>
      <c r="K1730" s="22">
        <v>45821</v>
      </c>
      <c r="L1730" s="23">
        <f>_xlfn.DAYS(Tabla1[[#This Row],[FECHA FIN ]],Tabla1[[#This Row],[FECHA INICIO]])</f>
        <v>75</v>
      </c>
      <c r="M1730" s="12"/>
      <c r="N1730" s="12"/>
      <c r="O1730" s="24">
        <f>(Tabla1[[#This Row],[COSTO FIJO ]]/30)*Tabla1[[#This Row],[TOTAL DIAS PROYECTO]]+(Tabla1[[#This Row],[COSTO TEMPORAL]])</f>
        <v>0</v>
      </c>
      <c r="P1730" s="12"/>
      <c r="Q1730" s="12">
        <f>+(Tabla1[[#This Row],[COSTO COCHE]]/30)*Tabla1[[#This Row],[TOTAL DIAS PROYECTO]]</f>
        <v>0</v>
      </c>
      <c r="R1730" s="12">
        <f>+Tabla1[[#This Row],[COSTO TOTAL ALOJAMIENTO]]+Tabla1[[#This Row],[COSTO TOTAL COCHE]]</f>
        <v>0</v>
      </c>
      <c r="S1730" s="2"/>
      <c r="T1730" s="2" t="s">
        <v>44</v>
      </c>
      <c r="U1730" s="14">
        <v>45746</v>
      </c>
      <c r="V1730" s="79">
        <v>45751</v>
      </c>
      <c r="W1730" s="26"/>
      <c r="X1730" s="2"/>
      <c r="Y1730" s="11"/>
      <c r="Z1730" s="116" t="s">
        <v>36</v>
      </c>
      <c r="AA1730" s="13" t="s">
        <v>10405</v>
      </c>
      <c r="AB1730" s="13" t="s">
        <v>10406</v>
      </c>
    </row>
    <row r="1731" spans="1:28" ht="15" customHeight="1">
      <c r="A1731" s="2" t="s">
        <v>9465</v>
      </c>
      <c r="B1731" s="2" t="s">
        <v>28</v>
      </c>
      <c r="C1731" s="31" t="s">
        <v>3283</v>
      </c>
      <c r="D1731" s="2" t="s">
        <v>30</v>
      </c>
      <c r="E1731" s="2" t="s">
        <v>939</v>
      </c>
      <c r="F1731" s="11" t="s">
        <v>2440</v>
      </c>
      <c r="G1731" s="49" t="s">
        <v>2441</v>
      </c>
      <c r="H1731" s="2" t="s">
        <v>3284</v>
      </c>
      <c r="I1731" s="12" t="s">
        <v>3185</v>
      </c>
      <c r="J1731" s="41">
        <f>+Tabla1[[#This Row],[FECHA ENTRADA]]</f>
        <v>45726</v>
      </c>
      <c r="K1731" s="22">
        <v>45821</v>
      </c>
      <c r="L1731" s="42">
        <f>_xlfn.DAYS(Tabla1[[#This Row],[FECHA FIN ]],Tabla1[[#This Row],[FECHA INICIO]])</f>
        <v>95</v>
      </c>
      <c r="M1731" s="12"/>
      <c r="N1731" s="28"/>
      <c r="O1731" s="28">
        <f>(Tabla1[[#This Row],[COSTO FIJO ]]/30)*Tabla1[[#This Row],[TOTAL DIAS PROYECTO]]+(Tabla1[[#This Row],[COSTO TEMPORAL]])</f>
        <v>0</v>
      </c>
      <c r="P1731" s="12"/>
      <c r="Q1731" s="12">
        <f>+(Tabla1[[#This Row],[COSTO COCHE]]/30)*Tabla1[[#This Row],[TOTAL DIAS PROYECTO]]</f>
        <v>0</v>
      </c>
      <c r="R1731" s="12">
        <f>+Tabla1[[#This Row],[COSTO TOTAL ALOJAMIENTO]]+Tabla1[[#This Row],[COSTO TOTAL COCHE]]</f>
        <v>0</v>
      </c>
      <c r="S1731" s="2"/>
      <c r="T1731" s="2" t="s">
        <v>44</v>
      </c>
      <c r="U1731" s="14">
        <v>45726</v>
      </c>
      <c r="V1731" s="43">
        <v>45751</v>
      </c>
      <c r="W1731" s="26"/>
      <c r="X1731" s="2"/>
      <c r="Y1731" s="11"/>
      <c r="Z1731" s="2" t="s">
        <v>36</v>
      </c>
      <c r="AA1731" s="13" t="s">
        <v>10405</v>
      </c>
      <c r="AB1731" s="13" t="s">
        <v>10406</v>
      </c>
    </row>
    <row r="1732" spans="1:28" ht="15" customHeight="1">
      <c r="A1732" s="2" t="s">
        <v>8945</v>
      </c>
      <c r="B1732" s="2" t="s">
        <v>368</v>
      </c>
      <c r="C1732" s="11" t="s">
        <v>1397</v>
      </c>
      <c r="D1732" s="2" t="s">
        <v>1398</v>
      </c>
      <c r="E1732" s="2" t="s">
        <v>288</v>
      </c>
      <c r="F1732" s="11" t="s">
        <v>1106</v>
      </c>
      <c r="G1732" s="30" t="s">
        <v>2860</v>
      </c>
      <c r="H1732" s="2" t="s">
        <v>3285</v>
      </c>
      <c r="I1732" s="12" t="s">
        <v>2862</v>
      </c>
      <c r="J1732" s="41">
        <f>+Tabla1[[#This Row],[FECHA ENTRADA]]</f>
        <v>45643</v>
      </c>
      <c r="K1732" s="8">
        <v>45664</v>
      </c>
      <c r="L1732" s="42">
        <f>_xlfn.DAYS(Tabla1[[#This Row],[FECHA FIN ]],Tabla1[[#This Row],[FECHA INICIO]])</f>
        <v>21</v>
      </c>
      <c r="M1732" s="12"/>
      <c r="N1732" s="12"/>
      <c r="O1732" s="28">
        <f>(Tabla1[[#This Row],[COSTO FIJO ]]/30)*Tabla1[[#This Row],[TOTAL DIAS PROYECTO]]+(Tabla1[[#This Row],[COSTO TEMPORAL]])</f>
        <v>0</v>
      </c>
      <c r="P1732" s="12"/>
      <c r="Q1732" s="12">
        <f>+(Tabla1[[#This Row],[COSTO COCHE]]/30)*Tabla1[[#This Row],[TOTAL DIAS PROYECTO]]</f>
        <v>0</v>
      </c>
      <c r="R1732" s="12">
        <f>+Tabla1[[#This Row],[COSTO TOTAL ALOJAMIENTO]]+Tabla1[[#This Row],[COSTO TOTAL COCHE]]</f>
        <v>0</v>
      </c>
      <c r="S1732" s="2"/>
      <c r="T1732" s="2" t="s">
        <v>8</v>
      </c>
      <c r="U1732" s="14">
        <v>45643</v>
      </c>
      <c r="V1732" s="43"/>
      <c r="W1732" s="26"/>
      <c r="X1732" s="2"/>
      <c r="Y1732" s="11"/>
      <c r="Z1732" s="2" t="s">
        <v>36</v>
      </c>
      <c r="AA1732" s="13" t="s">
        <v>10362</v>
      </c>
      <c r="AB1732" s="13" t="s">
        <v>10363</v>
      </c>
    </row>
    <row r="1733" spans="1:28" ht="15" customHeight="1">
      <c r="A1733" s="2" t="s">
        <v>8879</v>
      </c>
      <c r="B1733" s="2" t="s">
        <v>368</v>
      </c>
      <c r="C1733" s="11" t="s">
        <v>1145</v>
      </c>
      <c r="D1733" s="2" t="s">
        <v>1398</v>
      </c>
      <c r="E1733" s="2" t="s">
        <v>288</v>
      </c>
      <c r="F1733" s="11" t="s">
        <v>1106</v>
      </c>
      <c r="G1733" s="30" t="s">
        <v>2860</v>
      </c>
      <c r="H1733" s="157" t="s">
        <v>3285</v>
      </c>
      <c r="I1733" s="158" t="s">
        <v>2862</v>
      </c>
      <c r="J1733" s="41">
        <f>+Tabla1[[#This Row],[FECHA ENTRADA]]</f>
        <v>45643</v>
      </c>
      <c r="K1733" s="22">
        <v>45821</v>
      </c>
      <c r="L1733" s="42">
        <f>_xlfn.DAYS(Tabla1[[#This Row],[FECHA FIN ]],Tabla1[[#This Row],[FECHA INICIO]])</f>
        <v>178</v>
      </c>
      <c r="M1733" s="12"/>
      <c r="N1733" s="12"/>
      <c r="O1733" s="28">
        <f>(Tabla1[[#This Row],[COSTO FIJO ]]/30)*Tabla1[[#This Row],[TOTAL DIAS PROYECTO]]+(Tabla1[[#This Row],[COSTO TEMPORAL]])</f>
        <v>0</v>
      </c>
      <c r="P1733" s="12"/>
      <c r="Q1733" s="12">
        <f>+(Tabla1[[#This Row],[COSTO COCHE]]/30)*Tabla1[[#This Row],[TOTAL DIAS PROYECTO]]</f>
        <v>0</v>
      </c>
      <c r="R1733" s="12">
        <f>+Tabla1[[#This Row],[COSTO TOTAL ALOJAMIENTO]]+Tabla1[[#This Row],[COSTO TOTAL COCHE]]</f>
        <v>0</v>
      </c>
      <c r="S1733" s="2"/>
      <c r="T1733" s="2" t="s">
        <v>8</v>
      </c>
      <c r="U1733" s="14">
        <v>45643</v>
      </c>
      <c r="V1733" s="43"/>
      <c r="W1733" s="26"/>
      <c r="X1733" s="2"/>
      <c r="Y1733" s="11"/>
      <c r="Z1733" s="2" t="s">
        <v>36</v>
      </c>
      <c r="AA1733" s="13" t="s">
        <v>10362</v>
      </c>
      <c r="AB1733" s="13" t="s">
        <v>10363</v>
      </c>
    </row>
    <row r="1734" spans="1:28" ht="15" customHeight="1">
      <c r="A1734" s="2" t="s">
        <v>9466</v>
      </c>
      <c r="B1734" s="2" t="s">
        <v>368</v>
      </c>
      <c r="C1734" s="11" t="s">
        <v>3286</v>
      </c>
      <c r="D1734" s="2" t="s">
        <v>99</v>
      </c>
      <c r="E1734" s="2" t="s">
        <v>87</v>
      </c>
      <c r="F1734" s="11" t="s">
        <v>1740</v>
      </c>
      <c r="G1734" s="49">
        <v>916607649</v>
      </c>
      <c r="H1734" s="157" t="s">
        <v>3287</v>
      </c>
      <c r="I1734" s="158" t="s">
        <v>1288</v>
      </c>
      <c r="J1734" s="41">
        <f>+Tabla1[[#This Row],[FECHA ENTRADA]]</f>
        <v>45747</v>
      </c>
      <c r="K1734" s="22">
        <v>45821</v>
      </c>
      <c r="L1734" s="42">
        <f>_xlfn.DAYS(Tabla1[[#This Row],[FECHA FIN ]],Tabla1[[#This Row],[FECHA INICIO]])</f>
        <v>74</v>
      </c>
      <c r="M1734" s="12"/>
      <c r="N1734" s="28"/>
      <c r="O1734" s="28">
        <f>(Tabla1[[#This Row],[COSTO FIJO ]]/30)*Tabla1[[#This Row],[TOTAL DIAS PROYECTO]]+(Tabla1[[#This Row],[COSTO TEMPORAL]])</f>
        <v>0</v>
      </c>
      <c r="P1734" s="12"/>
      <c r="Q1734" s="12">
        <f>+(Tabla1[[#This Row],[COSTO COCHE]]/30)*Tabla1[[#This Row],[TOTAL DIAS PROYECTO]]</f>
        <v>0</v>
      </c>
      <c r="R1734" s="12">
        <f>+Tabla1[[#This Row],[COSTO TOTAL ALOJAMIENTO]]+Tabla1[[#This Row],[COSTO TOTAL COCHE]]</f>
        <v>0</v>
      </c>
      <c r="S1734" s="2"/>
      <c r="T1734" s="2" t="s">
        <v>44</v>
      </c>
      <c r="U1734" s="14">
        <v>45747</v>
      </c>
      <c r="V1734" s="43">
        <v>45754</v>
      </c>
      <c r="W1734" s="26"/>
      <c r="X1734" s="2"/>
      <c r="Y1734" s="11"/>
      <c r="Z1734" s="2" t="s">
        <v>36</v>
      </c>
      <c r="AA1734" s="13" t="s">
        <v>10335</v>
      </c>
      <c r="AB1734" s="13">
        <v>404.16500000000002</v>
      </c>
    </row>
    <row r="1735" spans="1:28">
      <c r="A1735" s="2" t="s">
        <v>9467</v>
      </c>
      <c r="B1735" s="2" t="s">
        <v>368</v>
      </c>
      <c r="C1735" s="11" t="s">
        <v>3288</v>
      </c>
      <c r="D1735" s="2" t="s">
        <v>99</v>
      </c>
      <c r="E1735" s="2" t="s">
        <v>55</v>
      </c>
      <c r="F1735" s="11" t="s">
        <v>1776</v>
      </c>
      <c r="G1735" s="87" t="s">
        <v>106</v>
      </c>
      <c r="H1735" s="2" t="s">
        <v>2129</v>
      </c>
      <c r="I1735" s="12" t="s">
        <v>1316</v>
      </c>
      <c r="J1735" s="22">
        <f>+Tabla1[[#This Row],[FECHA ENTRADA]]</f>
        <v>45783</v>
      </c>
      <c r="K1735" s="22">
        <v>45821</v>
      </c>
      <c r="L1735" s="42">
        <f>_xlfn.DAYS(Tabla1[[#This Row],[FECHA FIN ]],Tabla1[[#This Row],[FECHA INICIO]])</f>
        <v>38</v>
      </c>
      <c r="M1735" s="12"/>
      <c r="N1735" s="12">
        <v>483.33333333333331</v>
      </c>
      <c r="O1735" s="28">
        <f>(Tabla1[[#This Row],[COSTO FIJO ]]/30)*Tabla1[[#This Row],[TOTAL DIAS PROYECTO]]+(Tabla1[[#This Row],[COSTO TEMPORAL]])</f>
        <v>612.22222222222217</v>
      </c>
      <c r="P1735" s="12"/>
      <c r="Q1735" s="12">
        <f>+(Tabla1[[#This Row],[COSTO COCHE]]/30)*Tabla1[[#This Row],[TOTAL DIAS PROYECTO]]</f>
        <v>0</v>
      </c>
      <c r="R1735" s="12">
        <f>+Tabla1[[#This Row],[COSTO TOTAL ALOJAMIENTO]]+Tabla1[[#This Row],[COSTO TOTAL COCHE]]</f>
        <v>612.22222222222217</v>
      </c>
      <c r="S1735" s="2"/>
      <c r="T1735" s="2" t="s">
        <v>613</v>
      </c>
      <c r="U1735" s="14">
        <v>45783</v>
      </c>
      <c r="V1735" s="43"/>
      <c r="W1735" s="26"/>
      <c r="X1735" s="2">
        <v>1</v>
      </c>
      <c r="Y1735" s="161" t="s">
        <v>2258</v>
      </c>
      <c r="Z1735" s="2" t="s">
        <v>36</v>
      </c>
      <c r="AA1735" s="13" t="s">
        <v>10327</v>
      </c>
      <c r="AB1735" s="13" t="s">
        <v>10328</v>
      </c>
    </row>
    <row r="1736" spans="1:28" ht="15" customHeight="1">
      <c r="A1736" s="2" t="s">
        <v>8734</v>
      </c>
      <c r="B1736" s="2" t="s">
        <v>28</v>
      </c>
      <c r="C1736" s="86" t="s">
        <v>491</v>
      </c>
      <c r="D1736" s="2" t="s">
        <v>30</v>
      </c>
      <c r="E1736" s="2" t="s">
        <v>985</v>
      </c>
      <c r="F1736" s="11"/>
      <c r="G1736" s="11"/>
      <c r="H1736" s="2" t="s">
        <v>3289</v>
      </c>
      <c r="I1736" s="12" t="s">
        <v>1272</v>
      </c>
      <c r="J1736" s="8">
        <f>+Tabla1[[#This Row],[FECHA ENTRADA]]</f>
        <v>45476</v>
      </c>
      <c r="K1736" s="22">
        <v>45821</v>
      </c>
      <c r="L1736" s="13">
        <f>_xlfn.DAYS(Tabla1[[#This Row],[FECHA FIN ]],Tabla1[[#This Row],[FECHA INICIO]])</f>
        <v>345</v>
      </c>
      <c r="M1736" s="12"/>
      <c r="N1736" s="12">
        <v>300</v>
      </c>
      <c r="O1736" s="12">
        <f>(Tabla1[[#This Row],[COSTO FIJO ]]/30)*Tabla1[[#This Row],[TOTAL DIAS PROYECTO]]+(Tabla1[[#This Row],[COSTO TEMPORAL]])</f>
        <v>3450</v>
      </c>
      <c r="P1736" s="12"/>
      <c r="Q1736" s="12">
        <f>+(Tabla1[[#This Row],[COSTO COCHE]]/30)*Tabla1[[#This Row],[TOTAL DIAS PROYECTO]]</f>
        <v>0</v>
      </c>
      <c r="R1736" s="12">
        <f>+Tabla1[[#This Row],[COSTO TOTAL ALOJAMIENTO]]+Tabla1[[#This Row],[COSTO TOTAL COCHE]]</f>
        <v>3450</v>
      </c>
      <c r="S1736" s="2"/>
      <c r="T1736" s="2" t="s">
        <v>58</v>
      </c>
      <c r="U1736" s="14">
        <v>45476</v>
      </c>
      <c r="V1736" s="14">
        <v>45485</v>
      </c>
      <c r="W1736" s="26"/>
      <c r="X1736" s="2"/>
      <c r="Y1736" s="11"/>
      <c r="Z1736" s="2" t="s">
        <v>36</v>
      </c>
      <c r="AA1736" s="13" t="s">
        <v>10407</v>
      </c>
      <c r="AB1736" s="13" t="s">
        <v>10408</v>
      </c>
    </row>
    <row r="1737" spans="1:28" ht="15" customHeight="1">
      <c r="A1737" s="2" t="s">
        <v>9460</v>
      </c>
      <c r="B1737" s="2" t="s">
        <v>368</v>
      </c>
      <c r="C1737" s="11" t="s">
        <v>3250</v>
      </c>
      <c r="D1737" s="2" t="s">
        <v>99</v>
      </c>
      <c r="E1737" s="2" t="s">
        <v>87</v>
      </c>
      <c r="F1737" s="11" t="s">
        <v>1740</v>
      </c>
      <c r="G1737" s="49">
        <v>916607649</v>
      </c>
      <c r="H1737" s="2" t="s">
        <v>3290</v>
      </c>
      <c r="I1737" s="203" t="s">
        <v>1288</v>
      </c>
      <c r="J1737" s="41">
        <f>+Tabla1[[#This Row],[FECHA ENTRADA]]</f>
        <v>45749</v>
      </c>
      <c r="K1737" s="22">
        <v>45821</v>
      </c>
      <c r="L1737" s="42">
        <f>_xlfn.DAYS(Tabla1[[#This Row],[FECHA FIN ]],Tabla1[[#This Row],[FECHA INICIO]])</f>
        <v>72</v>
      </c>
      <c r="M1737" s="12"/>
      <c r="N1737" s="28"/>
      <c r="O1737" s="28">
        <f>(Tabla1[[#This Row],[COSTO FIJO ]]/30)*Tabla1[[#This Row],[TOTAL DIAS PROYECTO]]+(Tabla1[[#This Row],[COSTO TEMPORAL]])</f>
        <v>0</v>
      </c>
      <c r="P1737" s="12"/>
      <c r="Q1737" s="12">
        <f>+(Tabla1[[#This Row],[COSTO COCHE]]/30)*Tabla1[[#This Row],[TOTAL DIAS PROYECTO]]</f>
        <v>0</v>
      </c>
      <c r="R1737" s="12">
        <f>+Tabla1[[#This Row],[COSTO TOTAL ALOJAMIENTO]]+Tabla1[[#This Row],[COSTO TOTAL COCHE]]</f>
        <v>0</v>
      </c>
      <c r="S1737" s="2"/>
      <c r="T1737" s="2" t="s">
        <v>44</v>
      </c>
      <c r="U1737" s="14">
        <v>45749</v>
      </c>
      <c r="V1737" s="43">
        <v>45754</v>
      </c>
      <c r="W1737" s="26"/>
      <c r="X1737" s="2"/>
      <c r="Y1737" s="11"/>
      <c r="Z1737" s="2" t="s">
        <v>36</v>
      </c>
      <c r="AA1737" s="13" t="s">
        <v>10335</v>
      </c>
      <c r="AB1737" s="13">
        <v>404.16500000000002</v>
      </c>
    </row>
    <row r="1738" spans="1:28" ht="15" customHeight="1">
      <c r="A1738" s="2" t="s">
        <v>9357</v>
      </c>
      <c r="B1738" s="2" t="s">
        <v>28</v>
      </c>
      <c r="C1738" s="11" t="s">
        <v>2921</v>
      </c>
      <c r="D1738" s="2" t="s">
        <v>99</v>
      </c>
      <c r="E1738" s="2" t="s">
        <v>855</v>
      </c>
      <c r="F1738" s="11" t="s">
        <v>1937</v>
      </c>
      <c r="G1738" s="11" t="s">
        <v>1938</v>
      </c>
      <c r="H1738" s="2" t="s">
        <v>1939</v>
      </c>
      <c r="I1738" s="10" t="s">
        <v>1940</v>
      </c>
      <c r="J1738" s="41">
        <f>+Tabla1[[#This Row],[FECHA ENTRADA]]</f>
        <v>45747</v>
      </c>
      <c r="K1738" s="22">
        <v>45821</v>
      </c>
      <c r="L1738" s="42">
        <f>_xlfn.DAYS(Tabla1[[#This Row],[FECHA FIN ]],Tabla1[[#This Row],[FECHA INICIO]])</f>
        <v>74</v>
      </c>
      <c r="M1738" s="12"/>
      <c r="N1738" s="12">
        <f>1811.6/17</f>
        <v>106.56470588235294</v>
      </c>
      <c r="O1738" s="28">
        <f>(Tabla1[[#This Row],[COSTO FIJO ]]/30)*Tabla1[[#This Row],[TOTAL DIAS PROYECTO]]+(Tabla1[[#This Row],[COSTO TEMPORAL]])</f>
        <v>262.85960784313727</v>
      </c>
      <c r="P1738" s="12"/>
      <c r="Q1738" s="12">
        <f>+(Tabla1[[#This Row],[COSTO COCHE]]/30)*Tabla1[[#This Row],[TOTAL DIAS PROYECTO]]</f>
        <v>0</v>
      </c>
      <c r="R1738" s="12">
        <f>+Tabla1[[#This Row],[COSTO TOTAL ALOJAMIENTO]]+Tabla1[[#This Row],[COSTO TOTAL COCHE]]</f>
        <v>262.85960784313727</v>
      </c>
      <c r="S1738" s="2"/>
      <c r="T1738" s="2" t="s">
        <v>44</v>
      </c>
      <c r="U1738" s="14">
        <v>45747</v>
      </c>
      <c r="V1738" s="43">
        <v>45755</v>
      </c>
      <c r="W1738" s="26"/>
      <c r="X1738" s="2"/>
      <c r="Y1738" s="11"/>
      <c r="Z1738" s="2" t="s">
        <v>36</v>
      </c>
      <c r="AA1738" s="13" t="s">
        <v>10401</v>
      </c>
      <c r="AB1738" s="13" t="s">
        <v>10402</v>
      </c>
    </row>
    <row r="1739" spans="1:28" ht="15" customHeight="1">
      <c r="A1739" s="2" t="s">
        <v>9468</v>
      </c>
      <c r="B1739" s="2" t="s">
        <v>28</v>
      </c>
      <c r="C1739" s="11" t="s">
        <v>3291</v>
      </c>
      <c r="D1739" s="2" t="s">
        <v>99</v>
      </c>
      <c r="E1739" s="2" t="s">
        <v>599</v>
      </c>
      <c r="F1739" s="11" t="s">
        <v>3292</v>
      </c>
      <c r="G1739" s="46" t="s">
        <v>3293</v>
      </c>
      <c r="H1739" s="2" t="s">
        <v>3294</v>
      </c>
      <c r="I1739" s="10" t="s">
        <v>603</v>
      </c>
      <c r="J1739" s="41">
        <f>+Tabla1[[#This Row],[FECHA ENTRADA]]</f>
        <v>45749</v>
      </c>
      <c r="K1739" s="22">
        <v>45821</v>
      </c>
      <c r="L1739" s="42">
        <f>_xlfn.DAYS(Tabla1[[#This Row],[FECHA FIN ]],Tabla1[[#This Row],[FECHA INICIO]])</f>
        <v>72</v>
      </c>
      <c r="M1739" s="12"/>
      <c r="N1739" s="20"/>
      <c r="O1739" s="28">
        <f>(Tabla1[[#This Row],[COSTO FIJO ]]/30)*Tabla1[[#This Row],[TOTAL DIAS PROYECTO]]+(Tabla1[[#This Row],[COSTO TEMPORAL]])</f>
        <v>0</v>
      </c>
      <c r="P1739" s="12"/>
      <c r="Q1739" s="12">
        <f>+(Tabla1[[#This Row],[COSTO COCHE]]/30)*Tabla1[[#This Row],[TOTAL DIAS PROYECTO]]</f>
        <v>0</v>
      </c>
      <c r="R1739" s="12">
        <f>+Tabla1[[#This Row],[COSTO TOTAL ALOJAMIENTO]]+Tabla1[[#This Row],[COSTO TOTAL COCHE]]</f>
        <v>0</v>
      </c>
      <c r="S1739" s="2"/>
      <c r="T1739" s="2" t="s">
        <v>44</v>
      </c>
      <c r="U1739" s="14">
        <v>45749</v>
      </c>
      <c r="V1739" s="43">
        <v>45755</v>
      </c>
      <c r="W1739" s="26"/>
      <c r="X1739" s="2"/>
      <c r="Y1739" s="11"/>
      <c r="Z1739" s="2" t="s">
        <v>36</v>
      </c>
      <c r="AA1739" s="13" t="s">
        <v>10382</v>
      </c>
      <c r="AB1739" s="13">
        <v>4038884</v>
      </c>
    </row>
    <row r="1740" spans="1:28">
      <c r="A1740" s="2" t="s">
        <v>9469</v>
      </c>
      <c r="B1740" s="2" t="s">
        <v>28</v>
      </c>
      <c r="C1740" s="11" t="s">
        <v>3295</v>
      </c>
      <c r="D1740" s="2" t="s">
        <v>99</v>
      </c>
      <c r="E1740" s="2" t="s">
        <v>599</v>
      </c>
      <c r="F1740" s="11" t="s">
        <v>600</v>
      </c>
      <c r="G1740" s="11" t="s">
        <v>601</v>
      </c>
      <c r="H1740" s="2" t="s">
        <v>2264</v>
      </c>
      <c r="I1740" s="10" t="s">
        <v>603</v>
      </c>
      <c r="J1740" s="22">
        <f>+Tabla1[[#This Row],[FECHA ENTRADA]]</f>
        <v>45741</v>
      </c>
      <c r="K1740" s="22">
        <v>45821</v>
      </c>
      <c r="L1740" s="23">
        <f>_xlfn.DAYS(Tabla1[[#This Row],[FECHA FIN ]],Tabla1[[#This Row],[FECHA INICIO]])</f>
        <v>80</v>
      </c>
      <c r="M1740" s="12"/>
      <c r="N1740" s="12">
        <f>1811.6/17</f>
        <v>106.56470588235294</v>
      </c>
      <c r="O1740" s="24">
        <f>(Tabla1[[#This Row],[COSTO FIJO ]]/30)*Tabla1[[#This Row],[TOTAL DIAS PROYECTO]]+(Tabla1[[#This Row],[COSTO TEMPORAL]])</f>
        <v>284.17254901960786</v>
      </c>
      <c r="P1740" s="12"/>
      <c r="Q1740" s="12">
        <f>+(Tabla1[[#This Row],[COSTO COCHE]]/30)*Tabla1[[#This Row],[TOTAL DIAS PROYECTO]]</f>
        <v>0</v>
      </c>
      <c r="R1740" s="12">
        <f>+Tabla1[[#This Row],[COSTO TOTAL ALOJAMIENTO]]+Tabla1[[#This Row],[COSTO TOTAL COCHE]]</f>
        <v>284.17254901960786</v>
      </c>
      <c r="S1740" s="2"/>
      <c r="T1740" s="2" t="s">
        <v>528</v>
      </c>
      <c r="U1740" s="14">
        <v>45741</v>
      </c>
      <c r="V1740" s="25">
        <v>45756</v>
      </c>
      <c r="W1740" s="26"/>
      <c r="X1740" s="2"/>
      <c r="Y1740" s="11" t="s">
        <v>3296</v>
      </c>
      <c r="Z1740" s="2" t="s">
        <v>36</v>
      </c>
      <c r="AA1740" s="13" t="s">
        <v>10382</v>
      </c>
      <c r="AB1740" s="13">
        <v>4038884</v>
      </c>
    </row>
    <row r="1741" spans="1:28" ht="15" customHeight="1">
      <c r="A1741" s="2" t="s">
        <v>9470</v>
      </c>
      <c r="B1741" s="2" t="s">
        <v>28</v>
      </c>
      <c r="C1741" s="99" t="s">
        <v>3297</v>
      </c>
      <c r="D1741" s="2" t="s">
        <v>30</v>
      </c>
      <c r="E1741" s="2" t="s">
        <v>985</v>
      </c>
      <c r="F1741" s="11"/>
      <c r="G1741" s="46"/>
      <c r="H1741" s="2" t="s">
        <v>1271</v>
      </c>
      <c r="I1741" s="12" t="s">
        <v>1272</v>
      </c>
      <c r="J1741" s="41">
        <f>+Tabla1[[#This Row],[FECHA ENTRADA]]</f>
        <v>45652</v>
      </c>
      <c r="K1741" s="22">
        <v>45821</v>
      </c>
      <c r="L1741" s="42">
        <f>_xlfn.DAYS(Tabla1[[#This Row],[FECHA FIN ]],Tabla1[[#This Row],[FECHA INICIO]])</f>
        <v>169</v>
      </c>
      <c r="M1741" s="12"/>
      <c r="N1741" s="12">
        <v>300</v>
      </c>
      <c r="O1741" s="28">
        <f>(Tabla1[[#This Row],[COSTO FIJO ]]/30)*Tabla1[[#This Row],[TOTAL DIAS PROYECTO]]+(Tabla1[[#This Row],[COSTO TEMPORAL]])</f>
        <v>1690</v>
      </c>
      <c r="P1741" s="12"/>
      <c r="Q1741" s="12">
        <f>+(Tabla1[[#This Row],[COSTO COCHE]]/30)*Tabla1[[#This Row],[TOTAL DIAS PROYECTO]]</f>
        <v>0</v>
      </c>
      <c r="R1741" s="12">
        <f>+Tabla1[[#This Row],[COSTO TOTAL ALOJAMIENTO]]+Tabla1[[#This Row],[COSTO TOTAL COCHE]]</f>
        <v>1690</v>
      </c>
      <c r="S1741" s="2"/>
      <c r="T1741" s="2" t="s">
        <v>58</v>
      </c>
      <c r="U1741" s="8">
        <v>45652</v>
      </c>
      <c r="V1741" s="43"/>
      <c r="W1741" s="26"/>
      <c r="X1741" s="2"/>
      <c r="Y1741" s="11" t="s">
        <v>1635</v>
      </c>
      <c r="Z1741" s="116" t="s">
        <v>36</v>
      </c>
      <c r="AA1741" s="13" t="s">
        <v>10407</v>
      </c>
      <c r="AB1741" s="13" t="s">
        <v>10408</v>
      </c>
    </row>
    <row r="1742" spans="1:28" ht="15" customHeight="1">
      <c r="A1742" s="2" t="s">
        <v>9200</v>
      </c>
      <c r="B1742" s="2" t="s">
        <v>28</v>
      </c>
      <c r="C1742" s="11" t="s">
        <v>2415</v>
      </c>
      <c r="D1742" s="2" t="s">
        <v>99</v>
      </c>
      <c r="E1742" s="2" t="s">
        <v>253</v>
      </c>
      <c r="F1742" s="11" t="s">
        <v>1984</v>
      </c>
      <c r="G1742" s="49" t="s">
        <v>1985</v>
      </c>
      <c r="H1742" s="2" t="s">
        <v>1820</v>
      </c>
      <c r="I1742" s="12" t="s">
        <v>256</v>
      </c>
      <c r="J1742" s="41">
        <f>+Tabla1[[#This Row],[FECHA ENTRADA]]</f>
        <v>45737</v>
      </c>
      <c r="K1742" s="22">
        <v>45821</v>
      </c>
      <c r="L1742" s="42">
        <f>_xlfn.DAYS(Tabla1[[#This Row],[FECHA FIN ]],Tabla1[[#This Row],[FECHA INICIO]])</f>
        <v>84</v>
      </c>
      <c r="M1742" s="12"/>
      <c r="N1742" s="12"/>
      <c r="O1742" s="28">
        <f>(Tabla1[[#This Row],[COSTO FIJO ]]/30)*Tabla1[[#This Row],[TOTAL DIAS PROYECTO]]+(Tabla1[[#This Row],[COSTO TEMPORAL]])</f>
        <v>0</v>
      </c>
      <c r="P1742" s="12"/>
      <c r="Q1742" s="12">
        <f>+(Tabla1[[#This Row],[COSTO COCHE]]/30)*Tabla1[[#This Row],[TOTAL DIAS PROYECTO]]</f>
        <v>0</v>
      </c>
      <c r="R1742" s="12">
        <f>+Tabla1[[#This Row],[COSTO TOTAL ALOJAMIENTO]]+Tabla1[[#This Row],[COSTO TOTAL COCHE]]</f>
        <v>0</v>
      </c>
      <c r="S1742" s="2"/>
      <c r="T1742" s="2" t="s">
        <v>528</v>
      </c>
      <c r="U1742" s="14">
        <v>45737</v>
      </c>
      <c r="V1742" s="43">
        <v>45760</v>
      </c>
      <c r="W1742" s="26"/>
      <c r="X1742" s="2"/>
      <c r="Y1742" s="11"/>
      <c r="Z1742" s="2" t="s">
        <v>36</v>
      </c>
      <c r="AA1742" s="13" t="s">
        <v>10357</v>
      </c>
      <c r="AB1742" s="13" t="s">
        <v>10358</v>
      </c>
    </row>
    <row r="1743" spans="1:28" ht="15" customHeight="1">
      <c r="A1743" s="2" t="s">
        <v>9458</v>
      </c>
      <c r="B1743" s="2" t="s">
        <v>28</v>
      </c>
      <c r="C1743" s="11" t="s">
        <v>3247</v>
      </c>
      <c r="D1743" s="2" t="s">
        <v>30</v>
      </c>
      <c r="E1743" s="2" t="s">
        <v>253</v>
      </c>
      <c r="F1743" s="11" t="s">
        <v>1984</v>
      </c>
      <c r="G1743" s="46" t="s">
        <v>1985</v>
      </c>
      <c r="H1743" s="184" t="s">
        <v>3248</v>
      </c>
      <c r="I1743" s="47" t="s">
        <v>256</v>
      </c>
      <c r="J1743" s="41">
        <f>+Tabla1[[#This Row],[FECHA ENTRADA]]</f>
        <v>45737</v>
      </c>
      <c r="K1743" s="22">
        <v>45821</v>
      </c>
      <c r="L1743" s="42">
        <f>_xlfn.DAYS(Tabla1[[#This Row],[FECHA FIN ]],Tabla1[[#This Row],[FECHA INICIO]])</f>
        <v>84</v>
      </c>
      <c r="M1743" s="12"/>
      <c r="N1743" s="12"/>
      <c r="O1743" s="28">
        <f>(Tabla1[[#This Row],[COSTO FIJO ]]/30)*Tabla1[[#This Row],[TOTAL DIAS PROYECTO]]+(Tabla1[[#This Row],[COSTO TEMPORAL]])</f>
        <v>0</v>
      </c>
      <c r="P1743" s="12"/>
      <c r="Q1743" s="12">
        <f>+(Tabla1[[#This Row],[COSTO COCHE]]/30)*Tabla1[[#This Row],[TOTAL DIAS PROYECTO]]</f>
        <v>0</v>
      </c>
      <c r="R1743" s="12">
        <f>+Tabla1[[#This Row],[COSTO TOTAL ALOJAMIENTO]]+Tabla1[[#This Row],[COSTO TOTAL COCHE]]</f>
        <v>0</v>
      </c>
      <c r="S1743" s="2"/>
      <c r="T1743" s="2" t="s">
        <v>528</v>
      </c>
      <c r="U1743" s="14">
        <v>45737</v>
      </c>
      <c r="V1743" s="43">
        <v>45760</v>
      </c>
      <c r="W1743" s="26"/>
      <c r="X1743" s="2"/>
      <c r="Y1743" s="11"/>
      <c r="Z1743" s="2" t="s">
        <v>36</v>
      </c>
      <c r="AA1743" s="13" t="s">
        <v>10357</v>
      </c>
      <c r="AB1743" s="13" t="s">
        <v>10358</v>
      </c>
    </row>
    <row r="1744" spans="1:28" ht="15" customHeight="1">
      <c r="A1744" s="2" t="s">
        <v>9461</v>
      </c>
      <c r="B1744" s="2" t="s">
        <v>368</v>
      </c>
      <c r="C1744" s="11" t="s">
        <v>3262</v>
      </c>
      <c r="D1744" s="2" t="s">
        <v>99</v>
      </c>
      <c r="E1744" s="2" t="s">
        <v>1987</v>
      </c>
      <c r="F1744" s="11" t="s">
        <v>1988</v>
      </c>
      <c r="G1744" s="21">
        <v>973791012</v>
      </c>
      <c r="H1744" s="2" t="s">
        <v>3298</v>
      </c>
      <c r="I1744" s="12" t="s">
        <v>42</v>
      </c>
      <c r="J1744" s="41">
        <f>+Tabla1[[#This Row],[FECHA ENTRADA]]</f>
        <v>45746</v>
      </c>
      <c r="K1744" s="22">
        <v>45821</v>
      </c>
      <c r="L1744" s="42">
        <f>_xlfn.DAYS(Tabla1[[#This Row],[FECHA FIN ]],Tabla1[[#This Row],[FECHA INICIO]])</f>
        <v>75</v>
      </c>
      <c r="M1744" s="12"/>
      <c r="N1744" s="12">
        <v>60</v>
      </c>
      <c r="O1744" s="28">
        <f>(Tabla1[[#This Row],[COSTO FIJO ]]/30)*Tabla1[[#This Row],[TOTAL DIAS PROYECTO]]+(Tabla1[[#This Row],[COSTO TEMPORAL]])</f>
        <v>150</v>
      </c>
      <c r="P1744" s="12">
        <v>100</v>
      </c>
      <c r="Q1744" s="12">
        <f>+(Tabla1[[#This Row],[COSTO COCHE]]/30)*Tabla1[[#This Row],[TOTAL DIAS PROYECTO]]</f>
        <v>250</v>
      </c>
      <c r="R1744" s="12">
        <f>+Tabla1[[#This Row],[COSTO TOTAL ALOJAMIENTO]]+Tabla1[[#This Row],[COSTO TOTAL COCHE]]</f>
        <v>400</v>
      </c>
      <c r="S1744" s="2"/>
      <c r="T1744" s="2" t="s">
        <v>44</v>
      </c>
      <c r="U1744" s="14">
        <v>45746</v>
      </c>
      <c r="V1744" s="79">
        <v>45760</v>
      </c>
      <c r="W1744" s="26"/>
      <c r="X1744" s="2"/>
      <c r="Y1744" s="11"/>
      <c r="Z1744" s="2" t="s">
        <v>36</v>
      </c>
      <c r="AA1744" s="13" t="s">
        <v>10435</v>
      </c>
      <c r="AB1744" s="13">
        <v>42.136150000000001</v>
      </c>
    </row>
    <row r="1745" spans="1:28" ht="15" customHeight="1">
      <c r="A1745" s="2" t="s">
        <v>9459</v>
      </c>
      <c r="B1745" s="2" t="s">
        <v>28</v>
      </c>
      <c r="C1745" s="11" t="s">
        <v>3249</v>
      </c>
      <c r="D1745" s="2" t="s">
        <v>30</v>
      </c>
      <c r="E1745" s="2" t="s">
        <v>253</v>
      </c>
      <c r="F1745" s="11" t="s">
        <v>1984</v>
      </c>
      <c r="G1745" s="46" t="s">
        <v>1985</v>
      </c>
      <c r="H1745" s="184" t="s">
        <v>3248</v>
      </c>
      <c r="I1745" s="47" t="s">
        <v>256</v>
      </c>
      <c r="J1745" s="41">
        <f>+Tabla1[[#This Row],[FECHA ENTRADA]]</f>
        <v>45737</v>
      </c>
      <c r="K1745" s="22">
        <v>45821</v>
      </c>
      <c r="L1745" s="42">
        <f>_xlfn.DAYS(Tabla1[[#This Row],[FECHA FIN ]],Tabla1[[#This Row],[FECHA INICIO]])</f>
        <v>84</v>
      </c>
      <c r="M1745" s="12"/>
      <c r="N1745" s="28"/>
      <c r="O1745" s="28">
        <f>(Tabla1[[#This Row],[COSTO FIJO ]]/30)*Tabla1[[#This Row],[TOTAL DIAS PROYECTO]]+(Tabla1[[#This Row],[COSTO TEMPORAL]])</f>
        <v>0</v>
      </c>
      <c r="P1745" s="12"/>
      <c r="Q1745" s="12">
        <f>+(Tabla1[[#This Row],[COSTO COCHE]]/30)*Tabla1[[#This Row],[TOTAL DIAS PROYECTO]]</f>
        <v>0</v>
      </c>
      <c r="R1745" s="12">
        <f>+Tabla1[[#This Row],[COSTO TOTAL ALOJAMIENTO]]+Tabla1[[#This Row],[COSTO TOTAL COCHE]]</f>
        <v>0</v>
      </c>
      <c r="S1745" s="2"/>
      <c r="T1745" s="2" t="s">
        <v>528</v>
      </c>
      <c r="U1745" s="14">
        <v>45737</v>
      </c>
      <c r="V1745" s="43">
        <v>45760</v>
      </c>
      <c r="W1745" s="26"/>
      <c r="X1745" s="2"/>
      <c r="Y1745" s="11"/>
      <c r="Z1745" s="2" t="s">
        <v>36</v>
      </c>
      <c r="AA1745" s="13" t="s">
        <v>10357</v>
      </c>
      <c r="AB1745" s="13" t="s">
        <v>10358</v>
      </c>
    </row>
    <row r="1746" spans="1:28" ht="15" customHeight="1">
      <c r="A1746" s="2" t="s">
        <v>9471</v>
      </c>
      <c r="B1746" s="2" t="s">
        <v>28</v>
      </c>
      <c r="C1746" s="99" t="s">
        <v>3299</v>
      </c>
      <c r="D1746" s="2" t="s">
        <v>30</v>
      </c>
      <c r="E1746" s="2" t="s">
        <v>31</v>
      </c>
      <c r="F1746" s="11"/>
      <c r="G1746" s="11"/>
      <c r="H1746" s="2">
        <v>2023</v>
      </c>
      <c r="I1746" s="2" t="s">
        <v>385</v>
      </c>
      <c r="J1746" s="8">
        <v>45243</v>
      </c>
      <c r="K1746" s="22">
        <v>45821</v>
      </c>
      <c r="L1746" s="13">
        <f>_xlfn.DAYS(Tabla1[[#This Row],[FECHA FIN ]],Tabla1[[#This Row],[FECHA INICIO]])</f>
        <v>578</v>
      </c>
      <c r="M1746" s="12"/>
      <c r="N1746" s="12">
        <v>300</v>
      </c>
      <c r="O1746" s="12">
        <f>(Tabla1[[#This Row],[COSTO FIJO ]]/30)*Tabla1[[#This Row],[TOTAL DIAS PROYECTO]]+(Tabla1[[#This Row],[COSTO TEMPORAL]])</f>
        <v>5780</v>
      </c>
      <c r="P1746" s="12"/>
      <c r="Q1746" s="12">
        <f>+(Tabla1[[#This Row],[COSTO COCHE]]/30)*Tabla1[[#This Row],[TOTAL DIAS PROYECTO]]</f>
        <v>0</v>
      </c>
      <c r="R1746" s="12">
        <f>+Tabla1[[#This Row],[COSTO TOTAL ALOJAMIENTO]]+Tabla1[[#This Row],[COSTO TOTAL COCHE]]</f>
        <v>5780</v>
      </c>
      <c r="S1746" s="2"/>
      <c r="T1746" s="2" t="s">
        <v>58</v>
      </c>
      <c r="U1746" s="14"/>
      <c r="V1746" s="14"/>
      <c r="W1746" s="15"/>
      <c r="X1746" s="16"/>
      <c r="Y1746" s="11" t="s">
        <v>3300</v>
      </c>
      <c r="Z1746" s="2" t="s">
        <v>36</v>
      </c>
      <c r="AA1746" s="13" t="s">
        <v>10323</v>
      </c>
      <c r="AB1746" s="13" t="s">
        <v>10324</v>
      </c>
    </row>
    <row r="1747" spans="1:28" ht="15" customHeight="1">
      <c r="A1747" s="2" t="s">
        <v>9451</v>
      </c>
      <c r="B1747" s="2" t="s">
        <v>368</v>
      </c>
      <c r="C1747" s="11" t="s">
        <v>3225</v>
      </c>
      <c r="D1747" s="2" t="s">
        <v>30</v>
      </c>
      <c r="E1747" s="2" t="s">
        <v>55</v>
      </c>
      <c r="F1747" s="11" t="s">
        <v>1618</v>
      </c>
      <c r="G1747" s="46" t="s">
        <v>1619</v>
      </c>
      <c r="H1747" s="2" t="s">
        <v>1622</v>
      </c>
      <c r="I1747" s="30" t="s">
        <v>1620</v>
      </c>
      <c r="J1747" s="41">
        <f>+Tabla1[[#This Row],[FECHA ENTRADA]]</f>
        <v>45675</v>
      </c>
      <c r="K1747" s="22">
        <v>45821</v>
      </c>
      <c r="L1747" s="42">
        <f>_xlfn.DAYS(Tabla1[[#This Row],[FECHA FIN ]],Tabla1[[#This Row],[FECHA INICIO]])</f>
        <v>146</v>
      </c>
      <c r="M1747" s="12"/>
      <c r="N1747" s="12">
        <f>1811.6/17</f>
        <v>106.56470588235294</v>
      </c>
      <c r="O1747" s="28">
        <f>(Tabla1[[#This Row],[COSTO FIJO ]]/30)*Tabla1[[#This Row],[TOTAL DIAS PROYECTO]]+(Tabla1[[#This Row],[COSTO TEMPORAL]])</f>
        <v>518.61490196078432</v>
      </c>
      <c r="P1747" s="12">
        <f>800/6</f>
        <v>133.33333333333334</v>
      </c>
      <c r="Q1747" s="12"/>
      <c r="R1747" s="12">
        <f>+Tabla1[[#This Row],[COSTO TOTAL ALOJAMIENTO]]+Tabla1[[#This Row],[COSTO TOTAL COCHE]]</f>
        <v>518.61490196078432</v>
      </c>
      <c r="S1747" s="2"/>
      <c r="T1747" s="2" t="s">
        <v>44</v>
      </c>
      <c r="U1747" s="14">
        <v>45675</v>
      </c>
      <c r="V1747" s="25">
        <v>45710</v>
      </c>
      <c r="W1747" s="26"/>
      <c r="X1747" s="2"/>
      <c r="Y1747" s="11" t="s">
        <v>1166</v>
      </c>
      <c r="Z1747" s="2" t="s">
        <v>36</v>
      </c>
      <c r="AA1747" s="13" t="s">
        <v>10327</v>
      </c>
      <c r="AB1747" s="13" t="s">
        <v>10328</v>
      </c>
    </row>
    <row r="1748" spans="1:28" ht="15" customHeight="1">
      <c r="A1748" s="2" t="s">
        <v>9250</v>
      </c>
      <c r="B1748" s="2" t="s">
        <v>368</v>
      </c>
      <c r="C1748" s="11" t="s">
        <v>2595</v>
      </c>
      <c r="D1748" s="2" t="s">
        <v>99</v>
      </c>
      <c r="E1748" s="2" t="s">
        <v>1987</v>
      </c>
      <c r="F1748" s="11" t="s">
        <v>1988</v>
      </c>
      <c r="G1748" s="21">
        <v>973791012</v>
      </c>
      <c r="H1748" s="2" t="s">
        <v>1989</v>
      </c>
      <c r="I1748" s="12" t="s">
        <v>42</v>
      </c>
      <c r="J1748" s="22">
        <f>+Tabla1[[#This Row],[FECHA ENTRADA]]</f>
        <v>45734</v>
      </c>
      <c r="K1748" s="22">
        <v>45821</v>
      </c>
      <c r="L1748" s="23">
        <f>_xlfn.DAYS(Tabla1[[#This Row],[FECHA FIN ]],Tabla1[[#This Row],[FECHA INICIO]])</f>
        <v>87</v>
      </c>
      <c r="M1748" s="12"/>
      <c r="N1748" s="20"/>
      <c r="O1748" s="24">
        <f>(Tabla1[[#This Row],[COSTO FIJO ]]/30)*Tabla1[[#This Row],[TOTAL DIAS PROYECTO]]+(Tabla1[[#This Row],[COSTO TEMPORAL]])</f>
        <v>0</v>
      </c>
      <c r="P1748" s="12">
        <v>100</v>
      </c>
      <c r="Q1748" s="12">
        <f>+(Tabla1[[#This Row],[COSTO COCHE]]/30)*Tabla1[[#This Row],[TOTAL DIAS PROYECTO]]</f>
        <v>290</v>
      </c>
      <c r="R1748" s="12">
        <f>+Tabla1[[#This Row],[COSTO TOTAL ALOJAMIENTO]]+Tabla1[[#This Row],[COSTO TOTAL COCHE]]</f>
        <v>290</v>
      </c>
      <c r="S1748" s="2"/>
      <c r="T1748" s="2" t="s">
        <v>44</v>
      </c>
      <c r="U1748" s="14">
        <v>45734</v>
      </c>
      <c r="V1748" s="79">
        <v>45760</v>
      </c>
      <c r="W1748" s="26"/>
      <c r="X1748" s="2"/>
      <c r="Y1748" s="11"/>
      <c r="Z1748" s="2" t="s">
        <v>36</v>
      </c>
      <c r="AA1748" s="13" t="s">
        <v>10435</v>
      </c>
      <c r="AB1748" s="13">
        <v>42.136150000000001</v>
      </c>
    </row>
    <row r="1749" spans="1:28" ht="15" customHeight="1">
      <c r="A1749" s="2" t="s">
        <v>9472</v>
      </c>
      <c r="B1749" s="2" t="s">
        <v>368</v>
      </c>
      <c r="C1749" s="11" t="s">
        <v>3301</v>
      </c>
      <c r="D1749" s="2" t="s">
        <v>99</v>
      </c>
      <c r="E1749" s="2" t="s">
        <v>1987</v>
      </c>
      <c r="F1749" s="11" t="s">
        <v>1988</v>
      </c>
      <c r="G1749" s="21">
        <v>973791012</v>
      </c>
      <c r="H1749" s="2" t="s">
        <v>1989</v>
      </c>
      <c r="I1749" s="12" t="s">
        <v>42</v>
      </c>
      <c r="J1749" s="22">
        <f>+Tabla1[[#This Row],[FECHA ENTRADA]]</f>
        <v>45734</v>
      </c>
      <c r="K1749" s="22">
        <v>45821</v>
      </c>
      <c r="L1749" s="23">
        <f>_xlfn.DAYS(Tabla1[[#This Row],[FECHA FIN ]],Tabla1[[#This Row],[FECHA INICIO]])</f>
        <v>87</v>
      </c>
      <c r="M1749" s="12"/>
      <c r="N1749" s="20"/>
      <c r="O1749" s="24">
        <f>(Tabla1[[#This Row],[COSTO FIJO ]]/30)*Tabla1[[#This Row],[TOTAL DIAS PROYECTO]]+(Tabla1[[#This Row],[COSTO TEMPORAL]])</f>
        <v>0</v>
      </c>
      <c r="P1749" s="12">
        <v>100</v>
      </c>
      <c r="Q1749" s="12">
        <f>+(Tabla1[[#This Row],[COSTO COCHE]]/30)*Tabla1[[#This Row],[TOTAL DIAS PROYECTO]]</f>
        <v>290</v>
      </c>
      <c r="R1749" s="12">
        <f>+Tabla1[[#This Row],[COSTO TOTAL ALOJAMIENTO]]+Tabla1[[#This Row],[COSTO TOTAL COCHE]]</f>
        <v>290</v>
      </c>
      <c r="S1749" s="2"/>
      <c r="T1749" s="2" t="s">
        <v>44</v>
      </c>
      <c r="U1749" s="14">
        <v>45734</v>
      </c>
      <c r="V1749" s="79">
        <v>45760</v>
      </c>
      <c r="W1749" s="26"/>
      <c r="X1749" s="2"/>
      <c r="Y1749" s="11"/>
      <c r="Z1749" s="2" t="s">
        <v>36</v>
      </c>
      <c r="AA1749" s="13" t="s">
        <v>10435</v>
      </c>
      <c r="AB1749" s="13">
        <v>42.136150000000001</v>
      </c>
    </row>
    <row r="1750" spans="1:28" ht="15" customHeight="1">
      <c r="A1750" s="2" t="s">
        <v>8642</v>
      </c>
      <c r="B1750" s="2" t="s">
        <v>368</v>
      </c>
      <c r="C1750" s="11" t="s">
        <v>3302</v>
      </c>
      <c r="D1750" s="2" t="s">
        <v>99</v>
      </c>
      <c r="E1750" s="2" t="s">
        <v>422</v>
      </c>
      <c r="F1750" s="11" t="s">
        <v>1983</v>
      </c>
      <c r="G1750" s="11" t="s">
        <v>2067</v>
      </c>
      <c r="H1750" s="2" t="s">
        <v>3266</v>
      </c>
      <c r="I1750" s="10" t="s">
        <v>1435</v>
      </c>
      <c r="J1750" s="22">
        <f>+Tabla1[[#This Row],[FECHA ENTRADA]]</f>
        <v>45792</v>
      </c>
      <c r="K1750" s="8">
        <f>+Tabla1[[#This Row],[FECHA SALIDA]]</f>
        <v>45796</v>
      </c>
      <c r="L1750" s="23">
        <f>_xlfn.DAYS(Tabla1[[#This Row],[FECHA FIN ]],Tabla1[[#This Row],[FECHA INICIO]])</f>
        <v>4</v>
      </c>
      <c r="M1750" s="12"/>
      <c r="N1750" s="12">
        <v>123.5</v>
      </c>
      <c r="O1750" s="24">
        <f>(Tabla1[[#This Row],[COSTO FIJO ]]/30)*Tabla1[[#This Row],[TOTAL DIAS PROYECTO]]+(Tabla1[[#This Row],[COSTO TEMPORAL]])</f>
        <v>16.466666666666665</v>
      </c>
      <c r="P1750" s="12"/>
      <c r="Q1750" s="12">
        <f>+(Tabla1[[#This Row],[COSTO COCHE]]/30)*Tabla1[[#This Row],[TOTAL DIAS PROYECTO]]</f>
        <v>0</v>
      </c>
      <c r="R1750" s="12">
        <f>+Tabla1[[#This Row],[COSTO TOTAL ALOJAMIENTO]]+Tabla1[[#This Row],[COSTO TOTAL COCHE]]</f>
        <v>16.466666666666665</v>
      </c>
      <c r="S1750" s="2"/>
      <c r="T1750" s="2" t="s">
        <v>44</v>
      </c>
      <c r="U1750" s="14">
        <v>45792</v>
      </c>
      <c r="V1750" s="25">
        <v>45796</v>
      </c>
      <c r="W1750" s="26"/>
      <c r="X1750" s="2"/>
      <c r="Y1750" s="11"/>
      <c r="Z1750" s="2" t="s">
        <v>36</v>
      </c>
      <c r="AA1750" s="13">
        <v>-326.69799999999998</v>
      </c>
      <c r="AB1750" s="13" t="s">
        <v>10373</v>
      </c>
    </row>
    <row r="1751" spans="1:28" ht="15" customHeight="1">
      <c r="A1751" s="2" t="s">
        <v>8949</v>
      </c>
      <c r="B1751" s="2" t="s">
        <v>368</v>
      </c>
      <c r="C1751" s="11" t="s">
        <v>1426</v>
      </c>
      <c r="D1751" s="2" t="s">
        <v>30</v>
      </c>
      <c r="E1751" s="2" t="s">
        <v>1987</v>
      </c>
      <c r="F1751" s="11" t="s">
        <v>1988</v>
      </c>
      <c r="G1751" s="21">
        <v>973791012</v>
      </c>
      <c r="H1751" s="2" t="s">
        <v>1990</v>
      </c>
      <c r="I1751" s="12" t="s">
        <v>42</v>
      </c>
      <c r="J1751" s="41">
        <f>+Tabla1[[#This Row],[FECHA ENTRADA]]</f>
        <v>45734</v>
      </c>
      <c r="K1751" s="22">
        <v>45760</v>
      </c>
      <c r="L1751" s="42">
        <f>_xlfn.DAYS(Tabla1[[#This Row],[FECHA FIN ]],Tabla1[[#This Row],[FECHA INICIO]])</f>
        <v>26</v>
      </c>
      <c r="M1751" s="12"/>
      <c r="N1751" s="28"/>
      <c r="O1751" s="28">
        <f>(Tabla1[[#This Row],[COSTO FIJO ]]/30)*Tabla1[[#This Row],[TOTAL DIAS PROYECTO]]+(Tabla1[[#This Row],[COSTO TEMPORAL]])</f>
        <v>0</v>
      </c>
      <c r="P1751" s="12">
        <v>100</v>
      </c>
      <c r="Q1751" s="12">
        <f>+(Tabla1[[#This Row],[COSTO COCHE]]/30)*Tabla1[[#This Row],[TOTAL DIAS PROYECTO]]</f>
        <v>86.666666666666671</v>
      </c>
      <c r="R1751" s="12">
        <f>+Tabla1[[#This Row],[COSTO TOTAL ALOJAMIENTO]]+Tabla1[[#This Row],[COSTO TOTAL COCHE]]</f>
        <v>86.666666666666671</v>
      </c>
      <c r="S1751" s="2"/>
      <c r="T1751" s="2" t="s">
        <v>528</v>
      </c>
      <c r="U1751" s="14">
        <v>45734</v>
      </c>
      <c r="V1751" s="79">
        <v>45760</v>
      </c>
      <c r="W1751" s="26"/>
      <c r="X1751" s="2"/>
      <c r="Y1751" s="11"/>
      <c r="Z1751" s="2" t="s">
        <v>36</v>
      </c>
      <c r="AA1751" s="13" t="s">
        <v>10435</v>
      </c>
      <c r="AB1751" s="13">
        <v>42.136150000000001</v>
      </c>
    </row>
    <row r="1752" spans="1:28" ht="16.5" customHeight="1">
      <c r="A1752" s="2" t="s">
        <v>9078</v>
      </c>
      <c r="B1752" s="2" t="s">
        <v>368</v>
      </c>
      <c r="C1752" s="11" t="s">
        <v>1916</v>
      </c>
      <c r="D1752" s="2" t="s">
        <v>99</v>
      </c>
      <c r="E1752" s="2" t="s">
        <v>31</v>
      </c>
      <c r="F1752" s="11" t="s">
        <v>3303</v>
      </c>
      <c r="G1752" s="46" t="s">
        <v>3304</v>
      </c>
      <c r="H1752" s="2" t="s">
        <v>3305</v>
      </c>
      <c r="I1752" s="12" t="s">
        <v>1552</v>
      </c>
      <c r="J1752" s="41">
        <f>+Tabla1[[#This Row],[FECHA ENTRADA]]</f>
        <v>45753</v>
      </c>
      <c r="K1752" s="22">
        <v>45821</v>
      </c>
      <c r="L1752" s="42">
        <f>_xlfn.DAYS(Tabla1[[#This Row],[FECHA FIN ]],Tabla1[[#This Row],[FECHA INICIO]])</f>
        <v>68</v>
      </c>
      <c r="M1752" s="12"/>
      <c r="N1752" s="20"/>
      <c r="O1752" s="28">
        <f>(Tabla1[[#This Row],[COSTO FIJO ]]/30)*Tabla1[[#This Row],[TOTAL DIAS PROYECTO]]+(Tabla1[[#This Row],[COSTO TEMPORAL]])</f>
        <v>0</v>
      </c>
      <c r="P1752" s="12"/>
      <c r="Q1752" s="12">
        <f>+(Tabla1[[#This Row],[COSTO COCHE]]/30)*Tabla1[[#This Row],[TOTAL DIAS PROYECTO]]</f>
        <v>0</v>
      </c>
      <c r="R1752" s="12">
        <f>+Tabla1[[#This Row],[COSTO TOTAL ALOJAMIENTO]]+Tabla1[[#This Row],[COSTO TOTAL COCHE]]</f>
        <v>0</v>
      </c>
      <c r="S1752" s="2" t="s">
        <v>84</v>
      </c>
      <c r="T1752" s="2" t="s">
        <v>44</v>
      </c>
      <c r="U1752" s="14">
        <v>45753</v>
      </c>
      <c r="V1752" s="43">
        <v>45760</v>
      </c>
      <c r="W1752" s="26"/>
      <c r="X1752" s="2"/>
      <c r="Y1752" s="11"/>
      <c r="Z1752" s="2" t="s">
        <v>36</v>
      </c>
      <c r="AA1752" s="13" t="s">
        <v>10323</v>
      </c>
      <c r="AB1752" s="13" t="s">
        <v>10324</v>
      </c>
    </row>
    <row r="1753" spans="1:28" ht="16.5" customHeight="1">
      <c r="A1753" s="2" t="s">
        <v>8884</v>
      </c>
      <c r="B1753" s="2" t="s">
        <v>28</v>
      </c>
      <c r="C1753" s="11" t="s">
        <v>1160</v>
      </c>
      <c r="D1753" s="2" t="s">
        <v>30</v>
      </c>
      <c r="E1753" s="2" t="s">
        <v>599</v>
      </c>
      <c r="F1753" s="11" t="s">
        <v>1949</v>
      </c>
      <c r="G1753" s="46" t="s">
        <v>1950</v>
      </c>
      <c r="H1753" s="2" t="s">
        <v>1396</v>
      </c>
      <c r="I1753" s="12" t="s">
        <v>1067</v>
      </c>
      <c r="J1753" s="41">
        <f>+Tabla1[[#This Row],[FECHA ENTRADA]]</f>
        <v>45737</v>
      </c>
      <c r="K1753" s="22">
        <v>45821</v>
      </c>
      <c r="L1753" s="42">
        <f>_xlfn.DAYS(Tabla1[[#This Row],[FECHA FIN ]],Tabla1[[#This Row],[FECHA INICIO]])</f>
        <v>84</v>
      </c>
      <c r="M1753" s="12"/>
      <c r="N1753" s="12"/>
      <c r="O1753" s="28">
        <f>(Tabla1[[#This Row],[COSTO FIJO ]]/30)*Tabla1[[#This Row],[TOTAL DIAS PROYECTO]]+(Tabla1[[#This Row],[COSTO TEMPORAL]])</f>
        <v>0</v>
      </c>
      <c r="P1753" s="12">
        <v>133.33333333333334</v>
      </c>
      <c r="Q1753" s="12">
        <f>+(Tabla1[[#This Row],[COSTO COCHE]]/30)*Tabla1[[#This Row],[TOTAL DIAS PROYECTO]]</f>
        <v>373.33333333333337</v>
      </c>
      <c r="R1753" s="12">
        <f>+Tabla1[[#This Row],[COSTO TOTAL ALOJAMIENTO]]+Tabla1[[#This Row],[COSTO TOTAL COCHE]]</f>
        <v>373.33333333333337</v>
      </c>
      <c r="S1753" s="2"/>
      <c r="T1753" s="2" t="s">
        <v>44</v>
      </c>
      <c r="U1753" s="14">
        <v>45737</v>
      </c>
      <c r="V1753" s="43">
        <v>45761</v>
      </c>
      <c r="W1753" s="26"/>
      <c r="X1753" s="2">
        <v>18</v>
      </c>
      <c r="Y1753" s="11" t="s">
        <v>1996</v>
      </c>
      <c r="Z1753" s="2" t="s">
        <v>36</v>
      </c>
      <c r="AA1753" s="13" t="s">
        <v>10382</v>
      </c>
      <c r="AB1753" s="13">
        <v>4038884</v>
      </c>
    </row>
    <row r="1754" spans="1:28" ht="15" customHeight="1">
      <c r="A1754" s="2" t="s">
        <v>8730</v>
      </c>
      <c r="B1754" s="2" t="s">
        <v>368</v>
      </c>
      <c r="C1754" s="31" t="s">
        <v>472</v>
      </c>
      <c r="D1754" s="2" t="s">
        <v>30</v>
      </c>
      <c r="E1754" s="2" t="s">
        <v>1443</v>
      </c>
      <c r="F1754" s="11" t="s">
        <v>3306</v>
      </c>
      <c r="G1754" s="166" t="s">
        <v>1998</v>
      </c>
      <c r="H1754" s="2" t="s">
        <v>1999</v>
      </c>
      <c r="I1754" s="12" t="s">
        <v>1392</v>
      </c>
      <c r="J1754" s="22">
        <f>+Tabla1[[#This Row],[FECHA ENTRADA]]</f>
        <v>45746</v>
      </c>
      <c r="K1754" s="22">
        <v>45821</v>
      </c>
      <c r="L1754" s="23">
        <f>_xlfn.DAYS(Tabla1[[#This Row],[FECHA FIN ]],Tabla1[[#This Row],[FECHA INICIO]])</f>
        <v>75</v>
      </c>
      <c r="M1754" s="12"/>
      <c r="N1754" s="12"/>
      <c r="O1754" s="24">
        <f>(Tabla1[[#This Row],[COSTO FIJO ]]/30)*Tabla1[[#This Row],[TOTAL DIAS PROYECTO]]+(Tabla1[[#This Row],[COSTO TEMPORAL]])</f>
        <v>0</v>
      </c>
      <c r="P1754" s="12"/>
      <c r="Q1754" s="12">
        <f>+(Tabla1[[#This Row],[COSTO COCHE]]/30)*Tabla1[[#This Row],[TOTAL DIAS PROYECTO]]</f>
        <v>0</v>
      </c>
      <c r="R1754" s="12">
        <f>+Tabla1[[#This Row],[COSTO TOTAL ALOJAMIENTO]]+Tabla1[[#This Row],[COSTO TOTAL COCHE]]</f>
        <v>0</v>
      </c>
      <c r="S1754" s="2" t="s">
        <v>2000</v>
      </c>
      <c r="T1754" s="2" t="s">
        <v>44</v>
      </c>
      <c r="U1754" s="14">
        <v>45746</v>
      </c>
      <c r="V1754" s="25">
        <v>45761</v>
      </c>
      <c r="W1754" s="26"/>
      <c r="X1754" s="2"/>
      <c r="Y1754" t="s">
        <v>2001</v>
      </c>
      <c r="Z1754" s="2" t="s">
        <v>36</v>
      </c>
      <c r="AA1754" s="13" t="s">
        <v>10420</v>
      </c>
      <c r="AB1754" s="13">
        <v>3907741</v>
      </c>
    </row>
    <row r="1755" spans="1:28" ht="15" customHeight="1">
      <c r="A1755" s="2" t="s">
        <v>8839</v>
      </c>
      <c r="B1755" s="2" t="s">
        <v>368</v>
      </c>
      <c r="C1755" s="31" t="s">
        <v>968</v>
      </c>
      <c r="D1755" s="2" t="s">
        <v>30</v>
      </c>
      <c r="E1755" s="2" t="s">
        <v>1443</v>
      </c>
      <c r="F1755" s="11" t="s">
        <v>3306</v>
      </c>
      <c r="G1755" s="166" t="s">
        <v>1998</v>
      </c>
      <c r="H1755" s="2" t="s">
        <v>3307</v>
      </c>
      <c r="I1755" s="12" t="s">
        <v>1392</v>
      </c>
      <c r="J1755" s="22">
        <f>+Tabla1[[#This Row],[FECHA ENTRADA]]</f>
        <v>45746</v>
      </c>
      <c r="K1755" s="22">
        <v>45821</v>
      </c>
      <c r="L1755" s="23">
        <f>_xlfn.DAYS(Tabla1[[#This Row],[FECHA FIN ]],Tabla1[[#This Row],[FECHA INICIO]])</f>
        <v>75</v>
      </c>
      <c r="M1755" s="12"/>
      <c r="N1755" s="24">
        <v>462.18</v>
      </c>
      <c r="O1755" s="24">
        <f>(Tabla1[[#This Row],[COSTO FIJO ]]/30)*Tabla1[[#This Row],[TOTAL DIAS PROYECTO]]+(Tabla1[[#This Row],[COSTO TEMPORAL]])</f>
        <v>1155.45</v>
      </c>
      <c r="P1755" s="12"/>
      <c r="Q1755" s="12">
        <f>+(Tabla1[[#This Row],[COSTO COCHE]]/30)*Tabla1[[#This Row],[TOTAL DIAS PROYECTO]]</f>
        <v>0</v>
      </c>
      <c r="R1755" s="12">
        <f>+Tabla1[[#This Row],[COSTO TOTAL ALOJAMIENTO]]+Tabla1[[#This Row],[COSTO TOTAL COCHE]]</f>
        <v>1155.45</v>
      </c>
      <c r="S1755" s="2" t="s">
        <v>2000</v>
      </c>
      <c r="T1755" s="2" t="s">
        <v>44</v>
      </c>
      <c r="U1755" s="14">
        <v>45746</v>
      </c>
      <c r="V1755" s="25">
        <v>45761</v>
      </c>
      <c r="W1755" s="26"/>
      <c r="X1755" s="2"/>
      <c r="Y1755" t="s">
        <v>2001</v>
      </c>
      <c r="Z1755" s="2" t="s">
        <v>36</v>
      </c>
      <c r="AA1755" s="13" t="s">
        <v>10420</v>
      </c>
      <c r="AB1755" s="13">
        <v>3907741</v>
      </c>
    </row>
    <row r="1756" spans="1:28" ht="15" customHeight="1">
      <c r="A1756" s="2" t="s">
        <v>9097</v>
      </c>
      <c r="B1756" s="2" t="s">
        <v>368</v>
      </c>
      <c r="C1756" s="31" t="s">
        <v>2017</v>
      </c>
      <c r="D1756" s="2" t="s">
        <v>30</v>
      </c>
      <c r="E1756" s="2" t="s">
        <v>1443</v>
      </c>
      <c r="F1756" s="11" t="s">
        <v>3306</v>
      </c>
      <c r="G1756" s="166" t="s">
        <v>1998</v>
      </c>
      <c r="H1756" s="2" t="s">
        <v>3308</v>
      </c>
      <c r="I1756" s="12" t="s">
        <v>1392</v>
      </c>
      <c r="J1756" s="22">
        <f>+Tabla1[[#This Row],[FECHA ENTRADA]]</f>
        <v>45746</v>
      </c>
      <c r="K1756" s="22">
        <v>45760</v>
      </c>
      <c r="L1756" s="23">
        <f>_xlfn.DAYS(Tabla1[[#This Row],[FECHA FIN ]],Tabla1[[#This Row],[FECHA INICIO]])</f>
        <v>14</v>
      </c>
      <c r="M1756" s="12"/>
      <c r="N1756" s="24">
        <v>462.18</v>
      </c>
      <c r="O1756" s="24">
        <f>(Tabla1[[#This Row],[COSTO FIJO ]]/30)*Tabla1[[#This Row],[TOTAL DIAS PROYECTO]]+(Tabla1[[#This Row],[COSTO TEMPORAL]])</f>
        <v>215.684</v>
      </c>
      <c r="P1756" s="12"/>
      <c r="Q1756" s="12">
        <f>+(Tabla1[[#This Row],[COSTO COCHE]]/30)*Tabla1[[#This Row],[TOTAL DIAS PROYECTO]]</f>
        <v>0</v>
      </c>
      <c r="R1756" s="12">
        <f>+Tabla1[[#This Row],[COSTO TOTAL ALOJAMIENTO]]+Tabla1[[#This Row],[COSTO TOTAL COCHE]]</f>
        <v>215.684</v>
      </c>
      <c r="S1756" s="2" t="s">
        <v>84</v>
      </c>
      <c r="T1756" s="2" t="s">
        <v>44</v>
      </c>
      <c r="U1756" s="14">
        <v>45746</v>
      </c>
      <c r="V1756" s="25">
        <v>45761</v>
      </c>
      <c r="W1756" s="26"/>
      <c r="X1756" s="2"/>
      <c r="Y1756" t="s">
        <v>2001</v>
      </c>
      <c r="Z1756" s="2" t="s">
        <v>36</v>
      </c>
      <c r="AA1756" s="13" t="s">
        <v>10420</v>
      </c>
      <c r="AB1756" s="13">
        <v>3907741</v>
      </c>
    </row>
    <row r="1757" spans="1:28" ht="15" customHeight="1">
      <c r="A1757" s="2" t="s">
        <v>8735</v>
      </c>
      <c r="B1757" s="2" t="s">
        <v>711</v>
      </c>
      <c r="C1757" s="11" t="s">
        <v>501</v>
      </c>
      <c r="D1757" s="2" t="s">
        <v>99</v>
      </c>
      <c r="E1757" s="2" t="s">
        <v>790</v>
      </c>
      <c r="F1757" s="11" t="s">
        <v>3309</v>
      </c>
      <c r="G1757" s="49" t="s">
        <v>3310</v>
      </c>
      <c r="H1757" s="2" t="s">
        <v>3311</v>
      </c>
      <c r="I1757" s="12" t="s">
        <v>506</v>
      </c>
      <c r="J1757" s="22">
        <f>+Tabla1[[#This Row],[FECHA ENTRADA]]</f>
        <v>45732</v>
      </c>
      <c r="K1757" s="22">
        <v>45821</v>
      </c>
      <c r="L1757" s="23">
        <f>_xlfn.DAYS(Tabla1[[#This Row],[FECHA FIN ]],Tabla1[[#This Row],[FECHA INICIO]])</f>
        <v>89</v>
      </c>
      <c r="M1757" s="12"/>
      <c r="N1757" s="12">
        <f>1153.47/4</f>
        <v>288.36750000000001</v>
      </c>
      <c r="O1757" s="24">
        <f>(Tabla1[[#This Row],[COSTO FIJO ]]/30)*Tabla1[[#This Row],[TOTAL DIAS PROYECTO]]+(Tabla1[[#This Row],[COSTO TEMPORAL]])</f>
        <v>855.49024999999995</v>
      </c>
      <c r="P1757" s="12">
        <f>1261.07/7</f>
        <v>180.15285714285713</v>
      </c>
      <c r="Q1757" s="12">
        <f>651.6/4</f>
        <v>162.9</v>
      </c>
      <c r="R1757" s="12">
        <f>+Tabla1[[#This Row],[COSTO TOTAL ALOJAMIENTO]]+Tabla1[[#This Row],[COSTO TOTAL COCHE]]</f>
        <v>1018.3902499999999</v>
      </c>
      <c r="S1757" s="2" t="s">
        <v>84</v>
      </c>
      <c r="T1757" s="2" t="s">
        <v>528</v>
      </c>
      <c r="U1757" s="14">
        <v>45732</v>
      </c>
      <c r="V1757" s="25">
        <v>45770</v>
      </c>
      <c r="W1757" s="26"/>
      <c r="X1757" s="2"/>
      <c r="Y1757" s="11"/>
      <c r="Z1757" s="2" t="s">
        <v>36</v>
      </c>
      <c r="AA1757" s="13">
        <v>-574377</v>
      </c>
      <c r="AB1757" s="13">
        <v>4150368</v>
      </c>
    </row>
    <row r="1758" spans="1:28" ht="15" customHeight="1">
      <c r="A1758" s="2" t="s">
        <v>9246</v>
      </c>
      <c r="B1758" s="2" t="s">
        <v>28</v>
      </c>
      <c r="C1758" s="11" t="s">
        <v>2578</v>
      </c>
      <c r="D1758" s="2" t="s">
        <v>99</v>
      </c>
      <c r="E1758" s="2" t="s">
        <v>245</v>
      </c>
      <c r="F1758" s="11" t="s">
        <v>2209</v>
      </c>
      <c r="G1758" s="46" t="s">
        <v>2210</v>
      </c>
      <c r="H1758" s="2" t="s">
        <v>2474</v>
      </c>
      <c r="I1758" s="12" t="s">
        <v>249</v>
      </c>
      <c r="J1758" s="41">
        <f>+Tabla1[[#This Row],[FECHA ENTRADA]]</f>
        <v>45748</v>
      </c>
      <c r="K1758" s="41">
        <v>45764</v>
      </c>
      <c r="L1758" s="42">
        <f>_xlfn.DAYS(Tabla1[[#This Row],[FECHA FIN ]],Tabla1[[#This Row],[FECHA INICIO]])</f>
        <v>16</v>
      </c>
      <c r="M1758" s="12"/>
      <c r="N1758" s="12"/>
      <c r="O1758" s="28">
        <f>(Tabla1[[#This Row],[COSTO FIJO ]]/30)*Tabla1[[#This Row],[TOTAL DIAS PROYECTO]]+(Tabla1[[#This Row],[COSTO TEMPORAL]])</f>
        <v>0</v>
      </c>
      <c r="P1758" s="12">
        <v>76.92307692307692</v>
      </c>
      <c r="Q1758" s="12">
        <f>+(Tabla1[[#This Row],[COSTO COCHE]]/30)*Tabla1[[#This Row],[TOTAL DIAS PROYECTO]]</f>
        <v>41.025641025641022</v>
      </c>
      <c r="R1758" s="12">
        <f>+Tabla1[[#This Row],[COSTO TOTAL ALOJAMIENTO]]+Tabla1[[#This Row],[COSTO TOTAL COCHE]]</f>
        <v>41.025641025641022</v>
      </c>
      <c r="S1758" s="2" t="s">
        <v>84</v>
      </c>
      <c r="T1758" s="2" t="s">
        <v>44</v>
      </c>
      <c r="U1758" s="14">
        <v>45748</v>
      </c>
      <c r="V1758" s="43">
        <v>45764</v>
      </c>
      <c r="W1758" s="26"/>
      <c r="X1758" s="2"/>
      <c r="Y1758" s="11"/>
      <c r="Z1758" s="2" t="s">
        <v>36</v>
      </c>
      <c r="AA1758" s="13" t="s">
        <v>10355</v>
      </c>
      <c r="AB1758" s="13" t="s">
        <v>10356</v>
      </c>
    </row>
    <row r="1759" spans="1:28" ht="15" customHeight="1">
      <c r="A1759" s="117" t="s">
        <v>9456</v>
      </c>
      <c r="B1759" s="117" t="s">
        <v>711</v>
      </c>
      <c r="C1759" s="118" t="s">
        <v>3234</v>
      </c>
      <c r="D1759" s="117" t="s">
        <v>99</v>
      </c>
      <c r="E1759" s="117" t="s">
        <v>686</v>
      </c>
      <c r="F1759" s="11" t="s">
        <v>3068</v>
      </c>
      <c r="G1759" s="128" t="s">
        <v>3312</v>
      </c>
      <c r="H1759" s="117" t="s">
        <v>3237</v>
      </c>
      <c r="I1759" s="119" t="s">
        <v>96</v>
      </c>
      <c r="J1759" s="121">
        <f>+Tabla1[[#This Row],[FECHA ENTRADA]]</f>
        <v>46120</v>
      </c>
      <c r="K1759" s="121">
        <v>46139</v>
      </c>
      <c r="L1759" s="129">
        <f>_xlfn.DAYS(Tabla1[[#This Row],[FECHA FIN ]],Tabla1[[#This Row],[FECHA INICIO]])</f>
        <v>19</v>
      </c>
      <c r="M1759" s="119">
        <f>1122.6/4</f>
        <v>280.64999999999998</v>
      </c>
      <c r="N1759" s="130"/>
      <c r="O1759" s="131">
        <f>(Tabla1[[#This Row],[COSTO FIJO ]]/30)*Tabla1[[#This Row],[TOTAL DIAS PROYECTO]]+(Tabla1[[#This Row],[COSTO TEMPORAL]])</f>
        <v>280.64999999999998</v>
      </c>
      <c r="P1759" s="119"/>
      <c r="Q1759" s="119">
        <f>+(Tabla1[[#This Row],[COSTO COCHE]]/30)*Tabla1[[#This Row],[TOTAL DIAS PROYECTO]]</f>
        <v>0</v>
      </c>
      <c r="R1759" s="119">
        <f>+Tabla1[[#This Row],[COSTO TOTAL ALOJAMIENTO]]+Tabla1[[#This Row],[COSTO TOTAL COCHE]]</f>
        <v>280.64999999999998</v>
      </c>
      <c r="S1759" s="117"/>
      <c r="T1759" s="124" t="s">
        <v>44</v>
      </c>
      <c r="U1759" s="124">
        <v>46120</v>
      </c>
      <c r="V1759" s="132">
        <v>46140</v>
      </c>
      <c r="W1759" s="119"/>
      <c r="X1759" s="117"/>
      <c r="Y1759" s="118" t="s">
        <v>3313</v>
      </c>
      <c r="Z1759" s="117" t="s">
        <v>36</v>
      </c>
      <c r="AA1759" s="127" t="s">
        <v>10393</v>
      </c>
      <c r="AB1759" s="127">
        <v>3834517</v>
      </c>
    </row>
    <row r="1760" spans="1:28" ht="16.5" customHeight="1">
      <c r="A1760" s="2" t="s">
        <v>9466</v>
      </c>
      <c r="B1760" s="2" t="s">
        <v>368</v>
      </c>
      <c r="C1760" s="11" t="s">
        <v>3286</v>
      </c>
      <c r="D1760" s="2" t="s">
        <v>99</v>
      </c>
      <c r="E1760" s="2" t="s">
        <v>87</v>
      </c>
      <c r="F1760" s="11" t="s">
        <v>3314</v>
      </c>
      <c r="G1760" s="21">
        <v>608844655</v>
      </c>
      <c r="H1760" s="2" t="s">
        <v>3287</v>
      </c>
      <c r="I1760" s="12" t="s">
        <v>1288</v>
      </c>
      <c r="J1760" s="22">
        <f>+Tabla1[[#This Row],[FECHA ENTRADA]]</f>
        <v>45755</v>
      </c>
      <c r="K1760" s="22">
        <v>45821</v>
      </c>
      <c r="L1760" s="42">
        <f>_xlfn.DAYS(Tabla1[[#This Row],[FECHA FIN ]],Tabla1[[#This Row],[FECHA INICIO]])</f>
        <v>66</v>
      </c>
      <c r="M1760" s="12"/>
      <c r="N1760" s="28"/>
      <c r="O1760" s="28">
        <f>(Tabla1[[#This Row],[COSTO FIJO ]]/30)*Tabla1[[#This Row],[TOTAL DIAS PROYECTO]]+(Tabla1[[#This Row],[COSTO TEMPORAL]])</f>
        <v>0</v>
      </c>
      <c r="P1760" s="12"/>
      <c r="Q1760" s="12">
        <f>+(Tabla1[[#This Row],[COSTO COCHE]]/30)*Tabla1[[#This Row],[TOTAL DIAS PROYECTO]]</f>
        <v>0</v>
      </c>
      <c r="R1760" s="12">
        <f>+Tabla1[[#This Row],[COSTO TOTAL ALOJAMIENTO]]+Tabla1[[#This Row],[COSTO TOTAL COCHE]]</f>
        <v>0</v>
      </c>
      <c r="S1760" s="2"/>
      <c r="T1760" s="2" t="s">
        <v>528</v>
      </c>
      <c r="U1760" s="14">
        <v>45755</v>
      </c>
      <c r="V1760" s="43">
        <v>45764</v>
      </c>
      <c r="W1760" s="26"/>
      <c r="X1760" s="2"/>
      <c r="Y1760" s="11" t="s">
        <v>1166</v>
      </c>
      <c r="Z1760" s="2" t="s">
        <v>36</v>
      </c>
      <c r="AA1760" s="13" t="s">
        <v>10335</v>
      </c>
      <c r="AB1760" s="13">
        <v>404.16500000000002</v>
      </c>
    </row>
    <row r="1761" spans="1:28" ht="15" customHeight="1">
      <c r="A1761" s="2" t="s">
        <v>9150</v>
      </c>
      <c r="B1761" s="2" t="s">
        <v>28</v>
      </c>
      <c r="C1761" s="11" t="s">
        <v>2230</v>
      </c>
      <c r="D1761" s="2" t="s">
        <v>30</v>
      </c>
      <c r="E1761" s="2" t="s">
        <v>245</v>
      </c>
      <c r="F1761" s="11" t="s">
        <v>2209</v>
      </c>
      <c r="G1761" s="46" t="s">
        <v>2210</v>
      </c>
      <c r="H1761" s="157" t="s">
        <v>1431</v>
      </c>
      <c r="I1761" s="158" t="s">
        <v>2473</v>
      </c>
      <c r="J1761" s="41">
        <f>+Tabla1[[#This Row],[FECHA ENTRADA]]</f>
        <v>45748</v>
      </c>
      <c r="K1761" s="22">
        <v>45821</v>
      </c>
      <c r="L1761" s="42">
        <f>_xlfn.DAYS(Tabla1[[#This Row],[FECHA FIN ]],Tabla1[[#This Row],[FECHA INICIO]])</f>
        <v>73</v>
      </c>
      <c r="M1761" s="12"/>
      <c r="N1761" s="28">
        <v>442.93</v>
      </c>
      <c r="O1761" s="28">
        <f>(Tabla1[[#This Row],[COSTO FIJO ]]/30)*Tabla1[[#This Row],[TOTAL DIAS PROYECTO]]+(Tabla1[[#This Row],[COSTO TEMPORAL]])</f>
        <v>1077.7963333333332</v>
      </c>
      <c r="P1761" s="12">
        <v>76.92307692307692</v>
      </c>
      <c r="Q1761" s="12">
        <f>+(Tabla1[[#This Row],[COSTO COCHE]]/30)*Tabla1[[#This Row],[TOTAL DIAS PROYECTO]]</f>
        <v>187.17948717948715</v>
      </c>
      <c r="R1761" s="12">
        <f>+Tabla1[[#This Row],[COSTO TOTAL ALOJAMIENTO]]+Tabla1[[#This Row],[COSTO TOTAL COCHE]]</f>
        <v>1264.9758205128203</v>
      </c>
      <c r="S1761" s="2" t="s">
        <v>84</v>
      </c>
      <c r="T1761" s="2" t="s">
        <v>44</v>
      </c>
      <c r="U1761" s="14">
        <v>45748</v>
      </c>
      <c r="V1761" s="43">
        <v>45764</v>
      </c>
      <c r="W1761" s="26"/>
      <c r="X1761" s="2"/>
      <c r="Y1761" s="11"/>
      <c r="Z1761" s="2" t="s">
        <v>36</v>
      </c>
      <c r="AA1761" s="13" t="s">
        <v>10355</v>
      </c>
      <c r="AB1761" s="13" t="s">
        <v>10356</v>
      </c>
    </row>
    <row r="1762" spans="1:28" ht="15" customHeight="1">
      <c r="A1762" s="2" t="s">
        <v>9460</v>
      </c>
      <c r="B1762" s="2" t="s">
        <v>368</v>
      </c>
      <c r="C1762" s="11" t="s">
        <v>3250</v>
      </c>
      <c r="D1762" s="2" t="s">
        <v>99</v>
      </c>
      <c r="E1762" s="2" t="s">
        <v>87</v>
      </c>
      <c r="F1762" s="11" t="s">
        <v>3314</v>
      </c>
      <c r="G1762" s="21">
        <v>608844655</v>
      </c>
      <c r="H1762" s="157" t="s">
        <v>3290</v>
      </c>
      <c r="I1762" s="203" t="s">
        <v>1288</v>
      </c>
      <c r="J1762" s="22">
        <f>+Tabla1[[#This Row],[FECHA ENTRADA]]</f>
        <v>45755</v>
      </c>
      <c r="K1762" s="22">
        <v>45821</v>
      </c>
      <c r="L1762" s="42">
        <f>_xlfn.DAYS(Tabla1[[#This Row],[FECHA FIN ]],Tabla1[[#This Row],[FECHA INICIO]])</f>
        <v>66</v>
      </c>
      <c r="M1762" s="12"/>
      <c r="N1762" s="28"/>
      <c r="O1762" s="28">
        <f>(Tabla1[[#This Row],[COSTO FIJO ]]/30)*Tabla1[[#This Row],[TOTAL DIAS PROYECTO]]+(Tabla1[[#This Row],[COSTO TEMPORAL]])</f>
        <v>0</v>
      </c>
      <c r="P1762" s="12"/>
      <c r="Q1762" s="12">
        <f>+(Tabla1[[#This Row],[COSTO COCHE]]/30)*Tabla1[[#This Row],[TOTAL DIAS PROYECTO]]</f>
        <v>0</v>
      </c>
      <c r="R1762" s="12">
        <f>+Tabla1[[#This Row],[COSTO TOTAL ALOJAMIENTO]]+Tabla1[[#This Row],[COSTO TOTAL COCHE]]</f>
        <v>0</v>
      </c>
      <c r="S1762" s="2"/>
      <c r="T1762" s="2" t="s">
        <v>528</v>
      </c>
      <c r="U1762" s="14">
        <v>45755</v>
      </c>
      <c r="V1762" s="43">
        <v>45764</v>
      </c>
      <c r="W1762" s="26"/>
      <c r="X1762" s="2"/>
      <c r="Y1762" s="11" t="s">
        <v>1166</v>
      </c>
      <c r="Z1762" s="2" t="s">
        <v>36</v>
      </c>
      <c r="AA1762" s="13" t="s">
        <v>10335</v>
      </c>
      <c r="AB1762" s="13">
        <v>404.16500000000002</v>
      </c>
    </row>
    <row r="1763" spans="1:28" ht="15" customHeight="1">
      <c r="A1763" s="2" t="s">
        <v>9017</v>
      </c>
      <c r="B1763" s="2" t="s">
        <v>606</v>
      </c>
      <c r="C1763" s="31" t="s">
        <v>1705</v>
      </c>
      <c r="D1763" s="2" t="s">
        <v>30</v>
      </c>
      <c r="E1763" s="2" t="s">
        <v>855</v>
      </c>
      <c r="F1763" s="11" t="s">
        <v>3272</v>
      </c>
      <c r="G1763" s="46" t="s">
        <v>1474</v>
      </c>
      <c r="H1763" s="157" t="s">
        <v>3273</v>
      </c>
      <c r="I1763" s="158" t="s">
        <v>3274</v>
      </c>
      <c r="J1763" s="41">
        <f>+Tabla1[[#This Row],[FECHA ENTRADA]]</f>
        <v>46049</v>
      </c>
      <c r="K1763" s="22">
        <v>46175</v>
      </c>
      <c r="L1763" s="42">
        <f>_xlfn.DAYS(Tabla1[[#This Row],[FECHA FIN ]],Tabla1[[#This Row],[FECHA INICIO]])</f>
        <v>126</v>
      </c>
      <c r="M1763" s="12">
        <v>403.33333333333331</v>
      </c>
      <c r="N1763" s="28"/>
      <c r="O1763" s="28">
        <f>(Tabla1[[#This Row],[COSTO FIJO ]]/30)*Tabla1[[#This Row],[TOTAL DIAS PROYECTO]]+(Tabla1[[#This Row],[COSTO TEMPORAL]])</f>
        <v>403.33333333333331</v>
      </c>
      <c r="P1763" s="12"/>
      <c r="Q1763" s="12">
        <f>+(Tabla1[[#This Row],[COSTO COCHE]]/30)*Tabla1[[#This Row],[TOTAL DIAS PROYECTO]]</f>
        <v>0</v>
      </c>
      <c r="R1763" s="12">
        <f>+Tabla1[[#This Row],[COSTO TOTAL ALOJAMIENTO]]+Tabla1[[#This Row],[COSTO TOTAL COCHE]]</f>
        <v>403.33333333333331</v>
      </c>
      <c r="S1763" s="2"/>
      <c r="T1763" s="14" t="s">
        <v>44</v>
      </c>
      <c r="U1763" s="14">
        <v>46049</v>
      </c>
      <c r="V1763" s="25">
        <v>46172</v>
      </c>
      <c r="W1763" s="12"/>
      <c r="X1763" s="2"/>
      <c r="Y1763" s="11" t="s">
        <v>3315</v>
      </c>
      <c r="Z1763" s="2" t="s">
        <v>36</v>
      </c>
      <c r="AA1763" s="13" t="s">
        <v>10401</v>
      </c>
      <c r="AB1763" s="13" t="s">
        <v>10402</v>
      </c>
    </row>
    <row r="1764" spans="1:28" ht="15" customHeight="1">
      <c r="A1764" s="2" t="s">
        <v>9456</v>
      </c>
      <c r="B1764" s="2" t="s">
        <v>711</v>
      </c>
      <c r="C1764" s="118" t="s">
        <v>3234</v>
      </c>
      <c r="D1764" s="2" t="s">
        <v>99</v>
      </c>
      <c r="E1764" s="2" t="s">
        <v>686</v>
      </c>
      <c r="F1764" s="11" t="s">
        <v>3316</v>
      </c>
      <c r="G1764" s="21" t="s">
        <v>3317</v>
      </c>
      <c r="H1764" s="2" t="s">
        <v>3237</v>
      </c>
      <c r="I1764" s="12" t="s">
        <v>96</v>
      </c>
      <c r="J1764" s="41">
        <f>+Tabla1[[#This Row],[FECHA ENTRADA]]</f>
        <v>46139</v>
      </c>
      <c r="K1764" s="22">
        <v>46169</v>
      </c>
      <c r="L1764" s="42">
        <f>_xlfn.DAYS(Tabla1[[#This Row],[FECHA FIN ]],Tabla1[[#This Row],[FECHA INICIO]])</f>
        <v>30</v>
      </c>
      <c r="M1764" s="12">
        <f>2093.04/4</f>
        <v>523.26</v>
      </c>
      <c r="N1764" s="28"/>
      <c r="O1764" s="28">
        <f>(Tabla1[[#This Row],[COSTO FIJO ]]/30)*Tabla1[[#This Row],[TOTAL DIAS PROYECTO]]+(Tabla1[[#This Row],[COSTO TEMPORAL]])</f>
        <v>523.26</v>
      </c>
      <c r="P1764" s="12"/>
      <c r="Q1764" s="12">
        <f>+(Tabla1[[#This Row],[COSTO COCHE]]/30)*Tabla1[[#This Row],[TOTAL DIAS PROYECTO]]</f>
        <v>0</v>
      </c>
      <c r="R1764" s="12">
        <f>+Tabla1[[#This Row],[COSTO TOTAL ALOJAMIENTO]]+Tabla1[[#This Row],[COSTO TOTAL COCHE]]</f>
        <v>523.26</v>
      </c>
      <c r="S1764" s="2" t="s">
        <v>84</v>
      </c>
      <c r="T1764" s="14" t="s">
        <v>44</v>
      </c>
      <c r="U1764" s="14">
        <v>46139</v>
      </c>
      <c r="V1764" s="43">
        <v>46170</v>
      </c>
      <c r="W1764" s="12"/>
      <c r="X1764" s="2"/>
      <c r="Y1764" s="11" t="s">
        <v>3318</v>
      </c>
      <c r="Z1764" s="2" t="s">
        <v>36</v>
      </c>
      <c r="AA1764" s="13" t="s">
        <v>10393</v>
      </c>
      <c r="AB1764" s="13">
        <v>3834517</v>
      </c>
    </row>
    <row r="1765" spans="1:28" ht="15" customHeight="1">
      <c r="A1765" s="2" t="s">
        <v>9456</v>
      </c>
      <c r="B1765" s="2" t="s">
        <v>711</v>
      </c>
      <c r="C1765" s="11" t="s">
        <v>3234</v>
      </c>
      <c r="D1765" s="2" t="s">
        <v>99</v>
      </c>
      <c r="E1765" s="2" t="s">
        <v>686</v>
      </c>
      <c r="F1765" s="11" t="s">
        <v>3319</v>
      </c>
      <c r="G1765" s="21" t="s">
        <v>3320</v>
      </c>
      <c r="H1765" s="2" t="s">
        <v>3237</v>
      </c>
      <c r="I1765" s="12" t="s">
        <v>96</v>
      </c>
      <c r="J1765" s="22">
        <f>+Tabla1[[#This Row],[FECHA ENTRADA]]</f>
        <v>46169</v>
      </c>
      <c r="K1765" s="22">
        <v>46174</v>
      </c>
      <c r="L1765" s="23">
        <f>_xlfn.DAYS(Tabla1[[#This Row],[FECHA FIN ]],Tabla1[[#This Row],[FECHA INICIO]])</f>
        <v>5</v>
      </c>
      <c r="M1765" s="12">
        <v>105</v>
      </c>
      <c r="N1765" s="20"/>
      <c r="O1765" s="24">
        <f>(Tabla1[[#This Row],[COSTO FIJO ]]/30)*Tabla1[[#This Row],[TOTAL DIAS PROYECTO]]+(Tabla1[[#This Row],[COSTO TEMPORAL]])</f>
        <v>105</v>
      </c>
      <c r="P1765" s="12"/>
      <c r="Q1765" s="12">
        <f>+(Tabla1[[#This Row],[COSTO COCHE]]/30)*Tabla1[[#This Row],[TOTAL DIAS PROYECTO]]</f>
        <v>0</v>
      </c>
      <c r="R1765" s="12">
        <f>+Tabla1[[#This Row],[COSTO TOTAL ALOJAMIENTO]]+Tabla1[[#This Row],[COSTO TOTAL COCHE]]</f>
        <v>105</v>
      </c>
      <c r="S1765" s="2" t="s">
        <v>403</v>
      </c>
      <c r="T1765" s="14" t="s">
        <v>44</v>
      </c>
      <c r="U1765" s="14">
        <v>46169</v>
      </c>
      <c r="V1765" s="79">
        <v>46175</v>
      </c>
      <c r="W1765" s="12"/>
      <c r="X1765" s="2"/>
      <c r="Y1765" s="11" t="s">
        <v>3321</v>
      </c>
      <c r="Z1765" s="2" t="s">
        <v>36</v>
      </c>
      <c r="AA1765" s="13" t="s">
        <v>10393</v>
      </c>
      <c r="AB1765" s="13">
        <v>3834517</v>
      </c>
    </row>
    <row r="1766" spans="1:28" ht="15" customHeight="1">
      <c r="A1766" s="2" t="s">
        <v>9327</v>
      </c>
      <c r="B1766" s="2" t="s">
        <v>368</v>
      </c>
      <c r="C1766" s="11" t="s">
        <v>2836</v>
      </c>
      <c r="D1766" s="2" t="s">
        <v>72</v>
      </c>
      <c r="E1766" s="2" t="s">
        <v>1115</v>
      </c>
      <c r="F1766" s="11" t="s">
        <v>3278</v>
      </c>
      <c r="G1766" s="46" t="s">
        <v>3279</v>
      </c>
      <c r="H1766" s="2" t="s">
        <v>1118</v>
      </c>
      <c r="I1766" s="12" t="s">
        <v>1119</v>
      </c>
      <c r="J1766" s="41">
        <f>+Tabla1[[#This Row],[FECHA ENTRADA]]</f>
        <v>45701</v>
      </c>
      <c r="K1766" s="22">
        <v>45821</v>
      </c>
      <c r="L1766" s="42">
        <f>_xlfn.DAYS(Tabla1[[#This Row],[FECHA FIN ]],Tabla1[[#This Row],[FECHA INICIO]])</f>
        <v>120</v>
      </c>
      <c r="M1766" s="12"/>
      <c r="N1766" s="12"/>
      <c r="O1766" s="28">
        <f>(Tabla1[[#This Row],[COSTO FIJO ]]/30)*Tabla1[[#This Row],[TOTAL DIAS PROYECTO]]+(Tabla1[[#This Row],[COSTO TEMPORAL]])</f>
        <v>0</v>
      </c>
      <c r="P1766" s="12"/>
      <c r="Q1766" s="12">
        <f>+(Tabla1[[#This Row],[COSTO COCHE]]/30)*Tabla1[[#This Row],[TOTAL DIAS PROYECTO]]</f>
        <v>0</v>
      </c>
      <c r="R1766" s="12">
        <f>+Tabla1[[#This Row],[COSTO TOTAL ALOJAMIENTO]]+Tabla1[[#This Row],[COSTO TOTAL COCHE]]</f>
        <v>0</v>
      </c>
      <c r="S1766" s="2" t="s">
        <v>84</v>
      </c>
      <c r="T1766" s="2" t="s">
        <v>44</v>
      </c>
      <c r="U1766" s="14">
        <v>45701</v>
      </c>
      <c r="V1766" s="43">
        <v>45769</v>
      </c>
      <c r="W1766" s="26">
        <v>500</v>
      </c>
      <c r="X1766" s="2"/>
      <c r="Y1766" s="11"/>
      <c r="Z1766" s="2" t="s">
        <v>36</v>
      </c>
      <c r="AA1766" s="13" t="s">
        <v>10411</v>
      </c>
      <c r="AB1766" s="13">
        <v>50.656529999999997</v>
      </c>
    </row>
    <row r="1767" spans="1:28" ht="15" customHeight="1">
      <c r="A1767" s="2" t="s">
        <v>9473</v>
      </c>
      <c r="B1767" s="2" t="s">
        <v>28</v>
      </c>
      <c r="C1767" s="86" t="s">
        <v>3322</v>
      </c>
      <c r="D1767" s="2" t="s">
        <v>30</v>
      </c>
      <c r="E1767" s="2" t="s">
        <v>985</v>
      </c>
      <c r="F1767" s="11"/>
      <c r="G1767" s="11"/>
      <c r="H1767" s="2" t="s">
        <v>3289</v>
      </c>
      <c r="I1767" s="12" t="s">
        <v>1272</v>
      </c>
      <c r="J1767" s="8">
        <f>+Tabla1[[#This Row],[FECHA ENTRADA]]</f>
        <v>45476</v>
      </c>
      <c r="K1767" s="22">
        <v>45821</v>
      </c>
      <c r="L1767" s="13">
        <f>_xlfn.DAYS(Tabla1[[#This Row],[FECHA FIN ]],Tabla1[[#This Row],[FECHA INICIO]])</f>
        <v>345</v>
      </c>
      <c r="M1767" s="12"/>
      <c r="N1767" s="12">
        <v>300</v>
      </c>
      <c r="O1767" s="12">
        <f>(Tabla1[[#This Row],[COSTO FIJO ]]/30)*Tabla1[[#This Row],[TOTAL DIAS PROYECTO]]+(Tabla1[[#This Row],[COSTO TEMPORAL]])</f>
        <v>3450</v>
      </c>
      <c r="P1767" s="12"/>
      <c r="Q1767" s="12">
        <f>+(Tabla1[[#This Row],[COSTO COCHE]]/30)*Tabla1[[#This Row],[TOTAL DIAS PROYECTO]]</f>
        <v>0</v>
      </c>
      <c r="R1767" s="12">
        <f>+Tabla1[[#This Row],[COSTO TOTAL ALOJAMIENTO]]+Tabla1[[#This Row],[COSTO TOTAL COCHE]]</f>
        <v>3450</v>
      </c>
      <c r="S1767" s="2"/>
      <c r="T1767" s="2" t="s">
        <v>58</v>
      </c>
      <c r="U1767" s="14">
        <v>45476</v>
      </c>
      <c r="V1767" s="14"/>
      <c r="W1767" s="26"/>
      <c r="X1767" s="2"/>
      <c r="Y1767" s="11" t="s">
        <v>3323</v>
      </c>
      <c r="Z1767" s="2" t="s">
        <v>36</v>
      </c>
      <c r="AA1767" s="13" t="s">
        <v>10407</v>
      </c>
      <c r="AB1767" s="13" t="s">
        <v>10408</v>
      </c>
    </row>
    <row r="1768" spans="1:28" ht="15" customHeight="1">
      <c r="A1768" s="2" t="s">
        <v>8828</v>
      </c>
      <c r="B1768" s="2" t="s">
        <v>28</v>
      </c>
      <c r="C1768" s="11" t="s">
        <v>923</v>
      </c>
      <c r="D1768" s="2" t="s">
        <v>30</v>
      </c>
      <c r="E1768" s="2" t="s">
        <v>31</v>
      </c>
      <c r="F1768" s="11" t="s">
        <v>2059</v>
      </c>
      <c r="G1768" s="46" t="s">
        <v>2060</v>
      </c>
      <c r="H1768" s="2" t="s">
        <v>2061</v>
      </c>
      <c r="I1768" s="12" t="s">
        <v>2062</v>
      </c>
      <c r="J1768" s="41">
        <f>+Tabla1[[#This Row],[FECHA ENTRADA]]</f>
        <v>45769</v>
      </c>
      <c r="K1768" s="22">
        <v>45821</v>
      </c>
      <c r="L1768" s="13">
        <f>_xlfn.DAYS(Tabla1[[#This Row],[FECHA FIN ]],Tabla1[[#This Row],[FECHA INICIO]])</f>
        <v>52</v>
      </c>
      <c r="M1768" s="12"/>
      <c r="N1768" s="12"/>
      <c r="O1768" s="12">
        <f>(Tabla1[[#This Row],[COSTO FIJO ]]/30)*Tabla1[[#This Row],[TOTAL DIAS PROYECTO]]+(Tabla1[[#This Row],[COSTO TEMPORAL]])</f>
        <v>0</v>
      </c>
      <c r="P1768" s="12"/>
      <c r="Q1768" s="12">
        <f>+(Tabla1[[#This Row],[COSTO COCHE]]/30)*Tabla1[[#This Row],[TOTAL DIAS PROYECTO]]</f>
        <v>0</v>
      </c>
      <c r="R1768" s="12">
        <f>+Tabla1[[#This Row],[COSTO TOTAL ALOJAMIENTO]]+Tabla1[[#This Row],[COSTO TOTAL COCHE]]</f>
        <v>0</v>
      </c>
      <c r="S1768" s="2" t="s">
        <v>403</v>
      </c>
      <c r="T1768" s="2" t="s">
        <v>44</v>
      </c>
      <c r="U1768" s="14">
        <v>45769</v>
      </c>
      <c r="V1768" s="14">
        <v>45770</v>
      </c>
      <c r="W1768" s="26"/>
      <c r="X1768" s="2"/>
      <c r="Y1768" s="18"/>
      <c r="Z1768" s="2" t="s">
        <v>36</v>
      </c>
      <c r="AA1768" s="13" t="s">
        <v>10323</v>
      </c>
      <c r="AB1768" s="13" t="s">
        <v>10324</v>
      </c>
    </row>
    <row r="1769" spans="1:28" ht="15" customHeight="1">
      <c r="A1769" s="2" t="s">
        <v>9474</v>
      </c>
      <c r="B1769" s="2" t="s">
        <v>28</v>
      </c>
      <c r="C1769" s="11" t="s">
        <v>3324</v>
      </c>
      <c r="D1769" s="2" t="s">
        <v>30</v>
      </c>
      <c r="E1769" s="2" t="s">
        <v>359</v>
      </c>
      <c r="F1769" s="11" t="s">
        <v>3325</v>
      </c>
      <c r="G1769" s="46" t="s">
        <v>3326</v>
      </c>
      <c r="H1769" s="2" t="s">
        <v>3327</v>
      </c>
      <c r="I1769" s="12" t="s">
        <v>96</v>
      </c>
      <c r="J1769" s="41">
        <f>+Tabla1[[#This Row],[FECHA ENTRADA]]</f>
        <v>45690</v>
      </c>
      <c r="K1769" s="41">
        <v>45710</v>
      </c>
      <c r="L1769" s="42">
        <f>_xlfn.DAYS(Tabla1[[#This Row],[FECHA FIN ]],Tabla1[[#This Row],[FECHA INICIO]])</f>
        <v>20</v>
      </c>
      <c r="M1769" s="12"/>
      <c r="N1769" s="12">
        <v>330</v>
      </c>
      <c r="O1769" s="28">
        <f>(Tabla1[[#This Row],[COSTO FIJO ]]/30)*Tabla1[[#This Row],[TOTAL DIAS PROYECTO]]+(Tabla1[[#This Row],[COSTO TEMPORAL]])</f>
        <v>220</v>
      </c>
      <c r="P1769" s="12"/>
      <c r="Q1769" s="12">
        <f>+(Tabla1[[#This Row],[COSTO COCHE]]/30)*Tabla1[[#This Row],[TOTAL DIAS PROYECTO]]</f>
        <v>0</v>
      </c>
      <c r="R1769" s="12">
        <f>+Tabla1[[#This Row],[COSTO TOTAL ALOJAMIENTO]]+Tabla1[[#This Row],[COSTO TOTAL COCHE]]</f>
        <v>220</v>
      </c>
      <c r="S1769" s="2"/>
      <c r="T1769" s="2" t="s">
        <v>44</v>
      </c>
      <c r="U1769" s="14">
        <v>45690</v>
      </c>
      <c r="V1769" s="43">
        <v>45710</v>
      </c>
      <c r="W1769" s="26">
        <v>600</v>
      </c>
      <c r="X1769" s="2">
        <v>1</v>
      </c>
      <c r="Y1769" s="11" t="s">
        <v>1120</v>
      </c>
      <c r="Z1769" s="2" t="s">
        <v>36</v>
      </c>
      <c r="AA1769" s="13" t="s">
        <v>10367</v>
      </c>
      <c r="AB1769" s="13">
        <v>3899424</v>
      </c>
    </row>
    <row r="1770" spans="1:28" ht="15" customHeight="1">
      <c r="A1770" s="2" t="s">
        <v>9171</v>
      </c>
      <c r="B1770" s="2" t="s">
        <v>28</v>
      </c>
      <c r="C1770" s="31" t="s">
        <v>2310</v>
      </c>
      <c r="D1770" s="2" t="s">
        <v>30</v>
      </c>
      <c r="E1770" s="2" t="s">
        <v>245</v>
      </c>
      <c r="F1770" s="11" t="s">
        <v>1952</v>
      </c>
      <c r="G1770" t="s">
        <v>1953</v>
      </c>
      <c r="H1770" s="2" t="s">
        <v>2211</v>
      </c>
      <c r="I1770" s="12" t="s">
        <v>249</v>
      </c>
      <c r="J1770" s="22">
        <f>+Tabla1[[#This Row],[FECHA ENTRADA]]</f>
        <v>45757</v>
      </c>
      <c r="K1770" s="22">
        <v>45800</v>
      </c>
      <c r="L1770" s="42">
        <f>_xlfn.DAYS(Tabla1[[#This Row],[FECHA FIN ]],Tabla1[[#This Row],[FECHA INICIO]])</f>
        <v>43</v>
      </c>
      <c r="M1770" s="12"/>
      <c r="N1770" s="12">
        <v>200</v>
      </c>
      <c r="O1770" s="28">
        <f>(Tabla1[[#This Row],[COSTO FIJO ]]/30)*Tabla1[[#This Row],[TOTAL DIAS PROYECTO]]+(Tabla1[[#This Row],[COSTO TEMPORAL]])</f>
        <v>286.66666666666669</v>
      </c>
      <c r="P1770" s="12">
        <v>92.307692307692307</v>
      </c>
      <c r="Q1770" s="12">
        <f>+(Tabla1[[#This Row],[COSTO COCHE]]/30)*Tabla1[[#This Row],[TOTAL DIAS PROYECTO]]</f>
        <v>132.30769230769232</v>
      </c>
      <c r="R1770" s="12">
        <f>+Tabla1[[#This Row],[COSTO TOTAL ALOJAMIENTO]]+Tabla1[[#This Row],[COSTO TOTAL COCHE]]</f>
        <v>418.97435897435901</v>
      </c>
      <c r="S1770" s="2"/>
      <c r="T1770" s="2" t="s">
        <v>35</v>
      </c>
      <c r="U1770" s="14">
        <v>45757</v>
      </c>
      <c r="V1770" s="43"/>
      <c r="W1770" s="26"/>
      <c r="X1770" s="2">
        <v>10</v>
      </c>
      <c r="Y1770" t="s">
        <v>3328</v>
      </c>
      <c r="Z1770" s="2" t="s">
        <v>36</v>
      </c>
      <c r="AA1770" s="13" t="s">
        <v>10355</v>
      </c>
      <c r="AB1770" s="13" t="s">
        <v>10356</v>
      </c>
    </row>
    <row r="1771" spans="1:28" ht="15" customHeight="1">
      <c r="A1771" s="2" t="s">
        <v>9446</v>
      </c>
      <c r="B1771" s="2" t="s">
        <v>368</v>
      </c>
      <c r="C1771" s="11" t="s">
        <v>3212</v>
      </c>
      <c r="D1771" s="2" t="s">
        <v>99</v>
      </c>
      <c r="E1771" s="2" t="s">
        <v>422</v>
      </c>
      <c r="F1771" s="11" t="s">
        <v>1983</v>
      </c>
      <c r="G1771" s="11" t="s">
        <v>2067</v>
      </c>
      <c r="H1771" s="2" t="s">
        <v>3266</v>
      </c>
      <c r="I1771" s="10" t="s">
        <v>1435</v>
      </c>
      <c r="J1771" s="22">
        <f>+Tabla1[[#This Row],[FECHA ENTRADA]]</f>
        <v>45792</v>
      </c>
      <c r="K1771" s="8">
        <f>+Tabla1[[#This Row],[FECHA SALIDA]]</f>
        <v>45796</v>
      </c>
      <c r="L1771" s="23">
        <f>_xlfn.DAYS(Tabla1[[#This Row],[FECHA FIN ]],Tabla1[[#This Row],[FECHA INICIO]])</f>
        <v>4</v>
      </c>
      <c r="M1771" s="12"/>
      <c r="N1771" s="12"/>
      <c r="O1771" s="24">
        <f>(Tabla1[[#This Row],[COSTO FIJO ]]/30)*Tabla1[[#This Row],[TOTAL DIAS PROYECTO]]+(Tabla1[[#This Row],[COSTO TEMPORAL]])</f>
        <v>0</v>
      </c>
      <c r="P1771" s="12"/>
      <c r="Q1771" s="12">
        <f>+(Tabla1[[#This Row],[COSTO COCHE]]/30)*Tabla1[[#This Row],[TOTAL DIAS PROYECTO]]</f>
        <v>0</v>
      </c>
      <c r="R1771" s="12">
        <f>+Tabla1[[#This Row],[COSTO TOTAL ALOJAMIENTO]]+Tabla1[[#This Row],[COSTO TOTAL COCHE]]</f>
        <v>0</v>
      </c>
      <c r="S1771" s="2"/>
      <c r="T1771" s="2" t="s">
        <v>44</v>
      </c>
      <c r="U1771" s="14">
        <v>45792</v>
      </c>
      <c r="V1771" s="25">
        <v>45796</v>
      </c>
      <c r="W1771" s="26"/>
      <c r="X1771" s="2"/>
      <c r="Y1771" s="11"/>
      <c r="Z1771" s="2" t="s">
        <v>36</v>
      </c>
      <c r="AA1771" s="13">
        <v>-326.69799999999998</v>
      </c>
      <c r="AB1771" s="13" t="s">
        <v>10373</v>
      </c>
    </row>
    <row r="1772" spans="1:28" ht="15" customHeight="1">
      <c r="A1772" s="2" t="s">
        <v>9475</v>
      </c>
      <c r="B1772" s="2" t="s">
        <v>368</v>
      </c>
      <c r="C1772" s="11" t="s">
        <v>3329</v>
      </c>
      <c r="D1772" s="2" t="s">
        <v>30</v>
      </c>
      <c r="E1772" s="2" t="s">
        <v>648</v>
      </c>
      <c r="F1772" s="11" t="s">
        <v>1698</v>
      </c>
      <c r="G1772" s="46" t="s">
        <v>1699</v>
      </c>
      <c r="H1772" s="2" t="s">
        <v>2004</v>
      </c>
      <c r="I1772" s="12" t="s">
        <v>42</v>
      </c>
      <c r="J1772" s="41">
        <f>+Tabla1[[#This Row],[FECHA ENTRADA]]</f>
        <v>45678</v>
      </c>
      <c r="K1772" s="22">
        <v>45821</v>
      </c>
      <c r="L1772" s="42">
        <f>_xlfn.DAYS(Tabla1[[#This Row],[FECHA FIN ]],Tabla1[[#This Row],[FECHA INICIO]])</f>
        <v>143</v>
      </c>
      <c r="M1772" s="12">
        <v>375</v>
      </c>
      <c r="N1772" s="12"/>
      <c r="O1772" s="28">
        <f>(Tabla1[[#This Row],[COSTO FIJO ]]/30)*Tabla1[[#This Row],[TOTAL DIAS PROYECTO]]+(Tabla1[[#This Row],[COSTO TEMPORAL]])</f>
        <v>375</v>
      </c>
      <c r="P1772" s="12"/>
      <c r="Q1772" s="12">
        <f>+(Tabla1[[#This Row],[COSTO COCHE]]/30)*Tabla1[[#This Row],[TOTAL DIAS PROYECTO]]</f>
        <v>0</v>
      </c>
      <c r="R1772" s="12">
        <f>+Tabla1[[#This Row],[COSTO TOTAL ALOJAMIENTO]]+Tabla1[[#This Row],[COSTO TOTAL COCHE]]</f>
        <v>375</v>
      </c>
      <c r="S1772" s="2" t="s">
        <v>84</v>
      </c>
      <c r="T1772" s="2" t="s">
        <v>44</v>
      </c>
      <c r="U1772" s="14">
        <v>45678</v>
      </c>
      <c r="V1772" s="43">
        <v>45772</v>
      </c>
      <c r="W1772" s="26"/>
      <c r="X1772" s="2">
        <v>23</v>
      </c>
      <c r="Y1772" s="11"/>
      <c r="Z1772" s="2" t="s">
        <v>36</v>
      </c>
      <c r="AA1772" s="13" t="s">
        <v>10387</v>
      </c>
      <c r="AB1772" s="13" t="s">
        <v>10388</v>
      </c>
    </row>
    <row r="1773" spans="1:28" ht="15" customHeight="1">
      <c r="A1773" s="2" t="s">
        <v>9476</v>
      </c>
      <c r="B1773" s="2" t="s">
        <v>368</v>
      </c>
      <c r="C1773" s="11" t="s">
        <v>3330</v>
      </c>
      <c r="D1773" s="2" t="s">
        <v>99</v>
      </c>
      <c r="E1773" s="2" t="s">
        <v>2069</v>
      </c>
      <c r="F1773" s="11" t="s">
        <v>2070</v>
      </c>
      <c r="G1773" s="49" t="s">
        <v>2071</v>
      </c>
      <c r="H1773" s="2" t="s">
        <v>2072</v>
      </c>
      <c r="I1773" s="10" t="s">
        <v>2073</v>
      </c>
      <c r="J1773" s="22">
        <f>+Tabla1[[#This Row],[FECHA ENTRADA]]</f>
        <v>45774</v>
      </c>
      <c r="K1773" s="22">
        <v>45821</v>
      </c>
      <c r="L1773" s="23">
        <f>_xlfn.DAYS(Tabla1[[#This Row],[FECHA FIN ]],Tabla1[[#This Row],[FECHA INICIO]])</f>
        <v>47</v>
      </c>
      <c r="M1773" s="12"/>
      <c r="N1773" s="12">
        <f>186.66/4</f>
        <v>46.664999999999999</v>
      </c>
      <c r="O1773" s="24">
        <f>(Tabla1[[#This Row],[COSTO FIJO ]]/30)*Tabla1[[#This Row],[TOTAL DIAS PROYECTO]]+(Tabla1[[#This Row],[COSTO TEMPORAL]])</f>
        <v>73.108499999999992</v>
      </c>
      <c r="P1773" s="12"/>
      <c r="Q1773" s="12">
        <f>+(Tabla1[[#This Row],[COSTO COCHE]]/30)*Tabla1[[#This Row],[TOTAL DIAS PROYECTO]]</f>
        <v>0</v>
      </c>
      <c r="R1773" s="12">
        <f>+Tabla1[[#This Row],[COSTO TOTAL ALOJAMIENTO]]+Tabla1[[#This Row],[COSTO TOTAL COCHE]]</f>
        <v>73.108499999999992</v>
      </c>
      <c r="S1773" s="2"/>
      <c r="T1773" s="2" t="s">
        <v>528</v>
      </c>
      <c r="U1773" s="14">
        <v>45774</v>
      </c>
      <c r="V1773" s="25">
        <v>45772</v>
      </c>
      <c r="W1773" s="26"/>
      <c r="X1773" s="2">
        <v>22</v>
      </c>
      <c r="Y1773" s="11" t="s">
        <v>1166</v>
      </c>
      <c r="Z1773" s="2" t="s">
        <v>36</v>
      </c>
      <c r="AA1773" s="13" t="e">
        <v>#N/A</v>
      </c>
      <c r="AB1773" s="13" t="e">
        <v>#N/A</v>
      </c>
    </row>
    <row r="1774" spans="1:28" ht="15" customHeight="1">
      <c r="A1774" s="2" t="s">
        <v>9476</v>
      </c>
      <c r="B1774" s="2" t="s">
        <v>368</v>
      </c>
      <c r="C1774" s="11" t="s">
        <v>3330</v>
      </c>
      <c r="D1774" s="2" t="s">
        <v>99</v>
      </c>
      <c r="E1774" s="2" t="s">
        <v>2069</v>
      </c>
      <c r="F1774" s="11" t="s">
        <v>2070</v>
      </c>
      <c r="G1774" s="46" t="s">
        <v>2071</v>
      </c>
      <c r="H1774" s="2" t="s">
        <v>2072</v>
      </c>
      <c r="I1774" s="12" t="s">
        <v>2073</v>
      </c>
      <c r="J1774" s="41">
        <f>+Tabla1[[#This Row],[FECHA ENTRADA]]</f>
        <v>45770</v>
      </c>
      <c r="K1774" s="22">
        <v>45821</v>
      </c>
      <c r="L1774" s="23">
        <f>_xlfn.DAYS(Tabla1[[#This Row],[FECHA FIN ]],Tabla1[[#This Row],[FECHA INICIO]])</f>
        <v>51</v>
      </c>
      <c r="M1774" s="12"/>
      <c r="N1774" s="12">
        <f>93.33/4</f>
        <v>23.3325</v>
      </c>
      <c r="O1774" s="24">
        <f>(Tabla1[[#This Row],[COSTO FIJO ]]/30)*Tabla1[[#This Row],[TOTAL DIAS PROYECTO]]+(Tabla1[[#This Row],[COSTO TEMPORAL]])</f>
        <v>39.66525</v>
      </c>
      <c r="P1774" s="12"/>
      <c r="Q1774" s="12">
        <f>+(Tabla1[[#This Row],[COSTO COCHE]]/30)*Tabla1[[#This Row],[TOTAL DIAS PROYECTO]]</f>
        <v>0</v>
      </c>
      <c r="R1774" s="12">
        <f>+Tabla1[[#This Row],[COSTO TOTAL ALOJAMIENTO]]+Tabla1[[#This Row],[COSTO TOTAL COCHE]]</f>
        <v>39.66525</v>
      </c>
      <c r="S1774" s="2"/>
      <c r="T1774" s="2" t="s">
        <v>528</v>
      </c>
      <c r="U1774" s="14">
        <v>45770</v>
      </c>
      <c r="V1774" s="25">
        <v>45772</v>
      </c>
      <c r="W1774" s="26"/>
      <c r="X1774" s="2"/>
      <c r="Y1774" s="11" t="s">
        <v>1166</v>
      </c>
      <c r="Z1774" s="2" t="s">
        <v>36</v>
      </c>
      <c r="AA1774" s="13" t="e">
        <v>#N/A</v>
      </c>
      <c r="AB1774" s="13" t="e">
        <v>#N/A</v>
      </c>
    </row>
    <row r="1775" spans="1:28" ht="15" customHeight="1">
      <c r="A1775" s="2" t="s">
        <v>9192</v>
      </c>
      <c r="B1775" s="2" t="s">
        <v>368</v>
      </c>
      <c r="C1775" s="11" t="s">
        <v>2387</v>
      </c>
      <c r="D1775" s="2" t="s">
        <v>99</v>
      </c>
      <c r="E1775" s="2" t="s">
        <v>2069</v>
      </c>
      <c r="F1775" s="11" t="s">
        <v>2070</v>
      </c>
      <c r="G1775" s="49" t="s">
        <v>2071</v>
      </c>
      <c r="H1775" s="2" t="s">
        <v>2072</v>
      </c>
      <c r="I1775" s="10" t="s">
        <v>2073</v>
      </c>
      <c r="J1775" s="22">
        <f>+Tabla1[[#This Row],[FECHA ENTRADA]]</f>
        <v>45774</v>
      </c>
      <c r="K1775" s="22">
        <v>45821</v>
      </c>
      <c r="L1775" s="23">
        <f>_xlfn.DAYS(Tabla1[[#This Row],[FECHA FIN ]],Tabla1[[#This Row],[FECHA INICIO]])</f>
        <v>47</v>
      </c>
      <c r="M1775" s="12"/>
      <c r="N1775" s="12">
        <f>186.66/4</f>
        <v>46.664999999999999</v>
      </c>
      <c r="O1775" s="24">
        <f>(Tabla1[[#This Row],[COSTO FIJO ]]/30)*Tabla1[[#This Row],[TOTAL DIAS PROYECTO]]+(Tabla1[[#This Row],[COSTO TEMPORAL]])</f>
        <v>73.108499999999992</v>
      </c>
      <c r="P1775" s="12"/>
      <c r="Q1775" s="12">
        <f>+(Tabla1[[#This Row],[COSTO COCHE]]/30)*Tabla1[[#This Row],[TOTAL DIAS PROYECTO]]</f>
        <v>0</v>
      </c>
      <c r="R1775" s="12">
        <f>+Tabla1[[#This Row],[COSTO TOTAL ALOJAMIENTO]]+Tabla1[[#This Row],[COSTO TOTAL COCHE]]</f>
        <v>73.108499999999992</v>
      </c>
      <c r="S1775" s="2"/>
      <c r="T1775" s="2" t="s">
        <v>528</v>
      </c>
      <c r="U1775" s="14">
        <v>45774</v>
      </c>
      <c r="V1775" s="25">
        <v>45772</v>
      </c>
      <c r="W1775" s="26"/>
      <c r="X1775" s="2">
        <v>22</v>
      </c>
      <c r="Y1775" s="11" t="s">
        <v>1166</v>
      </c>
      <c r="Z1775" s="2" t="s">
        <v>36</v>
      </c>
      <c r="AA1775" s="13" t="e">
        <v>#N/A</v>
      </c>
      <c r="AB1775" s="13" t="e">
        <v>#N/A</v>
      </c>
    </row>
    <row r="1776" spans="1:28" ht="15" customHeight="1">
      <c r="A1776" s="2" t="s">
        <v>9192</v>
      </c>
      <c r="B1776" s="2" t="s">
        <v>368</v>
      </c>
      <c r="C1776" s="11" t="s">
        <v>2387</v>
      </c>
      <c r="D1776" s="2" t="s">
        <v>99</v>
      </c>
      <c r="E1776" s="2" t="s">
        <v>2069</v>
      </c>
      <c r="F1776" s="11" t="s">
        <v>2070</v>
      </c>
      <c r="G1776" s="46" t="s">
        <v>2071</v>
      </c>
      <c r="H1776" s="2" t="s">
        <v>2072</v>
      </c>
      <c r="I1776" s="12" t="s">
        <v>2073</v>
      </c>
      <c r="J1776" s="41">
        <f>+Tabla1[[#This Row],[FECHA ENTRADA]]</f>
        <v>45770</v>
      </c>
      <c r="K1776" s="22">
        <v>45821</v>
      </c>
      <c r="L1776" s="23">
        <f>_xlfn.DAYS(Tabla1[[#This Row],[FECHA FIN ]],Tabla1[[#This Row],[FECHA INICIO]])</f>
        <v>51</v>
      </c>
      <c r="M1776" s="12"/>
      <c r="N1776" s="12">
        <f>93.33/4</f>
        <v>23.3325</v>
      </c>
      <c r="O1776" s="24">
        <f>(Tabla1[[#This Row],[COSTO FIJO ]]/30)*Tabla1[[#This Row],[TOTAL DIAS PROYECTO]]+(Tabla1[[#This Row],[COSTO TEMPORAL]])</f>
        <v>39.66525</v>
      </c>
      <c r="P1776" s="12"/>
      <c r="Q1776" s="12">
        <f>+(Tabla1[[#This Row],[COSTO COCHE]]/30)*Tabla1[[#This Row],[TOTAL DIAS PROYECTO]]</f>
        <v>0</v>
      </c>
      <c r="R1776" s="12">
        <f>+Tabla1[[#This Row],[COSTO TOTAL ALOJAMIENTO]]+Tabla1[[#This Row],[COSTO TOTAL COCHE]]</f>
        <v>39.66525</v>
      </c>
      <c r="S1776" s="2"/>
      <c r="T1776" s="2" t="s">
        <v>528</v>
      </c>
      <c r="U1776" s="14">
        <v>45770</v>
      </c>
      <c r="V1776" s="25">
        <v>45772</v>
      </c>
      <c r="W1776" s="26"/>
      <c r="X1776" s="2"/>
      <c r="Y1776" s="11" t="s">
        <v>1166</v>
      </c>
      <c r="Z1776" s="2" t="s">
        <v>36</v>
      </c>
      <c r="AA1776" s="13" t="e">
        <v>#N/A</v>
      </c>
      <c r="AB1776" s="13" t="e">
        <v>#N/A</v>
      </c>
    </row>
    <row r="1777" spans="1:28" ht="15" customHeight="1">
      <c r="A1777" s="2" t="s">
        <v>8890</v>
      </c>
      <c r="B1777" s="2" t="s">
        <v>28</v>
      </c>
      <c r="C1777" s="11" t="s">
        <v>1172</v>
      </c>
      <c r="D1777" s="2" t="s">
        <v>749</v>
      </c>
      <c r="E1777" s="2" t="s">
        <v>288</v>
      </c>
      <c r="F1777" s="11" t="s">
        <v>3331</v>
      </c>
      <c r="G1777" t="s">
        <v>3332</v>
      </c>
      <c r="H1777" s="2" t="s">
        <v>3333</v>
      </c>
      <c r="I1777" s="10" t="s">
        <v>753</v>
      </c>
      <c r="J1777" s="41">
        <f>+Tabla1[[#This Row],[FECHA ENTRADA]]</f>
        <v>45749</v>
      </c>
      <c r="K1777" s="41">
        <v>45752</v>
      </c>
      <c r="L1777" s="42">
        <f>_xlfn.DAYS(Tabla1[[#This Row],[FECHA FIN ]],Tabla1[[#This Row],[FECHA INICIO]])</f>
        <v>3</v>
      </c>
      <c r="M1777" s="12">
        <v>139.5</v>
      </c>
      <c r="N1777" s="28"/>
      <c r="O1777" s="28">
        <f>(Tabla1[[#This Row],[COSTO FIJO ]]/30)*Tabla1[[#This Row],[TOTAL DIAS PROYECTO]]+(Tabla1[[#This Row],[COSTO TEMPORAL]])</f>
        <v>139.5</v>
      </c>
      <c r="P1777" s="12"/>
      <c r="Q1777" s="12">
        <f>+(Tabla1[[#This Row],[COSTO COCHE]]/30)*Tabla1[[#This Row],[TOTAL DIAS PROYECTO]]</f>
        <v>0</v>
      </c>
      <c r="R1777" s="12">
        <f>+Tabla1[[#This Row],[COSTO TOTAL ALOJAMIENTO]]+Tabla1[[#This Row],[COSTO TOTAL COCHE]]</f>
        <v>139.5</v>
      </c>
      <c r="S1777" s="2" t="s">
        <v>403</v>
      </c>
      <c r="T1777" s="2" t="s">
        <v>44</v>
      </c>
      <c r="U1777" s="14">
        <v>45749</v>
      </c>
      <c r="V1777" s="43">
        <v>45752</v>
      </c>
      <c r="W1777" s="26"/>
      <c r="X1777" s="2"/>
      <c r="Y1777" s="11"/>
      <c r="Z1777" s="2" t="s">
        <v>36</v>
      </c>
      <c r="AA1777" s="13" t="s">
        <v>10362</v>
      </c>
      <c r="AB1777" s="13" t="s">
        <v>10363</v>
      </c>
    </row>
    <row r="1778" spans="1:28" ht="15" customHeight="1">
      <c r="A1778" s="2" t="s">
        <v>9477</v>
      </c>
      <c r="B1778" s="2" t="s">
        <v>28</v>
      </c>
      <c r="C1778" s="31" t="s">
        <v>3334</v>
      </c>
      <c r="D1778" s="2" t="s">
        <v>749</v>
      </c>
      <c r="E1778" s="2" t="s">
        <v>288</v>
      </c>
      <c r="F1778" s="11" t="s">
        <v>3331</v>
      </c>
      <c r="G1778" t="s">
        <v>3332</v>
      </c>
      <c r="H1778" s="2" t="s">
        <v>3333</v>
      </c>
      <c r="I1778" s="10" t="s">
        <v>753</v>
      </c>
      <c r="J1778" s="41">
        <f>+Tabla1[[#This Row],[FECHA ENTRADA]]</f>
        <v>45749</v>
      </c>
      <c r="K1778" s="41">
        <v>45752</v>
      </c>
      <c r="L1778" s="42">
        <f>_xlfn.DAYS(Tabla1[[#This Row],[FECHA FIN ]],Tabla1[[#This Row],[FECHA INICIO]])</f>
        <v>3</v>
      </c>
      <c r="M1778" s="12">
        <v>139.5</v>
      </c>
      <c r="N1778" s="28"/>
      <c r="O1778" s="28">
        <f>(Tabla1[[#This Row],[COSTO FIJO ]]/30)*Tabla1[[#This Row],[TOTAL DIAS PROYECTO]]+(Tabla1[[#This Row],[COSTO TEMPORAL]])</f>
        <v>139.5</v>
      </c>
      <c r="P1778" s="12"/>
      <c r="Q1778" s="12">
        <f>+(Tabla1[[#This Row],[COSTO COCHE]]/30)*Tabla1[[#This Row],[TOTAL DIAS PROYECTO]]</f>
        <v>0</v>
      </c>
      <c r="R1778" s="12">
        <f>+Tabla1[[#This Row],[COSTO TOTAL ALOJAMIENTO]]+Tabla1[[#This Row],[COSTO TOTAL COCHE]]</f>
        <v>139.5</v>
      </c>
      <c r="S1778" s="2" t="s">
        <v>403</v>
      </c>
      <c r="T1778" s="2" t="s">
        <v>44</v>
      </c>
      <c r="U1778" s="14">
        <v>45749</v>
      </c>
      <c r="V1778" s="43">
        <v>45752</v>
      </c>
      <c r="W1778" s="26"/>
      <c r="X1778" s="2"/>
      <c r="Y1778" s="11"/>
      <c r="Z1778" s="2" t="s">
        <v>36</v>
      </c>
      <c r="AA1778" s="13" t="s">
        <v>10362</v>
      </c>
      <c r="AB1778" s="13" t="s">
        <v>10363</v>
      </c>
    </row>
    <row r="1779" spans="1:28" ht="15" customHeight="1">
      <c r="A1779" s="2" t="s">
        <v>9246</v>
      </c>
      <c r="B1779" s="2" t="s">
        <v>28</v>
      </c>
      <c r="C1779" s="11" t="s">
        <v>2578</v>
      </c>
      <c r="D1779" s="2" t="s">
        <v>99</v>
      </c>
      <c r="E1779" s="2" t="s">
        <v>245</v>
      </c>
      <c r="F1779" s="11" t="s">
        <v>1858</v>
      </c>
      <c r="G1779" s="133" t="s">
        <v>1859</v>
      </c>
      <c r="H1779" s="2" t="s">
        <v>2474</v>
      </c>
      <c r="I1779" s="12" t="s">
        <v>249</v>
      </c>
      <c r="J1779" s="41">
        <f>+Tabla1[[#This Row],[FECHA ENTRADA]]</f>
        <v>45764</v>
      </c>
      <c r="K1779" s="22">
        <v>45808</v>
      </c>
      <c r="L1779" s="23">
        <f>_xlfn.DAYS(Tabla1[[#This Row],[FECHA FIN ]],Tabla1[[#This Row],[FECHA INICIO]])</f>
        <v>44</v>
      </c>
      <c r="M1779" s="12"/>
      <c r="N1779" s="20"/>
      <c r="O1779" s="24">
        <f>(Tabla1[[#This Row],[COSTO FIJO ]]/30)*Tabla1[[#This Row],[TOTAL DIAS PROYECTO]]+(Tabla1[[#This Row],[COSTO TEMPORAL]])</f>
        <v>0</v>
      </c>
      <c r="P1779" s="12">
        <v>92.307692307692307</v>
      </c>
      <c r="Q1779" s="12">
        <f>+(Tabla1[[#This Row],[COSTO COCHE]]/30)*Tabla1[[#This Row],[TOTAL DIAS PROYECTO]]</f>
        <v>135.38461538461539</v>
      </c>
      <c r="R1779" s="12">
        <f>+Tabla1[[#This Row],[COSTO TOTAL ALOJAMIENTO]]+Tabla1[[#This Row],[COSTO TOTAL COCHE]]</f>
        <v>135.38461538461539</v>
      </c>
      <c r="S1779" s="2"/>
      <c r="T1779" s="14" t="s">
        <v>35</v>
      </c>
      <c r="U1779" s="14">
        <v>45764</v>
      </c>
      <c r="V1779" s="14"/>
      <c r="W1779" s="2"/>
      <c r="X1779" s="2">
        <v>1</v>
      </c>
      <c r="Y1779" s="11"/>
      <c r="Z1779" s="2" t="s">
        <v>36</v>
      </c>
      <c r="AA1779" s="13" t="s">
        <v>10355</v>
      </c>
      <c r="AB1779" s="13" t="s">
        <v>10356</v>
      </c>
    </row>
    <row r="1780" spans="1:28" ht="15" customHeight="1">
      <c r="A1780" s="2" t="s">
        <v>9476</v>
      </c>
      <c r="B1780" s="2" t="s">
        <v>368</v>
      </c>
      <c r="C1780" s="11" t="s">
        <v>3330</v>
      </c>
      <c r="D1780" s="2" t="s">
        <v>99</v>
      </c>
      <c r="E1780" s="2" t="s">
        <v>2069</v>
      </c>
      <c r="F1780" s="11" t="s">
        <v>2090</v>
      </c>
      <c r="G1780" s="49" t="s">
        <v>2091</v>
      </c>
      <c r="H1780" s="157" t="s">
        <v>2072</v>
      </c>
      <c r="I1780" s="203" t="s">
        <v>2073</v>
      </c>
      <c r="J1780" s="22">
        <f>+Tabla1[[#This Row],[FECHA ENTRADA]]</f>
        <v>45772</v>
      </c>
      <c r="K1780" s="22">
        <v>45821</v>
      </c>
      <c r="L1780" s="23">
        <f>_xlfn.DAYS(Tabla1[[#This Row],[FECHA FIN ]],Tabla1[[#This Row],[FECHA INICIO]])</f>
        <v>49</v>
      </c>
      <c r="M1780" s="12"/>
      <c r="N1780" s="12">
        <f>117.18/4</f>
        <v>29.295000000000002</v>
      </c>
      <c r="O1780" s="24">
        <f>(Tabla1[[#This Row],[COSTO FIJO ]]/30)*Tabla1[[#This Row],[TOTAL DIAS PROYECTO]]+(Tabla1[[#This Row],[COSTO TEMPORAL]])</f>
        <v>47.848500000000001</v>
      </c>
      <c r="P1780" s="12">
        <v>100</v>
      </c>
      <c r="Q1780" s="12">
        <f>+(Tabla1[[#This Row],[COSTO COCHE]]/30)*Tabla1[[#This Row],[TOTAL DIAS PROYECTO]]</f>
        <v>163.33333333333334</v>
      </c>
      <c r="R1780" s="12">
        <f>+Tabla1[[#This Row],[COSTO TOTAL ALOJAMIENTO]]+Tabla1[[#This Row],[COSTO TOTAL COCHE]]</f>
        <v>211.18183333333334</v>
      </c>
      <c r="S1780" s="2" t="s">
        <v>84</v>
      </c>
      <c r="T1780" s="2" t="s">
        <v>528</v>
      </c>
      <c r="U1780" s="14">
        <v>45772</v>
      </c>
      <c r="V1780" s="25">
        <v>45774</v>
      </c>
      <c r="W1780" s="26"/>
      <c r="X1780" s="2"/>
      <c r="Y1780" s="11" t="s">
        <v>1166</v>
      </c>
      <c r="Z1780" s="2" t="s">
        <v>36</v>
      </c>
      <c r="AA1780" s="13" t="e">
        <v>#N/A</v>
      </c>
      <c r="AB1780" s="13" t="e">
        <v>#N/A</v>
      </c>
    </row>
    <row r="1781" spans="1:28" ht="15" customHeight="1">
      <c r="A1781" s="2" t="s">
        <v>9192</v>
      </c>
      <c r="B1781" s="2" t="s">
        <v>368</v>
      </c>
      <c r="C1781" s="11" t="s">
        <v>2387</v>
      </c>
      <c r="D1781" s="2" t="s">
        <v>99</v>
      </c>
      <c r="E1781" s="2" t="s">
        <v>2069</v>
      </c>
      <c r="F1781" s="11" t="s">
        <v>2090</v>
      </c>
      <c r="G1781" s="49" t="s">
        <v>2091</v>
      </c>
      <c r="H1781" s="157" t="s">
        <v>2072</v>
      </c>
      <c r="I1781" s="203" t="s">
        <v>2073</v>
      </c>
      <c r="J1781" s="22">
        <f>+Tabla1[[#This Row],[FECHA ENTRADA]]</f>
        <v>45772</v>
      </c>
      <c r="K1781" s="22">
        <v>45821</v>
      </c>
      <c r="L1781" s="23">
        <f>_xlfn.DAYS(Tabla1[[#This Row],[FECHA FIN ]],Tabla1[[#This Row],[FECHA INICIO]])</f>
        <v>49</v>
      </c>
      <c r="M1781" s="12"/>
      <c r="N1781" s="12">
        <f>117.18/4</f>
        <v>29.295000000000002</v>
      </c>
      <c r="O1781" s="24">
        <f>(Tabla1[[#This Row],[COSTO FIJO ]]/30)*Tabla1[[#This Row],[TOTAL DIAS PROYECTO]]+(Tabla1[[#This Row],[COSTO TEMPORAL]])</f>
        <v>47.848500000000001</v>
      </c>
      <c r="P1781" s="12">
        <v>100</v>
      </c>
      <c r="Q1781" s="12">
        <f>+(Tabla1[[#This Row],[COSTO COCHE]]/30)*Tabla1[[#This Row],[TOTAL DIAS PROYECTO]]</f>
        <v>163.33333333333334</v>
      </c>
      <c r="R1781" s="12">
        <f>+Tabla1[[#This Row],[COSTO TOTAL ALOJAMIENTO]]+Tabla1[[#This Row],[COSTO TOTAL COCHE]]</f>
        <v>211.18183333333334</v>
      </c>
      <c r="S1781" s="2" t="s">
        <v>84</v>
      </c>
      <c r="T1781" s="2" t="s">
        <v>528</v>
      </c>
      <c r="U1781" s="14">
        <v>45772</v>
      </c>
      <c r="V1781" s="25">
        <v>45774</v>
      </c>
      <c r="W1781" s="26"/>
      <c r="X1781" s="2"/>
      <c r="Y1781" s="11" t="s">
        <v>1166</v>
      </c>
      <c r="Z1781" s="2" t="s">
        <v>36</v>
      </c>
      <c r="AA1781" s="13" t="e">
        <v>#N/A</v>
      </c>
      <c r="AB1781" s="13" t="e">
        <v>#N/A</v>
      </c>
    </row>
    <row r="1782" spans="1:28" ht="15" customHeight="1">
      <c r="A1782" s="2" t="s">
        <v>9198</v>
      </c>
      <c r="B1782" s="2" t="s">
        <v>28</v>
      </c>
      <c r="C1782" s="11" t="s">
        <v>2407</v>
      </c>
      <c r="D1782" s="2" t="s">
        <v>99</v>
      </c>
      <c r="E1782" s="2" t="s">
        <v>3335</v>
      </c>
      <c r="F1782" s="11" t="s">
        <v>3336</v>
      </c>
      <c r="G1782" s="21" t="s">
        <v>3337</v>
      </c>
      <c r="H1782" s="157" t="s">
        <v>3338</v>
      </c>
      <c r="I1782" s="158" t="s">
        <v>228</v>
      </c>
      <c r="J1782" s="22">
        <f>+Tabla1[[#This Row],[FECHA ENTRADA]]</f>
        <v>45753</v>
      </c>
      <c r="K1782" s="22">
        <v>45821</v>
      </c>
      <c r="L1782" s="23">
        <f>_xlfn.DAYS(Tabla1[[#This Row],[FECHA FIN ]],Tabla1[[#This Row],[FECHA INICIO]])</f>
        <v>68</v>
      </c>
      <c r="M1782" s="12"/>
      <c r="N1782" s="12"/>
      <c r="O1782" s="24">
        <f>(Tabla1[[#This Row],[COSTO FIJO ]]/30)*Tabla1[[#This Row],[TOTAL DIAS PROYECTO]]+(Tabla1[[#This Row],[COSTO TEMPORAL]])</f>
        <v>0</v>
      </c>
      <c r="P1782" s="12"/>
      <c r="Q1782" s="12">
        <f>+(Tabla1[[#This Row],[COSTO COCHE]]/30)*Tabla1[[#This Row],[TOTAL DIAS PROYECTO]]</f>
        <v>0</v>
      </c>
      <c r="R1782" s="12">
        <f>+Tabla1[[#This Row],[COSTO TOTAL ALOJAMIENTO]]+Tabla1[[#This Row],[COSTO TOTAL COCHE]]</f>
        <v>0</v>
      </c>
      <c r="S1782" s="2"/>
      <c r="T1782" s="14" t="s">
        <v>44</v>
      </c>
      <c r="U1782" s="14">
        <v>45753</v>
      </c>
      <c r="V1782" s="14">
        <v>45776</v>
      </c>
      <c r="W1782" s="2"/>
      <c r="X1782" s="2"/>
      <c r="Y1782" s="11" t="s">
        <v>3339</v>
      </c>
      <c r="Z1782" s="2" t="s">
        <v>36</v>
      </c>
      <c r="AA1782" s="13" t="e">
        <v>#N/A</v>
      </c>
      <c r="AB1782" s="13" t="e">
        <v>#N/A</v>
      </c>
    </row>
    <row r="1783" spans="1:28" ht="15" customHeight="1">
      <c r="A1783" s="2" t="s">
        <v>8880</v>
      </c>
      <c r="B1783" s="2" t="s">
        <v>28</v>
      </c>
      <c r="C1783" s="11" t="s">
        <v>1146</v>
      </c>
      <c r="D1783" s="2" t="s">
        <v>99</v>
      </c>
      <c r="E1783" s="2" t="s">
        <v>55</v>
      </c>
      <c r="F1783" s="11" t="s">
        <v>1618</v>
      </c>
      <c r="G1783" s="49" t="s">
        <v>1619</v>
      </c>
      <c r="H1783" s="2" t="s">
        <v>1967</v>
      </c>
      <c r="I1783" s="12" t="s">
        <v>1968</v>
      </c>
      <c r="J1783" s="22">
        <f>+Tabla1[[#This Row],[FECHA ENTRADA]]</f>
        <v>45698</v>
      </c>
      <c r="K1783" s="22">
        <v>45821</v>
      </c>
      <c r="L1783" s="23">
        <f>_xlfn.DAYS(Tabla1[[#This Row],[FECHA FIN ]],Tabla1[[#This Row],[FECHA INICIO]])</f>
        <v>123</v>
      </c>
      <c r="M1783" s="12"/>
      <c r="N1783" s="12">
        <f>1811.6/17</f>
        <v>106.56470588235294</v>
      </c>
      <c r="O1783" s="24">
        <f>(Tabla1[[#This Row],[COSTO FIJO ]]/30)*Tabla1[[#This Row],[TOTAL DIAS PROYECTO]]+(Tabla1[[#This Row],[COSTO TEMPORAL]])</f>
        <v>436.91529411764708</v>
      </c>
      <c r="P1783" s="12"/>
      <c r="Q1783" s="12">
        <f>+(Tabla1[[#This Row],[COSTO COCHE]]/30)*Tabla1[[#This Row],[TOTAL DIAS PROYECTO]]</f>
        <v>0</v>
      </c>
      <c r="R1783" s="12">
        <f>+Tabla1[[#This Row],[COSTO TOTAL ALOJAMIENTO]]+Tabla1[[#This Row],[COSTO TOTAL COCHE]]</f>
        <v>436.91529411764708</v>
      </c>
      <c r="S1783" s="2"/>
      <c r="T1783" s="2" t="s">
        <v>44</v>
      </c>
      <c r="U1783" s="14">
        <v>45698</v>
      </c>
      <c r="V1783" s="25">
        <v>45700</v>
      </c>
      <c r="W1783" s="26"/>
      <c r="X1783" s="2"/>
      <c r="Y1783" s="11"/>
      <c r="Z1783" s="2" t="s">
        <v>36</v>
      </c>
      <c r="AA1783" s="13" t="s">
        <v>10327</v>
      </c>
      <c r="AB1783" s="13" t="s">
        <v>10328</v>
      </c>
    </row>
    <row r="1784" spans="1:28" ht="15" customHeight="1">
      <c r="A1784" s="2" t="s">
        <v>9478</v>
      </c>
      <c r="B1784" s="2" t="s">
        <v>368</v>
      </c>
      <c r="C1784" s="11" t="s">
        <v>3340</v>
      </c>
      <c r="D1784" s="2" t="s">
        <v>99</v>
      </c>
      <c r="E1784" s="2" t="s">
        <v>422</v>
      </c>
      <c r="F1784" s="11" t="s">
        <v>1983</v>
      </c>
      <c r="G1784" s="11" t="s">
        <v>2067</v>
      </c>
      <c r="H1784" s="2" t="s">
        <v>3266</v>
      </c>
      <c r="I1784" s="10" t="s">
        <v>1435</v>
      </c>
      <c r="J1784" s="22">
        <f>+Tabla1[[#This Row],[FECHA ENTRADA]]</f>
        <v>45792</v>
      </c>
      <c r="K1784" s="8">
        <f>+Tabla1[[#This Row],[FECHA SALIDA]]</f>
        <v>45796</v>
      </c>
      <c r="L1784" s="23">
        <f>_xlfn.DAYS(Tabla1[[#This Row],[FECHA FIN ]],Tabla1[[#This Row],[FECHA INICIO]])</f>
        <v>4</v>
      </c>
      <c r="M1784" s="12"/>
      <c r="N1784" s="12"/>
      <c r="O1784" s="24">
        <f>(Tabla1[[#This Row],[COSTO FIJO ]]/30)*Tabla1[[#This Row],[TOTAL DIAS PROYECTO]]+(Tabla1[[#This Row],[COSTO TEMPORAL]])</f>
        <v>0</v>
      </c>
      <c r="P1784" s="12"/>
      <c r="Q1784" s="12">
        <f>+(Tabla1[[#This Row],[COSTO COCHE]]/30)*Tabla1[[#This Row],[TOTAL DIAS PROYECTO]]</f>
        <v>0</v>
      </c>
      <c r="R1784" s="12">
        <f>+Tabla1[[#This Row],[COSTO TOTAL ALOJAMIENTO]]+Tabla1[[#This Row],[COSTO TOTAL COCHE]]</f>
        <v>0</v>
      </c>
      <c r="S1784" s="2"/>
      <c r="T1784" s="2" t="s">
        <v>44</v>
      </c>
      <c r="U1784" s="14">
        <v>45792</v>
      </c>
      <c r="V1784" s="25">
        <v>45796</v>
      </c>
      <c r="W1784" s="26"/>
      <c r="X1784" s="2"/>
      <c r="Y1784" s="11"/>
      <c r="Z1784" s="2" t="s">
        <v>36</v>
      </c>
      <c r="AA1784" s="13">
        <v>-326.69799999999998</v>
      </c>
      <c r="AB1784" s="13" t="s">
        <v>10373</v>
      </c>
    </row>
    <row r="1785" spans="1:28" ht="15" customHeight="1">
      <c r="A1785" s="2" t="s">
        <v>9479</v>
      </c>
      <c r="B1785" s="2" t="s">
        <v>28</v>
      </c>
      <c r="C1785" s="11" t="s">
        <v>3341</v>
      </c>
      <c r="D1785" s="2" t="s">
        <v>30</v>
      </c>
      <c r="E1785" s="2" t="s">
        <v>985</v>
      </c>
      <c r="F1785" s="11" t="s">
        <v>2213</v>
      </c>
      <c r="G1785" s="46" t="s">
        <v>2133</v>
      </c>
      <c r="H1785" s="2" t="s">
        <v>2134</v>
      </c>
      <c r="I1785" s="12" t="s">
        <v>249</v>
      </c>
      <c r="J1785" s="41">
        <f>+Tabla1[[#This Row],[FECHA ENTRADA]]</f>
        <v>45747</v>
      </c>
      <c r="K1785" s="22">
        <v>45821</v>
      </c>
      <c r="L1785" s="42">
        <f>_xlfn.DAYS(Tabla1[[#This Row],[FECHA FIN ]],Tabla1[[#This Row],[FECHA INICIO]])</f>
        <v>74</v>
      </c>
      <c r="M1785" s="12"/>
      <c r="N1785" s="12"/>
      <c r="O1785" s="28">
        <f>(Tabla1[[#This Row],[COSTO FIJO ]]/30)*Tabla1[[#This Row],[TOTAL DIAS PROYECTO]]+(Tabla1[[#This Row],[COSTO TEMPORAL]])</f>
        <v>0</v>
      </c>
      <c r="P1785" s="12"/>
      <c r="Q1785" s="12">
        <f>+(Tabla1[[#This Row],[COSTO COCHE]]/30)*Tabla1[[#This Row],[TOTAL DIAS PROYECTO]]</f>
        <v>0</v>
      </c>
      <c r="R1785" s="12">
        <f>+Tabla1[[#This Row],[COSTO TOTAL ALOJAMIENTO]]+Tabla1[[#This Row],[COSTO TOTAL COCHE]]</f>
        <v>0</v>
      </c>
      <c r="S1785" s="2" t="s">
        <v>84</v>
      </c>
      <c r="T1785" s="2" t="s">
        <v>528</v>
      </c>
      <c r="U1785" s="14">
        <v>45747</v>
      </c>
      <c r="V1785" s="43">
        <v>45777</v>
      </c>
      <c r="W1785" s="26"/>
      <c r="X1785" s="2"/>
      <c r="Y1785" s="11" t="s">
        <v>1166</v>
      </c>
      <c r="Z1785" s="2" t="s">
        <v>36</v>
      </c>
      <c r="AA1785" s="13" t="s">
        <v>10407</v>
      </c>
      <c r="AB1785" s="13" t="s">
        <v>10408</v>
      </c>
    </row>
    <row r="1786" spans="1:28" ht="15" customHeight="1">
      <c r="A1786" s="2" t="s">
        <v>9480</v>
      </c>
      <c r="B1786" s="2" t="s">
        <v>28</v>
      </c>
      <c r="C1786" s="11" t="s">
        <v>3342</v>
      </c>
      <c r="D1786" s="2" t="s">
        <v>30</v>
      </c>
      <c r="E1786" s="2" t="s">
        <v>985</v>
      </c>
      <c r="F1786" s="11" t="s">
        <v>2213</v>
      </c>
      <c r="G1786" s="46" t="s">
        <v>2133</v>
      </c>
      <c r="H1786" s="2" t="s">
        <v>2134</v>
      </c>
      <c r="I1786" s="12" t="s">
        <v>249</v>
      </c>
      <c r="J1786" s="41">
        <f>+Tabla1[[#This Row],[FECHA ENTRADA]]</f>
        <v>45747</v>
      </c>
      <c r="K1786" s="22">
        <v>45821</v>
      </c>
      <c r="L1786" s="42">
        <f>_xlfn.DAYS(Tabla1[[#This Row],[FECHA FIN ]],Tabla1[[#This Row],[FECHA INICIO]])</f>
        <v>74</v>
      </c>
      <c r="M1786" s="12"/>
      <c r="N1786" s="12"/>
      <c r="O1786" s="28">
        <f>(Tabla1[[#This Row],[COSTO FIJO ]]/30)*Tabla1[[#This Row],[TOTAL DIAS PROYECTO]]+(Tabla1[[#This Row],[COSTO TEMPORAL]])</f>
        <v>0</v>
      </c>
      <c r="P1786" s="12"/>
      <c r="Q1786" s="12">
        <f>+(Tabla1[[#This Row],[COSTO COCHE]]/30)*Tabla1[[#This Row],[TOTAL DIAS PROYECTO]]</f>
        <v>0</v>
      </c>
      <c r="R1786" s="12">
        <f>+Tabla1[[#This Row],[COSTO TOTAL ALOJAMIENTO]]+Tabla1[[#This Row],[COSTO TOTAL COCHE]]</f>
        <v>0</v>
      </c>
      <c r="S1786" s="2" t="s">
        <v>84</v>
      </c>
      <c r="T1786" s="2" t="s">
        <v>528</v>
      </c>
      <c r="U1786" s="14">
        <v>45747</v>
      </c>
      <c r="V1786" s="43">
        <v>45777</v>
      </c>
      <c r="W1786" s="26"/>
      <c r="X1786" s="2"/>
      <c r="Y1786" s="11" t="s">
        <v>1166</v>
      </c>
      <c r="Z1786" s="2" t="s">
        <v>36</v>
      </c>
      <c r="AA1786" s="13" t="s">
        <v>10407</v>
      </c>
      <c r="AB1786" s="13" t="s">
        <v>10408</v>
      </c>
    </row>
    <row r="1787" spans="1:28" ht="15" customHeight="1">
      <c r="A1787" s="2" t="s">
        <v>9298</v>
      </c>
      <c r="B1787" s="2" t="s">
        <v>368</v>
      </c>
      <c r="C1787" s="11" t="s">
        <v>2737</v>
      </c>
      <c r="D1787" s="2" t="s">
        <v>741</v>
      </c>
      <c r="E1787" s="10" t="s">
        <v>79</v>
      </c>
      <c r="F1787" s="11" t="s">
        <v>142</v>
      </c>
      <c r="G1787" s="21" t="s">
        <v>2141</v>
      </c>
      <c r="H1787" s="2" t="s">
        <v>2142</v>
      </c>
      <c r="I1787" s="29" t="s">
        <v>145</v>
      </c>
      <c r="J1787" s="22">
        <f>+Tabla1[[#This Row],[FECHA ENTRADA]]</f>
        <v>45683</v>
      </c>
      <c r="K1787" s="22">
        <v>45821</v>
      </c>
      <c r="L1787" s="23">
        <f>_xlfn.DAYS(Tabla1[[#This Row],[FECHA FIN ]],Tabla1[[#This Row],[FECHA INICIO]])</f>
        <v>138</v>
      </c>
      <c r="M1787" s="12"/>
      <c r="N1787" s="12"/>
      <c r="O1787" s="24">
        <f>(Tabla1[[#This Row],[COSTO FIJO ]]/30)*Tabla1[[#This Row],[TOTAL DIAS PROYECTO]]+(Tabla1[[#This Row],[COSTO TEMPORAL]])</f>
        <v>0</v>
      </c>
      <c r="P1787" s="12"/>
      <c r="Q1787" s="12">
        <f>+(Tabla1[[#This Row],[COSTO COCHE]]/30)*Tabla1[[#This Row],[TOTAL DIAS PROYECTO]]</f>
        <v>0</v>
      </c>
      <c r="R1787" s="12">
        <f>+Tabla1[[#This Row],[COSTO TOTAL ALOJAMIENTO]]+Tabla1[[#This Row],[COSTO TOTAL COCHE]]</f>
        <v>0</v>
      </c>
      <c r="S1787" s="2"/>
      <c r="T1787" s="2" t="s">
        <v>44</v>
      </c>
      <c r="U1787" s="14">
        <v>45683</v>
      </c>
      <c r="V1787" s="43">
        <v>45777</v>
      </c>
      <c r="W1787" s="26"/>
      <c r="X1787" s="2"/>
      <c r="Y1787" s="11">
        <v>124</v>
      </c>
      <c r="Z1787" s="2" t="s">
        <v>36</v>
      </c>
      <c r="AA1787" s="13" t="s">
        <v>10333</v>
      </c>
      <c r="AB1787" s="13" t="s">
        <v>10334</v>
      </c>
    </row>
    <row r="1788" spans="1:28" ht="15" customHeight="1">
      <c r="A1788" s="2" t="s">
        <v>9481</v>
      </c>
      <c r="B1788" s="2" t="s">
        <v>28</v>
      </c>
      <c r="C1788" s="31" t="s">
        <v>3343</v>
      </c>
      <c r="D1788" s="2" t="s">
        <v>30</v>
      </c>
      <c r="E1788" s="2" t="s">
        <v>985</v>
      </c>
      <c r="F1788" s="11" t="s">
        <v>2132</v>
      </c>
      <c r="G1788" s="46" t="s">
        <v>2133</v>
      </c>
      <c r="H1788" s="2" t="s">
        <v>2134</v>
      </c>
      <c r="I1788" s="12" t="s">
        <v>249</v>
      </c>
      <c r="J1788" s="41">
        <f>+Tabla1[[#This Row],[FECHA ENTRADA]]</f>
        <v>45747</v>
      </c>
      <c r="K1788" s="22">
        <v>45821</v>
      </c>
      <c r="L1788" s="42">
        <f>_xlfn.DAYS(Tabla1[[#This Row],[FECHA FIN ]],Tabla1[[#This Row],[FECHA INICIO]])</f>
        <v>74</v>
      </c>
      <c r="M1788" s="12"/>
      <c r="N1788" s="12">
        <f>2212.55/5</f>
        <v>442.51000000000005</v>
      </c>
      <c r="O1788" s="28">
        <f>(Tabla1[[#This Row],[COSTO FIJO ]]/30)*Tabla1[[#This Row],[TOTAL DIAS PROYECTO]]+(Tabla1[[#This Row],[COSTO TEMPORAL]])</f>
        <v>1091.5246666666669</v>
      </c>
      <c r="P1788" s="12"/>
      <c r="Q1788" s="12">
        <f>+(Tabla1[[#This Row],[COSTO COCHE]]/30)*Tabla1[[#This Row],[TOTAL DIAS PROYECTO]]</f>
        <v>0</v>
      </c>
      <c r="R1788" s="12">
        <f>+Tabla1[[#This Row],[COSTO TOTAL ALOJAMIENTO]]+Tabla1[[#This Row],[COSTO TOTAL COCHE]]</f>
        <v>1091.5246666666669</v>
      </c>
      <c r="S1788" s="2" t="s">
        <v>84</v>
      </c>
      <c r="T1788" s="2" t="s">
        <v>528</v>
      </c>
      <c r="U1788" s="14">
        <v>45747</v>
      </c>
      <c r="V1788" s="43">
        <v>45777</v>
      </c>
      <c r="W1788" s="26"/>
      <c r="X1788" s="2"/>
      <c r="Y1788" t="s">
        <v>3344</v>
      </c>
      <c r="Z1788" s="2" t="s">
        <v>36</v>
      </c>
      <c r="AA1788" s="13" t="s">
        <v>10407</v>
      </c>
      <c r="AB1788" s="13" t="s">
        <v>10408</v>
      </c>
    </row>
    <row r="1789" spans="1:28" ht="15" customHeight="1">
      <c r="A1789" s="2" t="s">
        <v>9482</v>
      </c>
      <c r="B1789" s="2" t="s">
        <v>28</v>
      </c>
      <c r="C1789" s="11" t="s">
        <v>3345</v>
      </c>
      <c r="D1789" s="2" t="s">
        <v>30</v>
      </c>
      <c r="E1789" s="2" t="s">
        <v>985</v>
      </c>
      <c r="F1789" s="11" t="s">
        <v>2139</v>
      </c>
      <c r="G1789" s="46" t="s">
        <v>2133</v>
      </c>
      <c r="H1789" s="2" t="s">
        <v>2134</v>
      </c>
      <c r="I1789" s="12" t="s">
        <v>249</v>
      </c>
      <c r="J1789" s="41">
        <f>+Tabla1[[#This Row],[FECHA ENTRADA]]</f>
        <v>45747</v>
      </c>
      <c r="K1789" s="22">
        <v>45821</v>
      </c>
      <c r="L1789" s="42">
        <f>_xlfn.DAYS(Tabla1[[#This Row],[FECHA FIN ]],Tabla1[[#This Row],[FECHA INICIO]])</f>
        <v>74</v>
      </c>
      <c r="M1789" s="12"/>
      <c r="N1789" s="24"/>
      <c r="O1789" s="28">
        <f>(Tabla1[[#This Row],[COSTO FIJO ]]/30)*Tabla1[[#This Row],[TOTAL DIAS PROYECTO]]+(Tabla1[[#This Row],[COSTO TEMPORAL]])</f>
        <v>0</v>
      </c>
      <c r="P1789" s="12"/>
      <c r="Q1789" s="12">
        <f>+(Tabla1[[#This Row],[COSTO COCHE]]/30)*Tabla1[[#This Row],[TOTAL DIAS PROYECTO]]</f>
        <v>0</v>
      </c>
      <c r="R1789" s="12">
        <f>+Tabla1[[#This Row],[COSTO TOTAL ALOJAMIENTO]]+Tabla1[[#This Row],[COSTO TOTAL COCHE]]</f>
        <v>0</v>
      </c>
      <c r="S1789" s="2" t="s">
        <v>84</v>
      </c>
      <c r="T1789" s="2" t="s">
        <v>528</v>
      </c>
      <c r="U1789" s="14">
        <v>45747</v>
      </c>
      <c r="V1789" s="43">
        <v>45777</v>
      </c>
      <c r="W1789" s="26"/>
      <c r="X1789" s="2"/>
      <c r="Y1789" s="11" t="s">
        <v>1166</v>
      </c>
      <c r="Z1789" s="2" t="s">
        <v>36</v>
      </c>
      <c r="AA1789" s="13" t="s">
        <v>10407</v>
      </c>
      <c r="AB1789" s="13" t="s">
        <v>10408</v>
      </c>
    </row>
    <row r="1790" spans="1:28" ht="15" customHeight="1">
      <c r="A1790" s="2" t="s">
        <v>9447</v>
      </c>
      <c r="B1790" s="2" t="s">
        <v>28</v>
      </c>
      <c r="C1790" s="104" t="s">
        <v>3218</v>
      </c>
      <c r="D1790" s="2" t="s">
        <v>30</v>
      </c>
      <c r="E1790" s="2" t="s">
        <v>985</v>
      </c>
      <c r="F1790" s="11" t="s">
        <v>2516</v>
      </c>
      <c r="G1790" s="21" t="s">
        <v>2133</v>
      </c>
      <c r="H1790" s="2" t="s">
        <v>2134</v>
      </c>
      <c r="I1790" s="12" t="s">
        <v>249</v>
      </c>
      <c r="J1790" s="41">
        <f>+Tabla1[[#This Row],[FECHA ENTRADA]]</f>
        <v>45747</v>
      </c>
      <c r="K1790" s="22">
        <v>45821</v>
      </c>
      <c r="L1790" s="42">
        <f>_xlfn.DAYS(Tabla1[[#This Row],[FECHA FIN ]],Tabla1[[#This Row],[FECHA INICIO]])</f>
        <v>74</v>
      </c>
      <c r="M1790" s="12"/>
      <c r="N1790" s="24"/>
      <c r="O1790" s="28">
        <f>(Tabla1[[#This Row],[COSTO FIJO ]]/30)*Tabla1[[#This Row],[TOTAL DIAS PROYECTO]]+(Tabla1[[#This Row],[COSTO TEMPORAL]])</f>
        <v>0</v>
      </c>
      <c r="P1790" s="12"/>
      <c r="Q1790" s="12">
        <f>+(Tabla1[[#This Row],[COSTO COCHE]]/30)*Tabla1[[#This Row],[TOTAL DIAS PROYECTO]]</f>
        <v>0</v>
      </c>
      <c r="R1790" s="12">
        <f>+Tabla1[[#This Row],[COSTO TOTAL ALOJAMIENTO]]+Tabla1[[#This Row],[COSTO TOTAL COCHE]]</f>
        <v>0</v>
      </c>
      <c r="S1790" s="2" t="s">
        <v>403</v>
      </c>
      <c r="T1790" s="2" t="s">
        <v>528</v>
      </c>
      <c r="U1790" s="14">
        <v>45747</v>
      </c>
      <c r="V1790" s="43">
        <v>45777</v>
      </c>
      <c r="W1790" s="26"/>
      <c r="X1790" s="2"/>
      <c r="Y1790" s="11" t="s">
        <v>1166</v>
      </c>
      <c r="Z1790" s="2" t="s">
        <v>36</v>
      </c>
      <c r="AA1790" s="13" t="s">
        <v>10407</v>
      </c>
      <c r="AB1790" s="13" t="s">
        <v>10408</v>
      </c>
    </row>
    <row r="1791" spans="1:28" ht="15" customHeight="1">
      <c r="A1791" s="2" t="s">
        <v>9320</v>
      </c>
      <c r="B1791" s="2" t="s">
        <v>28</v>
      </c>
      <c r="C1791" s="104" t="s">
        <v>2814</v>
      </c>
      <c r="D1791" s="2" t="s">
        <v>99</v>
      </c>
      <c r="E1791" s="2" t="s">
        <v>2075</v>
      </c>
      <c r="F1791" s="11" t="s">
        <v>2076</v>
      </c>
      <c r="G1791" s="46" t="s">
        <v>2077</v>
      </c>
      <c r="H1791" s="2" t="s">
        <v>2078</v>
      </c>
      <c r="I1791" s="10" t="s">
        <v>2079</v>
      </c>
      <c r="J1791" s="22">
        <f>+Tabla1[[#This Row],[FECHA ENTRADA]]</f>
        <v>45734</v>
      </c>
      <c r="K1791" s="22">
        <v>45821</v>
      </c>
      <c r="L1791" s="23">
        <f>_xlfn.DAYS(Tabla1[[#This Row],[FECHA FIN ]],Tabla1[[#This Row],[FECHA INICIO]])</f>
        <v>87</v>
      </c>
      <c r="M1791" s="12"/>
      <c r="N1791" s="12">
        <v>970.62</v>
      </c>
      <c r="O1791" s="24">
        <f>(Tabla1[[#This Row],[COSTO FIJO ]]/30)*Tabla1[[#This Row],[TOTAL DIAS PROYECTO]]+(Tabla1[[#This Row],[COSTO TEMPORAL]])</f>
        <v>2814.7979999999998</v>
      </c>
      <c r="P1791" s="12"/>
      <c r="Q1791" s="12">
        <f>+(Tabla1[[#This Row],[COSTO COCHE]]/30)*Tabla1[[#This Row],[TOTAL DIAS PROYECTO]]</f>
        <v>0</v>
      </c>
      <c r="R1791" s="12">
        <f>+Tabla1[[#This Row],[COSTO TOTAL ALOJAMIENTO]]+Tabla1[[#This Row],[COSTO TOTAL COCHE]]</f>
        <v>2814.7979999999998</v>
      </c>
      <c r="S1791" s="2"/>
      <c r="T1791" s="2" t="s">
        <v>528</v>
      </c>
      <c r="U1791" s="14">
        <v>45734</v>
      </c>
      <c r="V1791" s="25">
        <v>45777</v>
      </c>
      <c r="W1791" s="26"/>
      <c r="X1791" s="2"/>
      <c r="Y1791" t="s">
        <v>3346</v>
      </c>
      <c r="Z1791" s="2" t="s">
        <v>36</v>
      </c>
      <c r="AA1791" s="13" t="e">
        <v>#N/A</v>
      </c>
      <c r="AB1791" s="13" t="e">
        <v>#N/A</v>
      </c>
    </row>
    <row r="1792" spans="1:28" ht="15" customHeight="1">
      <c r="A1792" s="2" t="s">
        <v>9421</v>
      </c>
      <c r="B1792" s="2" t="s">
        <v>28</v>
      </c>
      <c r="C1792" s="104" t="s">
        <v>3115</v>
      </c>
      <c r="D1792" s="2" t="s">
        <v>30</v>
      </c>
      <c r="E1792" s="2" t="s">
        <v>985</v>
      </c>
      <c r="F1792" s="11" t="s">
        <v>2516</v>
      </c>
      <c r="G1792" s="21" t="s">
        <v>2133</v>
      </c>
      <c r="H1792" s="2" t="s">
        <v>2134</v>
      </c>
      <c r="I1792" s="12" t="s">
        <v>249</v>
      </c>
      <c r="J1792" s="41">
        <f>+Tabla1[[#This Row],[FECHA ENTRADA]]</f>
        <v>45747</v>
      </c>
      <c r="K1792" s="22">
        <v>45821</v>
      </c>
      <c r="L1792" s="42">
        <f>_xlfn.DAYS(Tabla1[[#This Row],[FECHA FIN ]],Tabla1[[#This Row],[FECHA INICIO]])</f>
        <v>74</v>
      </c>
      <c r="M1792" s="12"/>
      <c r="N1792" s="24"/>
      <c r="O1792" s="28">
        <f>(Tabla1[[#This Row],[COSTO FIJO ]]/30)*Tabla1[[#This Row],[TOTAL DIAS PROYECTO]]+(Tabla1[[#This Row],[COSTO TEMPORAL]])</f>
        <v>0</v>
      </c>
      <c r="P1792" s="12"/>
      <c r="Q1792" s="12">
        <f>+(Tabla1[[#This Row],[COSTO COCHE]]/30)*Tabla1[[#This Row],[TOTAL DIAS PROYECTO]]</f>
        <v>0</v>
      </c>
      <c r="R1792" s="12">
        <f>+Tabla1[[#This Row],[COSTO TOTAL ALOJAMIENTO]]+Tabla1[[#This Row],[COSTO TOTAL COCHE]]</f>
        <v>0</v>
      </c>
      <c r="S1792" s="2" t="s">
        <v>403</v>
      </c>
      <c r="T1792" s="2" t="s">
        <v>528</v>
      </c>
      <c r="U1792" s="14">
        <v>45747</v>
      </c>
      <c r="V1792" s="43">
        <v>45777</v>
      </c>
      <c r="W1792" s="26"/>
      <c r="X1792" s="2"/>
      <c r="Y1792" s="11" t="s">
        <v>1166</v>
      </c>
      <c r="Z1792" s="2" t="s">
        <v>36</v>
      </c>
      <c r="AA1792" s="13" t="s">
        <v>10407</v>
      </c>
      <c r="AB1792" s="13" t="s">
        <v>10408</v>
      </c>
    </row>
    <row r="1793" spans="1:28" ht="15" customHeight="1">
      <c r="A1793" s="2" t="s">
        <v>9474</v>
      </c>
      <c r="B1793" s="2" t="s">
        <v>28</v>
      </c>
      <c r="C1793" s="11" t="s">
        <v>3324</v>
      </c>
      <c r="D1793" s="2" t="s">
        <v>30</v>
      </c>
      <c r="E1793" s="2" t="s">
        <v>359</v>
      </c>
      <c r="F1793" s="11" t="s">
        <v>3347</v>
      </c>
      <c r="G1793" s="46" t="s">
        <v>3348</v>
      </c>
      <c r="H1793" s="157" t="s">
        <v>3327</v>
      </c>
      <c r="I1793" s="12" t="s">
        <v>96</v>
      </c>
      <c r="J1793" s="41">
        <f>+Tabla1[[#This Row],[FECHA ENTRADA]]</f>
        <v>45710</v>
      </c>
      <c r="K1793" s="22">
        <v>45870</v>
      </c>
      <c r="L1793" s="42">
        <f>_xlfn.DAYS(Tabla1[[#This Row],[FECHA FIN ]],Tabla1[[#This Row],[FECHA INICIO]])</f>
        <v>160</v>
      </c>
      <c r="M1793" s="12"/>
      <c r="N1793" s="24"/>
      <c r="O1793" s="28">
        <f>(Tabla1[[#This Row],[COSTO FIJO ]]/30)*Tabla1[[#This Row],[TOTAL DIAS PROYECTO]]+(Tabla1[[#This Row],[COSTO TEMPORAL]])</f>
        <v>0</v>
      </c>
      <c r="P1793" s="12"/>
      <c r="Q1793" s="12">
        <f>+(Tabla1[[#This Row],[COSTO COCHE]]/30)*Tabla1[[#This Row],[TOTAL DIAS PROYECTO]]</f>
        <v>0</v>
      </c>
      <c r="R1793" s="12">
        <f>+Tabla1[[#This Row],[COSTO TOTAL ALOJAMIENTO]]+Tabla1[[#This Row],[COSTO TOTAL COCHE]]</f>
        <v>0</v>
      </c>
      <c r="S1793" s="2" t="s">
        <v>84</v>
      </c>
      <c r="T1793" s="2" t="s">
        <v>44</v>
      </c>
      <c r="U1793" s="14">
        <v>45710</v>
      </c>
      <c r="V1793" s="25">
        <v>45870</v>
      </c>
      <c r="W1793" s="26"/>
      <c r="X1793" s="2"/>
      <c r="Y1793" s="11"/>
      <c r="Z1793" s="2" t="s">
        <v>36</v>
      </c>
      <c r="AA1793" s="13" t="s">
        <v>10367</v>
      </c>
      <c r="AB1793" s="13">
        <v>3899424</v>
      </c>
    </row>
    <row r="1794" spans="1:28" ht="15" customHeight="1">
      <c r="A1794" s="2" t="s">
        <v>9483</v>
      </c>
      <c r="B1794" s="2" t="s">
        <v>368</v>
      </c>
      <c r="C1794" s="31" t="s">
        <v>3349</v>
      </c>
      <c r="D1794" s="2" t="s">
        <v>741</v>
      </c>
      <c r="E1794" s="10" t="s">
        <v>79</v>
      </c>
      <c r="F1794" s="11" t="s">
        <v>142</v>
      </c>
      <c r="G1794" s="21" t="s">
        <v>2141</v>
      </c>
      <c r="H1794" s="157" t="s">
        <v>2142</v>
      </c>
      <c r="I1794" s="203" t="s">
        <v>145</v>
      </c>
      <c r="J1794" s="22">
        <f>+Tabla1[[#This Row],[FECHA ENTRADA]]</f>
        <v>45686</v>
      </c>
      <c r="K1794" s="22">
        <v>45821</v>
      </c>
      <c r="L1794" s="23">
        <f>_xlfn.DAYS(Tabla1[[#This Row],[FECHA FIN ]],Tabla1[[#This Row],[FECHA INICIO]])</f>
        <v>135</v>
      </c>
      <c r="M1794" s="12"/>
      <c r="N1794" s="24">
        <f>6098.81/9</f>
        <v>677.64555555555557</v>
      </c>
      <c r="O1794" s="24">
        <f>(Tabla1[[#This Row],[COSTO FIJO ]]/30)*Tabla1[[#This Row],[TOTAL DIAS PROYECTO]]+(Tabla1[[#This Row],[COSTO TEMPORAL]])</f>
        <v>3049.4050000000002</v>
      </c>
      <c r="P1794" s="12"/>
      <c r="Q1794" s="12">
        <f>+(Tabla1[[#This Row],[COSTO COCHE]]/30)*Tabla1[[#This Row],[TOTAL DIAS PROYECTO]]</f>
        <v>0</v>
      </c>
      <c r="R1794" s="12">
        <f>+Tabla1[[#This Row],[COSTO TOTAL ALOJAMIENTO]]+Tabla1[[#This Row],[COSTO TOTAL COCHE]]</f>
        <v>3049.4050000000002</v>
      </c>
      <c r="S1794" s="2"/>
      <c r="T1794" s="2" t="s">
        <v>44</v>
      </c>
      <c r="U1794" s="14">
        <v>45686</v>
      </c>
      <c r="V1794" s="43">
        <v>45777</v>
      </c>
      <c r="W1794" s="26"/>
      <c r="X1794" s="2"/>
      <c r="Y1794" s="11">
        <v>424</v>
      </c>
      <c r="Z1794" s="2" t="s">
        <v>36</v>
      </c>
      <c r="AA1794" s="13" t="s">
        <v>10333</v>
      </c>
      <c r="AB1794" s="13" t="s">
        <v>10334</v>
      </c>
    </row>
    <row r="1795" spans="1:28" ht="15" customHeight="1">
      <c r="A1795" s="2" t="s">
        <v>8642</v>
      </c>
      <c r="B1795" s="2" t="s">
        <v>368</v>
      </c>
      <c r="C1795" s="11" t="s">
        <v>3350</v>
      </c>
      <c r="D1795" s="2" t="s">
        <v>99</v>
      </c>
      <c r="E1795" s="2" t="s">
        <v>422</v>
      </c>
      <c r="F1795" s="11" t="s">
        <v>1983</v>
      </c>
      <c r="G1795" s="11" t="s">
        <v>2067</v>
      </c>
      <c r="H1795" s="157" t="s">
        <v>3266</v>
      </c>
      <c r="I1795" s="203" t="s">
        <v>1435</v>
      </c>
      <c r="J1795" s="22">
        <f>+Tabla1[[#This Row],[FECHA ENTRADA]]</f>
        <v>45792</v>
      </c>
      <c r="K1795" s="8">
        <f>+Tabla1[[#This Row],[FECHA SALIDA]]</f>
        <v>45796</v>
      </c>
      <c r="L1795" s="23">
        <f>_xlfn.DAYS(Tabla1[[#This Row],[FECHA FIN ]],Tabla1[[#This Row],[FECHA INICIO]])</f>
        <v>4</v>
      </c>
      <c r="M1795" s="12"/>
      <c r="N1795" s="12"/>
      <c r="O1795" s="24">
        <f>(Tabla1[[#This Row],[COSTO FIJO ]]/30)*Tabla1[[#This Row],[TOTAL DIAS PROYECTO]]+(Tabla1[[#This Row],[COSTO TEMPORAL]])</f>
        <v>0</v>
      </c>
      <c r="P1795" s="12"/>
      <c r="Q1795" s="12">
        <f>+(Tabla1[[#This Row],[COSTO COCHE]]/30)*Tabla1[[#This Row],[TOTAL DIAS PROYECTO]]</f>
        <v>0</v>
      </c>
      <c r="R1795" s="12">
        <f>+Tabla1[[#This Row],[COSTO TOTAL ALOJAMIENTO]]+Tabla1[[#This Row],[COSTO TOTAL COCHE]]</f>
        <v>0</v>
      </c>
      <c r="S1795" s="2"/>
      <c r="T1795" s="2" t="s">
        <v>44</v>
      </c>
      <c r="U1795" s="14">
        <v>45792</v>
      </c>
      <c r="V1795" s="25">
        <v>45796</v>
      </c>
      <c r="W1795" s="26"/>
      <c r="X1795" s="2"/>
      <c r="Y1795" s="11"/>
      <c r="Z1795" s="2" t="s">
        <v>36</v>
      </c>
      <c r="AA1795" s="13">
        <v>-326.69799999999998</v>
      </c>
      <c r="AB1795" s="13" t="s">
        <v>10373</v>
      </c>
    </row>
    <row r="1796" spans="1:28" ht="15" customHeight="1">
      <c r="A1796" s="2" t="s">
        <v>9484</v>
      </c>
      <c r="B1796" s="2" t="s">
        <v>28</v>
      </c>
      <c r="C1796" s="11" t="s">
        <v>3351</v>
      </c>
      <c r="D1796" s="2" t="s">
        <v>30</v>
      </c>
      <c r="E1796" s="2" t="s">
        <v>985</v>
      </c>
      <c r="F1796" s="11" t="s">
        <v>2516</v>
      </c>
      <c r="G1796" s="21" t="s">
        <v>2133</v>
      </c>
      <c r="H1796" s="2" t="s">
        <v>2134</v>
      </c>
      <c r="I1796" s="12" t="s">
        <v>249</v>
      </c>
      <c r="J1796" s="41">
        <f>+Tabla1[[#This Row],[FECHA ENTRADA]]</f>
        <v>45747</v>
      </c>
      <c r="K1796" s="22">
        <v>45821</v>
      </c>
      <c r="L1796" s="42">
        <f>_xlfn.DAYS(Tabla1[[#This Row],[FECHA FIN ]],Tabla1[[#This Row],[FECHA INICIO]])</f>
        <v>74</v>
      </c>
      <c r="M1796" s="12"/>
      <c r="N1796" s="24"/>
      <c r="O1796" s="28">
        <f>(Tabla1[[#This Row],[COSTO FIJO ]]/30)*Tabla1[[#This Row],[TOTAL DIAS PROYECTO]]+(Tabla1[[#This Row],[COSTO TEMPORAL]])</f>
        <v>0</v>
      </c>
      <c r="P1796" s="12"/>
      <c r="Q1796" s="12">
        <f>+(Tabla1[[#This Row],[COSTO COCHE]]/30)*Tabla1[[#This Row],[TOTAL DIAS PROYECTO]]</f>
        <v>0</v>
      </c>
      <c r="R1796" s="12">
        <f>+Tabla1[[#This Row],[COSTO TOTAL ALOJAMIENTO]]+Tabla1[[#This Row],[COSTO TOTAL COCHE]]</f>
        <v>0</v>
      </c>
      <c r="S1796" s="2" t="s">
        <v>403</v>
      </c>
      <c r="T1796" s="2" t="s">
        <v>528</v>
      </c>
      <c r="U1796" s="14">
        <v>45747</v>
      </c>
      <c r="V1796" s="43">
        <v>45777</v>
      </c>
      <c r="W1796" s="26"/>
      <c r="X1796" s="2"/>
      <c r="Y1796" s="11" t="s">
        <v>1166</v>
      </c>
      <c r="Z1796" s="2" t="s">
        <v>36</v>
      </c>
      <c r="AA1796" s="13" t="s">
        <v>10407</v>
      </c>
      <c r="AB1796" s="13" t="s">
        <v>10408</v>
      </c>
    </row>
    <row r="1797" spans="1:28" ht="15" customHeight="1">
      <c r="A1797" s="2" t="s">
        <v>9485</v>
      </c>
      <c r="B1797" s="2" t="s">
        <v>28</v>
      </c>
      <c r="C1797" s="11" t="s">
        <v>3352</v>
      </c>
      <c r="D1797" s="2" t="s">
        <v>30</v>
      </c>
      <c r="E1797" s="2" t="s">
        <v>985</v>
      </c>
      <c r="F1797" s="11" t="s">
        <v>2139</v>
      </c>
      <c r="G1797" s="21" t="s">
        <v>2133</v>
      </c>
      <c r="H1797" s="2" t="s">
        <v>2134</v>
      </c>
      <c r="I1797" s="12" t="s">
        <v>249</v>
      </c>
      <c r="J1797" s="41">
        <f>+Tabla1[[#This Row],[FECHA ENTRADA]]</f>
        <v>45747</v>
      </c>
      <c r="K1797" s="22">
        <v>45821</v>
      </c>
      <c r="L1797" s="42">
        <f>_xlfn.DAYS(Tabla1[[#This Row],[FECHA FIN ]],Tabla1[[#This Row],[FECHA INICIO]])</f>
        <v>74</v>
      </c>
      <c r="M1797" s="12"/>
      <c r="N1797" s="24"/>
      <c r="O1797" s="28">
        <f>(Tabla1[[#This Row],[COSTO FIJO ]]/30)*Tabla1[[#This Row],[TOTAL DIAS PROYECTO]]+(Tabla1[[#This Row],[COSTO TEMPORAL]])</f>
        <v>0</v>
      </c>
      <c r="P1797" s="12"/>
      <c r="Q1797" s="12">
        <f>+(Tabla1[[#This Row],[COSTO COCHE]]/30)*Tabla1[[#This Row],[TOTAL DIAS PROYECTO]]</f>
        <v>0</v>
      </c>
      <c r="R1797" s="12">
        <f>+Tabla1[[#This Row],[COSTO TOTAL ALOJAMIENTO]]+Tabla1[[#This Row],[COSTO TOTAL COCHE]]</f>
        <v>0</v>
      </c>
      <c r="S1797" s="2" t="s">
        <v>84</v>
      </c>
      <c r="T1797" s="2" t="s">
        <v>528</v>
      </c>
      <c r="U1797" s="14">
        <v>45747</v>
      </c>
      <c r="V1797" s="43">
        <v>45777</v>
      </c>
      <c r="W1797" s="26"/>
      <c r="X1797" s="2"/>
      <c r="Y1797" s="11" t="s">
        <v>1166</v>
      </c>
      <c r="Z1797" s="2" t="s">
        <v>36</v>
      </c>
      <c r="AA1797" s="13" t="s">
        <v>10407</v>
      </c>
      <c r="AB1797" s="13" t="s">
        <v>10408</v>
      </c>
    </row>
    <row r="1798" spans="1:28" ht="15" customHeight="1">
      <c r="A1798" s="2" t="s">
        <v>9217</v>
      </c>
      <c r="B1798" s="2" t="s">
        <v>368</v>
      </c>
      <c r="C1798" s="52" t="s">
        <v>2477</v>
      </c>
      <c r="D1798" s="2" t="s">
        <v>30</v>
      </c>
      <c r="E1798" s="2" t="s">
        <v>985</v>
      </c>
      <c r="F1798" s="11" t="s">
        <v>2135</v>
      </c>
      <c r="G1798" s="21" t="s">
        <v>987</v>
      </c>
      <c r="H1798" s="2" t="s">
        <v>2478</v>
      </c>
      <c r="I1798" s="12" t="s">
        <v>989</v>
      </c>
      <c r="J1798" s="41">
        <f>+Tabla1[[#This Row],[FECHA ENTRADA]]</f>
        <v>45669</v>
      </c>
      <c r="K1798" s="22">
        <v>45821</v>
      </c>
      <c r="L1798" s="42">
        <f>_xlfn.DAYS(Tabla1[[#This Row],[FECHA FIN ]],Tabla1[[#This Row],[FECHA INICIO]])</f>
        <v>152</v>
      </c>
      <c r="M1798" s="12"/>
      <c r="N1798" s="12">
        <v>216.66666666666666</v>
      </c>
      <c r="O1798" s="28">
        <f>(Tabla1[[#This Row],[COSTO FIJO ]]/30)*Tabla1[[#This Row],[TOTAL DIAS PROYECTO]]+(Tabla1[[#This Row],[COSTO TEMPORAL]])</f>
        <v>1097.7777777777778</v>
      </c>
      <c r="P1798" s="12"/>
      <c r="Q1798" s="12">
        <f>+(Tabla1[[#This Row],[COSTO COCHE]]/30)*Tabla1[[#This Row],[TOTAL DIAS PROYECTO]]</f>
        <v>0</v>
      </c>
      <c r="R1798" s="12">
        <f>+Tabla1[[#This Row],[COSTO TOTAL ALOJAMIENTO]]+Tabla1[[#This Row],[COSTO TOTAL COCHE]]</f>
        <v>1097.7777777777778</v>
      </c>
      <c r="S1798" s="2"/>
      <c r="T1798" s="2" t="s">
        <v>44</v>
      </c>
      <c r="U1798" s="14">
        <v>45669</v>
      </c>
      <c r="V1798" s="43">
        <v>45777</v>
      </c>
      <c r="W1798" s="26">
        <v>650</v>
      </c>
      <c r="X1798" s="2">
        <v>30</v>
      </c>
      <c r="Y1798" s="11" t="s">
        <v>3353</v>
      </c>
      <c r="Z1798" s="2" t="s">
        <v>36</v>
      </c>
      <c r="AA1798" s="13" t="s">
        <v>10407</v>
      </c>
      <c r="AB1798" s="13" t="s">
        <v>10408</v>
      </c>
    </row>
    <row r="1799" spans="1:28" ht="15" customHeight="1">
      <c r="A1799" s="2" t="s">
        <v>9486</v>
      </c>
      <c r="B1799" s="2" t="s">
        <v>368</v>
      </c>
      <c r="C1799" s="11" t="s">
        <v>3354</v>
      </c>
      <c r="D1799" s="2" t="s">
        <v>99</v>
      </c>
      <c r="E1799" s="2" t="s">
        <v>422</v>
      </c>
      <c r="F1799" s="11" t="s">
        <v>1983</v>
      </c>
      <c r="G1799" s="11" t="s">
        <v>2067</v>
      </c>
      <c r="H1799" s="2" t="s">
        <v>3266</v>
      </c>
      <c r="I1799" s="10" t="s">
        <v>1435</v>
      </c>
      <c r="J1799" s="22">
        <f>+Tabla1[[#This Row],[FECHA ENTRADA]]</f>
        <v>45792</v>
      </c>
      <c r="K1799" s="8">
        <f>+Tabla1[[#This Row],[FECHA SALIDA]]</f>
        <v>45796</v>
      </c>
      <c r="L1799" s="23">
        <f>_xlfn.DAYS(Tabla1[[#This Row],[FECHA FIN ]],Tabla1[[#This Row],[FECHA INICIO]])</f>
        <v>4</v>
      </c>
      <c r="M1799" s="12"/>
      <c r="N1799" s="24"/>
      <c r="O1799" s="24">
        <f>(Tabla1[[#This Row],[COSTO FIJO ]]/30)*Tabla1[[#This Row],[TOTAL DIAS PROYECTO]]+(Tabla1[[#This Row],[COSTO TEMPORAL]])</f>
        <v>0</v>
      </c>
      <c r="P1799" s="12"/>
      <c r="Q1799" s="12">
        <f>+(Tabla1[[#This Row],[COSTO COCHE]]/30)*Tabla1[[#This Row],[TOTAL DIAS PROYECTO]]</f>
        <v>0</v>
      </c>
      <c r="R1799" s="12">
        <f>+Tabla1[[#This Row],[COSTO TOTAL ALOJAMIENTO]]+Tabla1[[#This Row],[COSTO TOTAL COCHE]]</f>
        <v>0</v>
      </c>
      <c r="S1799" s="2"/>
      <c r="T1799" s="2" t="s">
        <v>44</v>
      </c>
      <c r="U1799" s="14">
        <v>45792</v>
      </c>
      <c r="V1799" s="25">
        <v>45796</v>
      </c>
      <c r="W1799" s="26"/>
      <c r="X1799" s="2"/>
      <c r="Y1799" s="11"/>
      <c r="Z1799" s="2" t="s">
        <v>36</v>
      </c>
      <c r="AA1799" s="13">
        <v>-326.69799999999998</v>
      </c>
      <c r="AB1799" s="13" t="s">
        <v>10373</v>
      </c>
    </row>
    <row r="1800" spans="1:28" ht="15" customHeight="1">
      <c r="A1800" s="2" t="s">
        <v>9242</v>
      </c>
      <c r="B1800" s="2" t="s">
        <v>28</v>
      </c>
      <c r="C1800" s="31" t="s">
        <v>2560</v>
      </c>
      <c r="D1800" s="2" t="s">
        <v>78</v>
      </c>
      <c r="E1800" s="2" t="s">
        <v>79</v>
      </c>
      <c r="F1800" s="11" t="s">
        <v>142</v>
      </c>
      <c r="G1800" s="11" t="s">
        <v>143</v>
      </c>
      <c r="H1800" s="2" t="s">
        <v>2199</v>
      </c>
      <c r="I1800" s="12" t="s">
        <v>2473</v>
      </c>
      <c r="J1800" s="41">
        <f>+Tabla1[[#This Row],[FECHA ENTRADA]]</f>
        <v>45739</v>
      </c>
      <c r="K1800" s="22">
        <v>45821</v>
      </c>
      <c r="L1800" s="42">
        <f>_xlfn.DAYS(Tabla1[[#This Row],[FECHA FIN ]],Tabla1[[#This Row],[FECHA INICIO]])</f>
        <v>82</v>
      </c>
      <c r="M1800" s="12"/>
      <c r="N1800" s="24">
        <v>604.44000000000005</v>
      </c>
      <c r="O1800" s="28">
        <f>(Tabla1[[#This Row],[COSTO FIJO ]]/30)*Tabla1[[#This Row],[TOTAL DIAS PROYECTO]]+(Tabla1[[#This Row],[COSTO TEMPORAL]])</f>
        <v>1652.1360000000002</v>
      </c>
      <c r="P1800" s="12"/>
      <c r="Q1800" s="12">
        <f>+(Tabla1[[#This Row],[COSTO COCHE]]/30)*Tabla1[[#This Row],[TOTAL DIAS PROYECTO]]</f>
        <v>0</v>
      </c>
      <c r="R1800" s="12">
        <f>+Tabla1[[#This Row],[COSTO TOTAL ALOJAMIENTO]]+Tabla1[[#This Row],[COSTO TOTAL COCHE]]</f>
        <v>1652.1360000000002</v>
      </c>
      <c r="S1800" s="2"/>
      <c r="T1800" s="2" t="s">
        <v>44</v>
      </c>
      <c r="U1800" s="14">
        <v>45739</v>
      </c>
      <c r="V1800" s="43">
        <v>45777</v>
      </c>
      <c r="W1800" s="26"/>
      <c r="X1800" s="2"/>
      <c r="Y1800" s="11">
        <v>2018</v>
      </c>
      <c r="Z1800" s="2" t="s">
        <v>36</v>
      </c>
      <c r="AA1800" s="13" t="s">
        <v>10333</v>
      </c>
      <c r="AB1800" s="13" t="s">
        <v>10334</v>
      </c>
    </row>
    <row r="1801" spans="1:28" ht="15" customHeight="1">
      <c r="A1801" s="2" t="s">
        <v>9487</v>
      </c>
      <c r="B1801" s="2" t="s">
        <v>28</v>
      </c>
      <c r="C1801" s="31" t="s">
        <v>3355</v>
      </c>
      <c r="D1801" s="2" t="s">
        <v>99</v>
      </c>
      <c r="E1801" s="2" t="s">
        <v>2075</v>
      </c>
      <c r="F1801" s="11" t="s">
        <v>2076</v>
      </c>
      <c r="G1801" s="46" t="s">
        <v>2077</v>
      </c>
      <c r="H1801" s="2" t="s">
        <v>1869</v>
      </c>
      <c r="I1801" s="116" t="s">
        <v>3356</v>
      </c>
      <c r="J1801" s="22">
        <f>+Tabla1[[#This Row],[FECHA ENTRADA]]</f>
        <v>45734</v>
      </c>
      <c r="K1801" s="22">
        <v>45821</v>
      </c>
      <c r="L1801" s="23">
        <f>_xlfn.DAYS(Tabla1[[#This Row],[FECHA FIN ]],Tabla1[[#This Row],[FECHA INICIO]])</f>
        <v>87</v>
      </c>
      <c r="M1801" s="12"/>
      <c r="N1801" s="24"/>
      <c r="O1801" s="24">
        <f>(Tabla1[[#This Row],[COSTO FIJO ]]/30)*Tabla1[[#This Row],[TOTAL DIAS PROYECTO]]+(Tabla1[[#This Row],[COSTO TEMPORAL]])</f>
        <v>0</v>
      </c>
      <c r="P1801" s="12"/>
      <c r="Q1801" s="12">
        <f>+(Tabla1[[#This Row],[COSTO COCHE]]/30)*Tabla1[[#This Row],[TOTAL DIAS PROYECTO]]</f>
        <v>0</v>
      </c>
      <c r="R1801" s="12">
        <f>+Tabla1[[#This Row],[COSTO TOTAL ALOJAMIENTO]]+Tabla1[[#This Row],[COSTO TOTAL COCHE]]</f>
        <v>0</v>
      </c>
      <c r="S1801" s="2"/>
      <c r="T1801" s="2" t="s">
        <v>528</v>
      </c>
      <c r="U1801" s="14">
        <v>45734</v>
      </c>
      <c r="V1801" s="25">
        <v>45777</v>
      </c>
      <c r="W1801" s="26"/>
      <c r="X1801" s="2"/>
      <c r="Y1801" t="s">
        <v>3346</v>
      </c>
      <c r="Z1801" s="2" t="s">
        <v>36</v>
      </c>
      <c r="AA1801" s="13" t="e">
        <v>#N/A</v>
      </c>
      <c r="AB1801" s="13" t="e">
        <v>#N/A</v>
      </c>
    </row>
    <row r="1802" spans="1:28" ht="15" customHeight="1">
      <c r="A1802" s="2" t="s">
        <v>8642</v>
      </c>
      <c r="B1802" s="2" t="s">
        <v>28</v>
      </c>
      <c r="C1802" s="11" t="s">
        <v>3357</v>
      </c>
      <c r="D1802" s="2" t="s">
        <v>30</v>
      </c>
      <c r="E1802" s="2" t="s">
        <v>985</v>
      </c>
      <c r="F1802" s="11" t="s">
        <v>2132</v>
      </c>
      <c r="G1802" s="21" t="s">
        <v>2133</v>
      </c>
      <c r="H1802" s="2" t="s">
        <v>2134</v>
      </c>
      <c r="I1802" s="12" t="s">
        <v>249</v>
      </c>
      <c r="J1802" s="41">
        <f>+Tabla1[[#This Row],[FECHA ENTRADA]]</f>
        <v>45747</v>
      </c>
      <c r="K1802" s="22">
        <v>45821</v>
      </c>
      <c r="L1802" s="42">
        <f>_xlfn.DAYS(Tabla1[[#This Row],[FECHA FIN ]],Tabla1[[#This Row],[FECHA INICIO]])</f>
        <v>74</v>
      </c>
      <c r="M1802" s="12"/>
      <c r="N1802" s="24"/>
      <c r="O1802" s="28">
        <f>(Tabla1[[#This Row],[COSTO FIJO ]]/30)*Tabla1[[#This Row],[TOTAL DIAS PROYECTO]]+(Tabla1[[#This Row],[COSTO TEMPORAL]])</f>
        <v>0</v>
      </c>
      <c r="P1802" s="12"/>
      <c r="Q1802" s="12">
        <f>+(Tabla1[[#This Row],[COSTO COCHE]]/30)*Tabla1[[#This Row],[TOTAL DIAS PROYECTO]]</f>
        <v>0</v>
      </c>
      <c r="R1802" s="12">
        <f>+Tabla1[[#This Row],[COSTO TOTAL ALOJAMIENTO]]+Tabla1[[#This Row],[COSTO TOTAL COCHE]]</f>
        <v>0</v>
      </c>
      <c r="S1802" s="2" t="s">
        <v>84</v>
      </c>
      <c r="T1802" s="2" t="s">
        <v>528</v>
      </c>
      <c r="U1802" s="14">
        <v>45747</v>
      </c>
      <c r="V1802" s="43">
        <v>45777</v>
      </c>
      <c r="W1802" s="26"/>
      <c r="X1802" s="2"/>
      <c r="Y1802" s="11" t="s">
        <v>1166</v>
      </c>
      <c r="Z1802" s="2" t="s">
        <v>36</v>
      </c>
      <c r="AA1802" s="13" t="s">
        <v>10407</v>
      </c>
      <c r="AB1802" s="13" t="s">
        <v>10408</v>
      </c>
    </row>
    <row r="1803" spans="1:28" ht="15" customHeight="1">
      <c r="A1803" s="2" t="s">
        <v>9488</v>
      </c>
      <c r="B1803" s="2" t="s">
        <v>28</v>
      </c>
      <c r="C1803" s="11" t="s">
        <v>3358</v>
      </c>
      <c r="D1803" s="2" t="s">
        <v>30</v>
      </c>
      <c r="E1803" s="2" t="s">
        <v>985</v>
      </c>
      <c r="F1803" s="11" t="s">
        <v>2132</v>
      </c>
      <c r="G1803" s="21" t="s">
        <v>2133</v>
      </c>
      <c r="H1803" s="2" t="s">
        <v>2134</v>
      </c>
      <c r="I1803" s="12" t="s">
        <v>249</v>
      </c>
      <c r="J1803" s="41">
        <f>+Tabla1[[#This Row],[FECHA ENTRADA]]</f>
        <v>45747</v>
      </c>
      <c r="K1803" s="22">
        <v>45821</v>
      </c>
      <c r="L1803" s="42">
        <f>_xlfn.DAYS(Tabla1[[#This Row],[FECHA FIN ]],Tabla1[[#This Row],[FECHA INICIO]])</f>
        <v>74</v>
      </c>
      <c r="M1803" s="12"/>
      <c r="N1803" s="24"/>
      <c r="O1803" s="28">
        <f>(Tabla1[[#This Row],[COSTO FIJO ]]/30)*Tabla1[[#This Row],[TOTAL DIAS PROYECTO]]+(Tabla1[[#This Row],[COSTO TEMPORAL]])</f>
        <v>0</v>
      </c>
      <c r="P1803" s="12"/>
      <c r="Q1803" s="12">
        <f>+(Tabla1[[#This Row],[COSTO COCHE]]/30)*Tabla1[[#This Row],[TOTAL DIAS PROYECTO]]</f>
        <v>0</v>
      </c>
      <c r="R1803" s="12">
        <f>+Tabla1[[#This Row],[COSTO TOTAL ALOJAMIENTO]]+Tabla1[[#This Row],[COSTO TOTAL COCHE]]</f>
        <v>0</v>
      </c>
      <c r="S1803" s="2" t="s">
        <v>84</v>
      </c>
      <c r="T1803" s="2" t="s">
        <v>528</v>
      </c>
      <c r="U1803" s="14">
        <v>45747</v>
      </c>
      <c r="V1803" s="43">
        <v>45777</v>
      </c>
      <c r="W1803" s="26"/>
      <c r="X1803" s="2"/>
      <c r="Y1803" s="11" t="s">
        <v>1166</v>
      </c>
      <c r="Z1803" s="2" t="s">
        <v>36</v>
      </c>
      <c r="AA1803" s="13" t="s">
        <v>10407</v>
      </c>
      <c r="AB1803" s="13" t="s">
        <v>10408</v>
      </c>
    </row>
    <row r="1804" spans="1:28" ht="15" customHeight="1">
      <c r="A1804" s="2" t="s">
        <v>8638</v>
      </c>
      <c r="B1804" s="2" t="s">
        <v>28</v>
      </c>
      <c r="C1804" s="11" t="s">
        <v>2998</v>
      </c>
      <c r="D1804" s="2" t="s">
        <v>30</v>
      </c>
      <c r="E1804" s="2" t="s">
        <v>985</v>
      </c>
      <c r="F1804" s="11" t="s">
        <v>2516</v>
      </c>
      <c r="G1804" s="21" t="s">
        <v>2133</v>
      </c>
      <c r="H1804" s="2" t="s">
        <v>2134</v>
      </c>
      <c r="I1804" s="12" t="s">
        <v>249</v>
      </c>
      <c r="J1804" s="41">
        <f>+Tabla1[[#This Row],[FECHA ENTRADA]]</f>
        <v>45747</v>
      </c>
      <c r="K1804" s="22">
        <v>45821</v>
      </c>
      <c r="L1804" s="42">
        <f>_xlfn.DAYS(Tabla1[[#This Row],[FECHA FIN ]],Tabla1[[#This Row],[FECHA INICIO]])</f>
        <v>74</v>
      </c>
      <c r="M1804" s="12"/>
      <c r="N1804" s="24"/>
      <c r="O1804" s="28">
        <f>(Tabla1[[#This Row],[COSTO FIJO ]]/30)*Tabla1[[#This Row],[TOTAL DIAS PROYECTO]]+(Tabla1[[#This Row],[COSTO TEMPORAL]])</f>
        <v>0</v>
      </c>
      <c r="P1804" s="12"/>
      <c r="Q1804" s="12">
        <f>+(Tabla1[[#This Row],[COSTO COCHE]]/30)*Tabla1[[#This Row],[TOTAL DIAS PROYECTO]]</f>
        <v>0</v>
      </c>
      <c r="R1804" s="12">
        <f>+Tabla1[[#This Row],[COSTO TOTAL ALOJAMIENTO]]+Tabla1[[#This Row],[COSTO TOTAL COCHE]]</f>
        <v>0</v>
      </c>
      <c r="S1804" s="2" t="s">
        <v>403</v>
      </c>
      <c r="T1804" s="2" t="s">
        <v>528</v>
      </c>
      <c r="U1804" s="14">
        <v>45747</v>
      </c>
      <c r="V1804" s="43">
        <v>45777</v>
      </c>
      <c r="W1804" s="26"/>
      <c r="X1804" s="2"/>
      <c r="Y1804" s="11" t="s">
        <v>1166</v>
      </c>
      <c r="Z1804" s="2" t="s">
        <v>36</v>
      </c>
      <c r="AA1804" s="13" t="s">
        <v>10407</v>
      </c>
      <c r="AB1804" s="13" t="s">
        <v>10408</v>
      </c>
    </row>
    <row r="1805" spans="1:28" ht="15" customHeight="1">
      <c r="A1805" s="2" t="s">
        <v>9147</v>
      </c>
      <c r="B1805" s="2" t="s">
        <v>28</v>
      </c>
      <c r="C1805" s="11" t="s">
        <v>2212</v>
      </c>
      <c r="D1805" s="2" t="s">
        <v>30</v>
      </c>
      <c r="E1805" s="2" t="s">
        <v>985</v>
      </c>
      <c r="F1805" s="11" t="s">
        <v>3359</v>
      </c>
      <c r="G1805" s="21" t="s">
        <v>2133</v>
      </c>
      <c r="H1805" s="2" t="s">
        <v>2134</v>
      </c>
      <c r="I1805" s="12" t="s">
        <v>249</v>
      </c>
      <c r="J1805" s="41">
        <f>+Tabla1[[#This Row],[FECHA ENTRADA]]</f>
        <v>45778</v>
      </c>
      <c r="K1805" s="22">
        <v>45821</v>
      </c>
      <c r="L1805" s="23">
        <f>_xlfn.DAYS(Tabla1[[#This Row],[FECHA FIN ]],Tabla1[[#This Row],[FECHA INICIO]])</f>
        <v>43</v>
      </c>
      <c r="M1805" s="12"/>
      <c r="N1805" s="12"/>
      <c r="O1805" s="24">
        <f>(Tabla1[[#This Row],[COSTO FIJO ]]/30)*Tabla1[[#This Row],[TOTAL DIAS PROYECTO]]+(Tabla1[[#This Row],[COSTO TEMPORAL]])</f>
        <v>0</v>
      </c>
      <c r="P1805" s="12">
        <v>70.588235294117652</v>
      </c>
      <c r="Q1805" s="12">
        <f>+(Tabla1[[#This Row],[COSTO COCHE]]/30)*Tabla1[[#This Row],[TOTAL DIAS PROYECTO]]</f>
        <v>101.1764705882353</v>
      </c>
      <c r="R1805" s="12">
        <f>+Tabla1[[#This Row],[COSTO TOTAL ALOJAMIENTO]]+Tabla1[[#This Row],[COSTO TOTAL COCHE]]</f>
        <v>101.1764705882353</v>
      </c>
      <c r="S1805" s="2"/>
      <c r="T1805" s="2" t="s">
        <v>528</v>
      </c>
      <c r="U1805" s="14">
        <v>45778</v>
      </c>
      <c r="V1805" s="25">
        <v>45809</v>
      </c>
      <c r="W1805" s="26"/>
      <c r="X1805" s="2"/>
      <c r="Y1805" s="11"/>
      <c r="Z1805" s="2" t="s">
        <v>36</v>
      </c>
      <c r="AA1805" s="13" t="s">
        <v>10407</v>
      </c>
      <c r="AB1805" s="13" t="s">
        <v>10408</v>
      </c>
    </row>
    <row r="1806" spans="1:28" ht="15" customHeight="1">
      <c r="A1806" s="2" t="s">
        <v>9153</v>
      </c>
      <c r="B1806" s="2" t="s">
        <v>28</v>
      </c>
      <c r="C1806" s="11" t="s">
        <v>2245</v>
      </c>
      <c r="D1806" s="2" t="s">
        <v>30</v>
      </c>
      <c r="E1806" s="2" t="s">
        <v>985</v>
      </c>
      <c r="F1806" s="11" t="s">
        <v>3359</v>
      </c>
      <c r="G1806" s="21" t="s">
        <v>2133</v>
      </c>
      <c r="H1806" s="157" t="s">
        <v>2134</v>
      </c>
      <c r="I1806" s="158" t="s">
        <v>249</v>
      </c>
      <c r="J1806" s="41">
        <f>+Tabla1[[#This Row],[FECHA ENTRADA]]</f>
        <v>45778</v>
      </c>
      <c r="K1806" s="22">
        <v>45821</v>
      </c>
      <c r="L1806" s="23">
        <f>_xlfn.DAYS(Tabla1[[#This Row],[FECHA FIN ]],Tabla1[[#This Row],[FECHA INICIO]])</f>
        <v>43</v>
      </c>
      <c r="M1806" s="12"/>
      <c r="N1806" s="12"/>
      <c r="O1806" s="24">
        <f>(Tabla1[[#This Row],[COSTO FIJO ]]/30)*Tabla1[[#This Row],[TOTAL DIAS PROYECTO]]+(Tabla1[[#This Row],[COSTO TEMPORAL]])</f>
        <v>0</v>
      </c>
      <c r="P1806" s="12">
        <v>70.588235294117652</v>
      </c>
      <c r="Q1806" s="12">
        <f>+(Tabla1[[#This Row],[COSTO COCHE]]/30)*Tabla1[[#This Row],[TOTAL DIAS PROYECTO]]</f>
        <v>101.1764705882353</v>
      </c>
      <c r="R1806" s="12">
        <f>+Tabla1[[#This Row],[COSTO TOTAL ALOJAMIENTO]]+Tabla1[[#This Row],[COSTO TOTAL COCHE]]</f>
        <v>101.1764705882353</v>
      </c>
      <c r="S1806" s="2"/>
      <c r="T1806" s="2" t="s">
        <v>528</v>
      </c>
      <c r="U1806" s="14">
        <v>45778</v>
      </c>
      <c r="V1806" s="25">
        <v>45809</v>
      </c>
      <c r="W1806" s="26"/>
      <c r="X1806" s="2"/>
      <c r="Y1806" s="11"/>
      <c r="Z1806" s="2" t="s">
        <v>36</v>
      </c>
      <c r="AA1806" s="13" t="s">
        <v>10407</v>
      </c>
      <c r="AB1806" s="13" t="s">
        <v>10408</v>
      </c>
    </row>
    <row r="1807" spans="1:28" ht="15" customHeight="1">
      <c r="A1807" s="2" t="s">
        <v>9479</v>
      </c>
      <c r="B1807" s="2" t="s">
        <v>28</v>
      </c>
      <c r="C1807" s="104" t="s">
        <v>3341</v>
      </c>
      <c r="D1807" s="2" t="s">
        <v>30</v>
      </c>
      <c r="E1807" s="2" t="s">
        <v>985</v>
      </c>
      <c r="F1807" s="11" t="s">
        <v>3359</v>
      </c>
      <c r="G1807" s="21" t="s">
        <v>2133</v>
      </c>
      <c r="H1807" s="157" t="s">
        <v>2134</v>
      </c>
      <c r="I1807" s="158" t="s">
        <v>249</v>
      </c>
      <c r="J1807" s="41">
        <f>+Tabla1[[#This Row],[FECHA ENTRADA]]</f>
        <v>45778</v>
      </c>
      <c r="K1807" s="22">
        <v>45821</v>
      </c>
      <c r="L1807" s="23">
        <f>_xlfn.DAYS(Tabla1[[#This Row],[FECHA FIN ]],Tabla1[[#This Row],[FECHA INICIO]])</f>
        <v>43</v>
      </c>
      <c r="M1807" s="12"/>
      <c r="N1807" s="12"/>
      <c r="O1807" s="24">
        <f>(Tabla1[[#This Row],[COSTO FIJO ]]/30)*Tabla1[[#This Row],[TOTAL DIAS PROYECTO]]+(Tabla1[[#This Row],[COSTO TEMPORAL]])</f>
        <v>0</v>
      </c>
      <c r="P1807" s="12">
        <v>70.588235294117652</v>
      </c>
      <c r="Q1807" s="12">
        <f>+(Tabla1[[#This Row],[COSTO COCHE]]/30)*Tabla1[[#This Row],[TOTAL DIAS PROYECTO]]</f>
        <v>101.1764705882353</v>
      </c>
      <c r="R1807" s="12">
        <f>+Tabla1[[#This Row],[COSTO TOTAL ALOJAMIENTO]]+Tabla1[[#This Row],[COSTO TOTAL COCHE]]</f>
        <v>101.1764705882353</v>
      </c>
      <c r="S1807" s="2"/>
      <c r="T1807" s="2" t="s">
        <v>528</v>
      </c>
      <c r="U1807" s="14">
        <v>45778</v>
      </c>
      <c r="V1807" s="25">
        <v>45809</v>
      </c>
      <c r="W1807" s="26">
        <v>600</v>
      </c>
      <c r="X1807" s="2"/>
      <c r="Y1807" s="160" t="s">
        <v>3360</v>
      </c>
      <c r="Z1807" s="2" t="s">
        <v>36</v>
      </c>
      <c r="AA1807" s="13" t="s">
        <v>10407</v>
      </c>
      <c r="AB1807" s="13" t="s">
        <v>10408</v>
      </c>
    </row>
    <row r="1808" spans="1:28" ht="15" customHeight="1">
      <c r="A1808" s="2" t="s">
        <v>9147</v>
      </c>
      <c r="B1808" s="2" t="s">
        <v>28</v>
      </c>
      <c r="C1808" s="104" t="s">
        <v>2212</v>
      </c>
      <c r="D1808" s="2" t="s">
        <v>30</v>
      </c>
      <c r="E1808" s="2" t="s">
        <v>985</v>
      </c>
      <c r="F1808" s="11" t="s">
        <v>2178</v>
      </c>
      <c r="G1808" s="46" t="s">
        <v>2179</v>
      </c>
      <c r="H1808" s="2" t="s">
        <v>2134</v>
      </c>
      <c r="I1808" s="12" t="s">
        <v>249</v>
      </c>
      <c r="J1808" s="41">
        <f>+Tabla1[[#This Row],[FECHA ENTRADA]]</f>
        <v>45776</v>
      </c>
      <c r="K1808" s="22">
        <v>45821</v>
      </c>
      <c r="L1808" s="23">
        <f>_xlfn.DAYS(Tabla1[[#This Row],[FECHA FIN ]],Tabla1[[#This Row],[FECHA INICIO]])</f>
        <v>45</v>
      </c>
      <c r="M1808" s="12"/>
      <c r="N1808" s="12"/>
      <c r="O1808" s="24">
        <f>(Tabla1[[#This Row],[COSTO FIJO ]]/30)*Tabla1[[#This Row],[TOTAL DIAS PROYECTO]]+(Tabla1[[#This Row],[COSTO TEMPORAL]])</f>
        <v>0</v>
      </c>
      <c r="P1808" s="12"/>
      <c r="Q1808" s="12">
        <f>+(Tabla1[[#This Row],[COSTO COCHE]]/30)*Tabla1[[#This Row],[TOTAL DIAS PROYECTO]]</f>
        <v>0</v>
      </c>
      <c r="R1808" s="12">
        <f>+Tabla1[[#This Row],[COSTO TOTAL ALOJAMIENTO]]+Tabla1[[#This Row],[COSTO TOTAL COCHE]]</f>
        <v>0</v>
      </c>
      <c r="S1808" s="2"/>
      <c r="T1808" s="2" t="s">
        <v>528</v>
      </c>
      <c r="U1808" s="14">
        <v>45776</v>
      </c>
      <c r="V1808" s="25">
        <v>45778</v>
      </c>
      <c r="W1808" s="26"/>
      <c r="X1808" s="2"/>
      <c r="Y1808" s="11" t="s">
        <v>1166</v>
      </c>
      <c r="Z1808" s="2" t="s">
        <v>36</v>
      </c>
      <c r="AA1808" s="13" t="s">
        <v>10407</v>
      </c>
      <c r="AB1808" s="13" t="s">
        <v>10408</v>
      </c>
    </row>
    <row r="1809" spans="1:28" ht="15" customHeight="1">
      <c r="A1809" s="2" t="s">
        <v>9153</v>
      </c>
      <c r="B1809" s="2" t="s">
        <v>28</v>
      </c>
      <c r="C1809" s="104" t="s">
        <v>2245</v>
      </c>
      <c r="D1809" s="2" t="s">
        <v>30</v>
      </c>
      <c r="E1809" s="2" t="s">
        <v>985</v>
      </c>
      <c r="F1809" s="11" t="s">
        <v>2178</v>
      </c>
      <c r="G1809" s="46" t="s">
        <v>2179</v>
      </c>
      <c r="H1809" s="2" t="s">
        <v>2134</v>
      </c>
      <c r="I1809" s="12" t="s">
        <v>249</v>
      </c>
      <c r="J1809" s="41">
        <f>+Tabla1[[#This Row],[FECHA ENTRADA]]</f>
        <v>45776</v>
      </c>
      <c r="K1809" s="22">
        <v>45821</v>
      </c>
      <c r="L1809" s="23">
        <f>_xlfn.DAYS(Tabla1[[#This Row],[FECHA FIN ]],Tabla1[[#This Row],[FECHA INICIO]])</f>
        <v>45</v>
      </c>
      <c r="M1809" s="12"/>
      <c r="N1809" s="12"/>
      <c r="O1809" s="24">
        <f>(Tabla1[[#This Row],[COSTO FIJO ]]/30)*Tabla1[[#This Row],[TOTAL DIAS PROYECTO]]+(Tabla1[[#This Row],[COSTO TEMPORAL]])</f>
        <v>0</v>
      </c>
      <c r="P1809" s="12"/>
      <c r="Q1809" s="12">
        <f>+(Tabla1[[#This Row],[COSTO COCHE]]/30)*Tabla1[[#This Row],[TOTAL DIAS PROYECTO]]</f>
        <v>0</v>
      </c>
      <c r="R1809" s="12">
        <f>+Tabla1[[#This Row],[COSTO TOTAL ALOJAMIENTO]]+Tabla1[[#This Row],[COSTO TOTAL COCHE]]</f>
        <v>0</v>
      </c>
      <c r="S1809" s="2"/>
      <c r="T1809" s="2" t="s">
        <v>528</v>
      </c>
      <c r="U1809" s="14">
        <v>45776</v>
      </c>
      <c r="V1809" s="25">
        <v>45778</v>
      </c>
      <c r="W1809" s="26"/>
      <c r="X1809" s="2"/>
      <c r="Y1809" s="11" t="s">
        <v>1166</v>
      </c>
      <c r="Z1809" s="2" t="s">
        <v>36</v>
      </c>
      <c r="AA1809" s="13" t="s">
        <v>10407</v>
      </c>
      <c r="AB1809" s="13" t="s">
        <v>10408</v>
      </c>
    </row>
    <row r="1810" spans="1:28" ht="15" customHeight="1">
      <c r="A1810" s="2" t="s">
        <v>9377</v>
      </c>
      <c r="B1810" s="2" t="s">
        <v>28</v>
      </c>
      <c r="C1810" s="182" t="s">
        <v>2977</v>
      </c>
      <c r="D1810" s="2" t="s">
        <v>99</v>
      </c>
      <c r="E1810" s="2" t="s">
        <v>55</v>
      </c>
      <c r="F1810" s="11" t="s">
        <v>1618</v>
      </c>
      <c r="G1810" s="46" t="s">
        <v>1619</v>
      </c>
      <c r="H1810" s="2" t="s">
        <v>1709</v>
      </c>
      <c r="I1810" s="12" t="s">
        <v>236</v>
      </c>
      <c r="J1810" s="41">
        <f>+Tabla1[[#This Row],[FECHA ENTRADA]]</f>
        <v>45720</v>
      </c>
      <c r="K1810" s="22">
        <v>45821</v>
      </c>
      <c r="L1810" s="42">
        <f>_xlfn.DAYS(Tabla1[[#This Row],[FECHA FIN ]],Tabla1[[#This Row],[FECHA INICIO]])</f>
        <v>101</v>
      </c>
      <c r="M1810" s="12"/>
      <c r="N1810" s="28"/>
      <c r="O1810" s="28">
        <f>(Tabla1[[#This Row],[COSTO FIJO ]]/30)*Tabla1[[#This Row],[TOTAL DIAS PROYECTO]]+(Tabla1[[#This Row],[COSTO TEMPORAL]])</f>
        <v>0</v>
      </c>
      <c r="P1810" s="12"/>
      <c r="Q1810" s="12">
        <f>+(Tabla1[[#This Row],[COSTO COCHE]]/30)*Tabla1[[#This Row],[TOTAL DIAS PROYECTO]]</f>
        <v>0</v>
      </c>
      <c r="R1810" s="12">
        <f>+Tabla1[[#This Row],[COSTO TOTAL ALOJAMIENTO]]+Tabla1[[#This Row],[COSTO TOTAL COCHE]]</f>
        <v>0</v>
      </c>
      <c r="S1810" s="2"/>
      <c r="T1810" s="2" t="s">
        <v>44</v>
      </c>
      <c r="U1810" s="14">
        <v>45720</v>
      </c>
      <c r="V1810" s="43">
        <v>45724</v>
      </c>
      <c r="W1810" s="26"/>
      <c r="X1810" s="2"/>
      <c r="Y1810" s="11"/>
      <c r="Z1810" s="2" t="s">
        <v>36</v>
      </c>
      <c r="AA1810" s="13" t="s">
        <v>10327</v>
      </c>
      <c r="AB1810" s="13" t="s">
        <v>10328</v>
      </c>
    </row>
    <row r="1811" spans="1:28" ht="15" customHeight="1">
      <c r="A1811" s="2" t="s">
        <v>9479</v>
      </c>
      <c r="B1811" s="2" t="s">
        <v>28</v>
      </c>
      <c r="C1811" s="104" t="s">
        <v>3341</v>
      </c>
      <c r="D1811" s="2" t="s">
        <v>30</v>
      </c>
      <c r="E1811" s="2" t="s">
        <v>985</v>
      </c>
      <c r="F1811" s="11" t="s">
        <v>2178</v>
      </c>
      <c r="G1811" s="46" t="s">
        <v>2179</v>
      </c>
      <c r="H1811" s="2" t="s">
        <v>2134</v>
      </c>
      <c r="I1811" s="12" t="s">
        <v>249</v>
      </c>
      <c r="J1811" s="41">
        <f>+Tabla1[[#This Row],[FECHA ENTRADA]]</f>
        <v>45777</v>
      </c>
      <c r="K1811" s="22">
        <v>45821</v>
      </c>
      <c r="L1811" s="23">
        <f>_xlfn.DAYS(Tabla1[[#This Row],[FECHA FIN ]],Tabla1[[#This Row],[FECHA INICIO]])</f>
        <v>44</v>
      </c>
      <c r="M1811" s="12"/>
      <c r="N1811" s="12"/>
      <c r="O1811" s="24">
        <f>(Tabla1[[#This Row],[COSTO FIJO ]]/30)*Tabla1[[#This Row],[TOTAL DIAS PROYECTO]]+(Tabla1[[#This Row],[COSTO TEMPORAL]])</f>
        <v>0</v>
      </c>
      <c r="P1811" s="12"/>
      <c r="Q1811" s="12">
        <f>+(Tabla1[[#This Row],[COSTO COCHE]]/30)*Tabla1[[#This Row],[TOTAL DIAS PROYECTO]]</f>
        <v>0</v>
      </c>
      <c r="R1811" s="12">
        <f>+Tabla1[[#This Row],[COSTO TOTAL ALOJAMIENTO]]+Tabla1[[#This Row],[COSTO TOTAL COCHE]]</f>
        <v>0</v>
      </c>
      <c r="S1811" s="2"/>
      <c r="T1811" s="2" t="s">
        <v>528</v>
      </c>
      <c r="U1811" s="14">
        <v>45777</v>
      </c>
      <c r="V1811" s="25">
        <v>45778</v>
      </c>
      <c r="W1811" s="26"/>
      <c r="X1811" s="2"/>
      <c r="Y1811" s="11" t="s">
        <v>1166</v>
      </c>
      <c r="Z1811" s="2" t="s">
        <v>36</v>
      </c>
      <c r="AA1811" s="13" t="s">
        <v>10407</v>
      </c>
      <c r="AB1811" s="13" t="s">
        <v>10408</v>
      </c>
    </row>
    <row r="1812" spans="1:28" ht="15" customHeight="1">
      <c r="A1812" s="2" t="s">
        <v>9186</v>
      </c>
      <c r="B1812" s="2" t="s">
        <v>368</v>
      </c>
      <c r="C1812" s="11" t="s">
        <v>2361</v>
      </c>
      <c r="D1812" s="2" t="s">
        <v>30</v>
      </c>
      <c r="E1812" s="2" t="s">
        <v>31</v>
      </c>
      <c r="F1812" s="11" t="s">
        <v>3361</v>
      </c>
      <c r="G1812" s="21" t="s">
        <v>3362</v>
      </c>
      <c r="H1812" s="2" t="s">
        <v>3363</v>
      </c>
      <c r="I1812" s="10" t="s">
        <v>3364</v>
      </c>
      <c r="J1812" s="22">
        <f>+Tabla1[[#This Row],[FECHA ENTRADA]]</f>
        <v>45768</v>
      </c>
      <c r="K1812" s="22">
        <v>45821</v>
      </c>
      <c r="L1812" s="23">
        <f>_xlfn.DAYS(Tabla1[[#This Row],[FECHA FIN ]],Tabla1[[#This Row],[FECHA INICIO]])</f>
        <v>53</v>
      </c>
      <c r="M1812" s="12"/>
      <c r="N1812" s="12">
        <f>502.74/2</f>
        <v>251.37</v>
      </c>
      <c r="O1812" s="24">
        <f>(Tabla1[[#This Row],[COSTO FIJO ]]/30)*Tabla1[[#This Row],[TOTAL DIAS PROYECTO]]+(Tabla1[[#This Row],[COSTO TEMPORAL]])</f>
        <v>444.08699999999999</v>
      </c>
      <c r="P1812" s="12"/>
      <c r="Q1812" s="12">
        <f>+(Tabla1[[#This Row],[COSTO COCHE]]/30)*Tabla1[[#This Row],[TOTAL DIAS PROYECTO]]</f>
        <v>0</v>
      </c>
      <c r="R1812" s="12">
        <f>+Tabla1[[#This Row],[COSTO TOTAL ALOJAMIENTO]]+Tabla1[[#This Row],[COSTO TOTAL COCHE]]</f>
        <v>444.08699999999999</v>
      </c>
      <c r="S1812" s="2" t="s">
        <v>84</v>
      </c>
      <c r="T1812" s="2" t="s">
        <v>44</v>
      </c>
      <c r="U1812" s="14">
        <v>45768</v>
      </c>
      <c r="V1812" s="79">
        <v>45778</v>
      </c>
      <c r="W1812" s="26"/>
      <c r="X1812" s="2"/>
      <c r="Y1812" s="11"/>
      <c r="Z1812" s="2" t="s">
        <v>36</v>
      </c>
      <c r="AA1812" s="13" t="s">
        <v>10323</v>
      </c>
      <c r="AB1812" s="13" t="s">
        <v>10324</v>
      </c>
    </row>
    <row r="1813" spans="1:28" ht="15" customHeight="1">
      <c r="A1813" s="2" t="s">
        <v>9182</v>
      </c>
      <c r="B1813" s="2" t="s">
        <v>28</v>
      </c>
      <c r="C1813" s="11" t="s">
        <v>2343</v>
      </c>
      <c r="D1813" s="2" t="s">
        <v>30</v>
      </c>
      <c r="E1813" s="2" t="s">
        <v>245</v>
      </c>
      <c r="F1813" s="11" t="s">
        <v>1021</v>
      </c>
      <c r="G1813" s="49" t="s">
        <v>1022</v>
      </c>
      <c r="H1813" s="2" t="s">
        <v>2211</v>
      </c>
      <c r="I1813" s="12" t="s">
        <v>249</v>
      </c>
      <c r="J1813" s="41">
        <f>+Tabla1[[#This Row],[FECHA ENTRADA]]</f>
        <v>45764</v>
      </c>
      <c r="K1813" s="22">
        <v>45777</v>
      </c>
      <c r="L1813" s="23">
        <f>_xlfn.DAYS(Tabla1[[#This Row],[FECHA FIN ]],Tabla1[[#This Row],[FECHA INICIO]])</f>
        <v>13</v>
      </c>
      <c r="M1813" s="20"/>
      <c r="N1813" s="28">
        <v>597.5</v>
      </c>
      <c r="O1813" s="24">
        <f>(Tabla1[[#This Row],[COSTO FIJO ]]/30)*Tabla1[[#This Row],[TOTAL DIAS PROYECTO]]+(Tabla1[[#This Row],[COSTO TEMPORAL]])</f>
        <v>258.91666666666669</v>
      </c>
      <c r="P1813" s="12">
        <v>92.307692307692307</v>
      </c>
      <c r="Q1813" s="12">
        <f>+(Tabla1[[#This Row],[COSTO COCHE]]/30)*Tabla1[[#This Row],[TOTAL DIAS PROYECTO]]</f>
        <v>40</v>
      </c>
      <c r="R1813" s="12">
        <f>+Tabla1[[#This Row],[COSTO TOTAL ALOJAMIENTO]]+Tabla1[[#This Row],[COSTO TOTAL COCHE]]</f>
        <v>298.91666666666669</v>
      </c>
      <c r="S1813" s="2"/>
      <c r="T1813" s="14" t="s">
        <v>35</v>
      </c>
      <c r="U1813" s="14">
        <v>45764</v>
      </c>
      <c r="V1813" s="14"/>
      <c r="W1813" s="206">
        <v>1800</v>
      </c>
      <c r="X1813" s="2">
        <v>14</v>
      </c>
      <c r="Y1813" t="s">
        <v>3365</v>
      </c>
      <c r="Z1813" s="2" t="s">
        <v>36</v>
      </c>
      <c r="AA1813" s="13" t="s">
        <v>10355</v>
      </c>
      <c r="AB1813" s="13" t="s">
        <v>10356</v>
      </c>
    </row>
    <row r="1814" spans="1:28" ht="15" customHeight="1">
      <c r="A1814" s="2" t="s">
        <v>9489</v>
      </c>
      <c r="B1814" s="2" t="s">
        <v>368</v>
      </c>
      <c r="C1814" s="11" t="s">
        <v>3366</v>
      </c>
      <c r="D1814" s="2" t="s">
        <v>30</v>
      </c>
      <c r="E1814" s="2" t="s">
        <v>31</v>
      </c>
      <c r="F1814" s="11" t="s">
        <v>3361</v>
      </c>
      <c r="G1814" s="21" t="s">
        <v>3362</v>
      </c>
      <c r="H1814" s="2" t="s">
        <v>3363</v>
      </c>
      <c r="I1814" s="10" t="s">
        <v>3364</v>
      </c>
      <c r="J1814" s="22">
        <f>+Tabla1[[#This Row],[FECHA ENTRADA]]</f>
        <v>45768</v>
      </c>
      <c r="K1814" s="22">
        <v>45821</v>
      </c>
      <c r="L1814" s="23">
        <f>_xlfn.DAYS(Tabla1[[#This Row],[FECHA FIN ]],Tabla1[[#This Row],[FECHA INICIO]])</f>
        <v>53</v>
      </c>
      <c r="M1814" s="12"/>
      <c r="N1814" s="12">
        <f>502.74/2</f>
        <v>251.37</v>
      </c>
      <c r="O1814" s="24">
        <f>(Tabla1[[#This Row],[COSTO FIJO ]]/30)*Tabla1[[#This Row],[TOTAL DIAS PROYECTO]]+(Tabla1[[#This Row],[COSTO TEMPORAL]])</f>
        <v>444.08699999999999</v>
      </c>
      <c r="P1814" s="12"/>
      <c r="Q1814" s="12">
        <f>+(Tabla1[[#This Row],[COSTO COCHE]]/30)*Tabla1[[#This Row],[TOTAL DIAS PROYECTO]]</f>
        <v>0</v>
      </c>
      <c r="R1814" s="12">
        <f>+Tabla1[[#This Row],[COSTO TOTAL ALOJAMIENTO]]+Tabla1[[#This Row],[COSTO TOTAL COCHE]]</f>
        <v>444.08699999999999</v>
      </c>
      <c r="S1814" s="2" t="s">
        <v>84</v>
      </c>
      <c r="T1814" s="2" t="s">
        <v>44</v>
      </c>
      <c r="U1814" s="14">
        <v>45768</v>
      </c>
      <c r="V1814" s="79">
        <v>45778</v>
      </c>
      <c r="W1814" s="26"/>
      <c r="X1814" s="2"/>
      <c r="Y1814" s="11"/>
      <c r="Z1814" s="2" t="s">
        <v>36</v>
      </c>
      <c r="AA1814" s="13" t="s">
        <v>10323</v>
      </c>
      <c r="AB1814" s="13" t="s">
        <v>10324</v>
      </c>
    </row>
    <row r="1815" spans="1:28" ht="15" customHeight="1">
      <c r="A1815" s="2" t="s">
        <v>9150</v>
      </c>
      <c r="B1815" s="2" t="s">
        <v>28</v>
      </c>
      <c r="C1815" s="104" t="s">
        <v>2230</v>
      </c>
      <c r="D1815" s="2" t="s">
        <v>30</v>
      </c>
      <c r="E1815" s="2" t="s">
        <v>245</v>
      </c>
      <c r="F1815" s="11" t="s">
        <v>1021</v>
      </c>
      <c r="G1815" s="49" t="s">
        <v>1022</v>
      </c>
      <c r="H1815" s="2" t="s">
        <v>2199</v>
      </c>
      <c r="I1815" s="12" t="s">
        <v>2473</v>
      </c>
      <c r="J1815" s="41">
        <f>+Tabla1[[#This Row],[FECHA ENTRADA]]</f>
        <v>45764</v>
      </c>
      <c r="K1815" s="22">
        <v>45777</v>
      </c>
      <c r="L1815" s="23">
        <f>_xlfn.DAYS(Tabla1[[#This Row],[FECHA FIN ]],Tabla1[[#This Row],[FECHA INICIO]])</f>
        <v>13</v>
      </c>
      <c r="M1815" s="12"/>
      <c r="N1815" s="28">
        <v>597.5</v>
      </c>
      <c r="O1815" s="24">
        <f>(Tabla1[[#This Row],[COSTO FIJO ]]/30)*Tabla1[[#This Row],[TOTAL DIAS PROYECTO]]+(Tabla1[[#This Row],[COSTO TEMPORAL]])</f>
        <v>258.91666666666669</v>
      </c>
      <c r="P1815" s="12">
        <v>92.307692307692307</v>
      </c>
      <c r="Q1815" s="12">
        <f>+(Tabla1[[#This Row],[COSTO COCHE]]/30)*Tabla1[[#This Row],[TOTAL DIAS PROYECTO]]</f>
        <v>40</v>
      </c>
      <c r="R1815" s="12">
        <f>+Tabla1[[#This Row],[COSTO TOTAL ALOJAMIENTO]]+Tabla1[[#This Row],[COSTO TOTAL COCHE]]</f>
        <v>298.91666666666669</v>
      </c>
      <c r="S1815" s="2"/>
      <c r="T1815" s="14" t="s">
        <v>35</v>
      </c>
      <c r="U1815" s="14">
        <v>45764</v>
      </c>
      <c r="V1815" s="14"/>
      <c r="W1815" s="2"/>
      <c r="X1815" s="2">
        <v>14</v>
      </c>
      <c r="Y1815" t="s">
        <v>3365</v>
      </c>
      <c r="Z1815" s="2" t="s">
        <v>36</v>
      </c>
      <c r="AA1815" s="13" t="s">
        <v>10355</v>
      </c>
      <c r="AB1815" s="13" t="s">
        <v>10356</v>
      </c>
    </row>
    <row r="1816" spans="1:28" ht="15" customHeight="1">
      <c r="A1816" s="2" t="s">
        <v>8649</v>
      </c>
      <c r="B1816" s="2" t="s">
        <v>28</v>
      </c>
      <c r="C1816" s="115" t="s">
        <v>131</v>
      </c>
      <c r="D1816" s="2" t="s">
        <v>30</v>
      </c>
      <c r="E1816" s="2" t="s">
        <v>31</v>
      </c>
      <c r="F1816" s="11"/>
      <c r="G1816" s="11"/>
      <c r="H1816" s="2" t="s">
        <v>886</v>
      </c>
      <c r="I1816" s="12" t="s">
        <v>34</v>
      </c>
      <c r="J1816" s="8">
        <f>+Tabla1[[#This Row],[FECHA ENTRADA]]</f>
        <v>45383</v>
      </c>
      <c r="K1816" s="22">
        <v>45821</v>
      </c>
      <c r="L1816" s="13">
        <f>_xlfn.DAYS(Tabla1[[#This Row],[FECHA FIN ]],Tabla1[[#This Row],[FECHA INICIO]])</f>
        <v>438</v>
      </c>
      <c r="M1816" s="12"/>
      <c r="N1816" s="12">
        <v>300</v>
      </c>
      <c r="O1816" s="12">
        <f>(Tabla1[[#This Row],[COSTO FIJO ]]/30)*Tabla1[[#This Row],[TOTAL DIAS PROYECTO]]+(Tabla1[[#This Row],[COSTO TEMPORAL]])</f>
        <v>4380</v>
      </c>
      <c r="P1816" s="12"/>
      <c r="Q1816" s="12">
        <f>+(Tabla1[[#This Row],[COSTO COCHE]]/30)*Tabla1[[#This Row],[TOTAL DIAS PROYECTO]]</f>
        <v>0</v>
      </c>
      <c r="R1816" s="12">
        <f>+Tabla1[[#This Row],[COSTO TOTAL ALOJAMIENTO]]+Tabla1[[#This Row],[COSTO TOTAL COCHE]]</f>
        <v>4380</v>
      </c>
      <c r="S1816" s="2"/>
      <c r="T1816" s="2" t="s">
        <v>58</v>
      </c>
      <c r="U1816" s="14">
        <v>45383</v>
      </c>
      <c r="V1816" s="14"/>
      <c r="W1816" s="15"/>
      <c r="X1816" s="16"/>
      <c r="Y1816" s="18" t="s">
        <v>3367</v>
      </c>
      <c r="Z1816" s="2" t="s">
        <v>36</v>
      </c>
      <c r="AA1816" s="13" t="s">
        <v>10323</v>
      </c>
      <c r="AB1816" s="13" t="s">
        <v>10324</v>
      </c>
    </row>
    <row r="1817" spans="1:28" ht="15" customHeight="1">
      <c r="A1817" s="2" t="s">
        <v>9380</v>
      </c>
      <c r="B1817" s="2" t="s">
        <v>28</v>
      </c>
      <c r="C1817" s="104" t="s">
        <v>2982</v>
      </c>
      <c r="D1817" s="2" t="s">
        <v>99</v>
      </c>
      <c r="E1817" s="2" t="s">
        <v>245</v>
      </c>
      <c r="F1817" s="11" t="s">
        <v>2983</v>
      </c>
      <c r="G1817" s="46" t="s">
        <v>2984</v>
      </c>
      <c r="H1817" s="2" t="s">
        <v>2985</v>
      </c>
      <c r="I1817" s="12" t="s">
        <v>1019</v>
      </c>
      <c r="J1817" s="41">
        <f>+Tabla1[[#This Row],[FECHA ENTRADA]]</f>
        <v>45770</v>
      </c>
      <c r="K1817" s="22">
        <v>45773</v>
      </c>
      <c r="L1817" s="23">
        <f>_xlfn.DAYS(Tabla1[[#This Row],[FECHA FIN ]],Tabla1[[#This Row],[FECHA INICIO]])</f>
        <v>3</v>
      </c>
      <c r="M1817" s="12"/>
      <c r="N1817" s="12"/>
      <c r="O1817" s="24">
        <f>(Tabla1[[#This Row],[COSTO FIJO ]]/30)*Tabla1[[#This Row],[TOTAL DIAS PROYECTO]]+(Tabla1[[#This Row],[COSTO TEMPORAL]])</f>
        <v>0</v>
      </c>
      <c r="P1817" s="12"/>
      <c r="Q1817" s="12">
        <f>+(Tabla1[[#This Row],[COSTO COCHE]]/30)*Tabla1[[#This Row],[TOTAL DIAS PROYECTO]]</f>
        <v>0</v>
      </c>
      <c r="R1817" s="12">
        <f>+Tabla1[[#This Row],[COSTO TOTAL ALOJAMIENTO]]+Tabla1[[#This Row],[COSTO TOTAL COCHE]]</f>
        <v>0</v>
      </c>
      <c r="S1817" s="2"/>
      <c r="T1817" s="2" t="s">
        <v>44</v>
      </c>
      <c r="U1817" s="14">
        <v>45770</v>
      </c>
      <c r="V1817" s="25">
        <v>45773</v>
      </c>
      <c r="W1817" s="26"/>
      <c r="X1817" s="2"/>
      <c r="Y1817" s="11"/>
      <c r="Z1817" s="2" t="s">
        <v>36</v>
      </c>
      <c r="AA1817" s="13" t="s">
        <v>10355</v>
      </c>
      <c r="AB1817" s="13" t="s">
        <v>10356</v>
      </c>
    </row>
    <row r="1818" spans="1:28" ht="15" customHeight="1">
      <c r="A1818" s="2" t="s">
        <v>9441</v>
      </c>
      <c r="B1818" s="2" t="s">
        <v>28</v>
      </c>
      <c r="C1818" s="104" t="s">
        <v>3188</v>
      </c>
      <c r="D1818" s="2" t="s">
        <v>30</v>
      </c>
      <c r="E1818" s="2" t="s">
        <v>939</v>
      </c>
      <c r="F1818" s="11" t="s">
        <v>2440</v>
      </c>
      <c r="G1818" s="49" t="s">
        <v>2441</v>
      </c>
      <c r="H1818" s="2" t="s">
        <v>3221</v>
      </c>
      <c r="I1818" s="91" t="s">
        <v>3185</v>
      </c>
      <c r="J1818" s="22">
        <f>+Tabla1[[#This Row],[FECHA ENTRADA]]</f>
        <v>45760</v>
      </c>
      <c r="K1818" s="22">
        <v>45821</v>
      </c>
      <c r="L1818" s="23">
        <f>_xlfn.DAYS(Tabla1[[#This Row],[FECHA FIN ]],Tabla1[[#This Row],[FECHA INICIO]])</f>
        <v>61</v>
      </c>
      <c r="M1818" s="12"/>
      <c r="N1818" s="24"/>
      <c r="O1818" s="24">
        <f>(Tabla1[[#This Row],[COSTO FIJO ]]/30)*Tabla1[[#This Row],[TOTAL DIAS PROYECTO]]+(Tabla1[[#This Row],[COSTO TEMPORAL]])</f>
        <v>0</v>
      </c>
      <c r="P1818" s="12"/>
      <c r="Q1818" s="12">
        <f>+(Tabla1[[#This Row],[COSTO COCHE]]/30)*Tabla1[[#This Row],[TOTAL DIAS PROYECTO]]</f>
        <v>0</v>
      </c>
      <c r="R1818" s="12">
        <f>+Tabla1[[#This Row],[COSTO TOTAL ALOJAMIENTO]]+Tabla1[[#This Row],[COSTO TOTAL COCHE]]</f>
        <v>0</v>
      </c>
      <c r="S1818" s="2"/>
      <c r="T1818" s="14" t="s">
        <v>44</v>
      </c>
      <c r="U1818" s="14">
        <v>45760</v>
      </c>
      <c r="V1818" s="14">
        <v>45778</v>
      </c>
      <c r="W1818" s="26"/>
      <c r="X1818" s="2"/>
      <c r="Y1818" s="11"/>
      <c r="Z1818" s="2" t="s">
        <v>36</v>
      </c>
      <c r="AA1818" s="13" t="s">
        <v>10405</v>
      </c>
      <c r="AB1818" s="13" t="s">
        <v>10406</v>
      </c>
    </row>
    <row r="1819" spans="1:28" ht="15" customHeight="1">
      <c r="A1819" s="2" t="s">
        <v>9442</v>
      </c>
      <c r="B1819" s="2" t="s">
        <v>28</v>
      </c>
      <c r="C1819" s="11" t="s">
        <v>3191</v>
      </c>
      <c r="D1819" s="2" t="s">
        <v>30</v>
      </c>
      <c r="E1819" s="2" t="s">
        <v>939</v>
      </c>
      <c r="F1819" s="11" t="s">
        <v>2440</v>
      </c>
      <c r="G1819" s="49" t="s">
        <v>2441</v>
      </c>
      <c r="H1819" s="2" t="s">
        <v>3221</v>
      </c>
      <c r="I1819" s="91" t="s">
        <v>3185</v>
      </c>
      <c r="J1819" s="22">
        <f>+Tabla1[[#This Row],[FECHA ENTRADA]]</f>
        <v>45760</v>
      </c>
      <c r="K1819" s="22">
        <v>45821</v>
      </c>
      <c r="L1819" s="23">
        <f>_xlfn.DAYS(Tabla1[[#This Row],[FECHA FIN ]],Tabla1[[#This Row],[FECHA INICIO]])</f>
        <v>61</v>
      </c>
      <c r="M1819" s="12"/>
      <c r="N1819" s="24"/>
      <c r="O1819" s="24">
        <f>(Tabla1[[#This Row],[COSTO FIJO ]]/30)*Tabla1[[#This Row],[TOTAL DIAS PROYECTO]]+(Tabla1[[#This Row],[COSTO TEMPORAL]])</f>
        <v>0</v>
      </c>
      <c r="P1819" s="12"/>
      <c r="Q1819" s="12">
        <f>+(Tabla1[[#This Row],[COSTO COCHE]]/30)*Tabla1[[#This Row],[TOTAL DIAS PROYECTO]]</f>
        <v>0</v>
      </c>
      <c r="R1819" s="12">
        <f>+Tabla1[[#This Row],[COSTO TOTAL ALOJAMIENTO]]+Tabla1[[#This Row],[COSTO TOTAL COCHE]]</f>
        <v>0</v>
      </c>
      <c r="S1819" s="2"/>
      <c r="T1819" s="14" t="s">
        <v>44</v>
      </c>
      <c r="U1819" s="14">
        <v>45760</v>
      </c>
      <c r="V1819" s="14">
        <v>45778</v>
      </c>
      <c r="W1819" s="26"/>
      <c r="X1819" s="2"/>
      <c r="Y1819" s="11"/>
      <c r="Z1819" s="2" t="s">
        <v>36</v>
      </c>
      <c r="AA1819" s="13" t="s">
        <v>10405</v>
      </c>
      <c r="AB1819" s="13" t="s">
        <v>10406</v>
      </c>
    </row>
    <row r="1820" spans="1:28" ht="15" customHeight="1">
      <c r="A1820" s="2" t="s">
        <v>8642</v>
      </c>
      <c r="B1820" s="2" t="s">
        <v>368</v>
      </c>
      <c r="C1820" s="104" t="s">
        <v>3368</v>
      </c>
      <c r="D1820" s="2" t="s">
        <v>99</v>
      </c>
      <c r="E1820" s="2" t="s">
        <v>422</v>
      </c>
      <c r="F1820" s="11" t="s">
        <v>1983</v>
      </c>
      <c r="G1820" s="11" t="s">
        <v>2067</v>
      </c>
      <c r="H1820" s="2" t="s">
        <v>3266</v>
      </c>
      <c r="I1820" s="10" t="s">
        <v>1435</v>
      </c>
      <c r="J1820" s="22">
        <f>+Tabla1[[#This Row],[FECHA ENTRADA]]</f>
        <v>45792</v>
      </c>
      <c r="K1820" s="8">
        <f>+Tabla1[[#This Row],[FECHA SALIDA]]</f>
        <v>45796</v>
      </c>
      <c r="L1820" s="23">
        <f>_xlfn.DAYS(Tabla1[[#This Row],[FECHA FIN ]],Tabla1[[#This Row],[FECHA INICIO]])</f>
        <v>4</v>
      </c>
      <c r="M1820" s="12"/>
      <c r="N1820" s="24"/>
      <c r="O1820" s="24">
        <f>(Tabla1[[#This Row],[COSTO FIJO ]]/30)*Tabla1[[#This Row],[TOTAL DIAS PROYECTO]]+(Tabla1[[#This Row],[COSTO TEMPORAL]])</f>
        <v>0</v>
      </c>
      <c r="P1820" s="12"/>
      <c r="Q1820" s="12">
        <f>+(Tabla1[[#This Row],[COSTO COCHE]]/30)*Tabla1[[#This Row],[TOTAL DIAS PROYECTO]]</f>
        <v>0</v>
      </c>
      <c r="R1820" s="12">
        <f>+Tabla1[[#This Row],[COSTO TOTAL ALOJAMIENTO]]+Tabla1[[#This Row],[COSTO TOTAL COCHE]]</f>
        <v>0</v>
      </c>
      <c r="S1820" s="2"/>
      <c r="T1820" s="2" t="s">
        <v>44</v>
      </c>
      <c r="U1820" s="14">
        <v>45792</v>
      </c>
      <c r="V1820" s="25">
        <v>45796</v>
      </c>
      <c r="W1820" s="26"/>
      <c r="X1820" s="2"/>
      <c r="Y1820" s="11"/>
      <c r="Z1820" s="2" t="s">
        <v>36</v>
      </c>
      <c r="AA1820" s="13">
        <v>-326.69799999999998</v>
      </c>
      <c r="AB1820" s="13" t="s">
        <v>10373</v>
      </c>
    </row>
    <row r="1821" spans="1:28" ht="15.75" customHeight="1">
      <c r="A1821" s="2" t="s">
        <v>9378</v>
      </c>
      <c r="B1821" s="2" t="s">
        <v>368</v>
      </c>
      <c r="C1821" s="104" t="s">
        <v>2978</v>
      </c>
      <c r="D1821" s="2" t="s">
        <v>749</v>
      </c>
      <c r="E1821" s="2" t="s">
        <v>1853</v>
      </c>
      <c r="F1821" s="11" t="s">
        <v>2030</v>
      </c>
      <c r="G1821" s="30" t="s">
        <v>2031</v>
      </c>
      <c r="H1821" s="2" t="s">
        <v>1856</v>
      </c>
      <c r="I1821" s="12" t="s">
        <v>1857</v>
      </c>
      <c r="J1821" s="22">
        <f>+Tabla1[[#This Row],[FECHA ENTRADA]]</f>
        <v>45749</v>
      </c>
      <c r="K1821" s="22">
        <v>45821</v>
      </c>
      <c r="L1821" s="23">
        <f>_xlfn.DAYS(Tabla1[[#This Row],[FECHA FIN ]],Tabla1[[#This Row],[FECHA INICIO]])</f>
        <v>72</v>
      </c>
      <c r="M1821" s="12"/>
      <c r="N1821" s="12"/>
      <c r="O1821" s="24">
        <f>(Tabla1[[#This Row],[COSTO FIJO ]]/30)*Tabla1[[#This Row],[TOTAL DIAS PROYECTO]]+(Tabla1[[#This Row],[COSTO TEMPORAL]])</f>
        <v>0</v>
      </c>
      <c r="P1821" s="12"/>
      <c r="Q1821" s="12">
        <f>+(Tabla1[[#This Row],[COSTO COCHE]]/30)*Tabla1[[#This Row],[TOTAL DIAS PROYECTO]]</f>
        <v>0</v>
      </c>
      <c r="R1821" s="12">
        <f>+Tabla1[[#This Row],[COSTO TOTAL ALOJAMIENTO]]+Tabla1[[#This Row],[COSTO TOTAL COCHE]]</f>
        <v>0</v>
      </c>
      <c r="S1821" s="2"/>
      <c r="T1821" s="2" t="s">
        <v>44</v>
      </c>
      <c r="U1821" s="14">
        <v>45749</v>
      </c>
      <c r="V1821" s="25">
        <v>45779</v>
      </c>
      <c r="W1821" s="26"/>
      <c r="X1821" s="2"/>
      <c r="Y1821" s="149" t="s">
        <v>2032</v>
      </c>
      <c r="Z1821" s="2" t="s">
        <v>36</v>
      </c>
      <c r="AA1821" s="13" t="s">
        <v>10432</v>
      </c>
      <c r="AB1821" s="13">
        <v>45.464269999999999</v>
      </c>
    </row>
    <row r="1822" spans="1:28" ht="15" customHeight="1">
      <c r="A1822" s="2" t="s">
        <v>9457</v>
      </c>
      <c r="B1822" s="2" t="s">
        <v>368</v>
      </c>
      <c r="C1822" s="192" t="s">
        <v>3246</v>
      </c>
      <c r="D1822" s="2" t="s">
        <v>749</v>
      </c>
      <c r="E1822" s="2" t="s">
        <v>1853</v>
      </c>
      <c r="F1822" s="11" t="s">
        <v>2030</v>
      </c>
      <c r="G1822" s="30" t="s">
        <v>2031</v>
      </c>
      <c r="H1822" s="2" t="s">
        <v>1856</v>
      </c>
      <c r="I1822" s="135" t="s">
        <v>1857</v>
      </c>
      <c r="J1822" s="22">
        <f>+Tabla1[[#This Row],[FECHA ENTRADA]]</f>
        <v>45749</v>
      </c>
      <c r="K1822" s="22">
        <v>45821</v>
      </c>
      <c r="L1822" s="23">
        <f>_xlfn.DAYS(Tabla1[[#This Row],[FECHA FIN ]],Tabla1[[#This Row],[FECHA INICIO]])</f>
        <v>72</v>
      </c>
      <c r="M1822" s="12"/>
      <c r="N1822" s="12"/>
      <c r="O1822" s="24">
        <f>(Tabla1[[#This Row],[COSTO FIJO ]]/30)*Tabla1[[#This Row],[TOTAL DIAS PROYECTO]]+(Tabla1[[#This Row],[COSTO TEMPORAL]])</f>
        <v>0</v>
      </c>
      <c r="P1822" s="12"/>
      <c r="Q1822" s="12">
        <f>+(Tabla1[[#This Row],[COSTO COCHE]]/30)*Tabla1[[#This Row],[TOTAL DIAS PROYECTO]]</f>
        <v>0</v>
      </c>
      <c r="R1822" s="12">
        <f>+Tabla1[[#This Row],[COSTO TOTAL ALOJAMIENTO]]+Tabla1[[#This Row],[COSTO TOTAL COCHE]]</f>
        <v>0</v>
      </c>
      <c r="S1822" s="2"/>
      <c r="T1822" s="2" t="s">
        <v>44</v>
      </c>
      <c r="U1822" s="14">
        <v>45749</v>
      </c>
      <c r="V1822" s="25">
        <v>45779</v>
      </c>
      <c r="W1822" s="26"/>
      <c r="X1822" s="2"/>
      <c r="Y1822" s="149" t="s">
        <v>2032</v>
      </c>
      <c r="Z1822" s="2" t="s">
        <v>36</v>
      </c>
      <c r="AA1822" s="13" t="s">
        <v>10432</v>
      </c>
      <c r="AB1822" s="13">
        <v>45.464269999999999</v>
      </c>
    </row>
    <row r="1823" spans="1:28" ht="15" customHeight="1">
      <c r="A1823" s="2" t="s">
        <v>9490</v>
      </c>
      <c r="B1823" s="2" t="s">
        <v>28</v>
      </c>
      <c r="C1823" s="104" t="s">
        <v>3369</v>
      </c>
      <c r="D1823" s="2" t="s">
        <v>99</v>
      </c>
      <c r="E1823" s="2" t="s">
        <v>213</v>
      </c>
      <c r="F1823" s="11" t="s">
        <v>2144</v>
      </c>
      <c r="G1823" s="21" t="s">
        <v>2145</v>
      </c>
      <c r="H1823" s="2" t="s">
        <v>2146</v>
      </c>
      <c r="I1823" s="12" t="s">
        <v>2147</v>
      </c>
      <c r="J1823" s="22">
        <f>+Tabla1[[#This Row],[FECHA ENTRADA]]</f>
        <v>45742</v>
      </c>
      <c r="K1823" s="22">
        <v>45821</v>
      </c>
      <c r="L1823" s="23">
        <f>_xlfn.DAYS(Tabla1[[#This Row],[FECHA FIN ]],Tabla1[[#This Row],[FECHA INICIO]])</f>
        <v>79</v>
      </c>
      <c r="M1823" s="12"/>
      <c r="N1823" s="12">
        <f>228+146.25+615</f>
        <v>989.25</v>
      </c>
      <c r="O1823" s="24">
        <f>(Tabla1[[#This Row],[COSTO FIJO ]]/30)*Tabla1[[#This Row],[TOTAL DIAS PROYECTO]]+(Tabla1[[#This Row],[COSTO TEMPORAL]])</f>
        <v>2605.0250000000001</v>
      </c>
      <c r="P1823" s="12"/>
      <c r="Q1823" s="12">
        <f>+(Tabla1[[#This Row],[COSTO COCHE]]/30)*Tabla1[[#This Row],[TOTAL DIAS PROYECTO]]</f>
        <v>0</v>
      </c>
      <c r="R1823" s="12">
        <f>+Tabla1[[#This Row],[COSTO TOTAL ALOJAMIENTO]]+Tabla1[[#This Row],[COSTO TOTAL COCHE]]</f>
        <v>2605.0250000000001</v>
      </c>
      <c r="S1823" s="2" t="s">
        <v>403</v>
      </c>
      <c r="T1823" s="2" t="s">
        <v>44</v>
      </c>
      <c r="U1823" s="14">
        <v>45742</v>
      </c>
      <c r="V1823" s="25">
        <v>45779</v>
      </c>
      <c r="W1823" s="26"/>
      <c r="X1823" s="2"/>
      <c r="Y1823" s="11"/>
      <c r="Z1823" s="2" t="s">
        <v>36</v>
      </c>
      <c r="AA1823" s="13" t="s">
        <v>10349</v>
      </c>
      <c r="AB1823" s="13" t="s">
        <v>10350</v>
      </c>
    </row>
    <row r="1824" spans="1:28" ht="15" customHeight="1">
      <c r="A1824" s="2" t="s">
        <v>9491</v>
      </c>
      <c r="B1824" s="2" t="s">
        <v>28</v>
      </c>
      <c r="C1824" s="11" t="s">
        <v>3370</v>
      </c>
      <c r="D1824" s="2" t="s">
        <v>99</v>
      </c>
      <c r="E1824" s="2" t="s">
        <v>31</v>
      </c>
      <c r="F1824" s="11" t="s">
        <v>402</v>
      </c>
      <c r="G1824" s="46" t="s">
        <v>2408</v>
      </c>
      <c r="H1824" s="2" t="s">
        <v>3371</v>
      </c>
      <c r="I1824" s="12" t="s">
        <v>385</v>
      </c>
      <c r="J1824" s="41">
        <f>+Tabla1[[#This Row],[FECHA ENTRADA]]</f>
        <v>45776</v>
      </c>
      <c r="K1824" s="22">
        <v>45821</v>
      </c>
      <c r="L1824" s="23">
        <f>_xlfn.DAYS(Tabla1[[#This Row],[FECHA FIN ]],Tabla1[[#This Row],[FECHA INICIO]])</f>
        <v>45</v>
      </c>
      <c r="M1824" s="12"/>
      <c r="N1824" s="12"/>
      <c r="O1824" s="24">
        <f>(Tabla1[[#This Row],[COSTO FIJO ]]/30)*Tabla1[[#This Row],[TOTAL DIAS PROYECTO]]+(Tabla1[[#This Row],[COSTO TEMPORAL]])</f>
        <v>0</v>
      </c>
      <c r="P1824" s="12"/>
      <c r="Q1824" s="12">
        <f>+(Tabla1[[#This Row],[COSTO COCHE]]/30)*Tabla1[[#This Row],[TOTAL DIAS PROYECTO]]</f>
        <v>0</v>
      </c>
      <c r="R1824" s="12">
        <f>+Tabla1[[#This Row],[COSTO TOTAL ALOJAMIENTO]]+Tabla1[[#This Row],[COSTO TOTAL COCHE]]</f>
        <v>0</v>
      </c>
      <c r="S1824" s="2"/>
      <c r="T1824" s="2" t="s">
        <v>44</v>
      </c>
      <c r="U1824" s="14">
        <v>45776</v>
      </c>
      <c r="V1824" s="25">
        <v>45780</v>
      </c>
      <c r="W1824" s="26"/>
      <c r="X1824" s="2"/>
      <c r="Y1824" s="11"/>
      <c r="Z1824" s="2" t="s">
        <v>36</v>
      </c>
      <c r="AA1824" s="13" t="s">
        <v>10323</v>
      </c>
      <c r="AB1824" s="13" t="s">
        <v>10324</v>
      </c>
    </row>
    <row r="1825" spans="1:28" ht="15" customHeight="1">
      <c r="A1825" s="2" t="s">
        <v>9492</v>
      </c>
      <c r="B1825" s="2" t="s">
        <v>28</v>
      </c>
      <c r="C1825" s="104" t="s">
        <v>3372</v>
      </c>
      <c r="D1825" s="2" t="s">
        <v>99</v>
      </c>
      <c r="E1825" s="2" t="s">
        <v>31</v>
      </c>
      <c r="F1825" s="11" t="s">
        <v>402</v>
      </c>
      <c r="G1825" s="46" t="s">
        <v>2408</v>
      </c>
      <c r="H1825" s="2" t="s">
        <v>3371</v>
      </c>
      <c r="I1825" s="12" t="s">
        <v>385</v>
      </c>
      <c r="J1825" s="41">
        <f>+Tabla1[[#This Row],[FECHA ENTRADA]]</f>
        <v>45776</v>
      </c>
      <c r="K1825" s="22">
        <v>45821</v>
      </c>
      <c r="L1825" s="23">
        <f>_xlfn.DAYS(Tabla1[[#This Row],[FECHA FIN ]],Tabla1[[#This Row],[FECHA INICIO]])</f>
        <v>45</v>
      </c>
      <c r="M1825" s="12"/>
      <c r="N1825" s="12"/>
      <c r="O1825" s="24">
        <f>(Tabla1[[#This Row],[COSTO FIJO ]]/30)*Tabla1[[#This Row],[TOTAL DIAS PROYECTO]]+(Tabla1[[#This Row],[COSTO TEMPORAL]])</f>
        <v>0</v>
      </c>
      <c r="P1825" s="12"/>
      <c r="Q1825" s="12">
        <f>+(Tabla1[[#This Row],[COSTO COCHE]]/30)*Tabla1[[#This Row],[TOTAL DIAS PROYECTO]]</f>
        <v>0</v>
      </c>
      <c r="R1825" s="12">
        <f>+Tabla1[[#This Row],[COSTO TOTAL ALOJAMIENTO]]+Tabla1[[#This Row],[COSTO TOTAL COCHE]]</f>
        <v>0</v>
      </c>
      <c r="S1825" s="2"/>
      <c r="T1825" s="2" t="s">
        <v>44</v>
      </c>
      <c r="U1825" s="14">
        <v>45776</v>
      </c>
      <c r="V1825" s="25">
        <v>45780</v>
      </c>
      <c r="W1825" s="26"/>
      <c r="X1825" s="2"/>
      <c r="Y1825" s="11"/>
      <c r="Z1825" s="2" t="s">
        <v>36</v>
      </c>
      <c r="AA1825" s="13" t="s">
        <v>10323</v>
      </c>
      <c r="AB1825" s="13" t="s">
        <v>10324</v>
      </c>
    </row>
    <row r="1826" spans="1:28" ht="15" customHeight="1">
      <c r="A1826" s="2" t="s">
        <v>9480</v>
      </c>
      <c r="B1826" s="2" t="s">
        <v>28</v>
      </c>
      <c r="C1826" s="104" t="s">
        <v>3342</v>
      </c>
      <c r="D1826" s="2" t="s">
        <v>30</v>
      </c>
      <c r="E1826" s="2" t="s">
        <v>985</v>
      </c>
      <c r="F1826" s="11" t="s">
        <v>2178</v>
      </c>
      <c r="G1826" s="46" t="s">
        <v>2179</v>
      </c>
      <c r="H1826" s="2" t="s">
        <v>2134</v>
      </c>
      <c r="I1826" s="12" t="s">
        <v>249</v>
      </c>
      <c r="J1826" s="41">
        <f>+Tabla1[[#This Row],[FECHA ENTRADA]]</f>
        <v>45777</v>
      </c>
      <c r="K1826" s="22">
        <v>45821</v>
      </c>
      <c r="L1826" s="23">
        <f>_xlfn.DAYS(Tabla1[[#This Row],[FECHA FIN ]],Tabla1[[#This Row],[FECHA INICIO]])</f>
        <v>44</v>
      </c>
      <c r="M1826" s="12"/>
      <c r="N1826" s="12"/>
      <c r="O1826" s="24">
        <f>(Tabla1[[#This Row],[COSTO FIJO ]]/30)*Tabla1[[#This Row],[TOTAL DIAS PROYECTO]]+(Tabla1[[#This Row],[COSTO TEMPORAL]])</f>
        <v>0</v>
      </c>
      <c r="P1826" s="12"/>
      <c r="Q1826" s="12">
        <f>+(Tabla1[[#This Row],[COSTO COCHE]]/30)*Tabla1[[#This Row],[TOTAL DIAS PROYECTO]]</f>
        <v>0</v>
      </c>
      <c r="R1826" s="12">
        <f>+Tabla1[[#This Row],[COSTO TOTAL ALOJAMIENTO]]+Tabla1[[#This Row],[COSTO TOTAL COCHE]]</f>
        <v>0</v>
      </c>
      <c r="S1826" s="2"/>
      <c r="T1826" s="2" t="s">
        <v>528</v>
      </c>
      <c r="U1826" s="14">
        <v>45777</v>
      </c>
      <c r="V1826" s="25">
        <v>45781</v>
      </c>
      <c r="W1826" s="26"/>
      <c r="X1826" s="2"/>
      <c r="Y1826" s="11" t="s">
        <v>1166</v>
      </c>
      <c r="Z1826" s="2" t="s">
        <v>36</v>
      </c>
      <c r="AA1826" s="13" t="s">
        <v>10407</v>
      </c>
      <c r="AB1826" s="13" t="s">
        <v>10408</v>
      </c>
    </row>
    <row r="1827" spans="1:28" ht="15" customHeight="1">
      <c r="A1827" s="2" t="s">
        <v>9481</v>
      </c>
      <c r="B1827" s="2" t="s">
        <v>28</v>
      </c>
      <c r="C1827" s="11" t="s">
        <v>3343</v>
      </c>
      <c r="D1827" s="2" t="s">
        <v>30</v>
      </c>
      <c r="E1827" s="2" t="s">
        <v>985</v>
      </c>
      <c r="F1827" s="11" t="s">
        <v>2178</v>
      </c>
      <c r="G1827" s="46" t="s">
        <v>2179</v>
      </c>
      <c r="H1827" s="2" t="s">
        <v>2134</v>
      </c>
      <c r="I1827" s="12" t="s">
        <v>249</v>
      </c>
      <c r="J1827" s="41">
        <f>+Tabla1[[#This Row],[FECHA ENTRADA]]</f>
        <v>45776</v>
      </c>
      <c r="K1827" s="22">
        <v>45821</v>
      </c>
      <c r="L1827" s="23">
        <f>_xlfn.DAYS(Tabla1[[#This Row],[FECHA FIN ]],Tabla1[[#This Row],[FECHA INICIO]])</f>
        <v>45</v>
      </c>
      <c r="M1827" s="12"/>
      <c r="N1827" s="12">
        <f>1811.6/17</f>
        <v>106.56470588235294</v>
      </c>
      <c r="O1827" s="24">
        <f>(Tabla1[[#This Row],[COSTO FIJO ]]/30)*Tabla1[[#This Row],[TOTAL DIAS PROYECTO]]+(Tabla1[[#This Row],[COSTO TEMPORAL]])</f>
        <v>159.84705882352941</v>
      </c>
      <c r="P1827" s="12"/>
      <c r="Q1827" s="12">
        <f>+(Tabla1[[#This Row],[COSTO COCHE]]/30)*Tabla1[[#This Row],[TOTAL DIAS PROYECTO]]</f>
        <v>0</v>
      </c>
      <c r="R1827" s="12">
        <f>+Tabla1[[#This Row],[COSTO TOTAL ALOJAMIENTO]]+Tabla1[[#This Row],[COSTO TOTAL COCHE]]</f>
        <v>159.84705882352941</v>
      </c>
      <c r="S1827" s="2"/>
      <c r="T1827" s="2" t="s">
        <v>528</v>
      </c>
      <c r="U1827" s="14">
        <v>45776</v>
      </c>
      <c r="V1827" s="25">
        <v>45781</v>
      </c>
      <c r="W1827" s="26"/>
      <c r="X1827" s="2"/>
      <c r="Y1827" s="11" t="s">
        <v>1166</v>
      </c>
      <c r="Z1827" s="2" t="s">
        <v>36</v>
      </c>
      <c r="AA1827" s="13" t="s">
        <v>10407</v>
      </c>
      <c r="AB1827" s="13" t="s">
        <v>10408</v>
      </c>
    </row>
    <row r="1828" spans="1:28" ht="15" customHeight="1">
      <c r="A1828" s="2" t="s">
        <v>9402</v>
      </c>
      <c r="B1828" s="2" t="s">
        <v>28</v>
      </c>
      <c r="C1828" s="11" t="s">
        <v>3063</v>
      </c>
      <c r="D1828" s="2" t="s">
        <v>99</v>
      </c>
      <c r="E1828" s="2" t="s">
        <v>245</v>
      </c>
      <c r="F1828" s="11" t="s">
        <v>2983</v>
      </c>
      <c r="G1828" s="46" t="s">
        <v>2984</v>
      </c>
      <c r="H1828" s="2" t="s">
        <v>2985</v>
      </c>
      <c r="I1828" s="12" t="s">
        <v>1019</v>
      </c>
      <c r="J1828" s="41">
        <f>+Tabla1[[#This Row],[FECHA ENTRADA]]</f>
        <v>45770</v>
      </c>
      <c r="K1828" s="22">
        <v>45821</v>
      </c>
      <c r="L1828" s="23">
        <f>_xlfn.DAYS(Tabla1[[#This Row],[FECHA FIN ]],Tabla1[[#This Row],[FECHA INICIO]])</f>
        <v>51</v>
      </c>
      <c r="M1828" s="12"/>
      <c r="N1828" s="12"/>
      <c r="O1828" s="24">
        <f>(Tabla1[[#This Row],[COSTO FIJO ]]/30)*Tabla1[[#This Row],[TOTAL DIAS PROYECTO]]+(Tabla1[[#This Row],[COSTO TEMPORAL]])</f>
        <v>0</v>
      </c>
      <c r="P1828" s="12"/>
      <c r="Q1828" s="12">
        <f>+(Tabla1[[#This Row],[COSTO COCHE]]/30)*Tabla1[[#This Row],[TOTAL DIAS PROYECTO]]</f>
        <v>0</v>
      </c>
      <c r="R1828" s="12">
        <f>+Tabla1[[#This Row],[COSTO TOTAL ALOJAMIENTO]]+Tabla1[[#This Row],[COSTO TOTAL COCHE]]</f>
        <v>0</v>
      </c>
      <c r="S1828" s="2"/>
      <c r="T1828" s="2" t="s">
        <v>44</v>
      </c>
      <c r="U1828" s="14">
        <v>45770</v>
      </c>
      <c r="V1828" s="25">
        <v>45773</v>
      </c>
      <c r="W1828" s="26"/>
      <c r="X1828" s="2"/>
      <c r="Y1828" s="11"/>
      <c r="Z1828" s="2" t="s">
        <v>36</v>
      </c>
      <c r="AA1828" s="13" t="s">
        <v>10355</v>
      </c>
      <c r="AB1828" s="13" t="s">
        <v>10356</v>
      </c>
    </row>
    <row r="1829" spans="1:28" ht="15" customHeight="1">
      <c r="A1829" s="2" t="s">
        <v>9493</v>
      </c>
      <c r="B1829" s="2" t="s">
        <v>28</v>
      </c>
      <c r="C1829" s="11" t="s">
        <v>3373</v>
      </c>
      <c r="D1829" s="2" t="s">
        <v>99</v>
      </c>
      <c r="E1829" s="153" t="s">
        <v>415</v>
      </c>
      <c r="F1829" s="11" t="s">
        <v>2173</v>
      </c>
      <c r="G1829" t="s">
        <v>2174</v>
      </c>
      <c r="H1829" s="2" t="s">
        <v>2175</v>
      </c>
      <c r="I1829" s="12" t="s">
        <v>2176</v>
      </c>
      <c r="J1829" s="22">
        <f>+Tabla1[[#This Row],[FECHA ENTRADA]]</f>
        <v>45714</v>
      </c>
      <c r="K1829" s="22">
        <v>45821</v>
      </c>
      <c r="L1829" s="23">
        <f>_xlfn.DAYS(Tabla1[[#This Row],[FECHA FIN ]],Tabla1[[#This Row],[FECHA INICIO]])</f>
        <v>107</v>
      </c>
      <c r="M1829" s="12"/>
      <c r="N1829" s="20">
        <v>325</v>
      </c>
      <c r="O1829" s="24">
        <f>(Tabla1[[#This Row],[COSTO FIJO ]]/30)*Tabla1[[#This Row],[TOTAL DIAS PROYECTO]]+(Tabla1[[#This Row],[COSTO TEMPORAL]])</f>
        <v>1159.1666666666667</v>
      </c>
      <c r="P1829" s="12"/>
      <c r="Q1829" s="12">
        <f>+(Tabla1[[#This Row],[COSTO COCHE]]/30)*Tabla1[[#This Row],[TOTAL DIAS PROYECTO]]</f>
        <v>0</v>
      </c>
      <c r="R1829" s="12">
        <f>+Tabla1[[#This Row],[COSTO TOTAL ALOJAMIENTO]]+Tabla1[[#This Row],[COSTO TOTAL COCHE]]</f>
        <v>1159.1666666666667</v>
      </c>
      <c r="S1829" s="2"/>
      <c r="T1829" s="2" t="s">
        <v>44</v>
      </c>
      <c r="U1829" s="14">
        <v>45714</v>
      </c>
      <c r="V1829" s="25">
        <v>45781</v>
      </c>
      <c r="W1829" s="26"/>
      <c r="X1829" s="2">
        <v>15</v>
      </c>
      <c r="Y1829" s="11" t="s">
        <v>2177</v>
      </c>
      <c r="Z1829" s="2" t="s">
        <v>36</v>
      </c>
      <c r="AA1829" s="13">
        <v>-0.37739</v>
      </c>
      <c r="AB1829" s="13" t="s">
        <v>10372</v>
      </c>
    </row>
    <row r="1830" spans="1:28" ht="15" customHeight="1">
      <c r="A1830" s="2" t="s">
        <v>9482</v>
      </c>
      <c r="B1830" s="2" t="s">
        <v>28</v>
      </c>
      <c r="C1830" s="11" t="s">
        <v>3345</v>
      </c>
      <c r="D1830" s="2" t="s">
        <v>30</v>
      </c>
      <c r="E1830" s="2" t="s">
        <v>985</v>
      </c>
      <c r="F1830" s="11" t="s">
        <v>2178</v>
      </c>
      <c r="G1830" s="46" t="s">
        <v>2179</v>
      </c>
      <c r="H1830" s="2" t="s">
        <v>2134</v>
      </c>
      <c r="I1830" s="12" t="s">
        <v>249</v>
      </c>
      <c r="J1830" s="41">
        <f>+Tabla1[[#This Row],[FECHA ENTRADA]]</f>
        <v>45777</v>
      </c>
      <c r="K1830" s="22">
        <v>45821</v>
      </c>
      <c r="L1830" s="23">
        <f>_xlfn.DAYS(Tabla1[[#This Row],[FECHA FIN ]],Tabla1[[#This Row],[FECHA INICIO]])</f>
        <v>44</v>
      </c>
      <c r="M1830" s="12"/>
      <c r="N1830" s="12"/>
      <c r="O1830" s="24">
        <f>(Tabla1[[#This Row],[COSTO FIJO ]]/30)*Tabla1[[#This Row],[TOTAL DIAS PROYECTO]]+(Tabla1[[#This Row],[COSTO TEMPORAL]])</f>
        <v>0</v>
      </c>
      <c r="P1830" s="12"/>
      <c r="Q1830" s="12">
        <f>+(Tabla1[[#This Row],[COSTO COCHE]]/30)*Tabla1[[#This Row],[TOTAL DIAS PROYECTO]]</f>
        <v>0</v>
      </c>
      <c r="R1830" s="12">
        <f>+Tabla1[[#This Row],[COSTO TOTAL ALOJAMIENTO]]+Tabla1[[#This Row],[COSTO TOTAL COCHE]]</f>
        <v>0</v>
      </c>
      <c r="S1830" s="2"/>
      <c r="T1830" s="2" t="s">
        <v>528</v>
      </c>
      <c r="U1830" s="14">
        <v>45777</v>
      </c>
      <c r="V1830" s="25">
        <v>45781</v>
      </c>
      <c r="W1830" s="26"/>
      <c r="X1830" s="2"/>
      <c r="Y1830" s="11" t="s">
        <v>1166</v>
      </c>
      <c r="Z1830" s="2" t="s">
        <v>36</v>
      </c>
      <c r="AA1830" s="13" t="s">
        <v>10407</v>
      </c>
      <c r="AB1830" s="13" t="s">
        <v>10408</v>
      </c>
    </row>
    <row r="1831" spans="1:28" ht="15" customHeight="1">
      <c r="A1831" s="2" t="s">
        <v>9447</v>
      </c>
      <c r="B1831" s="2" t="s">
        <v>28</v>
      </c>
      <c r="C1831" s="104" t="s">
        <v>3218</v>
      </c>
      <c r="D1831" s="2" t="s">
        <v>30</v>
      </c>
      <c r="E1831" s="2" t="s">
        <v>985</v>
      </c>
      <c r="F1831" s="11" t="s">
        <v>2178</v>
      </c>
      <c r="G1831" s="21" t="s">
        <v>2179</v>
      </c>
      <c r="H1831" s="2" t="s">
        <v>2134</v>
      </c>
      <c r="I1831" s="12" t="s">
        <v>249</v>
      </c>
      <c r="J1831" s="41">
        <f>+Tabla1[[#This Row],[FECHA ENTRADA]]</f>
        <v>45776</v>
      </c>
      <c r="K1831" s="22">
        <v>45821</v>
      </c>
      <c r="L1831" s="23">
        <f>_xlfn.DAYS(Tabla1[[#This Row],[FECHA FIN ]],Tabla1[[#This Row],[FECHA INICIO]])</f>
        <v>45</v>
      </c>
      <c r="M1831" s="12"/>
      <c r="N1831" s="24"/>
      <c r="O1831" s="24">
        <f>(Tabla1[[#This Row],[COSTO FIJO ]]/30)*Tabla1[[#This Row],[TOTAL DIAS PROYECTO]]+(Tabla1[[#This Row],[COSTO TEMPORAL]])</f>
        <v>0</v>
      </c>
      <c r="P1831" s="12"/>
      <c r="Q1831" s="12">
        <f>+(Tabla1[[#This Row],[COSTO COCHE]]/30)*Tabla1[[#This Row],[TOTAL DIAS PROYECTO]]</f>
        <v>0</v>
      </c>
      <c r="R1831" s="12">
        <f>+Tabla1[[#This Row],[COSTO TOTAL ALOJAMIENTO]]+Tabla1[[#This Row],[COSTO TOTAL COCHE]]</f>
        <v>0</v>
      </c>
      <c r="S1831" s="2"/>
      <c r="T1831" s="2" t="s">
        <v>528</v>
      </c>
      <c r="U1831" s="14">
        <v>45776</v>
      </c>
      <c r="V1831" s="25">
        <v>45781</v>
      </c>
      <c r="W1831" s="26"/>
      <c r="X1831" s="2"/>
      <c r="Y1831" s="11" t="s">
        <v>1166</v>
      </c>
      <c r="Z1831" s="2" t="s">
        <v>36</v>
      </c>
      <c r="AA1831" s="13" t="s">
        <v>10407</v>
      </c>
      <c r="AB1831" s="13" t="s">
        <v>10408</v>
      </c>
    </row>
    <row r="1832" spans="1:28" ht="15" customHeight="1">
      <c r="A1832" s="2" t="s">
        <v>9421</v>
      </c>
      <c r="B1832" s="2" t="s">
        <v>28</v>
      </c>
      <c r="C1832" s="104" t="s">
        <v>3115</v>
      </c>
      <c r="D1832" s="2" t="s">
        <v>30</v>
      </c>
      <c r="E1832" s="2" t="s">
        <v>985</v>
      </c>
      <c r="F1832" s="11" t="s">
        <v>2178</v>
      </c>
      <c r="G1832" s="21" t="s">
        <v>2179</v>
      </c>
      <c r="H1832" s="2" t="s">
        <v>2134</v>
      </c>
      <c r="I1832" s="12" t="s">
        <v>249</v>
      </c>
      <c r="J1832" s="41">
        <f>+Tabla1[[#This Row],[FECHA ENTRADA]]</f>
        <v>45777</v>
      </c>
      <c r="K1832" s="22">
        <v>45821</v>
      </c>
      <c r="L1832" s="23">
        <f>_xlfn.DAYS(Tabla1[[#This Row],[FECHA FIN ]],Tabla1[[#This Row],[FECHA INICIO]])</f>
        <v>44</v>
      </c>
      <c r="M1832" s="12"/>
      <c r="N1832" s="24"/>
      <c r="O1832" s="24">
        <f>(Tabla1[[#This Row],[COSTO FIJO ]]/30)*Tabla1[[#This Row],[TOTAL DIAS PROYECTO]]+(Tabla1[[#This Row],[COSTO TEMPORAL]])</f>
        <v>0</v>
      </c>
      <c r="P1832" s="12"/>
      <c r="Q1832" s="12">
        <f>+(Tabla1[[#This Row],[COSTO COCHE]]/30)*Tabla1[[#This Row],[TOTAL DIAS PROYECTO]]</f>
        <v>0</v>
      </c>
      <c r="R1832" s="12">
        <f>+Tabla1[[#This Row],[COSTO TOTAL ALOJAMIENTO]]+Tabla1[[#This Row],[COSTO TOTAL COCHE]]</f>
        <v>0</v>
      </c>
      <c r="S1832" s="2"/>
      <c r="T1832" s="2" t="s">
        <v>528</v>
      </c>
      <c r="U1832" s="14">
        <v>45777</v>
      </c>
      <c r="V1832" s="25">
        <v>45781</v>
      </c>
      <c r="W1832" s="26"/>
      <c r="X1832" s="2"/>
      <c r="Y1832" s="11" t="s">
        <v>1166</v>
      </c>
      <c r="Z1832" s="2" t="s">
        <v>36</v>
      </c>
      <c r="AA1832" s="13" t="s">
        <v>10407</v>
      </c>
      <c r="AB1832" s="13" t="s">
        <v>10408</v>
      </c>
    </row>
    <row r="1833" spans="1:28" ht="15" customHeight="1">
      <c r="A1833" s="2" t="s">
        <v>9484</v>
      </c>
      <c r="B1833" s="2" t="s">
        <v>28</v>
      </c>
      <c r="C1833" s="104" t="s">
        <v>3351</v>
      </c>
      <c r="D1833" s="2" t="s">
        <v>30</v>
      </c>
      <c r="E1833" s="2" t="s">
        <v>985</v>
      </c>
      <c r="F1833" s="11" t="s">
        <v>2178</v>
      </c>
      <c r="G1833" s="21" t="s">
        <v>2179</v>
      </c>
      <c r="H1833" s="2" t="s">
        <v>2134</v>
      </c>
      <c r="I1833" s="12" t="s">
        <v>249</v>
      </c>
      <c r="J1833" s="41">
        <f>+Tabla1[[#This Row],[FECHA ENTRADA]]</f>
        <v>45776</v>
      </c>
      <c r="K1833" s="22">
        <v>45821</v>
      </c>
      <c r="L1833" s="23">
        <f>_xlfn.DAYS(Tabla1[[#This Row],[FECHA FIN ]],Tabla1[[#This Row],[FECHA INICIO]])</f>
        <v>45</v>
      </c>
      <c r="M1833" s="12"/>
      <c r="N1833" s="24"/>
      <c r="O1833" s="24">
        <f>(Tabla1[[#This Row],[COSTO FIJO ]]/30)*Tabla1[[#This Row],[TOTAL DIAS PROYECTO]]+(Tabla1[[#This Row],[COSTO TEMPORAL]])</f>
        <v>0</v>
      </c>
      <c r="P1833" s="12"/>
      <c r="Q1833" s="12">
        <f>+(Tabla1[[#This Row],[COSTO COCHE]]/30)*Tabla1[[#This Row],[TOTAL DIAS PROYECTO]]</f>
        <v>0</v>
      </c>
      <c r="R1833" s="12">
        <f>+Tabla1[[#This Row],[COSTO TOTAL ALOJAMIENTO]]+Tabla1[[#This Row],[COSTO TOTAL COCHE]]</f>
        <v>0</v>
      </c>
      <c r="S1833" s="2"/>
      <c r="T1833" s="2" t="s">
        <v>528</v>
      </c>
      <c r="U1833" s="14">
        <v>45776</v>
      </c>
      <c r="V1833" s="25">
        <v>45781</v>
      </c>
      <c r="W1833" s="26"/>
      <c r="X1833" s="2"/>
      <c r="Y1833" s="11" t="s">
        <v>1166</v>
      </c>
      <c r="Z1833" s="2" t="s">
        <v>36</v>
      </c>
      <c r="AA1833" s="13" t="s">
        <v>10407</v>
      </c>
      <c r="AB1833" s="13" t="s">
        <v>10408</v>
      </c>
    </row>
    <row r="1834" spans="1:28" ht="15" customHeight="1">
      <c r="A1834" s="2" t="s">
        <v>9485</v>
      </c>
      <c r="B1834" s="2" t="s">
        <v>28</v>
      </c>
      <c r="C1834" s="104" t="s">
        <v>3352</v>
      </c>
      <c r="D1834" s="2" t="s">
        <v>30</v>
      </c>
      <c r="E1834" s="2" t="s">
        <v>985</v>
      </c>
      <c r="F1834" s="11" t="s">
        <v>2178</v>
      </c>
      <c r="G1834" s="21" t="s">
        <v>2179</v>
      </c>
      <c r="H1834" s="2" t="s">
        <v>2134</v>
      </c>
      <c r="I1834" s="12" t="s">
        <v>249</v>
      </c>
      <c r="J1834" s="41">
        <f>+Tabla1[[#This Row],[FECHA ENTRADA]]</f>
        <v>45777</v>
      </c>
      <c r="K1834" s="22">
        <v>45821</v>
      </c>
      <c r="L1834" s="23">
        <f>_xlfn.DAYS(Tabla1[[#This Row],[FECHA FIN ]],Tabla1[[#This Row],[FECHA INICIO]])</f>
        <v>44</v>
      </c>
      <c r="M1834" s="12"/>
      <c r="N1834" s="12"/>
      <c r="O1834" s="24">
        <f>(Tabla1[[#This Row],[COSTO FIJO ]]/30)*Tabla1[[#This Row],[TOTAL DIAS PROYECTO]]+(Tabla1[[#This Row],[COSTO TEMPORAL]])</f>
        <v>0</v>
      </c>
      <c r="P1834" s="12"/>
      <c r="Q1834" s="12">
        <f>+(Tabla1[[#This Row],[COSTO COCHE]]/30)*Tabla1[[#This Row],[TOTAL DIAS PROYECTO]]</f>
        <v>0</v>
      </c>
      <c r="R1834" s="12">
        <f>+Tabla1[[#This Row],[COSTO TOTAL ALOJAMIENTO]]+Tabla1[[#This Row],[COSTO TOTAL COCHE]]</f>
        <v>0</v>
      </c>
      <c r="S1834" s="2"/>
      <c r="T1834" s="2" t="s">
        <v>528</v>
      </c>
      <c r="U1834" s="14">
        <v>45777</v>
      </c>
      <c r="V1834" s="25">
        <v>45781</v>
      </c>
      <c r="W1834" s="26"/>
      <c r="X1834" s="2"/>
      <c r="Y1834" s="11" t="s">
        <v>1166</v>
      </c>
      <c r="Z1834" s="2" t="s">
        <v>36</v>
      </c>
      <c r="AA1834" s="13" t="s">
        <v>10407</v>
      </c>
      <c r="AB1834" s="13" t="s">
        <v>10408</v>
      </c>
    </row>
    <row r="1835" spans="1:28" ht="15" customHeight="1">
      <c r="A1835" s="2" t="s">
        <v>8642</v>
      </c>
      <c r="B1835" s="2" t="s">
        <v>28</v>
      </c>
      <c r="C1835" s="104" t="s">
        <v>3357</v>
      </c>
      <c r="D1835" s="2" t="s">
        <v>30</v>
      </c>
      <c r="E1835" s="2" t="s">
        <v>985</v>
      </c>
      <c r="F1835" s="11" t="s">
        <v>2178</v>
      </c>
      <c r="G1835" s="21" t="s">
        <v>2179</v>
      </c>
      <c r="H1835" s="2" t="s">
        <v>2134</v>
      </c>
      <c r="I1835" s="12" t="s">
        <v>249</v>
      </c>
      <c r="J1835" s="41">
        <f>+Tabla1[[#This Row],[FECHA ENTRADA]]</f>
        <v>45776</v>
      </c>
      <c r="K1835" s="22">
        <v>45821</v>
      </c>
      <c r="L1835" s="23">
        <f>_xlfn.DAYS(Tabla1[[#This Row],[FECHA FIN ]],Tabla1[[#This Row],[FECHA INICIO]])</f>
        <v>45</v>
      </c>
      <c r="M1835" s="12"/>
      <c r="N1835" s="12"/>
      <c r="O1835" s="24">
        <f>(Tabla1[[#This Row],[COSTO FIJO ]]/30)*Tabla1[[#This Row],[TOTAL DIAS PROYECTO]]+(Tabla1[[#This Row],[COSTO TEMPORAL]])</f>
        <v>0</v>
      </c>
      <c r="P1835" s="12"/>
      <c r="Q1835" s="12">
        <f>+(Tabla1[[#This Row],[COSTO COCHE]]/30)*Tabla1[[#This Row],[TOTAL DIAS PROYECTO]]</f>
        <v>0</v>
      </c>
      <c r="R1835" s="12">
        <f>+Tabla1[[#This Row],[COSTO TOTAL ALOJAMIENTO]]+Tabla1[[#This Row],[COSTO TOTAL COCHE]]</f>
        <v>0</v>
      </c>
      <c r="S1835" s="2"/>
      <c r="T1835" s="2" t="s">
        <v>528</v>
      </c>
      <c r="U1835" s="14">
        <v>45776</v>
      </c>
      <c r="V1835" s="25">
        <v>45781</v>
      </c>
      <c r="W1835" s="26"/>
      <c r="X1835" s="2"/>
      <c r="Y1835" s="11" t="s">
        <v>1166</v>
      </c>
      <c r="Z1835" s="2" t="s">
        <v>36</v>
      </c>
      <c r="AA1835" s="13" t="s">
        <v>10407</v>
      </c>
      <c r="AB1835" s="13" t="s">
        <v>10408</v>
      </c>
    </row>
    <row r="1836" spans="1:28" ht="15" customHeight="1">
      <c r="A1836" s="2" t="s">
        <v>9488</v>
      </c>
      <c r="B1836" s="2" t="s">
        <v>28</v>
      </c>
      <c r="C1836" s="104" t="s">
        <v>3358</v>
      </c>
      <c r="D1836" s="2" t="s">
        <v>30</v>
      </c>
      <c r="E1836" s="2" t="s">
        <v>985</v>
      </c>
      <c r="F1836" s="11" t="s">
        <v>2178</v>
      </c>
      <c r="G1836" s="21" t="s">
        <v>2179</v>
      </c>
      <c r="H1836" s="2" t="s">
        <v>2134</v>
      </c>
      <c r="I1836" s="12" t="s">
        <v>249</v>
      </c>
      <c r="J1836" s="41">
        <f>+Tabla1[[#This Row],[FECHA ENTRADA]]</f>
        <v>45777</v>
      </c>
      <c r="K1836" s="22">
        <v>45821</v>
      </c>
      <c r="L1836" s="23">
        <f>_xlfn.DAYS(Tabla1[[#This Row],[FECHA FIN ]],Tabla1[[#This Row],[FECHA INICIO]])</f>
        <v>44</v>
      </c>
      <c r="M1836" s="12"/>
      <c r="N1836" s="12"/>
      <c r="O1836" s="24">
        <f>(Tabla1[[#This Row],[COSTO FIJO ]]/30)*Tabla1[[#This Row],[TOTAL DIAS PROYECTO]]+(Tabla1[[#This Row],[COSTO TEMPORAL]])</f>
        <v>0</v>
      </c>
      <c r="P1836" s="12"/>
      <c r="Q1836" s="12">
        <f>+(Tabla1[[#This Row],[COSTO COCHE]]/30)*Tabla1[[#This Row],[TOTAL DIAS PROYECTO]]</f>
        <v>0</v>
      </c>
      <c r="R1836" s="12">
        <f>+Tabla1[[#This Row],[COSTO TOTAL ALOJAMIENTO]]+Tabla1[[#This Row],[COSTO TOTAL COCHE]]</f>
        <v>0</v>
      </c>
      <c r="S1836" s="2"/>
      <c r="T1836" s="2" t="s">
        <v>528</v>
      </c>
      <c r="U1836" s="14">
        <v>45777</v>
      </c>
      <c r="V1836" s="25">
        <v>45781</v>
      </c>
      <c r="W1836" s="26"/>
      <c r="X1836" s="2"/>
      <c r="Y1836" s="11" t="s">
        <v>1166</v>
      </c>
      <c r="Z1836" s="2" t="s">
        <v>36</v>
      </c>
      <c r="AA1836" s="13" t="s">
        <v>10407</v>
      </c>
      <c r="AB1836" s="13" t="s">
        <v>10408</v>
      </c>
    </row>
    <row r="1837" spans="1:28" ht="15" customHeight="1">
      <c r="A1837" s="2" t="s">
        <v>8638</v>
      </c>
      <c r="B1837" s="2" t="s">
        <v>28</v>
      </c>
      <c r="C1837" s="104" t="s">
        <v>2998</v>
      </c>
      <c r="D1837" s="2" t="s">
        <v>30</v>
      </c>
      <c r="E1837" s="2" t="s">
        <v>985</v>
      </c>
      <c r="F1837" s="11" t="s">
        <v>2178</v>
      </c>
      <c r="G1837" s="21" t="s">
        <v>2179</v>
      </c>
      <c r="H1837" s="2" t="s">
        <v>2134</v>
      </c>
      <c r="I1837" s="12" t="s">
        <v>249</v>
      </c>
      <c r="J1837" s="41">
        <f>+Tabla1[[#This Row],[FECHA ENTRADA]]</f>
        <v>45776</v>
      </c>
      <c r="K1837" s="22">
        <v>45821</v>
      </c>
      <c r="L1837" s="23">
        <f>_xlfn.DAYS(Tabla1[[#This Row],[FECHA FIN ]],Tabla1[[#This Row],[FECHA INICIO]])</f>
        <v>45</v>
      </c>
      <c r="M1837" s="12"/>
      <c r="N1837" s="24"/>
      <c r="O1837" s="24">
        <f>(Tabla1[[#This Row],[COSTO FIJO ]]/30)*Tabla1[[#This Row],[TOTAL DIAS PROYECTO]]+(Tabla1[[#This Row],[COSTO TEMPORAL]])</f>
        <v>0</v>
      </c>
      <c r="P1837" s="12"/>
      <c r="Q1837" s="12">
        <f>+(Tabla1[[#This Row],[COSTO COCHE]]/30)*Tabla1[[#This Row],[TOTAL DIAS PROYECTO]]</f>
        <v>0</v>
      </c>
      <c r="R1837" s="12">
        <f>+Tabla1[[#This Row],[COSTO TOTAL ALOJAMIENTO]]+Tabla1[[#This Row],[COSTO TOTAL COCHE]]</f>
        <v>0</v>
      </c>
      <c r="S1837" s="2"/>
      <c r="T1837" s="2" t="s">
        <v>528</v>
      </c>
      <c r="U1837" s="14">
        <v>45776</v>
      </c>
      <c r="V1837" s="25">
        <v>45781</v>
      </c>
      <c r="W1837" s="26"/>
      <c r="X1837" s="2"/>
      <c r="Y1837" s="11" t="s">
        <v>1166</v>
      </c>
      <c r="Z1837" s="2" t="s">
        <v>36</v>
      </c>
      <c r="AA1837" s="13" t="s">
        <v>10407</v>
      </c>
      <c r="AB1837" s="13" t="s">
        <v>10408</v>
      </c>
    </row>
    <row r="1838" spans="1:28" ht="15" customHeight="1">
      <c r="A1838" s="2" t="s">
        <v>9494</v>
      </c>
      <c r="B1838" s="2" t="s">
        <v>368</v>
      </c>
      <c r="C1838" s="104" t="s">
        <v>3374</v>
      </c>
      <c r="D1838" s="2" t="s">
        <v>99</v>
      </c>
      <c r="E1838" s="2" t="s">
        <v>422</v>
      </c>
      <c r="F1838" s="11" t="s">
        <v>1983</v>
      </c>
      <c r="G1838" s="11" t="s">
        <v>2067</v>
      </c>
      <c r="H1838" s="2" t="s">
        <v>3266</v>
      </c>
      <c r="I1838" s="10" t="s">
        <v>1435</v>
      </c>
      <c r="J1838" s="22">
        <f>+Tabla1[[#This Row],[FECHA ENTRADA]]</f>
        <v>45792</v>
      </c>
      <c r="K1838" s="8">
        <f>+Tabla1[[#This Row],[FECHA SALIDA]]</f>
        <v>45796</v>
      </c>
      <c r="L1838" s="23">
        <f>_xlfn.DAYS(Tabla1[[#This Row],[FECHA FIN ]],Tabla1[[#This Row],[FECHA INICIO]])</f>
        <v>4</v>
      </c>
      <c r="M1838" s="12"/>
      <c r="N1838" s="24"/>
      <c r="O1838" s="24">
        <f>(Tabla1[[#This Row],[COSTO FIJO ]]/30)*Tabla1[[#This Row],[TOTAL DIAS PROYECTO]]+(Tabla1[[#This Row],[COSTO TEMPORAL]])</f>
        <v>0</v>
      </c>
      <c r="P1838" s="12"/>
      <c r="Q1838" s="12">
        <f>+(Tabla1[[#This Row],[COSTO COCHE]]/30)*Tabla1[[#This Row],[TOTAL DIAS PROYECTO]]</f>
        <v>0</v>
      </c>
      <c r="R1838" s="12">
        <f>+Tabla1[[#This Row],[COSTO TOTAL ALOJAMIENTO]]+Tabla1[[#This Row],[COSTO TOTAL COCHE]]</f>
        <v>0</v>
      </c>
      <c r="S1838" s="2"/>
      <c r="T1838" s="2" t="s">
        <v>44</v>
      </c>
      <c r="U1838" s="14">
        <v>45792</v>
      </c>
      <c r="V1838" s="25">
        <v>45796</v>
      </c>
      <c r="W1838" s="26"/>
      <c r="X1838" s="2"/>
      <c r="Y1838" s="11"/>
      <c r="Z1838" s="2" t="s">
        <v>36</v>
      </c>
      <c r="AA1838" s="13">
        <v>-326.69799999999998</v>
      </c>
      <c r="AB1838" s="13" t="s">
        <v>10373</v>
      </c>
    </row>
    <row r="1839" spans="1:28" ht="15" customHeight="1">
      <c r="A1839" s="2" t="s">
        <v>8638</v>
      </c>
      <c r="B1839" s="2" t="s">
        <v>368</v>
      </c>
      <c r="C1839" s="11" t="s">
        <v>2409</v>
      </c>
      <c r="D1839" s="2" t="s">
        <v>99</v>
      </c>
      <c r="E1839" s="2" t="s">
        <v>422</v>
      </c>
      <c r="F1839" s="11" t="s">
        <v>1983</v>
      </c>
      <c r="G1839" s="11" t="s">
        <v>2067</v>
      </c>
      <c r="H1839" s="2" t="s">
        <v>3266</v>
      </c>
      <c r="I1839" s="10" t="s">
        <v>1435</v>
      </c>
      <c r="J1839" s="22">
        <f>+Tabla1[[#This Row],[FECHA ENTRADA]]</f>
        <v>45792</v>
      </c>
      <c r="K1839" s="8">
        <f>+Tabla1[[#This Row],[FECHA SALIDA]]</f>
        <v>45796</v>
      </c>
      <c r="L1839" s="23">
        <f>_xlfn.DAYS(Tabla1[[#This Row],[FECHA FIN ]],Tabla1[[#This Row],[FECHA INICIO]])</f>
        <v>4</v>
      </c>
      <c r="M1839" s="12">
        <v>123.5</v>
      </c>
      <c r="N1839" s="24"/>
      <c r="O1839" s="24">
        <f>(Tabla1[[#This Row],[COSTO FIJO ]]/30)*Tabla1[[#This Row],[TOTAL DIAS PROYECTO]]+(Tabla1[[#This Row],[COSTO TEMPORAL]])</f>
        <v>123.5</v>
      </c>
      <c r="P1839" s="12"/>
      <c r="Q1839" s="12">
        <f>+(Tabla1[[#This Row],[COSTO COCHE]]/30)*Tabla1[[#This Row],[TOTAL DIAS PROYECTO]]</f>
        <v>0</v>
      </c>
      <c r="R1839" s="12">
        <f>+Tabla1[[#This Row],[COSTO TOTAL ALOJAMIENTO]]+Tabla1[[#This Row],[COSTO TOTAL COCHE]]</f>
        <v>123.5</v>
      </c>
      <c r="S1839" s="2"/>
      <c r="T1839" s="2" t="s">
        <v>44</v>
      </c>
      <c r="U1839" s="14">
        <v>45792</v>
      </c>
      <c r="V1839" s="25">
        <v>45796</v>
      </c>
      <c r="W1839" s="26"/>
      <c r="X1839" s="2"/>
      <c r="Y1839" s="11"/>
      <c r="Z1839" s="2" t="s">
        <v>36</v>
      </c>
      <c r="AA1839" s="13">
        <v>-326.69799999999998</v>
      </c>
      <c r="AB1839" s="13" t="s">
        <v>10373</v>
      </c>
    </row>
    <row r="1840" spans="1:28" ht="15" customHeight="1">
      <c r="A1840" s="2" t="s">
        <v>8642</v>
      </c>
      <c r="B1840" s="2" t="s">
        <v>368</v>
      </c>
      <c r="C1840" s="104" t="s">
        <v>3375</v>
      </c>
      <c r="D1840" s="2" t="s">
        <v>99</v>
      </c>
      <c r="E1840" s="2" t="s">
        <v>422</v>
      </c>
      <c r="F1840" s="11" t="s">
        <v>1983</v>
      </c>
      <c r="G1840" s="11" t="s">
        <v>2067</v>
      </c>
      <c r="H1840" s="2" t="s">
        <v>3266</v>
      </c>
      <c r="I1840" s="10" t="s">
        <v>1435</v>
      </c>
      <c r="J1840" s="22">
        <f>+Tabla1[[#This Row],[FECHA ENTRADA]]</f>
        <v>45792</v>
      </c>
      <c r="K1840" s="8">
        <f>+Tabla1[[#This Row],[FECHA SALIDA]]</f>
        <v>45796</v>
      </c>
      <c r="L1840" s="23">
        <f>_xlfn.DAYS(Tabla1[[#This Row],[FECHA FIN ]],Tabla1[[#This Row],[FECHA INICIO]])</f>
        <v>4</v>
      </c>
      <c r="M1840" s="12">
        <v>123.5</v>
      </c>
      <c r="N1840" s="24"/>
      <c r="O1840" s="24">
        <f>(Tabla1[[#This Row],[COSTO FIJO ]]/30)*Tabla1[[#This Row],[TOTAL DIAS PROYECTO]]+(Tabla1[[#This Row],[COSTO TEMPORAL]])</f>
        <v>123.5</v>
      </c>
      <c r="P1840" s="12"/>
      <c r="Q1840" s="12">
        <f>+(Tabla1[[#This Row],[COSTO COCHE]]/30)*Tabla1[[#This Row],[TOTAL DIAS PROYECTO]]</f>
        <v>0</v>
      </c>
      <c r="R1840" s="12">
        <f>+Tabla1[[#This Row],[COSTO TOTAL ALOJAMIENTO]]+Tabla1[[#This Row],[COSTO TOTAL COCHE]]</f>
        <v>123.5</v>
      </c>
      <c r="S1840" s="2"/>
      <c r="T1840" s="2" t="s">
        <v>44</v>
      </c>
      <c r="U1840" s="14">
        <v>45792</v>
      </c>
      <c r="V1840" s="25">
        <v>45796</v>
      </c>
      <c r="W1840" s="26"/>
      <c r="X1840" s="2"/>
      <c r="Y1840" s="11"/>
      <c r="Z1840" s="2" t="s">
        <v>36</v>
      </c>
      <c r="AA1840" s="13">
        <v>-326.69799999999998</v>
      </c>
      <c r="AB1840" s="13" t="s">
        <v>10373</v>
      </c>
    </row>
    <row r="1841" spans="1:28" ht="15" customHeight="1">
      <c r="A1841" s="2" t="s">
        <v>8642</v>
      </c>
      <c r="B1841" s="2" t="s">
        <v>368</v>
      </c>
      <c r="C1841" s="11" t="s">
        <v>3376</v>
      </c>
      <c r="D1841" s="2" t="s">
        <v>99</v>
      </c>
      <c r="E1841" s="2" t="s">
        <v>422</v>
      </c>
      <c r="F1841" s="11" t="s">
        <v>1983</v>
      </c>
      <c r="G1841" s="11" t="s">
        <v>2067</v>
      </c>
      <c r="H1841" s="2" t="s">
        <v>3266</v>
      </c>
      <c r="I1841" s="10" t="s">
        <v>1435</v>
      </c>
      <c r="J1841" s="22">
        <f>+Tabla1[[#This Row],[FECHA ENTRADA]]</f>
        <v>45792</v>
      </c>
      <c r="K1841" s="8">
        <f>+Tabla1[[#This Row],[FECHA SALIDA]]</f>
        <v>45796</v>
      </c>
      <c r="L1841" s="23">
        <f>_xlfn.DAYS(Tabla1[[#This Row],[FECHA FIN ]],Tabla1[[#This Row],[FECHA INICIO]])</f>
        <v>4</v>
      </c>
      <c r="M1841" s="12">
        <v>123.5</v>
      </c>
      <c r="N1841" s="24"/>
      <c r="O1841" s="24">
        <f>(Tabla1[[#This Row],[COSTO FIJO ]]/30)*Tabla1[[#This Row],[TOTAL DIAS PROYECTO]]+(Tabla1[[#This Row],[COSTO TEMPORAL]])</f>
        <v>123.5</v>
      </c>
      <c r="P1841" s="12"/>
      <c r="Q1841" s="12">
        <f>+(Tabla1[[#This Row],[COSTO COCHE]]/30)*Tabla1[[#This Row],[TOTAL DIAS PROYECTO]]</f>
        <v>0</v>
      </c>
      <c r="R1841" s="12">
        <f>+Tabla1[[#This Row],[COSTO TOTAL ALOJAMIENTO]]+Tabla1[[#This Row],[COSTO TOTAL COCHE]]</f>
        <v>123.5</v>
      </c>
      <c r="S1841" s="2"/>
      <c r="T1841" s="2" t="s">
        <v>44</v>
      </c>
      <c r="U1841" s="14">
        <v>45792</v>
      </c>
      <c r="V1841" s="25">
        <v>45796</v>
      </c>
      <c r="W1841" s="26"/>
      <c r="X1841" s="2"/>
      <c r="Y1841" s="11"/>
      <c r="Z1841" s="2" t="s">
        <v>36</v>
      </c>
      <c r="AA1841" s="13">
        <v>-326.69799999999998</v>
      </c>
      <c r="AB1841" s="13" t="s">
        <v>10373</v>
      </c>
    </row>
    <row r="1842" spans="1:28" ht="15" customHeight="1">
      <c r="A1842" s="2" t="s">
        <v>9453</v>
      </c>
      <c r="B1842" s="2" t="s">
        <v>711</v>
      </c>
      <c r="C1842" s="104" t="s">
        <v>3228</v>
      </c>
      <c r="D1842" s="2" t="s">
        <v>99</v>
      </c>
      <c r="E1842" s="2" t="s">
        <v>720</v>
      </c>
      <c r="F1842" s="11" t="s">
        <v>2033</v>
      </c>
      <c r="G1842" s="46" t="s">
        <v>2034</v>
      </c>
      <c r="H1842" s="2" t="s">
        <v>1874</v>
      </c>
      <c r="I1842" s="12" t="s">
        <v>506</v>
      </c>
      <c r="J1842" s="41">
        <f>+Tabla1[[#This Row],[FECHA ENTRADA]]</f>
        <v>45746</v>
      </c>
      <c r="K1842" s="22">
        <v>45821</v>
      </c>
      <c r="L1842" s="42">
        <f>_xlfn.DAYS(Tabla1[[#This Row],[FECHA FIN ]],Tabla1[[#This Row],[FECHA INICIO]])</f>
        <v>75</v>
      </c>
      <c r="M1842" s="12"/>
      <c r="N1842" s="12"/>
      <c r="O1842" s="28">
        <f>(Tabla1[[#This Row],[COSTO FIJO ]]/30)*Tabla1[[#This Row],[TOTAL DIAS PROYECTO]]+(Tabla1[[#This Row],[COSTO TEMPORAL]])</f>
        <v>0</v>
      </c>
      <c r="P1842" s="12">
        <f>1261.07/7</f>
        <v>180.15285714285713</v>
      </c>
      <c r="Q1842" s="12">
        <f>+(Tabla1[[#This Row],[COSTO COCHE]]/30)*Tabla1[[#This Row],[TOTAL DIAS PROYECTO]]</f>
        <v>450.38214285714281</v>
      </c>
      <c r="R1842" s="12">
        <f>+Tabla1[[#This Row],[COSTO TOTAL ALOJAMIENTO]]+Tabla1[[#This Row],[COSTO TOTAL COCHE]]</f>
        <v>450.38214285714281</v>
      </c>
      <c r="S1842" s="2" t="s">
        <v>403</v>
      </c>
      <c r="T1842" s="2" t="s">
        <v>528</v>
      </c>
      <c r="U1842" s="14">
        <v>45746</v>
      </c>
      <c r="V1842" s="43">
        <v>45764</v>
      </c>
      <c r="W1842" s="26"/>
      <c r="X1842" s="2"/>
      <c r="Y1842" s="11" t="s">
        <v>1166</v>
      </c>
      <c r="Z1842" s="2" t="s">
        <v>36</v>
      </c>
      <c r="AA1842" s="13" t="s">
        <v>10394</v>
      </c>
      <c r="AB1842" s="13" t="s">
        <v>10395</v>
      </c>
    </row>
    <row r="1843" spans="1:28" ht="15" customHeight="1">
      <c r="A1843" s="2" t="s">
        <v>9380</v>
      </c>
      <c r="B1843" s="2" t="s">
        <v>28</v>
      </c>
      <c r="C1843" s="11" t="s">
        <v>2982</v>
      </c>
      <c r="D1843" s="2" t="s">
        <v>99</v>
      </c>
      <c r="E1843" s="2" t="s">
        <v>245</v>
      </c>
      <c r="F1843" s="11" t="s">
        <v>3377</v>
      </c>
      <c r="G1843" s="46" t="s">
        <v>3378</v>
      </c>
      <c r="H1843" s="2" t="s">
        <v>2985</v>
      </c>
      <c r="I1843" s="12" t="s">
        <v>1019</v>
      </c>
      <c r="J1843" s="41">
        <f>+Tabla1[[#This Row],[FECHA ENTRADA]]</f>
        <v>45773</v>
      </c>
      <c r="K1843" s="22">
        <v>45783</v>
      </c>
      <c r="L1843" s="23">
        <f>_xlfn.DAYS(Tabla1[[#This Row],[FECHA FIN ]],Tabla1[[#This Row],[FECHA INICIO]])</f>
        <v>10</v>
      </c>
      <c r="M1843" s="12"/>
      <c r="N1843" s="12"/>
      <c r="O1843" s="24">
        <f>(Tabla1[[#This Row],[COSTO FIJO ]]/30)*Tabla1[[#This Row],[TOTAL DIAS PROYECTO]]+(Tabla1[[#This Row],[COSTO TEMPORAL]])</f>
        <v>0</v>
      </c>
      <c r="P1843" s="12"/>
      <c r="Q1843" s="12">
        <f>+(Tabla1[[#This Row],[COSTO COCHE]]/30)*Tabla1[[#This Row],[TOTAL DIAS PROYECTO]]</f>
        <v>0</v>
      </c>
      <c r="R1843" s="12">
        <f>+Tabla1[[#This Row],[COSTO TOTAL ALOJAMIENTO]]+Tabla1[[#This Row],[COSTO TOTAL COCHE]]</f>
        <v>0</v>
      </c>
      <c r="S1843" s="2" t="s">
        <v>403</v>
      </c>
      <c r="T1843" s="2" t="s">
        <v>44</v>
      </c>
      <c r="U1843" s="14">
        <v>45773</v>
      </c>
      <c r="V1843" s="25">
        <v>45783</v>
      </c>
      <c r="W1843" s="26"/>
      <c r="X1843" s="2"/>
      <c r="Y1843" s="11"/>
      <c r="Z1843" s="2" t="s">
        <v>36</v>
      </c>
      <c r="AA1843" s="13" t="s">
        <v>10355</v>
      </c>
      <c r="AB1843" s="13" t="s">
        <v>10356</v>
      </c>
    </row>
    <row r="1844" spans="1:28" ht="15" customHeight="1">
      <c r="A1844" s="2" t="s">
        <v>9443</v>
      </c>
      <c r="B1844" s="2" t="s">
        <v>711</v>
      </c>
      <c r="C1844" s="11" t="s">
        <v>3196</v>
      </c>
      <c r="D1844" s="2" t="s">
        <v>99</v>
      </c>
      <c r="E1844" s="2" t="s">
        <v>720</v>
      </c>
      <c r="F1844" s="11" t="s">
        <v>2033</v>
      </c>
      <c r="G1844" s="46" t="s">
        <v>2034</v>
      </c>
      <c r="H1844" s="2" t="s">
        <v>1874</v>
      </c>
      <c r="I1844" s="12" t="s">
        <v>506</v>
      </c>
      <c r="J1844" s="41">
        <f>+Tabla1[[#This Row],[FECHA ENTRADA]]</f>
        <v>45746</v>
      </c>
      <c r="K1844" s="22">
        <v>45821</v>
      </c>
      <c r="L1844" s="42">
        <f>_xlfn.DAYS(Tabla1[[#This Row],[FECHA FIN ]],Tabla1[[#This Row],[FECHA INICIO]])</f>
        <v>75</v>
      </c>
      <c r="M1844" s="12"/>
      <c r="N1844" s="28"/>
      <c r="O1844" s="28">
        <f>(Tabla1[[#This Row],[COSTO FIJO ]]/30)*Tabla1[[#This Row],[TOTAL DIAS PROYECTO]]+(Tabla1[[#This Row],[COSTO TEMPORAL]])</f>
        <v>0</v>
      </c>
      <c r="P1844" s="12">
        <f>1261.07/7</f>
        <v>180.15285714285713</v>
      </c>
      <c r="Q1844" s="12">
        <f>+(Tabla1[[#This Row],[COSTO COCHE]]/30)*Tabla1[[#This Row],[TOTAL DIAS PROYECTO]]</f>
        <v>450.38214285714281</v>
      </c>
      <c r="R1844" s="12">
        <f>+Tabla1[[#This Row],[COSTO TOTAL ALOJAMIENTO]]+Tabla1[[#This Row],[COSTO TOTAL COCHE]]</f>
        <v>450.38214285714281</v>
      </c>
      <c r="S1844" s="2" t="s">
        <v>403</v>
      </c>
      <c r="T1844" s="2" t="s">
        <v>528</v>
      </c>
      <c r="U1844" s="14">
        <v>45746</v>
      </c>
      <c r="V1844" s="43">
        <v>45764</v>
      </c>
      <c r="W1844" s="26"/>
      <c r="X1844" s="2"/>
      <c r="Y1844" s="11" t="s">
        <v>1166</v>
      </c>
      <c r="Z1844" s="2" t="s">
        <v>36</v>
      </c>
      <c r="AA1844" s="13" t="s">
        <v>10394</v>
      </c>
      <c r="AB1844" s="13" t="s">
        <v>10395</v>
      </c>
    </row>
    <row r="1845" spans="1:28" ht="15" customHeight="1">
      <c r="A1845" s="2" t="s">
        <v>9341</v>
      </c>
      <c r="B1845" s="2" t="s">
        <v>28</v>
      </c>
      <c r="C1845" s="31" t="s">
        <v>2866</v>
      </c>
      <c r="D1845" s="2" t="s">
        <v>749</v>
      </c>
      <c r="E1845" s="2" t="s">
        <v>288</v>
      </c>
      <c r="F1845" s="11" t="s">
        <v>3331</v>
      </c>
      <c r="G1845" t="s">
        <v>3332</v>
      </c>
      <c r="H1845" s="2" t="s">
        <v>3333</v>
      </c>
      <c r="I1845" s="10" t="s">
        <v>753</v>
      </c>
      <c r="J1845" s="41">
        <f>+Tabla1[[#This Row],[FECHA ENTRADA]]</f>
        <v>45749</v>
      </c>
      <c r="K1845" s="22">
        <v>45821</v>
      </c>
      <c r="L1845" s="42">
        <f>_xlfn.DAYS(Tabla1[[#This Row],[FECHA FIN ]],Tabla1[[#This Row],[FECHA INICIO]])</f>
        <v>72</v>
      </c>
      <c r="M1845" s="12"/>
      <c r="N1845" s="28"/>
      <c r="O1845" s="28">
        <f>(Tabla1[[#This Row],[COSTO FIJO ]]/30)*Tabla1[[#This Row],[TOTAL DIAS PROYECTO]]+(Tabla1[[#This Row],[COSTO TEMPORAL]])</f>
        <v>0</v>
      </c>
      <c r="P1845" s="12"/>
      <c r="Q1845" s="12">
        <f>+(Tabla1[[#This Row],[COSTO COCHE]]/30)*Tabla1[[#This Row],[TOTAL DIAS PROYECTO]]</f>
        <v>0</v>
      </c>
      <c r="R1845" s="12">
        <f>+Tabla1[[#This Row],[COSTO TOTAL ALOJAMIENTO]]+Tabla1[[#This Row],[COSTO TOTAL COCHE]]</f>
        <v>0</v>
      </c>
      <c r="S1845" s="2" t="s">
        <v>403</v>
      </c>
      <c r="T1845" s="2" t="s">
        <v>44</v>
      </c>
      <c r="U1845" s="14">
        <v>45749</v>
      </c>
      <c r="V1845" s="43">
        <v>45752</v>
      </c>
      <c r="W1845" s="26"/>
      <c r="X1845" s="2"/>
      <c r="Y1845" s="11"/>
      <c r="Z1845" s="2" t="s">
        <v>36</v>
      </c>
      <c r="AA1845" s="13" t="s">
        <v>10362</v>
      </c>
      <c r="AB1845" s="13" t="s">
        <v>10363</v>
      </c>
    </row>
    <row r="1846" spans="1:28" ht="15" customHeight="1">
      <c r="A1846" s="2" t="s">
        <v>9015</v>
      </c>
      <c r="B1846" s="2" t="s">
        <v>28</v>
      </c>
      <c r="C1846" s="11" t="s">
        <v>1703</v>
      </c>
      <c r="D1846" s="2" t="s">
        <v>99</v>
      </c>
      <c r="E1846" s="2" t="s">
        <v>259</v>
      </c>
      <c r="F1846" s="11" t="s">
        <v>2206</v>
      </c>
      <c r="G1846" s="46" t="s">
        <v>2207</v>
      </c>
      <c r="H1846" s="2" t="s">
        <v>2118</v>
      </c>
      <c r="I1846" t="s">
        <v>2119</v>
      </c>
      <c r="J1846" s="41">
        <f>+Tabla1[[#This Row],[FECHA ENTRADA]]</f>
        <v>45776</v>
      </c>
      <c r="K1846" s="22">
        <v>45821</v>
      </c>
      <c r="L1846" s="42">
        <f>_xlfn.DAYS(Tabla1[[#This Row],[FECHA FIN ]],Tabla1[[#This Row],[FECHA INICIO]])</f>
        <v>45</v>
      </c>
      <c r="M1846" s="12"/>
      <c r="N1846" s="28"/>
      <c r="O1846" s="28">
        <f>(Tabla1[[#This Row],[COSTO FIJO ]]/30)*Tabla1[[#This Row],[TOTAL DIAS PROYECTO]]+(Tabla1[[#This Row],[COSTO TEMPORAL]])</f>
        <v>0</v>
      </c>
      <c r="P1846" s="12"/>
      <c r="Q1846" s="12">
        <f>+(Tabla1[[#This Row],[COSTO COCHE]]/30)*Tabla1[[#This Row],[TOTAL DIAS PROYECTO]]</f>
        <v>0</v>
      </c>
      <c r="R1846" s="12">
        <f>+Tabla1[[#This Row],[COSTO TOTAL ALOJAMIENTO]]+Tabla1[[#This Row],[COSTO TOTAL COCHE]]</f>
        <v>0</v>
      </c>
      <c r="S1846" s="2"/>
      <c r="T1846" s="14" t="s">
        <v>44</v>
      </c>
      <c r="U1846" s="14">
        <v>45776</v>
      </c>
      <c r="V1846" s="43">
        <v>45783</v>
      </c>
      <c r="W1846" s="2"/>
      <c r="X1846" s="2"/>
      <c r="Y1846" s="11"/>
      <c r="Z1846" s="2" t="s">
        <v>36</v>
      </c>
      <c r="AA1846" s="13">
        <v>-0.87734000000000001</v>
      </c>
      <c r="AB1846" s="13" t="s">
        <v>10359</v>
      </c>
    </row>
    <row r="1847" spans="1:28" ht="15" customHeight="1">
      <c r="A1847" s="2" t="s">
        <v>9186</v>
      </c>
      <c r="B1847" s="2" t="s">
        <v>368</v>
      </c>
      <c r="C1847" s="11" t="s">
        <v>2361</v>
      </c>
      <c r="D1847" s="2" t="s">
        <v>30</v>
      </c>
      <c r="E1847" s="2" t="s">
        <v>31</v>
      </c>
      <c r="F1847" s="11" t="s">
        <v>3379</v>
      </c>
      <c r="G1847" s="46" t="s">
        <v>3380</v>
      </c>
      <c r="H1847" s="2" t="s">
        <v>3363</v>
      </c>
      <c r="I1847" s="10" t="s">
        <v>3364</v>
      </c>
      <c r="J1847" s="41">
        <f>+Tabla1[[#This Row],[FECHA ENTRADA]]</f>
        <v>45778</v>
      </c>
      <c r="K1847" s="22">
        <v>45821</v>
      </c>
      <c r="L1847" s="42">
        <f>_xlfn.DAYS(Tabla1[[#This Row],[FECHA FIN ]],Tabla1[[#This Row],[FECHA INICIO]])</f>
        <v>43</v>
      </c>
      <c r="M1847" s="12"/>
      <c r="N1847" s="12">
        <f>362.53/2</f>
        <v>181.26499999999999</v>
      </c>
      <c r="O1847" s="28">
        <f>(Tabla1[[#This Row],[COSTO FIJO ]]/30)*Tabla1[[#This Row],[TOTAL DIAS PROYECTO]]+(Tabla1[[#This Row],[COSTO TEMPORAL]])</f>
        <v>259.81316666666663</v>
      </c>
      <c r="P1847" s="12"/>
      <c r="Q1847" s="12">
        <f>+(Tabla1[[#This Row],[COSTO COCHE]]/30)*Tabla1[[#This Row],[TOTAL DIAS PROYECTO]]</f>
        <v>0</v>
      </c>
      <c r="R1847" s="12">
        <f>+Tabla1[[#This Row],[COSTO TOTAL ALOJAMIENTO]]+Tabla1[[#This Row],[COSTO TOTAL COCHE]]</f>
        <v>259.81316666666663</v>
      </c>
      <c r="S1847" s="2" t="s">
        <v>84</v>
      </c>
      <c r="T1847" s="2" t="s">
        <v>44</v>
      </c>
      <c r="U1847" s="14">
        <v>45778</v>
      </c>
      <c r="V1847" s="43">
        <v>45784</v>
      </c>
      <c r="W1847" s="2"/>
      <c r="X1847" s="2"/>
      <c r="Y1847" s="11"/>
      <c r="Z1847" s="2" t="s">
        <v>36</v>
      </c>
      <c r="AA1847" s="13" t="s">
        <v>10323</v>
      </c>
      <c r="AB1847" s="13" t="s">
        <v>10324</v>
      </c>
    </row>
    <row r="1848" spans="1:28" ht="15" customHeight="1">
      <c r="A1848" s="2" t="s">
        <v>9489</v>
      </c>
      <c r="B1848" s="2" t="s">
        <v>368</v>
      </c>
      <c r="C1848" s="11" t="s">
        <v>3366</v>
      </c>
      <c r="D1848" s="2" t="s">
        <v>30</v>
      </c>
      <c r="E1848" s="2" t="s">
        <v>31</v>
      </c>
      <c r="F1848" s="11" t="s">
        <v>3379</v>
      </c>
      <c r="G1848" s="46" t="s">
        <v>3380</v>
      </c>
      <c r="H1848" s="2" t="s">
        <v>3363</v>
      </c>
      <c r="I1848" s="10" t="s">
        <v>3364</v>
      </c>
      <c r="J1848" s="41">
        <f>+Tabla1[[#This Row],[FECHA ENTRADA]]</f>
        <v>45778</v>
      </c>
      <c r="K1848" s="22">
        <v>45821</v>
      </c>
      <c r="L1848" s="42">
        <f>_xlfn.DAYS(Tabla1[[#This Row],[FECHA FIN ]],Tabla1[[#This Row],[FECHA INICIO]])</f>
        <v>43</v>
      </c>
      <c r="M1848" s="12"/>
      <c r="N1848" s="12">
        <f>362.53/2</f>
        <v>181.26499999999999</v>
      </c>
      <c r="O1848" s="28">
        <f>(Tabla1[[#This Row],[COSTO FIJO ]]/30)*Tabla1[[#This Row],[TOTAL DIAS PROYECTO]]+(Tabla1[[#This Row],[COSTO TEMPORAL]])</f>
        <v>259.81316666666663</v>
      </c>
      <c r="P1848" s="12"/>
      <c r="Q1848" s="12">
        <f>+(Tabla1[[#This Row],[COSTO COCHE]]/30)*Tabla1[[#This Row],[TOTAL DIAS PROYECTO]]</f>
        <v>0</v>
      </c>
      <c r="R1848" s="12">
        <f>+Tabla1[[#This Row],[COSTO TOTAL ALOJAMIENTO]]+Tabla1[[#This Row],[COSTO TOTAL COCHE]]</f>
        <v>259.81316666666663</v>
      </c>
      <c r="S1848" s="2" t="s">
        <v>84</v>
      </c>
      <c r="T1848" s="2" t="s">
        <v>44</v>
      </c>
      <c r="U1848" s="14">
        <v>45778</v>
      </c>
      <c r="V1848" s="43">
        <v>45784</v>
      </c>
      <c r="W1848" s="2"/>
      <c r="X1848" s="2"/>
      <c r="Y1848" s="11"/>
      <c r="Z1848" s="2" t="s">
        <v>36</v>
      </c>
      <c r="AA1848" s="13" t="s">
        <v>10323</v>
      </c>
      <c r="AB1848" s="13" t="s">
        <v>10324</v>
      </c>
    </row>
    <row r="1849" spans="1:28" ht="15" customHeight="1">
      <c r="A1849" s="2" t="s">
        <v>9474</v>
      </c>
      <c r="B1849" s="2" t="s">
        <v>28</v>
      </c>
      <c r="C1849" s="11" t="s">
        <v>3324</v>
      </c>
      <c r="D1849" s="2" t="s">
        <v>30</v>
      </c>
      <c r="E1849" s="2" t="s">
        <v>359</v>
      </c>
      <c r="F1849" s="11" t="s">
        <v>494</v>
      </c>
      <c r="G1849" s="49" t="s">
        <v>495</v>
      </c>
      <c r="H1849" s="10" t="s">
        <v>3327</v>
      </c>
      <c r="I1849" s="10" t="s">
        <v>96</v>
      </c>
      <c r="J1849" s="41">
        <f>+Tabla1[[#This Row],[FECHA ENTRADA]]</f>
        <v>45870</v>
      </c>
      <c r="K1849" s="22">
        <v>45914</v>
      </c>
      <c r="L1849" s="42">
        <f>_xlfn.DAYS(Tabla1[[#This Row],[FECHA FIN ]],Tabla1[[#This Row],[FECHA INICIO]])</f>
        <v>44</v>
      </c>
      <c r="M1849" s="12"/>
      <c r="N1849" s="28">
        <v>141.66666666666666</v>
      </c>
      <c r="O1849" s="28">
        <f>(Tabla1[[#This Row],[COSTO FIJO ]]/30)*Tabla1[[#This Row],[TOTAL DIAS PROYECTO]]+(Tabla1[[#This Row],[COSTO TEMPORAL]])</f>
        <v>207.77777777777777</v>
      </c>
      <c r="P1849" s="12"/>
      <c r="Q1849" s="12">
        <f>+(Tabla1[[#This Row],[COSTO COCHE]]/30)*Tabla1[[#This Row],[TOTAL DIAS PROYECTO]]</f>
        <v>0</v>
      </c>
      <c r="R1849" s="12">
        <f>+Tabla1[[#This Row],[COSTO TOTAL ALOJAMIENTO]]+Tabla1[[#This Row],[COSTO TOTAL COCHE]]</f>
        <v>207.77777777777777</v>
      </c>
      <c r="S1849" s="2"/>
      <c r="T1849" s="14" t="s">
        <v>35</v>
      </c>
      <c r="U1849" s="14">
        <v>45870</v>
      </c>
      <c r="V1849" s="43"/>
      <c r="W1849" s="12"/>
      <c r="X1849" s="2">
        <v>1</v>
      </c>
      <c r="Y1849" s="11"/>
      <c r="Z1849" s="2" t="s">
        <v>36</v>
      </c>
      <c r="AA1849" s="13" t="s">
        <v>10367</v>
      </c>
      <c r="AB1849" s="13">
        <v>3899424</v>
      </c>
    </row>
    <row r="1850" spans="1:28" ht="15" customHeight="1">
      <c r="A1850" s="2" t="s">
        <v>9474</v>
      </c>
      <c r="B1850" s="2" t="s">
        <v>711</v>
      </c>
      <c r="C1850" s="11" t="s">
        <v>3324</v>
      </c>
      <c r="D1850" s="2" t="s">
        <v>30</v>
      </c>
      <c r="E1850" s="2" t="s">
        <v>648</v>
      </c>
      <c r="F1850" s="11" t="s">
        <v>2482</v>
      </c>
      <c r="G1850" s="11" t="s">
        <v>1545</v>
      </c>
      <c r="H1850" s="2" t="s">
        <v>3381</v>
      </c>
      <c r="I1850" s="12" t="s">
        <v>96</v>
      </c>
      <c r="J1850" s="22">
        <f>+Tabla1[[#This Row],[FECHA ENTRADA]]</f>
        <v>45914</v>
      </c>
      <c r="K1850" s="22">
        <v>45921</v>
      </c>
      <c r="L1850" s="23">
        <f>_xlfn.DAYS(Tabla1[[#This Row],[FECHA FIN ]],Tabla1[[#This Row],[FECHA INICIO]])</f>
        <v>7</v>
      </c>
      <c r="M1850" s="12"/>
      <c r="N1850" s="12"/>
      <c r="O1850" s="24">
        <f>(Tabla1[[#This Row],[COSTO FIJO ]]/30)*Tabla1[[#This Row],[TOTAL DIAS PROYECTO]]+(Tabla1[[#This Row],[COSTO TEMPORAL]])</f>
        <v>0</v>
      </c>
      <c r="P1850" s="12"/>
      <c r="Q1850" s="12">
        <f>+(Tabla1[[#This Row],[COSTO COCHE]]/30)*Tabla1[[#This Row],[TOTAL DIAS PROYECTO]]</f>
        <v>0</v>
      </c>
      <c r="R1850" s="12">
        <f>+Tabla1[[#This Row],[COSTO TOTAL ALOJAMIENTO]]+Tabla1[[#This Row],[COSTO TOTAL COCHE]]</f>
        <v>0</v>
      </c>
      <c r="S1850" s="2"/>
      <c r="T1850" s="14" t="s">
        <v>35</v>
      </c>
      <c r="U1850" s="14">
        <v>45914</v>
      </c>
      <c r="V1850" s="79"/>
      <c r="W1850" s="71"/>
      <c r="X1850" s="2">
        <v>1</v>
      </c>
      <c r="Y1850" s="11"/>
      <c r="Z1850" s="2" t="s">
        <v>36</v>
      </c>
      <c r="AA1850" s="13" t="s">
        <v>10387</v>
      </c>
      <c r="AB1850" s="13" t="s">
        <v>10388</v>
      </c>
    </row>
    <row r="1851" spans="1:28" ht="15" customHeight="1">
      <c r="A1851" s="2" t="s">
        <v>9495</v>
      </c>
      <c r="B1851" s="2" t="s">
        <v>28</v>
      </c>
      <c r="C1851" s="104" t="s">
        <v>3382</v>
      </c>
      <c r="D1851" s="2" t="s">
        <v>30</v>
      </c>
      <c r="E1851" s="2" t="s">
        <v>114</v>
      </c>
      <c r="F1851" s="11" t="s">
        <v>155</v>
      </c>
      <c r="G1851" s="30" t="s">
        <v>156</v>
      </c>
      <c r="H1851" s="2" t="s">
        <v>157</v>
      </c>
      <c r="I1851" s="2" t="s">
        <v>158</v>
      </c>
      <c r="J1851" s="8">
        <f>+Tabla1[[#This Row],[FECHA ENTRADA]]</f>
        <v>45354</v>
      </c>
      <c r="K1851" s="22">
        <v>45821</v>
      </c>
      <c r="L1851" s="13">
        <f>_xlfn.DAYS(Tabla1[[#This Row],[FECHA FIN ]],Tabla1[[#This Row],[FECHA INICIO]])</f>
        <v>467</v>
      </c>
      <c r="M1851" s="12"/>
      <c r="N1851" s="12">
        <f>1811.6/17</f>
        <v>106.56470588235294</v>
      </c>
      <c r="O1851" s="12">
        <f>(Tabla1[[#This Row],[COSTO FIJO ]]/30)*Tabla1[[#This Row],[TOTAL DIAS PROYECTO]]+(Tabla1[[#This Row],[COSTO TEMPORAL]])</f>
        <v>1658.8572549019609</v>
      </c>
      <c r="P1851" s="12"/>
      <c r="Q1851" s="12">
        <f>+(Tabla1[[#This Row],[COSTO COCHE]]/30)*Tabla1[[#This Row],[TOTAL DIAS PROYECTO]]</f>
        <v>0</v>
      </c>
      <c r="R1851" s="12">
        <f>+Tabla1[[#This Row],[COSTO TOTAL ALOJAMIENTO]]+Tabla1[[#This Row],[COSTO TOTAL COCHE]]</f>
        <v>1658.8572549019609</v>
      </c>
      <c r="S1851" s="2"/>
      <c r="T1851" s="2" t="s">
        <v>35</v>
      </c>
      <c r="U1851" s="14">
        <v>45354</v>
      </c>
      <c r="V1851" s="14"/>
      <c r="W1851" s="15"/>
      <c r="X1851" s="16">
        <v>2</v>
      </c>
      <c r="Y1851" s="18" t="s">
        <v>3383</v>
      </c>
      <c r="Z1851" s="2" t="s">
        <v>36</v>
      </c>
      <c r="AA1851" s="13" t="s">
        <v>10340</v>
      </c>
      <c r="AB1851" s="13" t="s">
        <v>10341</v>
      </c>
    </row>
    <row r="1852" spans="1:28" ht="15" customHeight="1">
      <c r="A1852" s="2" t="s">
        <v>9099</v>
      </c>
      <c r="B1852" s="2" t="s">
        <v>28</v>
      </c>
      <c r="C1852" s="115" t="s">
        <v>2022</v>
      </c>
      <c r="D1852" s="2" t="s">
        <v>30</v>
      </c>
      <c r="E1852" s="2" t="s">
        <v>114</v>
      </c>
      <c r="F1852" s="11" t="s">
        <v>155</v>
      </c>
      <c r="G1852" s="30" t="s">
        <v>156</v>
      </c>
      <c r="H1852" s="2" t="s">
        <v>220</v>
      </c>
      <c r="I1852" s="12" t="s">
        <v>118</v>
      </c>
      <c r="J1852" s="8">
        <f>+Tabla1[[#This Row],[FECHA ENTRADA]]</f>
        <v>45385</v>
      </c>
      <c r="K1852" s="22">
        <v>45821</v>
      </c>
      <c r="L1852" s="13">
        <f>_xlfn.DAYS(Tabla1[[#This Row],[FECHA FIN ]],Tabla1[[#This Row],[FECHA INICIO]])</f>
        <v>436</v>
      </c>
      <c r="M1852" s="12"/>
      <c r="N1852" s="12">
        <f>1811.6/17</f>
        <v>106.56470588235294</v>
      </c>
      <c r="O1852" s="12">
        <f>(Tabla1[[#This Row],[COSTO FIJO ]]/30)*Tabla1[[#This Row],[TOTAL DIAS PROYECTO]]+(Tabla1[[#This Row],[COSTO TEMPORAL]])</f>
        <v>1548.7403921568628</v>
      </c>
      <c r="P1852" s="12"/>
      <c r="Q1852" s="12">
        <f>+(Tabla1[[#This Row],[COSTO COCHE]]/30)*Tabla1[[#This Row],[TOTAL DIAS PROYECTO]]</f>
        <v>0</v>
      </c>
      <c r="R1852" s="12">
        <f>+Tabla1[[#This Row],[COSTO TOTAL ALOJAMIENTO]]+Tabla1[[#This Row],[COSTO TOTAL COCHE]]</f>
        <v>1548.7403921568628</v>
      </c>
      <c r="S1852" s="2"/>
      <c r="T1852" s="2" t="s">
        <v>35</v>
      </c>
      <c r="U1852" s="14">
        <v>45385</v>
      </c>
      <c r="V1852" s="14">
        <v>45403</v>
      </c>
      <c r="W1852" s="15"/>
      <c r="X1852" s="16">
        <v>2</v>
      </c>
      <c r="Y1852" s="18" t="s">
        <v>3384</v>
      </c>
      <c r="Z1852" s="2" t="s">
        <v>36</v>
      </c>
      <c r="AA1852" s="13" t="s">
        <v>10340</v>
      </c>
      <c r="AB1852" s="13" t="s">
        <v>10341</v>
      </c>
    </row>
    <row r="1853" spans="1:28" ht="15" customHeight="1">
      <c r="A1853" s="2" t="s">
        <v>9496</v>
      </c>
      <c r="B1853" s="2" t="s">
        <v>28</v>
      </c>
      <c r="C1853" s="115" t="s">
        <v>3385</v>
      </c>
      <c r="D1853" s="2" t="s">
        <v>30</v>
      </c>
      <c r="E1853" s="2" t="s">
        <v>127</v>
      </c>
      <c r="F1853" s="11" t="s">
        <v>544</v>
      </c>
      <c r="G1853" s="11" t="s">
        <v>545</v>
      </c>
      <c r="H1853" s="2" t="s">
        <v>546</v>
      </c>
      <c r="I1853" s="12" t="s">
        <v>547</v>
      </c>
      <c r="J1853" s="8">
        <f>+Tabla1[[#This Row],[FECHA ENTRADA]]</f>
        <v>45504</v>
      </c>
      <c r="K1853" s="22">
        <v>45562</v>
      </c>
      <c r="L1853" s="13">
        <f>_xlfn.DAYS(Tabla1[[#This Row],[FECHA FIN ]],Tabla1[[#This Row],[FECHA INICIO]])</f>
        <v>58</v>
      </c>
      <c r="M1853" s="12"/>
      <c r="N1853" s="12">
        <v>250</v>
      </c>
      <c r="O1853" s="12">
        <f>(Tabla1[[#This Row],[COSTO FIJO ]]/30)*Tabla1[[#This Row],[TOTAL DIAS PROYECTO]]+(Tabla1[[#This Row],[COSTO TEMPORAL]])</f>
        <v>483.33333333333337</v>
      </c>
      <c r="P1853" s="12"/>
      <c r="Q1853" s="12">
        <f>+(Tabla1[[#This Row],[COSTO COCHE]]/30)*Tabla1[[#This Row],[TOTAL DIAS PROYECTO]]</f>
        <v>0</v>
      </c>
      <c r="R1853" s="12">
        <f>+Tabla1[[#This Row],[COSTO TOTAL ALOJAMIENTO]]+Tabla1[[#This Row],[COSTO TOTAL COCHE]]</f>
        <v>483.33333333333337</v>
      </c>
      <c r="S1853" s="2"/>
      <c r="T1853" s="2" t="s">
        <v>35</v>
      </c>
      <c r="U1853" s="14">
        <v>45504</v>
      </c>
      <c r="V1853" s="14"/>
      <c r="W1853" s="26">
        <v>150</v>
      </c>
      <c r="X1853" s="2">
        <v>2</v>
      </c>
      <c r="Y1853" s="11" t="s">
        <v>3386</v>
      </c>
      <c r="Z1853" s="2" t="s">
        <v>36</v>
      </c>
      <c r="AA1853" s="13" t="s">
        <v>10342</v>
      </c>
      <c r="AB1853" s="13" t="s">
        <v>10343</v>
      </c>
    </row>
    <row r="1854" spans="1:28" ht="15" customHeight="1">
      <c r="A1854" s="2" t="s">
        <v>9341</v>
      </c>
      <c r="B1854" s="2" t="s">
        <v>28</v>
      </c>
      <c r="C1854" s="97" t="s">
        <v>2866</v>
      </c>
      <c r="D1854" s="2" t="s">
        <v>749</v>
      </c>
      <c r="E1854" s="2" t="s">
        <v>288</v>
      </c>
      <c r="F1854" s="11" t="s">
        <v>928</v>
      </c>
      <c r="G1854" t="s">
        <v>1031</v>
      </c>
      <c r="H1854" s="2" t="s">
        <v>1431</v>
      </c>
      <c r="I1854" s="12" t="s">
        <v>2473</v>
      </c>
      <c r="J1854" s="41">
        <f>+Tabla1[[#This Row],[FECHA ENTRADA]]</f>
        <v>45752</v>
      </c>
      <c r="K1854" s="22">
        <v>45821</v>
      </c>
      <c r="L1854" s="42">
        <f>_xlfn.DAYS(Tabla1[[#This Row],[FECHA FIN ]],Tabla1[[#This Row],[FECHA INICIO]])</f>
        <v>69</v>
      </c>
      <c r="M1854" s="12"/>
      <c r="N1854" s="24"/>
      <c r="O1854" s="28">
        <f>(Tabla1[[#This Row],[COSTO FIJO ]]/30)*Tabla1[[#This Row],[TOTAL DIAS PROYECTO]]+(Tabla1[[#This Row],[COSTO TEMPORAL]])</f>
        <v>0</v>
      </c>
      <c r="P1854" s="12"/>
      <c r="Q1854" s="12">
        <f>+(Tabla1[[#This Row],[COSTO COCHE]]/30)*Tabla1[[#This Row],[TOTAL DIAS PROYECTO]]</f>
        <v>0</v>
      </c>
      <c r="R1854" s="12">
        <f>+Tabla1[[#This Row],[COSTO TOTAL ALOJAMIENTO]]+Tabla1[[#This Row],[COSTO TOTAL COCHE]]</f>
        <v>0</v>
      </c>
      <c r="S1854" s="2"/>
      <c r="T1854" s="2" t="s">
        <v>35</v>
      </c>
      <c r="U1854" s="14">
        <v>45752</v>
      </c>
      <c r="V1854" s="43"/>
      <c r="W1854" s="26"/>
      <c r="X1854" s="2">
        <v>2</v>
      </c>
      <c r="Y1854" s="11"/>
      <c r="Z1854" s="2" t="s">
        <v>36</v>
      </c>
      <c r="AA1854" s="13" t="s">
        <v>10362</v>
      </c>
      <c r="AB1854" s="13" t="s">
        <v>10363</v>
      </c>
    </row>
    <row r="1855" spans="1:28" ht="15" customHeight="1">
      <c r="A1855" s="2" t="s">
        <v>9497</v>
      </c>
      <c r="B1855" s="2" t="s">
        <v>28</v>
      </c>
      <c r="C1855" s="104" t="s">
        <v>3387</v>
      </c>
      <c r="D1855" s="2" t="s">
        <v>749</v>
      </c>
      <c r="E1855" s="2" t="s">
        <v>288</v>
      </c>
      <c r="F1855" s="11" t="s">
        <v>3331</v>
      </c>
      <c r="G1855" t="s">
        <v>3332</v>
      </c>
      <c r="H1855" s="2" t="s">
        <v>3333</v>
      </c>
      <c r="I1855" s="10" t="s">
        <v>753</v>
      </c>
      <c r="J1855" s="41">
        <f>+Tabla1[[#This Row],[FECHA ENTRADA]]</f>
        <v>45749</v>
      </c>
      <c r="K1855" s="22">
        <v>45821</v>
      </c>
      <c r="L1855" s="42">
        <f>_xlfn.DAYS(Tabla1[[#This Row],[FECHA FIN ]],Tabla1[[#This Row],[FECHA INICIO]])</f>
        <v>72</v>
      </c>
      <c r="M1855" s="12"/>
      <c r="N1855" s="28"/>
      <c r="O1855" s="28">
        <f>(Tabla1[[#This Row],[COSTO FIJO ]]/30)*Tabla1[[#This Row],[TOTAL DIAS PROYECTO]]+(Tabla1[[#This Row],[COSTO TEMPORAL]])</f>
        <v>0</v>
      </c>
      <c r="P1855" s="12"/>
      <c r="Q1855" s="12">
        <f>+(Tabla1[[#This Row],[COSTO COCHE]]/30)*Tabla1[[#This Row],[TOTAL DIAS PROYECTO]]</f>
        <v>0</v>
      </c>
      <c r="R1855" s="12">
        <f>+Tabla1[[#This Row],[COSTO TOTAL ALOJAMIENTO]]+Tabla1[[#This Row],[COSTO TOTAL COCHE]]</f>
        <v>0</v>
      </c>
      <c r="S1855" s="2" t="s">
        <v>403</v>
      </c>
      <c r="T1855" s="2" t="s">
        <v>44</v>
      </c>
      <c r="U1855" s="14">
        <v>45749</v>
      </c>
      <c r="V1855" s="43">
        <v>45752</v>
      </c>
      <c r="W1855" s="26"/>
      <c r="X1855" s="2"/>
      <c r="Y1855" s="11"/>
      <c r="Z1855" s="2" t="s">
        <v>36</v>
      </c>
      <c r="AA1855" s="13" t="s">
        <v>10362</v>
      </c>
      <c r="AB1855" s="13" t="s">
        <v>10363</v>
      </c>
    </row>
    <row r="1856" spans="1:28" ht="15" customHeight="1">
      <c r="A1856" s="2" t="s">
        <v>9498</v>
      </c>
      <c r="B1856" s="2" t="s">
        <v>368</v>
      </c>
      <c r="C1856" s="104" t="s">
        <v>3388</v>
      </c>
      <c r="D1856" s="2" t="s">
        <v>99</v>
      </c>
      <c r="E1856" s="2" t="s">
        <v>55</v>
      </c>
      <c r="F1856" s="11" t="s">
        <v>1618</v>
      </c>
      <c r="G1856" s="49" t="s">
        <v>1619</v>
      </c>
      <c r="H1856" s="2" t="s">
        <v>2129</v>
      </c>
      <c r="I1856" s="162" t="s">
        <v>1316</v>
      </c>
      <c r="J1856" s="22">
        <f>+Tabla1[[#This Row],[FECHA ENTRADA]]</f>
        <v>45741</v>
      </c>
      <c r="K1856" s="22">
        <v>45821</v>
      </c>
      <c r="L1856" s="23">
        <f>_xlfn.DAYS(Tabla1[[#This Row],[FECHA FIN ]],Tabla1[[#This Row],[FECHA INICIO]])</f>
        <v>80</v>
      </c>
      <c r="M1856" s="12"/>
      <c r="N1856" s="12"/>
      <c r="O1856" s="24">
        <f>(Tabla1[[#This Row],[COSTO FIJO ]]/30)*Tabla1[[#This Row],[TOTAL DIAS PROYECTO]]+(Tabla1[[#This Row],[COSTO TEMPORAL]])</f>
        <v>0</v>
      </c>
      <c r="P1856" s="12"/>
      <c r="Q1856" s="12">
        <f>+(Tabla1[[#This Row],[COSTO COCHE]]/30)*Tabla1[[#This Row],[TOTAL DIAS PROYECTO]]</f>
        <v>0</v>
      </c>
      <c r="R1856" s="12">
        <f>+Tabla1[[#This Row],[COSTO TOTAL ALOJAMIENTO]]+Tabla1[[#This Row],[COSTO TOTAL COCHE]]</f>
        <v>0</v>
      </c>
      <c r="S1856" s="2"/>
      <c r="T1856" s="2" t="s">
        <v>44</v>
      </c>
      <c r="U1856" s="14">
        <v>45741</v>
      </c>
      <c r="V1856" s="25">
        <v>45783</v>
      </c>
      <c r="W1856" s="26"/>
      <c r="X1856" s="2"/>
      <c r="Y1856" s="11" t="s">
        <v>1166</v>
      </c>
      <c r="Z1856" s="2" t="s">
        <v>36</v>
      </c>
      <c r="AA1856" s="13" t="s">
        <v>10327</v>
      </c>
      <c r="AB1856" s="13" t="s">
        <v>10328</v>
      </c>
    </row>
    <row r="1857" spans="1:28" ht="15" customHeight="1">
      <c r="A1857" s="2" t="s">
        <v>9357</v>
      </c>
      <c r="B1857" s="2" t="s">
        <v>368</v>
      </c>
      <c r="C1857" s="104" t="s">
        <v>2921</v>
      </c>
      <c r="D1857" s="2" t="s">
        <v>99</v>
      </c>
      <c r="E1857" s="2" t="s">
        <v>1987</v>
      </c>
      <c r="F1857" s="11" t="s">
        <v>2225</v>
      </c>
      <c r="G1857" s="21" t="s">
        <v>2226</v>
      </c>
      <c r="H1857" s="2" t="s">
        <v>2227</v>
      </c>
      <c r="I1857" s="10" t="s">
        <v>2228</v>
      </c>
      <c r="J1857" s="22">
        <f>+Tabla1[[#This Row],[FECHA ENTRADA]]</f>
        <v>45768</v>
      </c>
      <c r="K1857" s="22">
        <v>45821</v>
      </c>
      <c r="L1857" s="23">
        <f>_xlfn.DAYS(Tabla1[[#This Row],[FECHA FIN ]],Tabla1[[#This Row],[FECHA INICIO]])</f>
        <v>53</v>
      </c>
      <c r="M1857" s="12"/>
      <c r="N1857" s="20">
        <f>182.59/2</f>
        <v>91.295000000000002</v>
      </c>
      <c r="O1857" s="24">
        <f>(Tabla1[[#This Row],[COSTO FIJO ]]/30)*Tabla1[[#This Row],[TOTAL DIAS PROYECTO]]+(Tabla1[[#This Row],[COSTO TEMPORAL]])</f>
        <v>161.28783333333334</v>
      </c>
      <c r="P1857" s="12"/>
      <c r="Q1857" s="12">
        <f>+(Tabla1[[#This Row],[COSTO COCHE]]/30)*Tabla1[[#This Row],[TOTAL DIAS PROYECTO]]</f>
        <v>0</v>
      </c>
      <c r="R1857" s="12">
        <f>+Tabla1[[#This Row],[COSTO TOTAL ALOJAMIENTO]]+Tabla1[[#This Row],[COSTO TOTAL COCHE]]</f>
        <v>161.28783333333334</v>
      </c>
      <c r="S1857" s="2" t="s">
        <v>84</v>
      </c>
      <c r="T1857" s="2" t="s">
        <v>44</v>
      </c>
      <c r="U1857" s="14">
        <v>45768</v>
      </c>
      <c r="V1857" s="25">
        <v>45786</v>
      </c>
      <c r="W1857" s="26"/>
      <c r="X1857" s="2"/>
      <c r="Y1857" s="11"/>
      <c r="Z1857" s="2" t="s">
        <v>36</v>
      </c>
      <c r="AA1857" s="13" t="s">
        <v>10435</v>
      </c>
      <c r="AB1857" s="13">
        <v>42.136150000000001</v>
      </c>
    </row>
    <row r="1858" spans="1:28" ht="15" customHeight="1">
      <c r="A1858" s="2" t="s">
        <v>9468</v>
      </c>
      <c r="B1858" s="2" t="s">
        <v>28</v>
      </c>
      <c r="C1858" s="104" t="s">
        <v>3291</v>
      </c>
      <c r="D1858" s="2" t="s">
        <v>99</v>
      </c>
      <c r="E1858" s="2" t="s">
        <v>599</v>
      </c>
      <c r="F1858" s="11" t="s">
        <v>600</v>
      </c>
      <c r="G1858" s="11" t="s">
        <v>601</v>
      </c>
      <c r="H1858" s="2" t="s">
        <v>3294</v>
      </c>
      <c r="I1858" s="91" t="s">
        <v>603</v>
      </c>
      <c r="J1858" s="22">
        <f>+Tabla1[[#This Row],[FECHA ENTRADA]]</f>
        <v>45755</v>
      </c>
      <c r="K1858" s="22">
        <v>45821</v>
      </c>
      <c r="L1858" s="23">
        <f>_xlfn.DAYS(Tabla1[[#This Row],[FECHA FIN ]],Tabla1[[#This Row],[FECHA INICIO]])</f>
        <v>66</v>
      </c>
      <c r="M1858" s="12"/>
      <c r="N1858" s="24"/>
      <c r="O1858" s="24">
        <f>(Tabla1[[#This Row],[COSTO FIJO ]]/30)*Tabla1[[#This Row],[TOTAL DIAS PROYECTO]]+(Tabla1[[#This Row],[COSTO TEMPORAL]])</f>
        <v>0</v>
      </c>
      <c r="P1858" s="12"/>
      <c r="Q1858" s="12">
        <f>+(Tabla1[[#This Row],[COSTO COCHE]]/30)*Tabla1[[#This Row],[TOTAL DIAS PROYECTO]]</f>
        <v>0</v>
      </c>
      <c r="R1858" s="12">
        <f>+Tabla1[[#This Row],[COSTO TOTAL ALOJAMIENTO]]+Tabla1[[#This Row],[COSTO TOTAL COCHE]]</f>
        <v>0</v>
      </c>
      <c r="S1858" s="2"/>
      <c r="T1858" s="2" t="s">
        <v>528</v>
      </c>
      <c r="U1858" s="14">
        <v>45755</v>
      </c>
      <c r="V1858" s="25">
        <v>45790</v>
      </c>
      <c r="W1858" s="26"/>
      <c r="X1858" s="2"/>
      <c r="Y1858" s="11"/>
      <c r="Z1858" s="2" t="s">
        <v>36</v>
      </c>
      <c r="AA1858" s="13" t="s">
        <v>10382</v>
      </c>
      <c r="AB1858" s="13">
        <v>4038884</v>
      </c>
    </row>
    <row r="1859" spans="1:28" ht="15" customHeight="1">
      <c r="A1859" s="2" t="s">
        <v>8642</v>
      </c>
      <c r="B1859" s="2" t="s">
        <v>28</v>
      </c>
      <c r="C1859" s="11" t="s">
        <v>3389</v>
      </c>
      <c r="D1859" s="2" t="s">
        <v>99</v>
      </c>
      <c r="E1859" s="2" t="s">
        <v>31</v>
      </c>
      <c r="F1859" s="11" t="s">
        <v>3390</v>
      </c>
      <c r="G1859" s="49" t="s">
        <v>3391</v>
      </c>
      <c r="H1859" s="2" t="s">
        <v>3392</v>
      </c>
      <c r="I1859" s="10" t="s">
        <v>3393</v>
      </c>
      <c r="J1859" s="22">
        <f>+Tabla1[[#This Row],[FECHA ENTRADA]]</f>
        <v>45742</v>
      </c>
      <c r="K1859" s="22">
        <v>45821</v>
      </c>
      <c r="L1859" s="23">
        <f>_xlfn.DAYS(Tabla1[[#This Row],[FECHA FIN ]],Tabla1[[#This Row],[FECHA INICIO]])</f>
        <v>79</v>
      </c>
      <c r="M1859" s="12"/>
      <c r="N1859" s="20">
        <v>400</v>
      </c>
      <c r="O1859" s="24">
        <f>(Tabla1[[#This Row],[COSTO FIJO ]]/30)*Tabla1[[#This Row],[TOTAL DIAS PROYECTO]]+(Tabla1[[#This Row],[COSTO TEMPORAL]])</f>
        <v>1053.3333333333335</v>
      </c>
      <c r="P1859" s="12"/>
      <c r="Q1859" s="12">
        <f>+(Tabla1[[#This Row],[COSTO COCHE]]/30)*Tabla1[[#This Row],[TOTAL DIAS PROYECTO]]</f>
        <v>0</v>
      </c>
      <c r="R1859" s="12">
        <f>+Tabla1[[#This Row],[COSTO TOTAL ALOJAMIENTO]]+Tabla1[[#This Row],[COSTO TOTAL COCHE]]</f>
        <v>1053.3333333333335</v>
      </c>
      <c r="S1859" s="2"/>
      <c r="T1859" s="2" t="s">
        <v>35</v>
      </c>
      <c r="U1859" s="14">
        <v>45742</v>
      </c>
      <c r="V1859" s="25"/>
      <c r="W1859" s="26"/>
      <c r="X1859" s="2">
        <v>2</v>
      </c>
      <c r="Y1859" s="11"/>
      <c r="Z1859" s="2" t="s">
        <v>36</v>
      </c>
      <c r="AA1859" s="13" t="s">
        <v>10323</v>
      </c>
      <c r="AB1859" s="13" t="s">
        <v>10324</v>
      </c>
    </row>
    <row r="1860" spans="1:28" ht="15" customHeight="1">
      <c r="A1860" s="2" t="s">
        <v>9451</v>
      </c>
      <c r="B1860" s="2" t="s">
        <v>28</v>
      </c>
      <c r="C1860" s="104" t="s">
        <v>3225</v>
      </c>
      <c r="D1860" s="2" t="s">
        <v>30</v>
      </c>
      <c r="E1860" s="2" t="s">
        <v>31</v>
      </c>
      <c r="F1860" s="11" t="s">
        <v>3390</v>
      </c>
      <c r="G1860" s="49" t="s">
        <v>3391</v>
      </c>
      <c r="H1860" s="2" t="s">
        <v>2061</v>
      </c>
      <c r="I1860" s="12" t="s">
        <v>2062</v>
      </c>
      <c r="J1860" s="41">
        <f>+Tabla1[[#This Row],[FECHA ENTRADA]]</f>
        <v>45769</v>
      </c>
      <c r="K1860" s="22">
        <v>45821</v>
      </c>
      <c r="L1860" s="13">
        <f>_xlfn.DAYS(Tabla1[[#This Row],[FECHA FIN ]],Tabla1[[#This Row],[FECHA INICIO]])</f>
        <v>52</v>
      </c>
      <c r="M1860" s="12"/>
      <c r="N1860" s="12"/>
      <c r="O1860" s="12">
        <f>(Tabla1[[#This Row],[COSTO FIJO ]]/30)*Tabla1[[#This Row],[TOTAL DIAS PROYECTO]]+(Tabla1[[#This Row],[COSTO TEMPORAL]])</f>
        <v>0</v>
      </c>
      <c r="P1860" s="12">
        <v>120</v>
      </c>
      <c r="Q1860" s="12">
        <f>+(Tabla1[[#This Row],[COSTO COCHE]]/30)*Tabla1[[#This Row],[TOTAL DIAS PROYECTO]]</f>
        <v>208</v>
      </c>
      <c r="R1860" s="12">
        <f>+Tabla1[[#This Row],[COSTO TOTAL ALOJAMIENTO]]+Tabla1[[#This Row],[COSTO TOTAL COCHE]]</f>
        <v>208</v>
      </c>
      <c r="S1860" s="2"/>
      <c r="T1860" s="2" t="s">
        <v>35</v>
      </c>
      <c r="U1860" s="14">
        <v>45769</v>
      </c>
      <c r="V1860" s="14"/>
      <c r="W1860" s="26"/>
      <c r="X1860" s="2">
        <v>2</v>
      </c>
      <c r="Y1860" s="163" t="s">
        <v>2270</v>
      </c>
      <c r="Z1860" s="2" t="s">
        <v>36</v>
      </c>
      <c r="AA1860" s="13" t="s">
        <v>10323</v>
      </c>
      <c r="AB1860" s="13" t="s">
        <v>10324</v>
      </c>
    </row>
    <row r="1861" spans="1:28" ht="15" customHeight="1">
      <c r="A1861" s="2" t="s">
        <v>8963</v>
      </c>
      <c r="B1861" s="2" t="s">
        <v>368</v>
      </c>
      <c r="C1861" s="11" t="s">
        <v>1508</v>
      </c>
      <c r="D1861" s="2" t="s">
        <v>99</v>
      </c>
      <c r="E1861" s="2" t="s">
        <v>422</v>
      </c>
      <c r="F1861" s="11" t="s">
        <v>1983</v>
      </c>
      <c r="G1861" s="11" t="s">
        <v>2067</v>
      </c>
      <c r="H1861" s="2" t="s">
        <v>3266</v>
      </c>
      <c r="I1861" s="10" t="s">
        <v>1435</v>
      </c>
      <c r="J1861" s="22">
        <f>+Tabla1[[#This Row],[FECHA ENTRADA]]</f>
        <v>45792</v>
      </c>
      <c r="K1861" s="8">
        <f>+Tabla1[[#This Row],[FECHA SALIDA]]</f>
        <v>45796</v>
      </c>
      <c r="L1861" s="23">
        <f>_xlfn.DAYS(Tabla1[[#This Row],[FECHA FIN ]],Tabla1[[#This Row],[FECHA INICIO]])</f>
        <v>4</v>
      </c>
      <c r="M1861" s="12">
        <v>123.5</v>
      </c>
      <c r="N1861" s="24"/>
      <c r="O1861" s="24">
        <f>(Tabla1[[#This Row],[COSTO FIJO ]]/30)*Tabla1[[#This Row],[TOTAL DIAS PROYECTO]]+(Tabla1[[#This Row],[COSTO TEMPORAL]])</f>
        <v>123.5</v>
      </c>
      <c r="P1861" s="12"/>
      <c r="Q1861" s="12">
        <f>+(Tabla1[[#This Row],[COSTO COCHE]]/30)*Tabla1[[#This Row],[TOTAL DIAS PROYECTO]]</f>
        <v>0</v>
      </c>
      <c r="R1861" s="12">
        <f>+Tabla1[[#This Row],[COSTO TOTAL ALOJAMIENTO]]+Tabla1[[#This Row],[COSTO TOTAL COCHE]]</f>
        <v>123.5</v>
      </c>
      <c r="S1861" s="2"/>
      <c r="T1861" s="2" t="s">
        <v>44</v>
      </c>
      <c r="U1861" s="14">
        <v>45792</v>
      </c>
      <c r="V1861" s="25">
        <v>45796</v>
      </c>
      <c r="W1861" s="26"/>
      <c r="X1861" s="2"/>
      <c r="Y1861" s="11"/>
      <c r="Z1861" s="2" t="s">
        <v>36</v>
      </c>
      <c r="AA1861" s="13">
        <v>-326.69799999999998</v>
      </c>
      <c r="AB1861" s="13" t="s">
        <v>10373</v>
      </c>
    </row>
    <row r="1862" spans="1:28" ht="15" customHeight="1">
      <c r="A1862" s="2" t="s">
        <v>9298</v>
      </c>
      <c r="B1862" s="2" t="s">
        <v>28</v>
      </c>
      <c r="C1862" s="104" t="s">
        <v>2737</v>
      </c>
      <c r="D1862" s="2" t="s">
        <v>30</v>
      </c>
      <c r="E1862" s="2" t="s">
        <v>3335</v>
      </c>
      <c r="F1862" s="11" t="s">
        <v>3394</v>
      </c>
      <c r="G1862" s="11" t="s">
        <v>3395</v>
      </c>
      <c r="H1862" s="2" t="s">
        <v>3396</v>
      </c>
      <c r="I1862" s="2" t="s">
        <v>2741</v>
      </c>
      <c r="J1862" s="8">
        <f>+Tabla1[[#This Row],[FECHA ENTRADA]]</f>
        <v>45355</v>
      </c>
      <c r="K1862" s="22">
        <v>45821</v>
      </c>
      <c r="L1862" s="13">
        <f>_xlfn.DAYS(Tabla1[[#This Row],[FECHA FIN ]],Tabla1[[#This Row],[FECHA INICIO]])</f>
        <v>466</v>
      </c>
      <c r="M1862" s="12"/>
      <c r="N1862" s="12"/>
      <c r="O1862" s="12">
        <f>(Tabla1[[#This Row],[COSTO FIJO ]]/30)*Tabla1[[#This Row],[TOTAL DIAS PROYECTO]]+(Tabla1[[#This Row],[COSTO TEMPORAL]])</f>
        <v>0</v>
      </c>
      <c r="P1862" s="12"/>
      <c r="Q1862" s="12">
        <f>+(Tabla1[[#This Row],[COSTO COCHE]]/30)*Tabla1[[#This Row],[TOTAL DIAS PROYECTO]]</f>
        <v>0</v>
      </c>
      <c r="R1862" s="12">
        <f>+Tabla1[[#This Row],[COSTO TOTAL ALOJAMIENTO]]+Tabla1[[#This Row],[COSTO TOTAL COCHE]]</f>
        <v>0</v>
      </c>
      <c r="S1862" s="2"/>
      <c r="T1862" s="2" t="s">
        <v>35</v>
      </c>
      <c r="U1862" s="14">
        <v>45355</v>
      </c>
      <c r="V1862" s="14">
        <v>45394</v>
      </c>
      <c r="W1862" s="15"/>
      <c r="X1862" s="16">
        <v>3</v>
      </c>
      <c r="Y1862" s="18"/>
      <c r="Z1862" s="2" t="s">
        <v>36</v>
      </c>
      <c r="AA1862" s="13" t="e">
        <v>#N/A</v>
      </c>
      <c r="AB1862" s="13" t="e">
        <v>#N/A</v>
      </c>
    </row>
    <row r="1863" spans="1:28" ht="15" customHeight="1">
      <c r="A1863" s="2" t="s">
        <v>8884</v>
      </c>
      <c r="B1863" s="2" t="s">
        <v>28</v>
      </c>
      <c r="C1863" s="104" t="s">
        <v>1160</v>
      </c>
      <c r="D1863" s="2" t="s">
        <v>30</v>
      </c>
      <c r="E1863" s="2" t="s">
        <v>1393</v>
      </c>
      <c r="F1863" s="11" t="s">
        <v>2259</v>
      </c>
      <c r="G1863" s="21" t="s">
        <v>2260</v>
      </c>
      <c r="H1863" s="2" t="s">
        <v>1396</v>
      </c>
      <c r="I1863" s="12" t="s">
        <v>1067</v>
      </c>
      <c r="J1863" s="22">
        <f>+Tabla1[[#This Row],[FECHA ENTRADA]]</f>
        <v>45791</v>
      </c>
      <c r="K1863" s="22">
        <v>45821</v>
      </c>
      <c r="L1863" s="42">
        <f>_xlfn.DAYS(Tabla1[[#This Row],[FECHA FIN ]],Tabla1[[#This Row],[FECHA INICIO]])</f>
        <v>30</v>
      </c>
      <c r="M1863" s="12"/>
      <c r="N1863" s="12">
        <f>84.99/3</f>
        <v>28.33</v>
      </c>
      <c r="O1863" s="28">
        <f>(Tabla1[[#This Row],[COSTO FIJO ]]/30)*Tabla1[[#This Row],[TOTAL DIAS PROYECTO]]+(Tabla1[[#This Row],[COSTO TEMPORAL]])</f>
        <v>28.33</v>
      </c>
      <c r="P1863" s="12"/>
      <c r="Q1863" s="12">
        <f>+(Tabla1[[#This Row],[COSTO COCHE]]/30)*Tabla1[[#This Row],[TOTAL DIAS PROYECTO]]</f>
        <v>0</v>
      </c>
      <c r="R1863" s="12">
        <f>+Tabla1[[#This Row],[COSTO TOTAL ALOJAMIENTO]]+Tabla1[[#This Row],[COSTO TOTAL COCHE]]</f>
        <v>28.33</v>
      </c>
      <c r="S1863" s="2"/>
      <c r="T1863" s="2" t="s">
        <v>44</v>
      </c>
      <c r="U1863" s="14">
        <v>45791</v>
      </c>
      <c r="V1863" s="43">
        <v>45792</v>
      </c>
      <c r="W1863" s="26"/>
      <c r="X1863" s="2"/>
      <c r="Y1863" s="11" t="s">
        <v>1166</v>
      </c>
      <c r="Z1863" s="2" t="s">
        <v>36</v>
      </c>
      <c r="AA1863" s="13" t="s">
        <v>10416</v>
      </c>
      <c r="AB1863" s="13" t="s">
        <v>10417</v>
      </c>
    </row>
    <row r="1864" spans="1:28" ht="15" customHeight="1">
      <c r="A1864" s="2" t="s">
        <v>8880</v>
      </c>
      <c r="B1864" s="2" t="s">
        <v>28</v>
      </c>
      <c r="C1864" s="104" t="s">
        <v>1146</v>
      </c>
      <c r="D1864" s="2" t="s">
        <v>99</v>
      </c>
      <c r="E1864" s="2" t="s">
        <v>259</v>
      </c>
      <c r="F1864" s="11" t="s">
        <v>691</v>
      </c>
      <c r="G1864" s="11" t="s">
        <v>2555</v>
      </c>
      <c r="H1864" s="2" t="s">
        <v>3397</v>
      </c>
      <c r="I1864" s="2" t="s">
        <v>57</v>
      </c>
      <c r="J1864" s="41">
        <f>+Tabla1[[#This Row],[FECHA ENTRADA]]</f>
        <v>45769</v>
      </c>
      <c r="K1864" s="22">
        <v>45821</v>
      </c>
      <c r="L1864" s="13">
        <f>_xlfn.DAYS(Tabla1[[#This Row],[FECHA FIN ]],Tabla1[[#This Row],[FECHA INICIO]])</f>
        <v>52</v>
      </c>
      <c r="M1864" s="12"/>
      <c r="N1864" s="12">
        <v>218</v>
      </c>
      <c r="O1864" s="12">
        <f>(Tabla1[[#This Row],[COSTO FIJO ]]/30)*Tabla1[[#This Row],[TOTAL DIAS PROYECTO]]+(Tabla1[[#This Row],[COSTO TEMPORAL]])</f>
        <v>377.86666666666667</v>
      </c>
      <c r="P1864" s="13">
        <f>666.23/4</f>
        <v>166.5575</v>
      </c>
      <c r="Q1864" s="12">
        <f>+(Tabla1[[#This Row],[COSTO COCHE]]/30)*Tabla1[[#This Row],[TOTAL DIAS PROYECTO]]</f>
        <v>288.6996666666667</v>
      </c>
      <c r="R1864" s="12">
        <f>+Tabla1[[#This Row],[COSTO TOTAL ALOJAMIENTO]]+Tabla1[[#This Row],[COSTO TOTAL COCHE]]</f>
        <v>666.56633333333343</v>
      </c>
      <c r="S1864" s="2"/>
      <c r="T1864" s="2" t="s">
        <v>44</v>
      </c>
      <c r="U1864" s="14">
        <v>45769</v>
      </c>
      <c r="V1864" s="14">
        <v>45792</v>
      </c>
      <c r="W1864" s="26"/>
      <c r="X1864" s="2"/>
      <c r="Y1864" s="31" t="s">
        <v>1166</v>
      </c>
      <c r="Z1864" s="2" t="s">
        <v>36</v>
      </c>
      <c r="AA1864" s="13">
        <v>-0.87734000000000001</v>
      </c>
      <c r="AB1864" s="13" t="s">
        <v>10359</v>
      </c>
    </row>
    <row r="1865" spans="1:28" ht="15" customHeight="1">
      <c r="A1865" s="2" t="s">
        <v>9357</v>
      </c>
      <c r="B1865" s="2" t="s">
        <v>368</v>
      </c>
      <c r="C1865" s="104" t="s">
        <v>2921</v>
      </c>
      <c r="D1865" s="2" t="s">
        <v>99</v>
      </c>
      <c r="E1865" s="2" t="s">
        <v>1987</v>
      </c>
      <c r="F1865" s="11" t="s">
        <v>2261</v>
      </c>
      <c r="G1865" s="21" t="s">
        <v>2262</v>
      </c>
      <c r="H1865" s="2" t="s">
        <v>2227</v>
      </c>
      <c r="I1865" s="10" t="s">
        <v>2228</v>
      </c>
      <c r="J1865" s="22">
        <f>+Tabla1[[#This Row],[FECHA ENTRADA]]</f>
        <v>45786</v>
      </c>
      <c r="K1865" s="22">
        <v>45821</v>
      </c>
      <c r="L1865" s="23">
        <f>_xlfn.DAYS(Tabla1[[#This Row],[FECHA FIN ]],Tabla1[[#This Row],[FECHA INICIO]])</f>
        <v>35</v>
      </c>
      <c r="M1865" s="12"/>
      <c r="N1865" s="12"/>
      <c r="O1865" s="24">
        <f>(Tabla1[[#This Row],[COSTO FIJO ]]/30)*Tabla1[[#This Row],[TOTAL DIAS PROYECTO]]+(Tabla1[[#This Row],[COSTO TEMPORAL]])</f>
        <v>0</v>
      </c>
      <c r="P1865" s="12"/>
      <c r="Q1865" s="12">
        <f>+(Tabla1[[#This Row],[COSTO COCHE]]/30)*Tabla1[[#This Row],[TOTAL DIAS PROYECTO]]</f>
        <v>0</v>
      </c>
      <c r="R1865" s="12">
        <f>+Tabla1[[#This Row],[COSTO TOTAL ALOJAMIENTO]]+Tabla1[[#This Row],[COSTO TOTAL COCHE]]</f>
        <v>0</v>
      </c>
      <c r="S1865" s="2"/>
      <c r="T1865" s="2" t="s">
        <v>44</v>
      </c>
      <c r="U1865" s="14">
        <v>45786</v>
      </c>
      <c r="V1865" s="79">
        <v>45792</v>
      </c>
      <c r="W1865" s="2"/>
      <c r="X1865" s="2"/>
      <c r="Y1865" s="11"/>
      <c r="Z1865" s="2" t="s">
        <v>36</v>
      </c>
      <c r="AA1865" s="13" t="s">
        <v>10435</v>
      </c>
      <c r="AB1865" s="13">
        <v>42.136150000000001</v>
      </c>
    </row>
    <row r="1866" spans="1:28" ht="15" customHeight="1">
      <c r="A1866" s="2" t="s">
        <v>9056</v>
      </c>
      <c r="B1866" s="2" t="s">
        <v>28</v>
      </c>
      <c r="C1866" s="104" t="s">
        <v>1817</v>
      </c>
      <c r="D1866" s="2" t="s">
        <v>78</v>
      </c>
      <c r="E1866" s="2" t="s">
        <v>266</v>
      </c>
      <c r="F1866" s="11" t="s">
        <v>1511</v>
      </c>
      <c r="G1866" s="46" t="s">
        <v>1512</v>
      </c>
      <c r="H1866" s="2" t="s">
        <v>3398</v>
      </c>
      <c r="I1866" s="12" t="s">
        <v>270</v>
      </c>
      <c r="J1866" s="41">
        <f>+Tabla1[[#This Row],[FECHA ENTRADA]]</f>
        <v>45661</v>
      </c>
      <c r="K1866" s="22">
        <v>45821</v>
      </c>
      <c r="L1866" s="42">
        <f>_xlfn.DAYS(Tabla1[[#This Row],[FECHA FIN ]],Tabla1[[#This Row],[FECHA INICIO]])</f>
        <v>160</v>
      </c>
      <c r="M1866" s="12"/>
      <c r="N1866" s="12"/>
      <c r="O1866" s="28">
        <f>(Tabla1[[#This Row],[COSTO FIJO ]]/30)*Tabla1[[#This Row],[TOTAL DIAS PROYECTO]]+(Tabla1[[#This Row],[COSTO TEMPORAL]])</f>
        <v>0</v>
      </c>
      <c r="P1866" s="12"/>
      <c r="Q1866" s="12">
        <f>+(Tabla1[[#This Row],[COSTO COCHE]]/30)*Tabla1[[#This Row],[TOTAL DIAS PROYECTO]]</f>
        <v>0</v>
      </c>
      <c r="R1866" s="12">
        <f>+Tabla1[[#This Row],[COSTO TOTAL ALOJAMIENTO]]+Tabla1[[#This Row],[COSTO TOTAL COCHE]]</f>
        <v>0</v>
      </c>
      <c r="S1866" s="2"/>
      <c r="T1866" s="2" t="s">
        <v>35</v>
      </c>
      <c r="U1866" s="14">
        <v>45661</v>
      </c>
      <c r="V1866" s="43">
        <v>45692</v>
      </c>
      <c r="W1866" s="26"/>
      <c r="X1866" s="2">
        <v>3</v>
      </c>
      <c r="Y1866" s="11" t="s">
        <v>1166</v>
      </c>
      <c r="Z1866" s="2" t="s">
        <v>36</v>
      </c>
      <c r="AA1866" s="13" t="s">
        <v>10360</v>
      </c>
      <c r="AB1866" s="13" t="s">
        <v>10361</v>
      </c>
    </row>
    <row r="1867" spans="1:28" ht="15" customHeight="1">
      <c r="A1867" s="2" t="s">
        <v>9499</v>
      </c>
      <c r="B1867" s="2" t="s">
        <v>28</v>
      </c>
      <c r="C1867" s="11" t="s">
        <v>3399</v>
      </c>
      <c r="D1867" s="2" t="s">
        <v>99</v>
      </c>
      <c r="E1867" s="2" t="s">
        <v>259</v>
      </c>
      <c r="F1867" s="11" t="s">
        <v>691</v>
      </c>
      <c r="G1867" s="11" t="s">
        <v>2555</v>
      </c>
      <c r="H1867" s="2" t="s">
        <v>3397</v>
      </c>
      <c r="I1867" s="2" t="s">
        <v>57</v>
      </c>
      <c r="J1867" s="41">
        <f>+Tabla1[[#This Row],[FECHA ENTRADA]]</f>
        <v>45769</v>
      </c>
      <c r="K1867" s="22">
        <v>45821</v>
      </c>
      <c r="L1867" s="13">
        <f>_xlfn.DAYS(Tabla1[[#This Row],[FECHA FIN ]],Tabla1[[#This Row],[FECHA INICIO]])</f>
        <v>52</v>
      </c>
      <c r="M1867" s="12"/>
      <c r="N1867" s="24">
        <v>300</v>
      </c>
      <c r="O1867" s="12">
        <f>(Tabla1[[#This Row],[COSTO FIJO ]]/30)*Tabla1[[#This Row],[TOTAL DIAS PROYECTO]]+(Tabla1[[#This Row],[COSTO TEMPORAL]])</f>
        <v>520</v>
      </c>
      <c r="P1867" s="13">
        <f>666.23/4</f>
        <v>166.5575</v>
      </c>
      <c r="Q1867" s="12">
        <f>+(Tabla1[[#This Row],[COSTO COCHE]]/30)*Tabla1[[#This Row],[TOTAL DIAS PROYECTO]]</f>
        <v>288.6996666666667</v>
      </c>
      <c r="R1867" s="12">
        <f>+Tabla1[[#This Row],[COSTO TOTAL ALOJAMIENTO]]+Tabla1[[#This Row],[COSTO TOTAL COCHE]]</f>
        <v>808.69966666666664</v>
      </c>
      <c r="S1867" s="2"/>
      <c r="T1867" s="2" t="s">
        <v>44</v>
      </c>
      <c r="U1867" s="14">
        <v>45769</v>
      </c>
      <c r="V1867" s="14">
        <v>45792</v>
      </c>
      <c r="W1867" s="26"/>
      <c r="X1867" s="2"/>
      <c r="Y1867" s="31" t="s">
        <v>1166</v>
      </c>
      <c r="Z1867" s="2" t="s">
        <v>36</v>
      </c>
      <c r="AA1867" s="13">
        <v>-0.87734000000000001</v>
      </c>
      <c r="AB1867" s="13" t="s">
        <v>10359</v>
      </c>
    </row>
    <row r="1868" spans="1:28" ht="15" customHeight="1">
      <c r="A1868" s="2" t="s">
        <v>9090</v>
      </c>
      <c r="B1868" s="2" t="s">
        <v>28</v>
      </c>
      <c r="C1868" s="11" t="s">
        <v>1970</v>
      </c>
      <c r="D1868" s="2" t="s">
        <v>30</v>
      </c>
      <c r="E1868" s="2" t="s">
        <v>3400</v>
      </c>
      <c r="F1868" s="11" t="s">
        <v>3401</v>
      </c>
      <c r="G1868" s="31" t="s">
        <v>3402</v>
      </c>
      <c r="H1868" s="2" t="s">
        <v>3403</v>
      </c>
      <c r="I1868" s="2" t="s">
        <v>3404</v>
      </c>
      <c r="J1868" s="8">
        <f>+Tabla1[[#This Row],[FECHA ENTRADA]]</f>
        <v>45385</v>
      </c>
      <c r="K1868" s="22">
        <v>45821</v>
      </c>
      <c r="L1868" s="13">
        <f>_xlfn.DAYS(Tabla1[[#This Row],[FECHA FIN ]],Tabla1[[#This Row],[FECHA INICIO]])</f>
        <v>436</v>
      </c>
      <c r="M1868" s="12"/>
      <c r="N1868" s="12">
        <v>280</v>
      </c>
      <c r="O1868" s="12">
        <f>(Tabla1[[#This Row],[COSTO FIJO ]]/30)*Tabla1[[#This Row],[TOTAL DIAS PROYECTO]]+(Tabla1[[#This Row],[COSTO TEMPORAL]])</f>
        <v>4069.3333333333335</v>
      </c>
      <c r="P1868" s="12"/>
      <c r="Q1868" s="12">
        <f>+(Tabla1[[#This Row],[COSTO COCHE]]/30)*Tabla1[[#This Row],[TOTAL DIAS PROYECTO]]</f>
        <v>0</v>
      </c>
      <c r="R1868" s="12">
        <f>+Tabla1[[#This Row],[COSTO TOTAL ALOJAMIENTO]]+Tabla1[[#This Row],[COSTO TOTAL COCHE]]</f>
        <v>4069.3333333333335</v>
      </c>
      <c r="S1868" s="2"/>
      <c r="T1868" s="2" t="s">
        <v>35</v>
      </c>
      <c r="U1868" s="14">
        <v>45385</v>
      </c>
      <c r="V1868" s="14"/>
      <c r="W1868" s="62">
        <v>280</v>
      </c>
      <c r="X1868" s="16">
        <v>3</v>
      </c>
      <c r="Y1868" s="18" t="s">
        <v>3405</v>
      </c>
      <c r="Z1868" s="2" t="s">
        <v>36</v>
      </c>
      <c r="AA1868" s="13" t="e">
        <v>#N/A</v>
      </c>
      <c r="AB1868" s="13" t="e">
        <v>#N/A</v>
      </c>
    </row>
    <row r="1869" spans="1:28" ht="15" customHeight="1">
      <c r="A1869" s="2" t="s">
        <v>9149</v>
      </c>
      <c r="B1869" s="2" t="s">
        <v>28</v>
      </c>
      <c r="C1869" s="18" t="s">
        <v>2223</v>
      </c>
      <c r="D1869" s="2" t="s">
        <v>30</v>
      </c>
      <c r="E1869" s="2" t="s">
        <v>3335</v>
      </c>
      <c r="F1869" s="11" t="s">
        <v>3394</v>
      </c>
      <c r="G1869" s="11" t="s">
        <v>3395</v>
      </c>
      <c r="H1869" s="2" t="s">
        <v>3396</v>
      </c>
      <c r="I1869" s="2" t="s">
        <v>2741</v>
      </c>
      <c r="J1869" s="8">
        <f>+Tabla1[[#This Row],[FECHA ENTRADA]]</f>
        <v>45355</v>
      </c>
      <c r="K1869" s="22">
        <v>45821</v>
      </c>
      <c r="L1869" s="13">
        <f>_xlfn.DAYS(Tabla1[[#This Row],[FECHA FIN ]],Tabla1[[#This Row],[FECHA INICIO]])</f>
        <v>466</v>
      </c>
      <c r="M1869" s="12"/>
      <c r="N1869" s="12">
        <f>1811.6/17</f>
        <v>106.56470588235294</v>
      </c>
      <c r="O1869" s="12">
        <f>(Tabla1[[#This Row],[COSTO FIJO ]]/30)*Tabla1[[#This Row],[TOTAL DIAS PROYECTO]]+(Tabla1[[#This Row],[COSTO TEMPORAL]])</f>
        <v>1655.3050980392156</v>
      </c>
      <c r="P1869" s="12"/>
      <c r="Q1869" s="12">
        <f>+(Tabla1[[#This Row],[COSTO COCHE]]/30)*Tabla1[[#This Row],[TOTAL DIAS PROYECTO]]</f>
        <v>0</v>
      </c>
      <c r="R1869" s="12">
        <f>+Tabla1[[#This Row],[COSTO TOTAL ALOJAMIENTO]]+Tabla1[[#This Row],[COSTO TOTAL COCHE]]</f>
        <v>1655.3050980392156</v>
      </c>
      <c r="S1869" s="2"/>
      <c r="T1869" s="2" t="s">
        <v>35</v>
      </c>
      <c r="U1869" s="14">
        <v>45355</v>
      </c>
      <c r="V1869" s="14">
        <v>45394</v>
      </c>
      <c r="W1869" s="15"/>
      <c r="X1869" s="16">
        <v>3</v>
      </c>
      <c r="Y1869" s="18"/>
      <c r="Z1869" s="2" t="s">
        <v>36</v>
      </c>
      <c r="AA1869" s="13" t="e">
        <v>#N/A</v>
      </c>
      <c r="AB1869" s="13" t="e">
        <v>#N/A</v>
      </c>
    </row>
    <row r="1870" spans="1:28" ht="15" customHeight="1">
      <c r="A1870" s="2" t="s">
        <v>9500</v>
      </c>
      <c r="B1870" s="2" t="s">
        <v>28</v>
      </c>
      <c r="C1870" s="86" t="s">
        <v>3406</v>
      </c>
      <c r="D1870" s="2" t="s">
        <v>78</v>
      </c>
      <c r="E1870" s="2" t="s">
        <v>266</v>
      </c>
      <c r="F1870" s="11" t="s">
        <v>962</v>
      </c>
      <c r="G1870" s="30" t="s">
        <v>963</v>
      </c>
      <c r="H1870" s="2" t="s">
        <v>3407</v>
      </c>
      <c r="I1870" s="12" t="s">
        <v>270</v>
      </c>
      <c r="J1870" s="8">
        <f>+Tabla1[[#This Row],[FECHA ENTRADA]]</f>
        <v>45455</v>
      </c>
      <c r="K1870" s="22">
        <v>45821</v>
      </c>
      <c r="L1870" s="13">
        <f>_xlfn.DAYS(Tabla1[[#This Row],[FECHA FIN ]],Tabla1[[#This Row],[FECHA INICIO]])</f>
        <v>366</v>
      </c>
      <c r="M1870" s="12"/>
      <c r="N1870" s="24"/>
      <c r="O1870" s="12">
        <f>(Tabla1[[#This Row],[COSTO FIJO ]]/30)*Tabla1[[#This Row],[TOTAL DIAS PROYECTO]]+(Tabla1[[#This Row],[COSTO TEMPORAL]])</f>
        <v>0</v>
      </c>
      <c r="P1870" s="12">
        <f>749.09/3</f>
        <v>249.69666666666669</v>
      </c>
      <c r="Q1870" s="12">
        <f>+(Tabla1[[#This Row],[COSTO COCHE]]/30)*Tabla1[[#This Row],[TOTAL DIAS PROYECTO]]</f>
        <v>3046.2993333333334</v>
      </c>
      <c r="R1870" s="12">
        <f>+Tabla1[[#This Row],[COSTO TOTAL ALOJAMIENTO]]+Tabla1[[#This Row],[COSTO TOTAL COCHE]]</f>
        <v>3046.2993333333334</v>
      </c>
      <c r="S1870" s="2" t="s">
        <v>84</v>
      </c>
      <c r="T1870" s="2" t="s">
        <v>35</v>
      </c>
      <c r="U1870" s="14">
        <v>45455</v>
      </c>
      <c r="V1870" s="14">
        <v>45481</v>
      </c>
      <c r="W1870" s="26"/>
      <c r="X1870" s="2">
        <v>3</v>
      </c>
      <c r="Y1870" s="11" t="s">
        <v>3408</v>
      </c>
      <c r="Z1870" s="2" t="s">
        <v>36</v>
      </c>
      <c r="AA1870" s="13" t="s">
        <v>10360</v>
      </c>
      <c r="AB1870" s="13" t="s">
        <v>10361</v>
      </c>
    </row>
    <row r="1871" spans="1:28" ht="15" customHeight="1">
      <c r="A1871" s="2" t="s">
        <v>9420</v>
      </c>
      <c r="B1871" s="2" t="s">
        <v>28</v>
      </c>
      <c r="C1871" s="18" t="s">
        <v>3109</v>
      </c>
      <c r="D1871" s="2" t="s">
        <v>161</v>
      </c>
      <c r="E1871" s="2" t="s">
        <v>162</v>
      </c>
      <c r="F1871" s="11" t="s">
        <v>163</v>
      </c>
      <c r="G1871" s="30" t="s">
        <v>156</v>
      </c>
      <c r="H1871" s="2" t="s">
        <v>164</v>
      </c>
      <c r="I1871" s="2" t="s">
        <v>165</v>
      </c>
      <c r="J1871" s="8">
        <f>+Tabla1[[#This Row],[FECHA ENTRADA]]</f>
        <v>45355</v>
      </c>
      <c r="K1871" s="22">
        <v>45821</v>
      </c>
      <c r="L1871" s="13">
        <f>_xlfn.DAYS(Tabla1[[#This Row],[FECHA FIN ]],Tabla1[[#This Row],[FECHA INICIO]])</f>
        <v>466</v>
      </c>
      <c r="M1871" s="12"/>
      <c r="N1871" s="12">
        <v>325</v>
      </c>
      <c r="O1871" s="12">
        <f>(Tabla1[[#This Row],[COSTO FIJO ]]/30)*Tabla1[[#This Row],[TOTAL DIAS PROYECTO]]+(Tabla1[[#This Row],[COSTO TEMPORAL]])</f>
        <v>5048.3333333333339</v>
      </c>
      <c r="P1871" s="12"/>
      <c r="Q1871" s="12">
        <f>+(Tabla1[[#This Row],[COSTO COCHE]]/30)*Tabla1[[#This Row],[TOTAL DIAS PROYECTO]]</f>
        <v>0</v>
      </c>
      <c r="R1871" s="12">
        <f>+Tabla1[[#This Row],[COSTO TOTAL ALOJAMIENTO]]+Tabla1[[#This Row],[COSTO TOTAL COCHE]]</f>
        <v>5048.3333333333339</v>
      </c>
      <c r="S1871" s="2" t="s">
        <v>84</v>
      </c>
      <c r="T1871" s="2" t="s">
        <v>35</v>
      </c>
      <c r="U1871" s="14">
        <v>45355</v>
      </c>
      <c r="V1871" s="14"/>
      <c r="W1871" s="15"/>
      <c r="X1871" s="16">
        <v>3</v>
      </c>
      <c r="Y1871" s="18" t="s">
        <v>166</v>
      </c>
      <c r="Z1871" s="2" t="s">
        <v>36</v>
      </c>
      <c r="AA1871" s="13" t="s">
        <v>10347</v>
      </c>
      <c r="AB1871" s="13" t="s">
        <v>10348</v>
      </c>
    </row>
    <row r="1872" spans="1:28" ht="15" customHeight="1">
      <c r="A1872" s="2" t="s">
        <v>9491</v>
      </c>
      <c r="B1872" s="2" t="s">
        <v>28</v>
      </c>
      <c r="C1872" s="11" t="s">
        <v>3370</v>
      </c>
      <c r="D1872" s="2" t="s">
        <v>99</v>
      </c>
      <c r="E1872" s="2" t="s">
        <v>31</v>
      </c>
      <c r="F1872" s="11" t="s">
        <v>3409</v>
      </c>
      <c r="G1872" s="21" t="s">
        <v>3410</v>
      </c>
      <c r="H1872" s="2" t="s">
        <v>3371</v>
      </c>
      <c r="I1872" s="12" t="s">
        <v>385</v>
      </c>
      <c r="J1872" s="22">
        <f>+Tabla1[[#This Row],[FECHA ENTRADA]]</f>
        <v>45780</v>
      </c>
      <c r="K1872" s="22">
        <v>45821</v>
      </c>
      <c r="L1872" s="23">
        <f>_xlfn.DAYS(Tabla1[[#This Row],[FECHA FIN ]],Tabla1[[#This Row],[FECHA INICIO]])</f>
        <v>41</v>
      </c>
      <c r="M1872" s="12"/>
      <c r="N1872" s="12"/>
      <c r="O1872" s="24">
        <f>(Tabla1[[#This Row],[COSTO FIJO ]]/30)*Tabla1[[#This Row],[TOTAL DIAS PROYECTO]]+(Tabla1[[#This Row],[COSTO TEMPORAL]])</f>
        <v>0</v>
      </c>
      <c r="P1872" s="12"/>
      <c r="Q1872" s="12">
        <f>+(Tabla1[[#This Row],[COSTO COCHE]]/30)*Tabla1[[#This Row],[TOTAL DIAS PROYECTO]]</f>
        <v>0</v>
      </c>
      <c r="R1872" s="12">
        <f>+Tabla1[[#This Row],[COSTO TOTAL ALOJAMIENTO]]+Tabla1[[#This Row],[COSTO TOTAL COCHE]]</f>
        <v>0</v>
      </c>
      <c r="S1872" s="2"/>
      <c r="T1872" s="2" t="s">
        <v>44</v>
      </c>
      <c r="U1872" s="14">
        <v>45780</v>
      </c>
      <c r="V1872" s="79">
        <v>45793</v>
      </c>
      <c r="W1872" s="2"/>
      <c r="X1872" s="2"/>
      <c r="Y1872" s="11"/>
      <c r="Z1872" s="2" t="s">
        <v>36</v>
      </c>
      <c r="AA1872" s="13" t="s">
        <v>10323</v>
      </c>
      <c r="AB1872" s="13" t="s">
        <v>10324</v>
      </c>
    </row>
    <row r="1873" spans="1:28" ht="15" customHeight="1">
      <c r="A1873" s="2" t="s">
        <v>8884</v>
      </c>
      <c r="B1873" s="2" t="s">
        <v>28</v>
      </c>
      <c r="C1873" s="104" t="s">
        <v>1160</v>
      </c>
      <c r="D1873" s="2" t="s">
        <v>30</v>
      </c>
      <c r="E1873" s="2" t="s">
        <v>1393</v>
      </c>
      <c r="F1873" s="11" t="s">
        <v>2271</v>
      </c>
      <c r="G1873" s="21" t="s">
        <v>2272</v>
      </c>
      <c r="H1873" s="2" t="s">
        <v>1396</v>
      </c>
      <c r="I1873" s="12" t="s">
        <v>1067</v>
      </c>
      <c r="J1873" s="22">
        <f>+Tabla1[[#This Row],[FECHA ENTRADA]]</f>
        <v>45792</v>
      </c>
      <c r="K1873" s="22">
        <v>45821</v>
      </c>
      <c r="L1873" s="42">
        <f>_xlfn.DAYS(Tabla1[[#This Row],[FECHA FIN ]],Tabla1[[#This Row],[FECHA INICIO]])</f>
        <v>29</v>
      </c>
      <c r="M1873" s="12"/>
      <c r="N1873" s="12">
        <v>25</v>
      </c>
      <c r="O1873" s="28">
        <f>(Tabla1[[#This Row],[COSTO FIJO ]]/30)*Tabla1[[#This Row],[TOTAL DIAS PROYECTO]]+(Tabla1[[#This Row],[COSTO TEMPORAL]])</f>
        <v>24.166666666666668</v>
      </c>
      <c r="P1873" s="12"/>
      <c r="Q1873" s="12">
        <f>+(Tabla1[[#This Row],[COSTO COCHE]]/30)*Tabla1[[#This Row],[TOTAL DIAS PROYECTO]]</f>
        <v>0</v>
      </c>
      <c r="R1873" s="12">
        <f>+Tabla1[[#This Row],[COSTO TOTAL ALOJAMIENTO]]+Tabla1[[#This Row],[COSTO TOTAL COCHE]]</f>
        <v>24.166666666666668</v>
      </c>
      <c r="S1873" s="2"/>
      <c r="T1873" s="2" t="s">
        <v>44</v>
      </c>
      <c r="U1873" s="14">
        <v>45792</v>
      </c>
      <c r="V1873" s="43">
        <v>45793</v>
      </c>
      <c r="W1873" s="26"/>
      <c r="X1873" s="2"/>
      <c r="Y1873" s="11" t="s">
        <v>1166</v>
      </c>
      <c r="Z1873" s="2" t="s">
        <v>36</v>
      </c>
      <c r="AA1873" s="13" t="s">
        <v>10416</v>
      </c>
      <c r="AB1873" s="13" t="s">
        <v>10417</v>
      </c>
    </row>
    <row r="1874" spans="1:28" ht="15" customHeight="1">
      <c r="A1874" s="2" t="s">
        <v>9492</v>
      </c>
      <c r="B1874" s="2" t="s">
        <v>28</v>
      </c>
      <c r="C1874" s="11" t="s">
        <v>3372</v>
      </c>
      <c r="D1874" s="2" t="s">
        <v>99</v>
      </c>
      <c r="E1874" s="2" t="s">
        <v>31</v>
      </c>
      <c r="F1874" s="11" t="s">
        <v>3409</v>
      </c>
      <c r="G1874" s="21" t="s">
        <v>3410</v>
      </c>
      <c r="H1874" s="2" t="s">
        <v>3371</v>
      </c>
      <c r="I1874" s="12" t="s">
        <v>385</v>
      </c>
      <c r="J1874" s="22">
        <f>+Tabla1[[#This Row],[FECHA ENTRADA]]</f>
        <v>45780</v>
      </c>
      <c r="K1874" s="22">
        <v>45821</v>
      </c>
      <c r="L1874" s="23">
        <f>_xlfn.DAYS(Tabla1[[#This Row],[FECHA FIN ]],Tabla1[[#This Row],[FECHA INICIO]])</f>
        <v>41</v>
      </c>
      <c r="M1874" s="12"/>
      <c r="N1874" s="12">
        <v>210</v>
      </c>
      <c r="O1874" s="24">
        <f>(Tabla1[[#This Row],[COSTO FIJO ]]/30)*Tabla1[[#This Row],[TOTAL DIAS PROYECTO]]+(Tabla1[[#This Row],[COSTO TEMPORAL]])</f>
        <v>287</v>
      </c>
      <c r="P1874" s="12"/>
      <c r="Q1874" s="12">
        <f>+(Tabla1[[#This Row],[COSTO COCHE]]/30)*Tabla1[[#This Row],[TOTAL DIAS PROYECTO]]</f>
        <v>0</v>
      </c>
      <c r="R1874" s="12">
        <f>+Tabla1[[#This Row],[COSTO TOTAL ALOJAMIENTO]]+Tabla1[[#This Row],[COSTO TOTAL COCHE]]</f>
        <v>287</v>
      </c>
      <c r="S1874" s="2"/>
      <c r="T1874" s="2" t="s">
        <v>44</v>
      </c>
      <c r="U1874" s="14">
        <v>45780</v>
      </c>
      <c r="V1874" s="79">
        <v>45793</v>
      </c>
      <c r="W1874" s="2"/>
      <c r="X1874" s="2"/>
      <c r="Y1874" s="11"/>
      <c r="Z1874" s="2" t="s">
        <v>36</v>
      </c>
      <c r="AA1874" s="13" t="s">
        <v>10323</v>
      </c>
      <c r="AB1874" s="13" t="s">
        <v>10324</v>
      </c>
    </row>
    <row r="1875" spans="1:28" ht="15" customHeight="1">
      <c r="A1875" s="2" t="s">
        <v>8642</v>
      </c>
      <c r="B1875" s="2" t="s">
        <v>368</v>
      </c>
      <c r="C1875" s="104" t="s">
        <v>3411</v>
      </c>
      <c r="D1875" s="2" t="s">
        <v>99</v>
      </c>
      <c r="E1875" s="2" t="s">
        <v>422</v>
      </c>
      <c r="F1875" s="11" t="s">
        <v>1983</v>
      </c>
      <c r="G1875" s="11" t="s">
        <v>2067</v>
      </c>
      <c r="H1875" s="2" t="s">
        <v>3266</v>
      </c>
      <c r="I1875" s="10" t="s">
        <v>1435</v>
      </c>
      <c r="J1875" s="22">
        <f>+Tabla1[[#This Row],[FECHA ENTRADA]]</f>
        <v>45792</v>
      </c>
      <c r="K1875" s="8">
        <f>+Tabla1[[#This Row],[FECHA SALIDA]]</f>
        <v>45796</v>
      </c>
      <c r="L1875" s="23">
        <f>_xlfn.DAYS(Tabla1[[#This Row],[FECHA FIN ]],Tabla1[[#This Row],[FECHA INICIO]])</f>
        <v>4</v>
      </c>
      <c r="M1875" s="12">
        <v>123.5</v>
      </c>
      <c r="N1875" s="24"/>
      <c r="O1875" s="24">
        <f>(Tabla1[[#This Row],[COSTO FIJO ]]/30)*Tabla1[[#This Row],[TOTAL DIAS PROYECTO]]+(Tabla1[[#This Row],[COSTO TEMPORAL]])</f>
        <v>123.5</v>
      </c>
      <c r="P1875" s="12"/>
      <c r="Q1875" s="12">
        <f>+(Tabla1[[#This Row],[COSTO COCHE]]/30)*Tabla1[[#This Row],[TOTAL DIAS PROYECTO]]</f>
        <v>0</v>
      </c>
      <c r="R1875" s="12">
        <f>+Tabla1[[#This Row],[COSTO TOTAL ALOJAMIENTO]]+Tabla1[[#This Row],[COSTO TOTAL COCHE]]</f>
        <v>123.5</v>
      </c>
      <c r="S1875" s="2"/>
      <c r="T1875" s="2" t="s">
        <v>44</v>
      </c>
      <c r="U1875" s="14">
        <v>45792</v>
      </c>
      <c r="V1875" s="25">
        <v>45796</v>
      </c>
      <c r="W1875" s="26"/>
      <c r="X1875" s="2"/>
      <c r="Y1875" s="11"/>
      <c r="Z1875" s="2" t="s">
        <v>36</v>
      </c>
      <c r="AA1875" s="13">
        <v>-326.69799999999998</v>
      </c>
      <c r="AB1875" s="13" t="s">
        <v>10373</v>
      </c>
    </row>
    <row r="1876" spans="1:28" ht="15" customHeight="1">
      <c r="A1876" s="2" t="s">
        <v>8638</v>
      </c>
      <c r="B1876" s="2" t="s">
        <v>28</v>
      </c>
      <c r="C1876" s="104" t="s">
        <v>2766</v>
      </c>
      <c r="D1876" s="2" t="s">
        <v>30</v>
      </c>
      <c r="E1876" s="2" t="s">
        <v>422</v>
      </c>
      <c r="F1876" s="11" t="s">
        <v>3412</v>
      </c>
      <c r="G1876" s="21" t="s">
        <v>3413</v>
      </c>
      <c r="H1876" s="2" t="s">
        <v>2767</v>
      </c>
      <c r="I1876" s="12" t="s">
        <v>2454</v>
      </c>
      <c r="J1876" s="41">
        <f>+Tabla1[[#This Row],[FECHA ENTRADA]]</f>
        <v>45792</v>
      </c>
      <c r="K1876" s="41">
        <v>45849</v>
      </c>
      <c r="L1876" s="42">
        <f>_xlfn.DAYS(Tabla1[[#This Row],[FECHA FIN ]],Tabla1[[#This Row],[FECHA INICIO]])</f>
        <v>57</v>
      </c>
      <c r="M1876" s="12"/>
      <c r="N1876" s="12"/>
      <c r="O1876" s="28">
        <f>(Tabla1[[#This Row],[COSTO FIJO ]]/30)*Tabla1[[#This Row],[TOTAL DIAS PROYECTO]]+(Tabla1[[#This Row],[COSTO TEMPORAL]])</f>
        <v>0</v>
      </c>
      <c r="P1876" s="12"/>
      <c r="Q1876" s="12">
        <f>+(Tabla1[[#This Row],[COSTO COCHE]]/30)*Tabla1[[#This Row],[TOTAL DIAS PROYECTO]]</f>
        <v>0</v>
      </c>
      <c r="R1876" s="12">
        <f>+Tabla1[[#This Row],[COSTO TOTAL ALOJAMIENTO]]+Tabla1[[#This Row],[COSTO TOTAL COCHE]]</f>
        <v>0</v>
      </c>
      <c r="S1876" s="2" t="s">
        <v>84</v>
      </c>
      <c r="T1876" s="14" t="s">
        <v>44</v>
      </c>
      <c r="U1876" s="14">
        <v>45792</v>
      </c>
      <c r="V1876" s="43">
        <v>45849</v>
      </c>
      <c r="W1876" s="2"/>
      <c r="X1876" s="2"/>
      <c r="Y1876" s="2"/>
      <c r="Z1876" s="2" t="s">
        <v>36</v>
      </c>
      <c r="AA1876" s="13">
        <v>-326.69799999999998</v>
      </c>
      <c r="AB1876" s="13" t="s">
        <v>10373</v>
      </c>
    </row>
    <row r="1877" spans="1:28">
      <c r="A1877" s="2" t="s">
        <v>8964</v>
      </c>
      <c r="B1877" s="2" t="s">
        <v>28</v>
      </c>
      <c r="C1877" s="11" t="s">
        <v>1519</v>
      </c>
      <c r="D1877" s="2" t="s">
        <v>30</v>
      </c>
      <c r="E1877" s="2" t="s">
        <v>31</v>
      </c>
      <c r="F1877" s="11" t="s">
        <v>178</v>
      </c>
      <c r="G1877" s="31" t="s">
        <v>179</v>
      </c>
      <c r="H1877" s="2" t="s">
        <v>180</v>
      </c>
      <c r="I1877" s="2" t="s">
        <v>181</v>
      </c>
      <c r="J1877" s="8">
        <f>+Tabla1[[#This Row],[FECHA ENTRADA]]</f>
        <v>45354</v>
      </c>
      <c r="K1877" s="22">
        <v>45821</v>
      </c>
      <c r="L1877" s="13">
        <f>_xlfn.DAYS(Tabla1[[#This Row],[FECHA FIN ]],Tabla1[[#This Row],[FECHA INICIO]])</f>
        <v>467</v>
      </c>
      <c r="M1877" s="12"/>
      <c r="N1877" s="12"/>
      <c r="O1877" s="12">
        <f>(Tabla1[[#This Row],[COSTO FIJO ]]/30)*Tabla1[[#This Row],[TOTAL DIAS PROYECTO]]+(Tabla1[[#This Row],[COSTO TEMPORAL]])</f>
        <v>0</v>
      </c>
      <c r="P1877" s="12"/>
      <c r="Q1877" s="12">
        <f>+(Tabla1[[#This Row],[COSTO COCHE]]/30)*Tabla1[[#This Row],[TOTAL DIAS PROYECTO]]</f>
        <v>0</v>
      </c>
      <c r="R1877" s="12">
        <f>+Tabla1[[#This Row],[COSTO TOTAL ALOJAMIENTO]]+Tabla1[[#This Row],[COSTO TOTAL COCHE]]</f>
        <v>0</v>
      </c>
      <c r="S1877" s="2"/>
      <c r="T1877" s="2" t="s">
        <v>35</v>
      </c>
      <c r="U1877" s="14">
        <v>45354</v>
      </c>
      <c r="V1877" s="14"/>
      <c r="W1877" s="15">
        <v>275</v>
      </c>
      <c r="X1877" s="16">
        <v>3</v>
      </c>
      <c r="Y1877" s="18" t="s">
        <v>3414</v>
      </c>
      <c r="Z1877" s="2" t="s">
        <v>36</v>
      </c>
      <c r="AA1877" s="13" t="s">
        <v>10323</v>
      </c>
      <c r="AB1877" s="13" t="s">
        <v>10324</v>
      </c>
    </row>
    <row r="1878" spans="1:28" ht="15" customHeight="1">
      <c r="A1878" s="2" t="s">
        <v>8894</v>
      </c>
      <c r="B1878" s="2" t="s">
        <v>28</v>
      </c>
      <c r="C1878" s="207" t="s">
        <v>1177</v>
      </c>
      <c r="D1878" s="2" t="s">
        <v>30</v>
      </c>
      <c r="E1878" s="2" t="s">
        <v>31</v>
      </c>
      <c r="F1878" s="11" t="s">
        <v>178</v>
      </c>
      <c r="G1878" s="30" t="s">
        <v>156</v>
      </c>
      <c r="H1878" s="2" t="s">
        <v>180</v>
      </c>
      <c r="I1878" s="2" t="s">
        <v>181</v>
      </c>
      <c r="J1878" s="8">
        <f>+Tabla1[[#This Row],[FECHA ENTRADA]]</f>
        <v>45354</v>
      </c>
      <c r="K1878" s="22">
        <v>45821</v>
      </c>
      <c r="L1878" s="13">
        <f>_xlfn.DAYS(Tabla1[[#This Row],[FECHA FIN ]],Tabla1[[#This Row],[FECHA INICIO]])</f>
        <v>467</v>
      </c>
      <c r="M1878" s="12"/>
      <c r="N1878" s="12">
        <v>275</v>
      </c>
      <c r="O1878" s="12">
        <f>(Tabla1[[#This Row],[COSTO FIJO ]]/30)*Tabla1[[#This Row],[TOTAL DIAS PROYECTO]]+(Tabla1[[#This Row],[COSTO TEMPORAL]])</f>
        <v>4280.833333333333</v>
      </c>
      <c r="P1878" s="12"/>
      <c r="Q1878" s="12">
        <f>+(Tabla1[[#This Row],[COSTO COCHE]]/30)*Tabla1[[#This Row],[TOTAL DIAS PROYECTO]]</f>
        <v>0</v>
      </c>
      <c r="R1878" s="12">
        <f>+Tabla1[[#This Row],[COSTO TOTAL ALOJAMIENTO]]+Tabla1[[#This Row],[COSTO TOTAL COCHE]]</f>
        <v>4280.833333333333</v>
      </c>
      <c r="S1878" s="2"/>
      <c r="T1878" s="2" t="s">
        <v>35</v>
      </c>
      <c r="U1878" s="14">
        <v>45354</v>
      </c>
      <c r="V1878" s="14"/>
      <c r="W1878" s="15">
        <v>275</v>
      </c>
      <c r="X1878" s="16">
        <v>3</v>
      </c>
      <c r="Y1878" s="18" t="s">
        <v>3415</v>
      </c>
      <c r="Z1878" s="2" t="s">
        <v>36</v>
      </c>
      <c r="AA1878" s="13" t="s">
        <v>10323</v>
      </c>
      <c r="AB1878" s="13" t="s">
        <v>10324</v>
      </c>
    </row>
    <row r="1879" spans="1:28" ht="15" customHeight="1">
      <c r="A1879" s="2" t="s">
        <v>9501</v>
      </c>
      <c r="B1879" s="2" t="s">
        <v>368</v>
      </c>
      <c r="C1879" s="104" t="s">
        <v>3416</v>
      </c>
      <c r="D1879" s="2" t="s">
        <v>30</v>
      </c>
      <c r="E1879" s="2" t="s">
        <v>213</v>
      </c>
      <c r="F1879" s="11" t="s">
        <v>871</v>
      </c>
      <c r="G1879" s="11" t="s">
        <v>872</v>
      </c>
      <c r="H1879" s="2" t="s">
        <v>1832</v>
      </c>
      <c r="I1879" s="12" t="s">
        <v>1043</v>
      </c>
      <c r="J1879" s="22">
        <f>+Tabla1[[#This Row],[FECHA ENTRADA]]</f>
        <v>45720</v>
      </c>
      <c r="K1879" s="22">
        <v>45821</v>
      </c>
      <c r="L1879" s="23">
        <f>_xlfn.DAYS(Tabla1[[#This Row],[FECHA FIN ]],Tabla1[[#This Row],[FECHA INICIO]])</f>
        <v>101</v>
      </c>
      <c r="M1879" s="12"/>
      <c r="N1879" s="12"/>
      <c r="O1879" s="24">
        <f>(Tabla1[[#This Row],[COSTO FIJO ]]/30)*Tabla1[[#This Row],[TOTAL DIAS PROYECTO]]+(Tabla1[[#This Row],[COSTO TEMPORAL]])</f>
        <v>0</v>
      </c>
      <c r="P1879" s="12"/>
      <c r="Q1879" s="12">
        <f>+(Tabla1[[#This Row],[COSTO COCHE]]/30)*Tabla1[[#This Row],[TOTAL DIAS PROYECTO]]</f>
        <v>0</v>
      </c>
      <c r="R1879" s="12">
        <f>+Tabla1[[#This Row],[COSTO TOTAL ALOJAMIENTO]]+Tabla1[[#This Row],[COSTO TOTAL COCHE]]</f>
        <v>0</v>
      </c>
      <c r="S1879" s="2"/>
      <c r="T1879" s="2" t="s">
        <v>35</v>
      </c>
      <c r="U1879" s="14">
        <v>45720</v>
      </c>
      <c r="V1879" s="25"/>
      <c r="W1879" s="26"/>
      <c r="X1879" s="2">
        <v>4</v>
      </c>
      <c r="Y1879" s="11"/>
      <c r="Z1879" s="2" t="s">
        <v>36</v>
      </c>
      <c r="AA1879" s="13" t="s">
        <v>10349</v>
      </c>
      <c r="AB1879" s="13" t="s">
        <v>10350</v>
      </c>
    </row>
    <row r="1880" spans="1:28" ht="15" customHeight="1">
      <c r="A1880" s="2" t="s">
        <v>9281</v>
      </c>
      <c r="B1880" s="2" t="s">
        <v>28</v>
      </c>
      <c r="C1880" s="104" t="s">
        <v>2689</v>
      </c>
      <c r="D1880" s="2" t="s">
        <v>30</v>
      </c>
      <c r="E1880" s="2" t="s">
        <v>87</v>
      </c>
      <c r="F1880" s="11" t="s">
        <v>946</v>
      </c>
      <c r="G1880" s="11" t="s">
        <v>947</v>
      </c>
      <c r="H1880" s="2" t="s">
        <v>1366</v>
      </c>
      <c r="I1880" s="12" t="s">
        <v>1367</v>
      </c>
      <c r="J1880" s="41">
        <f>+Tabla1[[#This Row],[FECHA ENTRADA]]</f>
        <v>45669</v>
      </c>
      <c r="K1880" s="22">
        <v>45821</v>
      </c>
      <c r="L1880" s="42">
        <f>_xlfn.DAYS(Tabla1[[#This Row],[FECHA FIN ]],Tabla1[[#This Row],[FECHA INICIO]])</f>
        <v>152</v>
      </c>
      <c r="M1880" s="12"/>
      <c r="N1880" s="12"/>
      <c r="O1880" s="28">
        <f>(Tabla1[[#This Row],[COSTO FIJO ]]/30)*Tabla1[[#This Row],[TOTAL DIAS PROYECTO]]+(Tabla1[[#This Row],[COSTO TEMPORAL]])</f>
        <v>0</v>
      </c>
      <c r="P1880" s="12"/>
      <c r="Q1880" s="12">
        <f>+(Tabla1[[#This Row],[COSTO COCHE]]/30)*Tabla1[[#This Row],[TOTAL DIAS PROYECTO]]</f>
        <v>0</v>
      </c>
      <c r="R1880" s="12">
        <f>+Tabla1[[#This Row],[COSTO TOTAL ALOJAMIENTO]]+Tabla1[[#This Row],[COSTO TOTAL COCHE]]</f>
        <v>0</v>
      </c>
      <c r="S1880" s="2"/>
      <c r="T1880" s="2" t="s">
        <v>35</v>
      </c>
      <c r="U1880" s="14">
        <v>45669</v>
      </c>
      <c r="V1880" s="43"/>
      <c r="W1880" s="26"/>
      <c r="X1880" s="2">
        <v>4</v>
      </c>
      <c r="Y1880" s="11"/>
      <c r="Z1880" s="2" t="s">
        <v>36</v>
      </c>
      <c r="AA1880" s="13" t="s">
        <v>10335</v>
      </c>
      <c r="AB1880" s="13">
        <v>404.16500000000002</v>
      </c>
    </row>
    <row r="1881" spans="1:28" ht="15" customHeight="1">
      <c r="A1881" s="2" t="s">
        <v>9502</v>
      </c>
      <c r="B1881" s="2" t="s">
        <v>368</v>
      </c>
      <c r="C1881" s="104" t="s">
        <v>3417</v>
      </c>
      <c r="D1881" s="2" t="s">
        <v>99</v>
      </c>
      <c r="E1881" s="2" t="s">
        <v>109</v>
      </c>
      <c r="F1881" s="11" t="s">
        <v>898</v>
      </c>
      <c r="G1881" s="21" t="s">
        <v>899</v>
      </c>
      <c r="H1881" s="2" t="s">
        <v>3418</v>
      </c>
      <c r="I1881" s="12" t="s">
        <v>42</v>
      </c>
      <c r="J1881" s="41">
        <f>+Tabla1[[#This Row],[FECHA ENTRADA]]</f>
        <v>45768</v>
      </c>
      <c r="K1881" s="22">
        <v>45821</v>
      </c>
      <c r="L1881" s="23">
        <f>_xlfn.DAYS(Tabla1[[#This Row],[FECHA FIN ]],Tabla1[[#This Row],[FECHA INICIO]])</f>
        <v>53</v>
      </c>
      <c r="M1881" s="12"/>
      <c r="N1881" s="12"/>
      <c r="O1881" s="24">
        <f>(Tabla1[[#This Row],[COSTO FIJO ]]/30)*Tabla1[[#This Row],[TOTAL DIAS PROYECTO]]+(Tabla1[[#This Row],[COSTO TEMPORAL]])</f>
        <v>0</v>
      </c>
      <c r="P1881" s="12">
        <v>66.666666666666671</v>
      </c>
      <c r="Q1881" s="12">
        <f>+(Tabla1[[#This Row],[COSTO COCHE]]/30)*Tabla1[[#This Row],[TOTAL DIAS PROYECTO]]</f>
        <v>117.77777777777779</v>
      </c>
      <c r="R1881" s="12">
        <f>+Tabla1[[#This Row],[COSTO TOTAL ALOJAMIENTO]]+Tabla1[[#This Row],[COSTO TOTAL COCHE]]</f>
        <v>117.77777777777779</v>
      </c>
      <c r="S1881" s="2"/>
      <c r="T1881" s="2" t="s">
        <v>35</v>
      </c>
      <c r="U1881" s="14">
        <v>45768</v>
      </c>
      <c r="V1881" s="25"/>
      <c r="W1881" s="26"/>
      <c r="X1881" s="2">
        <v>1</v>
      </c>
      <c r="Y1881" s="11"/>
      <c r="Z1881" s="2" t="s">
        <v>36</v>
      </c>
      <c r="AA1881" s="13">
        <v>0.62217999999999996</v>
      </c>
      <c r="AB1881" s="13" t="s">
        <v>10339</v>
      </c>
    </row>
    <row r="1882" spans="1:28" ht="15" customHeight="1">
      <c r="A1882" s="2" t="s">
        <v>8899</v>
      </c>
      <c r="B1882" s="2" t="s">
        <v>28</v>
      </c>
      <c r="C1882" s="11" t="s">
        <v>1205</v>
      </c>
      <c r="D1882" s="2" t="s">
        <v>30</v>
      </c>
      <c r="E1882" s="2" t="s">
        <v>939</v>
      </c>
      <c r="F1882" s="11" t="s">
        <v>3419</v>
      </c>
      <c r="G1882" s="11" t="s">
        <v>3420</v>
      </c>
      <c r="H1882" s="2" t="s">
        <v>3421</v>
      </c>
      <c r="I1882" s="29" t="s">
        <v>3422</v>
      </c>
      <c r="J1882" s="8">
        <f>+Tabla1[[#This Row],[FECHA ENTRADA]]</f>
        <v>45447</v>
      </c>
      <c r="K1882" s="22">
        <v>45497</v>
      </c>
      <c r="L1882" s="13">
        <f>_xlfn.DAYS(Tabla1[[#This Row],[FECHA FIN ]],Tabla1[[#This Row],[FECHA INICIO]])</f>
        <v>50</v>
      </c>
      <c r="M1882" s="12"/>
      <c r="N1882" s="12">
        <v>380</v>
      </c>
      <c r="O1882" s="12">
        <f>(Tabla1[[#This Row],[COSTO FIJO ]]/30)*Tabla1[[#This Row],[TOTAL DIAS PROYECTO]]+(Tabla1[[#This Row],[COSTO TEMPORAL]])</f>
        <v>633.33333333333326</v>
      </c>
      <c r="P1882" s="12"/>
      <c r="Q1882" s="12">
        <f>+(Tabla1[[#This Row],[COSTO COCHE]]/30)*Tabla1[[#This Row],[TOTAL DIAS PROYECTO]]</f>
        <v>0</v>
      </c>
      <c r="R1882" s="12">
        <f>+Tabla1[[#This Row],[COSTO TOTAL ALOJAMIENTO]]+Tabla1[[#This Row],[COSTO TOTAL COCHE]]</f>
        <v>633.33333333333326</v>
      </c>
      <c r="S1882" s="2"/>
      <c r="T1882" s="2" t="s">
        <v>35</v>
      </c>
      <c r="U1882" s="14">
        <v>45447</v>
      </c>
      <c r="V1882" s="14"/>
      <c r="W1882" s="26">
        <v>380</v>
      </c>
      <c r="X1882" s="2">
        <v>4</v>
      </c>
      <c r="Y1882" s="18" t="s">
        <v>3423</v>
      </c>
      <c r="Z1882" s="2" t="s">
        <v>36</v>
      </c>
      <c r="AA1882" s="13" t="s">
        <v>10405</v>
      </c>
      <c r="AB1882" s="13" t="s">
        <v>10406</v>
      </c>
    </row>
    <row r="1883" spans="1:28" ht="15" customHeight="1">
      <c r="A1883" s="2" t="s">
        <v>9467</v>
      </c>
      <c r="B1883" s="2" t="s">
        <v>368</v>
      </c>
      <c r="C1883" s="104" t="s">
        <v>3288</v>
      </c>
      <c r="D1883" s="2" t="s">
        <v>99</v>
      </c>
      <c r="E1883" s="2" t="s">
        <v>55</v>
      </c>
      <c r="F1883" s="11" t="s">
        <v>1618</v>
      </c>
      <c r="G1883" s="49" t="s">
        <v>1619</v>
      </c>
      <c r="H1883" s="2" t="s">
        <v>2129</v>
      </c>
      <c r="I1883" s="162" t="s">
        <v>1316</v>
      </c>
      <c r="J1883" s="22">
        <f>+Tabla1[[#This Row],[FECHA ENTRADA]]</f>
        <v>45741</v>
      </c>
      <c r="K1883" s="22">
        <v>45821</v>
      </c>
      <c r="L1883" s="23">
        <f>_xlfn.DAYS(Tabla1[[#This Row],[FECHA FIN ]],Tabla1[[#This Row],[FECHA INICIO]])</f>
        <v>80</v>
      </c>
      <c r="M1883" s="12"/>
      <c r="N1883" s="12">
        <v>550</v>
      </c>
      <c r="O1883" s="24">
        <f>(Tabla1[[#This Row],[COSTO FIJO ]]/30)*Tabla1[[#This Row],[TOTAL DIAS PROYECTO]]+(Tabla1[[#This Row],[COSTO TEMPORAL]])</f>
        <v>1466.6666666666665</v>
      </c>
      <c r="P1883" s="12"/>
      <c r="Q1883" s="12">
        <f>+(Tabla1[[#This Row],[COSTO COCHE]]/30)*Tabla1[[#This Row],[TOTAL DIAS PROYECTO]]</f>
        <v>0</v>
      </c>
      <c r="R1883" s="12">
        <f>+Tabla1[[#This Row],[COSTO TOTAL ALOJAMIENTO]]+Tabla1[[#This Row],[COSTO TOTAL COCHE]]</f>
        <v>1466.6666666666665</v>
      </c>
      <c r="S1883" s="2"/>
      <c r="T1883" s="2" t="s">
        <v>44</v>
      </c>
      <c r="U1883" s="14">
        <v>45741</v>
      </c>
      <c r="V1883" s="25">
        <v>45783</v>
      </c>
      <c r="W1883" s="26"/>
      <c r="X1883" s="2"/>
      <c r="Y1883" s="11" t="s">
        <v>1166</v>
      </c>
      <c r="Z1883" s="2" t="s">
        <v>36</v>
      </c>
      <c r="AA1883" s="13" t="s">
        <v>10327</v>
      </c>
      <c r="AB1883" s="13" t="s">
        <v>10328</v>
      </c>
    </row>
    <row r="1884" spans="1:28" ht="15" customHeight="1">
      <c r="A1884" s="2" t="s">
        <v>9371</v>
      </c>
      <c r="B1884" s="2" t="s">
        <v>28</v>
      </c>
      <c r="C1884" s="11" t="s">
        <v>2966</v>
      </c>
      <c r="D1884" s="2" t="s">
        <v>30</v>
      </c>
      <c r="E1884" s="2" t="s">
        <v>213</v>
      </c>
      <c r="F1884" s="11" t="s">
        <v>871</v>
      </c>
      <c r="G1884" s="11" t="s">
        <v>872</v>
      </c>
      <c r="H1884" s="2" t="s">
        <v>3424</v>
      </c>
      <c r="I1884" s="2" t="s">
        <v>52</v>
      </c>
      <c r="J1884" s="8">
        <f>+Tabla1[[#This Row],[FECHA ENTRADA]]</f>
        <v>45473</v>
      </c>
      <c r="K1884" s="22">
        <v>45821</v>
      </c>
      <c r="L1884" s="13">
        <f>_xlfn.DAYS(Tabla1[[#This Row],[FECHA FIN ]],Tabla1[[#This Row],[FECHA INICIO]])</f>
        <v>348</v>
      </c>
      <c r="M1884" s="12"/>
      <c r="N1884" s="12">
        <f>1811.6/17</f>
        <v>106.56470588235294</v>
      </c>
      <c r="O1884" s="12">
        <f>(Tabla1[[#This Row],[COSTO FIJO ]]/30)*Tabla1[[#This Row],[TOTAL DIAS PROYECTO]]+(Tabla1[[#This Row],[COSTO TEMPORAL]])</f>
        <v>1236.1505882352942</v>
      </c>
      <c r="P1884" s="12"/>
      <c r="Q1884" s="12">
        <f>+(Tabla1[[#This Row],[COSTO COCHE]]/30)*Tabla1[[#This Row],[TOTAL DIAS PROYECTO]]</f>
        <v>0</v>
      </c>
      <c r="R1884" s="12">
        <f>+Tabla1[[#This Row],[COSTO TOTAL ALOJAMIENTO]]+Tabla1[[#This Row],[COSTO TOTAL COCHE]]</f>
        <v>1236.1505882352942</v>
      </c>
      <c r="S1884" s="2"/>
      <c r="T1884" s="2" t="s">
        <v>35</v>
      </c>
      <c r="U1884" s="14">
        <v>45473</v>
      </c>
      <c r="V1884" s="14"/>
      <c r="W1884" s="26"/>
      <c r="X1884" s="2">
        <v>4</v>
      </c>
      <c r="Y1884" s="11" t="s">
        <v>3425</v>
      </c>
      <c r="Z1884" s="2" t="s">
        <v>36</v>
      </c>
      <c r="AA1884" s="13" t="s">
        <v>10349</v>
      </c>
      <c r="AB1884" s="13" t="s">
        <v>10350</v>
      </c>
    </row>
    <row r="1885" spans="1:28" ht="15" customHeight="1">
      <c r="A1885" s="2" t="s">
        <v>9296</v>
      </c>
      <c r="B1885" s="2" t="s">
        <v>368</v>
      </c>
      <c r="C1885" s="104" t="s">
        <v>2733</v>
      </c>
      <c r="D1885" s="2" t="s">
        <v>30</v>
      </c>
      <c r="E1885" s="2" t="s">
        <v>109</v>
      </c>
      <c r="F1885" s="11" t="s">
        <v>898</v>
      </c>
      <c r="G1885" s="21" t="s">
        <v>899</v>
      </c>
      <c r="H1885" s="2" t="s">
        <v>3426</v>
      </c>
      <c r="I1885" s="12" t="s">
        <v>42</v>
      </c>
      <c r="J1885" s="22">
        <f>+Tabla1[[#This Row],[FECHA ENTRADA]]</f>
        <v>45770</v>
      </c>
      <c r="K1885" s="22">
        <v>45821</v>
      </c>
      <c r="L1885" s="23">
        <f>_xlfn.DAYS(Tabla1[[#This Row],[FECHA FIN ]],Tabla1[[#This Row],[FECHA INICIO]])</f>
        <v>51</v>
      </c>
      <c r="M1885" s="12"/>
      <c r="N1885" s="12"/>
      <c r="O1885" s="24">
        <f>(Tabla1[[#This Row],[COSTO FIJO ]]/30)*Tabla1[[#This Row],[TOTAL DIAS PROYECTO]]+(Tabla1[[#This Row],[COSTO TEMPORAL]])</f>
        <v>0</v>
      </c>
      <c r="P1885" s="12">
        <v>66.666666666666671</v>
      </c>
      <c r="Q1885" s="12">
        <f>+(Tabla1[[#This Row],[COSTO COCHE]]/30)*Tabla1[[#This Row],[TOTAL DIAS PROYECTO]]</f>
        <v>113.33333333333334</v>
      </c>
      <c r="R1885" s="12">
        <f>+Tabla1[[#This Row],[COSTO TOTAL ALOJAMIENTO]]+Tabla1[[#This Row],[COSTO TOTAL COCHE]]</f>
        <v>113.33333333333334</v>
      </c>
      <c r="S1885" s="2"/>
      <c r="T1885" s="2" t="s">
        <v>35</v>
      </c>
      <c r="U1885" s="14">
        <v>45770</v>
      </c>
      <c r="V1885" s="25"/>
      <c r="W1885" s="26"/>
      <c r="X1885" s="2">
        <v>1</v>
      </c>
      <c r="Y1885" s="11"/>
      <c r="Z1885" s="2" t="s">
        <v>36</v>
      </c>
      <c r="AA1885" s="13">
        <v>0.62217999999999996</v>
      </c>
      <c r="AB1885" s="13" t="s">
        <v>10339</v>
      </c>
    </row>
    <row r="1886" spans="1:28" ht="15" customHeight="1">
      <c r="A1886" s="2" t="s">
        <v>9093</v>
      </c>
      <c r="B1886" s="2" t="s">
        <v>368</v>
      </c>
      <c r="C1886" s="97" t="s">
        <v>1986</v>
      </c>
      <c r="D1886" s="2" t="s">
        <v>99</v>
      </c>
      <c r="E1886" s="2" t="s">
        <v>109</v>
      </c>
      <c r="F1886" s="11" t="s">
        <v>3066</v>
      </c>
      <c r="G1886" s="100" t="s">
        <v>3067</v>
      </c>
      <c r="H1886" s="2" t="s">
        <v>1989</v>
      </c>
      <c r="I1886" s="12" t="s">
        <v>42</v>
      </c>
      <c r="J1886" s="22">
        <f>+Tabla1[[#This Row],[FECHA ENTRADA]]</f>
        <v>45760</v>
      </c>
      <c r="K1886" s="8">
        <v>45762</v>
      </c>
      <c r="L1886" s="42">
        <f>_xlfn.DAYS(Tabla1[[#This Row],[FECHA FIN ]],Tabla1[[#This Row],[FECHA INICIO]])</f>
        <v>2</v>
      </c>
      <c r="M1886" s="12"/>
      <c r="N1886" s="12">
        <v>400</v>
      </c>
      <c r="O1886" s="28">
        <f>(Tabla1[[#This Row],[COSTO FIJO ]]/30)*Tabla1[[#This Row],[TOTAL DIAS PROYECTO]]+(Tabla1[[#This Row],[COSTO TEMPORAL]])</f>
        <v>26.666666666666668</v>
      </c>
      <c r="P1886" s="12"/>
      <c r="Q1886" s="12">
        <f>+(Tabla1[[#This Row],[COSTO COCHE]]/30)*Tabla1[[#This Row],[TOTAL DIAS PROYECTO]]</f>
        <v>0</v>
      </c>
      <c r="R1886" s="12">
        <f>+Tabla1[[#This Row],[COSTO TOTAL ALOJAMIENTO]]+Tabla1[[#This Row],[COSTO TOTAL COCHE]]</f>
        <v>26.666666666666668</v>
      </c>
      <c r="S1886" s="2"/>
      <c r="T1886" s="2" t="s">
        <v>35</v>
      </c>
      <c r="U1886" s="14">
        <v>45760</v>
      </c>
      <c r="V1886" s="43"/>
      <c r="W1886" s="26"/>
      <c r="X1886" s="2">
        <v>4</v>
      </c>
      <c r="Y1886" t="s">
        <v>3427</v>
      </c>
      <c r="Z1886" s="2" t="s">
        <v>36</v>
      </c>
      <c r="AA1886" s="13">
        <v>0.62217999999999996</v>
      </c>
      <c r="AB1886" s="13" t="s">
        <v>10339</v>
      </c>
    </row>
    <row r="1887" spans="1:28" ht="15" customHeight="1">
      <c r="A1887" s="2" t="s">
        <v>9472</v>
      </c>
      <c r="B1887" s="2" t="s">
        <v>368</v>
      </c>
      <c r="C1887" s="104" t="s">
        <v>3301</v>
      </c>
      <c r="D1887" s="2" t="s">
        <v>99</v>
      </c>
      <c r="E1887" s="2" t="s">
        <v>109</v>
      </c>
      <c r="F1887" s="11" t="s">
        <v>898</v>
      </c>
      <c r="G1887" s="21" t="s">
        <v>899</v>
      </c>
      <c r="H1887" s="2" t="s">
        <v>1989</v>
      </c>
      <c r="I1887" s="12" t="s">
        <v>42</v>
      </c>
      <c r="J1887" s="22">
        <f>+Tabla1[[#This Row],[FECHA ENTRADA]]</f>
        <v>45760</v>
      </c>
      <c r="K1887" s="22">
        <v>45825</v>
      </c>
      <c r="L1887" s="42">
        <f>_xlfn.DAYS(Tabla1[[#This Row],[FECHA FIN ]],Tabla1[[#This Row],[FECHA INICIO]])</f>
        <v>65</v>
      </c>
      <c r="M1887" s="12"/>
      <c r="N1887" s="12"/>
      <c r="O1887" s="28">
        <f>(Tabla1[[#This Row],[COSTO FIJO ]]/30)*Tabla1[[#This Row],[TOTAL DIAS PROYECTO]]+(Tabla1[[#This Row],[COSTO TEMPORAL]])</f>
        <v>0</v>
      </c>
      <c r="P1887" s="12">
        <v>66.666666666666671</v>
      </c>
      <c r="Q1887" s="12">
        <f>+(Tabla1[[#This Row],[COSTO COCHE]]/30)*Tabla1[[#This Row],[TOTAL DIAS PROYECTO]]</f>
        <v>144.44444444444446</v>
      </c>
      <c r="R1887" s="12">
        <f>+Tabla1[[#This Row],[COSTO TOTAL ALOJAMIENTO]]+Tabla1[[#This Row],[COSTO TOTAL COCHE]]</f>
        <v>144.44444444444446</v>
      </c>
      <c r="S1887" s="2"/>
      <c r="T1887" s="2" t="s">
        <v>35</v>
      </c>
      <c r="U1887" s="14">
        <v>45760</v>
      </c>
      <c r="V1887" s="43"/>
      <c r="W1887" s="26"/>
      <c r="X1887" s="2">
        <v>1</v>
      </c>
      <c r="Y1887" s="90">
        <v>45825</v>
      </c>
      <c r="Z1887" s="2" t="s">
        <v>36</v>
      </c>
      <c r="AA1887" s="13">
        <v>0.62217999999999996</v>
      </c>
      <c r="AB1887" s="13" t="s">
        <v>10339</v>
      </c>
    </row>
    <row r="1888" spans="1:28" ht="15" customHeight="1">
      <c r="A1888" s="2" t="s">
        <v>9324</v>
      </c>
      <c r="B1888" s="2" t="s">
        <v>28</v>
      </c>
      <c r="C1888" s="104" t="s">
        <v>2826</v>
      </c>
      <c r="D1888" s="2" t="s">
        <v>99</v>
      </c>
      <c r="E1888" s="2" t="s">
        <v>213</v>
      </c>
      <c r="F1888" s="11" t="s">
        <v>871</v>
      </c>
      <c r="G1888" s="11" t="s">
        <v>872</v>
      </c>
      <c r="H1888" s="2" t="s">
        <v>1626</v>
      </c>
      <c r="I1888" s="12" t="s">
        <v>1627</v>
      </c>
      <c r="J1888" s="41">
        <f>+Tabla1[[#This Row],[FECHA ENTRADA]]</f>
        <v>45706</v>
      </c>
      <c r="K1888" s="22">
        <v>45821</v>
      </c>
      <c r="L1888" s="42">
        <f>_xlfn.DAYS(Tabla1[[#This Row],[FECHA FIN ]],Tabla1[[#This Row],[FECHA INICIO]])</f>
        <v>115</v>
      </c>
      <c r="M1888" s="12"/>
      <c r="N1888" s="12">
        <f>1811.6/17</f>
        <v>106.56470588235294</v>
      </c>
      <c r="O1888" s="28">
        <f>(Tabla1[[#This Row],[COSTO FIJO ]]/30)*Tabla1[[#This Row],[TOTAL DIAS PROYECTO]]+(Tabla1[[#This Row],[COSTO TEMPORAL]])</f>
        <v>408.49803921568628</v>
      </c>
      <c r="P1888" s="12"/>
      <c r="Q1888" s="12">
        <f>+(Tabla1[[#This Row],[COSTO COCHE]]/30)*Tabla1[[#This Row],[TOTAL DIAS PROYECTO]]</f>
        <v>0</v>
      </c>
      <c r="R1888" s="12">
        <f>+Tabla1[[#This Row],[COSTO TOTAL ALOJAMIENTO]]+Tabla1[[#This Row],[COSTO TOTAL COCHE]]</f>
        <v>408.49803921568628</v>
      </c>
      <c r="S1888" s="2"/>
      <c r="T1888" s="2" t="s">
        <v>35</v>
      </c>
      <c r="U1888" s="14">
        <v>45706</v>
      </c>
      <c r="V1888" s="43">
        <v>45709</v>
      </c>
      <c r="W1888" s="26"/>
      <c r="X1888" s="2">
        <v>4</v>
      </c>
      <c r="Y1888" s="11" t="s">
        <v>1628</v>
      </c>
      <c r="Z1888" s="2" t="s">
        <v>36</v>
      </c>
      <c r="AA1888" s="13" t="s">
        <v>10349</v>
      </c>
      <c r="AB1888" s="13" t="s">
        <v>10350</v>
      </c>
    </row>
    <row r="1889" spans="1:28" ht="15" customHeight="1">
      <c r="A1889" s="2" t="s">
        <v>9448</v>
      </c>
      <c r="B1889" s="2" t="s">
        <v>28</v>
      </c>
      <c r="C1889" s="104" t="s">
        <v>3219</v>
      </c>
      <c r="D1889" s="2" t="s">
        <v>30</v>
      </c>
      <c r="E1889" s="2" t="s">
        <v>422</v>
      </c>
      <c r="F1889" s="11" t="s">
        <v>3412</v>
      </c>
      <c r="G1889" s="46" t="s">
        <v>3413</v>
      </c>
      <c r="H1889" s="2" t="s">
        <v>3217</v>
      </c>
      <c r="I1889" s="12" t="s">
        <v>2454</v>
      </c>
      <c r="J1889" s="41">
        <f>+Tabla1[[#This Row],[FECHA ENTRADA]]</f>
        <v>45792</v>
      </c>
      <c r="K1889" s="41">
        <v>45849</v>
      </c>
      <c r="L1889" s="42">
        <f>_xlfn.DAYS(Tabla1[[#This Row],[FECHA FIN ]],Tabla1[[#This Row],[FECHA INICIO]])</f>
        <v>57</v>
      </c>
      <c r="M1889" s="12"/>
      <c r="N1889" s="12"/>
      <c r="O1889" s="28">
        <f>(Tabla1[[#This Row],[COSTO FIJO ]]/30)*Tabla1[[#This Row],[TOTAL DIAS PROYECTO]]+(Tabla1[[#This Row],[COSTO TEMPORAL]])</f>
        <v>0</v>
      </c>
      <c r="P1889" s="12"/>
      <c r="Q1889" s="12">
        <f>+(Tabla1[[#This Row],[COSTO COCHE]]/30)*Tabla1[[#This Row],[TOTAL DIAS PROYECTO]]</f>
        <v>0</v>
      </c>
      <c r="R1889" s="12">
        <f>+Tabla1[[#This Row],[COSTO TOTAL ALOJAMIENTO]]+Tabla1[[#This Row],[COSTO TOTAL COCHE]]</f>
        <v>0</v>
      </c>
      <c r="S1889" s="2" t="s">
        <v>84</v>
      </c>
      <c r="T1889" s="14" t="s">
        <v>44</v>
      </c>
      <c r="U1889" s="14">
        <v>45792</v>
      </c>
      <c r="V1889" s="43">
        <v>45849</v>
      </c>
      <c r="W1889" s="2"/>
      <c r="X1889" s="2"/>
      <c r="Y1889" s="2"/>
      <c r="Z1889" s="2" t="s">
        <v>36</v>
      </c>
      <c r="AA1889" s="13">
        <v>-326.69799999999998</v>
      </c>
      <c r="AB1889" s="13" t="s">
        <v>10373</v>
      </c>
    </row>
    <row r="1890" spans="1:28" ht="15" customHeight="1">
      <c r="A1890" s="2" t="s">
        <v>9402</v>
      </c>
      <c r="B1890" s="2" t="s">
        <v>28</v>
      </c>
      <c r="C1890" s="11" t="s">
        <v>3063</v>
      </c>
      <c r="D1890" s="2" t="s">
        <v>99</v>
      </c>
      <c r="E1890" s="2" t="s">
        <v>245</v>
      </c>
      <c r="F1890" s="11" t="s">
        <v>3377</v>
      </c>
      <c r="G1890" s="46" t="s">
        <v>3378</v>
      </c>
      <c r="H1890" s="2" t="s">
        <v>2985</v>
      </c>
      <c r="I1890" s="12" t="s">
        <v>1019</v>
      </c>
      <c r="J1890" s="41">
        <f>+Tabla1[[#This Row],[FECHA ENTRADA]]</f>
        <v>45773</v>
      </c>
      <c r="K1890" s="22">
        <v>45821</v>
      </c>
      <c r="L1890" s="23">
        <f>_xlfn.DAYS(Tabla1[[#This Row],[FECHA FIN ]],Tabla1[[#This Row],[FECHA INICIO]])</f>
        <v>48</v>
      </c>
      <c r="M1890" s="12"/>
      <c r="N1890" s="12">
        <v>359</v>
      </c>
      <c r="O1890" s="24">
        <f>(Tabla1[[#This Row],[COSTO FIJO ]]/30)*Tabla1[[#This Row],[TOTAL DIAS PROYECTO]]+(Tabla1[[#This Row],[COSTO TEMPORAL]])</f>
        <v>574.4</v>
      </c>
      <c r="P1890" s="12"/>
      <c r="Q1890" s="12">
        <f>+(Tabla1[[#This Row],[COSTO COCHE]]/30)*Tabla1[[#This Row],[TOTAL DIAS PROYECTO]]</f>
        <v>0</v>
      </c>
      <c r="R1890" s="12">
        <f>+Tabla1[[#This Row],[COSTO TOTAL ALOJAMIENTO]]+Tabla1[[#This Row],[COSTO TOTAL COCHE]]</f>
        <v>574.4</v>
      </c>
      <c r="S1890" s="2" t="s">
        <v>403</v>
      </c>
      <c r="T1890" s="2" t="s">
        <v>44</v>
      </c>
      <c r="U1890" s="14">
        <v>45773</v>
      </c>
      <c r="V1890" s="25">
        <v>45783</v>
      </c>
      <c r="W1890" s="26"/>
      <c r="X1890" s="2"/>
      <c r="Y1890" s="11"/>
      <c r="Z1890" s="2" t="s">
        <v>36</v>
      </c>
      <c r="AA1890" s="13" t="s">
        <v>10355</v>
      </c>
      <c r="AB1890" s="13" t="s">
        <v>10356</v>
      </c>
    </row>
    <row r="1891" spans="1:28" ht="15" customHeight="1">
      <c r="A1891" s="2" t="s">
        <v>8638</v>
      </c>
      <c r="B1891" s="2" t="s">
        <v>28</v>
      </c>
      <c r="C1891" s="11" t="s">
        <v>2769</v>
      </c>
      <c r="D1891" s="2" t="s">
        <v>30</v>
      </c>
      <c r="E1891" s="2" t="s">
        <v>422</v>
      </c>
      <c r="F1891" s="11" t="s">
        <v>3412</v>
      </c>
      <c r="G1891" s="21" t="s">
        <v>3413</v>
      </c>
      <c r="H1891" s="2" t="s">
        <v>2767</v>
      </c>
      <c r="I1891" s="12" t="s">
        <v>2454</v>
      </c>
      <c r="J1891" s="41">
        <f>+Tabla1[[#This Row],[FECHA ENTRADA]]</f>
        <v>45792</v>
      </c>
      <c r="K1891" s="41">
        <v>45849</v>
      </c>
      <c r="L1891" s="42">
        <f>_xlfn.DAYS(Tabla1[[#This Row],[FECHA FIN ]],Tabla1[[#This Row],[FECHA INICIO]])</f>
        <v>57</v>
      </c>
      <c r="M1891" s="12"/>
      <c r="N1891" s="12"/>
      <c r="O1891" s="28">
        <f>(Tabla1[[#This Row],[COSTO FIJO ]]/30)*Tabla1[[#This Row],[TOTAL DIAS PROYECTO]]+(Tabla1[[#This Row],[COSTO TEMPORAL]])</f>
        <v>0</v>
      </c>
      <c r="P1891" s="12"/>
      <c r="Q1891" s="12">
        <f>+(Tabla1[[#This Row],[COSTO COCHE]]/30)*Tabla1[[#This Row],[TOTAL DIAS PROYECTO]]</f>
        <v>0</v>
      </c>
      <c r="R1891" s="12">
        <f>+Tabla1[[#This Row],[COSTO TOTAL ALOJAMIENTO]]+Tabla1[[#This Row],[COSTO TOTAL COCHE]]</f>
        <v>0</v>
      </c>
      <c r="S1891" s="2" t="s">
        <v>84</v>
      </c>
      <c r="T1891" s="14" t="s">
        <v>44</v>
      </c>
      <c r="U1891" s="14">
        <v>45792</v>
      </c>
      <c r="V1891" s="43">
        <v>45849</v>
      </c>
      <c r="W1891" s="2"/>
      <c r="X1891" s="2"/>
      <c r="Y1891" s="2"/>
      <c r="Z1891" s="2" t="s">
        <v>36</v>
      </c>
      <c r="AA1891" s="13">
        <v>-326.69799999999998</v>
      </c>
      <c r="AB1891" s="13" t="s">
        <v>10373</v>
      </c>
    </row>
    <row r="1892" spans="1:28" ht="15" customHeight="1">
      <c r="A1892" s="2" t="s">
        <v>9503</v>
      </c>
      <c r="B1892" s="2" t="s">
        <v>28</v>
      </c>
      <c r="C1892" s="18" t="s">
        <v>3428</v>
      </c>
      <c r="D1892" s="2" t="s">
        <v>30</v>
      </c>
      <c r="E1892" s="2" t="s">
        <v>476</v>
      </c>
      <c r="F1892" s="11"/>
      <c r="G1892" s="11"/>
      <c r="H1892" s="2">
        <v>2023</v>
      </c>
      <c r="I1892" s="2" t="s">
        <v>165</v>
      </c>
      <c r="J1892" s="8">
        <v>45122</v>
      </c>
      <c r="K1892" s="22">
        <v>45821</v>
      </c>
      <c r="L1892" s="13">
        <f>_xlfn.DAYS(Tabla1[[#This Row],[FECHA FIN ]],Tabla1[[#This Row],[FECHA INICIO]])</f>
        <v>699</v>
      </c>
      <c r="M1892" s="12"/>
      <c r="N1892" s="12">
        <v>300</v>
      </c>
      <c r="O1892" s="12">
        <f>(Tabla1[[#This Row],[COSTO FIJO ]]/30)*Tabla1[[#This Row],[TOTAL DIAS PROYECTO]]+(Tabla1[[#This Row],[COSTO TEMPORAL]])</f>
        <v>6990</v>
      </c>
      <c r="P1892" s="12"/>
      <c r="Q1892" s="12">
        <f>+(Tabla1[[#This Row],[COSTO COCHE]]/30)*Tabla1[[#This Row],[TOTAL DIAS PROYECTO]]</f>
        <v>0</v>
      </c>
      <c r="R1892" s="12">
        <f>+Tabla1[[#This Row],[COSTO TOTAL ALOJAMIENTO]]+Tabla1[[#This Row],[COSTO TOTAL COCHE]]</f>
        <v>6990</v>
      </c>
      <c r="S1892" s="2"/>
      <c r="T1892" s="2" t="s">
        <v>58</v>
      </c>
      <c r="U1892" s="14"/>
      <c r="V1892" s="14"/>
      <c r="W1892" s="15"/>
      <c r="X1892" s="16"/>
      <c r="Y1892" s="18" t="s">
        <v>3429</v>
      </c>
      <c r="Z1892" s="2" t="s">
        <v>36</v>
      </c>
      <c r="AA1892" s="13">
        <v>-7.8640699999999999</v>
      </c>
      <c r="AB1892" s="13">
        <v>42.336689999999997</v>
      </c>
    </row>
    <row r="1893" spans="1:28" ht="15" customHeight="1">
      <c r="A1893" s="2" t="s">
        <v>8638</v>
      </c>
      <c r="B1893" s="2" t="s">
        <v>28</v>
      </c>
      <c r="C1893" s="11" t="s">
        <v>2768</v>
      </c>
      <c r="D1893" s="2" t="s">
        <v>30</v>
      </c>
      <c r="E1893" s="2" t="s">
        <v>422</v>
      </c>
      <c r="F1893" s="11" t="s">
        <v>3412</v>
      </c>
      <c r="G1893" s="21" t="s">
        <v>3413</v>
      </c>
      <c r="H1893" s="2" t="s">
        <v>2767</v>
      </c>
      <c r="I1893" s="12" t="s">
        <v>2454</v>
      </c>
      <c r="J1893" s="41">
        <f>+Tabla1[[#This Row],[FECHA ENTRADA]]</f>
        <v>45792</v>
      </c>
      <c r="K1893" s="41">
        <v>45849</v>
      </c>
      <c r="L1893" s="42">
        <f>_xlfn.DAYS(Tabla1[[#This Row],[FECHA FIN ]],Tabla1[[#This Row],[FECHA INICIO]])</f>
        <v>57</v>
      </c>
      <c r="M1893" s="12"/>
      <c r="N1893" s="12"/>
      <c r="O1893" s="28">
        <f>(Tabla1[[#This Row],[COSTO FIJO ]]/30)*Tabla1[[#This Row],[TOTAL DIAS PROYECTO]]+(Tabla1[[#This Row],[COSTO TEMPORAL]])</f>
        <v>0</v>
      </c>
      <c r="P1893" s="12"/>
      <c r="Q1893" s="12">
        <f>+(Tabla1[[#This Row],[COSTO COCHE]]/30)*Tabla1[[#This Row],[TOTAL DIAS PROYECTO]]</f>
        <v>0</v>
      </c>
      <c r="R1893" s="12">
        <f>+Tabla1[[#This Row],[COSTO TOTAL ALOJAMIENTO]]+Tabla1[[#This Row],[COSTO TOTAL COCHE]]</f>
        <v>0</v>
      </c>
      <c r="S1893" s="2" t="s">
        <v>84</v>
      </c>
      <c r="T1893" s="14" t="s">
        <v>44</v>
      </c>
      <c r="U1893" s="14">
        <v>45792</v>
      </c>
      <c r="V1893" s="43">
        <v>45849</v>
      </c>
      <c r="W1893" s="2"/>
      <c r="X1893" s="2"/>
      <c r="Y1893" s="2"/>
      <c r="Z1893" s="2" t="s">
        <v>36</v>
      </c>
      <c r="AA1893" s="13">
        <v>-326.69799999999998</v>
      </c>
      <c r="AB1893" s="13" t="s">
        <v>10373</v>
      </c>
    </row>
    <row r="1894" spans="1:28" ht="15" customHeight="1">
      <c r="A1894" s="2" t="s">
        <v>8692</v>
      </c>
      <c r="B1894" s="2" t="s">
        <v>368</v>
      </c>
      <c r="C1894" s="11" t="s">
        <v>309</v>
      </c>
      <c r="D1894" s="2" t="s">
        <v>30</v>
      </c>
      <c r="E1894" s="2" t="s">
        <v>109</v>
      </c>
      <c r="F1894" s="11" t="s">
        <v>3066</v>
      </c>
      <c r="G1894" s="100" t="s">
        <v>3067</v>
      </c>
      <c r="H1894" s="2" t="s">
        <v>1990</v>
      </c>
      <c r="I1894" s="12" t="s">
        <v>42</v>
      </c>
      <c r="J1894" s="22">
        <f>+Tabla1[[#This Row],[FECHA ENTRADA]]</f>
        <v>45760</v>
      </c>
      <c r="K1894" s="41">
        <v>45783</v>
      </c>
      <c r="L1894" s="42">
        <f>_xlfn.DAYS(Tabla1[[#This Row],[FECHA FIN ]],Tabla1[[#This Row],[FECHA INICIO]])</f>
        <v>23</v>
      </c>
      <c r="M1894" s="12"/>
      <c r="N1894" s="12">
        <f>1811.6/17</f>
        <v>106.56470588235294</v>
      </c>
      <c r="O1894" s="28">
        <f>(Tabla1[[#This Row],[COSTO FIJO ]]/30)*Tabla1[[#This Row],[TOTAL DIAS PROYECTO]]+(Tabla1[[#This Row],[COSTO TEMPORAL]])</f>
        <v>81.699607843137258</v>
      </c>
      <c r="P1894" s="12">
        <v>100</v>
      </c>
      <c r="Q1894" s="12">
        <f>+(Tabla1[[#This Row],[COSTO COCHE]]/30)*Tabla1[[#This Row],[TOTAL DIAS PROYECTO]]</f>
        <v>76.666666666666671</v>
      </c>
      <c r="R1894" s="12">
        <f>+Tabla1[[#This Row],[COSTO TOTAL ALOJAMIENTO]]+Tabla1[[#This Row],[COSTO TOTAL COCHE]]</f>
        <v>158.36627450980393</v>
      </c>
      <c r="S1894" s="2"/>
      <c r="T1894" s="2" t="s">
        <v>35</v>
      </c>
      <c r="U1894" s="14">
        <v>45760</v>
      </c>
      <c r="V1894" s="43"/>
      <c r="W1894" s="26"/>
      <c r="X1894" s="2">
        <v>4</v>
      </c>
      <c r="Y1894" s="11"/>
      <c r="Z1894" s="2" t="s">
        <v>36</v>
      </c>
      <c r="AA1894" s="13">
        <v>0.62217999999999996</v>
      </c>
      <c r="AB1894" s="13" t="s">
        <v>10339</v>
      </c>
    </row>
    <row r="1895" spans="1:28" ht="15" customHeight="1">
      <c r="A1895" s="2" t="s">
        <v>9268</v>
      </c>
      <c r="B1895" s="2" t="s">
        <v>28</v>
      </c>
      <c r="C1895" s="18" t="s">
        <v>2657</v>
      </c>
      <c r="D1895" s="2" t="s">
        <v>30</v>
      </c>
      <c r="E1895" s="2" t="s">
        <v>213</v>
      </c>
      <c r="F1895" s="11" t="s">
        <v>871</v>
      </c>
      <c r="G1895" s="11" t="s">
        <v>872</v>
      </c>
      <c r="H1895" s="2" t="s">
        <v>3430</v>
      </c>
      <c r="I1895" s="2" t="s">
        <v>52</v>
      </c>
      <c r="J1895" s="8">
        <f>+Tabla1[[#This Row],[FECHA ENTRADA]]</f>
        <v>45437</v>
      </c>
      <c r="K1895" s="22">
        <v>45821</v>
      </c>
      <c r="L1895" s="13">
        <f>_xlfn.DAYS(Tabla1[[#This Row],[FECHA FIN ]],Tabla1[[#This Row],[FECHA INICIO]])</f>
        <v>384</v>
      </c>
      <c r="M1895" s="12"/>
      <c r="N1895" s="12">
        <f>1811.6/17</f>
        <v>106.56470588235294</v>
      </c>
      <c r="O1895" s="12">
        <f>(Tabla1[[#This Row],[COSTO FIJO ]]/30)*Tabla1[[#This Row],[TOTAL DIAS PROYECTO]]+(Tabla1[[#This Row],[COSTO TEMPORAL]])</f>
        <v>1364.0282352941176</v>
      </c>
      <c r="P1895" s="12"/>
      <c r="Q1895" s="12">
        <f>+(Tabla1[[#This Row],[COSTO COCHE]]/30)*Tabla1[[#This Row],[TOTAL DIAS PROYECTO]]</f>
        <v>0</v>
      </c>
      <c r="R1895" s="12">
        <f>+Tabla1[[#This Row],[COSTO TOTAL ALOJAMIENTO]]+Tabla1[[#This Row],[COSTO TOTAL COCHE]]</f>
        <v>1364.0282352941176</v>
      </c>
      <c r="S1895" s="2"/>
      <c r="T1895" s="2" t="s">
        <v>35</v>
      </c>
      <c r="U1895" s="14">
        <v>45437</v>
      </c>
      <c r="V1895" s="14">
        <v>45500</v>
      </c>
      <c r="W1895" s="26"/>
      <c r="X1895" s="2">
        <v>4</v>
      </c>
      <c r="Y1895" s="11" t="s">
        <v>3431</v>
      </c>
      <c r="Z1895" s="2" t="s">
        <v>36</v>
      </c>
      <c r="AA1895" s="13" t="s">
        <v>10349</v>
      </c>
      <c r="AB1895" s="13" t="s">
        <v>10350</v>
      </c>
    </row>
    <row r="1896" spans="1:28" ht="15" customHeight="1">
      <c r="A1896" s="2" t="s">
        <v>9387</v>
      </c>
      <c r="B1896" s="2" t="s">
        <v>28</v>
      </c>
      <c r="C1896" s="194" t="s">
        <v>3010</v>
      </c>
      <c r="D1896" s="2" t="s">
        <v>30</v>
      </c>
      <c r="E1896" s="2" t="s">
        <v>301</v>
      </c>
      <c r="F1896" s="11" t="s">
        <v>946</v>
      </c>
      <c r="G1896" s="11" t="s">
        <v>947</v>
      </c>
      <c r="H1896" s="2" t="s">
        <v>948</v>
      </c>
      <c r="I1896" s="12" t="s">
        <v>124</v>
      </c>
      <c r="J1896" s="8">
        <f>+Tabla1[[#This Row],[FECHA ENTRADA]]</f>
        <v>45508</v>
      </c>
      <c r="K1896" s="22">
        <v>45821</v>
      </c>
      <c r="L1896" s="13">
        <f>_xlfn.DAYS(Tabla1[[#This Row],[FECHA FIN ]],Tabla1[[#This Row],[FECHA INICIO]])</f>
        <v>313</v>
      </c>
      <c r="M1896" s="12"/>
      <c r="N1896" s="12">
        <v>280.5</v>
      </c>
      <c r="O1896" s="12">
        <f>(Tabla1[[#This Row],[COSTO FIJO ]]/30)*Tabla1[[#This Row],[TOTAL DIAS PROYECTO]]+(Tabla1[[#This Row],[COSTO TEMPORAL]])</f>
        <v>2926.5499999999997</v>
      </c>
      <c r="P1896" s="12"/>
      <c r="Q1896" s="12">
        <f>+(Tabla1[[#This Row],[COSTO COCHE]]/30)*Tabla1[[#This Row],[TOTAL DIAS PROYECTO]]</f>
        <v>0</v>
      </c>
      <c r="R1896" s="12">
        <f>+Tabla1[[#This Row],[COSTO TOTAL ALOJAMIENTO]]+Tabla1[[#This Row],[COSTO TOTAL COCHE]]</f>
        <v>2926.5499999999997</v>
      </c>
      <c r="S1896" s="2"/>
      <c r="T1896" s="2" t="s">
        <v>35</v>
      </c>
      <c r="U1896" s="14">
        <v>45508</v>
      </c>
      <c r="V1896" s="14"/>
      <c r="W1896" s="26"/>
      <c r="X1896" s="2">
        <v>4</v>
      </c>
      <c r="Y1896" s="11"/>
      <c r="Z1896" s="2" t="s">
        <v>36</v>
      </c>
      <c r="AA1896" s="13" t="s">
        <v>10364</v>
      </c>
      <c r="AB1896" s="13" t="s">
        <v>10365</v>
      </c>
    </row>
    <row r="1897" spans="1:28" ht="15" customHeight="1">
      <c r="A1897" s="2" t="s">
        <v>9504</v>
      </c>
      <c r="B1897" s="2" t="s">
        <v>28</v>
      </c>
      <c r="C1897" s="18" t="s">
        <v>3432</v>
      </c>
      <c r="D1897" s="2" t="s">
        <v>30</v>
      </c>
      <c r="E1897" s="2" t="s">
        <v>87</v>
      </c>
      <c r="F1897" s="11" t="s">
        <v>121</v>
      </c>
      <c r="G1897" s="11" t="s">
        <v>3433</v>
      </c>
      <c r="H1897" s="2" t="s">
        <v>948</v>
      </c>
      <c r="I1897" s="12" t="s">
        <v>124</v>
      </c>
      <c r="J1897" s="8">
        <f>+Tabla1[[#This Row],[FECHA ENTRADA]]</f>
        <v>45508</v>
      </c>
      <c r="K1897" s="22">
        <v>45821</v>
      </c>
      <c r="L1897" s="13">
        <f>_xlfn.DAYS(Tabla1[[#This Row],[FECHA FIN ]],Tabla1[[#This Row],[FECHA INICIO]])</f>
        <v>313</v>
      </c>
      <c r="M1897" s="12"/>
      <c r="N1897" s="24">
        <v>450</v>
      </c>
      <c r="O1897" s="12">
        <f>(Tabla1[[#This Row],[COSTO FIJO ]]/30)*Tabla1[[#This Row],[TOTAL DIAS PROYECTO]]+(Tabla1[[#This Row],[COSTO TEMPORAL]])</f>
        <v>4695</v>
      </c>
      <c r="P1897" s="12"/>
      <c r="Q1897" s="12">
        <f>+(Tabla1[[#This Row],[COSTO COCHE]]/30)*Tabla1[[#This Row],[TOTAL DIAS PROYECTO]]</f>
        <v>0</v>
      </c>
      <c r="R1897" s="12">
        <f>+Tabla1[[#This Row],[COSTO TOTAL ALOJAMIENTO]]+Tabla1[[#This Row],[COSTO TOTAL COCHE]]</f>
        <v>4695</v>
      </c>
      <c r="S1897" s="2"/>
      <c r="T1897" s="2" t="s">
        <v>35</v>
      </c>
      <c r="U1897" s="14">
        <v>45508</v>
      </c>
      <c r="V1897" s="14"/>
      <c r="W1897" s="26"/>
      <c r="X1897" s="2">
        <v>4</v>
      </c>
      <c r="Y1897" s="18" t="s">
        <v>3434</v>
      </c>
      <c r="Z1897" s="2" t="s">
        <v>36</v>
      </c>
      <c r="AA1897" s="13" t="s">
        <v>10335</v>
      </c>
      <c r="AB1897" s="13">
        <v>404.16500000000002</v>
      </c>
    </row>
    <row r="1898" spans="1:28" ht="15" customHeight="1">
      <c r="A1898" s="2" t="s">
        <v>9263</v>
      </c>
      <c r="B1898" s="2" t="s">
        <v>28</v>
      </c>
      <c r="C1898" s="18" t="s">
        <v>2640</v>
      </c>
      <c r="D1898" s="2" t="s">
        <v>30</v>
      </c>
      <c r="E1898" s="2" t="s">
        <v>213</v>
      </c>
      <c r="F1898" s="11"/>
      <c r="G1898" s="11" t="s">
        <v>872</v>
      </c>
      <c r="H1898" s="2" t="s">
        <v>3430</v>
      </c>
      <c r="I1898" s="2" t="s">
        <v>52</v>
      </c>
      <c r="J1898" s="8">
        <f>+Tabla1[[#This Row],[FECHA ENTRADA]]</f>
        <v>45437</v>
      </c>
      <c r="K1898" s="22">
        <v>45821</v>
      </c>
      <c r="L1898" s="13">
        <f>_xlfn.DAYS(Tabla1[[#This Row],[FECHA FIN ]],Tabla1[[#This Row],[FECHA INICIO]])</f>
        <v>384</v>
      </c>
      <c r="M1898" s="12"/>
      <c r="N1898" s="24"/>
      <c r="O1898" s="12">
        <f>(Tabla1[[#This Row],[COSTO FIJO ]]/30)*Tabla1[[#This Row],[TOTAL DIAS PROYECTO]]+(Tabla1[[#This Row],[COSTO TEMPORAL]])</f>
        <v>0</v>
      </c>
      <c r="P1898" s="12"/>
      <c r="Q1898" s="12">
        <f>+(Tabla1[[#This Row],[COSTO COCHE]]/30)*Tabla1[[#This Row],[TOTAL DIAS PROYECTO]]</f>
        <v>0</v>
      </c>
      <c r="R1898" s="12">
        <f>+Tabla1[[#This Row],[COSTO TOTAL ALOJAMIENTO]]+Tabla1[[#This Row],[COSTO TOTAL COCHE]]</f>
        <v>0</v>
      </c>
      <c r="S1898" s="2"/>
      <c r="T1898" s="2" t="s">
        <v>35</v>
      </c>
      <c r="U1898" s="14">
        <v>45437</v>
      </c>
      <c r="V1898" s="14">
        <v>45500</v>
      </c>
      <c r="W1898" s="26"/>
      <c r="X1898" s="2">
        <v>4</v>
      </c>
      <c r="Y1898" s="11" t="s">
        <v>871</v>
      </c>
      <c r="Z1898" s="2" t="s">
        <v>36</v>
      </c>
      <c r="AA1898" s="13" t="s">
        <v>10349</v>
      </c>
      <c r="AB1898" s="13" t="s">
        <v>10350</v>
      </c>
    </row>
    <row r="1899" spans="1:28" ht="15" customHeight="1">
      <c r="A1899" s="2" t="s">
        <v>9474</v>
      </c>
      <c r="B1899" s="2" t="s">
        <v>711</v>
      </c>
      <c r="C1899" s="69" t="s">
        <v>3324</v>
      </c>
      <c r="D1899" s="2" t="s">
        <v>30</v>
      </c>
      <c r="E1899" s="2" t="s">
        <v>127</v>
      </c>
      <c r="F1899" s="11" t="s">
        <v>128</v>
      </c>
      <c r="G1899" s="197" t="s">
        <v>2111</v>
      </c>
      <c r="H1899" s="2" t="s">
        <v>2112</v>
      </c>
      <c r="I1899" s="12" t="s">
        <v>96</v>
      </c>
      <c r="J1899" s="41">
        <f>+Tabla1[[#This Row],[FECHA ENTRADA]]</f>
        <v>45921</v>
      </c>
      <c r="K1899" s="41">
        <v>46070</v>
      </c>
      <c r="L1899" s="42">
        <f>_xlfn.DAYS(Tabla1[[#This Row],[FECHA FIN ]],Tabla1[[#This Row],[FECHA INICIO]])</f>
        <v>149</v>
      </c>
      <c r="M1899" s="12"/>
      <c r="N1899" s="12">
        <v>312.5</v>
      </c>
      <c r="O1899" s="28">
        <f>(Tabla1[[#This Row],[COSTO FIJO ]]/30)*Tabla1[[#This Row],[TOTAL DIAS PROYECTO]]+(Tabla1[[#This Row],[COSTO TEMPORAL]])</f>
        <v>1552.0833333333333</v>
      </c>
      <c r="P1899" s="12"/>
      <c r="Q1899" s="12">
        <f>+(Tabla1[[#This Row],[COSTO COCHE]]/30)*Tabla1[[#This Row],[TOTAL DIAS PROYECTO]]</f>
        <v>0</v>
      </c>
      <c r="R1899" s="12">
        <f>+Tabla1[[#This Row],[COSTO TOTAL ALOJAMIENTO]]+Tabla1[[#This Row],[COSTO TOTAL COCHE]]</f>
        <v>1552.0833333333333</v>
      </c>
      <c r="S1899" s="2"/>
      <c r="T1899" s="14" t="s">
        <v>35</v>
      </c>
      <c r="U1899" s="14">
        <v>45921</v>
      </c>
      <c r="V1899" s="43"/>
      <c r="W1899" s="71"/>
      <c r="X1899" s="2">
        <v>1</v>
      </c>
      <c r="Y1899" s="11" t="s">
        <v>3435</v>
      </c>
      <c r="Z1899" s="2" t="s">
        <v>36</v>
      </c>
      <c r="AA1899" s="13" t="s">
        <v>10342</v>
      </c>
      <c r="AB1899" s="13" t="s">
        <v>10343</v>
      </c>
    </row>
    <row r="1900" spans="1:28">
      <c r="A1900" s="2" t="s">
        <v>9391</v>
      </c>
      <c r="B1900" s="2" t="s">
        <v>28</v>
      </c>
      <c r="C1900" s="115" t="s">
        <v>3018</v>
      </c>
      <c r="D1900" s="2" t="s">
        <v>99</v>
      </c>
      <c r="E1900" s="2" t="s">
        <v>301</v>
      </c>
      <c r="F1900" s="11" t="s">
        <v>946</v>
      </c>
      <c r="G1900" s="11" t="s">
        <v>947</v>
      </c>
      <c r="H1900" s="2" t="s">
        <v>952</v>
      </c>
      <c r="I1900" s="2" t="s">
        <v>124</v>
      </c>
      <c r="J1900" s="8">
        <f>+Tabla1[[#This Row],[FECHA ENTRADA]]</f>
        <v>45536</v>
      </c>
      <c r="K1900" s="22">
        <v>45821</v>
      </c>
      <c r="L1900" s="13">
        <f>_xlfn.DAYS(Tabla1[[#This Row],[FECHA FIN ]],Tabla1[[#This Row],[FECHA INICIO]])</f>
        <v>285</v>
      </c>
      <c r="M1900" s="12"/>
      <c r="N1900" s="12">
        <v>280.5</v>
      </c>
      <c r="O1900" s="12">
        <f>(Tabla1[[#This Row],[COSTO FIJO ]]/30)*Tabla1[[#This Row],[TOTAL DIAS PROYECTO]]+(Tabla1[[#This Row],[COSTO TEMPORAL]])</f>
        <v>2664.75</v>
      </c>
      <c r="P1900" s="12"/>
      <c r="Q1900" s="12">
        <f>+(Tabla1[[#This Row],[COSTO COCHE]]/30)*Tabla1[[#This Row],[TOTAL DIAS PROYECTO]]</f>
        <v>0</v>
      </c>
      <c r="R1900" s="12">
        <f>+Tabla1[[#This Row],[COSTO TOTAL ALOJAMIENTO]]+Tabla1[[#This Row],[COSTO TOTAL COCHE]]</f>
        <v>2664.75</v>
      </c>
      <c r="S1900" s="2"/>
      <c r="T1900" s="2" t="s">
        <v>35</v>
      </c>
      <c r="U1900" s="14">
        <v>45536</v>
      </c>
      <c r="V1900" s="14"/>
      <c r="W1900" s="26"/>
      <c r="X1900" s="2">
        <v>4</v>
      </c>
      <c r="Y1900" s="11" t="s">
        <v>3436</v>
      </c>
      <c r="Z1900" s="2" t="s">
        <v>36</v>
      </c>
      <c r="AA1900" s="13" t="s">
        <v>10364</v>
      </c>
      <c r="AB1900" s="13" t="s">
        <v>10365</v>
      </c>
    </row>
    <row r="1901" spans="1:28" ht="15" customHeight="1">
      <c r="A1901" s="2" t="s">
        <v>9196</v>
      </c>
      <c r="B1901" s="2" t="s">
        <v>368</v>
      </c>
      <c r="C1901" s="11" t="s">
        <v>2403</v>
      </c>
      <c r="D1901" s="2" t="s">
        <v>30</v>
      </c>
      <c r="E1901" s="2" t="s">
        <v>109</v>
      </c>
      <c r="F1901" s="11" t="s">
        <v>2307</v>
      </c>
      <c r="G1901" t="s">
        <v>3139</v>
      </c>
      <c r="H1901" s="2" t="s">
        <v>1561</v>
      </c>
      <c r="I1901" s="29" t="s">
        <v>1562</v>
      </c>
      <c r="J1901" s="22">
        <f>+Tabla1[[#This Row],[FECHA ENTRADA]]</f>
        <v>45760</v>
      </c>
      <c r="K1901" s="22">
        <v>45821</v>
      </c>
      <c r="L1901" s="42">
        <f>_xlfn.DAYS(Tabla1[[#This Row],[FECHA FIN ]],Tabla1[[#This Row],[FECHA INICIO]])</f>
        <v>61</v>
      </c>
      <c r="M1901" s="12"/>
      <c r="N1901" s="12"/>
      <c r="O1901" s="28">
        <f>(Tabla1[[#This Row],[COSTO FIJO ]]/30)*Tabla1[[#This Row],[TOTAL DIAS PROYECTO]]+(Tabla1[[#This Row],[COSTO TEMPORAL]])</f>
        <v>0</v>
      </c>
      <c r="P1901" s="12"/>
      <c r="Q1901" s="12">
        <f>+(Tabla1[[#This Row],[COSTO COCHE]]/30)*Tabla1[[#This Row],[TOTAL DIAS PROYECTO]]</f>
        <v>0</v>
      </c>
      <c r="R1901" s="12">
        <f>+Tabla1[[#This Row],[COSTO TOTAL ALOJAMIENTO]]+Tabla1[[#This Row],[COSTO TOTAL COCHE]]</f>
        <v>0</v>
      </c>
      <c r="S1901" s="2"/>
      <c r="T1901" s="2" t="s">
        <v>35</v>
      </c>
      <c r="U1901" s="14">
        <v>45760</v>
      </c>
      <c r="V1901" s="43">
        <v>45777</v>
      </c>
      <c r="W1901" s="26"/>
      <c r="X1901" s="2">
        <v>27</v>
      </c>
      <c r="Y1901" s="11" t="s">
        <v>3437</v>
      </c>
      <c r="Z1901" s="2" t="s">
        <v>36</v>
      </c>
      <c r="AA1901" s="13">
        <v>0.62217999999999996</v>
      </c>
      <c r="AB1901" s="13" t="s">
        <v>10339</v>
      </c>
    </row>
    <row r="1902" spans="1:28" ht="15" customHeight="1">
      <c r="A1902" s="2" t="s">
        <v>9474</v>
      </c>
      <c r="B1902" s="2" t="s">
        <v>711</v>
      </c>
      <c r="C1902" s="69" t="s">
        <v>3324</v>
      </c>
      <c r="D1902" s="2" t="s">
        <v>30</v>
      </c>
      <c r="E1902" s="2" t="s">
        <v>648</v>
      </c>
      <c r="F1902" s="11" t="s">
        <v>2103</v>
      </c>
      <c r="G1902" s="11" t="s">
        <v>1545</v>
      </c>
      <c r="H1902" s="2" t="s">
        <v>3438</v>
      </c>
      <c r="I1902" s="12" t="s">
        <v>96</v>
      </c>
      <c r="J1902" s="22">
        <f>+Tabla1[[#This Row],[FECHA ENTRADA]]</f>
        <v>46070</v>
      </c>
      <c r="K1902" s="22">
        <v>46159</v>
      </c>
      <c r="L1902" s="23">
        <f>_xlfn.DAYS(Tabla1[[#This Row],[FECHA FIN ]],Tabla1[[#This Row],[FECHA INICIO]])</f>
        <v>89</v>
      </c>
      <c r="M1902" s="12"/>
      <c r="N1902" s="20">
        <v>240</v>
      </c>
      <c r="O1902" s="24">
        <f>(Tabla1[[#This Row],[COSTO FIJO ]]/30)*Tabla1[[#This Row],[TOTAL DIAS PROYECTO]]+(Tabla1[[#This Row],[COSTO TEMPORAL]])</f>
        <v>712</v>
      </c>
      <c r="P1902" s="12"/>
      <c r="Q1902" s="12">
        <f>+(Tabla1[[#This Row],[COSTO COCHE]]/30)*Tabla1[[#This Row],[TOTAL DIAS PROYECTO]]</f>
        <v>0</v>
      </c>
      <c r="R1902" s="12">
        <f>+Tabla1[[#This Row],[COSTO TOTAL ALOJAMIENTO]]+Tabla1[[#This Row],[COSTO TOTAL COCHE]]</f>
        <v>712</v>
      </c>
      <c r="S1902" s="2"/>
      <c r="T1902" s="14" t="s">
        <v>35</v>
      </c>
      <c r="U1902" s="14">
        <v>46070</v>
      </c>
      <c r="V1902" s="25"/>
      <c r="W1902" s="208">
        <v>1200</v>
      </c>
      <c r="X1902" s="2">
        <v>1</v>
      </c>
      <c r="Y1902" s="11" t="s">
        <v>3439</v>
      </c>
      <c r="Z1902" s="2" t="s">
        <v>36</v>
      </c>
      <c r="AA1902" s="13" t="s">
        <v>10387</v>
      </c>
      <c r="AB1902" s="13" t="s">
        <v>10388</v>
      </c>
    </row>
    <row r="1903" spans="1:28" ht="15" customHeight="1">
      <c r="A1903" s="2" t="s">
        <v>9474</v>
      </c>
      <c r="B1903" s="2" t="s">
        <v>711</v>
      </c>
      <c r="C1903" s="11" t="s">
        <v>3324</v>
      </c>
      <c r="D1903" s="2" t="s">
        <v>30</v>
      </c>
      <c r="E1903" s="2" t="s">
        <v>127</v>
      </c>
      <c r="F1903" s="11" t="s">
        <v>820</v>
      </c>
      <c r="G1903" s="21" t="s">
        <v>821</v>
      </c>
      <c r="H1903" s="2" t="s">
        <v>3440</v>
      </c>
      <c r="I1903" s="12" t="s">
        <v>96</v>
      </c>
      <c r="J1903" s="22">
        <f>+Tabla1[[#This Row],[FECHA ENTRADA]]</f>
        <v>46159</v>
      </c>
      <c r="K1903" s="22">
        <v>46174</v>
      </c>
      <c r="L1903" s="23">
        <f>_xlfn.DAYS(Tabla1[[#This Row],[FECHA FIN ]],Tabla1[[#This Row],[FECHA INICIO]])</f>
        <v>15</v>
      </c>
      <c r="M1903" s="20">
        <f>80*15/4</f>
        <v>300</v>
      </c>
      <c r="N1903" s="24"/>
      <c r="O1903" s="24">
        <f>(Tabla1[[#This Row],[COSTO FIJO ]]/30)*Tabla1[[#This Row],[TOTAL DIAS PROYECTO]]+(Tabla1[[#This Row],[COSTO TEMPORAL]])</f>
        <v>300</v>
      </c>
      <c r="P1903" s="12"/>
      <c r="Q1903" s="12">
        <f>+(Tabla1[[#This Row],[COSTO COCHE]]/30)*Tabla1[[#This Row],[TOTAL DIAS PROYECTO]]</f>
        <v>0</v>
      </c>
      <c r="R1903" s="12">
        <f>+Tabla1[[#This Row],[COSTO TOTAL ALOJAMIENTO]]+Tabla1[[#This Row],[COSTO TOTAL COCHE]]</f>
        <v>300</v>
      </c>
      <c r="S1903" s="2"/>
      <c r="T1903" s="14" t="s">
        <v>44</v>
      </c>
      <c r="U1903" s="14">
        <v>46159</v>
      </c>
      <c r="V1903" s="79">
        <v>46174</v>
      </c>
      <c r="W1903" s="12"/>
      <c r="X1903" s="2"/>
      <c r="Y1903" s="11" t="s">
        <v>1364</v>
      </c>
      <c r="Z1903" s="2" t="s">
        <v>36</v>
      </c>
      <c r="AA1903" s="13" t="s">
        <v>10342</v>
      </c>
      <c r="AB1903" s="13" t="s">
        <v>10343</v>
      </c>
    </row>
    <row r="1904" spans="1:28" ht="15" customHeight="1">
      <c r="A1904" s="2" t="s">
        <v>9327</v>
      </c>
      <c r="B1904" s="2" t="s">
        <v>368</v>
      </c>
      <c r="C1904" s="11" t="s">
        <v>2836</v>
      </c>
      <c r="D1904" s="2" t="s">
        <v>72</v>
      </c>
      <c r="E1904" s="2" t="s">
        <v>1115</v>
      </c>
      <c r="F1904" s="11" t="s">
        <v>3441</v>
      </c>
      <c r="G1904" s="49" t="s">
        <v>3442</v>
      </c>
      <c r="H1904" s="2" t="s">
        <v>1118</v>
      </c>
      <c r="I1904" s="12" t="s">
        <v>1119</v>
      </c>
      <c r="J1904" s="22">
        <f>+Tabla1[[#This Row],[FECHA ENTRADA]]</f>
        <v>45769</v>
      </c>
      <c r="K1904" s="22">
        <v>45821</v>
      </c>
      <c r="L1904" s="23">
        <f>_xlfn.DAYS(Tabla1[[#This Row],[FECHA FIN ]],Tabla1[[#This Row],[FECHA INICIO]])</f>
        <v>52</v>
      </c>
      <c r="M1904" s="12"/>
      <c r="N1904" s="12"/>
      <c r="O1904" s="24">
        <f>(Tabla1[[#This Row],[COSTO FIJO ]]/30)*Tabla1[[#This Row],[TOTAL DIAS PROYECTO]]+(Tabla1[[#This Row],[COSTO TEMPORAL]])</f>
        <v>0</v>
      </c>
      <c r="P1904" s="12"/>
      <c r="Q1904" s="12">
        <f>+(Tabla1[[#This Row],[COSTO COCHE]]/30)*Tabla1[[#This Row],[TOTAL DIAS PROYECTO]]</f>
        <v>0</v>
      </c>
      <c r="R1904" s="12">
        <f>+Tabla1[[#This Row],[COSTO TOTAL ALOJAMIENTO]]+Tabla1[[#This Row],[COSTO TOTAL COCHE]]</f>
        <v>0</v>
      </c>
      <c r="S1904" s="2" t="s">
        <v>84</v>
      </c>
      <c r="T1904" s="2" t="s">
        <v>44</v>
      </c>
      <c r="U1904" s="14">
        <v>45769</v>
      </c>
      <c r="V1904" s="25">
        <v>45799</v>
      </c>
      <c r="W1904" s="2"/>
      <c r="X1904" s="2"/>
      <c r="Y1904" s="11"/>
      <c r="Z1904" s="2" t="s">
        <v>36</v>
      </c>
      <c r="AA1904" s="13" t="s">
        <v>10411</v>
      </c>
      <c r="AB1904" s="13">
        <v>50.656529999999997</v>
      </c>
    </row>
    <row r="1905" spans="1:28" ht="15" customHeight="1">
      <c r="A1905" s="2" t="s">
        <v>9505</v>
      </c>
      <c r="B1905" s="2" t="s">
        <v>28</v>
      </c>
      <c r="C1905" s="11" t="s">
        <v>3443</v>
      </c>
      <c r="D1905" s="2" t="s">
        <v>99</v>
      </c>
      <c r="E1905" s="2" t="s">
        <v>245</v>
      </c>
      <c r="F1905" s="11" t="s">
        <v>2209</v>
      </c>
      <c r="G1905" s="49" t="s">
        <v>2210</v>
      </c>
      <c r="H1905" s="2" t="s">
        <v>3444</v>
      </c>
      <c r="I1905" s="12" t="s">
        <v>249</v>
      </c>
      <c r="J1905" s="41">
        <f>+Tabla1[[#This Row],[FECHA ENTRADA]]</f>
        <v>45774</v>
      </c>
      <c r="K1905" s="41">
        <v>45778</v>
      </c>
      <c r="L1905" s="23">
        <f>_xlfn.DAYS(Tabla1[[#This Row],[FECHA FIN ]],Tabla1[[#This Row],[FECHA INICIO]])</f>
        <v>4</v>
      </c>
      <c r="M1905" s="12">
        <f>238.29/4</f>
        <v>59.572499999999998</v>
      </c>
      <c r="N1905" s="24"/>
      <c r="O1905" s="24">
        <f>(Tabla1[[#This Row],[COSTO FIJO ]]/30)*Tabla1[[#This Row],[TOTAL DIAS PROYECTO]]+(Tabla1[[#This Row],[COSTO TEMPORAL]])</f>
        <v>59.572499999999998</v>
      </c>
      <c r="P1905" s="12"/>
      <c r="Q1905" s="12">
        <f>+(Tabla1[[#This Row],[COSTO COCHE]]/30)*Tabla1[[#This Row],[TOTAL DIAS PROYECTO]]</f>
        <v>0</v>
      </c>
      <c r="R1905" s="12">
        <f>+Tabla1[[#This Row],[COSTO TOTAL ALOJAMIENTO]]+Tabla1[[#This Row],[COSTO TOTAL COCHE]]</f>
        <v>59.572499999999998</v>
      </c>
      <c r="S1905" s="2" t="s">
        <v>84</v>
      </c>
      <c r="T1905" s="2" t="s">
        <v>44</v>
      </c>
      <c r="U1905" s="14">
        <v>45774</v>
      </c>
      <c r="V1905" s="25">
        <v>45778</v>
      </c>
      <c r="W1905" s="26"/>
      <c r="X1905" s="2"/>
      <c r="Y1905" s="11" t="s">
        <v>2311</v>
      </c>
      <c r="Z1905" s="2" t="s">
        <v>36</v>
      </c>
      <c r="AA1905" s="13" t="s">
        <v>10355</v>
      </c>
      <c r="AB1905" s="13" t="s">
        <v>10356</v>
      </c>
    </row>
    <row r="1906" spans="1:28" ht="15" customHeight="1">
      <c r="A1906" s="2" t="s">
        <v>9198</v>
      </c>
      <c r="B1906" s="2" t="s">
        <v>28</v>
      </c>
      <c r="C1906" s="11" t="s">
        <v>2407</v>
      </c>
      <c r="D1906" s="2" t="s">
        <v>30</v>
      </c>
      <c r="E1906" s="2" t="s">
        <v>31</v>
      </c>
      <c r="F1906" s="11" t="s">
        <v>2275</v>
      </c>
      <c r="G1906" s="46" t="s">
        <v>2276</v>
      </c>
      <c r="H1906" s="2" t="s">
        <v>2061</v>
      </c>
      <c r="I1906" s="12" t="s">
        <v>2062</v>
      </c>
      <c r="J1906" s="41">
        <f>+Tabla1[[#This Row],[FECHA ENTRADA]]</f>
        <v>45769</v>
      </c>
      <c r="K1906" s="22">
        <v>45821</v>
      </c>
      <c r="L1906" s="13">
        <f>_xlfn.DAYS(Tabla1[[#This Row],[FECHA FIN ]],Tabla1[[#This Row],[FECHA INICIO]])</f>
        <v>52</v>
      </c>
      <c r="M1906" s="12"/>
      <c r="N1906" s="12"/>
      <c r="O1906" s="12">
        <f>(Tabla1[[#This Row],[COSTO FIJO ]]/30)*Tabla1[[#This Row],[TOTAL DIAS PROYECTO]]+(Tabla1[[#This Row],[COSTO TEMPORAL]])</f>
        <v>0</v>
      </c>
      <c r="P1906" s="12">
        <v>120</v>
      </c>
      <c r="Q1906" s="12">
        <f>+(Tabla1[[#This Row],[COSTO COCHE]]/30)*Tabla1[[#This Row],[TOTAL DIAS PROYECTO]]</f>
        <v>208</v>
      </c>
      <c r="R1906" s="12">
        <f>+Tabla1[[#This Row],[COSTO TOTAL ALOJAMIENTO]]+Tabla1[[#This Row],[COSTO TOTAL COCHE]]</f>
        <v>208</v>
      </c>
      <c r="S1906" s="2"/>
      <c r="T1906" s="2" t="s">
        <v>44</v>
      </c>
      <c r="U1906" s="14">
        <v>45769</v>
      </c>
      <c r="V1906" s="14">
        <v>45800</v>
      </c>
      <c r="W1906" s="26"/>
      <c r="X1906" s="2"/>
      <c r="Y1906" s="163" t="s">
        <v>2270</v>
      </c>
      <c r="Z1906" s="2" t="s">
        <v>36</v>
      </c>
      <c r="AA1906" s="13" t="s">
        <v>10323</v>
      </c>
      <c r="AB1906" s="13" t="s">
        <v>10324</v>
      </c>
    </row>
    <row r="1907" spans="1:28" ht="15" customHeight="1">
      <c r="A1907" s="2" t="s">
        <v>9432</v>
      </c>
      <c r="B1907" s="2" t="s">
        <v>368</v>
      </c>
      <c r="C1907" s="11" t="s">
        <v>3169</v>
      </c>
      <c r="D1907" s="2" t="s">
        <v>30</v>
      </c>
      <c r="E1907" s="2" t="s">
        <v>1987</v>
      </c>
      <c r="F1907" s="11" t="s">
        <v>2070</v>
      </c>
      <c r="G1907" s="49" t="s">
        <v>2350</v>
      </c>
      <c r="H1907" s="2" t="s">
        <v>2351</v>
      </c>
      <c r="I1907" s="10" t="s">
        <v>2073</v>
      </c>
      <c r="J1907" s="41">
        <f>+Tabla1[[#This Row],[FECHA ENTRADA]]</f>
        <v>45778</v>
      </c>
      <c r="K1907" s="22">
        <v>45821</v>
      </c>
      <c r="L1907" s="23">
        <f>_xlfn.DAYS(Tabla1[[#This Row],[FECHA FIN ]],Tabla1[[#This Row],[FECHA INICIO]])</f>
        <v>43</v>
      </c>
      <c r="M1907" s="12"/>
      <c r="N1907" s="12"/>
      <c r="O1907" s="24">
        <f>(Tabla1[[#This Row],[COSTO FIJO ]]/30)*Tabla1[[#This Row],[TOTAL DIAS PROYECTO]]+(Tabla1[[#This Row],[COSTO TEMPORAL]])</f>
        <v>0</v>
      </c>
      <c r="P1907" s="12">
        <f>651.6/4</f>
        <v>162.9</v>
      </c>
      <c r="Q1907" s="12">
        <f>+(Tabla1[[#This Row],[COSTO COCHE]]/30)*Tabla1[[#This Row],[TOTAL DIAS PROYECTO]]</f>
        <v>233.49000000000004</v>
      </c>
      <c r="R1907" s="12">
        <f>+Tabla1[[#This Row],[COSTO TOTAL ALOJAMIENTO]]+Tabla1[[#This Row],[COSTO TOTAL COCHE]]</f>
        <v>233.49000000000004</v>
      </c>
      <c r="S1907" s="2"/>
      <c r="T1907" s="2" t="s">
        <v>528</v>
      </c>
      <c r="U1907" s="14">
        <v>45778</v>
      </c>
      <c r="V1907" s="25">
        <v>45800</v>
      </c>
      <c r="W1907" s="26"/>
      <c r="X1907" s="2">
        <v>22</v>
      </c>
      <c r="Y1907" s="11"/>
      <c r="Z1907" s="2" t="s">
        <v>36</v>
      </c>
      <c r="AA1907" s="13" t="s">
        <v>10435</v>
      </c>
      <c r="AB1907" s="13">
        <v>42.136150000000001</v>
      </c>
    </row>
    <row r="1908" spans="1:28" ht="15" customHeight="1">
      <c r="A1908" s="2" t="s">
        <v>9330</v>
      </c>
      <c r="B1908" s="2" t="s">
        <v>28</v>
      </c>
      <c r="C1908" s="11" t="s">
        <v>2842</v>
      </c>
      <c r="D1908" s="2" t="s">
        <v>30</v>
      </c>
      <c r="E1908" s="2" t="s">
        <v>31</v>
      </c>
      <c r="F1908" s="11" t="s">
        <v>2275</v>
      </c>
      <c r="G1908" s="46" t="s">
        <v>2276</v>
      </c>
      <c r="H1908" s="2" t="s">
        <v>2061</v>
      </c>
      <c r="I1908" s="12" t="s">
        <v>2062</v>
      </c>
      <c r="J1908" s="41">
        <f>+Tabla1[[#This Row],[FECHA ENTRADA]]</f>
        <v>45769</v>
      </c>
      <c r="K1908" s="22">
        <v>45821</v>
      </c>
      <c r="L1908" s="13">
        <f>_xlfn.DAYS(Tabla1[[#This Row],[FECHA FIN ]],Tabla1[[#This Row],[FECHA INICIO]])</f>
        <v>52</v>
      </c>
      <c r="M1908" s="12"/>
      <c r="N1908" s="12"/>
      <c r="O1908" s="12">
        <f>(Tabla1[[#This Row],[COSTO FIJO ]]/30)*Tabla1[[#This Row],[TOTAL DIAS PROYECTO]]+(Tabla1[[#This Row],[COSTO TEMPORAL]])</f>
        <v>0</v>
      </c>
      <c r="P1908" s="12">
        <v>120</v>
      </c>
      <c r="Q1908" s="12">
        <f>+(Tabla1[[#This Row],[COSTO COCHE]]/30)*Tabla1[[#This Row],[TOTAL DIAS PROYECTO]]</f>
        <v>208</v>
      </c>
      <c r="R1908" s="12">
        <f>+Tabla1[[#This Row],[COSTO TOTAL ALOJAMIENTO]]+Tabla1[[#This Row],[COSTO TOTAL COCHE]]</f>
        <v>208</v>
      </c>
      <c r="S1908" s="2"/>
      <c r="T1908" s="2" t="s">
        <v>44</v>
      </c>
      <c r="U1908" s="14">
        <v>45769</v>
      </c>
      <c r="V1908" s="14">
        <v>45800</v>
      </c>
      <c r="W1908" s="26"/>
      <c r="X1908" s="2"/>
      <c r="Y1908" s="163" t="s">
        <v>2270</v>
      </c>
      <c r="Z1908" s="2" t="s">
        <v>36</v>
      </c>
      <c r="AA1908" s="13" t="s">
        <v>10323</v>
      </c>
      <c r="AB1908" s="13" t="s">
        <v>10324</v>
      </c>
    </row>
    <row r="1909" spans="1:28" ht="15" customHeight="1">
      <c r="A1909" s="2" t="s">
        <v>9377</v>
      </c>
      <c r="B1909" s="2" t="s">
        <v>368</v>
      </c>
      <c r="C1909" s="182" t="s">
        <v>2977</v>
      </c>
      <c r="D1909" s="2" t="s">
        <v>30</v>
      </c>
      <c r="E1909" s="2" t="s">
        <v>31</v>
      </c>
      <c r="F1909" s="11" t="s">
        <v>3445</v>
      </c>
      <c r="G1909" s="209" t="s">
        <v>3446</v>
      </c>
      <c r="H1909" s="2" t="s">
        <v>3447</v>
      </c>
      <c r="I1909" s="65" t="s">
        <v>3448</v>
      </c>
      <c r="J1909" s="8">
        <f>+Tabla1[[#This Row],[FECHA ENTRADA]]</f>
        <v>45477</v>
      </c>
      <c r="K1909" s="22">
        <v>45821</v>
      </c>
      <c r="L1909" s="13">
        <f>_xlfn.DAYS(Tabla1[[#This Row],[FECHA FIN ]],Tabla1[[#This Row],[FECHA INICIO]])</f>
        <v>344</v>
      </c>
      <c r="M1909" s="12"/>
      <c r="N1909" s="12">
        <v>380</v>
      </c>
      <c r="O1909" s="12">
        <f>(Tabla1[[#This Row],[COSTO FIJO ]]/30)*Tabla1[[#This Row],[TOTAL DIAS PROYECTO]]+(Tabla1[[#This Row],[COSTO TEMPORAL]])</f>
        <v>4357.333333333333</v>
      </c>
      <c r="P1909" s="12"/>
      <c r="Q1909" s="12">
        <f>+(Tabla1[[#This Row],[COSTO COCHE]]/30)*Tabla1[[#This Row],[TOTAL DIAS PROYECTO]]</f>
        <v>0</v>
      </c>
      <c r="R1909" s="12">
        <f>+Tabla1[[#This Row],[COSTO TOTAL ALOJAMIENTO]]+Tabla1[[#This Row],[COSTO TOTAL COCHE]]</f>
        <v>4357.333333333333</v>
      </c>
      <c r="S1909" s="2"/>
      <c r="T1909" s="2" t="s">
        <v>35</v>
      </c>
      <c r="U1909" s="14">
        <v>45477</v>
      </c>
      <c r="V1909" s="14"/>
      <c r="W1909" s="26">
        <v>380</v>
      </c>
      <c r="X1909" s="2">
        <v>4</v>
      </c>
      <c r="Y1909" s="31" t="s">
        <v>3449</v>
      </c>
      <c r="Z1909" s="2" t="s">
        <v>36</v>
      </c>
      <c r="AA1909" s="13" t="s">
        <v>10323</v>
      </c>
      <c r="AB1909" s="13" t="s">
        <v>10324</v>
      </c>
    </row>
    <row r="1910" spans="1:28" ht="15" customHeight="1">
      <c r="A1910" s="2" t="s">
        <v>9357</v>
      </c>
      <c r="B1910" s="2" t="s">
        <v>368</v>
      </c>
      <c r="C1910" s="104" t="s">
        <v>2921</v>
      </c>
      <c r="D1910" s="2" t="s">
        <v>99</v>
      </c>
      <c r="E1910" s="2" t="s">
        <v>1987</v>
      </c>
      <c r="F1910" s="11" t="s">
        <v>2225</v>
      </c>
      <c r="G1910" s="21" t="s">
        <v>2226</v>
      </c>
      <c r="H1910" s="2" t="s">
        <v>2227</v>
      </c>
      <c r="I1910" s="10" t="s">
        <v>2228</v>
      </c>
      <c r="J1910" s="22">
        <f>+Tabla1[[#This Row],[FECHA ENTRADA]]</f>
        <v>45792</v>
      </c>
      <c r="K1910" s="22">
        <v>45821</v>
      </c>
      <c r="L1910" s="23">
        <f>_xlfn.DAYS(Tabla1[[#This Row],[FECHA FIN ]],Tabla1[[#This Row],[FECHA INICIO]])</f>
        <v>29</v>
      </c>
      <c r="M1910" s="12"/>
      <c r="N1910" s="12"/>
      <c r="O1910" s="24">
        <f>(Tabla1[[#This Row],[COSTO FIJO ]]/30)*Tabla1[[#This Row],[TOTAL DIAS PROYECTO]]+(Tabla1[[#This Row],[COSTO TEMPORAL]])</f>
        <v>0</v>
      </c>
      <c r="P1910" s="12"/>
      <c r="Q1910" s="12">
        <f>+(Tabla1[[#This Row],[COSTO COCHE]]/30)*Tabla1[[#This Row],[TOTAL DIAS PROYECTO]]</f>
        <v>0</v>
      </c>
      <c r="R1910" s="12">
        <f>+Tabla1[[#This Row],[COSTO TOTAL ALOJAMIENTO]]+Tabla1[[#This Row],[COSTO TOTAL COCHE]]</f>
        <v>0</v>
      </c>
      <c r="S1910" s="2"/>
      <c r="T1910" s="2" t="s">
        <v>44</v>
      </c>
      <c r="U1910" s="14">
        <v>45792</v>
      </c>
      <c r="V1910" s="79">
        <v>45800</v>
      </c>
      <c r="W1910" s="2"/>
      <c r="X1910" s="2"/>
      <c r="Y1910" s="11" t="s">
        <v>1166</v>
      </c>
      <c r="Z1910" s="2" t="s">
        <v>36</v>
      </c>
      <c r="AA1910" s="13" t="s">
        <v>10435</v>
      </c>
      <c r="AB1910" s="13">
        <v>42.136150000000001</v>
      </c>
    </row>
    <row r="1911" spans="1:28" ht="15" customHeight="1">
      <c r="A1911" s="2" t="s">
        <v>8972</v>
      </c>
      <c r="B1911" s="2" t="s">
        <v>28</v>
      </c>
      <c r="C1911" s="104" t="s">
        <v>1555</v>
      </c>
      <c r="D1911" s="2" t="s">
        <v>99</v>
      </c>
      <c r="E1911" s="2" t="s">
        <v>1130</v>
      </c>
      <c r="F1911" s="11" t="s">
        <v>3450</v>
      </c>
      <c r="G1911" t="s">
        <v>3451</v>
      </c>
      <c r="H1911" s="2" t="s">
        <v>3452</v>
      </c>
      <c r="I1911" s="12" t="s">
        <v>794</v>
      </c>
      <c r="J1911" s="22">
        <f>+Tabla1[[#This Row],[FECHA ENTRADA]]</f>
        <v>45797</v>
      </c>
      <c r="K1911" s="22">
        <v>45829</v>
      </c>
      <c r="L1911" s="23">
        <f>_xlfn.DAYS(Tabla1[[#This Row],[FECHA FIN ]],Tabla1[[#This Row],[FECHA INICIO]])</f>
        <v>32</v>
      </c>
      <c r="M1911" s="12"/>
      <c r="N1911" s="12">
        <v>67.5</v>
      </c>
      <c r="O1911" s="24">
        <f>(Tabla1[[#This Row],[COSTO FIJO ]]/30)*Tabla1[[#This Row],[TOTAL DIAS PROYECTO]]+(Tabla1[[#This Row],[COSTO TEMPORAL]])</f>
        <v>72</v>
      </c>
      <c r="P1911" s="12"/>
      <c r="Q1911" s="12">
        <f>+(Tabla1[[#This Row],[COSTO COCHE]]/30)*Tabla1[[#This Row],[TOTAL DIAS PROYECTO]]</f>
        <v>0</v>
      </c>
      <c r="R1911" s="12">
        <f>+Tabla1[[#This Row],[COSTO TOTAL ALOJAMIENTO]]+Tabla1[[#This Row],[COSTO TOTAL COCHE]]</f>
        <v>72</v>
      </c>
      <c r="S1911" s="2"/>
      <c r="T1911" s="2" t="s">
        <v>44</v>
      </c>
      <c r="U1911" s="14">
        <v>45797</v>
      </c>
      <c r="V1911" s="25">
        <v>45800</v>
      </c>
      <c r="W1911" s="2"/>
      <c r="X1911" s="2"/>
      <c r="Y1911" s="11" t="s">
        <v>1166</v>
      </c>
      <c r="Z1911" s="2" t="s">
        <v>36</v>
      </c>
      <c r="AA1911" s="13" t="s">
        <v>10412</v>
      </c>
      <c r="AB1911" s="13">
        <v>4200955</v>
      </c>
    </row>
    <row r="1912" spans="1:28" ht="15" customHeight="1">
      <c r="A1912" s="2" t="s">
        <v>9387</v>
      </c>
      <c r="B1912" s="2" t="s">
        <v>28</v>
      </c>
      <c r="C1912" s="104" t="s">
        <v>3010</v>
      </c>
      <c r="D1912" s="2" t="s">
        <v>99</v>
      </c>
      <c r="E1912" s="2" t="s">
        <v>1130</v>
      </c>
      <c r="F1912" s="11" t="s">
        <v>3450</v>
      </c>
      <c r="G1912" t="s">
        <v>3451</v>
      </c>
      <c r="H1912" s="2" t="s">
        <v>3452</v>
      </c>
      <c r="I1912" s="12" t="s">
        <v>794</v>
      </c>
      <c r="J1912" s="22">
        <f>+Tabla1[[#This Row],[FECHA ENTRADA]]</f>
        <v>45797</v>
      </c>
      <c r="K1912" s="22">
        <v>45821</v>
      </c>
      <c r="L1912" s="23">
        <f>_xlfn.DAYS(Tabla1[[#This Row],[FECHA FIN ]],Tabla1[[#This Row],[FECHA INICIO]])</f>
        <v>24</v>
      </c>
      <c r="M1912" s="12"/>
      <c r="N1912" s="24"/>
      <c r="O1912" s="24">
        <f>(Tabla1[[#This Row],[COSTO FIJO ]]/30)*Tabla1[[#This Row],[TOTAL DIAS PROYECTO]]+(Tabla1[[#This Row],[COSTO TEMPORAL]])</f>
        <v>0</v>
      </c>
      <c r="P1912" s="12"/>
      <c r="Q1912" s="12">
        <f>+(Tabla1[[#This Row],[COSTO COCHE]]/30)*Tabla1[[#This Row],[TOTAL DIAS PROYECTO]]</f>
        <v>0</v>
      </c>
      <c r="R1912" s="12">
        <f>+Tabla1[[#This Row],[COSTO TOTAL ALOJAMIENTO]]+Tabla1[[#This Row],[COSTO TOTAL COCHE]]</f>
        <v>0</v>
      </c>
      <c r="S1912" s="2"/>
      <c r="T1912" s="2" t="s">
        <v>44</v>
      </c>
      <c r="U1912" s="14">
        <v>45797</v>
      </c>
      <c r="V1912" s="25">
        <v>45800</v>
      </c>
      <c r="W1912" s="2"/>
      <c r="X1912" s="2"/>
      <c r="Y1912" s="11" t="s">
        <v>1166</v>
      </c>
      <c r="Z1912" s="2" t="s">
        <v>36</v>
      </c>
      <c r="AA1912" s="13" t="s">
        <v>10412</v>
      </c>
      <c r="AB1912" s="13">
        <v>4200955</v>
      </c>
    </row>
    <row r="1913" spans="1:28" ht="15" customHeight="1">
      <c r="A1913" s="2" t="s">
        <v>9242</v>
      </c>
      <c r="B1913" s="2" t="s">
        <v>368</v>
      </c>
      <c r="C1913" s="104" t="s">
        <v>2560</v>
      </c>
      <c r="D1913" s="2" t="s">
        <v>30</v>
      </c>
      <c r="E1913" s="2" t="s">
        <v>1987</v>
      </c>
      <c r="F1913" s="11" t="s">
        <v>2070</v>
      </c>
      <c r="G1913" s="49" t="s">
        <v>2350</v>
      </c>
      <c r="H1913" s="2" t="s">
        <v>2351</v>
      </c>
      <c r="I1913" s="10" t="s">
        <v>2073</v>
      </c>
      <c r="J1913" s="41">
        <f>+Tabla1[[#This Row],[FECHA ENTRADA]]</f>
        <v>45778</v>
      </c>
      <c r="K1913" s="22">
        <v>45821</v>
      </c>
      <c r="L1913" s="23">
        <f>_xlfn.DAYS(Tabla1[[#This Row],[FECHA FIN ]],Tabla1[[#This Row],[FECHA INICIO]])</f>
        <v>43</v>
      </c>
      <c r="M1913" s="12"/>
      <c r="N1913" s="24">
        <f>1026.66/4</f>
        <v>256.66500000000002</v>
      </c>
      <c r="O1913" s="24">
        <f>(Tabla1[[#This Row],[COSTO FIJO ]]/30)*Tabla1[[#This Row],[TOTAL DIAS PROYECTO]]+(Tabla1[[#This Row],[COSTO TEMPORAL]])</f>
        <v>367.88650000000001</v>
      </c>
      <c r="P1913" s="12">
        <f>651.6/4</f>
        <v>162.9</v>
      </c>
      <c r="Q1913" s="12">
        <f>+(Tabla1[[#This Row],[COSTO COCHE]]/30)*Tabla1[[#This Row],[TOTAL DIAS PROYECTO]]</f>
        <v>233.49000000000004</v>
      </c>
      <c r="R1913" s="12">
        <f>+Tabla1[[#This Row],[COSTO TOTAL ALOJAMIENTO]]+Tabla1[[#This Row],[COSTO TOTAL COCHE]]</f>
        <v>601.37650000000008</v>
      </c>
      <c r="S1913" s="2"/>
      <c r="T1913" s="2" t="s">
        <v>528</v>
      </c>
      <c r="U1913" s="14">
        <v>45778</v>
      </c>
      <c r="V1913" s="25">
        <v>45800</v>
      </c>
      <c r="W1913" s="26"/>
      <c r="X1913" s="2">
        <v>22</v>
      </c>
      <c r="Y1913" s="11"/>
      <c r="Z1913" s="2" t="s">
        <v>36</v>
      </c>
      <c r="AA1913" s="13" t="s">
        <v>10435</v>
      </c>
      <c r="AB1913" s="13">
        <v>42.136150000000001</v>
      </c>
    </row>
    <row r="1914" spans="1:28" ht="15" customHeight="1">
      <c r="A1914" s="2" t="s">
        <v>9506</v>
      </c>
      <c r="B1914" s="2" t="s">
        <v>28</v>
      </c>
      <c r="C1914" s="210" t="s">
        <v>3453</v>
      </c>
      <c r="D1914" s="2" t="s">
        <v>30</v>
      </c>
      <c r="E1914" s="2" t="s">
        <v>31</v>
      </c>
      <c r="F1914" s="11" t="s">
        <v>2275</v>
      </c>
      <c r="G1914" s="46" t="s">
        <v>2276</v>
      </c>
      <c r="H1914" s="2" t="s">
        <v>2061</v>
      </c>
      <c r="I1914" s="12" t="s">
        <v>2062</v>
      </c>
      <c r="J1914" s="41">
        <f>+Tabla1[[#This Row],[FECHA ENTRADA]]</f>
        <v>45769</v>
      </c>
      <c r="K1914" s="22">
        <v>45821</v>
      </c>
      <c r="L1914" s="13">
        <f>_xlfn.DAYS(Tabla1[[#This Row],[FECHA FIN ]],Tabla1[[#This Row],[FECHA INICIO]])</f>
        <v>52</v>
      </c>
      <c r="M1914" s="12"/>
      <c r="N1914" s="24"/>
      <c r="O1914" s="12">
        <f>(Tabla1[[#This Row],[COSTO FIJO ]]/30)*Tabla1[[#This Row],[TOTAL DIAS PROYECTO]]+(Tabla1[[#This Row],[COSTO TEMPORAL]])</f>
        <v>0</v>
      </c>
      <c r="P1914" s="12">
        <v>120</v>
      </c>
      <c r="Q1914" s="12">
        <f>+(Tabla1[[#This Row],[COSTO COCHE]]/30)*Tabla1[[#This Row],[TOTAL DIAS PROYECTO]]</f>
        <v>208</v>
      </c>
      <c r="R1914" s="12">
        <f>+Tabla1[[#This Row],[COSTO TOTAL ALOJAMIENTO]]+Tabla1[[#This Row],[COSTO TOTAL COCHE]]</f>
        <v>208</v>
      </c>
      <c r="S1914" s="2"/>
      <c r="T1914" s="2" t="s">
        <v>44</v>
      </c>
      <c r="U1914" s="14">
        <v>45769</v>
      </c>
      <c r="V1914" s="14">
        <v>45800</v>
      </c>
      <c r="W1914" s="26"/>
      <c r="X1914" s="2"/>
      <c r="Y1914" s="163" t="s">
        <v>2270</v>
      </c>
      <c r="Z1914" s="2" t="s">
        <v>36</v>
      </c>
      <c r="AA1914" s="13" t="s">
        <v>10323</v>
      </c>
      <c r="AB1914" s="13" t="s">
        <v>10324</v>
      </c>
    </row>
    <row r="1915" spans="1:28" ht="15" customHeight="1">
      <c r="A1915" s="2" t="s">
        <v>8903</v>
      </c>
      <c r="B1915" s="2" t="s">
        <v>28</v>
      </c>
      <c r="C1915" s="210" t="s">
        <v>1213</v>
      </c>
      <c r="D1915" s="2" t="s">
        <v>30</v>
      </c>
      <c r="E1915" s="2" t="s">
        <v>31</v>
      </c>
      <c r="F1915" s="11" t="s">
        <v>2275</v>
      </c>
      <c r="G1915" s="21" t="s">
        <v>2276</v>
      </c>
      <c r="H1915" s="2" t="s">
        <v>2061</v>
      </c>
      <c r="I1915" s="12" t="s">
        <v>2062</v>
      </c>
      <c r="J1915" s="41">
        <f>+Tabla1[[#This Row],[FECHA ENTRADA]]</f>
        <v>45769</v>
      </c>
      <c r="K1915" s="22">
        <v>45821</v>
      </c>
      <c r="L1915" s="13">
        <f>_xlfn.DAYS(Tabla1[[#This Row],[FECHA FIN ]],Tabla1[[#This Row],[FECHA INICIO]])</f>
        <v>52</v>
      </c>
      <c r="M1915" s="12"/>
      <c r="N1915" s="24"/>
      <c r="O1915" s="12">
        <f>(Tabla1[[#This Row],[COSTO FIJO ]]/30)*Tabla1[[#This Row],[TOTAL DIAS PROYECTO]]+(Tabla1[[#This Row],[COSTO TEMPORAL]])</f>
        <v>0</v>
      </c>
      <c r="P1915" s="12">
        <v>120</v>
      </c>
      <c r="Q1915" s="12">
        <f>+(Tabla1[[#This Row],[COSTO COCHE]]/30)*Tabla1[[#This Row],[TOTAL DIAS PROYECTO]]</f>
        <v>208</v>
      </c>
      <c r="R1915" s="12">
        <f>+Tabla1[[#This Row],[COSTO TOTAL ALOJAMIENTO]]+Tabla1[[#This Row],[COSTO TOTAL COCHE]]</f>
        <v>208</v>
      </c>
      <c r="S1915" s="2"/>
      <c r="T1915" s="2" t="s">
        <v>44</v>
      </c>
      <c r="U1915" s="14">
        <v>45769</v>
      </c>
      <c r="V1915" s="14">
        <v>45800</v>
      </c>
      <c r="W1915" s="26"/>
      <c r="X1915" s="2"/>
      <c r="Y1915" s="163" t="s">
        <v>2270</v>
      </c>
      <c r="Z1915" s="2" t="s">
        <v>36</v>
      </c>
      <c r="AA1915" s="13" t="s">
        <v>10323</v>
      </c>
      <c r="AB1915" s="13" t="s">
        <v>10324</v>
      </c>
    </row>
    <row r="1916" spans="1:28" ht="15" customHeight="1">
      <c r="A1916" s="2" t="s">
        <v>9289</v>
      </c>
      <c r="B1916" s="2" t="s">
        <v>28</v>
      </c>
      <c r="C1916" s="115" t="s">
        <v>2705</v>
      </c>
      <c r="D1916" s="33" t="s">
        <v>30</v>
      </c>
      <c r="E1916" s="33" t="s">
        <v>55</v>
      </c>
      <c r="F1916" s="11"/>
      <c r="G1916" s="34" t="s">
        <v>1440</v>
      </c>
      <c r="H1916" s="33">
        <v>2023</v>
      </c>
      <c r="I1916" s="33" t="s">
        <v>236</v>
      </c>
      <c r="J1916" s="8">
        <v>45250</v>
      </c>
      <c r="K1916" s="22">
        <v>45821</v>
      </c>
      <c r="L1916" s="13">
        <f>_xlfn.DAYS(Tabla1[[#This Row],[FECHA FIN ]],Tabla1[[#This Row],[FECHA INICIO]])</f>
        <v>571</v>
      </c>
      <c r="M1916" s="12"/>
      <c r="N1916" s="36">
        <v>500</v>
      </c>
      <c r="O1916" s="36">
        <f>(Tabla1[[#This Row],[COSTO FIJO ]]/30)*Tabla1[[#This Row],[TOTAL DIAS PROYECTO]]+(Tabla1[[#This Row],[COSTO TEMPORAL]])</f>
        <v>9516.6666666666679</v>
      </c>
      <c r="P1916" s="36"/>
      <c r="Q1916" s="36">
        <f>+(Tabla1[[#This Row],[COSTO COCHE]]/30)*Tabla1[[#This Row],[TOTAL DIAS PROYECTO]]</f>
        <v>0</v>
      </c>
      <c r="R1916" s="36">
        <f>+Tabla1[[#This Row],[COSTO TOTAL ALOJAMIENTO]]+Tabla1[[#This Row],[COSTO TOTAL COCHE]]</f>
        <v>9516.6666666666679</v>
      </c>
      <c r="S1916" s="33"/>
      <c r="T1916" s="33" t="s">
        <v>35</v>
      </c>
      <c r="U1916" s="37"/>
      <c r="V1916" s="37"/>
      <c r="W1916" s="38"/>
      <c r="X1916" s="39">
        <v>5</v>
      </c>
      <c r="Y1916" s="34" t="s">
        <v>1653</v>
      </c>
      <c r="Z1916" s="33" t="s">
        <v>36</v>
      </c>
      <c r="AA1916" s="13" t="s">
        <v>10327</v>
      </c>
      <c r="AB1916" s="13" t="s">
        <v>10328</v>
      </c>
    </row>
    <row r="1917" spans="1:28" ht="15" customHeight="1">
      <c r="A1917" s="2" t="s">
        <v>9226</v>
      </c>
      <c r="B1917" s="2" t="s">
        <v>28</v>
      </c>
      <c r="C1917" s="104" t="s">
        <v>2505</v>
      </c>
      <c r="D1917" s="2" t="s">
        <v>30</v>
      </c>
      <c r="E1917" s="2" t="s">
        <v>55</v>
      </c>
      <c r="F1917" s="11" t="s">
        <v>2127</v>
      </c>
      <c r="G1917" s="11" t="s">
        <v>2128</v>
      </c>
      <c r="H1917" s="2" t="s">
        <v>3454</v>
      </c>
      <c r="I1917" s="12" t="s">
        <v>1968</v>
      </c>
      <c r="J1917" s="8">
        <f>+Tabla1[[#This Row],[FECHA ENTRADA]]</f>
        <v>45368</v>
      </c>
      <c r="K1917" s="22">
        <v>45821</v>
      </c>
      <c r="L1917" s="13">
        <f>_xlfn.DAYS(Tabla1[[#This Row],[FECHA FIN ]],Tabla1[[#This Row],[FECHA INICIO]])</f>
        <v>453</v>
      </c>
      <c r="M1917" s="12"/>
      <c r="N1917" s="12"/>
      <c r="O1917" s="12">
        <f>(Tabla1[[#This Row],[COSTO FIJO ]]/30)*Tabla1[[#This Row],[TOTAL DIAS PROYECTO]]+(Tabla1[[#This Row],[COSTO TEMPORAL]])</f>
        <v>0</v>
      </c>
      <c r="P1917" s="12"/>
      <c r="Q1917" s="12">
        <f>+(Tabla1[[#This Row],[COSTO COCHE]]/30)*Tabla1[[#This Row],[TOTAL DIAS PROYECTO]]</f>
        <v>0</v>
      </c>
      <c r="R1917" s="12">
        <f>+Tabla1[[#This Row],[COSTO TOTAL ALOJAMIENTO]]+Tabla1[[#This Row],[COSTO TOTAL COCHE]]</f>
        <v>0</v>
      </c>
      <c r="S1917" s="2"/>
      <c r="T1917" s="2" t="s">
        <v>35</v>
      </c>
      <c r="U1917" s="14">
        <v>45368</v>
      </c>
      <c r="V1917" s="14"/>
      <c r="W1917" s="15"/>
      <c r="X1917" s="16">
        <v>5</v>
      </c>
      <c r="Y1917" s="11" t="s">
        <v>2127</v>
      </c>
      <c r="Z1917" s="2" t="s">
        <v>36</v>
      </c>
      <c r="AA1917" s="13" t="s">
        <v>10327</v>
      </c>
      <c r="AB1917" s="13" t="s">
        <v>10328</v>
      </c>
    </row>
    <row r="1918" spans="1:28" ht="15" customHeight="1">
      <c r="A1918" s="2" t="s">
        <v>9067</v>
      </c>
      <c r="B1918" s="2" t="s">
        <v>28</v>
      </c>
      <c r="C1918" s="104" t="s">
        <v>1860</v>
      </c>
      <c r="D1918" s="2" t="s">
        <v>30</v>
      </c>
      <c r="E1918" s="2" t="s">
        <v>626</v>
      </c>
      <c r="F1918" s="11" t="s">
        <v>2376</v>
      </c>
      <c r="G1918" t="s">
        <v>2377</v>
      </c>
      <c r="H1918" s="2" t="s">
        <v>868</v>
      </c>
      <c r="I1918" s="12" t="s">
        <v>570</v>
      </c>
      <c r="J1918" s="22">
        <f>+Tabla1[[#This Row],[FECHA ENTRADA]]</f>
        <v>45800</v>
      </c>
      <c r="K1918" s="22">
        <v>45821</v>
      </c>
      <c r="L1918" s="23">
        <f>_xlfn.DAYS(Tabla1[[#This Row],[FECHA FIN ]],Tabla1[[#This Row],[FECHA INICIO]])</f>
        <v>21</v>
      </c>
      <c r="M1918" s="12"/>
      <c r="N1918" s="12"/>
      <c r="O1918" s="24">
        <f>(Tabla1[[#This Row],[COSTO FIJO ]]/30)*Tabla1[[#This Row],[TOTAL DIAS PROYECTO]]+(Tabla1[[#This Row],[COSTO TEMPORAL]])</f>
        <v>0</v>
      </c>
      <c r="P1918" s="12"/>
      <c r="Q1918" s="12">
        <f>+(Tabla1[[#This Row],[COSTO COCHE]]/30)*Tabla1[[#This Row],[TOTAL DIAS PROYECTO]]</f>
        <v>0</v>
      </c>
      <c r="R1918" s="12">
        <f>+Tabla1[[#This Row],[COSTO TOTAL ALOJAMIENTO]]+Tabla1[[#This Row],[COSTO TOTAL COCHE]]</f>
        <v>0</v>
      </c>
      <c r="S1918" s="2"/>
      <c r="T1918" s="2" t="s">
        <v>44</v>
      </c>
      <c r="U1918" s="14">
        <v>45800</v>
      </c>
      <c r="V1918" s="25">
        <v>45802</v>
      </c>
      <c r="W1918" s="2"/>
      <c r="X1918" s="2"/>
      <c r="Y1918" s="11" t="s">
        <v>1361</v>
      </c>
      <c r="Z1918" s="2" t="s">
        <v>36</v>
      </c>
      <c r="AA1918" s="13" t="s">
        <v>10385</v>
      </c>
      <c r="AB1918" s="13" t="s">
        <v>10386</v>
      </c>
    </row>
    <row r="1919" spans="1:28" ht="15" customHeight="1">
      <c r="A1919" s="2" t="s">
        <v>8865</v>
      </c>
      <c r="B1919" s="2" t="s">
        <v>28</v>
      </c>
      <c r="C1919" s="104" t="s">
        <v>1073</v>
      </c>
      <c r="D1919" s="2" t="s">
        <v>30</v>
      </c>
      <c r="E1919" s="2" t="s">
        <v>626</v>
      </c>
      <c r="F1919" s="11" t="s">
        <v>2376</v>
      </c>
      <c r="G1919" t="s">
        <v>2377</v>
      </c>
      <c r="H1919" s="2" t="s">
        <v>3455</v>
      </c>
      <c r="I1919" s="12" t="s">
        <v>794</v>
      </c>
      <c r="J1919" s="22">
        <f>+Tabla1[[#This Row],[FECHA ENTRADA]]</f>
        <v>45800</v>
      </c>
      <c r="K1919" s="22">
        <v>45821</v>
      </c>
      <c r="L1919" s="23">
        <f>_xlfn.DAYS(Tabla1[[#This Row],[FECHA FIN ]],Tabla1[[#This Row],[FECHA INICIO]])</f>
        <v>21</v>
      </c>
      <c r="M1919" s="12"/>
      <c r="N1919" s="12"/>
      <c r="O1919" s="24">
        <f>(Tabla1[[#This Row],[COSTO FIJO ]]/30)*Tabla1[[#This Row],[TOTAL DIAS PROYECTO]]+(Tabla1[[#This Row],[COSTO TEMPORAL]])</f>
        <v>0</v>
      </c>
      <c r="P1919" s="12"/>
      <c r="Q1919" s="12">
        <f>+(Tabla1[[#This Row],[COSTO COCHE]]/30)*Tabla1[[#This Row],[TOTAL DIAS PROYECTO]]</f>
        <v>0</v>
      </c>
      <c r="R1919" s="12">
        <f>+Tabla1[[#This Row],[COSTO TOTAL ALOJAMIENTO]]+Tabla1[[#This Row],[COSTO TOTAL COCHE]]</f>
        <v>0</v>
      </c>
      <c r="S1919" s="2"/>
      <c r="T1919" s="2" t="s">
        <v>44</v>
      </c>
      <c r="U1919" s="14">
        <v>45800</v>
      </c>
      <c r="V1919" s="25">
        <v>45802</v>
      </c>
      <c r="W1919" s="2"/>
      <c r="X1919" s="2"/>
      <c r="Y1919" s="11" t="s">
        <v>1361</v>
      </c>
      <c r="Z1919" s="2" t="s">
        <v>36</v>
      </c>
      <c r="AA1919" s="13" t="s">
        <v>10385</v>
      </c>
      <c r="AB1919" s="13" t="s">
        <v>10386</v>
      </c>
    </row>
    <row r="1920" spans="1:28" ht="15" customHeight="1">
      <c r="A1920" s="2" t="s">
        <v>9287</v>
      </c>
      <c r="B1920" s="2" t="s">
        <v>28</v>
      </c>
      <c r="C1920" s="104" t="s">
        <v>2701</v>
      </c>
      <c r="D1920" s="2" t="s">
        <v>30</v>
      </c>
      <c r="E1920" s="2" t="s">
        <v>626</v>
      </c>
      <c r="F1920" s="11" t="s">
        <v>2376</v>
      </c>
      <c r="G1920" t="s">
        <v>2377</v>
      </c>
      <c r="H1920" s="2" t="s">
        <v>3456</v>
      </c>
      <c r="I1920" s="12" t="s">
        <v>570</v>
      </c>
      <c r="J1920" s="22">
        <f>+Tabla1[[#This Row],[FECHA ENTRADA]]</f>
        <v>45800</v>
      </c>
      <c r="K1920" s="22">
        <v>45821</v>
      </c>
      <c r="L1920" s="23">
        <f>_xlfn.DAYS(Tabla1[[#This Row],[FECHA FIN ]],Tabla1[[#This Row],[FECHA INICIO]])</f>
        <v>21</v>
      </c>
      <c r="M1920" s="12"/>
      <c r="N1920" s="12"/>
      <c r="O1920" s="24">
        <f>(Tabla1[[#This Row],[COSTO FIJO ]]/30)*Tabla1[[#This Row],[TOTAL DIAS PROYECTO]]+(Tabla1[[#This Row],[COSTO TEMPORAL]])</f>
        <v>0</v>
      </c>
      <c r="P1920" s="12"/>
      <c r="Q1920" s="12">
        <f>+(Tabla1[[#This Row],[COSTO COCHE]]/30)*Tabla1[[#This Row],[TOTAL DIAS PROYECTO]]</f>
        <v>0</v>
      </c>
      <c r="R1920" s="12">
        <f>+Tabla1[[#This Row],[COSTO TOTAL ALOJAMIENTO]]+Tabla1[[#This Row],[COSTO TOTAL COCHE]]</f>
        <v>0</v>
      </c>
      <c r="S1920" s="2"/>
      <c r="T1920" s="2" t="s">
        <v>44</v>
      </c>
      <c r="U1920" s="14">
        <v>45800</v>
      </c>
      <c r="V1920" s="25">
        <v>45802</v>
      </c>
      <c r="W1920" s="2"/>
      <c r="X1920" s="2"/>
      <c r="Y1920" s="11" t="s">
        <v>1361</v>
      </c>
      <c r="Z1920" s="2" t="s">
        <v>36</v>
      </c>
      <c r="AA1920" s="13" t="s">
        <v>10385</v>
      </c>
      <c r="AB1920" s="13" t="s">
        <v>10386</v>
      </c>
    </row>
    <row r="1921" spans="1:28" ht="15" customHeight="1">
      <c r="A1921" s="2" t="s">
        <v>9507</v>
      </c>
      <c r="B1921" s="2" t="s">
        <v>28</v>
      </c>
      <c r="C1921" s="11" t="s">
        <v>3457</v>
      </c>
      <c r="D1921" s="2" t="s">
        <v>30</v>
      </c>
      <c r="E1921" s="2" t="s">
        <v>626</v>
      </c>
      <c r="F1921" s="11" t="s">
        <v>2376</v>
      </c>
      <c r="G1921" t="s">
        <v>2377</v>
      </c>
      <c r="H1921" s="2" t="s">
        <v>3458</v>
      </c>
      <c r="I1921" s="12" t="s">
        <v>570</v>
      </c>
      <c r="J1921" s="22">
        <f>+Tabla1[[#This Row],[FECHA ENTRADA]]</f>
        <v>45800</v>
      </c>
      <c r="K1921" s="22">
        <v>45821</v>
      </c>
      <c r="L1921" s="23">
        <f>_xlfn.DAYS(Tabla1[[#This Row],[FECHA FIN ]],Tabla1[[#This Row],[FECHA INICIO]])</f>
        <v>21</v>
      </c>
      <c r="M1921" s="12"/>
      <c r="N1921" s="12"/>
      <c r="O1921" s="24">
        <f>(Tabla1[[#This Row],[COSTO FIJO ]]/30)*Tabla1[[#This Row],[TOTAL DIAS PROYECTO]]+(Tabla1[[#This Row],[COSTO TEMPORAL]])</f>
        <v>0</v>
      </c>
      <c r="P1921" s="12"/>
      <c r="Q1921" s="12">
        <f>+(Tabla1[[#This Row],[COSTO COCHE]]/30)*Tabla1[[#This Row],[TOTAL DIAS PROYECTO]]</f>
        <v>0</v>
      </c>
      <c r="R1921" s="12">
        <f>+Tabla1[[#This Row],[COSTO TOTAL ALOJAMIENTO]]+Tabla1[[#This Row],[COSTO TOTAL COCHE]]</f>
        <v>0</v>
      </c>
      <c r="S1921" s="2"/>
      <c r="T1921" s="2" t="s">
        <v>44</v>
      </c>
      <c r="U1921" s="14">
        <v>45800</v>
      </c>
      <c r="V1921" s="25">
        <v>45802</v>
      </c>
      <c r="W1921" s="2"/>
      <c r="X1921" s="2"/>
      <c r="Y1921" s="11" t="s">
        <v>1361</v>
      </c>
      <c r="Z1921" s="2" t="s">
        <v>36</v>
      </c>
      <c r="AA1921" s="13" t="s">
        <v>10385</v>
      </c>
      <c r="AB1921" s="13" t="s">
        <v>10386</v>
      </c>
    </row>
    <row r="1922" spans="1:28" ht="15" customHeight="1">
      <c r="A1922" s="2" t="s">
        <v>9064</v>
      </c>
      <c r="B1922" s="2" t="s">
        <v>368</v>
      </c>
      <c r="C1922" s="18" t="s">
        <v>1847</v>
      </c>
      <c r="D1922" s="2" t="s">
        <v>30</v>
      </c>
      <c r="E1922" s="2" t="s">
        <v>985</v>
      </c>
      <c r="F1922" s="11" t="s">
        <v>3459</v>
      </c>
      <c r="G1922" s="46" t="s">
        <v>3460</v>
      </c>
      <c r="H1922" s="2" t="s">
        <v>988</v>
      </c>
      <c r="I1922" s="12" t="s">
        <v>989</v>
      </c>
      <c r="J1922" s="22">
        <f>+Tabla1[[#This Row],[FECHA ENTRADA]]</f>
        <v>45731</v>
      </c>
      <c r="K1922" s="22">
        <v>45821</v>
      </c>
      <c r="L1922" s="23">
        <f>_xlfn.DAYS(Tabla1[[#This Row],[FECHA FIN ]],Tabla1[[#This Row],[FECHA INICIO]])</f>
        <v>90</v>
      </c>
      <c r="M1922" s="12"/>
      <c r="N1922" s="12"/>
      <c r="O1922" s="24">
        <f>(Tabla1[[#This Row],[COSTO FIJO ]]/30)*Tabla1[[#This Row],[TOTAL DIAS PROYECTO]]+(Tabla1[[#This Row],[COSTO TEMPORAL]])</f>
        <v>0</v>
      </c>
      <c r="P1922" s="12"/>
      <c r="Q1922" s="12">
        <f>+(Tabla1[[#This Row],[COSTO COCHE]]/30)*Tabla1[[#This Row],[TOTAL DIAS PROYECTO]]</f>
        <v>0</v>
      </c>
      <c r="R1922" s="12">
        <f>+Tabla1[[#This Row],[COSTO TOTAL ALOJAMIENTO]]+Tabla1[[#This Row],[COSTO TOTAL COCHE]]</f>
        <v>0</v>
      </c>
      <c r="S1922" s="2"/>
      <c r="T1922" s="2" t="s">
        <v>44</v>
      </c>
      <c r="U1922" s="14">
        <v>45731</v>
      </c>
      <c r="V1922" s="25">
        <v>45802</v>
      </c>
      <c r="W1922" s="26"/>
      <c r="X1922" s="2"/>
      <c r="Y1922" s="11" t="s">
        <v>3461</v>
      </c>
      <c r="Z1922" s="2" t="s">
        <v>36</v>
      </c>
      <c r="AA1922" s="13" t="s">
        <v>10407</v>
      </c>
      <c r="AB1922" s="13" t="s">
        <v>10408</v>
      </c>
    </row>
    <row r="1923" spans="1:28" ht="15" customHeight="1">
      <c r="A1923" s="2" t="s">
        <v>8903</v>
      </c>
      <c r="B1923" s="2" t="s">
        <v>28</v>
      </c>
      <c r="C1923" s="11" t="s">
        <v>1213</v>
      </c>
      <c r="D1923" s="2" t="s">
        <v>99</v>
      </c>
      <c r="E1923" s="2" t="s">
        <v>626</v>
      </c>
      <c r="F1923" s="11" t="s">
        <v>2376</v>
      </c>
      <c r="G1923" t="s">
        <v>2377</v>
      </c>
      <c r="H1923" s="2" t="s">
        <v>3462</v>
      </c>
      <c r="I1923" s="12" t="s">
        <v>570</v>
      </c>
      <c r="J1923" s="22">
        <f>+Tabla1[[#This Row],[FECHA ENTRADA]]</f>
        <v>45800</v>
      </c>
      <c r="K1923" s="22">
        <v>45821</v>
      </c>
      <c r="L1923" s="23">
        <f>_xlfn.DAYS(Tabla1[[#This Row],[FECHA FIN ]],Tabla1[[#This Row],[FECHA INICIO]])</f>
        <v>21</v>
      </c>
      <c r="M1923" s="12"/>
      <c r="N1923" s="12"/>
      <c r="O1923" s="24">
        <f>(Tabla1[[#This Row],[COSTO FIJO ]]/30)*Tabla1[[#This Row],[TOTAL DIAS PROYECTO]]+(Tabla1[[#This Row],[COSTO TEMPORAL]])</f>
        <v>0</v>
      </c>
      <c r="P1923" s="12"/>
      <c r="Q1923" s="12">
        <f>+(Tabla1[[#This Row],[COSTO COCHE]]/30)*Tabla1[[#This Row],[TOTAL DIAS PROYECTO]]</f>
        <v>0</v>
      </c>
      <c r="R1923" s="12">
        <f>+Tabla1[[#This Row],[COSTO TOTAL ALOJAMIENTO]]+Tabla1[[#This Row],[COSTO TOTAL COCHE]]</f>
        <v>0</v>
      </c>
      <c r="S1923" s="2"/>
      <c r="T1923" s="2" t="s">
        <v>44</v>
      </c>
      <c r="U1923" s="14">
        <v>45800</v>
      </c>
      <c r="V1923" s="25">
        <v>45802</v>
      </c>
      <c r="W1923" s="26"/>
      <c r="X1923" s="2"/>
      <c r="Y1923" s="11" t="s">
        <v>1361</v>
      </c>
      <c r="Z1923" s="2" t="s">
        <v>36</v>
      </c>
      <c r="AA1923" s="13" t="s">
        <v>10385</v>
      </c>
      <c r="AB1923" s="13" t="s">
        <v>10386</v>
      </c>
    </row>
    <row r="1924" spans="1:28" ht="15" customHeight="1">
      <c r="A1924" s="2" t="s">
        <v>9497</v>
      </c>
      <c r="B1924" s="2" t="s">
        <v>28</v>
      </c>
      <c r="C1924" s="11" t="s">
        <v>3387</v>
      </c>
      <c r="D1924" s="2" t="s">
        <v>749</v>
      </c>
      <c r="E1924" s="2" t="s">
        <v>288</v>
      </c>
      <c r="F1924" s="11" t="s">
        <v>928</v>
      </c>
      <c r="G1924" t="s">
        <v>1031</v>
      </c>
      <c r="H1924" s="2" t="s">
        <v>3333</v>
      </c>
      <c r="I1924" s="10" t="s">
        <v>753</v>
      </c>
      <c r="J1924" s="41">
        <f>+Tabla1[[#This Row],[FECHA ENTRADA]]</f>
        <v>45752</v>
      </c>
      <c r="K1924" s="8">
        <v>45877</v>
      </c>
      <c r="L1924" s="42">
        <f>_xlfn.DAYS(Tabla1[[#This Row],[FECHA FIN ]],Tabla1[[#This Row],[FECHA INICIO]])</f>
        <v>125</v>
      </c>
      <c r="M1924" s="12"/>
      <c r="N1924" s="12">
        <v>730</v>
      </c>
      <c r="O1924" s="28">
        <f>(Tabla1[[#This Row],[COSTO FIJO ]]/30)*Tabla1[[#This Row],[TOTAL DIAS PROYECTO]]+(Tabla1[[#This Row],[COSTO TEMPORAL]])</f>
        <v>3041.6666666666665</v>
      </c>
      <c r="P1924" s="12"/>
      <c r="Q1924" s="12">
        <f>+(Tabla1[[#This Row],[COSTO COCHE]]/30)*Tabla1[[#This Row],[TOTAL DIAS PROYECTO]]</f>
        <v>0</v>
      </c>
      <c r="R1924" s="12">
        <f>+Tabla1[[#This Row],[COSTO TOTAL ALOJAMIENTO]]+Tabla1[[#This Row],[COSTO TOTAL COCHE]]</f>
        <v>3041.6666666666665</v>
      </c>
      <c r="S1924" s="2"/>
      <c r="T1924" s="2" t="s">
        <v>44</v>
      </c>
      <c r="U1924" s="14">
        <v>45752</v>
      </c>
      <c r="V1924" s="43">
        <v>45785</v>
      </c>
      <c r="W1924" s="26"/>
      <c r="X1924" s="2"/>
      <c r="Y1924" s="11" t="s">
        <v>3463</v>
      </c>
      <c r="Z1924" s="2" t="s">
        <v>36</v>
      </c>
      <c r="AA1924" s="13" t="s">
        <v>10362</v>
      </c>
      <c r="AB1924" s="13" t="s">
        <v>10363</v>
      </c>
    </row>
    <row r="1925" spans="1:28" ht="15" customHeight="1">
      <c r="A1925" s="2" t="s">
        <v>9477</v>
      </c>
      <c r="B1925" s="2" t="s">
        <v>28</v>
      </c>
      <c r="C1925" s="31" t="s">
        <v>3334</v>
      </c>
      <c r="D1925" s="2" t="s">
        <v>749</v>
      </c>
      <c r="E1925" s="2" t="s">
        <v>288</v>
      </c>
      <c r="F1925" s="11" t="s">
        <v>3464</v>
      </c>
      <c r="G1925" s="30" t="s">
        <v>1142</v>
      </c>
      <c r="H1925" s="2" t="s">
        <v>3333</v>
      </c>
      <c r="I1925" s="10" t="s">
        <v>753</v>
      </c>
      <c r="J1925" s="41">
        <f>+Tabla1[[#This Row],[FECHA ENTRADA]]</f>
        <v>45752</v>
      </c>
      <c r="K1925" s="41">
        <v>45904</v>
      </c>
      <c r="L1925" s="42">
        <f>_xlfn.DAYS(Tabla1[[#This Row],[FECHA FIN ]],Tabla1[[#This Row],[FECHA INICIO]])</f>
        <v>152</v>
      </c>
      <c r="M1925" s="12"/>
      <c r="N1925" s="12"/>
      <c r="O1925" s="28">
        <f>(Tabla1[[#This Row],[COSTO FIJO ]]/30)*Tabla1[[#This Row],[TOTAL DIAS PROYECTO]]+(Tabla1[[#This Row],[COSTO TEMPORAL]])</f>
        <v>0</v>
      </c>
      <c r="P1925" s="12"/>
      <c r="Q1925" s="12">
        <f>+(Tabla1[[#This Row],[COSTO COCHE]]/30)*Tabla1[[#This Row],[TOTAL DIAS PROYECTO]]</f>
        <v>0</v>
      </c>
      <c r="R1925" s="12">
        <f>+Tabla1[[#This Row],[COSTO TOTAL ALOJAMIENTO]]+Tabla1[[#This Row],[COSTO TOTAL COCHE]]</f>
        <v>0</v>
      </c>
      <c r="S1925" s="2"/>
      <c r="T1925" s="2" t="s">
        <v>35</v>
      </c>
      <c r="U1925" s="14">
        <v>45752</v>
      </c>
      <c r="V1925" s="43"/>
      <c r="W1925" s="26"/>
      <c r="X1925" s="2">
        <v>2</v>
      </c>
      <c r="Y1925" s="11" t="s">
        <v>3465</v>
      </c>
      <c r="Z1925" s="2" t="s">
        <v>36</v>
      </c>
      <c r="AA1925" s="13" t="s">
        <v>10362</v>
      </c>
      <c r="AB1925" s="13" t="s">
        <v>10363</v>
      </c>
    </row>
    <row r="1926" spans="1:28" ht="15" customHeight="1">
      <c r="A1926" s="2" t="s">
        <v>9371</v>
      </c>
      <c r="B1926" s="2" t="s">
        <v>28</v>
      </c>
      <c r="C1926" s="11" t="s">
        <v>2966</v>
      </c>
      <c r="D1926" s="2" t="s">
        <v>30</v>
      </c>
      <c r="E1926" s="2" t="s">
        <v>55</v>
      </c>
      <c r="F1926" s="11" t="s">
        <v>231</v>
      </c>
      <c r="G1926" s="11" t="s">
        <v>106</v>
      </c>
      <c r="H1926" s="2" t="s">
        <v>1799</v>
      </c>
      <c r="I1926" s="12" t="s">
        <v>236</v>
      </c>
      <c r="J1926" s="22">
        <f>+Tabla1[[#This Row],[FECHA ENTRADA]]</f>
        <v>45690</v>
      </c>
      <c r="K1926" s="22">
        <v>45821</v>
      </c>
      <c r="L1926" s="23">
        <f>_xlfn.DAYS(Tabla1[[#This Row],[FECHA FIN ]],Tabla1[[#This Row],[FECHA INICIO]])</f>
        <v>131</v>
      </c>
      <c r="M1926" s="12"/>
      <c r="N1926" s="12"/>
      <c r="O1926" s="24">
        <f>(Tabla1[[#This Row],[COSTO FIJO ]]/30)*Tabla1[[#This Row],[TOTAL DIAS PROYECTO]]+(Tabla1[[#This Row],[COSTO TEMPORAL]])</f>
        <v>0</v>
      </c>
      <c r="P1926" s="12"/>
      <c r="Q1926" s="12">
        <f>+(Tabla1[[#This Row],[COSTO COCHE]]/30)*Tabla1[[#This Row],[TOTAL DIAS PROYECTO]]</f>
        <v>0</v>
      </c>
      <c r="R1926" s="12">
        <f>+Tabla1[[#This Row],[COSTO TOTAL ALOJAMIENTO]]+Tabla1[[#This Row],[COSTO TOTAL COCHE]]</f>
        <v>0</v>
      </c>
      <c r="S1926" s="2"/>
      <c r="T1926" s="2" t="s">
        <v>35</v>
      </c>
      <c r="U1926" s="14">
        <v>45690</v>
      </c>
      <c r="V1926" s="25"/>
      <c r="W1926" s="26"/>
      <c r="X1926" s="2">
        <v>5</v>
      </c>
      <c r="Y1926" s="11"/>
      <c r="Z1926" s="2" t="s">
        <v>36</v>
      </c>
      <c r="AA1926" s="13" t="s">
        <v>10327</v>
      </c>
      <c r="AB1926" s="13" t="s">
        <v>10328</v>
      </c>
    </row>
    <row r="1927" spans="1:28" ht="15" customHeight="1">
      <c r="A1927" s="2" t="s">
        <v>9357</v>
      </c>
      <c r="B1927" s="2" t="s">
        <v>368</v>
      </c>
      <c r="C1927" s="11" t="s">
        <v>2921</v>
      </c>
      <c r="D1927" s="2" t="s">
        <v>99</v>
      </c>
      <c r="E1927" s="2" t="s">
        <v>1987</v>
      </c>
      <c r="F1927" s="11" t="s">
        <v>2261</v>
      </c>
      <c r="G1927" s="21" t="s">
        <v>2262</v>
      </c>
      <c r="H1927" s="2" t="s">
        <v>2227</v>
      </c>
      <c r="I1927" s="12" t="s">
        <v>2228</v>
      </c>
      <c r="J1927" s="22">
        <f>+Tabla1[[#This Row],[FECHA ENTRADA]]</f>
        <v>45800</v>
      </c>
      <c r="K1927" s="22">
        <v>45821</v>
      </c>
      <c r="L1927" s="23">
        <f>_xlfn.DAYS(Tabla1[[#This Row],[FECHA FIN ]],Tabla1[[#This Row],[FECHA INICIO]])</f>
        <v>21</v>
      </c>
      <c r="M1927" s="12"/>
      <c r="N1927" s="12"/>
      <c r="O1927" s="24">
        <f>(Tabla1[[#This Row],[COSTO FIJO ]]/30)*Tabla1[[#This Row],[TOTAL DIAS PROYECTO]]+(Tabla1[[#This Row],[COSTO TEMPORAL]])</f>
        <v>0</v>
      </c>
      <c r="P1927" s="12"/>
      <c r="Q1927" s="12">
        <f>+(Tabla1[[#This Row],[COSTO COCHE]]/30)*Tabla1[[#This Row],[TOTAL DIAS PROYECTO]]</f>
        <v>0</v>
      </c>
      <c r="R1927" s="12">
        <f>+Tabla1[[#This Row],[COSTO TOTAL ALOJAMIENTO]]+Tabla1[[#This Row],[COSTO TOTAL COCHE]]</f>
        <v>0</v>
      </c>
      <c r="S1927" s="2"/>
      <c r="T1927" s="2" t="s">
        <v>44</v>
      </c>
      <c r="U1927" s="14">
        <v>45800</v>
      </c>
      <c r="V1927" s="79">
        <v>45803</v>
      </c>
      <c r="W1927" s="26"/>
      <c r="X1927" s="2"/>
      <c r="Y1927" s="11" t="s">
        <v>1166</v>
      </c>
      <c r="Z1927" s="2" t="s">
        <v>36</v>
      </c>
      <c r="AA1927" s="13" t="s">
        <v>10435</v>
      </c>
      <c r="AB1927" s="13">
        <v>42.136150000000001</v>
      </c>
    </row>
    <row r="1928" spans="1:28" ht="15" customHeight="1">
      <c r="A1928" s="2" t="s">
        <v>9067</v>
      </c>
      <c r="B1928" s="2" t="s">
        <v>28</v>
      </c>
      <c r="C1928" s="11" t="s">
        <v>1860</v>
      </c>
      <c r="D1928" s="2" t="s">
        <v>30</v>
      </c>
      <c r="E1928" s="2" t="s">
        <v>626</v>
      </c>
      <c r="F1928" s="11" t="s">
        <v>1964</v>
      </c>
      <c r="G1928" s="146" t="s">
        <v>1409</v>
      </c>
      <c r="H1928" s="2" t="s">
        <v>868</v>
      </c>
      <c r="I1928" s="12" t="s">
        <v>570</v>
      </c>
      <c r="J1928" s="41">
        <f>+Tabla1[[#This Row],[FECHA ENTRADA]]</f>
        <v>45739</v>
      </c>
      <c r="K1928" s="22">
        <v>45821</v>
      </c>
      <c r="L1928" s="42">
        <f>_xlfn.DAYS(Tabla1[[#This Row],[FECHA FIN ]],Tabla1[[#This Row],[FECHA INICIO]])</f>
        <v>82</v>
      </c>
      <c r="M1928" s="12"/>
      <c r="N1928" s="12"/>
      <c r="O1928" s="28">
        <f>(Tabla1[[#This Row],[COSTO FIJO ]]/30)*Tabla1[[#This Row],[TOTAL DIAS PROYECTO]]+(Tabla1[[#This Row],[COSTO TEMPORAL]])</f>
        <v>0</v>
      </c>
      <c r="P1928" s="12"/>
      <c r="Q1928" s="12">
        <f>+(Tabla1[[#This Row],[COSTO COCHE]]/30)*Tabla1[[#This Row],[TOTAL DIAS PROYECTO]]</f>
        <v>0</v>
      </c>
      <c r="R1928" s="12">
        <f>+Tabla1[[#This Row],[COSTO TOTAL ALOJAMIENTO]]+Tabla1[[#This Row],[COSTO TOTAL COCHE]]</f>
        <v>0</v>
      </c>
      <c r="S1928" s="2"/>
      <c r="T1928" s="2" t="s">
        <v>35</v>
      </c>
      <c r="U1928" s="14">
        <v>45739</v>
      </c>
      <c r="V1928" s="43"/>
      <c r="W1928" s="26"/>
      <c r="X1928" s="2">
        <v>5</v>
      </c>
      <c r="Y1928" s="11" t="s">
        <v>1361</v>
      </c>
      <c r="Z1928" s="2" t="s">
        <v>36</v>
      </c>
      <c r="AA1928" s="13" t="s">
        <v>10385</v>
      </c>
      <c r="AB1928" s="13" t="s">
        <v>10386</v>
      </c>
    </row>
    <row r="1929" spans="1:28" ht="15" customHeight="1">
      <c r="A1929" s="2" t="s">
        <v>9507</v>
      </c>
      <c r="B1929" s="2" t="s">
        <v>28</v>
      </c>
      <c r="C1929" s="211" t="s">
        <v>3457</v>
      </c>
      <c r="D1929" s="2" t="s">
        <v>30</v>
      </c>
      <c r="E1929" s="2" t="s">
        <v>626</v>
      </c>
      <c r="F1929" s="11" t="s">
        <v>1964</v>
      </c>
      <c r="G1929" s="146" t="s">
        <v>1409</v>
      </c>
      <c r="H1929" s="2" t="s">
        <v>3458</v>
      </c>
      <c r="I1929" s="12" t="s">
        <v>570</v>
      </c>
      <c r="J1929" s="41">
        <f>+Tabla1[[#This Row],[FECHA ENTRADA]]</f>
        <v>45739</v>
      </c>
      <c r="K1929" s="22">
        <v>45821</v>
      </c>
      <c r="L1929" s="42">
        <f>_xlfn.DAYS(Tabla1[[#This Row],[FECHA FIN ]],Tabla1[[#This Row],[FECHA INICIO]])</f>
        <v>82</v>
      </c>
      <c r="M1929" s="12"/>
      <c r="N1929" s="12"/>
      <c r="O1929" s="28">
        <f>(Tabla1[[#This Row],[COSTO FIJO ]]/30)*Tabla1[[#This Row],[TOTAL DIAS PROYECTO]]+(Tabla1[[#This Row],[COSTO TEMPORAL]])</f>
        <v>0</v>
      </c>
      <c r="P1929" s="12"/>
      <c r="Q1929" s="12">
        <f>+(Tabla1[[#This Row],[COSTO COCHE]]/30)*Tabla1[[#This Row],[TOTAL DIAS PROYECTO]]</f>
        <v>0</v>
      </c>
      <c r="R1929" s="12">
        <f>+Tabla1[[#This Row],[COSTO TOTAL ALOJAMIENTO]]+Tabla1[[#This Row],[COSTO TOTAL COCHE]]</f>
        <v>0</v>
      </c>
      <c r="S1929" s="2"/>
      <c r="T1929" s="2" t="s">
        <v>35</v>
      </c>
      <c r="U1929" s="14">
        <v>45739</v>
      </c>
      <c r="V1929" s="43"/>
      <c r="W1929" s="26">
        <v>500</v>
      </c>
      <c r="X1929" s="2">
        <v>5</v>
      </c>
      <c r="Y1929" s="11" t="s">
        <v>1361</v>
      </c>
      <c r="Z1929" s="2" t="s">
        <v>36</v>
      </c>
      <c r="AA1929" s="13" t="s">
        <v>10385</v>
      </c>
      <c r="AB1929" s="13" t="s">
        <v>10386</v>
      </c>
    </row>
    <row r="1930" spans="1:28" ht="15" customHeight="1">
      <c r="A1930" s="2" t="s">
        <v>9508</v>
      </c>
      <c r="B1930" s="2" t="s">
        <v>368</v>
      </c>
      <c r="C1930" s="11" t="s">
        <v>3466</v>
      </c>
      <c r="D1930" s="2" t="s">
        <v>99</v>
      </c>
      <c r="E1930" s="10" t="s">
        <v>2378</v>
      </c>
      <c r="F1930" s="11" t="s">
        <v>2384</v>
      </c>
      <c r="G1930" s="21" t="s">
        <v>2385</v>
      </c>
      <c r="H1930" s="2" t="s">
        <v>2381</v>
      </c>
      <c r="I1930" s="12" t="s">
        <v>1392</v>
      </c>
      <c r="J1930" s="22">
        <f>+Tabla1[[#This Row],[FECHA ENTRADA]]</f>
        <v>45788</v>
      </c>
      <c r="K1930" s="22">
        <v>45821</v>
      </c>
      <c r="L1930" s="23">
        <f>_xlfn.DAYS(Tabla1[[#This Row],[FECHA FIN ]],Tabla1[[#This Row],[FECHA INICIO]])</f>
        <v>33</v>
      </c>
      <c r="M1930" s="12"/>
      <c r="N1930" s="12"/>
      <c r="O1930" s="24">
        <f>(Tabla1[[#This Row],[COSTO FIJO ]]/30)*Tabla1[[#This Row],[TOTAL DIAS PROYECTO]]+(Tabla1[[#This Row],[COSTO TEMPORAL]])</f>
        <v>0</v>
      </c>
      <c r="P1930" s="12"/>
      <c r="Q1930" s="12">
        <f>+(Tabla1[[#This Row],[COSTO COCHE]]/30)*Tabla1[[#This Row],[TOTAL DIAS PROYECTO]]</f>
        <v>0</v>
      </c>
      <c r="R1930" s="12">
        <f>+Tabla1[[#This Row],[COSTO TOTAL ALOJAMIENTO]]+Tabla1[[#This Row],[COSTO TOTAL COCHE]]</f>
        <v>0</v>
      </c>
      <c r="S1930" s="2" t="s">
        <v>84</v>
      </c>
      <c r="T1930" s="14" t="s">
        <v>44</v>
      </c>
      <c r="U1930" s="14">
        <v>45788</v>
      </c>
      <c r="V1930" s="14">
        <v>45804</v>
      </c>
      <c r="W1930" s="2"/>
      <c r="X1930" s="2"/>
      <c r="Y1930" t="s">
        <v>2382</v>
      </c>
      <c r="Z1930" s="2" t="s">
        <v>36</v>
      </c>
      <c r="AA1930" s="13" t="e">
        <v>#N/A</v>
      </c>
      <c r="AB1930" s="13" t="e">
        <v>#N/A</v>
      </c>
    </row>
    <row r="1931" spans="1:28" ht="15" customHeight="1">
      <c r="A1931" s="2" t="s">
        <v>9298</v>
      </c>
      <c r="B1931" s="2" t="s">
        <v>368</v>
      </c>
      <c r="C1931" s="11" t="s">
        <v>2737</v>
      </c>
      <c r="D1931" s="2" t="s">
        <v>99</v>
      </c>
      <c r="E1931" s="10" t="s">
        <v>2378</v>
      </c>
      <c r="F1931" s="11" t="s">
        <v>2384</v>
      </c>
      <c r="G1931" s="21" t="s">
        <v>2385</v>
      </c>
      <c r="H1931" s="2" t="s">
        <v>2381</v>
      </c>
      <c r="I1931" s="12" t="s">
        <v>1392</v>
      </c>
      <c r="J1931" s="22">
        <f>+Tabla1[[#This Row],[FECHA ENTRADA]]</f>
        <v>45788</v>
      </c>
      <c r="K1931" s="22">
        <v>45821</v>
      </c>
      <c r="L1931" s="23">
        <f>_xlfn.DAYS(Tabla1[[#This Row],[FECHA FIN ]],Tabla1[[#This Row],[FECHA INICIO]])</f>
        <v>33</v>
      </c>
      <c r="M1931" s="12"/>
      <c r="N1931" s="12"/>
      <c r="O1931" s="24">
        <f>(Tabla1[[#This Row],[COSTO FIJO ]]/30)*Tabla1[[#This Row],[TOTAL DIAS PROYECTO]]+(Tabla1[[#This Row],[COSTO TEMPORAL]])</f>
        <v>0</v>
      </c>
      <c r="P1931" s="12"/>
      <c r="Q1931" s="12">
        <f>+(Tabla1[[#This Row],[COSTO COCHE]]/30)*Tabla1[[#This Row],[TOTAL DIAS PROYECTO]]</f>
        <v>0</v>
      </c>
      <c r="R1931" s="12">
        <f>+Tabla1[[#This Row],[COSTO TOTAL ALOJAMIENTO]]+Tabla1[[#This Row],[COSTO TOTAL COCHE]]</f>
        <v>0</v>
      </c>
      <c r="S1931" s="2" t="s">
        <v>84</v>
      </c>
      <c r="T1931" s="14" t="s">
        <v>44</v>
      </c>
      <c r="U1931" s="14">
        <v>45788</v>
      </c>
      <c r="V1931" s="14">
        <v>45804</v>
      </c>
      <c r="W1931" s="2"/>
      <c r="X1931" s="2"/>
      <c r="Y1931" t="s">
        <v>2382</v>
      </c>
      <c r="Z1931" s="2" t="s">
        <v>36</v>
      </c>
      <c r="AA1931" s="13" t="e">
        <v>#N/A</v>
      </c>
      <c r="AB1931" s="13" t="e">
        <v>#N/A</v>
      </c>
    </row>
    <row r="1932" spans="1:28" ht="15" customHeight="1">
      <c r="A1932" s="2" t="s">
        <v>9509</v>
      </c>
      <c r="B1932" s="2" t="s">
        <v>368</v>
      </c>
      <c r="C1932" s="104" t="s">
        <v>3467</v>
      </c>
      <c r="D1932" s="2" t="s">
        <v>99</v>
      </c>
      <c r="E1932" s="10" t="s">
        <v>2378</v>
      </c>
      <c r="F1932" s="11" t="s">
        <v>2379</v>
      </c>
      <c r="G1932" s="166" t="s">
        <v>2380</v>
      </c>
      <c r="H1932" s="2" t="s">
        <v>2381</v>
      </c>
      <c r="I1932" s="12" t="s">
        <v>1392</v>
      </c>
      <c r="J1932" s="22">
        <f>+Tabla1[[#This Row],[FECHA ENTRADA]]</f>
        <v>45788</v>
      </c>
      <c r="K1932" s="22">
        <v>45821</v>
      </c>
      <c r="L1932" s="23">
        <f>_xlfn.DAYS(Tabla1[[#This Row],[FECHA FIN ]],Tabla1[[#This Row],[FECHA INICIO]])</f>
        <v>33</v>
      </c>
      <c r="M1932" s="12"/>
      <c r="N1932" s="12">
        <f>914.08/5</f>
        <v>182.816</v>
      </c>
      <c r="O1932" s="24">
        <f>(Tabla1[[#This Row],[COSTO FIJO ]]/30)*Tabla1[[#This Row],[TOTAL DIAS PROYECTO]]+(Tabla1[[#This Row],[COSTO TEMPORAL]])</f>
        <v>201.0976</v>
      </c>
      <c r="P1932" s="12"/>
      <c r="Q1932" s="12">
        <f>+(Tabla1[[#This Row],[COSTO COCHE]]/30)*Tabla1[[#This Row],[TOTAL DIAS PROYECTO]]</f>
        <v>0</v>
      </c>
      <c r="R1932" s="12">
        <f>+Tabla1[[#This Row],[COSTO TOTAL ALOJAMIENTO]]+Tabla1[[#This Row],[COSTO TOTAL COCHE]]</f>
        <v>201.0976</v>
      </c>
      <c r="S1932" s="2" t="s">
        <v>84</v>
      </c>
      <c r="T1932" s="14" t="s">
        <v>44</v>
      </c>
      <c r="U1932" s="14">
        <v>45788</v>
      </c>
      <c r="V1932" s="14">
        <v>45804</v>
      </c>
      <c r="W1932" s="2"/>
      <c r="X1932" s="2"/>
      <c r="Y1932" t="s">
        <v>2382</v>
      </c>
      <c r="Z1932" s="2" t="s">
        <v>36</v>
      </c>
      <c r="AA1932" s="13" t="e">
        <v>#N/A</v>
      </c>
      <c r="AB1932" s="13" t="e">
        <v>#N/A</v>
      </c>
    </row>
    <row r="1933" spans="1:28" ht="15" customHeight="1">
      <c r="A1933" s="2" t="s">
        <v>9483</v>
      </c>
      <c r="B1933" s="2" t="s">
        <v>368</v>
      </c>
      <c r="C1933" s="31" t="s">
        <v>3349</v>
      </c>
      <c r="D1933" s="2" t="s">
        <v>99</v>
      </c>
      <c r="E1933" s="10" t="s">
        <v>2378</v>
      </c>
      <c r="F1933" s="11" t="s">
        <v>2384</v>
      </c>
      <c r="G1933" s="49" t="s">
        <v>2385</v>
      </c>
      <c r="H1933" s="2" t="s">
        <v>2381</v>
      </c>
      <c r="I1933" s="12" t="s">
        <v>1392</v>
      </c>
      <c r="J1933" s="22">
        <f>+Tabla1[[#This Row],[FECHA ENTRADA]]</f>
        <v>45788</v>
      </c>
      <c r="K1933" s="22">
        <v>45821</v>
      </c>
      <c r="L1933" s="23">
        <f>_xlfn.DAYS(Tabla1[[#This Row],[FECHA FIN ]],Tabla1[[#This Row],[FECHA INICIO]])</f>
        <v>33</v>
      </c>
      <c r="M1933" s="12"/>
      <c r="N1933" s="12"/>
      <c r="O1933" s="24">
        <f>(Tabla1[[#This Row],[COSTO FIJO ]]/30)*Tabla1[[#This Row],[TOTAL DIAS PROYECTO]]+(Tabla1[[#This Row],[COSTO TEMPORAL]])</f>
        <v>0</v>
      </c>
      <c r="P1933" s="12"/>
      <c r="Q1933" s="12">
        <f>+(Tabla1[[#This Row],[COSTO COCHE]]/30)*Tabla1[[#This Row],[TOTAL DIAS PROYECTO]]</f>
        <v>0</v>
      </c>
      <c r="R1933" s="12">
        <f>+Tabla1[[#This Row],[COSTO TOTAL ALOJAMIENTO]]+Tabla1[[#This Row],[COSTO TOTAL COCHE]]</f>
        <v>0</v>
      </c>
      <c r="S1933" s="2" t="s">
        <v>84</v>
      </c>
      <c r="T1933" s="14" t="s">
        <v>44</v>
      </c>
      <c r="U1933" s="14">
        <v>45788</v>
      </c>
      <c r="V1933" s="14">
        <v>45804</v>
      </c>
      <c r="W1933" s="2"/>
      <c r="X1933" s="2"/>
      <c r="Y1933" t="s">
        <v>2382</v>
      </c>
      <c r="Z1933" s="2" t="s">
        <v>36</v>
      </c>
      <c r="AA1933" s="13" t="e">
        <v>#N/A</v>
      </c>
      <c r="AB1933" s="13" t="e">
        <v>#N/A</v>
      </c>
    </row>
    <row r="1934" spans="1:28" ht="15" customHeight="1">
      <c r="A1934" s="2" t="s">
        <v>9496</v>
      </c>
      <c r="B1934" s="2" t="s">
        <v>28</v>
      </c>
      <c r="C1934" s="99" t="s">
        <v>3385</v>
      </c>
      <c r="D1934" s="2" t="s">
        <v>30</v>
      </c>
      <c r="E1934" s="2" t="s">
        <v>626</v>
      </c>
      <c r="F1934" s="11" t="s">
        <v>1964</v>
      </c>
      <c r="G1934" s="146" t="s">
        <v>1409</v>
      </c>
      <c r="H1934" s="2" t="s">
        <v>3458</v>
      </c>
      <c r="I1934" s="12" t="s">
        <v>570</v>
      </c>
      <c r="J1934" s="41">
        <f>+Tabla1[[#This Row],[FECHA ENTRADA]]</f>
        <v>45739</v>
      </c>
      <c r="K1934" s="22">
        <v>45821</v>
      </c>
      <c r="L1934" s="42">
        <f>_xlfn.DAYS(Tabla1[[#This Row],[FECHA FIN ]],Tabla1[[#This Row],[FECHA INICIO]])</f>
        <v>82</v>
      </c>
      <c r="M1934" s="12"/>
      <c r="N1934" s="28"/>
      <c r="O1934" s="28">
        <f>(Tabla1[[#This Row],[COSTO FIJO ]]/30)*Tabla1[[#This Row],[TOTAL DIAS PROYECTO]]+(Tabla1[[#This Row],[COSTO TEMPORAL]])</f>
        <v>0</v>
      </c>
      <c r="P1934" s="12"/>
      <c r="Q1934" s="12">
        <f>+(Tabla1[[#This Row],[COSTO COCHE]]/30)*Tabla1[[#This Row],[TOTAL DIAS PROYECTO]]</f>
        <v>0</v>
      </c>
      <c r="R1934" s="12">
        <f>+Tabla1[[#This Row],[COSTO TOTAL ALOJAMIENTO]]+Tabla1[[#This Row],[COSTO TOTAL COCHE]]</f>
        <v>0</v>
      </c>
      <c r="S1934" s="2"/>
      <c r="T1934" s="2" t="s">
        <v>35</v>
      </c>
      <c r="U1934" s="14">
        <v>45739</v>
      </c>
      <c r="V1934" s="43"/>
      <c r="W1934" s="26"/>
      <c r="X1934" s="2">
        <v>5</v>
      </c>
      <c r="Y1934" s="11" t="s">
        <v>3468</v>
      </c>
      <c r="Z1934" s="2" t="s">
        <v>36</v>
      </c>
      <c r="AA1934" s="13" t="s">
        <v>10385</v>
      </c>
      <c r="AB1934" s="13" t="s">
        <v>10386</v>
      </c>
    </row>
    <row r="1935" spans="1:28" ht="15" customHeight="1">
      <c r="A1935" s="2" t="s">
        <v>8642</v>
      </c>
      <c r="B1935" s="2" t="s">
        <v>368</v>
      </c>
      <c r="C1935" s="104" t="s">
        <v>3469</v>
      </c>
      <c r="D1935" s="2" t="s">
        <v>72</v>
      </c>
      <c r="E1935" s="10" t="s">
        <v>1458</v>
      </c>
      <c r="F1935" s="11" t="s">
        <v>2052</v>
      </c>
      <c r="G1935" s="49" t="s">
        <v>2053</v>
      </c>
      <c r="H1935" s="2" t="s">
        <v>3470</v>
      </c>
      <c r="I1935" s="12" t="s">
        <v>1288</v>
      </c>
      <c r="J1935" s="41">
        <f>+Tabla1[[#This Row],[FECHA ENTRADA]]</f>
        <v>45780</v>
      </c>
      <c r="K1935" s="22">
        <v>45821</v>
      </c>
      <c r="L1935" s="23">
        <f>_xlfn.DAYS(Tabla1[[#This Row],[FECHA FIN ]],Tabla1[[#This Row],[FECHA INICIO]])</f>
        <v>41</v>
      </c>
      <c r="M1935" s="12"/>
      <c r="N1935" s="12"/>
      <c r="O1935" s="24">
        <f>(Tabla1[[#This Row],[COSTO FIJO ]]/30)*Tabla1[[#This Row],[TOTAL DIAS PROYECTO]]+(Tabla1[[#This Row],[COSTO TEMPORAL]])</f>
        <v>0</v>
      </c>
      <c r="P1935" s="12"/>
      <c r="Q1935" s="12">
        <f>+(Tabla1[[#This Row],[COSTO COCHE]]/30)*Tabla1[[#This Row],[TOTAL DIAS PROYECTO]]</f>
        <v>0</v>
      </c>
      <c r="R1935" s="12">
        <f>+Tabla1[[#This Row],[COSTO TOTAL ALOJAMIENTO]]+Tabla1[[#This Row],[COSTO TOTAL COCHE]]</f>
        <v>0</v>
      </c>
      <c r="S1935" s="2"/>
      <c r="T1935" s="2" t="s">
        <v>44</v>
      </c>
      <c r="U1935" s="14">
        <v>45780</v>
      </c>
      <c r="V1935" s="25">
        <v>45805</v>
      </c>
      <c r="W1935" s="2"/>
      <c r="X1935" s="2"/>
      <c r="Y1935" s="150" t="s">
        <v>3471</v>
      </c>
      <c r="Z1935" s="2" t="s">
        <v>36</v>
      </c>
      <c r="AA1935" s="13" t="s">
        <v>10421</v>
      </c>
      <c r="AB1935" s="13">
        <v>5113412</v>
      </c>
    </row>
    <row r="1936" spans="1:28">
      <c r="A1936" s="2" t="s">
        <v>9510</v>
      </c>
      <c r="B1936" s="2" t="s">
        <v>28</v>
      </c>
      <c r="C1936" s="104" t="s">
        <v>3472</v>
      </c>
      <c r="D1936" s="2" t="s">
        <v>30</v>
      </c>
      <c r="E1936" s="2" t="s">
        <v>877</v>
      </c>
      <c r="F1936" s="11" t="s">
        <v>3473</v>
      </c>
      <c r="G1936" s="11" t="s">
        <v>3474</v>
      </c>
      <c r="H1936" s="2">
        <v>2023</v>
      </c>
      <c r="I1936" s="2" t="s">
        <v>879</v>
      </c>
      <c r="J1936" s="8">
        <f>+Tabla1[[#This Row],[FECHA ENTRADA]]</f>
        <v>45345</v>
      </c>
      <c r="K1936" s="41">
        <v>45582</v>
      </c>
      <c r="L1936" s="13">
        <f>_xlfn.DAYS(Tabla1[[#This Row],[FECHA FIN ]],Tabla1[[#This Row],[FECHA INICIO]])</f>
        <v>237</v>
      </c>
      <c r="M1936" s="12"/>
      <c r="N1936" s="12">
        <v>340</v>
      </c>
      <c r="O1936" s="12">
        <f>(Tabla1[[#This Row],[COSTO FIJO ]]/30)*Tabla1[[#This Row],[TOTAL DIAS PROYECTO]]+(Tabla1[[#This Row],[COSTO TEMPORAL]])</f>
        <v>2686</v>
      </c>
      <c r="P1936" s="12"/>
      <c r="Q1936" s="12">
        <f>+(Tabla1[[#This Row],[COSTO COCHE]]/30)*Tabla1[[#This Row],[TOTAL DIAS PROYECTO]]</f>
        <v>0</v>
      </c>
      <c r="R1936" s="12">
        <f>+Tabla1[[#This Row],[COSTO TOTAL ALOJAMIENTO]]+Tabla1[[#This Row],[COSTO TOTAL COCHE]]</f>
        <v>2686</v>
      </c>
      <c r="S1936" s="2"/>
      <c r="T1936" s="2" t="s">
        <v>35</v>
      </c>
      <c r="U1936" s="14">
        <v>45345</v>
      </c>
      <c r="V1936" s="14"/>
      <c r="W1936" s="12">
        <f>370*2</f>
        <v>740</v>
      </c>
      <c r="X1936" s="16">
        <v>5</v>
      </c>
      <c r="Y1936" s="11" t="s">
        <v>3475</v>
      </c>
      <c r="Z1936" s="2" t="s">
        <v>36</v>
      </c>
      <c r="AA1936" s="13" t="s">
        <v>10403</v>
      </c>
      <c r="AB1936" s="13" t="s">
        <v>10404</v>
      </c>
    </row>
    <row r="1937" spans="1:28" ht="15" customHeight="1">
      <c r="A1937" s="2" t="s">
        <v>8865</v>
      </c>
      <c r="B1937" s="2" t="s">
        <v>28</v>
      </c>
      <c r="C1937" s="11" t="s">
        <v>1073</v>
      </c>
      <c r="D1937" s="2" t="s">
        <v>30</v>
      </c>
      <c r="E1937" s="2" t="s">
        <v>626</v>
      </c>
      <c r="F1937" s="11" t="s">
        <v>1408</v>
      </c>
      <c r="G1937" s="146" t="s">
        <v>1409</v>
      </c>
      <c r="H1937" s="2" t="s">
        <v>3455</v>
      </c>
      <c r="I1937" s="12" t="s">
        <v>794</v>
      </c>
      <c r="J1937" s="41">
        <f>+Tabla1[[#This Row],[FECHA ENTRADA]]</f>
        <v>45759</v>
      </c>
      <c r="K1937" s="22">
        <v>45821</v>
      </c>
      <c r="L1937" s="42">
        <f>_xlfn.DAYS(Tabla1[[#This Row],[FECHA FIN ]],Tabla1[[#This Row],[FECHA INICIO]])</f>
        <v>62</v>
      </c>
      <c r="M1937" s="12"/>
      <c r="N1937" s="12"/>
      <c r="O1937" s="28">
        <f>(Tabla1[[#This Row],[COSTO FIJO ]]/30)*Tabla1[[#This Row],[TOTAL DIAS PROYECTO]]+(Tabla1[[#This Row],[COSTO TEMPORAL]])</f>
        <v>0</v>
      </c>
      <c r="P1937" s="12"/>
      <c r="Q1937" s="12">
        <f>+(Tabla1[[#This Row],[COSTO COCHE]]/30)*Tabla1[[#This Row],[TOTAL DIAS PROYECTO]]</f>
        <v>0</v>
      </c>
      <c r="R1937" s="12">
        <f>+Tabla1[[#This Row],[COSTO TOTAL ALOJAMIENTO]]+Tabla1[[#This Row],[COSTO TOTAL COCHE]]</f>
        <v>0</v>
      </c>
      <c r="S1937" s="2"/>
      <c r="T1937" s="2" t="s">
        <v>35</v>
      </c>
      <c r="U1937" s="14">
        <v>45759</v>
      </c>
      <c r="V1937" s="75"/>
      <c r="W1937" s="2"/>
      <c r="X1937" s="2">
        <v>5</v>
      </c>
      <c r="Y1937" s="11" t="s">
        <v>1361</v>
      </c>
      <c r="Z1937" s="2" t="s">
        <v>36</v>
      </c>
      <c r="AA1937" s="13" t="s">
        <v>10385</v>
      </c>
      <c r="AB1937" s="13" t="s">
        <v>10386</v>
      </c>
    </row>
    <row r="1938" spans="1:28" ht="15" customHeight="1">
      <c r="A1938" s="2" t="s">
        <v>9316</v>
      </c>
      <c r="B1938" s="2" t="s">
        <v>368</v>
      </c>
      <c r="C1938" s="104" t="s">
        <v>2805</v>
      </c>
      <c r="D1938" s="2" t="s">
        <v>30</v>
      </c>
      <c r="E1938" s="2" t="s">
        <v>380</v>
      </c>
      <c r="F1938" s="11" t="s">
        <v>3476</v>
      </c>
      <c r="G1938" s="46" t="s">
        <v>3477</v>
      </c>
      <c r="H1938" s="2" t="s">
        <v>3478</v>
      </c>
      <c r="I1938" s="12" t="s">
        <v>3479</v>
      </c>
      <c r="J1938" s="41">
        <f>+Tabla1[[#This Row],[FECHA ENTRADA]]</f>
        <v>45564</v>
      </c>
      <c r="K1938" s="22">
        <v>45821</v>
      </c>
      <c r="L1938" s="42">
        <f>_xlfn.DAYS(Tabla1[[#This Row],[FECHA FIN ]],Tabla1[[#This Row],[FECHA INICIO]])</f>
        <v>257</v>
      </c>
      <c r="M1938" s="12"/>
      <c r="N1938" s="12">
        <v>310</v>
      </c>
      <c r="O1938" s="28">
        <f>(Tabla1[[#This Row],[COSTO FIJO ]]/30)*Tabla1[[#This Row],[TOTAL DIAS PROYECTO]]+(Tabla1[[#This Row],[COSTO TEMPORAL]])</f>
        <v>2655.666666666667</v>
      </c>
      <c r="P1938" s="12"/>
      <c r="Q1938" s="12">
        <f>+(Tabla1[[#This Row],[COSTO COCHE]]/30)*Tabla1[[#This Row],[TOTAL DIAS PROYECTO]]</f>
        <v>0</v>
      </c>
      <c r="R1938" s="12">
        <f>+Tabla1[[#This Row],[COSTO TOTAL ALOJAMIENTO]]+Tabla1[[#This Row],[COSTO TOTAL COCHE]]</f>
        <v>2655.666666666667</v>
      </c>
      <c r="S1938" s="2"/>
      <c r="T1938" s="2" t="s">
        <v>35</v>
      </c>
      <c r="U1938" s="14">
        <v>45564</v>
      </c>
      <c r="V1938" s="79"/>
      <c r="W1938" s="26">
        <v>310</v>
      </c>
      <c r="X1938" s="2">
        <v>1</v>
      </c>
      <c r="Y1938" s="11" t="s">
        <v>3480</v>
      </c>
      <c r="Z1938" s="2" t="s">
        <v>36</v>
      </c>
      <c r="AA1938" s="13" t="s">
        <v>10370</v>
      </c>
      <c r="AB1938" s="13" t="s">
        <v>10371</v>
      </c>
    </row>
    <row r="1939" spans="1:28" ht="15" customHeight="1">
      <c r="A1939" s="2" t="s">
        <v>9511</v>
      </c>
      <c r="B1939" s="2" t="s">
        <v>368</v>
      </c>
      <c r="C1939" s="11" t="s">
        <v>3481</v>
      </c>
      <c r="D1939" s="2" t="s">
        <v>72</v>
      </c>
      <c r="E1939" s="10" t="s">
        <v>1458</v>
      </c>
      <c r="F1939" s="11" t="s">
        <v>2052</v>
      </c>
      <c r="G1939" s="49" t="s">
        <v>2053</v>
      </c>
      <c r="H1939" s="2" t="s">
        <v>3470</v>
      </c>
      <c r="I1939" s="12" t="s">
        <v>1288</v>
      </c>
      <c r="J1939" s="41">
        <f>+Tabla1[[#This Row],[FECHA ENTRADA]]</f>
        <v>45780</v>
      </c>
      <c r="K1939" s="22">
        <v>45821</v>
      </c>
      <c r="L1939" s="23">
        <f>_xlfn.DAYS(Tabla1[[#This Row],[FECHA FIN ]],Tabla1[[#This Row],[FECHA INICIO]])</f>
        <v>41</v>
      </c>
      <c r="M1939" s="12"/>
      <c r="N1939" s="24">
        <v>575</v>
      </c>
      <c r="O1939" s="24">
        <f>(Tabla1[[#This Row],[COSTO FIJO ]]/30)*Tabla1[[#This Row],[TOTAL DIAS PROYECTO]]+(Tabla1[[#This Row],[COSTO TEMPORAL]])</f>
        <v>785.83333333333337</v>
      </c>
      <c r="P1939" s="12"/>
      <c r="Q1939" s="12">
        <f>+(Tabla1[[#This Row],[COSTO COCHE]]/30)*Tabla1[[#This Row],[TOTAL DIAS PROYECTO]]</f>
        <v>0</v>
      </c>
      <c r="R1939" s="12">
        <f>+Tabla1[[#This Row],[COSTO TOTAL ALOJAMIENTO]]+Tabla1[[#This Row],[COSTO TOTAL COCHE]]</f>
        <v>785.83333333333337</v>
      </c>
      <c r="S1939" s="2"/>
      <c r="T1939" s="2" t="s">
        <v>44</v>
      </c>
      <c r="U1939" s="14">
        <v>45780</v>
      </c>
      <c r="V1939" s="25">
        <v>45805</v>
      </c>
      <c r="W1939" s="2"/>
      <c r="X1939" s="2"/>
      <c r="Y1939" s="150" t="s">
        <v>1361</v>
      </c>
      <c r="Z1939" s="2" t="s">
        <v>36</v>
      </c>
      <c r="AA1939" s="13" t="s">
        <v>10421</v>
      </c>
      <c r="AB1939" s="13">
        <v>5113412</v>
      </c>
    </row>
    <row r="1940" spans="1:28" ht="15" customHeight="1">
      <c r="A1940" s="2" t="s">
        <v>8638</v>
      </c>
      <c r="B1940" s="2" t="s">
        <v>28</v>
      </c>
      <c r="C1940" s="104" t="s">
        <v>2181</v>
      </c>
      <c r="D1940" s="2" t="s">
        <v>30</v>
      </c>
      <c r="E1940" s="2" t="s">
        <v>422</v>
      </c>
      <c r="F1940" s="11" t="s">
        <v>3412</v>
      </c>
      <c r="G1940" s="46" t="s">
        <v>3413</v>
      </c>
      <c r="H1940" s="2" t="s">
        <v>3217</v>
      </c>
      <c r="I1940" s="12" t="s">
        <v>2454</v>
      </c>
      <c r="J1940" s="41">
        <f>+Tabla1[[#This Row],[FECHA ENTRADA]]</f>
        <v>45792</v>
      </c>
      <c r="K1940" s="41">
        <v>45849</v>
      </c>
      <c r="L1940" s="42">
        <f>_xlfn.DAYS(Tabla1[[#This Row],[FECHA FIN ]],Tabla1[[#This Row],[FECHA INICIO]])</f>
        <v>57</v>
      </c>
      <c r="M1940" s="12"/>
      <c r="N1940" s="12"/>
      <c r="O1940" s="28">
        <f>(Tabla1[[#This Row],[COSTO FIJO ]]/30)*Tabla1[[#This Row],[TOTAL DIAS PROYECTO]]+(Tabla1[[#This Row],[COSTO TEMPORAL]])</f>
        <v>0</v>
      </c>
      <c r="P1940" s="12"/>
      <c r="Q1940" s="12">
        <f>+(Tabla1[[#This Row],[COSTO COCHE]]/30)*Tabla1[[#This Row],[TOTAL DIAS PROYECTO]]</f>
        <v>0</v>
      </c>
      <c r="R1940" s="12">
        <f>+Tabla1[[#This Row],[COSTO TOTAL ALOJAMIENTO]]+Tabla1[[#This Row],[COSTO TOTAL COCHE]]</f>
        <v>0</v>
      </c>
      <c r="S1940" s="2" t="s">
        <v>84</v>
      </c>
      <c r="T1940" s="14" t="s">
        <v>44</v>
      </c>
      <c r="U1940" s="14">
        <v>45792</v>
      </c>
      <c r="V1940" s="43">
        <v>45849</v>
      </c>
      <c r="W1940" s="2"/>
      <c r="X1940" s="2"/>
      <c r="Y1940" s="2"/>
      <c r="Z1940" s="2" t="s">
        <v>36</v>
      </c>
      <c r="AA1940" s="13">
        <v>-326.69799999999998</v>
      </c>
      <c r="AB1940" s="13" t="s">
        <v>10373</v>
      </c>
    </row>
    <row r="1941" spans="1:28" ht="15" customHeight="1">
      <c r="A1941" s="2" t="s">
        <v>9306</v>
      </c>
      <c r="B1941" s="2" t="s">
        <v>368</v>
      </c>
      <c r="C1941" s="104" t="s">
        <v>2762</v>
      </c>
      <c r="D1941" s="2" t="s">
        <v>30</v>
      </c>
      <c r="E1941" s="2" t="s">
        <v>1514</v>
      </c>
      <c r="F1941" s="11" t="s">
        <v>1515</v>
      </c>
      <c r="G1941" s="46" t="s">
        <v>1516</v>
      </c>
      <c r="H1941" s="2" t="s">
        <v>1517</v>
      </c>
      <c r="I1941" s="12" t="s">
        <v>1392</v>
      </c>
      <c r="J1941" s="41">
        <f>+Tabla1[[#This Row],[FECHA ENTRADA]]</f>
        <v>45663</v>
      </c>
      <c r="K1941" s="22">
        <v>45821</v>
      </c>
      <c r="L1941" s="42">
        <f>_xlfn.DAYS(Tabla1[[#This Row],[FECHA FIN ]],Tabla1[[#This Row],[FECHA INICIO]])</f>
        <v>158</v>
      </c>
      <c r="M1941" s="12"/>
      <c r="N1941" s="12"/>
      <c r="O1941" s="28">
        <f>(Tabla1[[#This Row],[COSTO FIJO ]]/30)*Tabla1[[#This Row],[TOTAL DIAS PROYECTO]]+(Tabla1[[#This Row],[COSTO TEMPORAL]])</f>
        <v>0</v>
      </c>
      <c r="P1941" s="12"/>
      <c r="Q1941" s="12">
        <f>+(Tabla1[[#This Row],[COSTO COCHE]]/30)*Tabla1[[#This Row],[TOTAL DIAS PROYECTO]]</f>
        <v>0</v>
      </c>
      <c r="R1941" s="12">
        <f>+Tabla1[[#This Row],[COSTO TOTAL ALOJAMIENTO]]+Tabla1[[#This Row],[COSTO TOTAL COCHE]]</f>
        <v>0</v>
      </c>
      <c r="S1941" s="2"/>
      <c r="T1941" s="2" t="s">
        <v>35</v>
      </c>
      <c r="U1941" s="14">
        <v>45663</v>
      </c>
      <c r="V1941" s="43"/>
      <c r="W1941" s="26"/>
      <c r="X1941" s="2">
        <v>5</v>
      </c>
      <c r="Y1941" s="110" t="s">
        <v>1593</v>
      </c>
      <c r="Z1941" s="2" t="s">
        <v>36</v>
      </c>
      <c r="AA1941" s="13" t="s">
        <v>10424</v>
      </c>
      <c r="AB1941" s="13">
        <v>398581</v>
      </c>
    </row>
    <row r="1942" spans="1:28" ht="15" customHeight="1">
      <c r="A1942" s="2" t="s">
        <v>9512</v>
      </c>
      <c r="B1942" s="2" t="s">
        <v>978</v>
      </c>
      <c r="C1942" s="104" t="s">
        <v>3482</v>
      </c>
      <c r="D1942" s="2" t="s">
        <v>30</v>
      </c>
      <c r="E1942" s="2" t="s">
        <v>253</v>
      </c>
      <c r="F1942" s="11" t="s">
        <v>1528</v>
      </c>
      <c r="G1942" s="46" t="s">
        <v>1529</v>
      </c>
      <c r="H1942" s="2" t="s">
        <v>1530</v>
      </c>
      <c r="I1942" s="12" t="s">
        <v>1155</v>
      </c>
      <c r="J1942" s="22">
        <f>+Tabla1[[#This Row],[FECHA ENTRADA]]</f>
        <v>45574</v>
      </c>
      <c r="K1942" s="22">
        <v>45821</v>
      </c>
      <c r="L1942" s="42">
        <f>_xlfn.DAYS(Tabla1[[#This Row],[FECHA FIN ]],Tabla1[[#This Row],[FECHA INICIO]])</f>
        <v>247</v>
      </c>
      <c r="M1942" s="12"/>
      <c r="N1942" s="12"/>
      <c r="O1942" s="28">
        <f>(Tabla1[[#This Row],[COSTO FIJO ]]/30)*Tabla1[[#This Row],[TOTAL DIAS PROYECTO]]+(Tabla1[[#This Row],[COSTO TEMPORAL]])</f>
        <v>0</v>
      </c>
      <c r="P1942" s="12"/>
      <c r="Q1942" s="12">
        <f>+(Tabla1[[#This Row],[COSTO COCHE]]/30)*Tabla1[[#This Row],[TOTAL DIAS PROYECTO]]</f>
        <v>0</v>
      </c>
      <c r="R1942" s="12">
        <f>+Tabla1[[#This Row],[COSTO TOTAL ALOJAMIENTO]]+Tabla1[[#This Row],[COSTO TOTAL COCHE]]</f>
        <v>0</v>
      </c>
      <c r="S1942" s="2"/>
      <c r="T1942" s="2" t="s">
        <v>35</v>
      </c>
      <c r="U1942" s="14">
        <v>45574</v>
      </c>
      <c r="V1942" s="43"/>
      <c r="W1942" s="26"/>
      <c r="X1942" s="2">
        <v>5</v>
      </c>
      <c r="Y1942" s="11" t="s">
        <v>1531</v>
      </c>
      <c r="Z1942" s="2" t="s">
        <v>36</v>
      </c>
      <c r="AA1942" s="13" t="s">
        <v>10357</v>
      </c>
      <c r="AB1942" s="13" t="s">
        <v>10358</v>
      </c>
    </row>
    <row r="1943" spans="1:28" ht="15" customHeight="1">
      <c r="A1943" s="2" t="s">
        <v>8789</v>
      </c>
      <c r="B1943" s="2" t="s">
        <v>28</v>
      </c>
      <c r="C1943" s="18" t="s">
        <v>770</v>
      </c>
      <c r="D1943" s="2" t="s">
        <v>30</v>
      </c>
      <c r="E1943" s="2" t="s">
        <v>380</v>
      </c>
      <c r="F1943" s="11" t="s">
        <v>2236</v>
      </c>
      <c r="G1943" s="30" t="s">
        <v>2237</v>
      </c>
      <c r="H1943" s="2" t="s">
        <v>3483</v>
      </c>
      <c r="I1943" s="12" t="s">
        <v>800</v>
      </c>
      <c r="J1943" s="41">
        <v>45572</v>
      </c>
      <c r="K1943" s="8">
        <v>45575</v>
      </c>
      <c r="L1943" s="42">
        <f>_xlfn.DAYS(Tabla1[[#This Row],[FECHA FIN ]],Tabla1[[#This Row],[FECHA INICIO]])</f>
        <v>3</v>
      </c>
      <c r="M1943" s="12"/>
      <c r="N1943" s="20">
        <v>240</v>
      </c>
      <c r="O1943" s="28">
        <f>(Tabla1[[#This Row],[COSTO FIJO ]]/30)*Tabla1[[#This Row],[TOTAL DIAS PROYECTO]]+(Tabla1[[#This Row],[COSTO TEMPORAL]])</f>
        <v>24</v>
      </c>
      <c r="P1943" s="12">
        <f>(613.47*50%)/5</f>
        <v>61.347000000000001</v>
      </c>
      <c r="Q1943" s="12">
        <f>+(Tabla1[[#This Row],[COSTO COCHE]]/30)*Tabla1[[#This Row],[TOTAL DIAS PROYECTO]]</f>
        <v>6.1347000000000005</v>
      </c>
      <c r="R1943" s="12">
        <f>+Tabla1[[#This Row],[COSTO TOTAL ALOJAMIENTO]]+Tabla1[[#This Row],[COSTO TOTAL COCHE]]</f>
        <v>30.134700000000002</v>
      </c>
      <c r="S1943" s="2"/>
      <c r="T1943" s="14" t="s">
        <v>35</v>
      </c>
      <c r="U1943" s="14"/>
      <c r="V1943" s="79"/>
      <c r="W1943" s="26"/>
      <c r="X1943" s="2">
        <v>1</v>
      </c>
      <c r="Y1943" s="11"/>
      <c r="Z1943" s="2" t="s">
        <v>36</v>
      </c>
      <c r="AA1943" s="13" t="s">
        <v>10370</v>
      </c>
      <c r="AB1943" s="13" t="s">
        <v>10371</v>
      </c>
    </row>
    <row r="1944" spans="1:28" ht="15" customHeight="1">
      <c r="A1944" s="2" t="s">
        <v>9186</v>
      </c>
      <c r="B1944" s="2" t="s">
        <v>368</v>
      </c>
      <c r="C1944" s="104" t="s">
        <v>2361</v>
      </c>
      <c r="D1944" s="2" t="s">
        <v>30</v>
      </c>
      <c r="E1944" s="2" t="s">
        <v>31</v>
      </c>
      <c r="F1944" s="11" t="s">
        <v>3484</v>
      </c>
      <c r="G1944" s="46" t="s">
        <v>3485</v>
      </c>
      <c r="H1944" s="2" t="s">
        <v>3363</v>
      </c>
      <c r="I1944" s="10" t="s">
        <v>3364</v>
      </c>
      <c r="J1944" s="41">
        <f>+Tabla1[[#This Row],[FECHA ENTRADA]]</f>
        <v>45784</v>
      </c>
      <c r="K1944" s="22">
        <v>45821</v>
      </c>
      <c r="L1944" s="23">
        <f>_xlfn.DAYS(Tabla1[[#This Row],[FECHA FIN ]],Tabla1[[#This Row],[FECHA INICIO]])</f>
        <v>37</v>
      </c>
      <c r="M1944" s="12"/>
      <c r="N1944" s="12">
        <f>612.14/2</f>
        <v>306.07</v>
      </c>
      <c r="O1944" s="24">
        <f>(Tabla1[[#This Row],[COSTO FIJO ]]/30)*Tabla1[[#This Row],[TOTAL DIAS PROYECTO]]+(Tabla1[[#This Row],[COSTO TEMPORAL]])</f>
        <v>377.48633333333333</v>
      </c>
      <c r="P1944" s="12"/>
      <c r="Q1944" s="12">
        <f>+(Tabla1[[#This Row],[COSTO COCHE]]/30)*Tabla1[[#This Row],[TOTAL DIAS PROYECTO]]</f>
        <v>0</v>
      </c>
      <c r="R1944" s="12">
        <f>+Tabla1[[#This Row],[COSTO TOTAL ALOJAMIENTO]]+Tabla1[[#This Row],[COSTO TOTAL COCHE]]</f>
        <v>377.48633333333333</v>
      </c>
      <c r="S1944" s="2" t="s">
        <v>403</v>
      </c>
      <c r="T1944" s="2" t="s">
        <v>44</v>
      </c>
      <c r="U1944" s="14">
        <v>45784</v>
      </c>
      <c r="V1944" s="25">
        <v>45805</v>
      </c>
      <c r="W1944" s="26"/>
      <c r="X1944" s="2"/>
      <c r="Y1944" s="11" t="s">
        <v>3486</v>
      </c>
      <c r="Z1944" s="2" t="s">
        <v>36</v>
      </c>
      <c r="AA1944" s="13" t="s">
        <v>10323</v>
      </c>
      <c r="AB1944" s="13" t="s">
        <v>10324</v>
      </c>
    </row>
    <row r="1945" spans="1:28" ht="15" customHeight="1">
      <c r="A1945" s="2" t="s">
        <v>9352</v>
      </c>
      <c r="B1945" s="2" t="s">
        <v>28</v>
      </c>
      <c r="C1945" s="104" t="s">
        <v>2915</v>
      </c>
      <c r="D1945" s="2" t="s">
        <v>30</v>
      </c>
      <c r="E1945" s="2" t="s">
        <v>31</v>
      </c>
      <c r="F1945" s="11" t="s">
        <v>2275</v>
      </c>
      <c r="G1945" s="46" t="s">
        <v>2276</v>
      </c>
      <c r="H1945" s="2" t="s">
        <v>2061</v>
      </c>
      <c r="I1945" s="12" t="s">
        <v>2062</v>
      </c>
      <c r="J1945" s="41">
        <f>+Tabla1[[#This Row],[FECHA ENTRADA]]</f>
        <v>45769</v>
      </c>
      <c r="K1945" s="22">
        <v>45821</v>
      </c>
      <c r="L1945" s="13">
        <f>_xlfn.DAYS(Tabla1[[#This Row],[FECHA FIN ]],Tabla1[[#This Row],[FECHA INICIO]])</f>
        <v>52</v>
      </c>
      <c r="M1945" s="12"/>
      <c r="N1945" s="12">
        <v>330</v>
      </c>
      <c r="O1945" s="12">
        <f>(Tabla1[[#This Row],[COSTO FIJO ]]/30)*Tabla1[[#This Row],[TOTAL DIAS PROYECTO]]+(Tabla1[[#This Row],[COSTO TEMPORAL]])</f>
        <v>572</v>
      </c>
      <c r="P1945" s="12">
        <v>120</v>
      </c>
      <c r="Q1945" s="12">
        <f>+(Tabla1[[#This Row],[COSTO COCHE]]/30)*Tabla1[[#This Row],[TOTAL DIAS PROYECTO]]</f>
        <v>208</v>
      </c>
      <c r="R1945" s="12">
        <f>+Tabla1[[#This Row],[COSTO TOTAL ALOJAMIENTO]]+Tabla1[[#This Row],[COSTO TOTAL COCHE]]</f>
        <v>780</v>
      </c>
      <c r="S1945" s="2"/>
      <c r="T1945" s="2" t="s">
        <v>44</v>
      </c>
      <c r="U1945" s="14">
        <v>45769</v>
      </c>
      <c r="V1945" s="14">
        <v>45805</v>
      </c>
      <c r="W1945" s="26"/>
      <c r="X1945" s="2"/>
      <c r="Y1945" s="170" t="s">
        <v>2399</v>
      </c>
      <c r="Z1945" s="2" t="s">
        <v>36</v>
      </c>
      <c r="AA1945" s="13" t="s">
        <v>10323</v>
      </c>
      <c r="AB1945" s="13" t="s">
        <v>10324</v>
      </c>
    </row>
    <row r="1946" spans="1:28" ht="15" customHeight="1">
      <c r="A1946" s="2" t="s">
        <v>9513</v>
      </c>
      <c r="B1946" s="2" t="s">
        <v>28</v>
      </c>
      <c r="C1946" s="11" t="s">
        <v>3487</v>
      </c>
      <c r="D1946" s="2" t="s">
        <v>30</v>
      </c>
      <c r="E1946" s="2" t="s">
        <v>151</v>
      </c>
      <c r="F1946" s="11" t="s">
        <v>1499</v>
      </c>
      <c r="G1946" s="11" t="s">
        <v>1500</v>
      </c>
      <c r="H1946" s="2" t="s">
        <v>3488</v>
      </c>
      <c r="I1946" s="12" t="s">
        <v>152</v>
      </c>
      <c r="J1946" s="8">
        <f>+Tabla1[[#This Row],[FECHA ENTRADA]]</f>
        <v>45445</v>
      </c>
      <c r="K1946" s="22">
        <v>45821</v>
      </c>
      <c r="L1946" s="13">
        <f>_xlfn.DAYS(Tabla1[[#This Row],[FECHA FIN ]],Tabla1[[#This Row],[FECHA INICIO]])</f>
        <v>376</v>
      </c>
      <c r="M1946" s="12"/>
      <c r="N1946" s="12"/>
      <c r="O1946" s="12">
        <f>(Tabla1[[#This Row],[COSTO FIJO ]]/30)*Tabla1[[#This Row],[TOTAL DIAS PROYECTO]]+(Tabla1[[#This Row],[COSTO TEMPORAL]])</f>
        <v>0</v>
      </c>
      <c r="P1946" s="12"/>
      <c r="Q1946" s="12">
        <f>+(Tabla1[[#This Row],[COSTO COCHE]]/30)*Tabla1[[#This Row],[TOTAL DIAS PROYECTO]]</f>
        <v>0</v>
      </c>
      <c r="R1946" s="12">
        <f>+Tabla1[[#This Row],[COSTO TOTAL ALOJAMIENTO]]+Tabla1[[#This Row],[COSTO TOTAL COCHE]]</f>
        <v>0</v>
      </c>
      <c r="S1946" s="2"/>
      <c r="T1946" s="2" t="s">
        <v>35</v>
      </c>
      <c r="U1946" s="14">
        <v>45445</v>
      </c>
      <c r="V1946" s="14"/>
      <c r="W1946" s="26">
        <v>350</v>
      </c>
      <c r="X1946" s="2">
        <v>5</v>
      </c>
      <c r="Y1946" s="18" t="s">
        <v>3489</v>
      </c>
      <c r="Z1946" s="2" t="s">
        <v>36</v>
      </c>
      <c r="AA1946" s="13" t="s">
        <v>10345</v>
      </c>
      <c r="AB1946" s="13" t="s">
        <v>10346</v>
      </c>
    </row>
    <row r="1947" spans="1:28" ht="15" customHeight="1">
      <c r="A1947" s="2" t="s">
        <v>9489</v>
      </c>
      <c r="B1947" s="2" t="s">
        <v>368</v>
      </c>
      <c r="C1947" s="104" t="s">
        <v>3366</v>
      </c>
      <c r="D1947" s="2" t="s">
        <v>30</v>
      </c>
      <c r="E1947" s="2" t="s">
        <v>31</v>
      </c>
      <c r="F1947" s="11" t="s">
        <v>3484</v>
      </c>
      <c r="G1947" s="46" t="s">
        <v>3485</v>
      </c>
      <c r="H1947" s="2" t="s">
        <v>3363</v>
      </c>
      <c r="I1947" s="10" t="s">
        <v>3364</v>
      </c>
      <c r="J1947" s="41">
        <f>+Tabla1[[#This Row],[FECHA ENTRADA]]</f>
        <v>45784</v>
      </c>
      <c r="K1947" s="22">
        <v>45821</v>
      </c>
      <c r="L1947" s="23">
        <f>_xlfn.DAYS(Tabla1[[#This Row],[FECHA FIN ]],Tabla1[[#This Row],[FECHA INICIO]])</f>
        <v>37</v>
      </c>
      <c r="M1947" s="12"/>
      <c r="N1947" s="12">
        <f>612.14/2</f>
        <v>306.07</v>
      </c>
      <c r="O1947" s="24">
        <f>(Tabla1[[#This Row],[COSTO FIJO ]]/30)*Tabla1[[#This Row],[TOTAL DIAS PROYECTO]]+(Tabla1[[#This Row],[COSTO TEMPORAL]])</f>
        <v>377.48633333333333</v>
      </c>
      <c r="P1947" s="12"/>
      <c r="Q1947" s="12">
        <f>+(Tabla1[[#This Row],[COSTO COCHE]]/30)*Tabla1[[#This Row],[TOTAL DIAS PROYECTO]]</f>
        <v>0</v>
      </c>
      <c r="R1947" s="12">
        <f>+Tabla1[[#This Row],[COSTO TOTAL ALOJAMIENTO]]+Tabla1[[#This Row],[COSTO TOTAL COCHE]]</f>
        <v>377.48633333333333</v>
      </c>
      <c r="S1947" s="2" t="s">
        <v>403</v>
      </c>
      <c r="T1947" s="2" t="s">
        <v>44</v>
      </c>
      <c r="U1947" s="14">
        <v>45784</v>
      </c>
      <c r="V1947" s="25">
        <v>45805</v>
      </c>
      <c r="W1947" s="26"/>
      <c r="X1947" s="2"/>
      <c r="Y1947" s="11" t="s">
        <v>3486</v>
      </c>
      <c r="Z1947" s="2" t="s">
        <v>36</v>
      </c>
      <c r="AA1947" s="13" t="s">
        <v>10323</v>
      </c>
      <c r="AB1947" s="13" t="s">
        <v>10324</v>
      </c>
    </row>
    <row r="1948" spans="1:28" ht="15" customHeight="1">
      <c r="A1948" s="2" t="s">
        <v>9514</v>
      </c>
      <c r="B1948" s="2" t="s">
        <v>28</v>
      </c>
      <c r="C1948" s="104" t="s">
        <v>3490</v>
      </c>
      <c r="D1948" s="33" t="s">
        <v>30</v>
      </c>
      <c r="E1948" s="33" t="s">
        <v>626</v>
      </c>
      <c r="F1948" s="11"/>
      <c r="G1948" s="34">
        <v>34622279691</v>
      </c>
      <c r="H1948" s="33">
        <v>2023</v>
      </c>
      <c r="I1948" s="33" t="s">
        <v>570</v>
      </c>
      <c r="J1948" s="8">
        <f>+Tabla1[[#This Row],[FECHA ENTRADA]]</f>
        <v>45335</v>
      </c>
      <c r="K1948" s="22">
        <v>45821</v>
      </c>
      <c r="L1948" s="13">
        <f>_xlfn.DAYS(Tabla1[[#This Row],[FECHA FIN ]],Tabla1[[#This Row],[FECHA INICIO]])</f>
        <v>486</v>
      </c>
      <c r="M1948" s="12"/>
      <c r="N1948" s="12"/>
      <c r="O1948" s="36">
        <f>(Tabla1[[#This Row],[COSTO FIJO ]]/30)*Tabla1[[#This Row],[TOTAL DIAS PROYECTO]]+(Tabla1[[#This Row],[COSTO TEMPORAL]])</f>
        <v>0</v>
      </c>
      <c r="P1948" s="36"/>
      <c r="Q1948" s="36">
        <f>+(Tabla1[[#This Row],[COSTO COCHE]]/30)*Tabla1[[#This Row],[TOTAL DIAS PROYECTO]]</f>
        <v>0</v>
      </c>
      <c r="R1948" s="36">
        <f>+Tabla1[[#This Row],[COSTO TOTAL ALOJAMIENTO]]+Tabla1[[#This Row],[COSTO TOTAL COCHE]]</f>
        <v>0</v>
      </c>
      <c r="S1948" s="33"/>
      <c r="T1948" s="33" t="s">
        <v>35</v>
      </c>
      <c r="U1948" s="37">
        <v>45335</v>
      </c>
      <c r="V1948" s="37"/>
      <c r="W1948" s="38">
        <v>300</v>
      </c>
      <c r="X1948" s="39">
        <v>5</v>
      </c>
      <c r="Y1948" s="34" t="s">
        <v>2792</v>
      </c>
      <c r="Z1948" s="33" t="s">
        <v>36</v>
      </c>
      <c r="AA1948" s="13" t="s">
        <v>10385</v>
      </c>
      <c r="AB1948" s="13" t="s">
        <v>10386</v>
      </c>
    </row>
    <row r="1949" spans="1:28" ht="15" customHeight="1">
      <c r="A1949" s="2" t="s">
        <v>9213</v>
      </c>
      <c r="B1949" s="2" t="s">
        <v>28</v>
      </c>
      <c r="C1949" s="191" t="s">
        <v>2464</v>
      </c>
      <c r="D1949" s="2" t="s">
        <v>30</v>
      </c>
      <c r="E1949" s="2" t="s">
        <v>259</v>
      </c>
      <c r="F1949" s="11" t="s">
        <v>260</v>
      </c>
      <c r="G1949" s="11" t="s">
        <v>261</v>
      </c>
      <c r="H1949" s="2" t="s">
        <v>3491</v>
      </c>
      <c r="I1949" s="12" t="s">
        <v>263</v>
      </c>
      <c r="J1949" s="41">
        <f>+Tabla1[[#This Row],[FECHA ENTRADA]]</f>
        <v>45565</v>
      </c>
      <c r="K1949" s="22">
        <v>45821</v>
      </c>
      <c r="L1949" s="42">
        <f>_xlfn.DAYS(Tabla1[[#This Row],[FECHA FIN ]],Tabla1[[#This Row],[FECHA INICIO]])</f>
        <v>256</v>
      </c>
      <c r="M1949" s="12"/>
      <c r="N1949" s="12">
        <f>1811.6/17</f>
        <v>106.56470588235294</v>
      </c>
      <c r="O1949" s="28">
        <f>(Tabla1[[#This Row],[COSTO FIJO ]]/30)*Tabla1[[#This Row],[TOTAL DIAS PROYECTO]]+(Tabla1[[#This Row],[COSTO TEMPORAL]])</f>
        <v>909.35215686274512</v>
      </c>
      <c r="P1949" s="12"/>
      <c r="Q1949" s="12">
        <f>+(Tabla1[[#This Row],[COSTO COCHE]]/30)*Tabla1[[#This Row],[TOTAL DIAS PROYECTO]]</f>
        <v>0</v>
      </c>
      <c r="R1949" s="12">
        <f>+Tabla1[[#This Row],[COSTO TOTAL ALOJAMIENTO]]+Tabla1[[#This Row],[COSTO TOTAL COCHE]]</f>
        <v>909.35215686274512</v>
      </c>
      <c r="S1949" s="2"/>
      <c r="T1949" s="2" t="s">
        <v>35</v>
      </c>
      <c r="U1949" s="14">
        <v>45565</v>
      </c>
      <c r="V1949" s="43"/>
      <c r="W1949" s="26"/>
      <c r="X1949" s="2">
        <v>5</v>
      </c>
      <c r="Y1949" s="96">
        <v>45656</v>
      </c>
      <c r="Z1949" s="2" t="s">
        <v>36</v>
      </c>
      <c r="AA1949" s="13">
        <v>-0.87734000000000001</v>
      </c>
      <c r="AB1949" s="13" t="s">
        <v>10359</v>
      </c>
    </row>
    <row r="1950" spans="1:28" ht="15" customHeight="1">
      <c r="A1950" s="2" t="s">
        <v>9515</v>
      </c>
      <c r="B1950" s="2" t="s">
        <v>368</v>
      </c>
      <c r="C1950" s="104" t="s">
        <v>3492</v>
      </c>
      <c r="D1950" s="2" t="s">
        <v>30</v>
      </c>
      <c r="E1950" s="2" t="s">
        <v>985</v>
      </c>
      <c r="F1950" s="11" t="s">
        <v>1126</v>
      </c>
      <c r="G1950" t="s">
        <v>1127</v>
      </c>
      <c r="H1950" s="2" t="s">
        <v>3493</v>
      </c>
      <c r="I1950" s="12" t="s">
        <v>989</v>
      </c>
      <c r="J1950" s="41">
        <f>+Tabla1[[#This Row],[FECHA ENTRADA]]</f>
        <v>45634</v>
      </c>
      <c r="K1950" s="22">
        <v>45821</v>
      </c>
      <c r="L1950" s="42">
        <f>_xlfn.DAYS(Tabla1[[#This Row],[FECHA FIN ]],Tabla1[[#This Row],[FECHA INICIO]])</f>
        <v>187</v>
      </c>
      <c r="M1950" s="12"/>
      <c r="N1950" s="12"/>
      <c r="O1950" s="28">
        <f>(Tabla1[[#This Row],[COSTO FIJO ]]/30)*Tabla1[[#This Row],[TOTAL DIAS PROYECTO]]+(Tabla1[[#This Row],[COSTO TEMPORAL]])</f>
        <v>0</v>
      </c>
      <c r="P1950" s="12"/>
      <c r="Q1950" s="12">
        <f>+(Tabla1[[#This Row],[COSTO COCHE]]/30)*Tabla1[[#This Row],[TOTAL DIAS PROYECTO]]</f>
        <v>0</v>
      </c>
      <c r="R1950" s="12">
        <f>+Tabla1[[#This Row],[COSTO TOTAL ALOJAMIENTO]]+Tabla1[[#This Row],[COSTO TOTAL COCHE]]</f>
        <v>0</v>
      </c>
      <c r="S1950" s="2"/>
      <c r="T1950" s="2" t="s">
        <v>35</v>
      </c>
      <c r="U1950" s="14">
        <v>45634</v>
      </c>
      <c r="V1950" s="43"/>
      <c r="W1950" s="26"/>
      <c r="X1950" s="2">
        <v>5</v>
      </c>
      <c r="Y1950" s="11"/>
      <c r="Z1950" s="2" t="s">
        <v>36</v>
      </c>
      <c r="AA1950" s="13" t="s">
        <v>10407</v>
      </c>
      <c r="AB1950" s="13" t="s">
        <v>10408</v>
      </c>
    </row>
    <row r="1951" spans="1:28" ht="15" customHeight="1">
      <c r="A1951" s="2" t="s">
        <v>9092</v>
      </c>
      <c r="B1951" s="2" t="s">
        <v>368</v>
      </c>
      <c r="C1951" s="104" t="s">
        <v>1977</v>
      </c>
      <c r="D1951" s="2" t="s">
        <v>99</v>
      </c>
      <c r="E1951" s="2" t="s">
        <v>422</v>
      </c>
      <c r="F1951" s="11" t="s">
        <v>697</v>
      </c>
      <c r="G1951" s="11" t="s">
        <v>698</v>
      </c>
      <c r="H1951" s="184" t="s">
        <v>2856</v>
      </c>
      <c r="I1951" s="186" t="s">
        <v>2638</v>
      </c>
      <c r="J1951" s="41">
        <f>+Tabla1[[#This Row],[FECHA ENTRADA]]</f>
        <v>45794</v>
      </c>
      <c r="K1951" s="22">
        <v>45820</v>
      </c>
      <c r="L1951" s="42">
        <f>_xlfn.DAYS(Tabla1[[#This Row],[FECHA FIN ]],Tabla1[[#This Row],[FECHA INICIO]])</f>
        <v>26</v>
      </c>
      <c r="M1951" s="12"/>
      <c r="N1951" s="12">
        <v>276</v>
      </c>
      <c r="O1951" s="28">
        <f>(Tabla1[[#This Row],[COSTO FIJO ]]/30)*Tabla1[[#This Row],[TOTAL DIAS PROYECTO]]+(Tabla1[[#This Row],[COSTO TEMPORAL]])</f>
        <v>239.2</v>
      </c>
      <c r="P1951" s="12"/>
      <c r="Q1951" s="12">
        <f>+(Tabla1[[#This Row],[COSTO COCHE]]/30)*Tabla1[[#This Row],[TOTAL DIAS PROYECTO]]</f>
        <v>0</v>
      </c>
      <c r="R1951" s="12">
        <f>+Tabla1[[#This Row],[COSTO TOTAL ALOJAMIENTO]]+Tabla1[[#This Row],[COSTO TOTAL COCHE]]</f>
        <v>239.2</v>
      </c>
      <c r="S1951" s="2"/>
      <c r="T1951" s="14" t="s">
        <v>35</v>
      </c>
      <c r="U1951" s="14">
        <v>45794</v>
      </c>
      <c r="V1951" s="75"/>
      <c r="W1951" s="2"/>
      <c r="X1951" s="2">
        <v>1</v>
      </c>
      <c r="Y1951" s="11"/>
      <c r="Z1951" s="2" t="s">
        <v>36</v>
      </c>
      <c r="AA1951" s="13">
        <v>-326.69799999999998</v>
      </c>
      <c r="AB1951" s="13" t="s">
        <v>10373</v>
      </c>
    </row>
    <row r="1952" spans="1:28" ht="15" customHeight="1">
      <c r="A1952" s="2" t="s">
        <v>8678</v>
      </c>
      <c r="B1952" s="2" t="s">
        <v>28</v>
      </c>
      <c r="C1952" s="104" t="s">
        <v>251</v>
      </c>
      <c r="D1952" s="2" t="s">
        <v>30</v>
      </c>
      <c r="E1952" s="2" t="s">
        <v>415</v>
      </c>
      <c r="F1952" s="11" t="s">
        <v>487</v>
      </c>
      <c r="G1952" s="49" t="s">
        <v>488</v>
      </c>
      <c r="H1952" s="2" t="s">
        <v>3494</v>
      </c>
      <c r="I1952" s="12" t="s">
        <v>490</v>
      </c>
      <c r="J1952" s="22">
        <f>+Tabla1[[#This Row],[FECHA ENTRADA]]</f>
        <v>45697</v>
      </c>
      <c r="K1952" s="22">
        <v>45783</v>
      </c>
      <c r="L1952" s="23">
        <f>_xlfn.DAYS(Tabla1[[#This Row],[FECHA FIN ]],Tabla1[[#This Row],[FECHA INICIO]])</f>
        <v>86</v>
      </c>
      <c r="M1952" s="12">
        <f>1811.6/17</f>
        <v>106.56470588235294</v>
      </c>
      <c r="N1952" s="24">
        <v>383.33333333333331</v>
      </c>
      <c r="O1952" s="24">
        <f>(Tabla1[[#This Row],[COSTO FIJO ]]/30)*Tabla1[[#This Row],[TOTAL DIAS PROYECTO]]+(Tabla1[[#This Row],[COSTO TEMPORAL]])</f>
        <v>1205.4535947712418</v>
      </c>
      <c r="P1952" s="12"/>
      <c r="Q1952" s="12"/>
      <c r="R1952" s="12">
        <f>+Tabla1[[#This Row],[COSTO TOTAL ALOJAMIENTO]]+Tabla1[[#This Row],[COSTO TOTAL COCHE]]</f>
        <v>1205.4535947712418</v>
      </c>
      <c r="S1952" s="2"/>
      <c r="T1952" s="2" t="s">
        <v>35</v>
      </c>
      <c r="U1952" s="14">
        <v>45697</v>
      </c>
      <c r="V1952" s="25"/>
      <c r="W1952" s="26"/>
      <c r="X1952" s="2">
        <v>5</v>
      </c>
      <c r="Y1952" s="11"/>
      <c r="Z1952" s="2" t="s">
        <v>36</v>
      </c>
      <c r="AA1952" s="13">
        <v>-0.37739</v>
      </c>
      <c r="AB1952" s="13" t="s">
        <v>10372</v>
      </c>
    </row>
    <row r="1953" spans="1:28" ht="15" customHeight="1">
      <c r="A1953" s="2" t="s">
        <v>9516</v>
      </c>
      <c r="B1953" s="2" t="s">
        <v>368</v>
      </c>
      <c r="C1953" s="11" t="s">
        <v>3495</v>
      </c>
      <c r="D1953" s="2" t="s">
        <v>99</v>
      </c>
      <c r="E1953" s="2" t="s">
        <v>422</v>
      </c>
      <c r="F1953" s="11" t="s">
        <v>1375</v>
      </c>
      <c r="G1953" t="s">
        <v>1376</v>
      </c>
      <c r="H1953" s="2" t="s">
        <v>2856</v>
      </c>
      <c r="I1953" s="186" t="s">
        <v>2638</v>
      </c>
      <c r="J1953" s="41">
        <f>+Tabla1[[#This Row],[FECHA ENTRADA]]</f>
        <v>45748</v>
      </c>
      <c r="K1953" s="22">
        <v>45821</v>
      </c>
      <c r="L1953" s="42">
        <f>_xlfn.DAYS(Tabla1[[#This Row],[FECHA FIN ]],Tabla1[[#This Row],[FECHA INICIO]])</f>
        <v>73</v>
      </c>
      <c r="M1953" s="12"/>
      <c r="N1953" s="24">
        <v>233.33333333333334</v>
      </c>
      <c r="O1953" s="28">
        <f>(Tabla1[[#This Row],[COSTO FIJO ]]/30)*Tabla1[[#This Row],[TOTAL DIAS PROYECTO]]+(Tabla1[[#This Row],[COSTO TEMPORAL]])</f>
        <v>567.77777777777771</v>
      </c>
      <c r="P1953" s="12">
        <f>542.69/2</f>
        <v>271.34500000000003</v>
      </c>
      <c r="Q1953" s="12">
        <f>+(Tabla1[[#This Row],[COSTO COCHE]]/30)*Tabla1[[#This Row],[TOTAL DIAS PROYECTO]]</f>
        <v>660.27283333333344</v>
      </c>
      <c r="R1953" s="12">
        <f>+Tabla1[[#This Row],[COSTO TOTAL ALOJAMIENTO]]+Tabla1[[#This Row],[COSTO TOTAL COCHE]]</f>
        <v>1228.0506111111113</v>
      </c>
      <c r="S1953" s="2"/>
      <c r="T1953" s="2" t="s">
        <v>35</v>
      </c>
      <c r="U1953" s="14">
        <v>45748</v>
      </c>
      <c r="V1953" s="43"/>
      <c r="W1953" s="26"/>
      <c r="X1953" s="2">
        <v>5</v>
      </c>
      <c r="Y1953" s="11"/>
      <c r="Z1953" s="2" t="s">
        <v>36</v>
      </c>
      <c r="AA1953" s="13">
        <v>-326.69799999999998</v>
      </c>
      <c r="AB1953" s="13" t="s">
        <v>10373</v>
      </c>
    </row>
    <row r="1954" spans="1:28" ht="15" customHeight="1">
      <c r="A1954" s="2" t="s">
        <v>9287</v>
      </c>
      <c r="B1954" s="2" t="s">
        <v>28</v>
      </c>
      <c r="C1954" s="86" t="s">
        <v>2701</v>
      </c>
      <c r="D1954" s="2" t="s">
        <v>30</v>
      </c>
      <c r="E1954" s="2" t="s">
        <v>626</v>
      </c>
      <c r="F1954" s="11" t="s">
        <v>1408</v>
      </c>
      <c r="G1954" s="146" t="s">
        <v>1409</v>
      </c>
      <c r="H1954" s="2" t="s">
        <v>3456</v>
      </c>
      <c r="I1954" s="12" t="s">
        <v>570</v>
      </c>
      <c r="J1954" s="41">
        <f>+Tabla1[[#This Row],[FECHA ENTRADA]]</f>
        <v>45759</v>
      </c>
      <c r="K1954" s="22">
        <v>45821</v>
      </c>
      <c r="L1954" s="42">
        <f>_xlfn.DAYS(Tabla1[[#This Row],[FECHA FIN ]],Tabla1[[#This Row],[FECHA INICIO]])</f>
        <v>62</v>
      </c>
      <c r="M1954" s="12"/>
      <c r="N1954" s="12"/>
      <c r="O1954" s="28">
        <f>(Tabla1[[#This Row],[COSTO FIJO ]]/30)*Tabla1[[#This Row],[TOTAL DIAS PROYECTO]]+(Tabla1[[#This Row],[COSTO TEMPORAL]])</f>
        <v>0</v>
      </c>
      <c r="P1954" s="12"/>
      <c r="Q1954" s="12">
        <f>+(Tabla1[[#This Row],[COSTO COCHE]]/30)*Tabla1[[#This Row],[TOTAL DIAS PROYECTO]]</f>
        <v>0</v>
      </c>
      <c r="R1954" s="12">
        <f>+Tabla1[[#This Row],[COSTO TOTAL ALOJAMIENTO]]+Tabla1[[#This Row],[COSTO TOTAL COCHE]]</f>
        <v>0</v>
      </c>
      <c r="S1954" s="2"/>
      <c r="T1954" s="2" t="s">
        <v>35</v>
      </c>
      <c r="U1954" s="14">
        <v>45759</v>
      </c>
      <c r="V1954" s="75"/>
      <c r="W1954" s="2"/>
      <c r="X1954" s="2">
        <v>5</v>
      </c>
      <c r="Y1954" s="11" t="s">
        <v>1361</v>
      </c>
      <c r="Z1954" s="2" t="s">
        <v>36</v>
      </c>
      <c r="AA1954" s="13" t="s">
        <v>10385</v>
      </c>
      <c r="AB1954" s="13" t="s">
        <v>10386</v>
      </c>
    </row>
    <row r="1955" spans="1:28" ht="15" customHeight="1">
      <c r="A1955" s="2" t="s">
        <v>9517</v>
      </c>
      <c r="B1955" s="2" t="s">
        <v>978</v>
      </c>
      <c r="C1955" s="99" t="s">
        <v>3496</v>
      </c>
      <c r="D1955" s="2" t="s">
        <v>30</v>
      </c>
      <c r="E1955" s="2" t="s">
        <v>253</v>
      </c>
      <c r="F1955" s="11" t="s">
        <v>3497</v>
      </c>
      <c r="G1955" s="46" t="s">
        <v>3498</v>
      </c>
      <c r="H1955" s="2" t="s">
        <v>1530</v>
      </c>
      <c r="I1955" s="12" t="s">
        <v>1155</v>
      </c>
      <c r="J1955" s="22">
        <f>+Tabla1[[#This Row],[FECHA ENTRADA]]</f>
        <v>45574</v>
      </c>
      <c r="K1955" s="8">
        <v>45841</v>
      </c>
      <c r="L1955" s="42">
        <f>_xlfn.DAYS(Tabla1[[#This Row],[FECHA FIN ]],Tabla1[[#This Row],[FECHA INICIO]])</f>
        <v>267</v>
      </c>
      <c r="M1955" s="12"/>
      <c r="N1955" s="12">
        <v>375</v>
      </c>
      <c r="O1955" s="28">
        <f>(Tabla1[[#This Row],[COSTO FIJO ]]/30)*Tabla1[[#This Row],[TOTAL DIAS PROYECTO]]+(Tabla1[[#This Row],[COSTO TEMPORAL]])</f>
        <v>3337.5</v>
      </c>
      <c r="P1955" s="12"/>
      <c r="Q1955" s="12">
        <f>+(Tabla1[[#This Row],[COSTO COCHE]]/30)*Tabla1[[#This Row],[TOTAL DIAS PROYECTO]]</f>
        <v>0</v>
      </c>
      <c r="R1955" s="12">
        <f>+Tabla1[[#This Row],[COSTO TOTAL ALOJAMIENTO]]+Tabla1[[#This Row],[COSTO TOTAL COCHE]]</f>
        <v>3337.5</v>
      </c>
      <c r="S1955" s="2"/>
      <c r="T1955" s="2" t="s">
        <v>35</v>
      </c>
      <c r="U1955" s="14">
        <v>45574</v>
      </c>
      <c r="V1955" s="43"/>
      <c r="W1955" s="26">
        <v>250</v>
      </c>
      <c r="X1955" s="2">
        <v>5</v>
      </c>
      <c r="Y1955" s="11" t="s">
        <v>3499</v>
      </c>
      <c r="Z1955" s="2" t="s">
        <v>36</v>
      </c>
      <c r="AA1955" s="13" t="s">
        <v>10357</v>
      </c>
      <c r="AB1955" s="13" t="s">
        <v>10358</v>
      </c>
    </row>
    <row r="1956" spans="1:28" ht="15" customHeight="1">
      <c r="A1956" s="2" t="s">
        <v>9386</v>
      </c>
      <c r="B1956" s="2" t="s">
        <v>28</v>
      </c>
      <c r="C1956" s="212" t="s">
        <v>3009</v>
      </c>
      <c r="D1956" s="2" t="s">
        <v>30</v>
      </c>
      <c r="E1956" s="2" t="s">
        <v>31</v>
      </c>
      <c r="F1956" s="11" t="s">
        <v>2275</v>
      </c>
      <c r="G1956" s="46" t="s">
        <v>2276</v>
      </c>
      <c r="H1956" s="2" t="s">
        <v>2061</v>
      </c>
      <c r="I1956" s="12" t="s">
        <v>2062</v>
      </c>
      <c r="J1956" s="41">
        <f>+Tabla1[[#This Row],[FECHA ENTRADA]]</f>
        <v>45769</v>
      </c>
      <c r="K1956" s="22">
        <v>45821</v>
      </c>
      <c r="L1956" s="13">
        <f>_xlfn.DAYS(Tabla1[[#This Row],[FECHA FIN ]],Tabla1[[#This Row],[FECHA INICIO]])</f>
        <v>52</v>
      </c>
      <c r="M1956" s="12"/>
      <c r="N1956" s="24"/>
      <c r="O1956" s="12">
        <f>(Tabla1[[#This Row],[COSTO FIJO ]]/30)*Tabla1[[#This Row],[TOTAL DIAS PROYECTO]]+(Tabla1[[#This Row],[COSTO TEMPORAL]])</f>
        <v>0</v>
      </c>
      <c r="P1956" s="12">
        <v>120</v>
      </c>
      <c r="Q1956" s="12">
        <f>+(Tabla1[[#This Row],[COSTO COCHE]]/30)*Tabla1[[#This Row],[TOTAL DIAS PROYECTO]]</f>
        <v>208</v>
      </c>
      <c r="R1956" s="12">
        <f>+Tabla1[[#This Row],[COSTO TOTAL ALOJAMIENTO]]+Tabla1[[#This Row],[COSTO TOTAL COCHE]]</f>
        <v>208</v>
      </c>
      <c r="S1956" s="2"/>
      <c r="T1956" s="2" t="s">
        <v>44</v>
      </c>
      <c r="U1956" s="14">
        <v>45769</v>
      </c>
      <c r="V1956" s="14">
        <v>45805</v>
      </c>
      <c r="W1956" s="26"/>
      <c r="X1956" s="2"/>
      <c r="Y1956" s="170" t="s">
        <v>2399</v>
      </c>
      <c r="Z1956" s="2" t="s">
        <v>36</v>
      </c>
      <c r="AA1956" s="13" t="s">
        <v>10323</v>
      </c>
      <c r="AB1956" s="13" t="s">
        <v>10324</v>
      </c>
    </row>
    <row r="1957" spans="1:28" ht="15" customHeight="1">
      <c r="A1957" s="2" t="s">
        <v>9518</v>
      </c>
      <c r="B1957" s="2" t="s">
        <v>368</v>
      </c>
      <c r="C1957" s="104" t="s">
        <v>3500</v>
      </c>
      <c r="D1957" s="2" t="s">
        <v>72</v>
      </c>
      <c r="E1957" s="10" t="s">
        <v>1458</v>
      </c>
      <c r="F1957" s="11" t="s">
        <v>2052</v>
      </c>
      <c r="G1957" s="49" t="s">
        <v>2053</v>
      </c>
      <c r="H1957" s="2" t="s">
        <v>3470</v>
      </c>
      <c r="I1957" s="12" t="s">
        <v>1288</v>
      </c>
      <c r="J1957" s="41">
        <f>+Tabla1[[#This Row],[FECHA ENTRADA]]</f>
        <v>45780</v>
      </c>
      <c r="K1957" s="22">
        <v>45821</v>
      </c>
      <c r="L1957" s="23">
        <f>_xlfn.DAYS(Tabla1[[#This Row],[FECHA FIN ]],Tabla1[[#This Row],[FECHA INICIO]])</f>
        <v>41</v>
      </c>
      <c r="M1957" s="12"/>
      <c r="N1957" s="24"/>
      <c r="O1957" s="24">
        <f>(Tabla1[[#This Row],[COSTO FIJO ]]/30)*Tabla1[[#This Row],[TOTAL DIAS PROYECTO]]+(Tabla1[[#This Row],[COSTO TEMPORAL]])</f>
        <v>0</v>
      </c>
      <c r="P1957" s="12"/>
      <c r="Q1957" s="12">
        <f>+(Tabla1[[#This Row],[COSTO COCHE]]/30)*Tabla1[[#This Row],[TOTAL DIAS PROYECTO]]</f>
        <v>0</v>
      </c>
      <c r="R1957" s="12">
        <f>+Tabla1[[#This Row],[COSTO TOTAL ALOJAMIENTO]]+Tabla1[[#This Row],[COSTO TOTAL COCHE]]</f>
        <v>0</v>
      </c>
      <c r="S1957" s="2"/>
      <c r="T1957" s="2" t="s">
        <v>44</v>
      </c>
      <c r="U1957" s="14">
        <v>45780</v>
      </c>
      <c r="V1957" s="25">
        <v>45805</v>
      </c>
      <c r="W1957" s="2"/>
      <c r="X1957" s="2"/>
      <c r="Y1957" s="150" t="s">
        <v>1361</v>
      </c>
      <c r="Z1957" s="2" t="s">
        <v>36</v>
      </c>
      <c r="AA1957" s="13" t="s">
        <v>10421</v>
      </c>
      <c r="AB1957" s="13">
        <v>5113412</v>
      </c>
    </row>
    <row r="1958" spans="1:28" ht="15" customHeight="1">
      <c r="A1958" s="2" t="s">
        <v>8865</v>
      </c>
      <c r="B1958" s="2" t="s">
        <v>28</v>
      </c>
      <c r="C1958" s="104" t="s">
        <v>1073</v>
      </c>
      <c r="D1958" s="2" t="s">
        <v>30</v>
      </c>
      <c r="E1958" s="2" t="s">
        <v>415</v>
      </c>
      <c r="F1958" s="11" t="s">
        <v>3501</v>
      </c>
      <c r="G1958" s="11" t="s">
        <v>798</v>
      </c>
      <c r="H1958" s="2" t="s">
        <v>3502</v>
      </c>
      <c r="I1958" s="12" t="s">
        <v>800</v>
      </c>
      <c r="J1958" s="41">
        <f>+Tabla1[[#This Row],[FECHA ENTRADA]]</f>
        <v>45588</v>
      </c>
      <c r="K1958" s="22">
        <v>45821</v>
      </c>
      <c r="L1958" s="42">
        <f>_xlfn.DAYS(Tabla1[[#This Row],[FECHA FIN ]],Tabla1[[#This Row],[FECHA INICIO]])</f>
        <v>233</v>
      </c>
      <c r="M1958" s="12"/>
      <c r="N1958" s="12">
        <v>400</v>
      </c>
      <c r="O1958" s="28">
        <f>(Tabla1[[#This Row],[COSTO FIJO ]]/30)*Tabla1[[#This Row],[TOTAL DIAS PROYECTO]]+(Tabla1[[#This Row],[COSTO TEMPORAL]])</f>
        <v>3106.666666666667</v>
      </c>
      <c r="P1958" s="12"/>
      <c r="Q1958" s="12">
        <f>+(Tabla1[[#This Row],[COSTO COCHE]]/30)*Tabla1[[#This Row],[TOTAL DIAS PROYECTO]]</f>
        <v>0</v>
      </c>
      <c r="R1958" s="12">
        <f>+Tabla1[[#This Row],[COSTO TOTAL ALOJAMIENTO]]+Tabla1[[#This Row],[COSTO TOTAL COCHE]]</f>
        <v>3106.666666666667</v>
      </c>
      <c r="S1958" s="2"/>
      <c r="T1958" s="2" t="s">
        <v>35</v>
      </c>
      <c r="U1958" s="14">
        <v>45588</v>
      </c>
      <c r="V1958" s="43">
        <v>45603</v>
      </c>
      <c r="W1958" s="26"/>
      <c r="X1958" s="2">
        <v>5</v>
      </c>
      <c r="Y1958" s="11" t="s">
        <v>3503</v>
      </c>
      <c r="Z1958" s="2" t="s">
        <v>36</v>
      </c>
      <c r="AA1958" s="13">
        <v>-0.37739</v>
      </c>
      <c r="AB1958" s="13" t="s">
        <v>10372</v>
      </c>
    </row>
    <row r="1959" spans="1:28" ht="15" customHeight="1">
      <c r="A1959" s="2" t="s">
        <v>9336</v>
      </c>
      <c r="B1959" s="2" t="s">
        <v>28</v>
      </c>
      <c r="C1959" s="213" t="s">
        <v>2850</v>
      </c>
      <c r="D1959" s="2" t="s">
        <v>30</v>
      </c>
      <c r="E1959" s="2" t="s">
        <v>31</v>
      </c>
      <c r="F1959" s="11" t="s">
        <v>2275</v>
      </c>
      <c r="G1959" s="46" t="s">
        <v>2276</v>
      </c>
      <c r="H1959" s="2" t="s">
        <v>2061</v>
      </c>
      <c r="I1959" s="12" t="s">
        <v>2062</v>
      </c>
      <c r="J1959" s="41">
        <f>+Tabla1[[#This Row],[FECHA ENTRADA]]</f>
        <v>45769</v>
      </c>
      <c r="K1959" s="22">
        <v>45821</v>
      </c>
      <c r="L1959" s="13">
        <f>_xlfn.DAYS(Tabla1[[#This Row],[FECHA FIN ]],Tabla1[[#This Row],[FECHA INICIO]])</f>
        <v>52</v>
      </c>
      <c r="M1959" s="12"/>
      <c r="N1959" s="24"/>
      <c r="O1959" s="12">
        <f>(Tabla1[[#This Row],[COSTO FIJO ]]/30)*Tabla1[[#This Row],[TOTAL DIAS PROYECTO]]+(Tabla1[[#This Row],[COSTO TEMPORAL]])</f>
        <v>0</v>
      </c>
      <c r="P1959" s="12">
        <v>120</v>
      </c>
      <c r="Q1959" s="12">
        <f>+(Tabla1[[#This Row],[COSTO COCHE]]/30)*Tabla1[[#This Row],[TOTAL DIAS PROYECTO]]</f>
        <v>208</v>
      </c>
      <c r="R1959" s="12">
        <f>+Tabla1[[#This Row],[COSTO TOTAL ALOJAMIENTO]]+Tabla1[[#This Row],[COSTO TOTAL COCHE]]</f>
        <v>208</v>
      </c>
      <c r="S1959" s="2"/>
      <c r="T1959" s="2" t="s">
        <v>44</v>
      </c>
      <c r="U1959" s="14">
        <v>45769</v>
      </c>
      <c r="V1959" s="14">
        <v>45805</v>
      </c>
      <c r="W1959" s="26"/>
      <c r="X1959" s="2"/>
      <c r="Y1959" s="170" t="s">
        <v>3504</v>
      </c>
      <c r="Z1959" s="2" t="s">
        <v>36</v>
      </c>
      <c r="AA1959" s="13" t="s">
        <v>10323</v>
      </c>
      <c r="AB1959" s="13" t="s">
        <v>10324</v>
      </c>
    </row>
    <row r="1960" spans="1:28">
      <c r="A1960" s="2" t="s">
        <v>9344</v>
      </c>
      <c r="B1960" s="2" t="s">
        <v>368</v>
      </c>
      <c r="C1960" s="104" t="s">
        <v>2878</v>
      </c>
      <c r="D1960" s="2" t="s">
        <v>30</v>
      </c>
      <c r="E1960" s="2" t="s">
        <v>213</v>
      </c>
      <c r="F1960" s="11" t="s">
        <v>1492</v>
      </c>
      <c r="G1960" s="30" t="s">
        <v>1493</v>
      </c>
      <c r="H1960" s="2" t="s">
        <v>1112</v>
      </c>
      <c r="I1960" s="12" t="s">
        <v>514</v>
      </c>
      <c r="J1960" s="41">
        <v>45631</v>
      </c>
      <c r="K1960" s="22">
        <v>45821</v>
      </c>
      <c r="L1960" s="42">
        <f>_xlfn.DAYS(Tabla1[[#This Row],[FECHA FIN ]],Tabla1[[#This Row],[FECHA INICIO]])</f>
        <v>190</v>
      </c>
      <c r="M1960" s="12"/>
      <c r="N1960" s="12">
        <f>1811.6/17</f>
        <v>106.56470588235294</v>
      </c>
      <c r="O1960" s="28">
        <f>(Tabla1[[#This Row],[COSTO FIJO ]]/30)*Tabla1[[#This Row],[TOTAL DIAS PROYECTO]]+(Tabla1[[#This Row],[COSTO TEMPORAL]])</f>
        <v>674.9098039215686</v>
      </c>
      <c r="P1960" s="12"/>
      <c r="Q1960" s="12">
        <f>+(Tabla1[[#This Row],[COSTO COCHE]]/30)*Tabla1[[#This Row],[TOTAL DIAS PROYECTO]]</f>
        <v>0</v>
      </c>
      <c r="R1960" s="12">
        <f>+Tabla1[[#This Row],[COSTO TOTAL ALOJAMIENTO]]+Tabla1[[#This Row],[COSTO TOTAL COCHE]]</f>
        <v>674.9098039215686</v>
      </c>
      <c r="S1960" s="2"/>
      <c r="T1960" s="2" t="s">
        <v>35</v>
      </c>
      <c r="U1960" s="14"/>
      <c r="V1960" s="43"/>
      <c r="W1960" s="26"/>
      <c r="X1960" s="2">
        <v>5</v>
      </c>
      <c r="Y1960" s="11"/>
      <c r="Z1960" s="2" t="s">
        <v>36</v>
      </c>
      <c r="AA1960" s="13" t="s">
        <v>10349</v>
      </c>
      <c r="AB1960" s="13" t="s">
        <v>10350</v>
      </c>
    </row>
    <row r="1961" spans="1:28" ht="15" customHeight="1">
      <c r="A1961" s="2" t="s">
        <v>9145</v>
      </c>
      <c r="B1961" s="2" t="s">
        <v>28</v>
      </c>
      <c r="C1961" s="11" t="s">
        <v>2204</v>
      </c>
      <c r="D1961" s="2" t="s">
        <v>30</v>
      </c>
      <c r="E1961" s="2" t="s">
        <v>415</v>
      </c>
      <c r="F1961" s="11" t="s">
        <v>487</v>
      </c>
      <c r="G1961" s="11" t="s">
        <v>488</v>
      </c>
      <c r="H1961" s="2" t="s">
        <v>1388</v>
      </c>
      <c r="I1961" s="12" t="s">
        <v>490</v>
      </c>
      <c r="J1961" s="8">
        <f>+Tabla1[[#This Row],[FECHA ENTRADA]]</f>
        <v>45447</v>
      </c>
      <c r="K1961" s="22">
        <v>45821</v>
      </c>
      <c r="L1961" s="13">
        <f>_xlfn.DAYS(Tabla1[[#This Row],[FECHA FIN ]],Tabla1[[#This Row],[FECHA INICIO]])</f>
        <v>374</v>
      </c>
      <c r="M1961" s="12"/>
      <c r="N1961" s="12">
        <f>1811.6/17</f>
        <v>106.56470588235294</v>
      </c>
      <c r="O1961" s="12">
        <f>(Tabla1[[#This Row],[COSTO FIJO ]]/30)*Tabla1[[#This Row],[TOTAL DIAS PROYECTO]]+(Tabla1[[#This Row],[COSTO TEMPORAL]])</f>
        <v>1328.5066666666667</v>
      </c>
      <c r="P1961" s="12">
        <f>+(588.42*50%)/4</f>
        <v>73.552499999999995</v>
      </c>
      <c r="Q1961" s="12">
        <f>+(Tabla1[[#This Row],[COSTO COCHE]]/30)*Tabla1[[#This Row],[TOTAL DIAS PROYECTO]]</f>
        <v>916.95449999999983</v>
      </c>
      <c r="R1961" s="12">
        <f>+Tabla1[[#This Row],[COSTO TOTAL ALOJAMIENTO]]+Tabla1[[#This Row],[COSTO TOTAL COCHE]]</f>
        <v>2245.4611666666665</v>
      </c>
      <c r="S1961" s="2"/>
      <c r="T1961" s="2" t="s">
        <v>35</v>
      </c>
      <c r="U1961" s="14">
        <v>45447</v>
      </c>
      <c r="V1961" s="14"/>
      <c r="W1961" s="26"/>
      <c r="X1961" s="2">
        <v>5</v>
      </c>
      <c r="Y1961" s="31" t="s">
        <v>1247</v>
      </c>
      <c r="Z1961" s="2" t="s">
        <v>36</v>
      </c>
      <c r="AA1961" s="13">
        <v>-0.37739</v>
      </c>
      <c r="AB1961" s="13" t="s">
        <v>10372</v>
      </c>
    </row>
    <row r="1962" spans="1:28" ht="15" customHeight="1">
      <c r="A1962" s="2" t="s">
        <v>9369</v>
      </c>
      <c r="B1962" s="2" t="s">
        <v>368</v>
      </c>
      <c r="C1962" s="11" t="s">
        <v>2953</v>
      </c>
      <c r="D1962" s="2" t="s">
        <v>30</v>
      </c>
      <c r="E1962" s="2" t="s">
        <v>1514</v>
      </c>
      <c r="F1962" s="11" t="s">
        <v>3505</v>
      </c>
      <c r="G1962" s="46" t="s">
        <v>3506</v>
      </c>
      <c r="H1962" s="2" t="s">
        <v>1517</v>
      </c>
      <c r="I1962" s="12" t="s">
        <v>1392</v>
      </c>
      <c r="J1962" s="41">
        <f>+Tabla1[[#This Row],[FECHA ENTRADA]]</f>
        <v>45663</v>
      </c>
      <c r="K1962" s="22">
        <v>45700</v>
      </c>
      <c r="L1962" s="42">
        <f>_xlfn.DAYS(Tabla1[[#This Row],[FECHA FIN ]],Tabla1[[#This Row],[FECHA INICIO]])</f>
        <v>37</v>
      </c>
      <c r="M1962" s="12"/>
      <c r="N1962" s="12">
        <f>1811.6/17</f>
        <v>106.56470588235294</v>
      </c>
      <c r="O1962" s="28">
        <f>(Tabla1[[#This Row],[COSTO FIJO ]]/30)*Tabla1[[#This Row],[TOTAL DIAS PROYECTO]]+(Tabla1[[#This Row],[COSTO TEMPORAL]])</f>
        <v>131.42980392156863</v>
      </c>
      <c r="P1962" s="12"/>
      <c r="Q1962" s="12">
        <f>+(Tabla1[[#This Row],[COSTO COCHE]]/30)*Tabla1[[#This Row],[TOTAL DIAS PROYECTO]]</f>
        <v>0</v>
      </c>
      <c r="R1962" s="12">
        <f>+Tabla1[[#This Row],[COSTO TOTAL ALOJAMIENTO]]+Tabla1[[#This Row],[COSTO TOTAL COCHE]]</f>
        <v>131.42980392156863</v>
      </c>
      <c r="S1962" s="2"/>
      <c r="T1962" s="2" t="s">
        <v>35</v>
      </c>
      <c r="U1962" s="14">
        <v>45663</v>
      </c>
      <c r="V1962" s="43"/>
      <c r="W1962" s="26"/>
      <c r="X1962" s="2">
        <v>5</v>
      </c>
      <c r="Y1962" s="110" t="s">
        <v>1518</v>
      </c>
      <c r="Z1962" s="2" t="s">
        <v>36</v>
      </c>
      <c r="AA1962" s="13" t="s">
        <v>10424</v>
      </c>
      <c r="AB1962" s="13">
        <v>398581</v>
      </c>
    </row>
    <row r="1963" spans="1:28" ht="15" customHeight="1">
      <c r="A1963" s="2" t="s">
        <v>9453</v>
      </c>
      <c r="B1963" s="2" t="s">
        <v>711</v>
      </c>
      <c r="C1963" s="11" t="s">
        <v>3228</v>
      </c>
      <c r="D1963" s="2" t="s">
        <v>99</v>
      </c>
      <c r="E1963" s="2" t="s">
        <v>720</v>
      </c>
      <c r="F1963" s="11" t="s">
        <v>1872</v>
      </c>
      <c r="G1963" s="49" t="s">
        <v>1873</v>
      </c>
      <c r="H1963" s="2" t="s">
        <v>1874</v>
      </c>
      <c r="I1963" s="12" t="s">
        <v>506</v>
      </c>
      <c r="J1963" s="22">
        <f>+Tabla1[[#This Row],[FECHA ENTRADA]]</f>
        <v>45764</v>
      </c>
      <c r="K1963" s="22">
        <v>45821</v>
      </c>
      <c r="L1963" s="23">
        <f>_xlfn.DAYS(Tabla1[[#This Row],[FECHA FIN ]],Tabla1[[#This Row],[FECHA INICIO]])</f>
        <v>57</v>
      </c>
      <c r="M1963" s="12"/>
      <c r="N1963" s="12"/>
      <c r="O1963" s="24">
        <f>(Tabla1[[#This Row],[COSTO FIJO ]]/30)*Tabla1[[#This Row],[TOTAL DIAS PROYECTO]]+(Tabla1[[#This Row],[COSTO TEMPORAL]])</f>
        <v>0</v>
      </c>
      <c r="P1963" s="12"/>
      <c r="Q1963" s="12">
        <f>+(Tabla1[[#This Row],[COSTO COCHE]]/30)*Tabla1[[#This Row],[TOTAL DIAS PROYECTO]]</f>
        <v>0</v>
      </c>
      <c r="R1963" s="12">
        <f>+Tabla1[[#This Row],[COSTO TOTAL ALOJAMIENTO]]+Tabla1[[#This Row],[COSTO TOTAL COCHE]]</f>
        <v>0</v>
      </c>
      <c r="S1963" s="2"/>
      <c r="T1963" s="2" t="s">
        <v>528</v>
      </c>
      <c r="U1963" s="14">
        <v>45764</v>
      </c>
      <c r="V1963" s="25">
        <v>45783</v>
      </c>
      <c r="W1963" s="26"/>
      <c r="X1963" s="2"/>
      <c r="Y1963" s="11"/>
      <c r="Z1963" s="2" t="s">
        <v>36</v>
      </c>
      <c r="AA1963" s="13" t="s">
        <v>10394</v>
      </c>
      <c r="AB1963" s="13" t="s">
        <v>10395</v>
      </c>
    </row>
    <row r="1964" spans="1:28" ht="15" customHeight="1">
      <c r="A1964" s="2" t="s">
        <v>8642</v>
      </c>
      <c r="B1964" s="2" t="s">
        <v>606</v>
      </c>
      <c r="C1964" s="31" t="s">
        <v>3507</v>
      </c>
      <c r="D1964" s="2" t="s">
        <v>30</v>
      </c>
      <c r="E1964" s="2" t="s">
        <v>109</v>
      </c>
      <c r="F1964" s="11" t="s">
        <v>898</v>
      </c>
      <c r="G1964" s="128" t="s">
        <v>3042</v>
      </c>
      <c r="H1964" s="2" t="s">
        <v>3508</v>
      </c>
      <c r="I1964" s="12" t="s">
        <v>1562</v>
      </c>
      <c r="J1964" s="41">
        <f>+Tabla1[[#This Row],[FECHA ENTRADA]]</f>
        <v>46221</v>
      </c>
      <c r="K1964" s="22">
        <v>46254</v>
      </c>
      <c r="L1964" s="42">
        <f>_xlfn.DAYS(Tabla1[[#This Row],[FECHA FIN ]],Tabla1[[#This Row],[FECHA INICIO]])</f>
        <v>33</v>
      </c>
      <c r="M1964" s="12"/>
      <c r="N1964" s="28">
        <v>250</v>
      </c>
      <c r="O1964" s="28">
        <f>(Tabla1[[#This Row],[COSTO FIJO ]]/30)*Tabla1[[#This Row],[TOTAL DIAS PROYECTO]]+(Tabla1[[#This Row],[COSTO TEMPORAL]])</f>
        <v>275</v>
      </c>
      <c r="P1964" s="12"/>
      <c r="Q1964" s="12">
        <f>+(Tabla1[[#This Row],[COSTO COCHE]]/30)*Tabla1[[#This Row],[TOTAL DIAS PROYECTO]]</f>
        <v>0</v>
      </c>
      <c r="R1964" s="12">
        <f>+Tabla1[[#This Row],[COSTO TOTAL ALOJAMIENTO]]+Tabla1[[#This Row],[COSTO TOTAL COCHE]]</f>
        <v>275</v>
      </c>
      <c r="S1964" s="2"/>
      <c r="T1964" s="14" t="s">
        <v>35</v>
      </c>
      <c r="U1964" s="14">
        <v>46221</v>
      </c>
      <c r="V1964" s="43"/>
      <c r="W1964" s="12"/>
      <c r="X1964" s="2">
        <v>15</v>
      </c>
      <c r="Y1964" s="11" t="s">
        <v>3509</v>
      </c>
      <c r="Z1964" s="2" t="s">
        <v>36</v>
      </c>
      <c r="AA1964" s="13">
        <v>0.62217999999999996</v>
      </c>
      <c r="AB1964" s="13" t="s">
        <v>10339</v>
      </c>
    </row>
    <row r="1965" spans="1:28" ht="15" customHeight="1">
      <c r="A1965" s="2" t="s">
        <v>9352</v>
      </c>
      <c r="B1965" s="2" t="s">
        <v>28</v>
      </c>
      <c r="C1965" s="11" t="s">
        <v>2915</v>
      </c>
      <c r="D1965" s="2" t="s">
        <v>30</v>
      </c>
      <c r="E1965" s="2" t="s">
        <v>31</v>
      </c>
      <c r="F1965" s="11" t="s">
        <v>2433</v>
      </c>
      <c r="G1965" s="49" t="s">
        <v>2434</v>
      </c>
      <c r="H1965" s="2" t="s">
        <v>2061</v>
      </c>
      <c r="I1965" s="12" t="s">
        <v>2062</v>
      </c>
      <c r="J1965" s="22">
        <f>+Tabla1[[#This Row],[FECHA ENTRADA]]</f>
        <v>45805</v>
      </c>
      <c r="K1965" s="22">
        <v>45821</v>
      </c>
      <c r="L1965" s="13">
        <f>_xlfn.DAYS(Tabla1[[#This Row],[FECHA FIN ]],Tabla1[[#This Row],[FECHA INICIO]])</f>
        <v>16</v>
      </c>
      <c r="M1965" s="12"/>
      <c r="N1965" s="12">
        <v>54.75</v>
      </c>
      <c r="O1965" s="12">
        <f>(Tabla1[[#This Row],[COSTO FIJO ]]/30)*Tabla1[[#This Row],[TOTAL DIAS PROYECTO]]+(Tabla1[[#This Row],[COSTO TEMPORAL]])</f>
        <v>29.2</v>
      </c>
      <c r="P1965" s="12"/>
      <c r="Q1965" s="12">
        <f>+(Tabla1[[#This Row],[COSTO COCHE]]/30)*Tabla1[[#This Row],[TOTAL DIAS PROYECTO]]</f>
        <v>0</v>
      </c>
      <c r="R1965" s="12">
        <f>+Tabla1[[#This Row],[COSTO TOTAL ALOJAMIENTO]]+Tabla1[[#This Row],[COSTO TOTAL COCHE]]</f>
        <v>29.2</v>
      </c>
      <c r="S1965" s="2"/>
      <c r="T1965" s="2" t="s">
        <v>44</v>
      </c>
      <c r="U1965" s="14">
        <v>45805</v>
      </c>
      <c r="V1965" s="14">
        <v>45807</v>
      </c>
      <c r="W1965" s="26"/>
      <c r="X1965" s="2"/>
      <c r="Y1965" s="170" t="s">
        <v>2435</v>
      </c>
      <c r="Z1965" s="2" t="s">
        <v>36</v>
      </c>
      <c r="AA1965" s="13" t="s">
        <v>10323</v>
      </c>
      <c r="AB1965" s="13" t="s">
        <v>10324</v>
      </c>
    </row>
    <row r="1966" spans="1:28" ht="15" customHeight="1">
      <c r="A1966" s="2" t="s">
        <v>9386</v>
      </c>
      <c r="B1966" s="2" t="s">
        <v>28</v>
      </c>
      <c r="C1966" s="11" t="s">
        <v>3009</v>
      </c>
      <c r="D1966" s="2" t="s">
        <v>30</v>
      </c>
      <c r="E1966" s="2" t="s">
        <v>31</v>
      </c>
      <c r="F1966" s="11" t="s">
        <v>2433</v>
      </c>
      <c r="G1966" s="49" t="s">
        <v>2434</v>
      </c>
      <c r="H1966" s="2" t="s">
        <v>2061</v>
      </c>
      <c r="I1966" s="12" t="s">
        <v>2062</v>
      </c>
      <c r="J1966" s="22">
        <f>+Tabla1[[#This Row],[FECHA ENTRADA]]</f>
        <v>45805</v>
      </c>
      <c r="K1966" s="22">
        <v>45821</v>
      </c>
      <c r="L1966" s="13">
        <f>_xlfn.DAYS(Tabla1[[#This Row],[FECHA FIN ]],Tabla1[[#This Row],[FECHA INICIO]])</f>
        <v>16</v>
      </c>
      <c r="M1966" s="12"/>
      <c r="N1966" s="24"/>
      <c r="O1966" s="12">
        <f>(Tabla1[[#This Row],[COSTO FIJO ]]/30)*Tabla1[[#This Row],[TOTAL DIAS PROYECTO]]+(Tabla1[[#This Row],[COSTO TEMPORAL]])</f>
        <v>0</v>
      </c>
      <c r="P1966" s="12"/>
      <c r="Q1966" s="12">
        <f>+(Tabla1[[#This Row],[COSTO COCHE]]/30)*Tabla1[[#This Row],[TOTAL DIAS PROYECTO]]</f>
        <v>0</v>
      </c>
      <c r="R1966" s="12">
        <f>+Tabla1[[#This Row],[COSTO TOTAL ALOJAMIENTO]]+Tabla1[[#This Row],[COSTO TOTAL COCHE]]</f>
        <v>0</v>
      </c>
      <c r="S1966" s="2"/>
      <c r="T1966" s="2" t="s">
        <v>44</v>
      </c>
      <c r="U1966" s="14">
        <v>45805</v>
      </c>
      <c r="V1966" s="14">
        <v>45807</v>
      </c>
      <c r="W1966" s="26"/>
      <c r="X1966" s="2"/>
      <c r="Y1966" s="170" t="s">
        <v>3510</v>
      </c>
      <c r="Z1966" s="2" t="s">
        <v>36</v>
      </c>
      <c r="AA1966" s="13" t="s">
        <v>10323</v>
      </c>
      <c r="AB1966" s="13" t="s">
        <v>10324</v>
      </c>
    </row>
    <row r="1967" spans="1:28" ht="15" customHeight="1">
      <c r="A1967" s="2" t="s">
        <v>9336</v>
      </c>
      <c r="B1967" s="2" t="s">
        <v>28</v>
      </c>
      <c r="C1967" s="104" t="s">
        <v>2850</v>
      </c>
      <c r="D1967" s="2" t="s">
        <v>30</v>
      </c>
      <c r="E1967" s="2" t="s">
        <v>31</v>
      </c>
      <c r="F1967" s="11" t="s">
        <v>2433</v>
      </c>
      <c r="G1967" s="49" t="s">
        <v>2434</v>
      </c>
      <c r="H1967" s="2" t="s">
        <v>2061</v>
      </c>
      <c r="I1967" s="12" t="s">
        <v>2062</v>
      </c>
      <c r="J1967" s="22">
        <f>+Tabla1[[#This Row],[FECHA ENTRADA]]</f>
        <v>45805</v>
      </c>
      <c r="K1967" s="22">
        <v>45821</v>
      </c>
      <c r="L1967" s="13">
        <f>_xlfn.DAYS(Tabla1[[#This Row],[FECHA FIN ]],Tabla1[[#This Row],[FECHA INICIO]])</f>
        <v>16</v>
      </c>
      <c r="M1967" s="12"/>
      <c r="N1967" s="24"/>
      <c r="O1967" s="12">
        <f>(Tabla1[[#This Row],[COSTO FIJO ]]/30)*Tabla1[[#This Row],[TOTAL DIAS PROYECTO]]+(Tabla1[[#This Row],[COSTO TEMPORAL]])</f>
        <v>0</v>
      </c>
      <c r="P1967" s="12"/>
      <c r="Q1967" s="12">
        <f>+(Tabla1[[#This Row],[COSTO COCHE]]/30)*Tabla1[[#This Row],[TOTAL DIAS PROYECTO]]</f>
        <v>0</v>
      </c>
      <c r="R1967" s="12">
        <f>+Tabla1[[#This Row],[COSTO TOTAL ALOJAMIENTO]]+Tabla1[[#This Row],[COSTO TOTAL COCHE]]</f>
        <v>0</v>
      </c>
      <c r="S1967" s="2"/>
      <c r="T1967" s="2" t="s">
        <v>44</v>
      </c>
      <c r="U1967" s="14">
        <v>45805</v>
      </c>
      <c r="V1967" s="14">
        <v>45807</v>
      </c>
      <c r="W1967" s="26"/>
      <c r="X1967" s="2"/>
      <c r="Y1967" s="170" t="s">
        <v>2435</v>
      </c>
      <c r="Z1967" s="2" t="s">
        <v>36</v>
      </c>
      <c r="AA1967" s="13" t="s">
        <v>10323</v>
      </c>
      <c r="AB1967" s="13" t="s">
        <v>10324</v>
      </c>
    </row>
    <row r="1968" spans="1:28" ht="15" customHeight="1">
      <c r="A1968" s="2" t="s">
        <v>9333</v>
      </c>
      <c r="B1968" s="2" t="s">
        <v>28</v>
      </c>
      <c r="C1968" s="104" t="s">
        <v>2845</v>
      </c>
      <c r="D1968" s="2" t="s">
        <v>30</v>
      </c>
      <c r="E1968" s="2" t="s">
        <v>87</v>
      </c>
      <c r="F1968" s="11" t="s">
        <v>1864</v>
      </c>
      <c r="G1968" s="11" t="s">
        <v>2195</v>
      </c>
      <c r="H1968" s="2" t="s">
        <v>3511</v>
      </c>
      <c r="I1968" s="12" t="s">
        <v>34</v>
      </c>
      <c r="J1968" s="41">
        <f>+Tabla1[[#This Row],[FECHA ENTRADA]]</f>
        <v>45636</v>
      </c>
      <c r="K1968" s="22">
        <v>45821</v>
      </c>
      <c r="L1968" s="42">
        <f>_xlfn.DAYS(Tabla1[[#This Row],[FECHA FIN ]],Tabla1[[#This Row],[FECHA INICIO]])</f>
        <v>185</v>
      </c>
      <c r="M1968" s="12"/>
      <c r="N1968" s="12">
        <f>1811.6/17</f>
        <v>106.56470588235294</v>
      </c>
      <c r="O1968" s="28">
        <f>(Tabla1[[#This Row],[COSTO FIJO ]]/30)*Tabla1[[#This Row],[TOTAL DIAS PROYECTO]]+(Tabla1[[#This Row],[COSTO TEMPORAL]])</f>
        <v>657.14901960784312</v>
      </c>
      <c r="P1968" s="12"/>
      <c r="Q1968" s="12">
        <f>+(Tabla1[[#This Row],[COSTO COCHE]]/30)*Tabla1[[#This Row],[TOTAL DIAS PROYECTO]]</f>
        <v>0</v>
      </c>
      <c r="R1968" s="12">
        <f>+Tabla1[[#This Row],[COSTO TOTAL ALOJAMIENTO]]+Tabla1[[#This Row],[COSTO TOTAL COCHE]]</f>
        <v>657.14901960784312</v>
      </c>
      <c r="S1968" s="2"/>
      <c r="T1968" s="2" t="s">
        <v>35</v>
      </c>
      <c r="U1968" s="14">
        <v>45636</v>
      </c>
      <c r="V1968" s="43"/>
      <c r="W1968" s="26"/>
      <c r="X1968" s="2">
        <v>5</v>
      </c>
      <c r="Y1968" s="11"/>
      <c r="Z1968" s="2" t="s">
        <v>36</v>
      </c>
      <c r="AA1968" s="13" t="s">
        <v>10335</v>
      </c>
      <c r="AB1968" s="13">
        <v>404.16500000000002</v>
      </c>
    </row>
    <row r="1969" spans="1:28" ht="15" customHeight="1">
      <c r="A1969" s="2" t="s">
        <v>9349</v>
      </c>
      <c r="B1969" s="2" t="s">
        <v>28</v>
      </c>
      <c r="C1969" s="104" t="s">
        <v>2900</v>
      </c>
      <c r="D1969" s="2" t="s">
        <v>30</v>
      </c>
      <c r="E1969" s="2" t="s">
        <v>380</v>
      </c>
      <c r="F1969" s="11" t="s">
        <v>2236</v>
      </c>
      <c r="G1969" s="30" t="s">
        <v>2237</v>
      </c>
      <c r="H1969" s="2" t="s">
        <v>3483</v>
      </c>
      <c r="I1969" s="12" t="s">
        <v>800</v>
      </c>
      <c r="J1969" s="41">
        <v>45572</v>
      </c>
      <c r="K1969" s="22">
        <v>45579</v>
      </c>
      <c r="L1969" s="42">
        <f>_xlfn.DAYS(Tabla1[[#This Row],[FECHA FIN ]],Tabla1[[#This Row],[FECHA INICIO]])</f>
        <v>7</v>
      </c>
      <c r="M1969" s="12"/>
      <c r="N1969" s="12">
        <v>300</v>
      </c>
      <c r="O1969" s="28">
        <f>(Tabla1[[#This Row],[COSTO FIJO ]]/30)*Tabla1[[#This Row],[TOTAL DIAS PROYECTO]]+(Tabla1[[#This Row],[COSTO TEMPORAL]])</f>
        <v>70</v>
      </c>
      <c r="P1969" s="12">
        <f>(613.47*50%)/5</f>
        <v>61.347000000000001</v>
      </c>
      <c r="Q1969" s="12">
        <f>+(Tabla1[[#This Row],[COSTO COCHE]]/30)*Tabla1[[#This Row],[TOTAL DIAS PROYECTO]]</f>
        <v>14.314300000000001</v>
      </c>
      <c r="R1969" s="12">
        <f>+Tabla1[[#This Row],[COSTO TOTAL ALOJAMIENTO]]+Tabla1[[#This Row],[COSTO TOTAL COCHE]]</f>
        <v>84.314300000000003</v>
      </c>
      <c r="S1969" s="2"/>
      <c r="T1969" s="2" t="s">
        <v>35</v>
      </c>
      <c r="U1969" s="14">
        <v>45572</v>
      </c>
      <c r="V1969" s="79"/>
      <c r="W1969" s="26"/>
      <c r="X1969" s="2">
        <v>1</v>
      </c>
      <c r="Y1969" s="11"/>
      <c r="Z1969" s="2" t="s">
        <v>36</v>
      </c>
      <c r="AA1969" s="13" t="s">
        <v>10370</v>
      </c>
      <c r="AB1969" s="13" t="s">
        <v>10371</v>
      </c>
    </row>
    <row r="1970" spans="1:28" ht="15" customHeight="1">
      <c r="A1970" s="2" t="s">
        <v>9443</v>
      </c>
      <c r="B1970" s="2" t="s">
        <v>711</v>
      </c>
      <c r="C1970" s="104" t="s">
        <v>3196</v>
      </c>
      <c r="D1970" s="2" t="s">
        <v>99</v>
      </c>
      <c r="E1970" s="2" t="s">
        <v>720</v>
      </c>
      <c r="F1970" s="11" t="s">
        <v>1872</v>
      </c>
      <c r="G1970" s="49" t="s">
        <v>1873</v>
      </c>
      <c r="H1970" s="2" t="s">
        <v>1874</v>
      </c>
      <c r="I1970" s="12" t="s">
        <v>506</v>
      </c>
      <c r="J1970" s="22">
        <f>+Tabla1[[#This Row],[FECHA ENTRADA]]</f>
        <v>45764</v>
      </c>
      <c r="K1970" s="22">
        <v>45821</v>
      </c>
      <c r="L1970" s="23">
        <f>_xlfn.DAYS(Tabla1[[#This Row],[FECHA FIN ]],Tabla1[[#This Row],[FECHA INICIO]])</f>
        <v>57</v>
      </c>
      <c r="M1970" s="12"/>
      <c r="N1970" s="12">
        <v>250</v>
      </c>
      <c r="O1970" s="24">
        <f>(Tabla1[[#This Row],[COSTO FIJO ]]/30)*Tabla1[[#This Row],[TOTAL DIAS PROYECTO]]+(Tabla1[[#This Row],[COSTO TEMPORAL]])</f>
        <v>475.00000000000006</v>
      </c>
      <c r="P1970" s="12"/>
      <c r="Q1970" s="12">
        <f>+(Tabla1[[#This Row],[COSTO COCHE]]/30)*Tabla1[[#This Row],[TOTAL DIAS PROYECTO]]</f>
        <v>0</v>
      </c>
      <c r="R1970" s="12">
        <f>+Tabla1[[#This Row],[COSTO TOTAL ALOJAMIENTO]]+Tabla1[[#This Row],[COSTO TOTAL COCHE]]</f>
        <v>475.00000000000006</v>
      </c>
      <c r="S1970" s="2"/>
      <c r="T1970" s="2" t="s">
        <v>528</v>
      </c>
      <c r="U1970" s="14">
        <v>45764</v>
      </c>
      <c r="V1970" s="25">
        <v>45783</v>
      </c>
      <c r="W1970" s="26"/>
      <c r="X1970" s="2"/>
      <c r="Y1970" s="11"/>
      <c r="Z1970" s="2" t="s">
        <v>36</v>
      </c>
      <c r="AA1970" s="13" t="s">
        <v>10394</v>
      </c>
      <c r="AB1970" s="13" t="s">
        <v>10395</v>
      </c>
    </row>
    <row r="1971" spans="1:28" ht="15" customHeight="1">
      <c r="A1971" s="2" t="s">
        <v>8884</v>
      </c>
      <c r="B1971" s="2" t="s">
        <v>28</v>
      </c>
      <c r="C1971" s="104" t="s">
        <v>1160</v>
      </c>
      <c r="D1971" s="2" t="s">
        <v>30</v>
      </c>
      <c r="E1971" s="2" t="s">
        <v>1393</v>
      </c>
      <c r="F1971" s="11" t="s">
        <v>2259</v>
      </c>
      <c r="G1971" s="21" t="s">
        <v>2260</v>
      </c>
      <c r="H1971" s="2" t="s">
        <v>1396</v>
      </c>
      <c r="I1971" s="12" t="s">
        <v>1067</v>
      </c>
      <c r="J1971" s="22">
        <f>+Tabla1[[#This Row],[FECHA ENTRADA]]</f>
        <v>45793</v>
      </c>
      <c r="K1971" s="22">
        <v>45821</v>
      </c>
      <c r="L1971" s="42">
        <f>_xlfn.DAYS(Tabla1[[#This Row],[FECHA FIN ]],Tabla1[[#This Row],[FECHA INICIO]])</f>
        <v>28</v>
      </c>
      <c r="M1971" s="12"/>
      <c r="N1971" s="12">
        <f>(840.07/3)+(84.997/3)</f>
        <v>308.35566666666671</v>
      </c>
      <c r="O1971" s="28">
        <f>(Tabla1[[#This Row],[COSTO FIJO ]]/30)*Tabla1[[#This Row],[TOTAL DIAS PROYECTO]]+(Tabla1[[#This Row],[COSTO TEMPORAL]])</f>
        <v>287.79862222222226</v>
      </c>
      <c r="P1971" s="12"/>
      <c r="Q1971" s="12">
        <f>+(Tabla1[[#This Row],[COSTO COCHE]]/30)*Tabla1[[#This Row],[TOTAL DIAS PROYECTO]]</f>
        <v>0</v>
      </c>
      <c r="R1971" s="12">
        <f>+Tabla1[[#This Row],[COSTO TOTAL ALOJAMIENTO]]+Tabla1[[#This Row],[COSTO TOTAL COCHE]]</f>
        <v>287.79862222222226</v>
      </c>
      <c r="S1971" s="2"/>
      <c r="T1971" s="2" t="s">
        <v>44</v>
      </c>
      <c r="U1971" s="14">
        <v>45793</v>
      </c>
      <c r="V1971" s="25">
        <v>45808</v>
      </c>
      <c r="W1971" s="26"/>
      <c r="X1971" s="2"/>
      <c r="Y1971" s="11" t="s">
        <v>2479</v>
      </c>
      <c r="Z1971" s="2" t="s">
        <v>36</v>
      </c>
      <c r="AA1971" s="13" t="s">
        <v>10416</v>
      </c>
      <c r="AB1971" s="13" t="s">
        <v>10417</v>
      </c>
    </row>
    <row r="1972" spans="1:28" ht="15" customHeight="1">
      <c r="A1972" s="2" t="s">
        <v>8638</v>
      </c>
      <c r="B1972" s="2" t="s">
        <v>28</v>
      </c>
      <c r="C1972" s="104" t="s">
        <v>2140</v>
      </c>
      <c r="D1972" s="2" t="s">
        <v>30</v>
      </c>
      <c r="E1972" s="2" t="s">
        <v>985</v>
      </c>
      <c r="F1972" s="11" t="s">
        <v>2139</v>
      </c>
      <c r="G1972" s="21" t="s">
        <v>2133</v>
      </c>
      <c r="H1972" s="2" t="s">
        <v>2134</v>
      </c>
      <c r="I1972" s="12" t="s">
        <v>249</v>
      </c>
      <c r="J1972" s="41">
        <f>+Tabla1[[#This Row],[FECHA ENTRADA]]</f>
        <v>45781</v>
      </c>
      <c r="K1972" s="8">
        <v>45783</v>
      </c>
      <c r="L1972" s="23">
        <f>_xlfn.DAYS(Tabla1[[#This Row],[FECHA FIN ]],Tabla1[[#This Row],[FECHA INICIO]])</f>
        <v>2</v>
      </c>
      <c r="M1972" s="12"/>
      <c r="N1972" s="24"/>
      <c r="O1972" s="24">
        <f>(Tabla1[[#This Row],[COSTO FIJO ]]/30)*Tabla1[[#This Row],[TOTAL DIAS PROYECTO]]+(Tabla1[[#This Row],[COSTO TEMPORAL]])</f>
        <v>0</v>
      </c>
      <c r="P1972" s="12">
        <v>70.588235294117652</v>
      </c>
      <c r="Q1972" s="12">
        <f>+(Tabla1[[#This Row],[COSTO COCHE]]/30)*Tabla1[[#This Row],[TOTAL DIAS PROYECTO]]</f>
        <v>4.7058823529411766</v>
      </c>
      <c r="R1972" s="12">
        <f>+Tabla1[[#This Row],[COSTO TOTAL ALOJAMIENTO]]+Tabla1[[#This Row],[COSTO TOTAL COCHE]]</f>
        <v>4.7058823529411766</v>
      </c>
      <c r="S1972" s="2"/>
      <c r="T1972" s="2" t="s">
        <v>528</v>
      </c>
      <c r="U1972" s="14">
        <v>45781</v>
      </c>
      <c r="V1972" s="25">
        <v>45812</v>
      </c>
      <c r="W1972" s="26">
        <v>600</v>
      </c>
      <c r="X1972" s="2"/>
      <c r="Y1972" s="11"/>
      <c r="Z1972" s="2" t="s">
        <v>36</v>
      </c>
      <c r="AA1972" s="13" t="s">
        <v>10407</v>
      </c>
      <c r="AB1972" s="13" t="s">
        <v>10408</v>
      </c>
    </row>
    <row r="1973" spans="1:28" ht="15" customHeight="1">
      <c r="A1973" s="2" t="s">
        <v>8638</v>
      </c>
      <c r="B1973" s="2" t="s">
        <v>28</v>
      </c>
      <c r="C1973" s="104" t="s">
        <v>2181</v>
      </c>
      <c r="D1973" s="2" t="s">
        <v>30</v>
      </c>
      <c r="E1973" s="2" t="s">
        <v>985</v>
      </c>
      <c r="F1973" s="11" t="s">
        <v>2132</v>
      </c>
      <c r="G1973" s="21" t="s">
        <v>2133</v>
      </c>
      <c r="H1973" s="2" t="s">
        <v>2134</v>
      </c>
      <c r="I1973" s="12" t="s">
        <v>249</v>
      </c>
      <c r="J1973" s="41">
        <f>+Tabla1[[#This Row],[FECHA ENTRADA]]</f>
        <v>45781</v>
      </c>
      <c r="K1973" s="8">
        <v>45783</v>
      </c>
      <c r="L1973" s="23">
        <f>_xlfn.DAYS(Tabla1[[#This Row],[FECHA FIN ]],Tabla1[[#This Row],[FECHA INICIO]])</f>
        <v>2</v>
      </c>
      <c r="M1973" s="12"/>
      <c r="N1973" s="24"/>
      <c r="O1973" s="24">
        <f>(Tabla1[[#This Row],[COSTO FIJO ]]/30)*Tabla1[[#This Row],[TOTAL DIAS PROYECTO]]+(Tabla1[[#This Row],[COSTO TEMPORAL]])</f>
        <v>0</v>
      </c>
      <c r="P1973" s="12">
        <v>70.588235294117652</v>
      </c>
      <c r="Q1973" s="12">
        <f>+(Tabla1[[#This Row],[COSTO COCHE]]/30)*Tabla1[[#This Row],[TOTAL DIAS PROYECTO]]</f>
        <v>4.7058823529411766</v>
      </c>
      <c r="R1973" s="12">
        <f>+Tabla1[[#This Row],[COSTO TOTAL ALOJAMIENTO]]+Tabla1[[#This Row],[COSTO TOTAL COCHE]]</f>
        <v>4.7058823529411766</v>
      </c>
      <c r="S1973" s="2"/>
      <c r="T1973" s="2" t="s">
        <v>528</v>
      </c>
      <c r="U1973" s="14">
        <v>45781</v>
      </c>
      <c r="V1973" s="25">
        <v>45812</v>
      </c>
      <c r="W1973" s="26">
        <v>600</v>
      </c>
      <c r="X1973" s="2"/>
      <c r="Y1973" s="11"/>
      <c r="Z1973" s="2" t="s">
        <v>36</v>
      </c>
      <c r="AA1973" s="13" t="s">
        <v>10407</v>
      </c>
      <c r="AB1973" s="13" t="s">
        <v>10408</v>
      </c>
    </row>
    <row r="1974" spans="1:28" ht="15" customHeight="1">
      <c r="A1974" s="2" t="s">
        <v>9355</v>
      </c>
      <c r="B1974" s="2" t="s">
        <v>28</v>
      </c>
      <c r="C1974" s="104" t="s">
        <v>2918</v>
      </c>
      <c r="D1974" s="2" t="s">
        <v>30</v>
      </c>
      <c r="E1974" s="2" t="s">
        <v>608</v>
      </c>
      <c r="F1974" s="11" t="s">
        <v>1918</v>
      </c>
      <c r="G1974" s="11" t="s">
        <v>1919</v>
      </c>
      <c r="H1974" s="2" t="s">
        <v>69</v>
      </c>
      <c r="I1974" s="12" t="s">
        <v>34</v>
      </c>
      <c r="J1974" s="8">
        <f>+Tabla1[[#This Row],[FECHA ENTRADA]]</f>
        <v>45466</v>
      </c>
      <c r="K1974" s="22">
        <v>45751</v>
      </c>
      <c r="L1974" s="13">
        <f>_xlfn.DAYS(Tabla1[[#This Row],[FECHA FIN ]],Tabla1[[#This Row],[FECHA INICIO]])</f>
        <v>285</v>
      </c>
      <c r="M1974" s="12"/>
      <c r="N1974" s="12">
        <f>1811.6/17</f>
        <v>106.56470588235294</v>
      </c>
      <c r="O1974" s="12">
        <f>(Tabla1[[#This Row],[COSTO FIJO ]]/30)*Tabla1[[#This Row],[TOTAL DIAS PROYECTO]]+(Tabla1[[#This Row],[COSTO TEMPORAL]])</f>
        <v>1012.364705882353</v>
      </c>
      <c r="P1974" s="12">
        <f>542.69/2</f>
        <v>271.34500000000003</v>
      </c>
      <c r="Q1974" s="12">
        <f>+(Tabla1[[#This Row],[COSTO COCHE]]/30)*Tabla1[[#This Row],[TOTAL DIAS PROYECTO]]</f>
        <v>2577.7775000000006</v>
      </c>
      <c r="R1974" s="12">
        <f>+Tabla1[[#This Row],[COSTO TOTAL ALOJAMIENTO]]+Tabla1[[#This Row],[COSTO TOTAL COCHE]]</f>
        <v>3590.1422058823537</v>
      </c>
      <c r="S1974" s="2"/>
      <c r="T1974" s="2" t="s">
        <v>35</v>
      </c>
      <c r="U1974" s="14">
        <v>45466</v>
      </c>
      <c r="V1974" s="14"/>
      <c r="W1974" s="26"/>
      <c r="X1974" s="2">
        <v>5</v>
      </c>
      <c r="Y1974" s="11" t="s">
        <v>3512</v>
      </c>
      <c r="Z1974" s="2" t="s">
        <v>36</v>
      </c>
      <c r="AA1974" s="13" t="s">
        <v>10383</v>
      </c>
      <c r="AB1974" s="13" t="s">
        <v>10384</v>
      </c>
    </row>
    <row r="1975" spans="1:28">
      <c r="A1975" s="2" t="s">
        <v>9519</v>
      </c>
      <c r="B1975" s="2" t="s">
        <v>368</v>
      </c>
      <c r="C1975" s="97" t="s">
        <v>3513</v>
      </c>
      <c r="D1975" s="2" t="s">
        <v>30</v>
      </c>
      <c r="E1975" s="2" t="s">
        <v>422</v>
      </c>
      <c r="F1975" s="11" t="s">
        <v>1375</v>
      </c>
      <c r="G1975" t="s">
        <v>1376</v>
      </c>
      <c r="H1975" s="2" t="s">
        <v>3514</v>
      </c>
      <c r="I1975" s="10" t="s">
        <v>3515</v>
      </c>
      <c r="J1975" s="22">
        <f>+Tabla1[[#This Row],[FECHA ENTRADA]]</f>
        <v>45797</v>
      </c>
      <c r="K1975" s="41">
        <v>45807</v>
      </c>
      <c r="L1975" s="42">
        <f>_xlfn.DAYS(Tabla1[[#This Row],[FECHA FIN ]],Tabla1[[#This Row],[FECHA INICIO]])</f>
        <v>10</v>
      </c>
      <c r="M1975" s="12"/>
      <c r="N1975" s="24">
        <v>233.33333333333334</v>
      </c>
      <c r="O1975" s="28">
        <f>(Tabla1[[#This Row],[COSTO FIJO ]]/30)*Tabla1[[#This Row],[TOTAL DIAS PROYECTO]]+(Tabla1[[#This Row],[COSTO TEMPORAL]])</f>
        <v>77.777777777777771</v>
      </c>
      <c r="P1975" s="12"/>
      <c r="Q1975" s="12">
        <f>+(Tabla1[[#This Row],[COSTO COCHE]]/30)*Tabla1[[#This Row],[TOTAL DIAS PROYECTO]]</f>
        <v>0</v>
      </c>
      <c r="R1975" s="12">
        <f>+Tabla1[[#This Row],[COSTO TOTAL ALOJAMIENTO]]+Tabla1[[#This Row],[COSTO TOTAL COCHE]]</f>
        <v>77.777777777777771</v>
      </c>
      <c r="S1975" s="2"/>
      <c r="T1975" s="2" t="s">
        <v>35</v>
      </c>
      <c r="U1975" s="14">
        <v>45797</v>
      </c>
      <c r="V1975" s="43"/>
      <c r="W1975" s="26"/>
      <c r="X1975" s="2">
        <v>5</v>
      </c>
      <c r="Y1975" s="11"/>
      <c r="Z1975" s="2" t="s">
        <v>36</v>
      </c>
      <c r="AA1975" s="13">
        <v>-326.69799999999998</v>
      </c>
      <c r="AB1975" s="13" t="s">
        <v>10373</v>
      </c>
    </row>
    <row r="1976" spans="1:28" ht="15" customHeight="1">
      <c r="A1976" s="2" t="s">
        <v>9132</v>
      </c>
      <c r="B1976" s="2" t="s">
        <v>28</v>
      </c>
      <c r="C1976" s="104" t="s">
        <v>2138</v>
      </c>
      <c r="D1976" s="2" t="s">
        <v>30</v>
      </c>
      <c r="E1976" s="2" t="s">
        <v>985</v>
      </c>
      <c r="F1976" s="11" t="s">
        <v>2139</v>
      </c>
      <c r="G1976" s="21" t="s">
        <v>2133</v>
      </c>
      <c r="H1976" s="2" t="s">
        <v>2134</v>
      </c>
      <c r="I1976" s="12" t="s">
        <v>249</v>
      </c>
      <c r="J1976" s="41">
        <f>+Tabla1[[#This Row],[FECHA ENTRADA]]</f>
        <v>45781</v>
      </c>
      <c r="K1976" s="8">
        <v>45791</v>
      </c>
      <c r="L1976" s="23">
        <f>_xlfn.DAYS(Tabla1[[#This Row],[FECHA FIN ]],Tabla1[[#This Row],[FECHA INICIO]])</f>
        <v>10</v>
      </c>
      <c r="M1976" s="12"/>
      <c r="N1976" s="12"/>
      <c r="O1976" s="24">
        <f>(Tabla1[[#This Row],[COSTO FIJO ]]/30)*Tabla1[[#This Row],[TOTAL DIAS PROYECTO]]+(Tabla1[[#This Row],[COSTO TEMPORAL]])</f>
        <v>0</v>
      </c>
      <c r="P1976" s="12">
        <v>70.588235294117652</v>
      </c>
      <c r="Q1976" s="12">
        <f>+(Tabla1[[#This Row],[COSTO COCHE]]/30)*Tabla1[[#This Row],[TOTAL DIAS PROYECTO]]</f>
        <v>23.529411764705884</v>
      </c>
      <c r="R1976" s="12">
        <f>+Tabla1[[#This Row],[COSTO TOTAL ALOJAMIENTO]]+Tabla1[[#This Row],[COSTO TOTAL COCHE]]</f>
        <v>23.529411764705884</v>
      </c>
      <c r="S1976" s="2"/>
      <c r="T1976" s="2" t="s">
        <v>528</v>
      </c>
      <c r="U1976" s="14">
        <v>45781</v>
      </c>
      <c r="V1976" s="25">
        <v>45812</v>
      </c>
      <c r="W1976" s="26"/>
      <c r="X1976" s="2"/>
      <c r="Y1976" s="160" t="s">
        <v>3360</v>
      </c>
      <c r="Z1976" s="2" t="s">
        <v>36</v>
      </c>
      <c r="AA1976" s="13" t="s">
        <v>10407</v>
      </c>
      <c r="AB1976" s="13" t="s">
        <v>10408</v>
      </c>
    </row>
    <row r="1977" spans="1:28" ht="15" customHeight="1">
      <c r="A1977" s="2" t="s">
        <v>8642</v>
      </c>
      <c r="B1977" s="2" t="s">
        <v>368</v>
      </c>
      <c r="C1977" s="104" t="s">
        <v>3516</v>
      </c>
      <c r="D1977" s="2" t="s">
        <v>99</v>
      </c>
      <c r="E1977" s="2" t="s">
        <v>855</v>
      </c>
      <c r="F1977" s="11" t="s">
        <v>2480</v>
      </c>
      <c r="G1977" s="46" t="s">
        <v>2481</v>
      </c>
      <c r="H1977" s="2" t="s">
        <v>2196</v>
      </c>
      <c r="I1977" s="12" t="s">
        <v>1288</v>
      </c>
      <c r="J1977" s="41">
        <f>+Tabla1[[#This Row],[FECHA ENTRADA]]</f>
        <v>45782</v>
      </c>
      <c r="K1977" s="22">
        <v>45821</v>
      </c>
      <c r="L1977" s="42">
        <f>_xlfn.DAYS(Tabla1[[#This Row],[FECHA FIN ]],Tabla1[[#This Row],[FECHA INICIO]])</f>
        <v>39</v>
      </c>
      <c r="M1977" s="12"/>
      <c r="N1977" s="12"/>
      <c r="O1977" s="28">
        <f>(Tabla1[[#This Row],[COSTO FIJO ]]/30)*Tabla1[[#This Row],[TOTAL DIAS PROYECTO]]+(Tabla1[[#This Row],[COSTO TEMPORAL]])</f>
        <v>0</v>
      </c>
      <c r="P1977" s="12"/>
      <c r="Q1977" s="12">
        <f>+(Tabla1[[#This Row],[COSTO COCHE]]/30)*Tabla1[[#This Row],[TOTAL DIAS PROYECTO]]</f>
        <v>0</v>
      </c>
      <c r="R1977" s="12">
        <f>+Tabla1[[#This Row],[COSTO TOTAL ALOJAMIENTO]]+Tabla1[[#This Row],[COSTO TOTAL COCHE]]</f>
        <v>0</v>
      </c>
      <c r="S1977" s="2"/>
      <c r="T1977" s="14" t="s">
        <v>44</v>
      </c>
      <c r="U1977" s="14">
        <v>45782</v>
      </c>
      <c r="V1977" s="25">
        <v>45809</v>
      </c>
      <c r="W1977" s="2"/>
      <c r="X1977" s="2"/>
      <c r="Y1977" s="11"/>
      <c r="Z1977" s="2" t="s">
        <v>36</v>
      </c>
      <c r="AA1977" s="13" t="s">
        <v>10401</v>
      </c>
      <c r="AB1977" s="13" t="s">
        <v>10402</v>
      </c>
    </row>
    <row r="1978" spans="1:28" ht="15" customHeight="1">
      <c r="A1978" s="2" t="s">
        <v>9005</v>
      </c>
      <c r="B1978" s="2" t="s">
        <v>368</v>
      </c>
      <c r="C1978" s="97" t="s">
        <v>1667</v>
      </c>
      <c r="D1978" s="2" t="s">
        <v>30</v>
      </c>
      <c r="E1978" s="2" t="s">
        <v>87</v>
      </c>
      <c r="F1978" s="11" t="s">
        <v>1668</v>
      </c>
      <c r="G1978" s="21" t="s">
        <v>1669</v>
      </c>
      <c r="H1978" s="2" t="s">
        <v>3517</v>
      </c>
      <c r="I1978" s="12" t="s">
        <v>1367</v>
      </c>
      <c r="J1978" s="41">
        <f>+Tabla1[[#This Row],[FECHA ENTRADA]]</f>
        <v>45720</v>
      </c>
      <c r="K1978" s="41">
        <v>45722</v>
      </c>
      <c r="L1978" s="42">
        <f>_xlfn.DAYS(Tabla1[[#This Row],[FECHA FIN ]],Tabla1[[#This Row],[FECHA INICIO]])</f>
        <v>2</v>
      </c>
      <c r="M1978" s="28"/>
      <c r="N1978" s="28"/>
      <c r="O1978" s="28">
        <f>(Tabla1[[#This Row],[COSTO FIJO ]]/30)*Tabla1[[#This Row],[TOTAL DIAS PROYECTO]]+(Tabla1[[#This Row],[COSTO TEMPORAL]])</f>
        <v>0</v>
      </c>
      <c r="P1978" s="12"/>
      <c r="Q1978" s="12">
        <f>+(Tabla1[[#This Row],[COSTO COCHE]]/30)*Tabla1[[#This Row],[TOTAL DIAS PROYECTO]]</f>
        <v>0</v>
      </c>
      <c r="R1978" s="12">
        <f>+Tabla1[[#This Row],[COSTO TOTAL ALOJAMIENTO]]+Tabla1[[#This Row],[COSTO TOTAL COCHE]]</f>
        <v>0</v>
      </c>
      <c r="S1978" s="2"/>
      <c r="T1978" s="2" t="s">
        <v>35</v>
      </c>
      <c r="U1978" s="14">
        <v>45720</v>
      </c>
      <c r="V1978" s="43"/>
      <c r="W1978" s="26"/>
      <c r="X1978" s="2">
        <v>5</v>
      </c>
      <c r="Y1978" s="11"/>
      <c r="Z1978" s="2" t="s">
        <v>36</v>
      </c>
      <c r="AA1978" s="13" t="s">
        <v>10335</v>
      </c>
      <c r="AB1978" s="13">
        <v>404.16500000000002</v>
      </c>
    </row>
    <row r="1979" spans="1:28" ht="15" customHeight="1">
      <c r="A1979" s="2" t="s">
        <v>9345</v>
      </c>
      <c r="B1979" s="2" t="s">
        <v>28</v>
      </c>
      <c r="C1979" s="104" t="s">
        <v>2879</v>
      </c>
      <c r="D1979" s="2" t="s">
        <v>99</v>
      </c>
      <c r="E1979" s="2" t="s">
        <v>253</v>
      </c>
      <c r="F1979" s="11" t="s">
        <v>1261</v>
      </c>
      <c r="G1979" s="11" t="s">
        <v>772</v>
      </c>
      <c r="H1979" s="2" t="s">
        <v>3518</v>
      </c>
      <c r="I1979" s="12" t="s">
        <v>2342</v>
      </c>
      <c r="J1979" s="22">
        <f>+Tabla1[[#This Row],[FECHA ENTRADA]]</f>
        <v>45804</v>
      </c>
      <c r="K1979" s="22">
        <v>45821</v>
      </c>
      <c r="L1979" s="13">
        <f>_xlfn.DAYS(Tabla1[[#This Row],[FECHA FIN ]],Tabla1[[#This Row],[FECHA INICIO]])</f>
        <v>17</v>
      </c>
      <c r="M1979" s="12"/>
      <c r="N1979" s="12"/>
      <c r="O1979" s="12">
        <f>(Tabla1[[#This Row],[COSTO FIJO ]]/30)*Tabla1[[#This Row],[TOTAL DIAS PROYECTO]]+(Tabla1[[#This Row],[COSTO TEMPORAL]])</f>
        <v>0</v>
      </c>
      <c r="P1979" s="12"/>
      <c r="Q1979" s="12">
        <f>+(Tabla1[[#This Row],[COSTO COCHE]]/30)*Tabla1[[#This Row],[TOTAL DIAS PROYECTO]]</f>
        <v>0</v>
      </c>
      <c r="R1979" s="12">
        <f>+Tabla1[[#This Row],[COSTO TOTAL ALOJAMIENTO]]+Tabla1[[#This Row],[COSTO TOTAL COCHE]]</f>
        <v>0</v>
      </c>
      <c r="S1979" s="2"/>
      <c r="T1979" s="2" t="s">
        <v>44</v>
      </c>
      <c r="U1979" s="14">
        <v>45804</v>
      </c>
      <c r="V1979" s="14">
        <v>45809</v>
      </c>
      <c r="W1979" s="26"/>
      <c r="X1979" s="16"/>
      <c r="Y1979" s="18" t="s">
        <v>1166</v>
      </c>
      <c r="Z1979" s="2" t="s">
        <v>36</v>
      </c>
      <c r="AA1979" s="13" t="s">
        <v>10357</v>
      </c>
      <c r="AB1979" s="13" t="s">
        <v>10358</v>
      </c>
    </row>
    <row r="1980" spans="1:28" ht="15" customHeight="1">
      <c r="A1980" s="2" t="s">
        <v>9520</v>
      </c>
      <c r="B1980" s="2" t="s">
        <v>368</v>
      </c>
      <c r="C1980" s="97" t="s">
        <v>3519</v>
      </c>
      <c r="D1980" s="2" t="s">
        <v>741</v>
      </c>
      <c r="E1980" s="10" t="s">
        <v>79</v>
      </c>
      <c r="F1980" s="11" t="s">
        <v>142</v>
      </c>
      <c r="G1980" s="21" t="s">
        <v>2141</v>
      </c>
      <c r="H1980" s="2" t="s">
        <v>2142</v>
      </c>
      <c r="I1980" s="29" t="s">
        <v>145</v>
      </c>
      <c r="J1980" s="22">
        <f>+Tabla1[[#This Row],[FECHA ENTRADA]]</f>
        <v>45683</v>
      </c>
      <c r="K1980" s="22">
        <v>45821</v>
      </c>
      <c r="L1980" s="23">
        <f>_xlfn.DAYS(Tabla1[[#This Row],[FECHA FIN ]],Tabla1[[#This Row],[FECHA INICIO]])</f>
        <v>138</v>
      </c>
      <c r="M1980" s="12"/>
      <c r="N1980" s="24">
        <f>6098.81/9</f>
        <v>677.64555555555557</v>
      </c>
      <c r="O1980" s="24">
        <f>(Tabla1[[#This Row],[COSTO FIJO ]]/30)*Tabla1[[#This Row],[TOTAL DIAS PROYECTO]]+(Tabla1[[#This Row],[COSTO TEMPORAL]])</f>
        <v>3117.1695555555557</v>
      </c>
      <c r="P1980" s="12"/>
      <c r="Q1980" s="12">
        <f>+(Tabla1[[#This Row],[COSTO COCHE]]/30)*Tabla1[[#This Row],[TOTAL DIAS PROYECTO]]</f>
        <v>0</v>
      </c>
      <c r="R1980" s="12">
        <f>+Tabla1[[#This Row],[COSTO TOTAL ALOJAMIENTO]]+Tabla1[[#This Row],[COSTO TOTAL COCHE]]</f>
        <v>3117.1695555555557</v>
      </c>
      <c r="S1980" s="2"/>
      <c r="T1980" s="2" t="s">
        <v>44</v>
      </c>
      <c r="U1980" s="14">
        <v>45683</v>
      </c>
      <c r="V1980" s="43">
        <v>45809</v>
      </c>
      <c r="W1980" s="26"/>
      <c r="X1980" s="2"/>
      <c r="Y1980" s="11" t="s">
        <v>3520</v>
      </c>
      <c r="Z1980" s="2" t="s">
        <v>36</v>
      </c>
      <c r="AA1980" s="13" t="s">
        <v>10333</v>
      </c>
      <c r="AB1980" s="13" t="s">
        <v>10334</v>
      </c>
    </row>
    <row r="1981" spans="1:28" ht="15" customHeight="1">
      <c r="A1981" s="2" t="s">
        <v>9442</v>
      </c>
      <c r="B1981" s="2" t="s">
        <v>368</v>
      </c>
      <c r="C1981" s="104" t="s">
        <v>3191</v>
      </c>
      <c r="D1981" s="2" t="s">
        <v>99</v>
      </c>
      <c r="E1981" s="2" t="s">
        <v>855</v>
      </c>
      <c r="F1981" s="11" t="s">
        <v>2480</v>
      </c>
      <c r="G1981" s="46" t="s">
        <v>2481</v>
      </c>
      <c r="H1981" s="2" t="s">
        <v>2196</v>
      </c>
      <c r="I1981" s="12" t="s">
        <v>1288</v>
      </c>
      <c r="J1981" s="41">
        <f>+Tabla1[[#This Row],[FECHA ENTRADA]]</f>
        <v>45782</v>
      </c>
      <c r="K1981" s="22">
        <v>45821</v>
      </c>
      <c r="L1981" s="42">
        <f>_xlfn.DAYS(Tabla1[[#This Row],[FECHA FIN ]],Tabla1[[#This Row],[FECHA INICIO]])</f>
        <v>39</v>
      </c>
      <c r="M1981" s="12"/>
      <c r="N1981" s="28"/>
      <c r="O1981" s="28">
        <f>(Tabla1[[#This Row],[COSTO FIJO ]]/30)*Tabla1[[#This Row],[TOTAL DIAS PROYECTO]]+(Tabla1[[#This Row],[COSTO TEMPORAL]])</f>
        <v>0</v>
      </c>
      <c r="P1981" s="12"/>
      <c r="Q1981" s="12">
        <f>+(Tabla1[[#This Row],[COSTO COCHE]]/30)*Tabla1[[#This Row],[TOTAL DIAS PROYECTO]]</f>
        <v>0</v>
      </c>
      <c r="R1981" s="12">
        <f>+Tabla1[[#This Row],[COSTO TOTAL ALOJAMIENTO]]+Tabla1[[#This Row],[COSTO TOTAL COCHE]]</f>
        <v>0</v>
      </c>
      <c r="S1981" s="2"/>
      <c r="T1981" s="14" t="s">
        <v>44</v>
      </c>
      <c r="U1981" s="14">
        <v>45782</v>
      </c>
      <c r="V1981" s="25">
        <v>45809</v>
      </c>
      <c r="W1981" s="2"/>
      <c r="X1981" s="2"/>
      <c r="Y1981" s="11"/>
      <c r="Z1981" s="2" t="s">
        <v>36</v>
      </c>
      <c r="AA1981" s="13" t="s">
        <v>10401</v>
      </c>
      <c r="AB1981" s="13" t="s">
        <v>10402</v>
      </c>
    </row>
    <row r="1982" spans="1:28" ht="15" customHeight="1">
      <c r="A1982" s="2" t="s">
        <v>9521</v>
      </c>
      <c r="B1982" s="2" t="s">
        <v>28</v>
      </c>
      <c r="C1982" s="192" t="s">
        <v>3521</v>
      </c>
      <c r="D1982" s="2" t="s">
        <v>78</v>
      </c>
      <c r="E1982" s="2" t="s">
        <v>79</v>
      </c>
      <c r="F1982" s="11" t="s">
        <v>142</v>
      </c>
      <c r="G1982" s="11" t="s">
        <v>143</v>
      </c>
      <c r="H1982" s="2" t="s">
        <v>144</v>
      </c>
      <c r="I1982" s="29" t="s">
        <v>145</v>
      </c>
      <c r="J1982" s="8">
        <f>+Tabla1[[#This Row],[FECHA ENTRADA]]</f>
        <v>45346</v>
      </c>
      <c r="K1982" s="22">
        <v>45821</v>
      </c>
      <c r="L1982" s="13">
        <f>_xlfn.DAYS(Tabla1[[#This Row],[FECHA FIN ]],Tabla1[[#This Row],[FECHA INICIO]])</f>
        <v>475</v>
      </c>
      <c r="M1982" s="12"/>
      <c r="N1982" s="24">
        <v>604.44000000000005</v>
      </c>
      <c r="O1982" s="12">
        <f>(Tabla1[[#This Row],[COSTO FIJO ]]/30)*Tabla1[[#This Row],[TOTAL DIAS PROYECTO]]+(Tabla1[[#This Row],[COSTO TEMPORAL]])</f>
        <v>9570.3000000000011</v>
      </c>
      <c r="P1982" s="12"/>
      <c r="Q1982" s="12">
        <f>+(Tabla1[[#This Row],[COSTO COCHE]]/30)*Tabla1[[#This Row],[TOTAL DIAS PROYECTO]]</f>
        <v>0</v>
      </c>
      <c r="R1982" s="12">
        <f>+Tabla1[[#This Row],[COSTO TOTAL ALOJAMIENTO]]+Tabla1[[#This Row],[COSTO TOTAL COCHE]]</f>
        <v>9570.3000000000011</v>
      </c>
      <c r="S1982" s="2"/>
      <c r="T1982" s="2" t="s">
        <v>44</v>
      </c>
      <c r="U1982" s="14">
        <v>45346</v>
      </c>
      <c r="V1982" s="43">
        <v>45809</v>
      </c>
      <c r="W1982" s="15"/>
      <c r="X1982" s="16"/>
      <c r="Y1982" t="s">
        <v>3522</v>
      </c>
      <c r="Z1982" s="2" t="s">
        <v>36</v>
      </c>
      <c r="AA1982" s="13" t="s">
        <v>10333</v>
      </c>
      <c r="AB1982" s="13" t="s">
        <v>10334</v>
      </c>
    </row>
    <row r="1983" spans="1:28" ht="15" customHeight="1">
      <c r="A1983" s="2" t="s">
        <v>9068</v>
      </c>
      <c r="B1983" s="2" t="s">
        <v>28</v>
      </c>
      <c r="C1983" s="115" t="s">
        <v>1868</v>
      </c>
      <c r="D1983" s="2" t="s">
        <v>30</v>
      </c>
      <c r="E1983" s="2" t="s">
        <v>380</v>
      </c>
      <c r="F1983" s="11" t="s">
        <v>2236</v>
      </c>
      <c r="G1983" s="49" t="s">
        <v>2237</v>
      </c>
      <c r="H1983" s="2" t="s">
        <v>3483</v>
      </c>
      <c r="I1983" s="12" t="s">
        <v>800</v>
      </c>
      <c r="J1983" s="22">
        <v>45572</v>
      </c>
      <c r="K1983" s="22">
        <v>45602</v>
      </c>
      <c r="L1983" s="23">
        <f>_xlfn.DAYS(Tabla1[[#This Row],[FECHA FIN ]],Tabla1[[#This Row],[FECHA INICIO]])</f>
        <v>30</v>
      </c>
      <c r="M1983" s="12"/>
      <c r="N1983" s="12">
        <v>300</v>
      </c>
      <c r="O1983" s="24">
        <f>(Tabla1[[#This Row],[COSTO FIJO ]]/30)*Tabla1[[#This Row],[TOTAL DIAS PROYECTO]]+(Tabla1[[#This Row],[COSTO TEMPORAL]])</f>
        <v>300</v>
      </c>
      <c r="P1983" s="12">
        <f>(613.47*50%)/5</f>
        <v>61.347000000000001</v>
      </c>
      <c r="Q1983" s="12">
        <f>+(Tabla1[[#This Row],[COSTO COCHE]]/30)*Tabla1[[#This Row],[TOTAL DIAS PROYECTO]]</f>
        <v>61.347000000000008</v>
      </c>
      <c r="R1983" s="12">
        <f>+Tabla1[[#This Row],[COSTO TOTAL ALOJAMIENTO]]+Tabla1[[#This Row],[COSTO TOTAL COCHE]]</f>
        <v>361.34699999999998</v>
      </c>
      <c r="S1983" s="2"/>
      <c r="T1983" s="2" t="s">
        <v>35</v>
      </c>
      <c r="U1983" s="14">
        <v>45572</v>
      </c>
      <c r="V1983" s="25"/>
      <c r="W1983" s="26"/>
      <c r="X1983" s="2">
        <v>1</v>
      </c>
      <c r="Y1983" s="11"/>
      <c r="Z1983" s="2" t="s">
        <v>36</v>
      </c>
      <c r="AA1983" s="13" t="s">
        <v>10370</v>
      </c>
      <c r="AB1983" s="13" t="s">
        <v>10371</v>
      </c>
    </row>
    <row r="1984" spans="1:28" ht="15" customHeight="1">
      <c r="A1984" s="2" t="s">
        <v>9343</v>
      </c>
      <c r="B1984" s="2" t="s">
        <v>28</v>
      </c>
      <c r="C1984" s="11" t="s">
        <v>2875</v>
      </c>
      <c r="D1984" s="2" t="s">
        <v>99</v>
      </c>
      <c r="E1984" s="2" t="s">
        <v>415</v>
      </c>
      <c r="F1984" s="11" t="s">
        <v>3501</v>
      </c>
      <c r="G1984" s="11" t="s">
        <v>798</v>
      </c>
      <c r="H1984" s="2" t="s">
        <v>3523</v>
      </c>
      <c r="I1984" s="12" t="s">
        <v>800</v>
      </c>
      <c r="J1984" s="22">
        <f>+Tabla1[[#This Row],[FECHA ENTRADA]]</f>
        <v>45692</v>
      </c>
      <c r="K1984" s="22">
        <v>45821</v>
      </c>
      <c r="L1984" s="23">
        <f>_xlfn.DAYS(Tabla1[[#This Row],[FECHA FIN ]],Tabla1[[#This Row],[FECHA INICIO]])</f>
        <v>129</v>
      </c>
      <c r="M1984" s="12"/>
      <c r="N1984" s="12">
        <v>400</v>
      </c>
      <c r="O1984" s="24">
        <f>(Tabla1[[#This Row],[COSTO FIJO ]]/30)*Tabla1[[#This Row],[TOTAL DIAS PROYECTO]]+(Tabla1[[#This Row],[COSTO TEMPORAL]])</f>
        <v>1720</v>
      </c>
      <c r="P1984" s="12">
        <f>732.9/12</f>
        <v>61.074999999999996</v>
      </c>
      <c r="Q1984" s="12">
        <f>+(Tabla1[[#This Row],[COSTO COCHE]]/30)*Tabla1[[#This Row],[TOTAL DIAS PROYECTO]]</f>
        <v>262.6225</v>
      </c>
      <c r="R1984" s="12">
        <f>+Tabla1[[#This Row],[COSTO TOTAL ALOJAMIENTO]]+Tabla1[[#This Row],[COSTO TOTAL COCHE]]</f>
        <v>1982.6224999999999</v>
      </c>
      <c r="S1984" s="2"/>
      <c r="T1984" s="2" t="s">
        <v>35</v>
      </c>
      <c r="U1984" s="14">
        <v>45692</v>
      </c>
      <c r="V1984" s="25"/>
      <c r="W1984" s="26"/>
      <c r="X1984" s="2">
        <v>5</v>
      </c>
      <c r="Y1984" s="11"/>
      <c r="Z1984" s="2" t="s">
        <v>36</v>
      </c>
      <c r="AA1984" s="13">
        <v>-0.37739</v>
      </c>
      <c r="AB1984" s="13" t="s">
        <v>10372</v>
      </c>
    </row>
    <row r="1985" spans="1:28" ht="15" customHeight="1">
      <c r="A1985" s="2" t="s">
        <v>8884</v>
      </c>
      <c r="B1985" s="2" t="s">
        <v>28</v>
      </c>
      <c r="C1985" s="11" t="s">
        <v>1160</v>
      </c>
      <c r="D1985" s="2" t="s">
        <v>30</v>
      </c>
      <c r="E1985" s="2" t="s">
        <v>1393</v>
      </c>
      <c r="F1985" s="11" t="s">
        <v>2259</v>
      </c>
      <c r="G1985" s="21" t="s">
        <v>2260</v>
      </c>
      <c r="H1985" s="2" t="s">
        <v>1396</v>
      </c>
      <c r="I1985" s="12" t="s">
        <v>1067</v>
      </c>
      <c r="J1985" s="22">
        <f>+Tabla1[[#This Row],[FECHA ENTRADA]]</f>
        <v>45808</v>
      </c>
      <c r="K1985" s="22">
        <v>45821</v>
      </c>
      <c r="L1985" s="42">
        <f>_xlfn.DAYS(Tabla1[[#This Row],[FECHA FIN ]],Tabla1[[#This Row],[FECHA INICIO]])</f>
        <v>13</v>
      </c>
      <c r="M1985" s="12"/>
      <c r="N1985" s="12"/>
      <c r="O1985" s="28">
        <f>(Tabla1[[#This Row],[COSTO FIJO ]]/30)*Tabla1[[#This Row],[TOTAL DIAS PROYECTO]]+(Tabla1[[#This Row],[COSTO TEMPORAL]])</f>
        <v>0</v>
      </c>
      <c r="P1985" s="12"/>
      <c r="Q1985" s="12">
        <f>+(Tabla1[[#This Row],[COSTO COCHE]]/30)*Tabla1[[#This Row],[TOTAL DIAS PROYECTO]]</f>
        <v>0</v>
      </c>
      <c r="R1985" s="12">
        <f>+Tabla1[[#This Row],[COSTO TOTAL ALOJAMIENTO]]+Tabla1[[#This Row],[COSTO TOTAL COCHE]]</f>
        <v>0</v>
      </c>
      <c r="S1985" s="2"/>
      <c r="T1985" s="2" t="s">
        <v>44</v>
      </c>
      <c r="U1985" s="14">
        <v>45808</v>
      </c>
      <c r="V1985" s="25">
        <v>45810</v>
      </c>
      <c r="W1985" s="26"/>
      <c r="X1985" s="2"/>
      <c r="Y1985" s="11" t="s">
        <v>1361</v>
      </c>
      <c r="Z1985" s="2" t="s">
        <v>36</v>
      </c>
      <c r="AA1985" s="13" t="s">
        <v>10416</v>
      </c>
      <c r="AB1985" s="13" t="s">
        <v>10417</v>
      </c>
    </row>
    <row r="1986" spans="1:28" ht="15" customHeight="1">
      <c r="A1986" s="2" t="s">
        <v>9522</v>
      </c>
      <c r="B1986" s="2" t="s">
        <v>28</v>
      </c>
      <c r="C1986" s="11" t="s">
        <v>3524</v>
      </c>
      <c r="D1986" s="2" t="s">
        <v>30</v>
      </c>
      <c r="E1986" s="2" t="s">
        <v>415</v>
      </c>
      <c r="F1986" s="11" t="s">
        <v>487</v>
      </c>
      <c r="G1986" s="11" t="s">
        <v>488</v>
      </c>
      <c r="H1986" s="2" t="s">
        <v>3525</v>
      </c>
      <c r="I1986" s="12" t="s">
        <v>800</v>
      </c>
      <c r="J1986" s="22">
        <f>+Tabla1[[#This Row],[FECHA ENTRADA]]</f>
        <v>45602</v>
      </c>
      <c r="K1986" s="22">
        <v>45821</v>
      </c>
      <c r="L1986" s="23">
        <f>_xlfn.DAYS(Tabla1[[#This Row],[FECHA FIN ]],Tabla1[[#This Row],[FECHA INICIO]])</f>
        <v>219</v>
      </c>
      <c r="M1986" s="12"/>
      <c r="N1986" s="12">
        <f>1811.6/17</f>
        <v>106.56470588235294</v>
      </c>
      <c r="O1986" s="24">
        <f>(Tabla1[[#This Row],[COSTO FIJO ]]/30)*Tabla1[[#This Row],[TOTAL DIAS PROYECTO]]+(Tabla1[[#This Row],[COSTO TEMPORAL]])</f>
        <v>777.92235294117654</v>
      </c>
      <c r="P1986" s="12"/>
      <c r="Q1986" s="12">
        <f>+(Tabla1[[#This Row],[COSTO COCHE]]/30)*Tabla1[[#This Row],[TOTAL DIAS PROYECTO]]</f>
        <v>0</v>
      </c>
      <c r="R1986" s="12">
        <f>+Tabla1[[#This Row],[COSTO TOTAL ALOJAMIENTO]]+Tabla1[[#This Row],[COSTO TOTAL COCHE]]</f>
        <v>777.92235294117654</v>
      </c>
      <c r="S1986" s="2"/>
      <c r="T1986" s="2" t="s">
        <v>35</v>
      </c>
      <c r="U1986" s="14">
        <v>45602</v>
      </c>
      <c r="V1986" s="79"/>
      <c r="W1986" s="26"/>
      <c r="X1986" s="2">
        <v>5</v>
      </c>
      <c r="Y1986" s="11"/>
      <c r="Z1986" s="2" t="s">
        <v>36</v>
      </c>
      <c r="AA1986" s="13">
        <v>-0.37739</v>
      </c>
      <c r="AB1986" s="13" t="s">
        <v>10372</v>
      </c>
    </row>
    <row r="1987" spans="1:28" ht="15" customHeight="1">
      <c r="A1987" s="2" t="s">
        <v>9523</v>
      </c>
      <c r="B1987" s="2" t="s">
        <v>28</v>
      </c>
      <c r="C1987" s="11" t="s">
        <v>3526</v>
      </c>
      <c r="D1987" s="2" t="s">
        <v>30</v>
      </c>
      <c r="E1987" s="2" t="s">
        <v>1393</v>
      </c>
      <c r="F1987" s="11" t="s">
        <v>2259</v>
      </c>
      <c r="G1987" s="21" t="s">
        <v>2260</v>
      </c>
      <c r="H1987" s="2" t="s">
        <v>3527</v>
      </c>
      <c r="I1987" s="12" t="s">
        <v>1067</v>
      </c>
      <c r="J1987" s="22">
        <f>+Tabla1[[#This Row],[FECHA ENTRADA]]</f>
        <v>45809</v>
      </c>
      <c r="K1987" s="22">
        <v>45821</v>
      </c>
      <c r="L1987" s="42">
        <f>_xlfn.DAYS(Tabla1[[#This Row],[FECHA FIN ]],Tabla1[[#This Row],[FECHA INICIO]])</f>
        <v>12</v>
      </c>
      <c r="M1987" s="12"/>
      <c r="N1987" s="20"/>
      <c r="O1987" s="28">
        <f>(Tabla1[[#This Row],[COSTO FIJO ]]/30)*Tabla1[[#This Row],[TOTAL DIAS PROYECTO]]+(Tabla1[[#This Row],[COSTO TEMPORAL]])</f>
        <v>0</v>
      </c>
      <c r="P1987" s="12"/>
      <c r="Q1987" s="12">
        <f>+(Tabla1[[#This Row],[COSTO COCHE]]/30)*Tabla1[[#This Row],[TOTAL DIAS PROYECTO]]</f>
        <v>0</v>
      </c>
      <c r="R1987" s="12">
        <f>+Tabla1[[#This Row],[COSTO TOTAL ALOJAMIENTO]]+Tabla1[[#This Row],[COSTO TOTAL COCHE]]</f>
        <v>0</v>
      </c>
      <c r="S1987" s="2"/>
      <c r="T1987" s="2" t="s">
        <v>44</v>
      </c>
      <c r="U1987" s="14">
        <v>45809</v>
      </c>
      <c r="V1987" s="25">
        <v>45810</v>
      </c>
      <c r="W1987" s="26"/>
      <c r="X1987" s="2"/>
      <c r="Y1987" s="11" t="s">
        <v>1361</v>
      </c>
      <c r="Z1987" s="2" t="s">
        <v>36</v>
      </c>
      <c r="AA1987" s="13" t="s">
        <v>10416</v>
      </c>
      <c r="AB1987" s="13" t="s">
        <v>10417</v>
      </c>
    </row>
    <row r="1988" spans="1:28" ht="15" customHeight="1">
      <c r="A1988" s="2" t="s">
        <v>9131</v>
      </c>
      <c r="B1988" s="2" t="s">
        <v>28</v>
      </c>
      <c r="C1988" s="11" t="s">
        <v>2131</v>
      </c>
      <c r="D1988" s="2" t="s">
        <v>30</v>
      </c>
      <c r="E1988" s="2" t="s">
        <v>985</v>
      </c>
      <c r="F1988" s="11" t="s">
        <v>2132</v>
      </c>
      <c r="G1988" s="21" t="s">
        <v>2133</v>
      </c>
      <c r="H1988" s="2" t="s">
        <v>2134</v>
      </c>
      <c r="I1988" s="12" t="s">
        <v>249</v>
      </c>
      <c r="J1988" s="41">
        <f>+Tabla1[[#This Row],[FECHA ENTRADA]]</f>
        <v>45781</v>
      </c>
      <c r="K1988" s="22">
        <v>45821</v>
      </c>
      <c r="L1988" s="23">
        <f>_xlfn.DAYS(Tabla1[[#This Row],[FECHA FIN ]],Tabla1[[#This Row],[FECHA INICIO]])</f>
        <v>40</v>
      </c>
      <c r="M1988" s="12"/>
      <c r="N1988" s="12"/>
      <c r="O1988" s="24">
        <f>(Tabla1[[#This Row],[COSTO FIJO ]]/30)*Tabla1[[#This Row],[TOTAL DIAS PROYECTO]]+(Tabla1[[#This Row],[COSTO TEMPORAL]])</f>
        <v>0</v>
      </c>
      <c r="P1988" s="12">
        <v>70.588235294117652</v>
      </c>
      <c r="Q1988" s="12">
        <f>+(Tabla1[[#This Row],[COSTO COCHE]]/30)*Tabla1[[#This Row],[TOTAL DIAS PROYECTO]]</f>
        <v>94.117647058823536</v>
      </c>
      <c r="R1988" s="12">
        <f>+Tabla1[[#This Row],[COSTO TOTAL ALOJAMIENTO]]+Tabla1[[#This Row],[COSTO TOTAL COCHE]]</f>
        <v>94.117647058823536</v>
      </c>
      <c r="S1988" s="2"/>
      <c r="T1988" s="2" t="s">
        <v>528</v>
      </c>
      <c r="U1988" s="14">
        <v>45781</v>
      </c>
      <c r="V1988" s="25">
        <v>45812</v>
      </c>
      <c r="W1988" s="26"/>
      <c r="X1988" s="2"/>
      <c r="Y1988" s="11"/>
      <c r="Z1988" s="2" t="s">
        <v>36</v>
      </c>
      <c r="AA1988" s="13" t="s">
        <v>10407</v>
      </c>
      <c r="AB1988" s="13" t="s">
        <v>10408</v>
      </c>
    </row>
    <row r="1989" spans="1:28" ht="15" customHeight="1">
      <c r="A1989" s="2" t="s">
        <v>9453</v>
      </c>
      <c r="B1989" s="2" t="s">
        <v>711</v>
      </c>
      <c r="C1989" s="104" t="s">
        <v>3228</v>
      </c>
      <c r="D1989" s="2" t="s">
        <v>99</v>
      </c>
      <c r="E1989" s="2" t="s">
        <v>720</v>
      </c>
      <c r="F1989" s="11" t="s">
        <v>2436</v>
      </c>
      <c r="G1989" t="s">
        <v>2437</v>
      </c>
      <c r="H1989" s="2" t="s">
        <v>1874</v>
      </c>
      <c r="I1989" s="12" t="s">
        <v>506</v>
      </c>
      <c r="J1989" s="22">
        <f>+Tabla1[[#This Row],[FECHA ENTRADA]]</f>
        <v>45784</v>
      </c>
      <c r="K1989" s="22">
        <v>45821</v>
      </c>
      <c r="L1989" s="23">
        <f>_xlfn.DAYS(Tabla1[[#This Row],[FECHA FIN ]],Tabla1[[#This Row],[FECHA INICIO]])</f>
        <v>37</v>
      </c>
      <c r="M1989" s="12"/>
      <c r="N1989" s="12"/>
      <c r="O1989" s="24">
        <f>(Tabla1[[#This Row],[COSTO FIJO ]]/30)*Tabla1[[#This Row],[TOTAL DIAS PROYECTO]]+(Tabla1[[#This Row],[COSTO TEMPORAL]])</f>
        <v>0</v>
      </c>
      <c r="P1989" s="12">
        <f>613.47/3</f>
        <v>204.49</v>
      </c>
      <c r="Q1989" s="12">
        <f>+(Tabla1[[#This Row],[COSTO COCHE]]/30)*Tabla1[[#This Row],[TOTAL DIAS PROYECTO]]</f>
        <v>252.20433333333335</v>
      </c>
      <c r="R1989" s="12">
        <f>+Tabla1[[#This Row],[COSTO TOTAL ALOJAMIENTO]]+Tabla1[[#This Row],[COSTO TOTAL COCHE]]</f>
        <v>252.20433333333335</v>
      </c>
      <c r="S1989" s="2"/>
      <c r="T1989" s="2" t="s">
        <v>528</v>
      </c>
      <c r="U1989" s="14">
        <v>45784</v>
      </c>
      <c r="V1989" s="25">
        <v>45807</v>
      </c>
      <c r="W1989" s="2"/>
      <c r="X1989" s="2"/>
      <c r="Y1989" s="11" t="s">
        <v>2438</v>
      </c>
      <c r="Z1989" s="2" t="s">
        <v>36</v>
      </c>
      <c r="AA1989" s="13" t="s">
        <v>10394</v>
      </c>
      <c r="AB1989" s="13" t="s">
        <v>10395</v>
      </c>
    </row>
    <row r="1990" spans="1:28" ht="15" customHeight="1">
      <c r="A1990" s="2" t="s">
        <v>9068</v>
      </c>
      <c r="B1990" s="2" t="s">
        <v>28</v>
      </c>
      <c r="C1990" s="115" t="s">
        <v>1868</v>
      </c>
      <c r="D1990" s="2" t="s">
        <v>30</v>
      </c>
      <c r="E1990" s="2" t="s">
        <v>415</v>
      </c>
      <c r="F1990" s="11" t="s">
        <v>487</v>
      </c>
      <c r="G1990" s="11" t="s">
        <v>488</v>
      </c>
      <c r="H1990" s="2" t="s">
        <v>3525</v>
      </c>
      <c r="I1990" s="12" t="s">
        <v>800</v>
      </c>
      <c r="J1990" s="22">
        <f>+Tabla1[[#This Row],[FECHA ENTRADA]]</f>
        <v>45602</v>
      </c>
      <c r="K1990" s="22">
        <v>45622</v>
      </c>
      <c r="L1990" s="23">
        <f>_xlfn.DAYS(Tabla1[[#This Row],[FECHA FIN ]],Tabla1[[#This Row],[FECHA INICIO]])</f>
        <v>20</v>
      </c>
      <c r="M1990" s="12"/>
      <c r="N1990" s="24"/>
      <c r="O1990" s="24">
        <f>(Tabla1[[#This Row],[COSTO FIJO ]]/30)*Tabla1[[#This Row],[TOTAL DIAS PROYECTO]]+(Tabla1[[#This Row],[COSTO TEMPORAL]])</f>
        <v>0</v>
      </c>
      <c r="P1990" s="12"/>
      <c r="Q1990" s="12">
        <f>+(Tabla1[[#This Row],[COSTO COCHE]]/30)*Tabla1[[#This Row],[TOTAL DIAS PROYECTO]]</f>
        <v>0</v>
      </c>
      <c r="R1990" s="12">
        <f>+Tabla1[[#This Row],[COSTO TOTAL ALOJAMIENTO]]+Tabla1[[#This Row],[COSTO TOTAL COCHE]]</f>
        <v>0</v>
      </c>
      <c r="S1990" s="2"/>
      <c r="T1990" s="2" t="s">
        <v>35</v>
      </c>
      <c r="U1990" s="14">
        <v>45602</v>
      </c>
      <c r="V1990" s="79"/>
      <c r="W1990" s="26"/>
      <c r="X1990" s="2">
        <v>5</v>
      </c>
      <c r="Y1990" s="11"/>
      <c r="Z1990" s="2" t="s">
        <v>36</v>
      </c>
      <c r="AA1990" s="13">
        <v>-0.37739</v>
      </c>
      <c r="AB1990" s="13" t="s">
        <v>10372</v>
      </c>
    </row>
    <row r="1991" spans="1:28" ht="15" customHeight="1">
      <c r="A1991" s="2" t="s">
        <v>8638</v>
      </c>
      <c r="B1991" s="2" t="s">
        <v>28</v>
      </c>
      <c r="C1991" s="104" t="s">
        <v>2450</v>
      </c>
      <c r="D1991" s="2" t="s">
        <v>30</v>
      </c>
      <c r="E1991" s="2" t="s">
        <v>422</v>
      </c>
      <c r="F1991" s="11" t="s">
        <v>3528</v>
      </c>
      <c r="G1991" s="46" t="s">
        <v>3529</v>
      </c>
      <c r="H1991" s="2" t="s">
        <v>2453</v>
      </c>
      <c r="I1991" s="12" t="s">
        <v>2454</v>
      </c>
      <c r="J1991" s="41">
        <f>+Tabla1[[#This Row],[FECHA ENTRADA]]</f>
        <v>45797</v>
      </c>
      <c r="K1991" s="22">
        <v>45858</v>
      </c>
      <c r="L1991" s="23">
        <f>_xlfn.DAYS(Tabla1[[#This Row],[FECHA FIN ]],Tabla1[[#This Row],[FECHA INICIO]])</f>
        <v>61</v>
      </c>
      <c r="M1991" s="12"/>
      <c r="N1991" s="12"/>
      <c r="O1991" s="28">
        <f>(Tabla1[[#This Row],[COSTO FIJO ]]/30)*Tabla1[[#This Row],[TOTAL DIAS PROYECTO]]+(Tabla1[[#This Row],[COSTO TEMPORAL]])</f>
        <v>0</v>
      </c>
      <c r="P1991" s="12"/>
      <c r="Q1991" s="12">
        <f>+(Tabla1[[#This Row],[COSTO COCHE]]/30)*Tabla1[[#This Row],[TOTAL DIAS PROYECTO]]</f>
        <v>0</v>
      </c>
      <c r="R1991" s="12">
        <f>+Tabla1[[#This Row],[COSTO TOTAL ALOJAMIENTO]]+Tabla1[[#This Row],[COSTO TOTAL COCHE]]</f>
        <v>0</v>
      </c>
      <c r="S1991" s="2"/>
      <c r="T1991" s="14" t="s">
        <v>35</v>
      </c>
      <c r="U1991" s="14">
        <v>45797</v>
      </c>
      <c r="V1991" s="79">
        <v>45858</v>
      </c>
      <c r="W1991" s="2"/>
      <c r="X1991" s="2">
        <v>20</v>
      </c>
      <c r="Y1991" s="2"/>
      <c r="Z1991" s="2" t="s">
        <v>36</v>
      </c>
      <c r="AA1991" s="13">
        <v>-326.69799999999998</v>
      </c>
      <c r="AB1991" s="13" t="s">
        <v>10373</v>
      </c>
    </row>
    <row r="1992" spans="1:28" ht="15" customHeight="1">
      <c r="A1992" s="2" t="s">
        <v>9365</v>
      </c>
      <c r="B1992" s="2" t="s">
        <v>368</v>
      </c>
      <c r="C1992" s="104" t="s">
        <v>2942</v>
      </c>
      <c r="D1992" s="2" t="s">
        <v>30</v>
      </c>
      <c r="E1992" s="2" t="s">
        <v>213</v>
      </c>
      <c r="F1992" s="11" t="s">
        <v>1492</v>
      </c>
      <c r="G1992" s="30" t="s">
        <v>1493</v>
      </c>
      <c r="H1992" s="2" t="s">
        <v>1198</v>
      </c>
      <c r="I1992" s="12" t="s">
        <v>514</v>
      </c>
      <c r="J1992" s="41">
        <v>45631</v>
      </c>
      <c r="K1992" s="22">
        <v>45821</v>
      </c>
      <c r="L1992" s="42">
        <f>_xlfn.DAYS(Tabla1[[#This Row],[FECHA FIN ]],Tabla1[[#This Row],[FECHA INICIO]])</f>
        <v>190</v>
      </c>
      <c r="M1992" s="12"/>
      <c r="N1992" s="12">
        <f>1811.6/17</f>
        <v>106.56470588235294</v>
      </c>
      <c r="O1992" s="28">
        <f>(Tabla1[[#This Row],[COSTO FIJO ]]/30)*Tabla1[[#This Row],[TOTAL DIAS PROYECTO]]+(Tabla1[[#This Row],[COSTO TEMPORAL]])</f>
        <v>674.9098039215686</v>
      </c>
      <c r="P1992" s="12"/>
      <c r="Q1992" s="12">
        <f>+(Tabla1[[#This Row],[COSTO COCHE]]/30)*Tabla1[[#This Row],[TOTAL DIAS PROYECTO]]</f>
        <v>0</v>
      </c>
      <c r="R1992" s="12">
        <f>+Tabla1[[#This Row],[COSTO TOTAL ALOJAMIENTO]]+Tabla1[[#This Row],[COSTO TOTAL COCHE]]</f>
        <v>674.9098039215686</v>
      </c>
      <c r="S1992" s="2"/>
      <c r="T1992" s="2" t="s">
        <v>35</v>
      </c>
      <c r="U1992" s="14"/>
      <c r="V1992" s="43"/>
      <c r="W1992" s="26"/>
      <c r="X1992" s="2">
        <v>5</v>
      </c>
      <c r="Y1992" s="11"/>
      <c r="Z1992" s="2" t="s">
        <v>36</v>
      </c>
      <c r="AA1992" s="13" t="s">
        <v>10349</v>
      </c>
      <c r="AB1992" s="13" t="s">
        <v>10350</v>
      </c>
    </row>
    <row r="1993" spans="1:28" ht="15" customHeight="1">
      <c r="A1993" s="2" t="s">
        <v>9524</v>
      </c>
      <c r="B1993" s="2" t="s">
        <v>368</v>
      </c>
      <c r="C1993" s="11" t="s">
        <v>3530</v>
      </c>
      <c r="D1993" s="2" t="s">
        <v>30</v>
      </c>
      <c r="E1993" s="2" t="s">
        <v>415</v>
      </c>
      <c r="F1993" s="11" t="s">
        <v>487</v>
      </c>
      <c r="G1993" s="46" t="s">
        <v>488</v>
      </c>
      <c r="H1993" s="2" t="s">
        <v>3531</v>
      </c>
      <c r="I1993" s="12" t="s">
        <v>1447</v>
      </c>
      <c r="J1993" s="41">
        <f>+Tabla1[[#This Row],[FECHA ENTRADA]]</f>
        <v>45637</v>
      </c>
      <c r="K1993" s="22">
        <v>45821</v>
      </c>
      <c r="L1993" s="42">
        <f>_xlfn.DAYS(Tabla1[[#This Row],[FECHA FIN ]],Tabla1[[#This Row],[FECHA INICIO]])</f>
        <v>184</v>
      </c>
      <c r="M1993" s="12"/>
      <c r="N1993" s="12">
        <f>1811.6/17</f>
        <v>106.56470588235294</v>
      </c>
      <c r="O1993" s="28">
        <f>(Tabla1[[#This Row],[COSTO FIJO ]]/30)*Tabla1[[#This Row],[TOTAL DIAS PROYECTO]]+(Tabla1[[#This Row],[COSTO TEMPORAL]])</f>
        <v>653.59686274509806</v>
      </c>
      <c r="P1993" s="12"/>
      <c r="Q1993" s="12">
        <f>+(Tabla1[[#This Row],[COSTO COCHE]]/30)*Tabla1[[#This Row],[TOTAL DIAS PROYECTO]]</f>
        <v>0</v>
      </c>
      <c r="R1993" s="12">
        <f>+Tabla1[[#This Row],[COSTO TOTAL ALOJAMIENTO]]+Tabla1[[#This Row],[COSTO TOTAL COCHE]]</f>
        <v>653.59686274509806</v>
      </c>
      <c r="S1993" s="2"/>
      <c r="T1993" s="2" t="s">
        <v>35</v>
      </c>
      <c r="U1993" s="14">
        <v>45637</v>
      </c>
      <c r="V1993" s="43"/>
      <c r="W1993" s="26"/>
      <c r="X1993" s="2">
        <v>5</v>
      </c>
      <c r="Y1993" s="11"/>
      <c r="Z1993" s="2" t="s">
        <v>36</v>
      </c>
      <c r="AA1993" s="13">
        <v>-0.37739</v>
      </c>
      <c r="AB1993" s="13" t="s">
        <v>10372</v>
      </c>
    </row>
    <row r="1994" spans="1:28" ht="15" customHeight="1">
      <c r="A1994" s="2" t="s">
        <v>8827</v>
      </c>
      <c r="B1994" s="2" t="s">
        <v>368</v>
      </c>
      <c r="C1994" s="18" t="s">
        <v>922</v>
      </c>
      <c r="D1994" s="2" t="s">
        <v>30</v>
      </c>
      <c r="E1994" s="2" t="s">
        <v>415</v>
      </c>
      <c r="F1994" s="11" t="s">
        <v>487</v>
      </c>
      <c r="G1994" s="46" t="s">
        <v>488</v>
      </c>
      <c r="H1994" s="2" t="s">
        <v>3531</v>
      </c>
      <c r="I1994" s="12" t="s">
        <v>1447</v>
      </c>
      <c r="J1994" s="41">
        <f>+Tabla1[[#This Row],[FECHA ENTRADA]]</f>
        <v>45637</v>
      </c>
      <c r="K1994" s="22">
        <v>45821</v>
      </c>
      <c r="L1994" s="42">
        <f>_xlfn.DAYS(Tabla1[[#This Row],[FECHA FIN ]],Tabla1[[#This Row],[FECHA INICIO]])</f>
        <v>184</v>
      </c>
      <c r="M1994" s="12"/>
      <c r="N1994" s="24"/>
      <c r="O1994" s="28">
        <f>(Tabla1[[#This Row],[COSTO FIJO ]]/30)*Tabla1[[#This Row],[TOTAL DIAS PROYECTO]]+(Tabla1[[#This Row],[COSTO TEMPORAL]])</f>
        <v>0</v>
      </c>
      <c r="P1994" s="12"/>
      <c r="Q1994" s="12">
        <f>+(Tabla1[[#This Row],[COSTO COCHE]]/30)*Tabla1[[#This Row],[TOTAL DIAS PROYECTO]]</f>
        <v>0</v>
      </c>
      <c r="R1994" s="12">
        <f>+Tabla1[[#This Row],[COSTO TOTAL ALOJAMIENTO]]+Tabla1[[#This Row],[COSTO TOTAL COCHE]]</f>
        <v>0</v>
      </c>
      <c r="S1994" s="2"/>
      <c r="T1994" s="2" t="s">
        <v>35</v>
      </c>
      <c r="U1994" s="14">
        <v>45637</v>
      </c>
      <c r="V1994" s="43"/>
      <c r="W1994" s="26"/>
      <c r="X1994" s="2">
        <v>5</v>
      </c>
      <c r="Y1994" s="11"/>
      <c r="Z1994" s="2" t="s">
        <v>36</v>
      </c>
      <c r="AA1994" s="13">
        <v>-0.37739</v>
      </c>
      <c r="AB1994" s="13" t="s">
        <v>10372</v>
      </c>
    </row>
    <row r="1995" spans="1:28" ht="15" customHeight="1">
      <c r="A1995" s="2" t="s">
        <v>9525</v>
      </c>
      <c r="B1995" s="2" t="s">
        <v>28</v>
      </c>
      <c r="C1995" s="52" t="s">
        <v>3532</v>
      </c>
      <c r="D1995" s="2" t="s">
        <v>30</v>
      </c>
      <c r="E1995" s="2" t="s">
        <v>626</v>
      </c>
      <c r="F1995" s="11" t="s">
        <v>1041</v>
      </c>
      <c r="G1995" s="46" t="s">
        <v>628</v>
      </c>
      <c r="H1995" s="2" t="s">
        <v>1410</v>
      </c>
      <c r="I1995" s="12" t="s">
        <v>794</v>
      </c>
      <c r="J1995" s="41">
        <f>+Tabla1[[#This Row],[FECHA ENTRADA]]</f>
        <v>45671</v>
      </c>
      <c r="K1995" s="22">
        <v>45821</v>
      </c>
      <c r="L1995" s="42">
        <f>_xlfn.DAYS(Tabla1[[#This Row],[FECHA FIN ]],Tabla1[[#This Row],[FECHA INICIO]])</f>
        <v>150</v>
      </c>
      <c r="M1995" s="12"/>
      <c r="N1995" s="12">
        <f>1811.6/17</f>
        <v>106.56470588235294</v>
      </c>
      <c r="O1995" s="28">
        <f>(Tabla1[[#This Row],[COSTO FIJO ]]/30)*Tabla1[[#This Row],[TOTAL DIAS PROYECTO]]+(Tabla1[[#This Row],[COSTO TEMPORAL]])</f>
        <v>532.82352941176475</v>
      </c>
      <c r="P1995" s="12"/>
      <c r="Q1995" s="12">
        <f>+(Tabla1[[#This Row],[COSTO COCHE]]/30)*Tabla1[[#This Row],[TOTAL DIAS PROYECTO]]</f>
        <v>0</v>
      </c>
      <c r="R1995" s="12">
        <f>+Tabla1[[#This Row],[COSTO TOTAL ALOJAMIENTO]]+Tabla1[[#This Row],[COSTO TOTAL COCHE]]</f>
        <v>532.82352941176475</v>
      </c>
      <c r="S1995" s="2"/>
      <c r="T1995" s="2" t="s">
        <v>35</v>
      </c>
      <c r="U1995" s="14">
        <v>45671</v>
      </c>
      <c r="V1995" s="43"/>
      <c r="W1995" s="26"/>
      <c r="X1995" s="2">
        <v>5</v>
      </c>
      <c r="Y1995" s="11"/>
      <c r="Z1995" s="2" t="s">
        <v>36</v>
      </c>
      <c r="AA1995" s="13" t="s">
        <v>10385</v>
      </c>
      <c r="AB1995" s="13" t="s">
        <v>10386</v>
      </c>
    </row>
    <row r="1996" spans="1:28" ht="15" customHeight="1">
      <c r="A1996" s="2" t="s">
        <v>9480</v>
      </c>
      <c r="B1996" s="2" t="s">
        <v>28</v>
      </c>
      <c r="C1996" s="104" t="s">
        <v>3342</v>
      </c>
      <c r="D1996" s="2" t="s">
        <v>30</v>
      </c>
      <c r="E1996" s="2" t="s">
        <v>985</v>
      </c>
      <c r="F1996" s="11" t="s">
        <v>2516</v>
      </c>
      <c r="G1996" s="21" t="s">
        <v>2133</v>
      </c>
      <c r="H1996" s="2" t="s">
        <v>2134</v>
      </c>
      <c r="I1996" s="12" t="s">
        <v>249</v>
      </c>
      <c r="J1996" s="41">
        <f>+Tabla1[[#This Row],[FECHA ENTRADA]]</f>
        <v>45781</v>
      </c>
      <c r="K1996" s="22">
        <v>45821</v>
      </c>
      <c r="L1996" s="23">
        <f>_xlfn.DAYS(Tabla1[[#This Row],[FECHA FIN ]],Tabla1[[#This Row],[FECHA INICIO]])</f>
        <v>40</v>
      </c>
      <c r="M1996" s="12"/>
      <c r="N1996" s="12"/>
      <c r="O1996" s="24">
        <f>(Tabla1[[#This Row],[COSTO FIJO ]]/30)*Tabla1[[#This Row],[TOTAL DIAS PROYECTO]]+(Tabla1[[#This Row],[COSTO TEMPORAL]])</f>
        <v>0</v>
      </c>
      <c r="P1996" s="12">
        <v>70.588235294117652</v>
      </c>
      <c r="Q1996" s="12">
        <f>+(Tabla1[[#This Row],[COSTO COCHE]]/30)*Tabla1[[#This Row],[TOTAL DIAS PROYECTO]]</f>
        <v>94.117647058823536</v>
      </c>
      <c r="R1996" s="12">
        <f>+Tabla1[[#This Row],[COSTO TOTAL ALOJAMIENTO]]+Tabla1[[#This Row],[COSTO TOTAL COCHE]]</f>
        <v>94.117647058823536</v>
      </c>
      <c r="S1996" s="2"/>
      <c r="T1996" s="2" t="s">
        <v>528</v>
      </c>
      <c r="U1996" s="14">
        <v>45781</v>
      </c>
      <c r="V1996" s="25">
        <v>45812</v>
      </c>
      <c r="W1996" s="26">
        <v>600</v>
      </c>
      <c r="X1996" s="2"/>
      <c r="Y1996" s="11"/>
      <c r="Z1996" s="2" t="s">
        <v>36</v>
      </c>
      <c r="AA1996" s="13" t="s">
        <v>10407</v>
      </c>
      <c r="AB1996" s="13" t="s">
        <v>10408</v>
      </c>
    </row>
    <row r="1997" spans="1:28">
      <c r="A1997" s="2" t="s">
        <v>9167</v>
      </c>
      <c r="B1997" s="30" t="s">
        <v>368</v>
      </c>
      <c r="C1997" s="115" t="s">
        <v>2292</v>
      </c>
      <c r="D1997" s="2" t="s">
        <v>30</v>
      </c>
      <c r="E1997" s="2" t="s">
        <v>3533</v>
      </c>
      <c r="F1997" s="11" t="s">
        <v>3534</v>
      </c>
      <c r="G1997" s="30" t="s">
        <v>3535</v>
      </c>
      <c r="H1997" s="2" t="s">
        <v>3536</v>
      </c>
      <c r="I1997" s="12" t="s">
        <v>3537</v>
      </c>
      <c r="J1997" s="8">
        <f>+Tabla1[[#This Row],[FECHA ENTRADA]]</f>
        <v>45515</v>
      </c>
      <c r="K1997" s="22">
        <v>45565</v>
      </c>
      <c r="L1997" s="13">
        <f>_xlfn.DAYS(Tabla1[[#This Row],[FECHA FIN ]],Tabla1[[#This Row],[FECHA INICIO]])</f>
        <v>50</v>
      </c>
      <c r="M1997" s="12"/>
      <c r="N1997" s="12">
        <v>350</v>
      </c>
      <c r="O1997" s="12">
        <f>(Tabla1[[#This Row],[COSTO FIJO ]]/30)*Tabla1[[#This Row],[TOTAL DIAS PROYECTO]]+(Tabla1[[#This Row],[COSTO TEMPORAL]])</f>
        <v>583.33333333333326</v>
      </c>
      <c r="P1997" s="12"/>
      <c r="Q1997" s="12">
        <f>+(Tabla1[[#This Row],[COSTO COCHE]]/30)*Tabla1[[#This Row],[TOTAL DIAS PROYECTO]]</f>
        <v>0</v>
      </c>
      <c r="R1997" s="12">
        <f>+Tabla1[[#This Row],[COSTO TOTAL ALOJAMIENTO]]+Tabla1[[#This Row],[COSTO TOTAL COCHE]]</f>
        <v>583.33333333333326</v>
      </c>
      <c r="S1997" s="2"/>
      <c r="T1997" s="2" t="s">
        <v>35</v>
      </c>
      <c r="U1997" s="14">
        <v>45515</v>
      </c>
      <c r="V1997" s="14"/>
      <c r="W1997" s="26"/>
      <c r="X1997" s="2">
        <v>5</v>
      </c>
      <c r="Y1997" s="11" t="s">
        <v>3534</v>
      </c>
      <c r="Z1997" s="2" t="s">
        <v>36</v>
      </c>
      <c r="AA1997" s="13">
        <v>-164692</v>
      </c>
      <c r="AB1997" s="13">
        <v>4266807</v>
      </c>
    </row>
    <row r="1998" spans="1:28">
      <c r="A1998" s="2" t="s">
        <v>8804</v>
      </c>
      <c r="B1998" s="2" t="s">
        <v>28</v>
      </c>
      <c r="C1998" s="18" t="s">
        <v>838</v>
      </c>
      <c r="D1998" s="2" t="s">
        <v>30</v>
      </c>
      <c r="E1998" s="2" t="s">
        <v>380</v>
      </c>
      <c r="F1998" s="11" t="s">
        <v>383</v>
      </c>
      <c r="G1998" t="s">
        <v>381</v>
      </c>
      <c r="H1998" s="2" t="s">
        <v>3538</v>
      </c>
      <c r="I1998" s="12" t="s">
        <v>382</v>
      </c>
      <c r="J1998" s="22">
        <v>45572</v>
      </c>
      <c r="K1998" s="8"/>
      <c r="L1998" s="23">
        <f>_xlfn.DAYS(Tabla1[[#This Row],[FECHA FIN ]],Tabla1[[#This Row],[FECHA INICIO]])</f>
        <v>-45572</v>
      </c>
      <c r="M1998" s="12"/>
      <c r="N1998" s="12">
        <v>300</v>
      </c>
      <c r="O1998" s="24">
        <f>(Tabla1[[#This Row],[COSTO FIJO ]]/30)*Tabla1[[#This Row],[TOTAL DIAS PROYECTO]]+(Tabla1[[#This Row],[COSTO TEMPORAL]])</f>
        <v>-455720</v>
      </c>
      <c r="P1998" s="12"/>
      <c r="Q1998" s="12">
        <f>+(Tabla1[[#This Row],[COSTO COCHE]]/30)*Tabla1[[#This Row],[TOTAL DIAS PROYECTO]]</f>
        <v>0</v>
      </c>
      <c r="R1998" s="12">
        <f>+Tabla1[[#This Row],[COSTO TOTAL ALOJAMIENTO]]+Tabla1[[#This Row],[COSTO TOTAL COCHE]]</f>
        <v>-455720</v>
      </c>
      <c r="S1998" s="2"/>
      <c r="T1998" s="2" t="s">
        <v>35</v>
      </c>
      <c r="U1998" s="14">
        <v>45572</v>
      </c>
      <c r="V1998" s="79"/>
      <c r="W1998" s="26"/>
      <c r="X1998" s="16">
        <v>5</v>
      </c>
      <c r="Y1998" s="11"/>
      <c r="Z1998" s="2" t="s">
        <v>36</v>
      </c>
      <c r="AA1998" s="13" t="s">
        <v>10370</v>
      </c>
      <c r="AB1998" s="13" t="s">
        <v>10371</v>
      </c>
    </row>
    <row r="1999" spans="1:28" ht="15" customHeight="1">
      <c r="A1999" s="2" t="s">
        <v>8638</v>
      </c>
      <c r="B1999" s="2" t="s">
        <v>28</v>
      </c>
      <c r="C1999" s="11" t="s">
        <v>2534</v>
      </c>
      <c r="D1999" s="2" t="s">
        <v>30</v>
      </c>
      <c r="E1999" s="2" t="s">
        <v>422</v>
      </c>
      <c r="F1999" s="11" t="s">
        <v>3528</v>
      </c>
      <c r="G1999" s="46" t="s">
        <v>3529</v>
      </c>
      <c r="H1999" s="2" t="s">
        <v>2453</v>
      </c>
      <c r="I1999" s="12" t="s">
        <v>2454</v>
      </c>
      <c r="J1999" s="41">
        <f>+Tabla1[[#This Row],[FECHA ENTRADA]]</f>
        <v>45797</v>
      </c>
      <c r="K1999" s="22">
        <v>45858</v>
      </c>
      <c r="L1999" s="23">
        <f>_xlfn.DAYS(Tabla1[[#This Row],[FECHA FIN ]],Tabla1[[#This Row],[FECHA INICIO]])</f>
        <v>61</v>
      </c>
      <c r="M1999" s="12"/>
      <c r="N1999" s="12"/>
      <c r="O1999" s="28">
        <f>(Tabla1[[#This Row],[COSTO FIJO ]]/30)*Tabla1[[#This Row],[TOTAL DIAS PROYECTO]]+(Tabla1[[#This Row],[COSTO TEMPORAL]])</f>
        <v>0</v>
      </c>
      <c r="P1999" s="12"/>
      <c r="Q1999" s="12">
        <f>+(Tabla1[[#This Row],[COSTO COCHE]]/30)*Tabla1[[#This Row],[TOTAL DIAS PROYECTO]]</f>
        <v>0</v>
      </c>
      <c r="R1999" s="12">
        <f>+Tabla1[[#This Row],[COSTO TOTAL ALOJAMIENTO]]+Tabla1[[#This Row],[COSTO TOTAL COCHE]]</f>
        <v>0</v>
      </c>
      <c r="S1999" s="2"/>
      <c r="T1999" s="14" t="s">
        <v>35</v>
      </c>
      <c r="U1999" s="14">
        <v>45797</v>
      </c>
      <c r="V1999" s="79">
        <v>45858</v>
      </c>
      <c r="W1999" s="2"/>
      <c r="X1999" s="2">
        <v>20</v>
      </c>
      <c r="Y1999" s="2"/>
      <c r="Z1999" s="2" t="s">
        <v>36</v>
      </c>
      <c r="AA1999" s="13">
        <v>-326.69799999999998</v>
      </c>
      <c r="AB1999" s="13" t="s">
        <v>10373</v>
      </c>
    </row>
    <row r="2000" spans="1:28" ht="15" customHeight="1">
      <c r="A2000" s="2" t="s">
        <v>9235</v>
      </c>
      <c r="B2000" s="2" t="s">
        <v>28</v>
      </c>
      <c r="C2000" s="11" t="s">
        <v>2535</v>
      </c>
      <c r="D2000" s="2" t="s">
        <v>30</v>
      </c>
      <c r="E2000" s="2" t="s">
        <v>422</v>
      </c>
      <c r="F2000" s="11" t="s">
        <v>3528</v>
      </c>
      <c r="G2000" s="46" t="s">
        <v>3529</v>
      </c>
      <c r="H2000" s="2" t="s">
        <v>2453</v>
      </c>
      <c r="I2000" s="12" t="s">
        <v>2454</v>
      </c>
      <c r="J2000" s="41">
        <f>+Tabla1[[#This Row],[FECHA ENTRADA]]</f>
        <v>45797</v>
      </c>
      <c r="K2000" s="22">
        <v>45858</v>
      </c>
      <c r="L2000" s="23">
        <f>_xlfn.DAYS(Tabla1[[#This Row],[FECHA FIN ]],Tabla1[[#This Row],[FECHA INICIO]])</f>
        <v>61</v>
      </c>
      <c r="M2000" s="12"/>
      <c r="N2000" s="12"/>
      <c r="O2000" s="28">
        <f>(Tabla1[[#This Row],[COSTO FIJO ]]/30)*Tabla1[[#This Row],[TOTAL DIAS PROYECTO]]+(Tabla1[[#This Row],[COSTO TEMPORAL]])</f>
        <v>0</v>
      </c>
      <c r="P2000" s="12"/>
      <c r="Q2000" s="12">
        <f>+(Tabla1[[#This Row],[COSTO COCHE]]/30)*Tabla1[[#This Row],[TOTAL DIAS PROYECTO]]</f>
        <v>0</v>
      </c>
      <c r="R2000" s="12">
        <f>+Tabla1[[#This Row],[COSTO TOTAL ALOJAMIENTO]]+Tabla1[[#This Row],[COSTO TOTAL COCHE]]</f>
        <v>0</v>
      </c>
      <c r="S2000" s="2"/>
      <c r="T2000" s="14" t="s">
        <v>35</v>
      </c>
      <c r="U2000" s="14">
        <v>45797</v>
      </c>
      <c r="V2000" s="79">
        <v>45858</v>
      </c>
      <c r="W2000" s="2"/>
      <c r="X2000" s="2">
        <v>20</v>
      </c>
      <c r="Y2000" s="2"/>
      <c r="Z2000" s="2" t="s">
        <v>36</v>
      </c>
      <c r="AA2000" s="13">
        <v>-326.69799999999998</v>
      </c>
      <c r="AB2000" s="13" t="s">
        <v>10373</v>
      </c>
    </row>
    <row r="2001" spans="1:28" ht="15" customHeight="1">
      <c r="A2001" s="2" t="s">
        <v>9526</v>
      </c>
      <c r="B2001" s="2" t="s">
        <v>368</v>
      </c>
      <c r="C2001" s="11" t="s">
        <v>3539</v>
      </c>
      <c r="D2001" s="2" t="s">
        <v>99</v>
      </c>
      <c r="E2001" s="2" t="s">
        <v>422</v>
      </c>
      <c r="F2001" s="11" t="s">
        <v>1983</v>
      </c>
      <c r="G2001" s="11" t="s">
        <v>2067</v>
      </c>
      <c r="H2001" s="2" t="s">
        <v>3540</v>
      </c>
      <c r="I2001" s="12" t="s">
        <v>1435</v>
      </c>
      <c r="J2001" s="22">
        <f>+Tabla1[[#This Row],[FECHA ENTRADA]]</f>
        <v>45799</v>
      </c>
      <c r="K2001" s="8">
        <f>+Tabla1[[#This Row],[FECHA SALIDA]]</f>
        <v>45805</v>
      </c>
      <c r="L2001" s="23">
        <f>_xlfn.DAYS(Tabla1[[#This Row],[FECHA FIN ]],Tabla1[[#This Row],[FECHA INICIO]])</f>
        <v>6</v>
      </c>
      <c r="M2001" s="12"/>
      <c r="N2001" s="12"/>
      <c r="O2001" s="24">
        <f>(Tabla1[[#This Row],[COSTO FIJO ]]/30)*Tabla1[[#This Row],[TOTAL DIAS PROYECTO]]+(Tabla1[[#This Row],[COSTO TEMPORAL]])</f>
        <v>0</v>
      </c>
      <c r="P2001" s="12"/>
      <c r="Q2001" s="12">
        <f>+(Tabla1[[#This Row],[COSTO COCHE]]/30)*Tabla1[[#This Row],[TOTAL DIAS PROYECTO]]</f>
        <v>0</v>
      </c>
      <c r="R2001" s="12">
        <f>+Tabla1[[#This Row],[COSTO TOTAL ALOJAMIENTO]]+Tabla1[[#This Row],[COSTO TOTAL COCHE]]</f>
        <v>0</v>
      </c>
      <c r="S2001" s="2"/>
      <c r="T2001" s="14" t="s">
        <v>44</v>
      </c>
      <c r="U2001" s="14">
        <v>45799</v>
      </c>
      <c r="V2001" s="79">
        <v>45805</v>
      </c>
      <c r="W2001" s="2"/>
      <c r="X2001" s="2"/>
      <c r="Y2001" s="11"/>
      <c r="Z2001" s="2" t="s">
        <v>36</v>
      </c>
      <c r="AA2001" s="13">
        <v>-326.69799999999998</v>
      </c>
      <c r="AB2001" s="13" t="s">
        <v>10373</v>
      </c>
    </row>
    <row r="2002" spans="1:28" ht="15" customHeight="1">
      <c r="A2002" s="2" t="s">
        <v>9527</v>
      </c>
      <c r="B2002" s="2" t="s">
        <v>28</v>
      </c>
      <c r="C2002" s="104" t="s">
        <v>3541</v>
      </c>
      <c r="D2002" s="2" t="s">
        <v>99</v>
      </c>
      <c r="E2002" s="2" t="s">
        <v>245</v>
      </c>
      <c r="F2002" s="11" t="s">
        <v>2209</v>
      </c>
      <c r="G2002" s="49" t="s">
        <v>2210</v>
      </c>
      <c r="H2002" s="2" t="s">
        <v>3444</v>
      </c>
      <c r="I2002" s="12" t="s">
        <v>249</v>
      </c>
      <c r="J2002" s="41">
        <f>+Tabla1[[#This Row],[FECHA ENTRADA]]</f>
        <v>45774</v>
      </c>
      <c r="K2002" s="22">
        <v>45821</v>
      </c>
      <c r="L2002" s="23">
        <f>_xlfn.DAYS(Tabla1[[#This Row],[FECHA FIN ]],Tabla1[[#This Row],[FECHA INICIO]])</f>
        <v>47</v>
      </c>
      <c r="M2002" s="12"/>
      <c r="N2002" s="12">
        <f>238.29/4</f>
        <v>59.572499999999998</v>
      </c>
      <c r="O2002" s="24">
        <f>(Tabla1[[#This Row],[COSTO FIJO ]]/30)*Tabla1[[#This Row],[TOTAL DIAS PROYECTO]]+(Tabla1[[#This Row],[COSTO TEMPORAL]])</f>
        <v>93.330249999999992</v>
      </c>
      <c r="P2002" s="12"/>
      <c r="Q2002" s="12">
        <f>+(Tabla1[[#This Row],[COSTO COCHE]]/30)*Tabla1[[#This Row],[TOTAL DIAS PROYECTO]]</f>
        <v>0</v>
      </c>
      <c r="R2002" s="12">
        <f>+Tabla1[[#This Row],[COSTO TOTAL ALOJAMIENTO]]+Tabla1[[#This Row],[COSTO TOTAL COCHE]]</f>
        <v>93.330249999999992</v>
      </c>
      <c r="S2002" s="2" t="s">
        <v>84</v>
      </c>
      <c r="T2002" s="2" t="s">
        <v>44</v>
      </c>
      <c r="U2002" s="14">
        <v>45774</v>
      </c>
      <c r="V2002" s="25">
        <v>45778</v>
      </c>
      <c r="W2002" s="26"/>
      <c r="X2002" s="2"/>
      <c r="Y2002" s="160" t="s">
        <v>3542</v>
      </c>
      <c r="Z2002" s="2" t="s">
        <v>36</v>
      </c>
      <c r="AA2002" s="13" t="s">
        <v>10355</v>
      </c>
      <c r="AB2002" s="13" t="s">
        <v>10356</v>
      </c>
    </row>
    <row r="2003" spans="1:28" ht="15" customHeight="1">
      <c r="A2003" s="2" t="s">
        <v>9099</v>
      </c>
      <c r="B2003" s="10" t="s">
        <v>711</v>
      </c>
      <c r="C2003" s="97" t="s">
        <v>2022</v>
      </c>
      <c r="D2003" s="2" t="s">
        <v>99</v>
      </c>
      <c r="E2003" s="2" t="s">
        <v>151</v>
      </c>
      <c r="F2003" s="11" t="s">
        <v>1499</v>
      </c>
      <c r="G2003" s="49" t="s">
        <v>1500</v>
      </c>
      <c r="H2003" s="2" t="s">
        <v>2086</v>
      </c>
      <c r="I2003" s="12" t="s">
        <v>1994</v>
      </c>
      <c r="J2003" s="22">
        <f>+Tabla1[[#This Row],[FECHA ENTRADA]]</f>
        <v>45761</v>
      </c>
      <c r="K2003" s="22">
        <v>45821</v>
      </c>
      <c r="L2003" s="23">
        <f>_xlfn.DAYS(Tabla1[[#This Row],[FECHA FIN ]],Tabla1[[#This Row],[FECHA INICIO]])</f>
        <v>60</v>
      </c>
      <c r="M2003" s="12"/>
      <c r="N2003" s="12">
        <f>1811.6/17</f>
        <v>106.56470588235294</v>
      </c>
      <c r="O2003" s="24">
        <f>(Tabla1[[#This Row],[COSTO FIJO ]]/30)*Tabla1[[#This Row],[TOTAL DIAS PROYECTO]]+(Tabla1[[#This Row],[COSTO TEMPORAL]])</f>
        <v>213.12941176470588</v>
      </c>
      <c r="P2003" s="12"/>
      <c r="Q2003" s="12">
        <f>+(Tabla1[[#This Row],[COSTO COCHE]]/30)*Tabla1[[#This Row],[TOTAL DIAS PROYECTO]]</f>
        <v>0</v>
      </c>
      <c r="R2003" s="12">
        <f>+Tabla1[[#This Row],[COSTO TOTAL ALOJAMIENTO]]+Tabla1[[#This Row],[COSTO TOTAL COCHE]]</f>
        <v>213.12941176470588</v>
      </c>
      <c r="S2003" s="2"/>
      <c r="T2003" s="2" t="s">
        <v>35</v>
      </c>
      <c r="U2003" s="14">
        <v>45761</v>
      </c>
      <c r="V2003" s="25"/>
      <c r="W2003" s="26"/>
      <c r="X2003" s="2">
        <v>5</v>
      </c>
      <c r="Y2003" s="152" t="s">
        <v>2087</v>
      </c>
      <c r="Z2003" s="2" t="s">
        <v>36</v>
      </c>
      <c r="AA2003" s="13" t="s">
        <v>10345</v>
      </c>
      <c r="AB2003" s="13" t="s">
        <v>10346</v>
      </c>
    </row>
    <row r="2004" spans="1:28" ht="15" customHeight="1">
      <c r="A2004" s="2" t="s">
        <v>9186</v>
      </c>
      <c r="B2004" s="2" t="s">
        <v>368</v>
      </c>
      <c r="C2004" s="11" t="s">
        <v>2361</v>
      </c>
      <c r="D2004" s="2" t="s">
        <v>30</v>
      </c>
      <c r="E2004" s="2" t="s">
        <v>31</v>
      </c>
      <c r="F2004" s="11" t="s">
        <v>3543</v>
      </c>
      <c r="G2004" s="49" t="s">
        <v>3544</v>
      </c>
      <c r="H2004" s="2" t="s">
        <v>3363</v>
      </c>
      <c r="I2004" s="10" t="s">
        <v>3364</v>
      </c>
      <c r="J2004" s="22">
        <f>+Tabla1[[#This Row],[FECHA ENTRADA]]</f>
        <v>45804</v>
      </c>
      <c r="K2004" s="22">
        <v>45821</v>
      </c>
      <c r="L2004" s="23">
        <f>_xlfn.DAYS(Tabla1[[#This Row],[FECHA FIN ]],Tabla1[[#This Row],[FECHA INICIO]])</f>
        <v>17</v>
      </c>
      <c r="M2004" s="12"/>
      <c r="N2004" s="12">
        <v>264</v>
      </c>
      <c r="O2004" s="24">
        <f>(Tabla1[[#This Row],[COSTO FIJO ]]/30)*Tabla1[[#This Row],[TOTAL DIAS PROYECTO]]+(Tabla1[[#This Row],[COSTO TEMPORAL]])</f>
        <v>149.60000000000002</v>
      </c>
      <c r="P2004" s="12"/>
      <c r="Q2004" s="12">
        <f>+(Tabla1[[#This Row],[COSTO COCHE]]/30)*Tabla1[[#This Row],[TOTAL DIAS PROYECTO]]</f>
        <v>0</v>
      </c>
      <c r="R2004" s="12">
        <f>+Tabla1[[#This Row],[COSTO TOTAL ALOJAMIENTO]]+Tabla1[[#This Row],[COSTO TOTAL COCHE]]</f>
        <v>149.60000000000002</v>
      </c>
      <c r="S2004" s="2"/>
      <c r="T2004" s="2" t="s">
        <v>44</v>
      </c>
      <c r="U2004" s="14">
        <v>45804</v>
      </c>
      <c r="V2004" s="25">
        <v>45812</v>
      </c>
      <c r="W2004" s="26"/>
      <c r="X2004" s="2"/>
      <c r="Y2004" s="11"/>
      <c r="Z2004" s="2" t="s">
        <v>36</v>
      </c>
      <c r="AA2004" s="13" t="s">
        <v>10323</v>
      </c>
      <c r="AB2004" s="13" t="s">
        <v>10324</v>
      </c>
    </row>
    <row r="2005" spans="1:28" ht="15" customHeight="1">
      <c r="A2005" s="2" t="s">
        <v>9099</v>
      </c>
      <c r="B2005" s="2" t="s">
        <v>368</v>
      </c>
      <c r="C2005" s="181" t="s">
        <v>2022</v>
      </c>
      <c r="D2005" s="2" t="s">
        <v>99</v>
      </c>
      <c r="E2005" s="2" t="s">
        <v>151</v>
      </c>
      <c r="F2005" s="11" t="s">
        <v>1499</v>
      </c>
      <c r="G2005" s="49" t="s">
        <v>1500</v>
      </c>
      <c r="H2005" s="2" t="s">
        <v>2005</v>
      </c>
      <c r="I2005" s="10" t="s">
        <v>1994</v>
      </c>
      <c r="J2005" s="22">
        <f>+Tabla1[[#This Row],[FECHA ENTRADA]]</f>
        <v>45741</v>
      </c>
      <c r="K2005" s="22">
        <v>45821</v>
      </c>
      <c r="L2005" s="23">
        <f>_xlfn.DAYS(Tabla1[[#This Row],[FECHA FIN ]],Tabla1[[#This Row],[FECHA INICIO]])</f>
        <v>80</v>
      </c>
      <c r="M2005" s="12"/>
      <c r="N2005" s="12"/>
      <c r="O2005" s="24">
        <f>(Tabla1[[#This Row],[COSTO FIJO ]]/30)*Tabla1[[#This Row],[TOTAL DIAS PROYECTO]]+(Tabla1[[#This Row],[COSTO TEMPORAL]])</f>
        <v>0</v>
      </c>
      <c r="P2005" s="12">
        <f>613.47/4</f>
        <v>153.36750000000001</v>
      </c>
      <c r="Q2005" s="12">
        <f>+(Tabla1[[#This Row],[COSTO COCHE]]/30)*Tabla1[[#This Row],[TOTAL DIAS PROYECTO]]</f>
        <v>408.98</v>
      </c>
      <c r="R2005" s="12">
        <f>+Tabla1[[#This Row],[COSTO TOTAL ALOJAMIENTO]]+Tabla1[[#This Row],[COSTO TOTAL COCHE]]</f>
        <v>408.98</v>
      </c>
      <c r="S2005" s="2"/>
      <c r="T2005" s="2" t="s">
        <v>35</v>
      </c>
      <c r="U2005" s="14">
        <v>45741</v>
      </c>
      <c r="V2005" s="25"/>
      <c r="W2005" s="26"/>
      <c r="X2005" s="2">
        <v>5</v>
      </c>
      <c r="Y2005" s="11" t="s">
        <v>1995</v>
      </c>
      <c r="Z2005" s="2" t="s">
        <v>36</v>
      </c>
      <c r="AA2005" s="13" t="s">
        <v>10345</v>
      </c>
      <c r="AB2005" s="13" t="s">
        <v>10346</v>
      </c>
    </row>
    <row r="2006" spans="1:28" ht="15" customHeight="1">
      <c r="A2006" s="2" t="s">
        <v>9528</v>
      </c>
      <c r="B2006" s="2" t="s">
        <v>28</v>
      </c>
      <c r="C2006" s="86" t="s">
        <v>3545</v>
      </c>
      <c r="D2006" s="2" t="s">
        <v>30</v>
      </c>
      <c r="E2006" s="2" t="s">
        <v>151</v>
      </c>
      <c r="F2006" s="11" t="s">
        <v>1499</v>
      </c>
      <c r="G2006" s="46" t="s">
        <v>1500</v>
      </c>
      <c r="H2006" s="2" t="s">
        <v>3546</v>
      </c>
      <c r="I2006" s="12" t="s">
        <v>152</v>
      </c>
      <c r="J2006" s="41">
        <f>+Tabla1[[#This Row],[FECHA ENTRADA]]</f>
        <v>45564</v>
      </c>
      <c r="K2006" s="22">
        <v>45821</v>
      </c>
      <c r="L2006" s="42">
        <f>_xlfn.DAYS(Tabla1[[#This Row],[FECHA FIN ]],Tabla1[[#This Row],[FECHA INICIO]])</f>
        <v>257</v>
      </c>
      <c r="M2006" s="12"/>
      <c r="N2006" s="12">
        <f>1811.6/17</f>
        <v>106.56470588235294</v>
      </c>
      <c r="O2006" s="28">
        <f>(Tabla1[[#This Row],[COSTO FIJO ]]/30)*Tabla1[[#This Row],[TOTAL DIAS PROYECTO]]+(Tabla1[[#This Row],[COSTO TEMPORAL]])</f>
        <v>912.90431372549017</v>
      </c>
      <c r="P2006" s="12">
        <f>3067.87/22</f>
        <v>139.44863636363635</v>
      </c>
      <c r="Q2006" s="12">
        <f>+(Tabla1[[#This Row],[COSTO COCHE]]/30)*Tabla1[[#This Row],[TOTAL DIAS PROYECTO]]</f>
        <v>1194.6099848484848</v>
      </c>
      <c r="R2006" s="12">
        <f>+Tabla1[[#This Row],[COSTO TOTAL ALOJAMIENTO]]+Tabla1[[#This Row],[COSTO TOTAL COCHE]]</f>
        <v>2107.5142985739749</v>
      </c>
      <c r="S2006" s="2"/>
      <c r="T2006" s="2" t="s">
        <v>35</v>
      </c>
      <c r="U2006" s="14">
        <v>45564</v>
      </c>
      <c r="V2006" s="75"/>
      <c r="W2006" s="26">
        <v>350</v>
      </c>
      <c r="X2006" s="2">
        <v>5</v>
      </c>
      <c r="Y2006" s="11" t="s">
        <v>3547</v>
      </c>
      <c r="Z2006" s="2" t="s">
        <v>36</v>
      </c>
      <c r="AA2006" s="13" t="s">
        <v>10345</v>
      </c>
      <c r="AB2006" s="13" t="s">
        <v>10346</v>
      </c>
    </row>
    <row r="2007" spans="1:28" ht="15" customHeight="1">
      <c r="A2007" s="2" t="s">
        <v>9489</v>
      </c>
      <c r="B2007" s="2" t="s">
        <v>368</v>
      </c>
      <c r="C2007" s="11" t="s">
        <v>3366</v>
      </c>
      <c r="D2007" s="2" t="s">
        <v>30</v>
      </c>
      <c r="E2007" s="2" t="s">
        <v>31</v>
      </c>
      <c r="F2007" s="11" t="s">
        <v>3543</v>
      </c>
      <c r="G2007" s="49" t="s">
        <v>3544</v>
      </c>
      <c r="H2007" s="2" t="s">
        <v>3363</v>
      </c>
      <c r="I2007" s="10" t="s">
        <v>3364</v>
      </c>
      <c r="J2007" s="22">
        <f>+Tabla1[[#This Row],[FECHA ENTRADA]]</f>
        <v>45804</v>
      </c>
      <c r="K2007" s="22">
        <v>45821</v>
      </c>
      <c r="L2007" s="23">
        <f>_xlfn.DAYS(Tabla1[[#This Row],[FECHA FIN ]],Tabla1[[#This Row],[FECHA INICIO]])</f>
        <v>17</v>
      </c>
      <c r="M2007" s="12"/>
      <c r="N2007" s="12">
        <v>264</v>
      </c>
      <c r="O2007" s="24">
        <f>(Tabla1[[#This Row],[COSTO FIJO ]]/30)*Tabla1[[#This Row],[TOTAL DIAS PROYECTO]]+(Tabla1[[#This Row],[COSTO TEMPORAL]])</f>
        <v>149.60000000000002</v>
      </c>
      <c r="P2007" s="12"/>
      <c r="Q2007" s="12">
        <f>+(Tabla1[[#This Row],[COSTO COCHE]]/30)*Tabla1[[#This Row],[TOTAL DIAS PROYECTO]]</f>
        <v>0</v>
      </c>
      <c r="R2007" s="12">
        <f>+Tabla1[[#This Row],[COSTO TOTAL ALOJAMIENTO]]+Tabla1[[#This Row],[COSTO TOTAL COCHE]]</f>
        <v>149.60000000000002</v>
      </c>
      <c r="S2007" s="2"/>
      <c r="T2007" s="2" t="s">
        <v>44</v>
      </c>
      <c r="U2007" s="14">
        <v>45804</v>
      </c>
      <c r="V2007" s="25">
        <v>45812</v>
      </c>
      <c r="W2007" s="26"/>
      <c r="X2007" s="2"/>
      <c r="Y2007" s="11"/>
      <c r="Z2007" s="2" t="s">
        <v>36</v>
      </c>
      <c r="AA2007" s="13" t="s">
        <v>10323</v>
      </c>
      <c r="AB2007" s="13" t="s">
        <v>10324</v>
      </c>
    </row>
    <row r="2008" spans="1:28" ht="15" customHeight="1">
      <c r="A2008" s="2" t="s">
        <v>8642</v>
      </c>
      <c r="B2008" s="2" t="s">
        <v>368</v>
      </c>
      <c r="C2008" s="11" t="s">
        <v>3548</v>
      </c>
      <c r="D2008" s="2" t="s">
        <v>99</v>
      </c>
      <c r="E2008" s="2" t="s">
        <v>422</v>
      </c>
      <c r="F2008" s="11" t="s">
        <v>1983</v>
      </c>
      <c r="G2008" s="11" t="s">
        <v>2067</v>
      </c>
      <c r="H2008" s="2" t="s">
        <v>3540</v>
      </c>
      <c r="I2008" s="12" t="s">
        <v>1435</v>
      </c>
      <c r="J2008" s="22">
        <f>+Tabla1[[#This Row],[FECHA ENTRADA]]</f>
        <v>45799</v>
      </c>
      <c r="K2008" s="8">
        <f>+Tabla1[[#This Row],[FECHA SALIDA]]</f>
        <v>45805</v>
      </c>
      <c r="L2008" s="23">
        <f>_xlfn.DAYS(Tabla1[[#This Row],[FECHA FIN ]],Tabla1[[#This Row],[FECHA INICIO]])</f>
        <v>6</v>
      </c>
      <c r="M2008" s="12"/>
      <c r="N2008" s="12"/>
      <c r="O2008" s="24">
        <f>(Tabla1[[#This Row],[COSTO FIJO ]]/30)*Tabla1[[#This Row],[TOTAL DIAS PROYECTO]]+(Tabla1[[#This Row],[COSTO TEMPORAL]])</f>
        <v>0</v>
      </c>
      <c r="P2008" s="12"/>
      <c r="Q2008" s="12">
        <f>+(Tabla1[[#This Row],[COSTO COCHE]]/30)*Tabla1[[#This Row],[TOTAL DIAS PROYECTO]]</f>
        <v>0</v>
      </c>
      <c r="R2008" s="12">
        <f>+Tabla1[[#This Row],[COSTO TOTAL ALOJAMIENTO]]+Tabla1[[#This Row],[COSTO TOTAL COCHE]]</f>
        <v>0</v>
      </c>
      <c r="S2008" s="2"/>
      <c r="T2008" s="14" t="s">
        <v>44</v>
      </c>
      <c r="U2008" s="14">
        <v>45799</v>
      </c>
      <c r="V2008" s="79">
        <v>45805</v>
      </c>
      <c r="W2008" s="2"/>
      <c r="X2008" s="2"/>
      <c r="Y2008" s="11"/>
      <c r="Z2008" s="2" t="s">
        <v>36</v>
      </c>
      <c r="AA2008" s="13">
        <v>-326.69799999999998</v>
      </c>
      <c r="AB2008" s="13" t="s">
        <v>10373</v>
      </c>
    </row>
    <row r="2009" spans="1:28" ht="15" customHeight="1">
      <c r="A2009" s="2" t="s">
        <v>9481</v>
      </c>
      <c r="B2009" s="2" t="s">
        <v>28</v>
      </c>
      <c r="C2009" s="18" t="s">
        <v>3343</v>
      </c>
      <c r="D2009" s="2" t="s">
        <v>30</v>
      </c>
      <c r="E2009" s="2" t="s">
        <v>985</v>
      </c>
      <c r="F2009" s="11" t="s">
        <v>2132</v>
      </c>
      <c r="G2009" s="21" t="s">
        <v>2133</v>
      </c>
      <c r="H2009" s="2" t="s">
        <v>2134</v>
      </c>
      <c r="I2009" s="12" t="s">
        <v>249</v>
      </c>
      <c r="J2009" s="41">
        <f>+Tabla1[[#This Row],[FECHA ENTRADA]]</f>
        <v>45781</v>
      </c>
      <c r="K2009" s="22">
        <v>45821</v>
      </c>
      <c r="L2009" s="23">
        <f>_xlfn.DAYS(Tabla1[[#This Row],[FECHA FIN ]],Tabla1[[#This Row],[FECHA INICIO]])</f>
        <v>40</v>
      </c>
      <c r="M2009" s="12"/>
      <c r="N2009" s="12"/>
      <c r="O2009" s="24">
        <f>(Tabla1[[#This Row],[COSTO FIJO ]]/30)*Tabla1[[#This Row],[TOTAL DIAS PROYECTO]]+(Tabla1[[#This Row],[COSTO TEMPORAL]])</f>
        <v>0</v>
      </c>
      <c r="P2009" s="12">
        <v>70.588235294117652</v>
      </c>
      <c r="Q2009" s="12">
        <f>+(Tabla1[[#This Row],[COSTO COCHE]]/30)*Tabla1[[#This Row],[TOTAL DIAS PROYECTO]]</f>
        <v>94.117647058823536</v>
      </c>
      <c r="R2009" s="12">
        <f>+Tabla1[[#This Row],[COSTO TOTAL ALOJAMIENTO]]+Tabla1[[#This Row],[COSTO TOTAL COCHE]]</f>
        <v>94.117647058823536</v>
      </c>
      <c r="S2009" s="2"/>
      <c r="T2009" s="2" t="s">
        <v>528</v>
      </c>
      <c r="U2009" s="14">
        <v>45781</v>
      </c>
      <c r="V2009" s="25">
        <v>45812</v>
      </c>
      <c r="W2009" s="26"/>
      <c r="X2009" s="2"/>
      <c r="Y2009" s="11"/>
      <c r="Z2009" s="2" t="s">
        <v>36</v>
      </c>
      <c r="AA2009" s="13" t="s">
        <v>10407</v>
      </c>
      <c r="AB2009" s="13" t="s">
        <v>10408</v>
      </c>
    </row>
    <row r="2010" spans="1:28" ht="15" customHeight="1">
      <c r="A2010" s="2" t="s">
        <v>8642</v>
      </c>
      <c r="B2010" s="2" t="s">
        <v>368</v>
      </c>
      <c r="C2010" s="11" t="s">
        <v>3549</v>
      </c>
      <c r="D2010" s="2" t="s">
        <v>99</v>
      </c>
      <c r="E2010" s="2" t="s">
        <v>422</v>
      </c>
      <c r="F2010" s="11" t="s">
        <v>1983</v>
      </c>
      <c r="G2010" s="11" t="s">
        <v>2067</v>
      </c>
      <c r="H2010" s="2" t="s">
        <v>3540</v>
      </c>
      <c r="I2010" s="12" t="s">
        <v>1435</v>
      </c>
      <c r="J2010" s="22">
        <f>+Tabla1[[#This Row],[FECHA ENTRADA]]</f>
        <v>45799</v>
      </c>
      <c r="K2010" s="8">
        <f>+Tabla1[[#This Row],[FECHA SALIDA]]</f>
        <v>45805</v>
      </c>
      <c r="L2010" s="23">
        <f>_xlfn.DAYS(Tabla1[[#This Row],[FECHA FIN ]],Tabla1[[#This Row],[FECHA INICIO]])</f>
        <v>6</v>
      </c>
      <c r="M2010" s="12"/>
      <c r="N2010" s="12">
        <v>123.5</v>
      </c>
      <c r="O2010" s="24">
        <f>(Tabla1[[#This Row],[COSTO FIJO ]]/30)*Tabla1[[#This Row],[TOTAL DIAS PROYECTO]]+(Tabla1[[#This Row],[COSTO TEMPORAL]])</f>
        <v>24.699999999999996</v>
      </c>
      <c r="P2010" s="12"/>
      <c r="Q2010" s="12">
        <f>+(Tabla1[[#This Row],[COSTO COCHE]]/30)*Tabla1[[#This Row],[TOTAL DIAS PROYECTO]]</f>
        <v>0</v>
      </c>
      <c r="R2010" s="12">
        <f>+Tabla1[[#This Row],[COSTO TOTAL ALOJAMIENTO]]+Tabla1[[#This Row],[COSTO TOTAL COCHE]]</f>
        <v>24.699999999999996</v>
      </c>
      <c r="S2010" s="2"/>
      <c r="T2010" s="14" t="s">
        <v>44</v>
      </c>
      <c r="U2010" s="14">
        <v>45799</v>
      </c>
      <c r="V2010" s="79">
        <v>45805</v>
      </c>
      <c r="W2010" s="2"/>
      <c r="X2010" s="2"/>
      <c r="Y2010" s="11"/>
      <c r="Z2010" s="2" t="s">
        <v>36</v>
      </c>
      <c r="AA2010" s="13">
        <v>-326.69799999999998</v>
      </c>
      <c r="AB2010" s="13" t="s">
        <v>10373</v>
      </c>
    </row>
    <row r="2011" spans="1:28">
      <c r="A2011" s="2" t="s">
        <v>9340</v>
      </c>
      <c r="B2011" s="2" t="s">
        <v>28</v>
      </c>
      <c r="C2011" s="18" t="s">
        <v>2864</v>
      </c>
      <c r="D2011" s="2" t="s">
        <v>30</v>
      </c>
      <c r="E2011" s="2" t="s">
        <v>87</v>
      </c>
      <c r="F2011" s="11" t="s">
        <v>1864</v>
      </c>
      <c r="G2011" s="11" t="s">
        <v>2195</v>
      </c>
      <c r="H2011" s="2" t="s">
        <v>3550</v>
      </c>
      <c r="I2011" s="12" t="s">
        <v>34</v>
      </c>
      <c r="J2011" s="22">
        <f>+Tabla1[[#This Row],[FECHA ENTRADA]]</f>
        <v>45627</v>
      </c>
      <c r="K2011" s="22">
        <v>45821</v>
      </c>
      <c r="L2011" s="23">
        <f>_xlfn.DAYS(Tabla1[[#This Row],[FECHA FIN ]],Tabla1[[#This Row],[FECHA INICIO]])</f>
        <v>194</v>
      </c>
      <c r="M2011" s="12"/>
      <c r="N2011" s="12"/>
      <c r="O2011" s="24">
        <f>(Tabla1[[#This Row],[COSTO FIJO ]]/30)*Tabla1[[#This Row],[TOTAL DIAS PROYECTO]]+(Tabla1[[#This Row],[COSTO TEMPORAL]])</f>
        <v>0</v>
      </c>
      <c r="P2011" s="12"/>
      <c r="Q2011" s="12">
        <f>+(Tabla1[[#This Row],[COSTO COCHE]]/30)*Tabla1[[#This Row],[TOTAL DIAS PROYECTO]]</f>
        <v>0</v>
      </c>
      <c r="R2011" s="12">
        <f>+Tabla1[[#This Row],[COSTO TOTAL ALOJAMIENTO]]+Tabla1[[#This Row],[COSTO TOTAL COCHE]]</f>
        <v>0</v>
      </c>
      <c r="S2011" s="2"/>
      <c r="T2011" s="2" t="s">
        <v>35</v>
      </c>
      <c r="U2011" s="14">
        <v>45627</v>
      </c>
      <c r="V2011" s="79"/>
      <c r="W2011" s="26"/>
      <c r="X2011" s="2">
        <v>5</v>
      </c>
      <c r="Y2011" s="11" t="s">
        <v>1185</v>
      </c>
      <c r="Z2011" s="2" t="s">
        <v>36</v>
      </c>
      <c r="AA2011" s="13" t="s">
        <v>10335</v>
      </c>
      <c r="AB2011" s="13">
        <v>404.16500000000002</v>
      </c>
    </row>
    <row r="2012" spans="1:28" ht="15" customHeight="1">
      <c r="A2012" s="2" t="s">
        <v>9482</v>
      </c>
      <c r="B2012" s="2" t="s">
        <v>28</v>
      </c>
      <c r="C2012" s="11" t="s">
        <v>3345</v>
      </c>
      <c r="D2012" s="2" t="s">
        <v>30</v>
      </c>
      <c r="E2012" s="2" t="s">
        <v>985</v>
      </c>
      <c r="F2012" s="11" t="s">
        <v>2139</v>
      </c>
      <c r="G2012" s="21" t="s">
        <v>2133</v>
      </c>
      <c r="H2012" s="2" t="s">
        <v>2134</v>
      </c>
      <c r="I2012" s="12" t="s">
        <v>249</v>
      </c>
      <c r="J2012" s="41">
        <f>+Tabla1[[#This Row],[FECHA ENTRADA]]</f>
        <v>45781</v>
      </c>
      <c r="K2012" s="22">
        <v>45821</v>
      </c>
      <c r="L2012" s="23">
        <f>_xlfn.DAYS(Tabla1[[#This Row],[FECHA FIN ]],Tabla1[[#This Row],[FECHA INICIO]])</f>
        <v>40</v>
      </c>
      <c r="M2012" s="12"/>
      <c r="N2012" s="24"/>
      <c r="O2012" s="24">
        <f>(Tabla1[[#This Row],[COSTO FIJO ]]/30)*Tabla1[[#This Row],[TOTAL DIAS PROYECTO]]+(Tabla1[[#This Row],[COSTO TEMPORAL]])</f>
        <v>0</v>
      </c>
      <c r="P2012" s="12">
        <v>70.588235294117652</v>
      </c>
      <c r="Q2012" s="12">
        <f>+(Tabla1[[#This Row],[COSTO COCHE]]/30)*Tabla1[[#This Row],[TOTAL DIAS PROYECTO]]</f>
        <v>94.117647058823536</v>
      </c>
      <c r="R2012" s="12">
        <f>+Tabla1[[#This Row],[COSTO TOTAL ALOJAMIENTO]]+Tabla1[[#This Row],[COSTO TOTAL COCHE]]</f>
        <v>94.117647058823536</v>
      </c>
      <c r="S2012" s="2"/>
      <c r="T2012" s="2" t="s">
        <v>528</v>
      </c>
      <c r="U2012" s="14">
        <v>45781</v>
      </c>
      <c r="V2012" s="25">
        <v>45812</v>
      </c>
      <c r="W2012" s="26"/>
      <c r="X2012" s="2"/>
      <c r="Y2012" s="11"/>
      <c r="Z2012" s="2" t="s">
        <v>36</v>
      </c>
      <c r="AA2012" s="13" t="s">
        <v>10407</v>
      </c>
      <c r="AB2012" s="13" t="s">
        <v>10408</v>
      </c>
    </row>
    <row r="2013" spans="1:28" ht="15" customHeight="1">
      <c r="A2013" s="2" t="s">
        <v>9522</v>
      </c>
      <c r="B2013" s="2" t="s">
        <v>28</v>
      </c>
      <c r="C2013" s="11" t="s">
        <v>3524</v>
      </c>
      <c r="D2013" s="2" t="s">
        <v>30</v>
      </c>
      <c r="E2013" s="2" t="s">
        <v>380</v>
      </c>
      <c r="F2013" s="11" t="s">
        <v>2236</v>
      </c>
      <c r="G2013" s="49" t="s">
        <v>2237</v>
      </c>
      <c r="H2013" s="2" t="s">
        <v>3551</v>
      </c>
      <c r="I2013" s="12" t="s">
        <v>800</v>
      </c>
      <c r="J2013" s="41">
        <f>+Tabla1[[#This Row],[FECHA ENTRADA]]</f>
        <v>45578</v>
      </c>
      <c r="K2013" s="22">
        <v>45602</v>
      </c>
      <c r="L2013" s="42">
        <f>_xlfn.DAYS(Tabla1[[#This Row],[FECHA FIN ]],Tabla1[[#This Row],[FECHA INICIO]])</f>
        <v>24</v>
      </c>
      <c r="M2013" s="12"/>
      <c r="N2013" s="12">
        <v>300</v>
      </c>
      <c r="O2013" s="28">
        <f>(Tabla1[[#This Row],[COSTO FIJO ]]/30)*Tabla1[[#This Row],[TOTAL DIAS PROYECTO]]+(Tabla1[[#This Row],[COSTO TEMPORAL]])</f>
        <v>240</v>
      </c>
      <c r="P2013" s="12">
        <f>(613.47*50%)/5</f>
        <v>61.347000000000001</v>
      </c>
      <c r="Q2013" s="12">
        <f>+(Tabla1[[#This Row],[COSTO COCHE]]/30)*Tabla1[[#This Row],[TOTAL DIAS PROYECTO]]</f>
        <v>49.077600000000004</v>
      </c>
      <c r="R2013" s="12">
        <f>+Tabla1[[#This Row],[COSTO TOTAL ALOJAMIENTO]]+Tabla1[[#This Row],[COSTO TOTAL COCHE]]</f>
        <v>289.07760000000002</v>
      </c>
      <c r="S2013" s="2"/>
      <c r="T2013" s="2" t="s">
        <v>35</v>
      </c>
      <c r="U2013" s="14">
        <v>45578</v>
      </c>
      <c r="V2013" s="43"/>
      <c r="W2013" s="26"/>
      <c r="X2013" s="2">
        <v>1</v>
      </c>
      <c r="Y2013" s="11"/>
      <c r="Z2013" s="2" t="s">
        <v>36</v>
      </c>
      <c r="AA2013" s="13" t="s">
        <v>10370</v>
      </c>
      <c r="AB2013" s="13" t="s">
        <v>10371</v>
      </c>
    </row>
    <row r="2014" spans="1:28" ht="15" customHeight="1">
      <c r="A2014" s="2" t="s">
        <v>8799</v>
      </c>
      <c r="B2014" s="2" t="s">
        <v>28</v>
      </c>
      <c r="C2014" s="86" t="s">
        <v>815</v>
      </c>
      <c r="D2014" s="2" t="s">
        <v>30</v>
      </c>
      <c r="E2014" s="2" t="s">
        <v>626</v>
      </c>
      <c r="F2014" s="11" t="s">
        <v>1037</v>
      </c>
      <c r="G2014" s="11" t="s">
        <v>1038</v>
      </c>
      <c r="H2014" s="2" t="s">
        <v>1768</v>
      </c>
      <c r="I2014" s="12" t="s">
        <v>570</v>
      </c>
      <c r="J2014" s="22">
        <f>+Tabla1[[#This Row],[FECHA ENTRADA]]</f>
        <v>45578</v>
      </c>
      <c r="K2014" s="22">
        <v>45821</v>
      </c>
      <c r="L2014" s="23">
        <f>_xlfn.DAYS(Tabla1[[#This Row],[FECHA FIN ]],Tabla1[[#This Row],[FECHA INICIO]])</f>
        <v>243</v>
      </c>
      <c r="M2014" s="12"/>
      <c r="N2014" s="12">
        <f>1811.6/17</f>
        <v>106.56470588235294</v>
      </c>
      <c r="O2014" s="24">
        <f>(Tabla1[[#This Row],[COSTO FIJO ]]/30)*Tabla1[[#This Row],[TOTAL DIAS PROYECTO]]+(Tabla1[[#This Row],[COSTO TEMPORAL]])</f>
        <v>863.17411764705889</v>
      </c>
      <c r="P2014" s="12"/>
      <c r="Q2014" s="12">
        <f>+(Tabla1[[#This Row],[COSTO COCHE]]/30)*Tabla1[[#This Row],[TOTAL DIAS PROYECTO]]</f>
        <v>0</v>
      </c>
      <c r="R2014" s="12">
        <f>+Tabla1[[#This Row],[COSTO TOTAL ALOJAMIENTO]]+Tabla1[[#This Row],[COSTO TOTAL COCHE]]</f>
        <v>863.17411764705889</v>
      </c>
      <c r="S2014" s="2"/>
      <c r="T2014" s="2" t="s">
        <v>35</v>
      </c>
      <c r="U2014" s="14">
        <v>45578</v>
      </c>
      <c r="V2014" s="79"/>
      <c r="W2014" s="26"/>
      <c r="X2014" s="2">
        <v>5</v>
      </c>
      <c r="Y2014" s="11" t="s">
        <v>1769</v>
      </c>
      <c r="Z2014" s="2" t="s">
        <v>36</v>
      </c>
      <c r="AA2014" s="13" t="s">
        <v>10385</v>
      </c>
      <c r="AB2014" s="13" t="s">
        <v>10386</v>
      </c>
    </row>
    <row r="2015" spans="1:28" ht="15" customHeight="1">
      <c r="A2015" s="2" t="s">
        <v>9447</v>
      </c>
      <c r="B2015" s="2" t="s">
        <v>28</v>
      </c>
      <c r="C2015" s="11" t="s">
        <v>3218</v>
      </c>
      <c r="D2015" s="2" t="s">
        <v>30</v>
      </c>
      <c r="E2015" s="2" t="s">
        <v>985</v>
      </c>
      <c r="F2015" s="11" t="s">
        <v>2516</v>
      </c>
      <c r="G2015" s="21" t="s">
        <v>2133</v>
      </c>
      <c r="H2015" s="2" t="s">
        <v>2134</v>
      </c>
      <c r="I2015" s="12" t="s">
        <v>249</v>
      </c>
      <c r="J2015" s="41">
        <f>+Tabla1[[#This Row],[FECHA ENTRADA]]</f>
        <v>45781</v>
      </c>
      <c r="K2015" s="22">
        <v>45821</v>
      </c>
      <c r="L2015" s="23">
        <f>_xlfn.DAYS(Tabla1[[#This Row],[FECHA FIN ]],Tabla1[[#This Row],[FECHA INICIO]])</f>
        <v>40</v>
      </c>
      <c r="M2015" s="12"/>
      <c r="N2015" s="24"/>
      <c r="O2015" s="24">
        <f>(Tabla1[[#This Row],[COSTO FIJO ]]/30)*Tabla1[[#This Row],[TOTAL DIAS PROYECTO]]+(Tabla1[[#This Row],[COSTO TEMPORAL]])</f>
        <v>0</v>
      </c>
      <c r="P2015" s="12">
        <v>70.588235294117652</v>
      </c>
      <c r="Q2015" s="12">
        <f>+(Tabla1[[#This Row],[COSTO COCHE]]/30)*Tabla1[[#This Row],[TOTAL DIAS PROYECTO]]</f>
        <v>94.117647058823536</v>
      </c>
      <c r="R2015" s="12">
        <f>+Tabla1[[#This Row],[COSTO TOTAL ALOJAMIENTO]]+Tabla1[[#This Row],[COSTO TOTAL COCHE]]</f>
        <v>94.117647058823536</v>
      </c>
      <c r="S2015" s="2"/>
      <c r="T2015" s="2" t="s">
        <v>528</v>
      </c>
      <c r="U2015" s="14">
        <v>45781</v>
      </c>
      <c r="V2015" s="25">
        <v>45812</v>
      </c>
      <c r="W2015" s="26"/>
      <c r="X2015" s="2"/>
      <c r="Y2015" s="11"/>
      <c r="Z2015" s="2" t="s">
        <v>36</v>
      </c>
      <c r="AA2015" s="13" t="s">
        <v>10407</v>
      </c>
      <c r="AB2015" s="13" t="s">
        <v>10408</v>
      </c>
    </row>
    <row r="2016" spans="1:28" ht="15" customHeight="1">
      <c r="A2016" s="2" t="s">
        <v>9219</v>
      </c>
      <c r="B2016" s="2" t="s">
        <v>368</v>
      </c>
      <c r="C2016" s="18" t="s">
        <v>2487</v>
      </c>
      <c r="D2016" s="2" t="s">
        <v>30</v>
      </c>
      <c r="E2016" s="2" t="s">
        <v>985</v>
      </c>
      <c r="F2016" s="11" t="s">
        <v>1126</v>
      </c>
      <c r="G2016" t="s">
        <v>1127</v>
      </c>
      <c r="H2016" s="2" t="s">
        <v>1128</v>
      </c>
      <c r="I2016" s="12" t="s">
        <v>989</v>
      </c>
      <c r="J2016" s="41">
        <f>+Tabla1[[#This Row],[FECHA ENTRADA]]</f>
        <v>45599</v>
      </c>
      <c r="K2016" s="22">
        <v>45821</v>
      </c>
      <c r="L2016" s="42">
        <f>_xlfn.DAYS(Tabla1[[#This Row],[FECHA FIN ]],Tabla1[[#This Row],[FECHA INICIO]])</f>
        <v>222</v>
      </c>
      <c r="M2016" s="12"/>
      <c r="N2016" s="12"/>
      <c r="O2016" s="28">
        <f>(Tabla1[[#This Row],[COSTO FIJO ]]/30)*Tabla1[[#This Row],[TOTAL DIAS PROYECTO]]+(Tabla1[[#This Row],[COSTO TEMPORAL]])</f>
        <v>0</v>
      </c>
      <c r="P2016" s="12"/>
      <c r="Q2016" s="12">
        <f>+(Tabla1[[#This Row],[COSTO COCHE]]/30)*Tabla1[[#This Row],[TOTAL DIAS PROYECTO]]</f>
        <v>0</v>
      </c>
      <c r="R2016" s="12">
        <f>+Tabla1[[#This Row],[COSTO TOTAL ALOJAMIENTO]]+Tabla1[[#This Row],[COSTO TOTAL COCHE]]</f>
        <v>0</v>
      </c>
      <c r="S2016" s="2"/>
      <c r="T2016" s="2" t="s">
        <v>35</v>
      </c>
      <c r="U2016" s="14">
        <v>45599</v>
      </c>
      <c r="V2016" s="43"/>
      <c r="W2016" s="26"/>
      <c r="X2016" s="2">
        <v>5</v>
      </c>
      <c r="Y2016" s="67" t="s">
        <v>3552</v>
      </c>
      <c r="Z2016" s="2" t="s">
        <v>36</v>
      </c>
      <c r="AA2016" s="13" t="s">
        <v>10407</v>
      </c>
      <c r="AB2016" s="13" t="s">
        <v>10408</v>
      </c>
    </row>
    <row r="2017" spans="1:28" ht="15" customHeight="1">
      <c r="A2017" s="2" t="s">
        <v>9443</v>
      </c>
      <c r="B2017" s="2" t="s">
        <v>711</v>
      </c>
      <c r="C2017" s="11" t="s">
        <v>3196</v>
      </c>
      <c r="D2017" s="2" t="s">
        <v>99</v>
      </c>
      <c r="E2017" s="2" t="s">
        <v>720</v>
      </c>
      <c r="F2017" s="11" t="s">
        <v>2436</v>
      </c>
      <c r="G2017" t="s">
        <v>2437</v>
      </c>
      <c r="H2017" s="2" t="s">
        <v>1874</v>
      </c>
      <c r="I2017" s="12" t="s">
        <v>506</v>
      </c>
      <c r="J2017" s="22">
        <f>+Tabla1[[#This Row],[FECHA ENTRADA]]</f>
        <v>45784</v>
      </c>
      <c r="K2017" s="22">
        <v>45821</v>
      </c>
      <c r="L2017" s="23">
        <f>_xlfn.DAYS(Tabla1[[#This Row],[FECHA FIN ]],Tabla1[[#This Row],[FECHA INICIO]])</f>
        <v>37</v>
      </c>
      <c r="M2017" s="12"/>
      <c r="N2017" s="24"/>
      <c r="O2017" s="24">
        <f>(Tabla1[[#This Row],[COSTO FIJO ]]/30)*Tabla1[[#This Row],[TOTAL DIAS PROYECTO]]+(Tabla1[[#This Row],[COSTO TEMPORAL]])</f>
        <v>0</v>
      </c>
      <c r="P2017" s="12">
        <f>613.47/3</f>
        <v>204.49</v>
      </c>
      <c r="Q2017" s="12">
        <f>+(Tabla1[[#This Row],[COSTO COCHE]]/30)*Tabla1[[#This Row],[TOTAL DIAS PROYECTO]]</f>
        <v>252.20433333333335</v>
      </c>
      <c r="R2017" s="12">
        <f>+Tabla1[[#This Row],[COSTO TOTAL ALOJAMIENTO]]+Tabla1[[#This Row],[COSTO TOTAL COCHE]]</f>
        <v>252.20433333333335</v>
      </c>
      <c r="S2017" s="2"/>
      <c r="T2017" s="2" t="s">
        <v>528</v>
      </c>
      <c r="U2017" s="14">
        <v>45784</v>
      </c>
      <c r="V2017" s="25">
        <v>45807</v>
      </c>
      <c r="W2017" s="2"/>
      <c r="X2017" s="2"/>
      <c r="Y2017" s="11" t="s">
        <v>2438</v>
      </c>
      <c r="Z2017" s="2" t="s">
        <v>36</v>
      </c>
      <c r="AA2017" s="13" t="s">
        <v>10394</v>
      </c>
      <c r="AB2017" s="13" t="s">
        <v>10395</v>
      </c>
    </row>
    <row r="2018" spans="1:28" ht="15" customHeight="1">
      <c r="A2018" s="2" t="s">
        <v>9421</v>
      </c>
      <c r="B2018" s="2" t="s">
        <v>28</v>
      </c>
      <c r="C2018" s="31" t="s">
        <v>3115</v>
      </c>
      <c r="D2018" s="2" t="s">
        <v>30</v>
      </c>
      <c r="E2018" s="2" t="s">
        <v>985</v>
      </c>
      <c r="F2018" s="11" t="s">
        <v>2516</v>
      </c>
      <c r="G2018" s="21" t="s">
        <v>2133</v>
      </c>
      <c r="H2018" s="2" t="s">
        <v>2134</v>
      </c>
      <c r="I2018" s="12" t="s">
        <v>249</v>
      </c>
      <c r="J2018" s="41">
        <f>+Tabla1[[#This Row],[FECHA ENTRADA]]</f>
        <v>45781</v>
      </c>
      <c r="K2018" s="22">
        <v>45821</v>
      </c>
      <c r="L2018" s="23">
        <f>_xlfn.DAYS(Tabla1[[#This Row],[FECHA FIN ]],Tabla1[[#This Row],[FECHA INICIO]])</f>
        <v>40</v>
      </c>
      <c r="M2018" s="12"/>
      <c r="N2018" s="24"/>
      <c r="O2018" s="24">
        <f>(Tabla1[[#This Row],[COSTO FIJO ]]/30)*Tabla1[[#This Row],[TOTAL DIAS PROYECTO]]+(Tabla1[[#This Row],[COSTO TEMPORAL]])</f>
        <v>0</v>
      </c>
      <c r="P2018" s="12">
        <v>70.588235294117652</v>
      </c>
      <c r="Q2018" s="12">
        <f>+(Tabla1[[#This Row],[COSTO COCHE]]/30)*Tabla1[[#This Row],[TOTAL DIAS PROYECTO]]</f>
        <v>94.117647058823536</v>
      </c>
      <c r="R2018" s="12">
        <f>+Tabla1[[#This Row],[COSTO TOTAL ALOJAMIENTO]]+Tabla1[[#This Row],[COSTO TOTAL COCHE]]</f>
        <v>94.117647058823536</v>
      </c>
      <c r="S2018" s="2"/>
      <c r="T2018" s="2" t="s">
        <v>528</v>
      </c>
      <c r="U2018" s="14">
        <v>45781</v>
      </c>
      <c r="V2018" s="25">
        <v>45812</v>
      </c>
      <c r="W2018" s="26"/>
      <c r="X2018" s="2"/>
      <c r="Y2018" s="160" t="s">
        <v>3360</v>
      </c>
      <c r="Z2018" s="2" t="s">
        <v>36</v>
      </c>
      <c r="AA2018" s="13" t="s">
        <v>10407</v>
      </c>
      <c r="AB2018" s="13" t="s">
        <v>10408</v>
      </c>
    </row>
    <row r="2019" spans="1:28" ht="15" customHeight="1">
      <c r="A2019" s="2" t="s">
        <v>9484</v>
      </c>
      <c r="B2019" s="2" t="s">
        <v>28</v>
      </c>
      <c r="C2019" s="11" t="s">
        <v>3351</v>
      </c>
      <c r="D2019" s="2" t="s">
        <v>30</v>
      </c>
      <c r="E2019" s="2" t="s">
        <v>985</v>
      </c>
      <c r="F2019" s="11" t="s">
        <v>2516</v>
      </c>
      <c r="G2019" s="21" t="s">
        <v>2133</v>
      </c>
      <c r="H2019" s="2" t="s">
        <v>2134</v>
      </c>
      <c r="I2019" s="12" t="s">
        <v>249</v>
      </c>
      <c r="J2019" s="41">
        <f>+Tabla1[[#This Row],[FECHA ENTRADA]]</f>
        <v>45781</v>
      </c>
      <c r="K2019" s="22">
        <v>45821</v>
      </c>
      <c r="L2019" s="23">
        <f>_xlfn.DAYS(Tabla1[[#This Row],[FECHA FIN ]],Tabla1[[#This Row],[FECHA INICIO]])</f>
        <v>40</v>
      </c>
      <c r="M2019" s="12"/>
      <c r="N2019" s="24"/>
      <c r="O2019" s="24">
        <f>(Tabla1[[#This Row],[COSTO FIJO ]]/30)*Tabla1[[#This Row],[TOTAL DIAS PROYECTO]]+(Tabla1[[#This Row],[COSTO TEMPORAL]])</f>
        <v>0</v>
      </c>
      <c r="P2019" s="12">
        <v>70.588235294117652</v>
      </c>
      <c r="Q2019" s="12">
        <f>+(Tabla1[[#This Row],[COSTO COCHE]]/30)*Tabla1[[#This Row],[TOTAL DIAS PROYECTO]]</f>
        <v>94.117647058823536</v>
      </c>
      <c r="R2019" s="12">
        <f>+Tabla1[[#This Row],[COSTO TOTAL ALOJAMIENTO]]+Tabla1[[#This Row],[COSTO TOTAL COCHE]]</f>
        <v>94.117647058823536</v>
      </c>
      <c r="S2019" s="2"/>
      <c r="T2019" s="2" t="s">
        <v>528</v>
      </c>
      <c r="U2019" s="14">
        <v>45781</v>
      </c>
      <c r="V2019" s="25">
        <v>45812</v>
      </c>
      <c r="W2019" s="26"/>
      <c r="X2019" s="2"/>
      <c r="Y2019" s="11"/>
      <c r="Z2019" s="2" t="s">
        <v>36</v>
      </c>
      <c r="AA2019" s="13" t="s">
        <v>10407</v>
      </c>
      <c r="AB2019" s="13" t="s">
        <v>10408</v>
      </c>
    </row>
    <row r="2020" spans="1:28" ht="15" customHeight="1">
      <c r="A2020" s="2" t="s">
        <v>9485</v>
      </c>
      <c r="B2020" s="2" t="s">
        <v>28</v>
      </c>
      <c r="C2020" s="11" t="s">
        <v>3352</v>
      </c>
      <c r="D2020" s="2" t="s">
        <v>30</v>
      </c>
      <c r="E2020" s="2" t="s">
        <v>985</v>
      </c>
      <c r="F2020" s="11" t="s">
        <v>2139</v>
      </c>
      <c r="G2020" s="21" t="s">
        <v>2133</v>
      </c>
      <c r="H2020" s="2" t="s">
        <v>2134</v>
      </c>
      <c r="I2020" s="12" t="s">
        <v>249</v>
      </c>
      <c r="J2020" s="41">
        <f>+Tabla1[[#This Row],[FECHA ENTRADA]]</f>
        <v>45781</v>
      </c>
      <c r="K2020" s="22">
        <v>45821</v>
      </c>
      <c r="L2020" s="23">
        <f>_xlfn.DAYS(Tabla1[[#This Row],[FECHA FIN ]],Tabla1[[#This Row],[FECHA INICIO]])</f>
        <v>40</v>
      </c>
      <c r="M2020" s="12"/>
      <c r="N2020" s="24"/>
      <c r="O2020" s="24">
        <f>(Tabla1[[#This Row],[COSTO FIJO ]]/30)*Tabla1[[#This Row],[TOTAL DIAS PROYECTO]]+(Tabla1[[#This Row],[COSTO TEMPORAL]])</f>
        <v>0</v>
      </c>
      <c r="P2020" s="12">
        <v>70.588235294117652</v>
      </c>
      <c r="Q2020" s="12">
        <f>+(Tabla1[[#This Row],[COSTO COCHE]]/30)*Tabla1[[#This Row],[TOTAL DIAS PROYECTO]]</f>
        <v>94.117647058823536</v>
      </c>
      <c r="R2020" s="12">
        <f>+Tabla1[[#This Row],[COSTO TOTAL ALOJAMIENTO]]+Tabla1[[#This Row],[COSTO TOTAL COCHE]]</f>
        <v>94.117647058823536</v>
      </c>
      <c r="S2020" s="2"/>
      <c r="T2020" s="2" t="s">
        <v>528</v>
      </c>
      <c r="U2020" s="14">
        <v>45781</v>
      </c>
      <c r="V2020" s="25">
        <v>45812</v>
      </c>
      <c r="W2020" s="26"/>
      <c r="X2020" s="2"/>
      <c r="Y2020" s="11"/>
      <c r="Z2020" s="2" t="s">
        <v>36</v>
      </c>
      <c r="AA2020" s="13" t="s">
        <v>10407</v>
      </c>
      <c r="AB2020" s="13" t="s">
        <v>10408</v>
      </c>
    </row>
    <row r="2021" spans="1:28" ht="15" customHeight="1">
      <c r="A2021" s="2" t="s">
        <v>8642</v>
      </c>
      <c r="B2021" s="2" t="s">
        <v>28</v>
      </c>
      <c r="C2021" s="104" t="s">
        <v>3357</v>
      </c>
      <c r="D2021" s="2" t="s">
        <v>30</v>
      </c>
      <c r="E2021" s="2" t="s">
        <v>985</v>
      </c>
      <c r="F2021" s="11" t="s">
        <v>2132</v>
      </c>
      <c r="G2021" s="21" t="s">
        <v>2133</v>
      </c>
      <c r="H2021" s="2" t="s">
        <v>2134</v>
      </c>
      <c r="I2021" s="12" t="s">
        <v>249</v>
      </c>
      <c r="J2021" s="41">
        <f>+Tabla1[[#This Row],[FECHA ENTRADA]]</f>
        <v>45781</v>
      </c>
      <c r="K2021" s="22">
        <v>45821</v>
      </c>
      <c r="L2021" s="23">
        <f>_xlfn.DAYS(Tabla1[[#This Row],[FECHA FIN ]],Tabla1[[#This Row],[FECHA INICIO]])</f>
        <v>40</v>
      </c>
      <c r="M2021" s="12"/>
      <c r="N2021" s="24"/>
      <c r="O2021" s="24">
        <f>(Tabla1[[#This Row],[COSTO FIJO ]]/30)*Tabla1[[#This Row],[TOTAL DIAS PROYECTO]]+(Tabla1[[#This Row],[COSTO TEMPORAL]])</f>
        <v>0</v>
      </c>
      <c r="P2021" s="12">
        <v>70.588235294117652</v>
      </c>
      <c r="Q2021" s="12">
        <f>+(Tabla1[[#This Row],[COSTO COCHE]]/30)*Tabla1[[#This Row],[TOTAL DIAS PROYECTO]]</f>
        <v>94.117647058823536</v>
      </c>
      <c r="R2021" s="12">
        <f>+Tabla1[[#This Row],[COSTO TOTAL ALOJAMIENTO]]+Tabla1[[#This Row],[COSTO TOTAL COCHE]]</f>
        <v>94.117647058823536</v>
      </c>
      <c r="S2021" s="2"/>
      <c r="T2021" s="2" t="s">
        <v>528</v>
      </c>
      <c r="U2021" s="14">
        <v>45781</v>
      </c>
      <c r="V2021" s="25">
        <v>45812</v>
      </c>
      <c r="W2021" s="26"/>
      <c r="X2021" s="2"/>
      <c r="Y2021" s="11"/>
      <c r="Z2021" s="2" t="s">
        <v>36</v>
      </c>
      <c r="AA2021" s="13" t="s">
        <v>10407</v>
      </c>
      <c r="AB2021" s="13" t="s">
        <v>10408</v>
      </c>
    </row>
    <row r="2022" spans="1:28" ht="15" customHeight="1">
      <c r="A2022" s="2" t="s">
        <v>9488</v>
      </c>
      <c r="B2022" s="2" t="s">
        <v>28</v>
      </c>
      <c r="C2022" s="11" t="s">
        <v>3358</v>
      </c>
      <c r="D2022" s="2" t="s">
        <v>30</v>
      </c>
      <c r="E2022" s="2" t="s">
        <v>985</v>
      </c>
      <c r="F2022" s="11" t="s">
        <v>2132</v>
      </c>
      <c r="G2022" s="21" t="s">
        <v>2133</v>
      </c>
      <c r="H2022" s="2" t="s">
        <v>2134</v>
      </c>
      <c r="I2022" s="12" t="s">
        <v>249</v>
      </c>
      <c r="J2022" s="41">
        <f>+Tabla1[[#This Row],[FECHA ENTRADA]]</f>
        <v>45781</v>
      </c>
      <c r="K2022" s="22">
        <v>45821</v>
      </c>
      <c r="L2022" s="23">
        <f>_xlfn.DAYS(Tabla1[[#This Row],[FECHA FIN ]],Tabla1[[#This Row],[FECHA INICIO]])</f>
        <v>40</v>
      </c>
      <c r="M2022" s="12"/>
      <c r="N2022" s="24"/>
      <c r="O2022" s="24">
        <f>(Tabla1[[#This Row],[COSTO FIJO ]]/30)*Tabla1[[#This Row],[TOTAL DIAS PROYECTO]]+(Tabla1[[#This Row],[COSTO TEMPORAL]])</f>
        <v>0</v>
      </c>
      <c r="P2022" s="12">
        <v>70.588235294117652</v>
      </c>
      <c r="Q2022" s="12">
        <f>+(Tabla1[[#This Row],[COSTO COCHE]]/30)*Tabla1[[#This Row],[TOTAL DIAS PROYECTO]]</f>
        <v>94.117647058823536</v>
      </c>
      <c r="R2022" s="12">
        <f>+Tabla1[[#This Row],[COSTO TOTAL ALOJAMIENTO]]+Tabla1[[#This Row],[COSTO TOTAL COCHE]]</f>
        <v>94.117647058823536</v>
      </c>
      <c r="S2022" s="2"/>
      <c r="T2022" s="2" t="s">
        <v>528</v>
      </c>
      <c r="U2022" s="14">
        <v>45781</v>
      </c>
      <c r="V2022" s="25">
        <v>45812</v>
      </c>
      <c r="W2022" s="26"/>
      <c r="X2022" s="2"/>
      <c r="Y2022" s="11"/>
      <c r="Z2022" s="2" t="s">
        <v>36</v>
      </c>
      <c r="AA2022" s="13" t="s">
        <v>10407</v>
      </c>
      <c r="AB2022" s="13" t="s">
        <v>10408</v>
      </c>
    </row>
    <row r="2023" spans="1:28" ht="15" customHeight="1">
      <c r="A2023" s="2" t="s">
        <v>8638</v>
      </c>
      <c r="B2023" s="2" t="s">
        <v>28</v>
      </c>
      <c r="C2023" s="11" t="s">
        <v>2998</v>
      </c>
      <c r="D2023" s="2" t="s">
        <v>30</v>
      </c>
      <c r="E2023" s="2" t="s">
        <v>985</v>
      </c>
      <c r="F2023" s="11" t="s">
        <v>2516</v>
      </c>
      <c r="G2023" s="21" t="s">
        <v>2133</v>
      </c>
      <c r="H2023" s="2" t="s">
        <v>2134</v>
      </c>
      <c r="I2023" s="12" t="s">
        <v>249</v>
      </c>
      <c r="J2023" s="41">
        <f>+Tabla1[[#This Row],[FECHA ENTRADA]]</f>
        <v>45781</v>
      </c>
      <c r="K2023" s="22">
        <v>45821</v>
      </c>
      <c r="L2023" s="23">
        <f>_xlfn.DAYS(Tabla1[[#This Row],[FECHA FIN ]],Tabla1[[#This Row],[FECHA INICIO]])</f>
        <v>40</v>
      </c>
      <c r="M2023" s="12"/>
      <c r="N2023" s="24"/>
      <c r="O2023" s="24">
        <f>(Tabla1[[#This Row],[COSTO FIJO ]]/30)*Tabla1[[#This Row],[TOTAL DIAS PROYECTO]]+(Tabla1[[#This Row],[COSTO TEMPORAL]])</f>
        <v>0</v>
      </c>
      <c r="P2023" s="12">
        <v>70.588235294117652</v>
      </c>
      <c r="Q2023" s="12">
        <f>+(Tabla1[[#This Row],[COSTO COCHE]]/30)*Tabla1[[#This Row],[TOTAL DIAS PROYECTO]]</f>
        <v>94.117647058823536</v>
      </c>
      <c r="R2023" s="12">
        <f>+Tabla1[[#This Row],[COSTO TOTAL ALOJAMIENTO]]+Tabla1[[#This Row],[COSTO TOTAL COCHE]]</f>
        <v>94.117647058823536</v>
      </c>
      <c r="S2023" s="2"/>
      <c r="T2023" s="2" t="s">
        <v>528</v>
      </c>
      <c r="U2023" s="14">
        <v>45781</v>
      </c>
      <c r="V2023" s="25">
        <v>45812</v>
      </c>
      <c r="W2023" s="26"/>
      <c r="X2023" s="2"/>
      <c r="Y2023" s="11"/>
      <c r="Z2023" s="2" t="s">
        <v>36</v>
      </c>
      <c r="AA2023" s="13" t="s">
        <v>10407</v>
      </c>
      <c r="AB2023" s="13" t="s">
        <v>10408</v>
      </c>
    </row>
    <row r="2024" spans="1:28" ht="15" customHeight="1">
      <c r="A2024" s="2" t="s">
        <v>9248</v>
      </c>
      <c r="B2024" s="2" t="s">
        <v>368</v>
      </c>
      <c r="C2024" s="31" t="s">
        <v>2584</v>
      </c>
      <c r="D2024" s="2" t="s">
        <v>30</v>
      </c>
      <c r="E2024" s="2" t="s">
        <v>87</v>
      </c>
      <c r="F2024" s="11" t="s">
        <v>1668</v>
      </c>
      <c r="G2024" s="21" t="s">
        <v>1669</v>
      </c>
      <c r="H2024" s="2" t="s">
        <v>3517</v>
      </c>
      <c r="I2024" s="12" t="s">
        <v>1367</v>
      </c>
      <c r="J2024" s="41">
        <f>+Tabla1[[#This Row],[FECHA ENTRADA]]</f>
        <v>45720</v>
      </c>
      <c r="K2024" s="41">
        <v>45722</v>
      </c>
      <c r="L2024" s="42">
        <f>_xlfn.DAYS(Tabla1[[#This Row],[FECHA FIN ]],Tabla1[[#This Row],[FECHA INICIO]])</f>
        <v>2</v>
      </c>
      <c r="M2024" s="12"/>
      <c r="N2024" s="28"/>
      <c r="O2024" s="28">
        <f>(Tabla1[[#This Row],[COSTO FIJO ]]/30)*Tabla1[[#This Row],[TOTAL DIAS PROYECTO]]+(Tabla1[[#This Row],[COSTO TEMPORAL]])</f>
        <v>0</v>
      </c>
      <c r="P2024" s="12"/>
      <c r="Q2024" s="12">
        <f>+(Tabla1[[#This Row],[COSTO COCHE]]/30)*Tabla1[[#This Row],[TOTAL DIAS PROYECTO]]</f>
        <v>0</v>
      </c>
      <c r="R2024" s="12">
        <f>+Tabla1[[#This Row],[COSTO TOTAL ALOJAMIENTO]]+Tabla1[[#This Row],[COSTO TOTAL COCHE]]</f>
        <v>0</v>
      </c>
      <c r="S2024" s="2"/>
      <c r="T2024" s="2" t="s">
        <v>35</v>
      </c>
      <c r="U2024" s="14">
        <v>45720</v>
      </c>
      <c r="V2024" s="43"/>
      <c r="W2024" s="26"/>
      <c r="X2024" s="2">
        <v>5</v>
      </c>
      <c r="Y2024" s="11"/>
      <c r="Z2024" s="2" t="s">
        <v>36</v>
      </c>
      <c r="AA2024" s="13" t="s">
        <v>10335</v>
      </c>
      <c r="AB2024" s="13">
        <v>404.16500000000002</v>
      </c>
    </row>
    <row r="2025" spans="1:28" ht="15" customHeight="1">
      <c r="A2025" s="2" t="s">
        <v>8834</v>
      </c>
      <c r="B2025" s="2" t="s">
        <v>368</v>
      </c>
      <c r="C2025" s="18" t="s">
        <v>951</v>
      </c>
      <c r="D2025" s="2" t="s">
        <v>30</v>
      </c>
      <c r="E2025" s="2" t="s">
        <v>380</v>
      </c>
      <c r="F2025" s="11" t="s">
        <v>1579</v>
      </c>
      <c r="G2025" s="11" t="s">
        <v>1580</v>
      </c>
      <c r="H2025" s="2" t="s">
        <v>3553</v>
      </c>
      <c r="I2025" s="12" t="s">
        <v>3086</v>
      </c>
      <c r="J2025" s="41">
        <f>+Tabla1[[#This Row],[FECHA ENTRADA]]</f>
        <v>45601</v>
      </c>
      <c r="K2025" s="8">
        <v>45639</v>
      </c>
      <c r="L2025" s="42">
        <f>_xlfn.DAYS(Tabla1[[#This Row],[FECHA FIN ]],Tabla1[[#This Row],[FECHA INICIO]])</f>
        <v>38</v>
      </c>
      <c r="M2025" s="12"/>
      <c r="N2025" s="12">
        <v>250</v>
      </c>
      <c r="O2025" s="28">
        <f>(Tabla1[[#This Row],[COSTO FIJO ]]/30)*Tabla1[[#This Row],[TOTAL DIAS PROYECTO]]+(Tabla1[[#This Row],[COSTO TEMPORAL]])</f>
        <v>316.66666666666669</v>
      </c>
      <c r="P2025" s="12"/>
      <c r="Q2025" s="12">
        <f>+(Tabla1[[#This Row],[COSTO COCHE]]/30)*Tabla1[[#This Row],[TOTAL DIAS PROYECTO]]</f>
        <v>0</v>
      </c>
      <c r="R2025" s="12">
        <f>+Tabla1[[#This Row],[COSTO TOTAL ALOJAMIENTO]]+Tabla1[[#This Row],[COSTO TOTAL COCHE]]</f>
        <v>316.66666666666669</v>
      </c>
      <c r="S2025" s="2" t="s">
        <v>84</v>
      </c>
      <c r="T2025" s="2" t="s">
        <v>35</v>
      </c>
      <c r="U2025" s="14">
        <v>45601</v>
      </c>
      <c r="V2025" s="43"/>
      <c r="W2025" s="26"/>
      <c r="X2025" s="2">
        <v>1</v>
      </c>
      <c r="Y2025" s="31" t="s">
        <v>3180</v>
      </c>
      <c r="Z2025" s="2" t="s">
        <v>36</v>
      </c>
      <c r="AA2025" s="13" t="s">
        <v>10370</v>
      </c>
      <c r="AB2025" s="13" t="s">
        <v>10371</v>
      </c>
    </row>
    <row r="2026" spans="1:28" ht="15" customHeight="1">
      <c r="A2026" s="2" t="s">
        <v>9529</v>
      </c>
      <c r="B2026" s="2" t="s">
        <v>368</v>
      </c>
      <c r="C2026" s="86" t="s">
        <v>3554</v>
      </c>
      <c r="D2026" s="2" t="s">
        <v>30</v>
      </c>
      <c r="E2026" s="2" t="s">
        <v>415</v>
      </c>
      <c r="F2026" s="11" t="s">
        <v>487</v>
      </c>
      <c r="G2026" s="46" t="s">
        <v>488</v>
      </c>
      <c r="H2026" s="2" t="s">
        <v>3531</v>
      </c>
      <c r="I2026" s="12" t="s">
        <v>1447</v>
      </c>
      <c r="J2026" s="41">
        <f>+Tabla1[[#This Row],[FECHA ENTRADA]]</f>
        <v>45637</v>
      </c>
      <c r="K2026" s="22">
        <v>45821</v>
      </c>
      <c r="L2026" s="42">
        <f>_xlfn.DAYS(Tabla1[[#This Row],[FECHA FIN ]],Tabla1[[#This Row],[FECHA INICIO]])</f>
        <v>184</v>
      </c>
      <c r="M2026" s="12"/>
      <c r="N2026" s="12">
        <v>287.5</v>
      </c>
      <c r="O2026" s="28">
        <f>(Tabla1[[#This Row],[COSTO FIJO ]]/30)*Tabla1[[#This Row],[TOTAL DIAS PROYECTO]]+(Tabla1[[#This Row],[COSTO TEMPORAL]])</f>
        <v>1763.3333333333335</v>
      </c>
      <c r="P2026" s="12"/>
      <c r="Q2026" s="12">
        <f>+(Tabla1[[#This Row],[COSTO COCHE]]/30)*Tabla1[[#This Row],[TOTAL DIAS PROYECTO]]</f>
        <v>0</v>
      </c>
      <c r="R2026" s="12">
        <f>+Tabla1[[#This Row],[COSTO TOTAL ALOJAMIENTO]]+Tabla1[[#This Row],[COSTO TOTAL COCHE]]</f>
        <v>1763.3333333333335</v>
      </c>
      <c r="S2026" s="2"/>
      <c r="T2026" s="2" t="s">
        <v>35</v>
      </c>
      <c r="U2026" s="14">
        <v>45637</v>
      </c>
      <c r="V2026" s="43"/>
      <c r="W2026" s="26"/>
      <c r="X2026" s="2">
        <v>5</v>
      </c>
      <c r="Y2026" s="11"/>
      <c r="Z2026" s="2" t="s">
        <v>36</v>
      </c>
      <c r="AA2026" s="13">
        <v>-0.37739</v>
      </c>
      <c r="AB2026" s="13" t="s">
        <v>10372</v>
      </c>
    </row>
    <row r="2027" spans="1:28" ht="15" customHeight="1">
      <c r="A2027" s="2" t="s">
        <v>9530</v>
      </c>
      <c r="B2027" s="2" t="s">
        <v>28</v>
      </c>
      <c r="C2027" s="191" t="s">
        <v>3555</v>
      </c>
      <c r="D2027" s="2" t="s">
        <v>30</v>
      </c>
      <c r="E2027" s="2" t="s">
        <v>380</v>
      </c>
      <c r="F2027" s="11" t="s">
        <v>1579</v>
      </c>
      <c r="G2027" s="11" t="s">
        <v>1580</v>
      </c>
      <c r="H2027" s="2" t="s">
        <v>3556</v>
      </c>
      <c r="I2027" s="12" t="s">
        <v>1582</v>
      </c>
      <c r="J2027" s="8">
        <f>+Tabla1[[#This Row],[FECHA ENTRADA]]</f>
        <v>45340</v>
      </c>
      <c r="K2027" s="8">
        <v>45730</v>
      </c>
      <c r="L2027" s="13">
        <f>_xlfn.DAYS(Tabla1[[#This Row],[FECHA FIN ]],Tabla1[[#This Row],[FECHA INICIO]])</f>
        <v>390</v>
      </c>
      <c r="M2027" s="12">
        <v>650</v>
      </c>
      <c r="N2027" s="28"/>
      <c r="O2027" s="12">
        <f>(Tabla1[[#This Row],[COSTO FIJO ]]/30)*Tabla1[[#This Row],[TOTAL DIAS PROYECTO]]+(Tabla1[[#This Row],[COSTO TEMPORAL]])</f>
        <v>650</v>
      </c>
      <c r="P2027" s="12"/>
      <c r="Q2027" s="12">
        <f>+(Tabla1[[#This Row],[COSTO COCHE]]/30)*Tabla1[[#This Row],[TOTAL DIAS PROYECTO]]</f>
        <v>0</v>
      </c>
      <c r="R2027" s="12">
        <f>+Tabla1[[#This Row],[COSTO TOTAL ALOJAMIENTO]]+Tabla1[[#This Row],[COSTO TOTAL COCHE]]</f>
        <v>650</v>
      </c>
      <c r="S2027" s="2"/>
      <c r="T2027" s="2" t="s">
        <v>35</v>
      </c>
      <c r="U2027" s="14">
        <v>45340</v>
      </c>
      <c r="V2027" s="14">
        <v>45473</v>
      </c>
      <c r="W2027" s="26">
        <v>320</v>
      </c>
      <c r="X2027" s="16">
        <v>1</v>
      </c>
      <c r="Y2027" s="11" t="s">
        <v>3557</v>
      </c>
      <c r="Z2027" s="2" t="s">
        <v>36</v>
      </c>
      <c r="AA2027" s="13" t="s">
        <v>10370</v>
      </c>
      <c r="AB2027" s="13" t="s">
        <v>10371</v>
      </c>
    </row>
    <row r="2028" spans="1:28">
      <c r="A2028" s="2" t="s">
        <v>9412</v>
      </c>
      <c r="B2028" s="2" t="s">
        <v>28</v>
      </c>
      <c r="C2028" s="104" t="s">
        <v>3095</v>
      </c>
      <c r="D2028" s="2" t="s">
        <v>99</v>
      </c>
      <c r="E2028" s="2" t="s">
        <v>245</v>
      </c>
      <c r="F2028" s="11" t="s">
        <v>2209</v>
      </c>
      <c r="G2028" s="49" t="s">
        <v>2210</v>
      </c>
      <c r="H2028" s="2" t="s">
        <v>3444</v>
      </c>
      <c r="I2028" s="12" t="s">
        <v>249</v>
      </c>
      <c r="J2028" s="41">
        <f>+Tabla1[[#This Row],[FECHA ENTRADA]]</f>
        <v>45774</v>
      </c>
      <c r="K2028" s="22">
        <v>45821</v>
      </c>
      <c r="L2028" s="23">
        <f>_xlfn.DAYS(Tabla1[[#This Row],[FECHA FIN ]],Tabla1[[#This Row],[FECHA INICIO]])</f>
        <v>47</v>
      </c>
      <c r="M2028" s="12"/>
      <c r="N2028" s="12">
        <f>238.29/4</f>
        <v>59.572499999999998</v>
      </c>
      <c r="O2028" s="24">
        <f>(Tabla1[[#This Row],[COSTO FIJO ]]/30)*Tabla1[[#This Row],[TOTAL DIAS PROYECTO]]+(Tabla1[[#This Row],[COSTO TEMPORAL]])</f>
        <v>93.330249999999992</v>
      </c>
      <c r="P2028" s="12"/>
      <c r="Q2028" s="12">
        <f>+(Tabla1[[#This Row],[COSTO COCHE]]/30)*Tabla1[[#This Row],[TOTAL DIAS PROYECTO]]</f>
        <v>0</v>
      </c>
      <c r="R2028" s="12">
        <f>+Tabla1[[#This Row],[COSTO TOTAL ALOJAMIENTO]]+Tabla1[[#This Row],[COSTO TOTAL COCHE]]</f>
        <v>93.330249999999992</v>
      </c>
      <c r="S2028" s="2" t="s">
        <v>84</v>
      </c>
      <c r="T2028" s="2" t="s">
        <v>44</v>
      </c>
      <c r="U2028" s="14">
        <v>45774</v>
      </c>
      <c r="V2028" s="25">
        <v>45778</v>
      </c>
      <c r="W2028" s="26"/>
      <c r="X2028" s="2"/>
      <c r="Y2028" s="160" t="s">
        <v>3542</v>
      </c>
      <c r="Z2028" s="2" t="s">
        <v>36</v>
      </c>
      <c r="AA2028" s="13" t="s">
        <v>10355</v>
      </c>
      <c r="AB2028" s="13" t="s">
        <v>10356</v>
      </c>
    </row>
    <row r="2029" spans="1:28">
      <c r="A2029" s="2" t="s">
        <v>9531</v>
      </c>
      <c r="B2029" s="2" t="s">
        <v>28</v>
      </c>
      <c r="C2029" s="115" t="s">
        <v>3558</v>
      </c>
      <c r="D2029" s="2" t="s">
        <v>30</v>
      </c>
      <c r="E2029" s="2" t="s">
        <v>380</v>
      </c>
      <c r="F2029" s="11" t="s">
        <v>383</v>
      </c>
      <c r="G2029" t="s">
        <v>381</v>
      </c>
      <c r="H2029" s="2" t="s">
        <v>3559</v>
      </c>
      <c r="I2029" s="2" t="s">
        <v>382</v>
      </c>
      <c r="J2029" s="41">
        <f>+Tabla1[[#This Row],[FECHA ENTRADA]]</f>
        <v>45594</v>
      </c>
      <c r="K2029" s="22">
        <v>45821</v>
      </c>
      <c r="L2029" s="42">
        <f>_xlfn.DAYS(Tabla1[[#This Row],[FECHA FIN ]],Tabla1[[#This Row],[FECHA INICIO]])</f>
        <v>227</v>
      </c>
      <c r="M2029" s="12"/>
      <c r="N2029" s="24"/>
      <c r="O2029" s="28">
        <f>(Tabla1[[#This Row],[COSTO FIJO ]]/30)*Tabla1[[#This Row],[TOTAL DIAS PROYECTO]]+(Tabla1[[#This Row],[COSTO TEMPORAL]])</f>
        <v>0</v>
      </c>
      <c r="P2029" s="12"/>
      <c r="Q2029" s="12">
        <f>+(Tabla1[[#This Row],[COSTO COCHE]]/30)*Tabla1[[#This Row],[TOTAL DIAS PROYECTO]]</f>
        <v>0</v>
      </c>
      <c r="R2029" s="12">
        <f>+Tabla1[[#This Row],[COSTO TOTAL ALOJAMIENTO]]+Tabla1[[#This Row],[COSTO TOTAL COCHE]]</f>
        <v>0</v>
      </c>
      <c r="S2029" s="2"/>
      <c r="T2029" s="2" t="s">
        <v>35</v>
      </c>
      <c r="U2029" s="14">
        <v>45594</v>
      </c>
      <c r="V2029" s="43"/>
      <c r="W2029" s="26"/>
      <c r="X2029" s="16">
        <v>5</v>
      </c>
      <c r="Y2029" s="11" t="s">
        <v>3560</v>
      </c>
      <c r="Z2029" s="2" t="s">
        <v>36</v>
      </c>
      <c r="AA2029" s="13" t="s">
        <v>10370</v>
      </c>
      <c r="AB2029" s="13" t="s">
        <v>10371</v>
      </c>
    </row>
    <row r="2030" spans="1:28" ht="15" customHeight="1">
      <c r="A2030" s="2" t="s">
        <v>9532</v>
      </c>
      <c r="B2030" s="2" t="s">
        <v>28</v>
      </c>
      <c r="C2030" s="192" t="s">
        <v>3561</v>
      </c>
      <c r="D2030" s="2" t="s">
        <v>30</v>
      </c>
      <c r="E2030" s="2" t="s">
        <v>380</v>
      </c>
      <c r="F2030" s="11" t="s">
        <v>1579</v>
      </c>
      <c r="G2030" s="11" t="s">
        <v>1580</v>
      </c>
      <c r="H2030" s="2" t="s">
        <v>3556</v>
      </c>
      <c r="I2030" s="12" t="s">
        <v>1582</v>
      </c>
      <c r="J2030" s="8">
        <f>+Tabla1[[#This Row],[FECHA ENTRADA]]</f>
        <v>45340</v>
      </c>
      <c r="K2030" s="22">
        <v>45748</v>
      </c>
      <c r="L2030" s="13">
        <f>_xlfn.DAYS(Tabla1[[#This Row],[FECHA FIN ]],Tabla1[[#This Row],[FECHA INICIO]])</f>
        <v>408</v>
      </c>
      <c r="M2030" s="12"/>
      <c r="N2030" s="12">
        <v>550</v>
      </c>
      <c r="O2030" s="12">
        <f>(Tabla1[[#This Row],[COSTO FIJO ]]/30)*Tabla1[[#This Row],[TOTAL DIAS PROYECTO]]+(Tabla1[[#This Row],[COSTO TEMPORAL]])</f>
        <v>7479.9999999999991</v>
      </c>
      <c r="P2030" s="12"/>
      <c r="Q2030" s="12">
        <f>+(Tabla1[[#This Row],[COSTO COCHE]]/30)*Tabla1[[#This Row],[TOTAL DIAS PROYECTO]]</f>
        <v>0</v>
      </c>
      <c r="R2030" s="12">
        <f>+Tabla1[[#This Row],[COSTO TOTAL ALOJAMIENTO]]+Tabla1[[#This Row],[COSTO TOTAL COCHE]]</f>
        <v>7479.9999999999991</v>
      </c>
      <c r="S2030" s="2"/>
      <c r="T2030" s="2" t="s">
        <v>35</v>
      </c>
      <c r="U2030" s="14">
        <v>45340</v>
      </c>
      <c r="V2030" s="14"/>
      <c r="W2030" s="26"/>
      <c r="X2030" s="16">
        <v>1</v>
      </c>
      <c r="Y2030" s="11" t="s">
        <v>3562</v>
      </c>
      <c r="Z2030" s="2" t="s">
        <v>36</v>
      </c>
      <c r="AA2030" s="13" t="s">
        <v>10370</v>
      </c>
      <c r="AB2030" s="13" t="s">
        <v>10371</v>
      </c>
    </row>
    <row r="2031" spans="1:28" ht="15" customHeight="1">
      <c r="A2031" s="2" t="s">
        <v>8903</v>
      </c>
      <c r="B2031" s="2" t="s">
        <v>28</v>
      </c>
      <c r="C2031" s="11" t="s">
        <v>1213</v>
      </c>
      <c r="D2031" s="2" t="s">
        <v>99</v>
      </c>
      <c r="E2031" s="2" t="s">
        <v>626</v>
      </c>
      <c r="F2031" s="11" t="s">
        <v>1408</v>
      </c>
      <c r="G2031" s="146" t="s">
        <v>1409</v>
      </c>
      <c r="H2031" s="2" t="s">
        <v>3462</v>
      </c>
      <c r="I2031" s="12" t="s">
        <v>570</v>
      </c>
      <c r="J2031" s="22">
        <f>+Tabla1[[#This Row],[FECHA ENTRADA]]</f>
        <v>45797</v>
      </c>
      <c r="K2031" s="22">
        <v>45821</v>
      </c>
      <c r="L2031" s="23">
        <f>_xlfn.DAYS(Tabla1[[#This Row],[FECHA FIN ]],Tabla1[[#This Row],[FECHA INICIO]])</f>
        <v>24</v>
      </c>
      <c r="M2031" s="12"/>
      <c r="N2031" s="24">
        <v>450</v>
      </c>
      <c r="O2031" s="24">
        <f>(Tabla1[[#This Row],[COSTO FIJO ]]/30)*Tabla1[[#This Row],[TOTAL DIAS PROYECTO]]+(Tabla1[[#This Row],[COSTO TEMPORAL]])</f>
        <v>360</v>
      </c>
      <c r="P2031" s="12"/>
      <c r="Q2031" s="12">
        <f>+(Tabla1[[#This Row],[COSTO COCHE]]/30)*Tabla1[[#This Row],[TOTAL DIAS PROYECTO]]</f>
        <v>0</v>
      </c>
      <c r="R2031" s="12">
        <f>+Tabla1[[#This Row],[COSTO TOTAL ALOJAMIENTO]]+Tabla1[[#This Row],[COSTO TOTAL COCHE]]</f>
        <v>360</v>
      </c>
      <c r="S2031" s="2"/>
      <c r="T2031" s="2" t="s">
        <v>35</v>
      </c>
      <c r="U2031" s="14">
        <v>45797</v>
      </c>
      <c r="V2031" s="98"/>
      <c r="W2031" s="2"/>
      <c r="X2031" s="2">
        <v>5</v>
      </c>
      <c r="Y2031" s="11" t="s">
        <v>1361</v>
      </c>
      <c r="Z2031" s="2" t="s">
        <v>36</v>
      </c>
      <c r="AA2031" s="13" t="s">
        <v>10385</v>
      </c>
      <c r="AB2031" s="13" t="s">
        <v>10386</v>
      </c>
    </row>
    <row r="2032" spans="1:28" ht="15" customHeight="1">
      <c r="A2032" s="2" t="s">
        <v>8642</v>
      </c>
      <c r="B2032" s="2" t="s">
        <v>28</v>
      </c>
      <c r="C2032" s="18" t="s">
        <v>2950</v>
      </c>
      <c r="D2032" s="2" t="s">
        <v>30</v>
      </c>
      <c r="E2032" s="2" t="s">
        <v>253</v>
      </c>
      <c r="F2032" s="11"/>
      <c r="G2032" s="11" t="s">
        <v>772</v>
      </c>
      <c r="H2032" s="2" t="s">
        <v>661</v>
      </c>
      <c r="I2032" s="2" t="s">
        <v>256</v>
      </c>
      <c r="J2032" s="8">
        <f>+Tabla1[[#This Row],[FECHA ENTRADA]]</f>
        <v>45340</v>
      </c>
      <c r="K2032" s="22">
        <v>45821</v>
      </c>
      <c r="L2032" s="13">
        <f>_xlfn.DAYS(Tabla1[[#This Row],[FECHA FIN ]],Tabla1[[#This Row],[FECHA INICIO]])</f>
        <v>481</v>
      </c>
      <c r="M2032" s="12"/>
      <c r="N2032" s="24"/>
      <c r="O2032" s="12">
        <f>(Tabla1[[#This Row],[COSTO FIJO ]]/30)*Tabla1[[#This Row],[TOTAL DIAS PROYECTO]]+(Tabla1[[#This Row],[COSTO TEMPORAL]])</f>
        <v>0</v>
      </c>
      <c r="P2032" s="12"/>
      <c r="Q2032" s="12">
        <f>+(Tabla1[[#This Row],[COSTO COCHE]]/30)*Tabla1[[#This Row],[TOTAL DIAS PROYECTO]]</f>
        <v>0</v>
      </c>
      <c r="R2032" s="12">
        <f>+Tabla1[[#This Row],[COSTO TOTAL ALOJAMIENTO]]+Tabla1[[#This Row],[COSTO TOTAL COCHE]]</f>
        <v>0</v>
      </c>
      <c r="S2032" s="2"/>
      <c r="T2032" s="2" t="s">
        <v>35</v>
      </c>
      <c r="U2032" s="14">
        <v>45340</v>
      </c>
      <c r="V2032" s="14"/>
      <c r="W2032" s="15"/>
      <c r="X2032" s="16">
        <v>5</v>
      </c>
      <c r="Y2032" s="11" t="s">
        <v>1261</v>
      </c>
      <c r="Z2032" s="2" t="s">
        <v>36</v>
      </c>
      <c r="AA2032" s="13" t="s">
        <v>10357</v>
      </c>
      <c r="AB2032" s="13" t="s">
        <v>10358</v>
      </c>
    </row>
    <row r="2033" spans="1:28" ht="15" customHeight="1">
      <c r="A2033" s="2" t="s">
        <v>9533</v>
      </c>
      <c r="B2033" s="2" t="s">
        <v>368</v>
      </c>
      <c r="C2033" s="11" t="s">
        <v>3563</v>
      </c>
      <c r="D2033" s="2" t="s">
        <v>99</v>
      </c>
      <c r="E2033" s="2" t="s">
        <v>422</v>
      </c>
      <c r="F2033" s="11" t="s">
        <v>1983</v>
      </c>
      <c r="G2033" s="11" t="s">
        <v>2067</v>
      </c>
      <c r="H2033" s="2" t="s">
        <v>3540</v>
      </c>
      <c r="I2033" s="12" t="s">
        <v>1435</v>
      </c>
      <c r="J2033" s="22">
        <f>+Tabla1[[#This Row],[FECHA ENTRADA]]</f>
        <v>45799</v>
      </c>
      <c r="K2033" s="8">
        <f>+Tabla1[[#This Row],[FECHA SALIDA]]</f>
        <v>45805</v>
      </c>
      <c r="L2033" s="23">
        <f>_xlfn.DAYS(Tabla1[[#This Row],[FECHA FIN ]],Tabla1[[#This Row],[FECHA INICIO]])</f>
        <v>6</v>
      </c>
      <c r="M2033" s="12"/>
      <c r="N2033" s="12">
        <v>123.5</v>
      </c>
      <c r="O2033" s="24">
        <f>(Tabla1[[#This Row],[COSTO FIJO ]]/30)*Tabla1[[#This Row],[TOTAL DIAS PROYECTO]]+(Tabla1[[#This Row],[COSTO TEMPORAL]])</f>
        <v>24.699999999999996</v>
      </c>
      <c r="P2033" s="12"/>
      <c r="Q2033" s="12">
        <f>+(Tabla1[[#This Row],[COSTO COCHE]]/30)*Tabla1[[#This Row],[TOTAL DIAS PROYECTO]]</f>
        <v>0</v>
      </c>
      <c r="R2033" s="12">
        <f>+Tabla1[[#This Row],[COSTO TOTAL ALOJAMIENTO]]+Tabla1[[#This Row],[COSTO TOTAL COCHE]]</f>
        <v>24.699999999999996</v>
      </c>
      <c r="S2033" s="2"/>
      <c r="T2033" s="14" t="s">
        <v>44</v>
      </c>
      <c r="U2033" s="14">
        <v>45799</v>
      </c>
      <c r="V2033" s="79">
        <v>45805</v>
      </c>
      <c r="W2033" s="2"/>
      <c r="X2033" s="2"/>
      <c r="Y2033" s="11"/>
      <c r="Z2033" s="2" t="s">
        <v>36</v>
      </c>
      <c r="AA2033" s="13">
        <v>-326.69799999999998</v>
      </c>
      <c r="AB2033" s="13" t="s">
        <v>10373</v>
      </c>
    </row>
    <row r="2034" spans="1:28" ht="15" customHeight="1">
      <c r="A2034" s="2" t="s">
        <v>9478</v>
      </c>
      <c r="B2034" s="2" t="s">
        <v>28</v>
      </c>
      <c r="C2034" s="11" t="s">
        <v>3340</v>
      </c>
      <c r="D2034" s="2" t="s">
        <v>30</v>
      </c>
      <c r="E2034" s="2" t="s">
        <v>151</v>
      </c>
      <c r="F2034" s="11" t="s">
        <v>1259</v>
      </c>
      <c r="G2034" s="46" t="s">
        <v>2557</v>
      </c>
      <c r="H2034" s="2" t="s">
        <v>2525</v>
      </c>
      <c r="I2034" s="12" t="s">
        <v>228</v>
      </c>
      <c r="J2034" s="22">
        <f>+Tabla1[[#This Row],[FECHA ENTRADA]]</f>
        <v>45809</v>
      </c>
      <c r="K2034" s="22">
        <v>45821</v>
      </c>
      <c r="L2034" s="42">
        <f>_xlfn.DAYS(Tabla1[[#This Row],[FECHA FIN ]],Tabla1[[#This Row],[FECHA INICIO]])</f>
        <v>12</v>
      </c>
      <c r="M2034" s="12"/>
      <c r="N2034" s="12"/>
      <c r="O2034" s="28">
        <f>(Tabla1[[#This Row],[COSTO FIJO ]]/30)*Tabla1[[#This Row],[TOTAL DIAS PROYECTO]]+(Tabla1[[#This Row],[COSTO TEMPORAL]])</f>
        <v>0</v>
      </c>
      <c r="P2034" s="12"/>
      <c r="Q2034" s="12">
        <f>+(Tabla1[[#This Row],[COSTO COCHE]]/30)*Tabla1[[#This Row],[TOTAL DIAS PROYECTO]]</f>
        <v>0</v>
      </c>
      <c r="R2034" s="12">
        <f>+Tabla1[[#This Row],[COSTO TOTAL ALOJAMIENTO]]+Tabla1[[#This Row],[COSTO TOTAL COCHE]]</f>
        <v>0</v>
      </c>
      <c r="S2034" s="2"/>
      <c r="T2034" s="2" t="s">
        <v>44</v>
      </c>
      <c r="U2034" s="14">
        <v>45809</v>
      </c>
      <c r="V2034" s="43">
        <v>45813</v>
      </c>
      <c r="W2034" s="26"/>
      <c r="X2034" s="2"/>
      <c r="Y2034" s="11"/>
      <c r="Z2034" s="2" t="s">
        <v>36</v>
      </c>
      <c r="AA2034" s="13" t="s">
        <v>10345</v>
      </c>
      <c r="AB2034" s="13" t="s">
        <v>10346</v>
      </c>
    </row>
    <row r="2035" spans="1:28" ht="15" customHeight="1">
      <c r="A2035" s="2" t="s">
        <v>9336</v>
      </c>
      <c r="B2035" s="2" t="s">
        <v>28</v>
      </c>
      <c r="C2035" s="191" t="s">
        <v>2850</v>
      </c>
      <c r="D2035" s="2" t="s">
        <v>30</v>
      </c>
      <c r="E2035" s="2" t="s">
        <v>87</v>
      </c>
      <c r="F2035" s="11" t="s">
        <v>1864</v>
      </c>
      <c r="G2035" s="11" t="s">
        <v>2195</v>
      </c>
      <c r="H2035" s="2" t="s">
        <v>3511</v>
      </c>
      <c r="I2035" s="12" t="s">
        <v>34</v>
      </c>
      <c r="J2035" s="41">
        <f>+Tabla1[[#This Row],[FECHA ENTRADA]]</f>
        <v>45636</v>
      </c>
      <c r="K2035" s="22">
        <v>45821</v>
      </c>
      <c r="L2035" s="42">
        <f>_xlfn.DAYS(Tabla1[[#This Row],[FECHA FIN ]],Tabla1[[#This Row],[FECHA INICIO]])</f>
        <v>185</v>
      </c>
      <c r="M2035" s="12"/>
      <c r="N2035" s="214"/>
      <c r="O2035" s="28">
        <f>(Tabla1[[#This Row],[COSTO FIJO ]]/30)*Tabla1[[#This Row],[TOTAL DIAS PROYECTO]]+(Tabla1[[#This Row],[COSTO TEMPORAL]])</f>
        <v>0</v>
      </c>
      <c r="P2035" s="12"/>
      <c r="Q2035" s="12">
        <f>+(Tabla1[[#This Row],[COSTO COCHE]]/30)*Tabla1[[#This Row],[TOTAL DIAS PROYECTO]]</f>
        <v>0</v>
      </c>
      <c r="R2035" s="12">
        <f>+Tabla1[[#This Row],[COSTO TOTAL ALOJAMIENTO]]+Tabla1[[#This Row],[COSTO TOTAL COCHE]]</f>
        <v>0</v>
      </c>
      <c r="S2035" s="2"/>
      <c r="T2035" s="2" t="s">
        <v>35</v>
      </c>
      <c r="U2035" s="14">
        <v>45636</v>
      </c>
      <c r="V2035" s="43"/>
      <c r="W2035" s="26"/>
      <c r="X2035" s="2">
        <v>5</v>
      </c>
      <c r="Y2035" s="11"/>
      <c r="Z2035" s="2" t="s">
        <v>36</v>
      </c>
      <c r="AA2035" s="13" t="s">
        <v>10335</v>
      </c>
      <c r="AB2035" s="13">
        <v>404.16500000000002</v>
      </c>
    </row>
    <row r="2036" spans="1:28" ht="15" customHeight="1">
      <c r="A2036" s="2" t="s">
        <v>9534</v>
      </c>
      <c r="B2036" s="2" t="s">
        <v>28</v>
      </c>
      <c r="C2036" s="104" t="s">
        <v>3564</v>
      </c>
      <c r="D2036" s="2" t="s">
        <v>30</v>
      </c>
      <c r="E2036" s="2" t="s">
        <v>151</v>
      </c>
      <c r="F2036" s="11" t="s">
        <v>1259</v>
      </c>
      <c r="G2036" s="46" t="s">
        <v>2557</v>
      </c>
      <c r="H2036" s="2" t="s">
        <v>2525</v>
      </c>
      <c r="I2036" s="12" t="s">
        <v>228</v>
      </c>
      <c r="J2036" s="22">
        <f>+Tabla1[[#This Row],[FECHA ENTRADA]]</f>
        <v>45809</v>
      </c>
      <c r="K2036" s="22">
        <v>45821</v>
      </c>
      <c r="L2036" s="42">
        <f>_xlfn.DAYS(Tabla1[[#This Row],[FECHA FIN ]],Tabla1[[#This Row],[FECHA INICIO]])</f>
        <v>12</v>
      </c>
      <c r="M2036" s="12"/>
      <c r="N2036" s="12">
        <v>41.25</v>
      </c>
      <c r="O2036" s="28">
        <f>(Tabla1[[#This Row],[COSTO FIJO ]]/30)*Tabla1[[#This Row],[TOTAL DIAS PROYECTO]]+(Tabla1[[#This Row],[COSTO TEMPORAL]])</f>
        <v>16.5</v>
      </c>
      <c r="P2036" s="12"/>
      <c r="Q2036" s="12">
        <f>+(Tabla1[[#This Row],[COSTO COCHE]]/30)*Tabla1[[#This Row],[TOTAL DIAS PROYECTO]]</f>
        <v>0</v>
      </c>
      <c r="R2036" s="12">
        <f>+Tabla1[[#This Row],[COSTO TOTAL ALOJAMIENTO]]+Tabla1[[#This Row],[COSTO TOTAL COCHE]]</f>
        <v>16.5</v>
      </c>
      <c r="S2036" s="2"/>
      <c r="T2036" s="2" t="s">
        <v>44</v>
      </c>
      <c r="U2036" s="14">
        <v>45809</v>
      </c>
      <c r="V2036" s="43">
        <v>45813</v>
      </c>
      <c r="W2036" s="26"/>
      <c r="X2036" s="2"/>
      <c r="Y2036" s="11"/>
      <c r="Z2036" s="2" t="s">
        <v>36</v>
      </c>
      <c r="AA2036" s="13" t="s">
        <v>10345</v>
      </c>
      <c r="AB2036" s="13" t="s">
        <v>10346</v>
      </c>
    </row>
    <row r="2037" spans="1:28" ht="15" customHeight="1">
      <c r="A2037" s="2" t="s">
        <v>9535</v>
      </c>
      <c r="B2037" s="2" t="s">
        <v>28</v>
      </c>
      <c r="C2037" s="104" t="s">
        <v>3565</v>
      </c>
      <c r="D2037" s="2" t="s">
        <v>30</v>
      </c>
      <c r="E2037" s="2" t="s">
        <v>151</v>
      </c>
      <c r="F2037" s="11" t="s">
        <v>1259</v>
      </c>
      <c r="G2037" s="46" t="s">
        <v>2557</v>
      </c>
      <c r="H2037" s="2" t="s">
        <v>2525</v>
      </c>
      <c r="I2037" s="12" t="s">
        <v>228</v>
      </c>
      <c r="J2037" s="22">
        <f>+Tabla1[[#This Row],[FECHA ENTRADA]]</f>
        <v>45809</v>
      </c>
      <c r="K2037" s="22">
        <v>45821</v>
      </c>
      <c r="L2037" s="42">
        <f>_xlfn.DAYS(Tabla1[[#This Row],[FECHA FIN ]],Tabla1[[#This Row],[FECHA INICIO]])</f>
        <v>12</v>
      </c>
      <c r="M2037" s="12"/>
      <c r="N2037" s="28"/>
      <c r="O2037" s="28">
        <f>(Tabla1[[#This Row],[COSTO FIJO ]]/30)*Tabla1[[#This Row],[TOTAL DIAS PROYECTO]]+(Tabla1[[#This Row],[COSTO TEMPORAL]])</f>
        <v>0</v>
      </c>
      <c r="P2037" s="12"/>
      <c r="Q2037" s="12">
        <f>+(Tabla1[[#This Row],[COSTO COCHE]]/30)*Tabla1[[#This Row],[TOTAL DIAS PROYECTO]]</f>
        <v>0</v>
      </c>
      <c r="R2037" s="12">
        <f>+Tabla1[[#This Row],[COSTO TOTAL ALOJAMIENTO]]+Tabla1[[#This Row],[COSTO TOTAL COCHE]]</f>
        <v>0</v>
      </c>
      <c r="S2037" s="2"/>
      <c r="T2037" s="2" t="s">
        <v>44</v>
      </c>
      <c r="U2037" s="14">
        <v>45809</v>
      </c>
      <c r="V2037" s="43">
        <v>45813</v>
      </c>
      <c r="W2037" s="26"/>
      <c r="X2037" s="2"/>
      <c r="Y2037" s="11"/>
      <c r="Z2037" s="2" t="s">
        <v>36</v>
      </c>
      <c r="AA2037" s="13" t="s">
        <v>10345</v>
      </c>
      <c r="AB2037" s="13" t="s">
        <v>10346</v>
      </c>
    </row>
    <row r="2038" spans="1:28" ht="15" customHeight="1">
      <c r="A2038" s="2" t="s">
        <v>9289</v>
      </c>
      <c r="B2038" s="2" t="s">
        <v>368</v>
      </c>
      <c r="C2038" s="191" t="s">
        <v>2705</v>
      </c>
      <c r="D2038" s="2" t="s">
        <v>30</v>
      </c>
      <c r="E2038" s="2" t="s">
        <v>415</v>
      </c>
      <c r="F2038" s="11" t="s">
        <v>487</v>
      </c>
      <c r="G2038" s="46" t="s">
        <v>488</v>
      </c>
      <c r="H2038" s="2" t="s">
        <v>3531</v>
      </c>
      <c r="I2038" s="12" t="s">
        <v>1447</v>
      </c>
      <c r="J2038" s="41">
        <f>+Tabla1[[#This Row],[FECHA ENTRADA]]</f>
        <v>45637</v>
      </c>
      <c r="K2038" s="22">
        <v>45821</v>
      </c>
      <c r="L2038" s="42">
        <f>_xlfn.DAYS(Tabla1[[#This Row],[FECHA FIN ]],Tabla1[[#This Row],[FECHA INICIO]])</f>
        <v>184</v>
      </c>
      <c r="M2038" s="12"/>
      <c r="N2038" s="12">
        <v>287.5</v>
      </c>
      <c r="O2038" s="28">
        <f>(Tabla1[[#This Row],[COSTO FIJO ]]/30)*Tabla1[[#This Row],[TOTAL DIAS PROYECTO]]+(Tabla1[[#This Row],[COSTO TEMPORAL]])</f>
        <v>1763.3333333333335</v>
      </c>
      <c r="P2038" s="12"/>
      <c r="Q2038" s="12">
        <f>+(Tabla1[[#This Row],[COSTO COCHE]]/30)*Tabla1[[#This Row],[TOTAL DIAS PROYECTO]]</f>
        <v>0</v>
      </c>
      <c r="R2038" s="12">
        <f>+Tabla1[[#This Row],[COSTO TOTAL ALOJAMIENTO]]+Tabla1[[#This Row],[COSTO TOTAL COCHE]]</f>
        <v>1763.3333333333335</v>
      </c>
      <c r="S2038" s="2"/>
      <c r="T2038" s="2" t="s">
        <v>35</v>
      </c>
      <c r="U2038" s="14">
        <v>45637</v>
      </c>
      <c r="V2038" s="43"/>
      <c r="W2038" s="26"/>
      <c r="X2038" s="2">
        <v>5</v>
      </c>
      <c r="Y2038" s="11"/>
      <c r="Z2038" s="2" t="s">
        <v>36</v>
      </c>
      <c r="AA2038" s="13">
        <v>-0.37739</v>
      </c>
      <c r="AB2038" s="13" t="s">
        <v>10372</v>
      </c>
    </row>
    <row r="2039" spans="1:28" ht="15" customHeight="1">
      <c r="A2039" s="2" t="s">
        <v>9447</v>
      </c>
      <c r="B2039" s="2" t="s">
        <v>28</v>
      </c>
      <c r="C2039" s="104" t="s">
        <v>3218</v>
      </c>
      <c r="D2039" s="2" t="s">
        <v>99</v>
      </c>
      <c r="E2039" s="2" t="s">
        <v>213</v>
      </c>
      <c r="F2039" s="11" t="s">
        <v>928</v>
      </c>
      <c r="G2039" t="s">
        <v>1031</v>
      </c>
      <c r="H2039" s="2" t="s">
        <v>1713</v>
      </c>
      <c r="I2039" s="12" t="s">
        <v>1627</v>
      </c>
      <c r="J2039" s="41">
        <f>+Tabla1[[#This Row],[FECHA ENTRADA]]</f>
        <v>45725</v>
      </c>
      <c r="K2039" s="22">
        <v>45821</v>
      </c>
      <c r="L2039" s="42">
        <f>_xlfn.DAYS(Tabla1[[#This Row],[FECHA FIN ]],Tabla1[[#This Row],[FECHA INICIO]])</f>
        <v>96</v>
      </c>
      <c r="M2039" s="12"/>
      <c r="N2039" s="24"/>
      <c r="O2039" s="28">
        <f>(Tabla1[[#This Row],[COSTO FIJO ]]/30)*Tabla1[[#This Row],[TOTAL DIAS PROYECTO]]+(Tabla1[[#This Row],[COSTO TEMPORAL]])</f>
        <v>0</v>
      </c>
      <c r="P2039" s="12"/>
      <c r="Q2039" s="12">
        <f>+(Tabla1[[#This Row],[COSTO COCHE]]/30)*Tabla1[[#This Row],[TOTAL DIAS PROYECTO]]</f>
        <v>0</v>
      </c>
      <c r="R2039" s="12">
        <f>+Tabla1[[#This Row],[COSTO TOTAL ALOJAMIENTO]]+Tabla1[[#This Row],[COSTO TOTAL COCHE]]</f>
        <v>0</v>
      </c>
      <c r="S2039" s="2"/>
      <c r="T2039" s="2" t="s">
        <v>35</v>
      </c>
      <c r="U2039" s="14">
        <v>45725</v>
      </c>
      <c r="V2039" s="43"/>
      <c r="W2039" s="26"/>
      <c r="X2039" s="2">
        <v>5</v>
      </c>
      <c r="Y2039" s="11"/>
      <c r="Z2039" s="2" t="s">
        <v>36</v>
      </c>
      <c r="AA2039" s="13" t="s">
        <v>10349</v>
      </c>
      <c r="AB2039" s="13" t="s">
        <v>10350</v>
      </c>
    </row>
    <row r="2040" spans="1:28">
      <c r="A2040" s="2" t="s">
        <v>9217</v>
      </c>
      <c r="B2040" s="2" t="s">
        <v>368</v>
      </c>
      <c r="C2040" s="115" t="s">
        <v>2477</v>
      </c>
      <c r="D2040" s="2" t="s">
        <v>30</v>
      </c>
      <c r="E2040" s="2" t="s">
        <v>985</v>
      </c>
      <c r="F2040" s="11" t="s">
        <v>1126</v>
      </c>
      <c r="G2040" s="30" t="s">
        <v>1127</v>
      </c>
      <c r="H2040" s="2" t="s">
        <v>3493</v>
      </c>
      <c r="I2040" s="12" t="s">
        <v>989</v>
      </c>
      <c r="J2040" s="41">
        <f>+Tabla1[[#This Row],[FECHA ENTRADA]]</f>
        <v>45634</v>
      </c>
      <c r="K2040" s="22">
        <v>45821</v>
      </c>
      <c r="L2040" s="42">
        <f>_xlfn.DAYS(Tabla1[[#This Row],[FECHA FIN ]],Tabla1[[#This Row],[FECHA INICIO]])</f>
        <v>187</v>
      </c>
      <c r="M2040" s="12"/>
      <c r="N2040" s="28">
        <v>412.5</v>
      </c>
      <c r="O2040" s="28">
        <f>(Tabla1[[#This Row],[COSTO FIJO ]]/30)*Tabla1[[#This Row],[TOTAL DIAS PROYECTO]]+(Tabla1[[#This Row],[COSTO TEMPORAL]])</f>
        <v>2571.25</v>
      </c>
      <c r="P2040" s="12"/>
      <c r="Q2040" s="12">
        <f>+(Tabla1[[#This Row],[COSTO COCHE]]/30)*Tabla1[[#This Row],[TOTAL DIAS PROYECTO]]</f>
        <v>0</v>
      </c>
      <c r="R2040" s="12">
        <f>+Tabla1[[#This Row],[COSTO TOTAL ALOJAMIENTO]]+Tabla1[[#This Row],[COSTO TOTAL COCHE]]</f>
        <v>2571.25</v>
      </c>
      <c r="S2040" s="2"/>
      <c r="T2040" s="2" t="s">
        <v>35</v>
      </c>
      <c r="U2040" s="14">
        <v>45634</v>
      </c>
      <c r="V2040" s="43"/>
      <c r="W2040" s="26"/>
      <c r="X2040" s="2">
        <v>5</v>
      </c>
      <c r="Y2040" s="11" t="s">
        <v>119</v>
      </c>
      <c r="Z2040" s="2" t="s">
        <v>36</v>
      </c>
      <c r="AA2040" s="13" t="s">
        <v>10407</v>
      </c>
      <c r="AB2040" s="13" t="s">
        <v>10408</v>
      </c>
    </row>
    <row r="2041" spans="1:28" ht="15" customHeight="1">
      <c r="A2041" s="2" t="s">
        <v>9536</v>
      </c>
      <c r="B2041" s="2" t="s">
        <v>28</v>
      </c>
      <c r="C2041" s="11" t="s">
        <v>3566</v>
      </c>
      <c r="D2041" s="2" t="s">
        <v>30</v>
      </c>
      <c r="E2041" s="2" t="s">
        <v>1987</v>
      </c>
      <c r="F2041" s="11" t="s">
        <v>3567</v>
      </c>
      <c r="G2041" s="49" t="s">
        <v>3568</v>
      </c>
      <c r="H2041" s="2" t="s">
        <v>3569</v>
      </c>
      <c r="I2041" s="12" t="s">
        <v>96</v>
      </c>
      <c r="J2041" s="22">
        <f>+Tabla1[[#This Row],[FECHA ENTRADA]]</f>
        <v>45904</v>
      </c>
      <c r="K2041" s="22">
        <v>45905</v>
      </c>
      <c r="L2041" s="23">
        <f>_xlfn.DAYS(Tabla1[[#This Row],[FECHA FIN ]],Tabla1[[#This Row],[FECHA INICIO]])</f>
        <v>1</v>
      </c>
      <c r="M2041" s="12"/>
      <c r="N2041" s="12">
        <v>497.33333333333331</v>
      </c>
      <c r="O2041" s="24">
        <f>(Tabla1[[#This Row],[COSTO FIJO ]]/30)*Tabla1[[#This Row],[TOTAL DIAS PROYECTO]]+(Tabla1[[#This Row],[COSTO TEMPORAL]])</f>
        <v>16.577777777777776</v>
      </c>
      <c r="P2041" s="12"/>
      <c r="Q2041" s="12">
        <f>+(Tabla1[[#This Row],[COSTO COCHE]]/30)*Tabla1[[#This Row],[TOTAL DIAS PROYECTO]]</f>
        <v>0</v>
      </c>
      <c r="R2041" s="12">
        <f>+Tabla1[[#This Row],[COSTO TOTAL ALOJAMIENTO]]+Tabla1[[#This Row],[COSTO TOTAL COCHE]]</f>
        <v>16.577777777777776</v>
      </c>
      <c r="S2041" s="2"/>
      <c r="T2041" s="14" t="s">
        <v>44</v>
      </c>
      <c r="U2041" s="14">
        <v>45904</v>
      </c>
      <c r="V2041" s="79">
        <v>45916</v>
      </c>
      <c r="W2041" s="71"/>
      <c r="X2041" s="2"/>
      <c r="Y2041" s="11" t="s">
        <v>3570</v>
      </c>
      <c r="Z2041" s="2" t="s">
        <v>36</v>
      </c>
      <c r="AA2041" s="13" t="s">
        <v>10435</v>
      </c>
      <c r="AB2041" s="13">
        <v>42.136150000000001</v>
      </c>
    </row>
    <row r="2042" spans="1:28">
      <c r="A2042" s="2" t="s">
        <v>9537</v>
      </c>
      <c r="B2042" s="2" t="s">
        <v>28</v>
      </c>
      <c r="C2042" s="11" t="s">
        <v>3571</v>
      </c>
      <c r="D2042" s="2" t="s">
        <v>99</v>
      </c>
      <c r="E2042" s="2" t="s">
        <v>213</v>
      </c>
      <c r="F2042" s="11" t="s">
        <v>3572</v>
      </c>
      <c r="G2042" s="100" t="s">
        <v>3573</v>
      </c>
      <c r="H2042" s="2" t="s">
        <v>2199</v>
      </c>
      <c r="I2042" s="12" t="s">
        <v>2473</v>
      </c>
      <c r="J2042" s="41">
        <f>+Tabla1[[#This Row],[FECHA ENTRADA]]</f>
        <v>45729</v>
      </c>
      <c r="K2042" s="22">
        <v>45821</v>
      </c>
      <c r="L2042" s="42">
        <f>_xlfn.DAYS(Tabla1[[#This Row],[FECHA FIN ]],Tabla1[[#This Row],[FECHA INICIO]])</f>
        <v>92</v>
      </c>
      <c r="M2042" s="12"/>
      <c r="N2042" s="28">
        <v>487.5</v>
      </c>
      <c r="O2042" s="28">
        <f>(Tabla1[[#This Row],[COSTO FIJO ]]/30)*Tabla1[[#This Row],[TOTAL DIAS PROYECTO]]+(Tabla1[[#This Row],[COSTO TEMPORAL]])</f>
        <v>1495</v>
      </c>
      <c r="P2042" s="12"/>
      <c r="Q2042" s="12">
        <f>+(Tabla1[[#This Row],[COSTO COCHE]]/30)*Tabla1[[#This Row],[TOTAL DIAS PROYECTO]]</f>
        <v>0</v>
      </c>
      <c r="R2042" s="12">
        <f>+Tabla1[[#This Row],[COSTO TOTAL ALOJAMIENTO]]+Tabla1[[#This Row],[COSTO TOTAL COCHE]]</f>
        <v>1495</v>
      </c>
      <c r="S2042" s="2"/>
      <c r="T2042" s="2" t="s">
        <v>35</v>
      </c>
      <c r="U2042" s="14">
        <v>45729</v>
      </c>
      <c r="V2042" s="43"/>
      <c r="W2042" s="26"/>
      <c r="X2042" s="2">
        <v>5</v>
      </c>
      <c r="Y2042" s="11"/>
      <c r="Z2042" s="2" t="s">
        <v>36</v>
      </c>
      <c r="AA2042" s="13" t="s">
        <v>10349</v>
      </c>
      <c r="AB2042" s="13" t="s">
        <v>10350</v>
      </c>
    </row>
    <row r="2043" spans="1:28">
      <c r="A2043" s="2" t="s">
        <v>9538</v>
      </c>
      <c r="B2043" s="2" t="s">
        <v>28</v>
      </c>
      <c r="C2043" s="31" t="s">
        <v>3574</v>
      </c>
      <c r="D2043" s="2" t="s">
        <v>99</v>
      </c>
      <c r="E2043" s="2" t="s">
        <v>213</v>
      </c>
      <c r="F2043" s="11" t="s">
        <v>1777</v>
      </c>
      <c r="G2043" s="46" t="s">
        <v>1778</v>
      </c>
      <c r="H2043" s="2" t="s">
        <v>1888</v>
      </c>
      <c r="I2043" s="12" t="s">
        <v>1627</v>
      </c>
      <c r="J2043" s="22">
        <f>+Tabla1[[#This Row],[FECHA ENTRADA]]</f>
        <v>45741</v>
      </c>
      <c r="K2043" s="22">
        <v>45821</v>
      </c>
      <c r="L2043" s="23">
        <f>_xlfn.DAYS(Tabla1[[#This Row],[FECHA FIN ]],Tabla1[[#This Row],[FECHA INICIO]])</f>
        <v>80</v>
      </c>
      <c r="M2043" s="12"/>
      <c r="N2043" s="12"/>
      <c r="O2043" s="24">
        <f>(Tabla1[[#This Row],[COSTO FIJO ]]/30)*Tabla1[[#This Row],[TOTAL DIAS PROYECTO]]+(Tabla1[[#This Row],[COSTO TEMPORAL]])</f>
        <v>0</v>
      </c>
      <c r="P2043" s="12">
        <v>100</v>
      </c>
      <c r="Q2043" s="12">
        <f>+(Tabla1[[#This Row],[COSTO COCHE]]/30)*Tabla1[[#This Row],[TOTAL DIAS PROYECTO]]</f>
        <v>266.66666666666669</v>
      </c>
      <c r="R2043" s="12">
        <f>+Tabla1[[#This Row],[COSTO TOTAL ALOJAMIENTO]]+Tabla1[[#This Row],[COSTO TOTAL COCHE]]</f>
        <v>266.66666666666669</v>
      </c>
      <c r="S2043" s="2"/>
      <c r="T2043" s="2" t="s">
        <v>35</v>
      </c>
      <c r="U2043" s="14">
        <v>45741</v>
      </c>
      <c r="V2043" s="79"/>
      <c r="W2043" s="26"/>
      <c r="X2043" s="2">
        <v>5</v>
      </c>
      <c r="Y2043" s="11"/>
      <c r="Z2043" s="2" t="s">
        <v>36</v>
      </c>
      <c r="AA2043" s="13" t="s">
        <v>10349</v>
      </c>
      <c r="AB2043" s="13" t="s">
        <v>10350</v>
      </c>
    </row>
    <row r="2044" spans="1:28" ht="15" customHeight="1">
      <c r="A2044" s="2" t="s">
        <v>9279</v>
      </c>
      <c r="B2044" s="2" t="s">
        <v>28</v>
      </c>
      <c r="C2044" s="18" t="s">
        <v>2685</v>
      </c>
      <c r="D2044" s="2" t="s">
        <v>30</v>
      </c>
      <c r="E2044" s="2" t="s">
        <v>127</v>
      </c>
      <c r="F2044" s="11" t="s">
        <v>682</v>
      </c>
      <c r="G2044" s="11" t="s">
        <v>683</v>
      </c>
      <c r="H2044" s="2" t="s">
        <v>684</v>
      </c>
      <c r="I2044" s="12" t="s">
        <v>377</v>
      </c>
      <c r="J2044" s="8">
        <f>+Tabla1[[#This Row],[FECHA ENTRADA]]</f>
        <v>45479</v>
      </c>
      <c r="K2044" s="22">
        <v>45821</v>
      </c>
      <c r="L2044" s="13">
        <f>_xlfn.DAYS(Tabla1[[#This Row],[FECHA FIN ]],Tabla1[[#This Row],[FECHA INICIO]])</f>
        <v>342</v>
      </c>
      <c r="M2044" s="12"/>
      <c r="N2044" s="12">
        <v>440</v>
      </c>
      <c r="O2044" s="12">
        <f>(Tabla1[[#This Row],[COSTO FIJO ]]/30)*Tabla1[[#This Row],[TOTAL DIAS PROYECTO]]+(Tabla1[[#This Row],[COSTO TEMPORAL]])</f>
        <v>5016</v>
      </c>
      <c r="P2044" s="12"/>
      <c r="Q2044" s="12">
        <f>+(Tabla1[[#This Row],[COSTO COCHE]]/30)*Tabla1[[#This Row],[TOTAL DIAS PROYECTO]]</f>
        <v>0</v>
      </c>
      <c r="R2044" s="12">
        <f>+Tabla1[[#This Row],[COSTO TOTAL ALOJAMIENTO]]+Tabla1[[#This Row],[COSTO TOTAL COCHE]]</f>
        <v>5016</v>
      </c>
      <c r="S2044" s="2"/>
      <c r="T2044" s="2" t="s">
        <v>35</v>
      </c>
      <c r="U2044" s="14">
        <v>45479</v>
      </c>
      <c r="V2044" s="14"/>
      <c r="W2044" s="26"/>
      <c r="X2044" s="2">
        <v>5</v>
      </c>
      <c r="Y2044" s="31" t="s">
        <v>685</v>
      </c>
      <c r="Z2044" s="2" t="s">
        <v>36</v>
      </c>
      <c r="AA2044" s="13" t="s">
        <v>10342</v>
      </c>
      <c r="AB2044" s="13" t="s">
        <v>10343</v>
      </c>
    </row>
    <row r="2045" spans="1:28" ht="15" customHeight="1">
      <c r="A2045" s="2" t="s">
        <v>9391</v>
      </c>
      <c r="B2045" s="2" t="s">
        <v>368</v>
      </c>
      <c r="C2045" s="99" t="s">
        <v>3018</v>
      </c>
      <c r="D2045" s="2" t="s">
        <v>30</v>
      </c>
      <c r="E2045" s="2" t="s">
        <v>213</v>
      </c>
      <c r="F2045" s="11" t="s">
        <v>1492</v>
      </c>
      <c r="G2045" s="30" t="s">
        <v>1493</v>
      </c>
      <c r="H2045" s="2" t="s">
        <v>1122</v>
      </c>
      <c r="I2045" s="12" t="s">
        <v>514</v>
      </c>
      <c r="J2045" s="41">
        <v>45631</v>
      </c>
      <c r="K2045" s="22">
        <v>45821</v>
      </c>
      <c r="L2045" s="42">
        <f>_xlfn.DAYS(Tabla1[[#This Row],[FECHA FIN ]],Tabla1[[#This Row],[FECHA INICIO]])</f>
        <v>190</v>
      </c>
      <c r="M2045" s="12"/>
      <c r="N2045" s="24"/>
      <c r="O2045" s="28">
        <f>(Tabla1[[#This Row],[COSTO FIJO ]]/30)*Tabla1[[#This Row],[TOTAL DIAS PROYECTO]]+(Tabla1[[#This Row],[COSTO TEMPORAL]])</f>
        <v>0</v>
      </c>
      <c r="P2045" s="12">
        <f>2586.33/21</f>
        <v>123.15857142857142</v>
      </c>
      <c r="Q2045" s="12">
        <f>+(Tabla1[[#This Row],[COSTO COCHE]]/30)*Tabla1[[#This Row],[TOTAL DIAS PROYECTO]]</f>
        <v>780.00428571428574</v>
      </c>
      <c r="R2045" s="12">
        <f>+Tabla1[[#This Row],[COSTO TOTAL ALOJAMIENTO]]+Tabla1[[#This Row],[COSTO TOTAL COCHE]]</f>
        <v>780.00428571428574</v>
      </c>
      <c r="S2045" s="2"/>
      <c r="T2045" s="2" t="s">
        <v>35</v>
      </c>
      <c r="U2045" s="14"/>
      <c r="V2045" s="43"/>
      <c r="W2045" s="26"/>
      <c r="X2045" s="2">
        <v>5</v>
      </c>
      <c r="Y2045" s="11"/>
      <c r="Z2045" s="2" t="s">
        <v>36</v>
      </c>
      <c r="AA2045" s="13" t="s">
        <v>10349</v>
      </c>
      <c r="AB2045" s="13" t="s">
        <v>10350</v>
      </c>
    </row>
    <row r="2046" spans="1:28">
      <c r="A2046" s="2" t="s">
        <v>9075</v>
      </c>
      <c r="B2046" s="2" t="s">
        <v>368</v>
      </c>
      <c r="C2046" s="11" t="s">
        <v>1901</v>
      </c>
      <c r="D2046" s="2" t="s">
        <v>30</v>
      </c>
      <c r="E2046" s="2" t="s">
        <v>380</v>
      </c>
      <c r="F2046" s="11" t="s">
        <v>2236</v>
      </c>
      <c r="G2046" t="s">
        <v>2237</v>
      </c>
      <c r="H2046" s="2" t="s">
        <v>3575</v>
      </c>
      <c r="I2046" s="12" t="s">
        <v>3086</v>
      </c>
      <c r="J2046" s="22">
        <f>+Tabla1[[#This Row],[FECHA ENTRADA]]</f>
        <v>45622</v>
      </c>
      <c r="K2046" s="22">
        <v>45658</v>
      </c>
      <c r="L2046" s="23">
        <f>_xlfn.DAYS(Tabla1[[#This Row],[FECHA FIN ]],Tabla1[[#This Row],[FECHA INICIO]])</f>
        <v>36</v>
      </c>
      <c r="M2046" s="12"/>
      <c r="N2046" s="12"/>
      <c r="O2046" s="24">
        <f>(Tabla1[[#This Row],[COSTO FIJO ]]/30)*Tabla1[[#This Row],[TOTAL DIAS PROYECTO]]+(Tabla1[[#This Row],[COSTO TEMPORAL]])</f>
        <v>0</v>
      </c>
      <c r="P2046" s="12"/>
      <c r="Q2046" s="12">
        <f>+(Tabla1[[#This Row],[COSTO COCHE]]/30)*Tabla1[[#This Row],[TOTAL DIAS PROYECTO]]</f>
        <v>0</v>
      </c>
      <c r="R2046" s="12">
        <f>+Tabla1[[#This Row],[COSTO TOTAL ALOJAMIENTO]]+Tabla1[[#This Row],[COSTO TOTAL COCHE]]</f>
        <v>0</v>
      </c>
      <c r="S2046" s="2"/>
      <c r="T2046" s="2" t="s">
        <v>35</v>
      </c>
      <c r="U2046" s="14">
        <v>45622</v>
      </c>
      <c r="V2046" s="25"/>
      <c r="W2046" s="26"/>
      <c r="X2046" s="2"/>
      <c r="Y2046" s="11" t="s">
        <v>3576</v>
      </c>
      <c r="Z2046" s="2" t="s">
        <v>36</v>
      </c>
      <c r="AA2046" s="13" t="s">
        <v>10370</v>
      </c>
      <c r="AB2046" s="13" t="s">
        <v>10371</v>
      </c>
    </row>
    <row r="2047" spans="1:28" ht="15" customHeight="1">
      <c r="A2047" s="2" t="s">
        <v>9404</v>
      </c>
      <c r="B2047" s="2" t="s">
        <v>978</v>
      </c>
      <c r="C2047" s="86" t="s">
        <v>3073</v>
      </c>
      <c r="D2047" s="2" t="s">
        <v>30</v>
      </c>
      <c r="E2047" s="2" t="s">
        <v>253</v>
      </c>
      <c r="F2047" s="11" t="s">
        <v>3577</v>
      </c>
      <c r="G2047" s="46" t="s">
        <v>3578</v>
      </c>
      <c r="H2047" s="2" t="s">
        <v>1530</v>
      </c>
      <c r="I2047" s="12" t="s">
        <v>1155</v>
      </c>
      <c r="J2047" s="22">
        <f>+Tabla1[[#This Row],[FECHA ENTRADA]]</f>
        <v>45574</v>
      </c>
      <c r="K2047" s="22">
        <v>45821</v>
      </c>
      <c r="L2047" s="42">
        <f>_xlfn.DAYS(Tabla1[[#This Row],[FECHA FIN ]],Tabla1[[#This Row],[FECHA INICIO]])</f>
        <v>247</v>
      </c>
      <c r="M2047" s="12"/>
      <c r="N2047" s="28">
        <v>480</v>
      </c>
      <c r="O2047" s="28">
        <f>(Tabla1[[#This Row],[COSTO FIJO ]]/30)*Tabla1[[#This Row],[TOTAL DIAS PROYECTO]]+(Tabla1[[#This Row],[COSTO TEMPORAL]])</f>
        <v>3952</v>
      </c>
      <c r="P2047" s="12"/>
      <c r="Q2047" s="12">
        <f>+(Tabla1[[#This Row],[COSTO COCHE]]/30)*Tabla1[[#This Row],[TOTAL DIAS PROYECTO]]</f>
        <v>0</v>
      </c>
      <c r="R2047" s="12">
        <f>+Tabla1[[#This Row],[COSTO TOTAL ALOJAMIENTO]]+Tabla1[[#This Row],[COSTO TOTAL COCHE]]</f>
        <v>3952</v>
      </c>
      <c r="S2047" s="2"/>
      <c r="T2047" s="2" t="s">
        <v>35</v>
      </c>
      <c r="U2047" s="14">
        <v>45574</v>
      </c>
      <c r="V2047" s="43"/>
      <c r="W2047" s="26"/>
      <c r="X2047" s="2">
        <v>5</v>
      </c>
      <c r="Y2047" s="11"/>
      <c r="Z2047" s="2" t="s">
        <v>36</v>
      </c>
      <c r="AA2047" s="13" t="s">
        <v>10357</v>
      </c>
      <c r="AB2047" s="13" t="s">
        <v>10358</v>
      </c>
    </row>
    <row r="2048" spans="1:28" ht="15" customHeight="1">
      <c r="A2048" s="2" t="s">
        <v>9006</v>
      </c>
      <c r="B2048" s="2" t="s">
        <v>28</v>
      </c>
      <c r="C2048" s="31" t="s">
        <v>1675</v>
      </c>
      <c r="D2048" s="2" t="s">
        <v>30</v>
      </c>
      <c r="E2048" s="2" t="s">
        <v>939</v>
      </c>
      <c r="F2048" s="11" t="s">
        <v>2440</v>
      </c>
      <c r="G2048" s="49" t="s">
        <v>2441</v>
      </c>
      <c r="H2048" s="2" t="s">
        <v>2442</v>
      </c>
      <c r="I2048" s="12" t="s">
        <v>2443</v>
      </c>
      <c r="J2048" s="22">
        <f>+Tabla1[[#This Row],[FECHA ENTRADA]]</f>
        <v>45797</v>
      </c>
      <c r="K2048" s="22">
        <v>45821</v>
      </c>
      <c r="L2048" s="23">
        <f>_xlfn.DAYS(Tabla1[[#This Row],[FECHA FIN ]],Tabla1[[#This Row],[FECHA INICIO]])</f>
        <v>24</v>
      </c>
      <c r="M2048" s="12"/>
      <c r="N2048" s="12"/>
      <c r="O2048" s="24">
        <f>(Tabla1[[#This Row],[COSTO FIJO ]]/30)*Tabla1[[#This Row],[TOTAL DIAS PROYECTO]]+(Tabla1[[#This Row],[COSTO TEMPORAL]])</f>
        <v>0</v>
      </c>
      <c r="P2048" s="12"/>
      <c r="Q2048" s="12">
        <f>+(Tabla1[[#This Row],[COSTO COCHE]]/30)*Tabla1[[#This Row],[TOTAL DIAS PROYECTO]]</f>
        <v>0</v>
      </c>
      <c r="R2048" s="12">
        <f>+Tabla1[[#This Row],[COSTO TOTAL ALOJAMIENTO]]+Tabla1[[#This Row],[COSTO TOTAL COCHE]]</f>
        <v>0</v>
      </c>
      <c r="S2048" s="2"/>
      <c r="T2048" s="2" t="s">
        <v>44</v>
      </c>
      <c r="U2048" s="14">
        <v>45797</v>
      </c>
      <c r="V2048" s="25">
        <v>45815</v>
      </c>
      <c r="W2048" s="26"/>
      <c r="X2048" s="2"/>
      <c r="Z2048" s="2" t="s">
        <v>36</v>
      </c>
      <c r="AA2048" s="13" t="s">
        <v>10405</v>
      </c>
      <c r="AB2048" s="13" t="s">
        <v>10406</v>
      </c>
    </row>
    <row r="2049" spans="1:28" ht="15" customHeight="1">
      <c r="A2049" s="2" t="s">
        <v>9539</v>
      </c>
      <c r="B2049" s="2" t="s">
        <v>28</v>
      </c>
      <c r="C2049" s="11" t="s">
        <v>3579</v>
      </c>
      <c r="D2049" s="2" t="s">
        <v>99</v>
      </c>
      <c r="E2049" s="2" t="s">
        <v>245</v>
      </c>
      <c r="F2049" s="11" t="s">
        <v>2209</v>
      </c>
      <c r="G2049" s="49" t="s">
        <v>2210</v>
      </c>
      <c r="H2049" s="2" t="s">
        <v>3444</v>
      </c>
      <c r="I2049" s="12" t="s">
        <v>249</v>
      </c>
      <c r="J2049" s="41">
        <f>+Tabla1[[#This Row],[FECHA ENTRADA]]</f>
        <v>45774</v>
      </c>
      <c r="K2049" s="22">
        <v>45821</v>
      </c>
      <c r="L2049" s="23">
        <f>_xlfn.DAYS(Tabla1[[#This Row],[FECHA FIN ]],Tabla1[[#This Row],[FECHA INICIO]])</f>
        <v>47</v>
      </c>
      <c r="M2049" s="12"/>
      <c r="N2049" s="12">
        <f>238.29/4</f>
        <v>59.572499999999998</v>
      </c>
      <c r="O2049" s="24">
        <f>(Tabla1[[#This Row],[COSTO FIJO ]]/30)*Tabla1[[#This Row],[TOTAL DIAS PROYECTO]]+(Tabla1[[#This Row],[COSTO TEMPORAL]])</f>
        <v>93.330249999999992</v>
      </c>
      <c r="P2049" s="12"/>
      <c r="Q2049" s="12">
        <f>+(Tabla1[[#This Row],[COSTO COCHE]]/30)*Tabla1[[#This Row],[TOTAL DIAS PROYECTO]]</f>
        <v>0</v>
      </c>
      <c r="R2049" s="12">
        <f>+Tabla1[[#This Row],[COSTO TOTAL ALOJAMIENTO]]+Tabla1[[#This Row],[COSTO TOTAL COCHE]]</f>
        <v>93.330249999999992</v>
      </c>
      <c r="S2049" s="2" t="s">
        <v>84</v>
      </c>
      <c r="T2049" s="2" t="s">
        <v>44</v>
      </c>
      <c r="U2049" s="14">
        <v>45774</v>
      </c>
      <c r="V2049" s="25">
        <v>45778</v>
      </c>
      <c r="W2049" s="26"/>
      <c r="X2049" s="2"/>
      <c r="Y2049" s="11" t="s">
        <v>2311</v>
      </c>
      <c r="Z2049" s="2" t="s">
        <v>36</v>
      </c>
      <c r="AA2049" s="13" t="s">
        <v>10355</v>
      </c>
      <c r="AB2049" s="13" t="s">
        <v>10356</v>
      </c>
    </row>
    <row r="2050" spans="1:28" ht="15" customHeight="1">
      <c r="A2050" s="2" t="s">
        <v>9426</v>
      </c>
      <c r="B2050" s="2" t="s">
        <v>28</v>
      </c>
      <c r="C2050" s="31" t="s">
        <v>3128</v>
      </c>
      <c r="D2050" s="2" t="s">
        <v>30</v>
      </c>
      <c r="E2050" s="2" t="s">
        <v>939</v>
      </c>
      <c r="F2050" s="11" t="s">
        <v>2440</v>
      </c>
      <c r="G2050" s="49" t="s">
        <v>2441</v>
      </c>
      <c r="H2050" s="2" t="s">
        <v>2442</v>
      </c>
      <c r="I2050" s="12" t="s">
        <v>2443</v>
      </c>
      <c r="J2050" s="22">
        <f>+Tabla1[[#This Row],[FECHA ENTRADA]]</f>
        <v>45797</v>
      </c>
      <c r="K2050" s="22">
        <v>45820</v>
      </c>
      <c r="L2050" s="23">
        <f>_xlfn.DAYS(Tabla1[[#This Row],[FECHA FIN ]],Tabla1[[#This Row],[FECHA INICIO]])</f>
        <v>23</v>
      </c>
      <c r="M2050" s="12"/>
      <c r="N2050" s="12">
        <v>155.75</v>
      </c>
      <c r="O2050" s="24">
        <f>(Tabla1[[#This Row],[COSTO FIJO ]]/30)*Tabla1[[#This Row],[TOTAL DIAS PROYECTO]]+(Tabla1[[#This Row],[COSTO TEMPORAL]])</f>
        <v>119.40833333333333</v>
      </c>
      <c r="P2050" s="12"/>
      <c r="Q2050" s="12">
        <f>+(Tabla1[[#This Row],[COSTO COCHE]]/30)*Tabla1[[#This Row],[TOTAL DIAS PROYECTO]]</f>
        <v>0</v>
      </c>
      <c r="R2050" s="12">
        <f>+Tabla1[[#This Row],[COSTO TOTAL ALOJAMIENTO]]+Tabla1[[#This Row],[COSTO TOTAL COCHE]]</f>
        <v>119.40833333333333</v>
      </c>
      <c r="S2050" s="2"/>
      <c r="T2050" s="2" t="s">
        <v>44</v>
      </c>
      <c r="U2050" s="14">
        <v>45797</v>
      </c>
      <c r="V2050" s="25">
        <v>45815</v>
      </c>
      <c r="W2050" s="26"/>
      <c r="X2050" s="2"/>
      <c r="Z2050" s="2" t="s">
        <v>36</v>
      </c>
      <c r="AA2050" s="13" t="s">
        <v>10405</v>
      </c>
      <c r="AB2050" s="13" t="s">
        <v>10406</v>
      </c>
    </row>
    <row r="2051" spans="1:28" ht="15" customHeight="1">
      <c r="A2051" s="2" t="s">
        <v>9540</v>
      </c>
      <c r="B2051" s="2" t="s">
        <v>28</v>
      </c>
      <c r="C2051" s="31" t="s">
        <v>3580</v>
      </c>
      <c r="D2051" s="2" t="s">
        <v>30</v>
      </c>
      <c r="E2051" s="2" t="s">
        <v>939</v>
      </c>
      <c r="F2051" s="11" t="s">
        <v>2440</v>
      </c>
      <c r="G2051" s="49" t="s">
        <v>2441</v>
      </c>
      <c r="H2051" s="2" t="s">
        <v>2442</v>
      </c>
      <c r="I2051" s="12" t="s">
        <v>2443</v>
      </c>
      <c r="J2051" s="22">
        <f>+Tabla1[[#This Row],[FECHA ENTRADA]]</f>
        <v>45797</v>
      </c>
      <c r="K2051" s="22">
        <v>45821</v>
      </c>
      <c r="L2051" s="23">
        <f>_xlfn.DAYS(Tabla1[[#This Row],[FECHA FIN ]],Tabla1[[#This Row],[FECHA INICIO]])</f>
        <v>24</v>
      </c>
      <c r="M2051" s="12"/>
      <c r="N2051" s="24"/>
      <c r="O2051" s="24">
        <f>(Tabla1[[#This Row],[COSTO FIJO ]]/30)*Tabla1[[#This Row],[TOTAL DIAS PROYECTO]]+(Tabla1[[#This Row],[COSTO TEMPORAL]])</f>
        <v>0</v>
      </c>
      <c r="P2051" s="12"/>
      <c r="Q2051" s="12">
        <f>+(Tabla1[[#This Row],[COSTO COCHE]]/30)*Tabla1[[#This Row],[TOTAL DIAS PROYECTO]]</f>
        <v>0</v>
      </c>
      <c r="R2051" s="12">
        <f>+Tabla1[[#This Row],[COSTO TOTAL ALOJAMIENTO]]+Tabla1[[#This Row],[COSTO TOTAL COCHE]]</f>
        <v>0</v>
      </c>
      <c r="S2051" s="2"/>
      <c r="T2051" s="2" t="s">
        <v>44</v>
      </c>
      <c r="U2051" s="14">
        <v>45797</v>
      </c>
      <c r="V2051" s="25">
        <v>45815</v>
      </c>
      <c r="W2051" s="26"/>
      <c r="X2051" s="2"/>
      <c r="Z2051" s="2" t="s">
        <v>36</v>
      </c>
      <c r="AA2051" s="13" t="s">
        <v>10405</v>
      </c>
      <c r="AB2051" s="13" t="s">
        <v>10406</v>
      </c>
    </row>
    <row r="2052" spans="1:28" ht="15" customHeight="1">
      <c r="A2052" s="2" t="s">
        <v>9541</v>
      </c>
      <c r="B2052" s="2" t="s">
        <v>28</v>
      </c>
      <c r="C2052" s="11" t="s">
        <v>3581</v>
      </c>
      <c r="D2052" s="2" t="s">
        <v>30</v>
      </c>
      <c r="E2052" s="2" t="s">
        <v>939</v>
      </c>
      <c r="F2052" s="11" t="s">
        <v>2440</v>
      </c>
      <c r="G2052" s="49" t="s">
        <v>2441</v>
      </c>
      <c r="H2052" s="2" t="s">
        <v>2442</v>
      </c>
      <c r="I2052" s="12" t="s">
        <v>2443</v>
      </c>
      <c r="J2052" s="22">
        <f>+Tabla1[[#This Row],[FECHA ENTRADA]]</f>
        <v>45797</v>
      </c>
      <c r="K2052" s="22">
        <v>45821</v>
      </c>
      <c r="L2052" s="23">
        <f>_xlfn.DAYS(Tabla1[[#This Row],[FECHA FIN ]],Tabla1[[#This Row],[FECHA INICIO]])</f>
        <v>24</v>
      </c>
      <c r="M2052" s="12"/>
      <c r="N2052" s="24"/>
      <c r="O2052" s="24">
        <f>(Tabla1[[#This Row],[COSTO FIJO ]]/30)*Tabla1[[#This Row],[TOTAL DIAS PROYECTO]]+(Tabla1[[#This Row],[COSTO TEMPORAL]])</f>
        <v>0</v>
      </c>
      <c r="P2052" s="12"/>
      <c r="Q2052" s="12">
        <f>+(Tabla1[[#This Row],[COSTO COCHE]]/30)*Tabla1[[#This Row],[TOTAL DIAS PROYECTO]]</f>
        <v>0</v>
      </c>
      <c r="R2052" s="12">
        <f>+Tabla1[[#This Row],[COSTO TOTAL ALOJAMIENTO]]+Tabla1[[#This Row],[COSTO TOTAL COCHE]]</f>
        <v>0</v>
      </c>
      <c r="S2052" s="2"/>
      <c r="T2052" s="2" t="s">
        <v>44</v>
      </c>
      <c r="U2052" s="14">
        <v>45797</v>
      </c>
      <c r="V2052" s="25">
        <v>45815</v>
      </c>
      <c r="W2052" s="26"/>
      <c r="X2052" s="2"/>
      <c r="Z2052" s="2" t="s">
        <v>36</v>
      </c>
      <c r="AA2052" s="13" t="s">
        <v>10405</v>
      </c>
      <c r="AB2052" s="13" t="s">
        <v>10406</v>
      </c>
    </row>
    <row r="2053" spans="1:28" ht="15" customHeight="1">
      <c r="A2053" s="2" t="s">
        <v>9542</v>
      </c>
      <c r="B2053" s="2" t="s">
        <v>368</v>
      </c>
      <c r="C2053" s="11" t="s">
        <v>3582</v>
      </c>
      <c r="D2053" s="2" t="s">
        <v>99</v>
      </c>
      <c r="E2053" s="2" t="s">
        <v>422</v>
      </c>
      <c r="F2053" s="11" t="s">
        <v>1983</v>
      </c>
      <c r="G2053" s="11" t="s">
        <v>2067</v>
      </c>
      <c r="H2053" s="2" t="s">
        <v>3540</v>
      </c>
      <c r="I2053" s="12" t="s">
        <v>1435</v>
      </c>
      <c r="J2053" s="22">
        <f>+Tabla1[[#This Row],[FECHA ENTRADA]]</f>
        <v>45799</v>
      </c>
      <c r="K2053" s="8">
        <f>+Tabla1[[#This Row],[FECHA SALIDA]]</f>
        <v>45805</v>
      </c>
      <c r="L2053" s="23">
        <f>_xlfn.DAYS(Tabla1[[#This Row],[FECHA FIN ]],Tabla1[[#This Row],[FECHA INICIO]])</f>
        <v>6</v>
      </c>
      <c r="M2053" s="12"/>
      <c r="N2053" s="12">
        <v>123.5</v>
      </c>
      <c r="O2053" s="24">
        <f>(Tabla1[[#This Row],[COSTO FIJO ]]/30)*Tabla1[[#This Row],[TOTAL DIAS PROYECTO]]+(Tabla1[[#This Row],[COSTO TEMPORAL]])</f>
        <v>24.699999999999996</v>
      </c>
      <c r="P2053" s="12"/>
      <c r="Q2053" s="12">
        <f>+(Tabla1[[#This Row],[COSTO COCHE]]/30)*Tabla1[[#This Row],[TOTAL DIAS PROYECTO]]</f>
        <v>0</v>
      </c>
      <c r="R2053" s="12">
        <f>+Tabla1[[#This Row],[COSTO TOTAL ALOJAMIENTO]]+Tabla1[[#This Row],[COSTO TOTAL COCHE]]</f>
        <v>24.699999999999996</v>
      </c>
      <c r="S2053" s="2"/>
      <c r="T2053" s="14" t="s">
        <v>44</v>
      </c>
      <c r="U2053" s="14">
        <v>45799</v>
      </c>
      <c r="V2053" s="79">
        <v>45805</v>
      </c>
      <c r="W2053" s="2"/>
      <c r="X2053" s="2"/>
      <c r="Y2053" s="11"/>
      <c r="Z2053" s="2" t="s">
        <v>36</v>
      </c>
      <c r="AA2053" s="13">
        <v>-326.69799999999998</v>
      </c>
      <c r="AB2053" s="13" t="s">
        <v>10373</v>
      </c>
    </row>
    <row r="2054" spans="1:28" ht="15" customHeight="1">
      <c r="A2054" s="2" t="s">
        <v>9543</v>
      </c>
      <c r="B2054" s="2" t="s">
        <v>711</v>
      </c>
      <c r="C2054" s="11" t="s">
        <v>3583</v>
      </c>
      <c r="D2054" s="2" t="s">
        <v>30</v>
      </c>
      <c r="E2054" s="2" t="s">
        <v>648</v>
      </c>
      <c r="F2054" s="11" t="s">
        <v>712</v>
      </c>
      <c r="G2054" t="s">
        <v>713</v>
      </c>
      <c r="H2054" s="2" t="s">
        <v>2254</v>
      </c>
      <c r="I2054" s="12" t="s">
        <v>96</v>
      </c>
      <c r="J2054" s="41">
        <f>+Tabla1[[#This Row],[FECHA ENTRADA]]</f>
        <v>45921</v>
      </c>
      <c r="K2054" s="41">
        <v>45922</v>
      </c>
      <c r="L2054" s="42">
        <f>_xlfn.DAYS(Tabla1[[#This Row],[FECHA FIN ]],Tabla1[[#This Row],[FECHA INICIO]])</f>
        <v>1</v>
      </c>
      <c r="M2054" s="12"/>
      <c r="N2054" s="24">
        <v>133.33333333333334</v>
      </c>
      <c r="O2054" s="28">
        <f>(Tabla1[[#This Row],[COSTO FIJO ]]/30)*Tabla1[[#This Row],[TOTAL DIAS PROYECTO]]+(Tabla1[[#This Row],[COSTO TEMPORAL]])</f>
        <v>4.4444444444444446</v>
      </c>
      <c r="P2054" s="12"/>
      <c r="Q2054" s="12">
        <f>+(Tabla1[[#This Row],[COSTO COCHE]]/30)*Tabla1[[#This Row],[TOTAL DIAS PROYECTO]]</f>
        <v>0</v>
      </c>
      <c r="R2054" s="12">
        <f>+Tabla1[[#This Row],[COSTO TOTAL ALOJAMIENTO]]+Tabla1[[#This Row],[COSTO TOTAL COCHE]]</f>
        <v>4.4444444444444446</v>
      </c>
      <c r="S2054" s="2"/>
      <c r="T2054" s="14" t="s">
        <v>35</v>
      </c>
      <c r="U2054" s="14">
        <v>45921</v>
      </c>
      <c r="V2054" s="43"/>
      <c r="W2054" s="71"/>
      <c r="X2054" s="2">
        <v>14</v>
      </c>
      <c r="Y2054" s="11"/>
      <c r="Z2054" s="2" t="s">
        <v>36</v>
      </c>
      <c r="AA2054" s="13" t="s">
        <v>10387</v>
      </c>
      <c r="AB2054" s="13" t="s">
        <v>10388</v>
      </c>
    </row>
    <row r="2055" spans="1:28" ht="15" customHeight="1">
      <c r="A2055" s="2" t="s">
        <v>9054</v>
      </c>
      <c r="B2055" s="2" t="s">
        <v>28</v>
      </c>
      <c r="C2055" s="86" t="s">
        <v>1815</v>
      </c>
      <c r="D2055" s="2" t="s">
        <v>30</v>
      </c>
      <c r="E2055" s="2" t="s">
        <v>87</v>
      </c>
      <c r="F2055" s="11" t="s">
        <v>1864</v>
      </c>
      <c r="G2055" s="11" t="s">
        <v>2195</v>
      </c>
      <c r="H2055" s="2" t="s">
        <v>3550</v>
      </c>
      <c r="I2055" s="12" t="s">
        <v>34</v>
      </c>
      <c r="J2055" s="22">
        <f>+Tabla1[[#This Row],[FECHA ENTRADA]]</f>
        <v>45627</v>
      </c>
      <c r="K2055" s="22">
        <v>45821</v>
      </c>
      <c r="L2055" s="23">
        <f>_xlfn.DAYS(Tabla1[[#This Row],[FECHA FIN ]],Tabla1[[#This Row],[FECHA INICIO]])</f>
        <v>194</v>
      </c>
      <c r="M2055" s="12"/>
      <c r="N2055" s="12">
        <v>363.25</v>
      </c>
      <c r="O2055" s="24">
        <f>(Tabla1[[#This Row],[COSTO FIJO ]]/30)*Tabla1[[#This Row],[TOTAL DIAS PROYECTO]]+(Tabla1[[#This Row],[COSTO TEMPORAL]])</f>
        <v>2349.0166666666664</v>
      </c>
      <c r="P2055" s="12"/>
      <c r="Q2055" s="12">
        <f>+(Tabla1[[#This Row],[COSTO COCHE]]/30)*Tabla1[[#This Row],[TOTAL DIAS PROYECTO]]</f>
        <v>0</v>
      </c>
      <c r="R2055" s="12">
        <f>+Tabla1[[#This Row],[COSTO TOTAL ALOJAMIENTO]]+Tabla1[[#This Row],[COSTO TOTAL COCHE]]</f>
        <v>2349.0166666666664</v>
      </c>
      <c r="S2055" s="2"/>
      <c r="T2055" s="2" t="s">
        <v>35</v>
      </c>
      <c r="U2055" s="14">
        <v>45627</v>
      </c>
      <c r="V2055" s="79"/>
      <c r="W2055" s="26">
        <v>950</v>
      </c>
      <c r="X2055" s="2">
        <v>5</v>
      </c>
      <c r="Y2055" s="11"/>
      <c r="Z2055" s="2" t="s">
        <v>36</v>
      </c>
      <c r="AA2055" s="13" t="s">
        <v>10335</v>
      </c>
      <c r="AB2055" s="13">
        <v>404.16500000000002</v>
      </c>
    </row>
    <row r="2056" spans="1:28" ht="15" customHeight="1">
      <c r="A2056" s="2" t="s">
        <v>9411</v>
      </c>
      <c r="B2056" s="2" t="s">
        <v>368</v>
      </c>
      <c r="C2056" s="192" t="s">
        <v>3094</v>
      </c>
      <c r="D2056" s="2" t="s">
        <v>30</v>
      </c>
      <c r="E2056" s="2" t="s">
        <v>213</v>
      </c>
      <c r="F2056" s="11" t="s">
        <v>1492</v>
      </c>
      <c r="G2056" s="30" t="s">
        <v>1493</v>
      </c>
      <c r="H2056" s="2" t="s">
        <v>1112</v>
      </c>
      <c r="I2056" s="12" t="s">
        <v>514</v>
      </c>
      <c r="J2056" s="41">
        <v>45631</v>
      </c>
      <c r="K2056" s="22">
        <v>45821</v>
      </c>
      <c r="L2056" s="42">
        <f>_xlfn.DAYS(Tabla1[[#This Row],[FECHA FIN ]],Tabla1[[#This Row],[FECHA INICIO]])</f>
        <v>190</v>
      </c>
      <c r="M2056" s="12"/>
      <c r="N2056" s="28">
        <v>330</v>
      </c>
      <c r="O2056" s="28">
        <f>(Tabla1[[#This Row],[COSTO FIJO ]]/30)*Tabla1[[#This Row],[TOTAL DIAS PROYECTO]]+(Tabla1[[#This Row],[COSTO TEMPORAL]])</f>
        <v>2090</v>
      </c>
      <c r="P2056" s="12">
        <f>2586.33/26</f>
        <v>99.474230769230772</v>
      </c>
      <c r="Q2056" s="12">
        <f>+(Tabla1[[#This Row],[COSTO COCHE]]/30)*Tabla1[[#This Row],[TOTAL DIAS PROYECTO]]</f>
        <v>630.00346153846158</v>
      </c>
      <c r="R2056" s="12">
        <f>+Tabla1[[#This Row],[COSTO TOTAL ALOJAMIENTO]]+Tabla1[[#This Row],[COSTO TOTAL COCHE]]</f>
        <v>2720.0034615384616</v>
      </c>
      <c r="S2056" s="2"/>
      <c r="T2056" s="2" t="s">
        <v>35</v>
      </c>
      <c r="U2056" s="14"/>
      <c r="V2056" s="43"/>
      <c r="W2056" s="26"/>
      <c r="X2056" s="2">
        <v>5</v>
      </c>
      <c r="Y2056" s="11"/>
      <c r="Z2056" s="2" t="s">
        <v>36</v>
      </c>
      <c r="AA2056" s="13" t="s">
        <v>10349</v>
      </c>
      <c r="AB2056" s="13" t="s">
        <v>10350</v>
      </c>
    </row>
    <row r="2057" spans="1:28" ht="15" customHeight="1">
      <c r="A2057" s="2" t="s">
        <v>9505</v>
      </c>
      <c r="B2057" s="2" t="s">
        <v>28</v>
      </c>
      <c r="C2057" s="104" t="s">
        <v>3443</v>
      </c>
      <c r="D2057" s="2" t="s">
        <v>99</v>
      </c>
      <c r="E2057" s="2" t="s">
        <v>245</v>
      </c>
      <c r="F2057" s="11" t="s">
        <v>3584</v>
      </c>
      <c r="G2057" s="46" t="s">
        <v>3585</v>
      </c>
      <c r="H2057" s="2" t="s">
        <v>3444</v>
      </c>
      <c r="I2057" s="12" t="s">
        <v>249</v>
      </c>
      <c r="J2057" s="41">
        <f>+Tabla1[[#This Row],[FECHA ENTRADA]]</f>
        <v>45778</v>
      </c>
      <c r="K2057" s="41">
        <v>45781</v>
      </c>
      <c r="L2057" s="23">
        <f>_xlfn.DAYS(Tabla1[[#This Row],[FECHA FIN ]],Tabla1[[#This Row],[FECHA INICIO]])</f>
        <v>3</v>
      </c>
      <c r="M2057" s="12">
        <v>66.25</v>
      </c>
      <c r="N2057" s="24"/>
      <c r="O2057" s="24">
        <f>(Tabla1[[#This Row],[COSTO FIJO ]]/30)*Tabla1[[#This Row],[TOTAL DIAS PROYECTO]]+(Tabla1[[#This Row],[COSTO TEMPORAL]])</f>
        <v>66.25</v>
      </c>
      <c r="P2057" s="12"/>
      <c r="Q2057" s="12">
        <f>+(Tabla1[[#This Row],[COSTO COCHE]]/30)*Tabla1[[#This Row],[TOTAL DIAS PROYECTO]]</f>
        <v>0</v>
      </c>
      <c r="R2057" s="12">
        <f>+Tabla1[[#This Row],[COSTO TOTAL ALOJAMIENTO]]+Tabla1[[#This Row],[COSTO TOTAL COCHE]]</f>
        <v>66.25</v>
      </c>
      <c r="S2057" s="2" t="s">
        <v>403</v>
      </c>
      <c r="T2057" s="2" t="s">
        <v>44</v>
      </c>
      <c r="U2057" s="14">
        <v>45778</v>
      </c>
      <c r="V2057" s="25">
        <v>45781</v>
      </c>
      <c r="W2057" s="26"/>
      <c r="X2057" s="2"/>
      <c r="Y2057" s="11" t="s">
        <v>2311</v>
      </c>
      <c r="Z2057" s="2" t="s">
        <v>36</v>
      </c>
      <c r="AA2057" s="13" t="s">
        <v>10355</v>
      </c>
      <c r="AB2057" s="13" t="s">
        <v>10356</v>
      </c>
    </row>
    <row r="2058" spans="1:28" ht="15" customHeight="1">
      <c r="A2058" s="2" t="s">
        <v>9544</v>
      </c>
      <c r="B2058" s="2" t="s">
        <v>28</v>
      </c>
      <c r="C2058" s="104" t="s">
        <v>3586</v>
      </c>
      <c r="D2058" s="2" t="s">
        <v>99</v>
      </c>
      <c r="E2058" s="2" t="s">
        <v>939</v>
      </c>
      <c r="F2058" s="11" t="s">
        <v>2440</v>
      </c>
      <c r="G2058" s="49" t="s">
        <v>2441</v>
      </c>
      <c r="H2058" s="2" t="s">
        <v>3587</v>
      </c>
      <c r="I2058" s="12" t="s">
        <v>2443</v>
      </c>
      <c r="J2058" s="22">
        <f>+Tabla1[[#This Row],[FECHA ENTRADA]]</f>
        <v>45810</v>
      </c>
      <c r="K2058" s="22">
        <v>45821</v>
      </c>
      <c r="L2058" s="23">
        <f>_xlfn.DAYS(Tabla1[[#This Row],[FECHA FIN ]],Tabla1[[#This Row],[FECHA INICIO]])</f>
        <v>11</v>
      </c>
      <c r="M2058" s="12"/>
      <c r="N2058" s="24"/>
      <c r="O2058" s="24">
        <f>(Tabla1[[#This Row],[COSTO FIJO ]]/30)*Tabla1[[#This Row],[TOTAL DIAS PROYECTO]]+(Tabla1[[#This Row],[COSTO TEMPORAL]])</f>
        <v>0</v>
      </c>
      <c r="P2058" s="12"/>
      <c r="Q2058" s="12">
        <f>+(Tabla1[[#This Row],[COSTO COCHE]]/30)*Tabla1[[#This Row],[TOTAL DIAS PROYECTO]]</f>
        <v>0</v>
      </c>
      <c r="R2058" s="12">
        <f>+Tabla1[[#This Row],[COSTO TOTAL ALOJAMIENTO]]+Tabla1[[#This Row],[COSTO TOTAL COCHE]]</f>
        <v>0</v>
      </c>
      <c r="S2058" s="2"/>
      <c r="T2058" s="2" t="s">
        <v>44</v>
      </c>
      <c r="U2058" s="14">
        <v>45810</v>
      </c>
      <c r="V2058" s="25">
        <v>45815</v>
      </c>
      <c r="W2058" s="26"/>
      <c r="X2058" s="2"/>
      <c r="Y2058" t="s">
        <v>3588</v>
      </c>
      <c r="Z2058" s="2" t="s">
        <v>36</v>
      </c>
      <c r="AA2058" s="13" t="s">
        <v>10405</v>
      </c>
      <c r="AB2058" s="13" t="s">
        <v>10406</v>
      </c>
    </row>
    <row r="2059" spans="1:28" ht="15" customHeight="1">
      <c r="A2059" s="2" t="s">
        <v>9545</v>
      </c>
      <c r="B2059" s="2" t="s">
        <v>28</v>
      </c>
      <c r="C2059" s="104" t="s">
        <v>3589</v>
      </c>
      <c r="D2059" s="2" t="s">
        <v>30</v>
      </c>
      <c r="E2059" s="2" t="s">
        <v>127</v>
      </c>
      <c r="F2059" s="11" t="s">
        <v>1186</v>
      </c>
      <c r="G2059" s="32" t="s">
        <v>2567</v>
      </c>
      <c r="H2059" s="2" t="s">
        <v>2568</v>
      </c>
      <c r="I2059" s="12" t="s">
        <v>1201</v>
      </c>
      <c r="J2059" s="22">
        <f>+Tabla1[[#This Row],[FECHA ENTRADA]]</f>
        <v>45810</v>
      </c>
      <c r="K2059" s="22">
        <v>45821</v>
      </c>
      <c r="L2059" s="23">
        <f>_xlfn.DAYS(Tabla1[[#This Row],[FECHA FIN ]],Tabla1[[#This Row],[FECHA INICIO]])</f>
        <v>11</v>
      </c>
      <c r="M2059" s="12"/>
      <c r="N2059" s="12"/>
      <c r="O2059" s="24">
        <f>(Tabla1[[#This Row],[COSTO FIJO ]]/30)*Tabla1[[#This Row],[TOTAL DIAS PROYECTO]]+(Tabla1[[#This Row],[COSTO TEMPORAL]])</f>
        <v>0</v>
      </c>
      <c r="P2059" s="12"/>
      <c r="Q2059" s="12">
        <f>+(Tabla1[[#This Row],[COSTO COCHE]]/30)*Tabla1[[#This Row],[TOTAL DIAS PROYECTO]]</f>
        <v>0</v>
      </c>
      <c r="R2059" s="12">
        <f>+Tabla1[[#This Row],[COSTO TOTAL ALOJAMIENTO]]+Tabla1[[#This Row],[COSTO TOTAL COCHE]]</f>
        <v>0</v>
      </c>
      <c r="S2059" s="2"/>
      <c r="T2059" s="14" t="s">
        <v>44</v>
      </c>
      <c r="U2059" s="14">
        <v>45810</v>
      </c>
      <c r="V2059" s="180">
        <v>45816</v>
      </c>
      <c r="W2059" s="2"/>
      <c r="X2059" s="2"/>
      <c r="Y2059" s="11"/>
      <c r="Z2059" s="2" t="s">
        <v>36</v>
      </c>
      <c r="AA2059" s="13" t="s">
        <v>10342</v>
      </c>
      <c r="AB2059" s="13" t="s">
        <v>10343</v>
      </c>
    </row>
    <row r="2060" spans="1:28" ht="15" customHeight="1">
      <c r="A2060" s="2" t="s">
        <v>9546</v>
      </c>
      <c r="B2060" s="2" t="s">
        <v>28</v>
      </c>
      <c r="C2060" s="104" t="s">
        <v>3590</v>
      </c>
      <c r="D2060" s="2" t="s">
        <v>30</v>
      </c>
      <c r="E2060" s="2" t="s">
        <v>127</v>
      </c>
      <c r="F2060" s="11" t="s">
        <v>1186</v>
      </c>
      <c r="G2060" s="32" t="s">
        <v>2567</v>
      </c>
      <c r="H2060" s="2" t="s">
        <v>2568</v>
      </c>
      <c r="I2060" s="12" t="s">
        <v>1201</v>
      </c>
      <c r="J2060" s="22">
        <f>+Tabla1[[#This Row],[FECHA ENTRADA]]</f>
        <v>45810</v>
      </c>
      <c r="K2060" s="22">
        <v>45821</v>
      </c>
      <c r="L2060" s="23">
        <f>_xlfn.DAYS(Tabla1[[#This Row],[FECHA FIN ]],Tabla1[[#This Row],[FECHA INICIO]])</f>
        <v>11</v>
      </c>
      <c r="M2060" s="12"/>
      <c r="N2060" s="12">
        <v>116.66666666666667</v>
      </c>
      <c r="O2060" s="24">
        <f>(Tabla1[[#This Row],[COSTO FIJO ]]/30)*Tabla1[[#This Row],[TOTAL DIAS PROYECTO]]+(Tabla1[[#This Row],[COSTO TEMPORAL]])</f>
        <v>42.777777777777779</v>
      </c>
      <c r="P2060" s="12"/>
      <c r="Q2060" s="12">
        <f>+(Tabla1[[#This Row],[COSTO COCHE]]/30)*Tabla1[[#This Row],[TOTAL DIAS PROYECTO]]</f>
        <v>0</v>
      </c>
      <c r="R2060" s="12">
        <f>+Tabla1[[#This Row],[COSTO TOTAL ALOJAMIENTO]]+Tabla1[[#This Row],[COSTO TOTAL COCHE]]</f>
        <v>42.777777777777779</v>
      </c>
      <c r="S2060" s="2"/>
      <c r="T2060" s="14" t="s">
        <v>44</v>
      </c>
      <c r="U2060" s="14">
        <v>45810</v>
      </c>
      <c r="V2060" s="180">
        <v>45816</v>
      </c>
      <c r="W2060" s="2"/>
      <c r="X2060" s="2"/>
      <c r="Y2060" s="11"/>
      <c r="Z2060" s="2" t="s">
        <v>36</v>
      </c>
      <c r="AA2060" s="13" t="s">
        <v>10342</v>
      </c>
      <c r="AB2060" s="13" t="s">
        <v>10343</v>
      </c>
    </row>
    <row r="2061" spans="1:28" ht="15" customHeight="1">
      <c r="A2061" s="2" t="s">
        <v>9547</v>
      </c>
      <c r="B2061" s="2" t="s">
        <v>28</v>
      </c>
      <c r="C2061" s="11" t="s">
        <v>3591</v>
      </c>
      <c r="D2061" s="2" t="s">
        <v>30</v>
      </c>
      <c r="E2061" s="2" t="s">
        <v>127</v>
      </c>
      <c r="F2061" s="11" t="s">
        <v>1186</v>
      </c>
      <c r="G2061" s="32" t="s">
        <v>2567</v>
      </c>
      <c r="H2061" s="2" t="s">
        <v>2568</v>
      </c>
      <c r="I2061" s="12" t="s">
        <v>1201</v>
      </c>
      <c r="J2061" s="22">
        <f>+Tabla1[[#This Row],[FECHA ENTRADA]]</f>
        <v>45810</v>
      </c>
      <c r="K2061" s="22">
        <v>45821</v>
      </c>
      <c r="L2061" s="23">
        <f>_xlfn.DAYS(Tabla1[[#This Row],[FECHA FIN ]],Tabla1[[#This Row],[FECHA INICIO]])</f>
        <v>11</v>
      </c>
      <c r="M2061" s="12"/>
      <c r="N2061" s="12">
        <v>116.66666666666667</v>
      </c>
      <c r="O2061" s="24">
        <f>(Tabla1[[#This Row],[COSTO FIJO ]]/30)*Tabla1[[#This Row],[TOTAL DIAS PROYECTO]]+(Tabla1[[#This Row],[COSTO TEMPORAL]])</f>
        <v>42.777777777777779</v>
      </c>
      <c r="P2061" s="12"/>
      <c r="Q2061" s="12">
        <f>+(Tabla1[[#This Row],[COSTO COCHE]]/30)*Tabla1[[#This Row],[TOTAL DIAS PROYECTO]]</f>
        <v>0</v>
      </c>
      <c r="R2061" s="12">
        <f>+Tabla1[[#This Row],[COSTO TOTAL ALOJAMIENTO]]+Tabla1[[#This Row],[COSTO TOTAL COCHE]]</f>
        <v>42.777777777777779</v>
      </c>
      <c r="S2061" s="2"/>
      <c r="T2061" s="14" t="s">
        <v>44</v>
      </c>
      <c r="U2061" s="14">
        <v>45810</v>
      </c>
      <c r="V2061" s="180">
        <v>45816</v>
      </c>
      <c r="W2061" s="2"/>
      <c r="X2061" s="2"/>
      <c r="Y2061" s="11"/>
      <c r="Z2061" s="2" t="s">
        <v>36</v>
      </c>
      <c r="AA2061" s="13" t="s">
        <v>10342</v>
      </c>
      <c r="AB2061" s="13" t="s">
        <v>10343</v>
      </c>
    </row>
    <row r="2062" spans="1:28">
      <c r="A2062" s="2" t="s">
        <v>9548</v>
      </c>
      <c r="B2062" s="2" t="s">
        <v>368</v>
      </c>
      <c r="C2062" s="104" t="s">
        <v>3592</v>
      </c>
      <c r="D2062" s="2" t="s">
        <v>30</v>
      </c>
      <c r="E2062" s="2" t="s">
        <v>415</v>
      </c>
      <c r="F2062" s="11" t="s">
        <v>487</v>
      </c>
      <c r="G2062" s="46" t="s">
        <v>488</v>
      </c>
      <c r="H2062" s="2" t="s">
        <v>1391</v>
      </c>
      <c r="I2062" s="12" t="s">
        <v>1447</v>
      </c>
      <c r="J2062" s="22">
        <f>+Tabla1[[#This Row],[FECHA ENTRADA]]</f>
        <v>45658</v>
      </c>
      <c r="K2062" s="22">
        <v>45821</v>
      </c>
      <c r="L2062" s="23">
        <f>_xlfn.DAYS(Tabla1[[#This Row],[FECHA FIN ]],Tabla1[[#This Row],[FECHA INICIO]])</f>
        <v>163</v>
      </c>
      <c r="M2062" s="12"/>
      <c r="N2062" s="12">
        <f>1811.6/17</f>
        <v>106.56470588235294</v>
      </c>
      <c r="O2062" s="24">
        <f>(Tabla1[[#This Row],[COSTO FIJO ]]/30)*Tabla1[[#This Row],[TOTAL DIAS PROYECTO]]+(Tabla1[[#This Row],[COSTO TEMPORAL]])</f>
        <v>579.00156862745098</v>
      </c>
      <c r="P2062" s="12"/>
      <c r="Q2062" s="12">
        <f>+(Tabla1[[#This Row],[COSTO COCHE]]/30)*Tabla1[[#This Row],[TOTAL DIAS PROYECTO]]</f>
        <v>0</v>
      </c>
      <c r="R2062" s="12">
        <f>+Tabla1[[#This Row],[COSTO TOTAL ALOJAMIENTO]]+Tabla1[[#This Row],[COSTO TOTAL COCHE]]</f>
        <v>579.00156862745098</v>
      </c>
      <c r="S2062" s="2"/>
      <c r="T2062" s="2" t="s">
        <v>35</v>
      </c>
      <c r="U2062" s="14">
        <v>45658</v>
      </c>
      <c r="V2062" s="25"/>
      <c r="W2062" s="26"/>
      <c r="X2062" s="2">
        <v>5</v>
      </c>
      <c r="Y2062" s="11"/>
      <c r="Z2062" s="2" t="s">
        <v>36</v>
      </c>
      <c r="AA2062" s="13">
        <v>-0.37739</v>
      </c>
      <c r="AB2062" s="13" t="s">
        <v>10372</v>
      </c>
    </row>
    <row r="2063" spans="1:28" ht="15" customHeight="1">
      <c r="A2063" s="2" t="s">
        <v>8839</v>
      </c>
      <c r="B2063" s="2" t="s">
        <v>368</v>
      </c>
      <c r="C2063" s="31" t="s">
        <v>968</v>
      </c>
      <c r="D2063" s="2" t="s">
        <v>30</v>
      </c>
      <c r="E2063" s="2" t="s">
        <v>87</v>
      </c>
      <c r="F2063" s="11" t="s">
        <v>1668</v>
      </c>
      <c r="G2063" s="21" t="s">
        <v>1669</v>
      </c>
      <c r="H2063" s="2" t="s">
        <v>3593</v>
      </c>
      <c r="I2063" s="12" t="s">
        <v>1392</v>
      </c>
      <c r="J2063" s="22">
        <f>+Tabla1[[#This Row],[FECHA ENTRADA]]</f>
        <v>45760</v>
      </c>
      <c r="K2063" s="22">
        <v>45821</v>
      </c>
      <c r="L2063" s="23">
        <f>_xlfn.DAYS(Tabla1[[#This Row],[FECHA FIN ]],Tabla1[[#This Row],[FECHA INICIO]])</f>
        <v>61</v>
      </c>
      <c r="M2063" s="12"/>
      <c r="N2063" s="24"/>
      <c r="O2063" s="24">
        <f>(Tabla1[[#This Row],[COSTO FIJO ]]/30)*Tabla1[[#This Row],[TOTAL DIAS PROYECTO]]+(Tabla1[[#This Row],[COSTO TEMPORAL]])</f>
        <v>0</v>
      </c>
      <c r="P2063" s="12">
        <f>613.83/5</f>
        <v>122.76600000000001</v>
      </c>
      <c r="Q2063" s="12">
        <f>+(Tabla1[[#This Row],[COSTO COCHE]]/30)*Tabla1[[#This Row],[TOTAL DIAS PROYECTO]]</f>
        <v>249.6242</v>
      </c>
      <c r="R2063" s="12">
        <f>+Tabla1[[#This Row],[COSTO TOTAL ALOJAMIENTO]]+Tabla1[[#This Row],[COSTO TOTAL COCHE]]</f>
        <v>249.6242</v>
      </c>
      <c r="S2063" s="2"/>
      <c r="T2063" s="2" t="s">
        <v>35</v>
      </c>
      <c r="U2063" s="14">
        <v>45760</v>
      </c>
      <c r="V2063" s="25"/>
      <c r="W2063" s="26"/>
      <c r="X2063" s="2">
        <v>5</v>
      </c>
      <c r="Z2063" s="2" t="s">
        <v>36</v>
      </c>
      <c r="AA2063" s="13" t="s">
        <v>10335</v>
      </c>
      <c r="AB2063" s="13">
        <v>404.16500000000002</v>
      </c>
    </row>
    <row r="2064" spans="1:28" ht="15" customHeight="1">
      <c r="A2064" s="2" t="s">
        <v>9208</v>
      </c>
      <c r="B2064" s="2" t="s">
        <v>28</v>
      </c>
      <c r="C2064" s="11" t="s">
        <v>2432</v>
      </c>
      <c r="D2064" s="2" t="s">
        <v>99</v>
      </c>
      <c r="E2064" s="2" t="s">
        <v>626</v>
      </c>
      <c r="F2064" s="11" t="s">
        <v>2376</v>
      </c>
      <c r="G2064" t="s">
        <v>2377</v>
      </c>
      <c r="H2064" s="2" t="s">
        <v>2580</v>
      </c>
      <c r="I2064" s="12" t="s">
        <v>570</v>
      </c>
      <c r="J2064" s="22">
        <f>+Tabla1[[#This Row],[FECHA ENTRADA]]</f>
        <v>45816</v>
      </c>
      <c r="K2064" s="22">
        <v>45821</v>
      </c>
      <c r="L2064" s="23">
        <f>_xlfn.DAYS(Tabla1[[#This Row],[FECHA FIN ]],Tabla1[[#This Row],[FECHA INICIO]])</f>
        <v>5</v>
      </c>
      <c r="M2064" s="12"/>
      <c r="N2064" s="12">
        <v>30</v>
      </c>
      <c r="O2064" s="24">
        <f>(Tabla1[[#This Row],[COSTO FIJO ]]/30)*Tabla1[[#This Row],[TOTAL DIAS PROYECTO]]+(Tabla1[[#This Row],[COSTO TEMPORAL]])</f>
        <v>5</v>
      </c>
      <c r="P2064" s="12"/>
      <c r="Q2064" s="12">
        <f>+(Tabla1[[#This Row],[COSTO COCHE]]/30)*Tabla1[[#This Row],[TOTAL DIAS PROYECTO]]</f>
        <v>0</v>
      </c>
      <c r="R2064" s="12">
        <f>+Tabla1[[#This Row],[COSTO TOTAL ALOJAMIENTO]]+Tabla1[[#This Row],[COSTO TOTAL COCHE]]</f>
        <v>5</v>
      </c>
      <c r="S2064" s="2"/>
      <c r="T2064" s="14" t="s">
        <v>44</v>
      </c>
      <c r="U2064" s="14">
        <v>45816</v>
      </c>
      <c r="V2064" s="79">
        <v>45817</v>
      </c>
      <c r="W2064" s="2"/>
      <c r="X2064" s="2"/>
      <c r="Y2064" s="11" t="s">
        <v>2581</v>
      </c>
      <c r="Z2064" s="2" t="s">
        <v>36</v>
      </c>
      <c r="AA2064" s="13" t="s">
        <v>10385</v>
      </c>
      <c r="AB2064" s="13" t="s">
        <v>10386</v>
      </c>
    </row>
    <row r="2065" spans="1:28">
      <c r="A2065" s="2" t="s">
        <v>8925</v>
      </c>
      <c r="B2065" s="2" t="s">
        <v>28</v>
      </c>
      <c r="C2065" s="18" t="s">
        <v>1304</v>
      </c>
      <c r="D2065" s="2" t="s">
        <v>30</v>
      </c>
      <c r="E2065" s="2" t="s">
        <v>127</v>
      </c>
      <c r="F2065" s="11" t="s">
        <v>682</v>
      </c>
      <c r="G2065" s="11" t="s">
        <v>683</v>
      </c>
      <c r="H2065" s="2" t="s">
        <v>684</v>
      </c>
      <c r="I2065" s="12" t="s">
        <v>377</v>
      </c>
      <c r="J2065" s="8">
        <f>+Tabla1[[#This Row],[FECHA ENTRADA]]</f>
        <v>45479</v>
      </c>
      <c r="K2065" s="22">
        <v>45869</v>
      </c>
      <c r="L2065" s="13">
        <f>_xlfn.DAYS(Tabla1[[#This Row],[FECHA FIN ]],Tabla1[[#This Row],[FECHA INICIO]])</f>
        <v>390</v>
      </c>
      <c r="M2065" s="12"/>
      <c r="N2065" s="12">
        <v>440</v>
      </c>
      <c r="O2065" s="12">
        <f>(Tabla1[[#This Row],[COSTO FIJO ]]/30)*Tabla1[[#This Row],[TOTAL DIAS PROYECTO]]+(Tabla1[[#This Row],[COSTO TEMPORAL]])</f>
        <v>5720</v>
      </c>
      <c r="P2065" s="12"/>
      <c r="Q2065" s="12">
        <f>+(Tabla1[[#This Row],[COSTO COCHE]]/30)*Tabla1[[#This Row],[TOTAL DIAS PROYECTO]]</f>
        <v>0</v>
      </c>
      <c r="R2065" s="12">
        <f>+Tabla1[[#This Row],[COSTO TOTAL ALOJAMIENTO]]+Tabla1[[#This Row],[COSTO TOTAL COCHE]]</f>
        <v>5720</v>
      </c>
      <c r="S2065" s="2"/>
      <c r="T2065" s="2" t="s">
        <v>35</v>
      </c>
      <c r="U2065" s="14">
        <v>45479</v>
      </c>
      <c r="V2065" s="14"/>
      <c r="W2065" s="26"/>
      <c r="X2065" s="2">
        <v>5</v>
      </c>
      <c r="Y2065" s="18" t="s">
        <v>1902</v>
      </c>
      <c r="Z2065" s="2" t="s">
        <v>36</v>
      </c>
      <c r="AA2065" s="13" t="s">
        <v>10342</v>
      </c>
      <c r="AB2065" s="13" t="s">
        <v>10343</v>
      </c>
    </row>
    <row r="2066" spans="1:28" ht="15" customHeight="1">
      <c r="A2066" s="2" t="s">
        <v>9549</v>
      </c>
      <c r="B2066" s="2" t="s">
        <v>368</v>
      </c>
      <c r="C2066" s="11" t="s">
        <v>3594</v>
      </c>
      <c r="D2066" s="2" t="s">
        <v>99</v>
      </c>
      <c r="E2066" s="2" t="s">
        <v>422</v>
      </c>
      <c r="F2066" s="11" t="s">
        <v>1983</v>
      </c>
      <c r="G2066" s="11" t="s">
        <v>2067</v>
      </c>
      <c r="H2066" s="2" t="s">
        <v>3540</v>
      </c>
      <c r="I2066" s="12" t="s">
        <v>1435</v>
      </c>
      <c r="J2066" s="22">
        <f>+Tabla1[[#This Row],[FECHA ENTRADA]]</f>
        <v>45799</v>
      </c>
      <c r="K2066" s="8">
        <f>+Tabla1[[#This Row],[FECHA SALIDA]]</f>
        <v>45805</v>
      </c>
      <c r="L2066" s="23">
        <f>_xlfn.DAYS(Tabla1[[#This Row],[FECHA FIN ]],Tabla1[[#This Row],[FECHA INICIO]])</f>
        <v>6</v>
      </c>
      <c r="M2066" s="12"/>
      <c r="N2066" s="12">
        <v>123.5</v>
      </c>
      <c r="O2066" s="24">
        <f>(Tabla1[[#This Row],[COSTO FIJO ]]/30)*Tabla1[[#This Row],[TOTAL DIAS PROYECTO]]+(Tabla1[[#This Row],[COSTO TEMPORAL]])</f>
        <v>24.699999999999996</v>
      </c>
      <c r="P2066" s="12"/>
      <c r="Q2066" s="12">
        <f>+(Tabla1[[#This Row],[COSTO COCHE]]/30)*Tabla1[[#This Row],[TOTAL DIAS PROYECTO]]</f>
        <v>0</v>
      </c>
      <c r="R2066" s="12">
        <f>+Tabla1[[#This Row],[COSTO TOTAL ALOJAMIENTO]]+Tabla1[[#This Row],[COSTO TOTAL COCHE]]</f>
        <v>24.699999999999996</v>
      </c>
      <c r="S2066" s="2"/>
      <c r="T2066" s="14" t="s">
        <v>44</v>
      </c>
      <c r="U2066" s="14">
        <v>45799</v>
      </c>
      <c r="V2066" s="79">
        <v>45805</v>
      </c>
      <c r="W2066" s="2"/>
      <c r="X2066" s="2"/>
      <c r="Y2066" s="11"/>
      <c r="Z2066" s="2" t="s">
        <v>36</v>
      </c>
      <c r="AA2066" s="13">
        <v>-326.69799999999998</v>
      </c>
      <c r="AB2066" s="13" t="s">
        <v>10373</v>
      </c>
    </row>
    <row r="2067" spans="1:28" ht="15" customHeight="1">
      <c r="A2067" s="2" t="s">
        <v>8642</v>
      </c>
      <c r="B2067" s="2" t="s">
        <v>368</v>
      </c>
      <c r="C2067" s="215" t="s">
        <v>3595</v>
      </c>
      <c r="D2067" s="2" t="s">
        <v>99</v>
      </c>
      <c r="E2067" s="2" t="s">
        <v>422</v>
      </c>
      <c r="F2067" s="11" t="s">
        <v>1983</v>
      </c>
      <c r="G2067" s="11" t="s">
        <v>2067</v>
      </c>
      <c r="H2067" s="2" t="s">
        <v>3540</v>
      </c>
      <c r="I2067" s="12" t="s">
        <v>1435</v>
      </c>
      <c r="J2067" s="22">
        <f>+Tabla1[[#This Row],[FECHA ENTRADA]]</f>
        <v>45799</v>
      </c>
      <c r="K2067" s="8">
        <f>+Tabla1[[#This Row],[FECHA SALIDA]]</f>
        <v>45805</v>
      </c>
      <c r="L2067" s="23">
        <f>_xlfn.DAYS(Tabla1[[#This Row],[FECHA FIN ]],Tabla1[[#This Row],[FECHA INICIO]])</f>
        <v>6</v>
      </c>
      <c r="M2067" s="12"/>
      <c r="N2067" s="12">
        <v>123.5</v>
      </c>
      <c r="O2067" s="24">
        <f>(Tabla1[[#This Row],[COSTO FIJO ]]/30)*Tabla1[[#This Row],[TOTAL DIAS PROYECTO]]+(Tabla1[[#This Row],[COSTO TEMPORAL]])</f>
        <v>24.699999999999996</v>
      </c>
      <c r="P2067" s="12"/>
      <c r="Q2067" s="12">
        <f>+(Tabla1[[#This Row],[COSTO COCHE]]/30)*Tabla1[[#This Row],[TOTAL DIAS PROYECTO]]</f>
        <v>0</v>
      </c>
      <c r="R2067" s="12">
        <f>+Tabla1[[#This Row],[COSTO TOTAL ALOJAMIENTO]]+Tabla1[[#This Row],[COSTO TOTAL COCHE]]</f>
        <v>24.699999999999996</v>
      </c>
      <c r="S2067" s="2"/>
      <c r="T2067" s="14" t="s">
        <v>44</v>
      </c>
      <c r="U2067" s="14">
        <v>45799</v>
      </c>
      <c r="V2067" s="79">
        <v>45805</v>
      </c>
      <c r="W2067" s="2"/>
      <c r="X2067" s="2"/>
      <c r="Y2067" s="11"/>
      <c r="Z2067" s="2" t="s">
        <v>36</v>
      </c>
      <c r="AA2067" s="13">
        <v>-326.69799999999998</v>
      </c>
      <c r="AB2067" s="13" t="s">
        <v>10373</v>
      </c>
    </row>
    <row r="2068" spans="1:28" ht="15" customHeight="1">
      <c r="A2068" s="2" t="s">
        <v>9535</v>
      </c>
      <c r="B2068" s="2" t="s">
        <v>368</v>
      </c>
      <c r="C2068" s="215" t="s">
        <v>3565</v>
      </c>
      <c r="D2068" s="2" t="s">
        <v>99</v>
      </c>
      <c r="E2068" s="2" t="s">
        <v>422</v>
      </c>
      <c r="F2068" s="11" t="s">
        <v>1983</v>
      </c>
      <c r="G2068" s="11" t="s">
        <v>2067</v>
      </c>
      <c r="H2068" s="2" t="s">
        <v>3540</v>
      </c>
      <c r="I2068" s="12" t="s">
        <v>1435</v>
      </c>
      <c r="J2068" s="22">
        <f>+Tabla1[[#This Row],[FECHA ENTRADA]]</f>
        <v>45799</v>
      </c>
      <c r="K2068" s="8">
        <f>+Tabla1[[#This Row],[FECHA SALIDA]]</f>
        <v>45805</v>
      </c>
      <c r="L2068" s="23">
        <f>_xlfn.DAYS(Tabla1[[#This Row],[FECHA FIN ]],Tabla1[[#This Row],[FECHA INICIO]])</f>
        <v>6</v>
      </c>
      <c r="M2068" s="12"/>
      <c r="N2068" s="20"/>
      <c r="O2068" s="24">
        <f>(Tabla1[[#This Row],[COSTO FIJO ]]/30)*Tabla1[[#This Row],[TOTAL DIAS PROYECTO]]+(Tabla1[[#This Row],[COSTO TEMPORAL]])</f>
        <v>0</v>
      </c>
      <c r="P2068" s="12"/>
      <c r="Q2068" s="12">
        <f>+(Tabla1[[#This Row],[COSTO COCHE]]/30)*Tabla1[[#This Row],[TOTAL DIAS PROYECTO]]</f>
        <v>0</v>
      </c>
      <c r="R2068" s="12">
        <f>+Tabla1[[#This Row],[COSTO TOTAL ALOJAMIENTO]]+Tabla1[[#This Row],[COSTO TOTAL COCHE]]</f>
        <v>0</v>
      </c>
      <c r="S2068" s="2"/>
      <c r="T2068" s="14" t="s">
        <v>44</v>
      </c>
      <c r="U2068" s="14">
        <v>45799</v>
      </c>
      <c r="V2068" s="79">
        <v>45805</v>
      </c>
      <c r="W2068" s="2"/>
      <c r="X2068" s="2"/>
      <c r="Y2068" s="11"/>
      <c r="Z2068" s="2" t="s">
        <v>36</v>
      </c>
      <c r="AA2068" s="13">
        <v>-326.69799999999998</v>
      </c>
      <c r="AB2068" s="13" t="s">
        <v>10373</v>
      </c>
    </row>
    <row r="2069" spans="1:28" ht="15" customHeight="1">
      <c r="A2069" s="2" t="s">
        <v>9357</v>
      </c>
      <c r="B2069" s="2" t="s">
        <v>368</v>
      </c>
      <c r="C2069" s="215" t="s">
        <v>2921</v>
      </c>
      <c r="D2069" s="2" t="s">
        <v>99</v>
      </c>
      <c r="E2069" s="2" t="s">
        <v>2570</v>
      </c>
      <c r="F2069" s="11" t="s">
        <v>2571</v>
      </c>
      <c r="G2069" s="21" t="s">
        <v>2572</v>
      </c>
      <c r="H2069" s="2" t="s">
        <v>2573</v>
      </c>
      <c r="I2069" s="12" t="s">
        <v>2228</v>
      </c>
      <c r="J2069" s="22">
        <f>+Tabla1[[#This Row],[FECHA ENTRADA]]</f>
        <v>45803</v>
      </c>
      <c r="K2069" s="22">
        <v>45821</v>
      </c>
      <c r="L2069" s="23">
        <f>_xlfn.DAYS(Tabla1[[#This Row],[FECHA FIN ]],Tabla1[[#This Row],[FECHA INICIO]])</f>
        <v>18</v>
      </c>
      <c r="M2069" s="12"/>
      <c r="N2069" s="12"/>
      <c r="O2069" s="24">
        <f>(Tabla1[[#This Row],[COSTO FIJO ]]/30)*Tabla1[[#This Row],[TOTAL DIAS PROYECTO]]+(Tabla1[[#This Row],[COSTO TEMPORAL]])</f>
        <v>0</v>
      </c>
      <c r="P2069" s="12"/>
      <c r="Q2069" s="12">
        <f>+(Tabla1[[#This Row],[COSTO COCHE]]/30)*Tabla1[[#This Row],[TOTAL DIAS PROYECTO]]</f>
        <v>0</v>
      </c>
      <c r="R2069" s="12">
        <f>+Tabla1[[#This Row],[COSTO TOTAL ALOJAMIENTO]]+Tabla1[[#This Row],[COSTO TOTAL COCHE]]</f>
        <v>0</v>
      </c>
      <c r="S2069" s="2"/>
      <c r="T2069" s="2" t="s">
        <v>44</v>
      </c>
      <c r="U2069" s="14">
        <v>45803</v>
      </c>
      <c r="V2069" s="79">
        <v>45818</v>
      </c>
      <c r="W2069" s="26"/>
      <c r="X2069" s="2"/>
      <c r="Y2069" s="11" t="s">
        <v>2574</v>
      </c>
      <c r="Z2069" s="2" t="s">
        <v>36</v>
      </c>
      <c r="AA2069" s="13" t="e">
        <v>#N/A</v>
      </c>
      <c r="AB2069" s="13" t="e">
        <v>#N/A</v>
      </c>
    </row>
    <row r="2070" spans="1:28">
      <c r="A2070" s="2" t="s">
        <v>9550</v>
      </c>
      <c r="B2070" s="2" t="s">
        <v>368</v>
      </c>
      <c r="C2070" s="216" t="s">
        <v>3596</v>
      </c>
      <c r="D2070" s="2" t="s">
        <v>30</v>
      </c>
      <c r="E2070" s="2" t="s">
        <v>1514</v>
      </c>
      <c r="F2070" s="11" t="s">
        <v>3505</v>
      </c>
      <c r="G2070" s="46" t="s">
        <v>3506</v>
      </c>
      <c r="H2070" s="2" t="s">
        <v>1517</v>
      </c>
      <c r="I2070" s="12" t="s">
        <v>1392</v>
      </c>
      <c r="J2070" s="41">
        <f>+Tabla1[[#This Row],[FECHA ENTRADA]]</f>
        <v>45663</v>
      </c>
      <c r="K2070" s="22">
        <v>45821</v>
      </c>
      <c r="L2070" s="42">
        <f>_xlfn.DAYS(Tabla1[[#This Row],[FECHA FIN ]],Tabla1[[#This Row],[FECHA INICIO]])</f>
        <v>158</v>
      </c>
      <c r="M2070" s="12"/>
      <c r="N2070" s="28">
        <v>325</v>
      </c>
      <c r="O2070" s="28">
        <f>(Tabla1[[#This Row],[COSTO FIJO ]]/30)*Tabla1[[#This Row],[TOTAL DIAS PROYECTO]]+(Tabla1[[#This Row],[COSTO TEMPORAL]])</f>
        <v>1711.6666666666667</v>
      </c>
      <c r="P2070" s="12"/>
      <c r="Q2070" s="12">
        <f>+(Tabla1[[#This Row],[COSTO COCHE]]/30)*Tabla1[[#This Row],[TOTAL DIAS PROYECTO]]</f>
        <v>0</v>
      </c>
      <c r="R2070" s="12">
        <f>+Tabla1[[#This Row],[COSTO TOTAL ALOJAMIENTO]]+Tabla1[[#This Row],[COSTO TOTAL COCHE]]</f>
        <v>1711.6666666666667</v>
      </c>
      <c r="S2070" s="2"/>
      <c r="T2070" s="2" t="s">
        <v>35</v>
      </c>
      <c r="U2070" s="14">
        <v>45663</v>
      </c>
      <c r="V2070" s="43"/>
      <c r="W2070" s="26">
        <v>650</v>
      </c>
      <c r="X2070" s="2">
        <v>5</v>
      </c>
      <c r="Y2070" s="217" t="s">
        <v>3597</v>
      </c>
      <c r="Z2070" s="2" t="s">
        <v>36</v>
      </c>
      <c r="AA2070" s="13" t="s">
        <v>10424</v>
      </c>
      <c r="AB2070" s="13">
        <v>398581</v>
      </c>
    </row>
    <row r="2071" spans="1:28" ht="15" customHeight="1">
      <c r="A2071" s="2" t="s">
        <v>9551</v>
      </c>
      <c r="B2071" s="2" t="s">
        <v>368</v>
      </c>
      <c r="C2071" s="218" t="s">
        <v>3598</v>
      </c>
      <c r="D2071" s="2" t="s">
        <v>99</v>
      </c>
      <c r="E2071" s="2" t="s">
        <v>422</v>
      </c>
      <c r="F2071" s="11" t="s">
        <v>1983</v>
      </c>
      <c r="G2071" s="11" t="s">
        <v>2067</v>
      </c>
      <c r="H2071" s="2" t="s">
        <v>3540</v>
      </c>
      <c r="I2071" s="12" t="s">
        <v>1435</v>
      </c>
      <c r="J2071" s="22">
        <f>+Tabla1[[#This Row],[FECHA ENTRADA]]</f>
        <v>45799</v>
      </c>
      <c r="K2071" s="8">
        <f>+Tabla1[[#This Row],[FECHA SALIDA]]</f>
        <v>45805</v>
      </c>
      <c r="L2071" s="23">
        <f>_xlfn.DAYS(Tabla1[[#This Row],[FECHA FIN ]],Tabla1[[#This Row],[FECHA INICIO]])</f>
        <v>6</v>
      </c>
      <c r="M2071" s="12"/>
      <c r="N2071" s="20"/>
      <c r="O2071" s="24">
        <f>(Tabla1[[#This Row],[COSTO FIJO ]]/30)*Tabla1[[#This Row],[TOTAL DIAS PROYECTO]]+(Tabla1[[#This Row],[COSTO TEMPORAL]])</f>
        <v>0</v>
      </c>
      <c r="P2071" s="12"/>
      <c r="Q2071" s="12">
        <f>+(Tabla1[[#This Row],[COSTO COCHE]]/30)*Tabla1[[#This Row],[TOTAL DIAS PROYECTO]]</f>
        <v>0</v>
      </c>
      <c r="R2071" s="12">
        <f>+Tabla1[[#This Row],[COSTO TOTAL ALOJAMIENTO]]+Tabla1[[#This Row],[COSTO TOTAL COCHE]]</f>
        <v>0</v>
      </c>
      <c r="S2071" s="2"/>
      <c r="T2071" s="14" t="s">
        <v>44</v>
      </c>
      <c r="U2071" s="14">
        <v>45799</v>
      </c>
      <c r="V2071" s="79">
        <v>45805</v>
      </c>
      <c r="W2071" s="2"/>
      <c r="X2071" s="2"/>
      <c r="Y2071" s="11"/>
      <c r="Z2071" s="2" t="s">
        <v>36</v>
      </c>
      <c r="AA2071" s="13">
        <v>-326.69799999999998</v>
      </c>
      <c r="AB2071" s="13" t="s">
        <v>10373</v>
      </c>
    </row>
    <row r="2072" spans="1:28" ht="15" customHeight="1">
      <c r="A2072" s="2" t="s">
        <v>9552</v>
      </c>
      <c r="B2072" s="2" t="s">
        <v>368</v>
      </c>
      <c r="C2072" s="11" t="s">
        <v>3599</v>
      </c>
      <c r="D2072" s="2" t="s">
        <v>99</v>
      </c>
      <c r="E2072" s="2" t="s">
        <v>2570</v>
      </c>
      <c r="F2072" s="11" t="s">
        <v>2571</v>
      </c>
      <c r="G2072" s="21" t="s">
        <v>2572</v>
      </c>
      <c r="H2072" s="2" t="s">
        <v>3600</v>
      </c>
      <c r="I2072" s="10" t="s">
        <v>2228</v>
      </c>
      <c r="J2072" s="22">
        <f>+Tabla1[[#This Row],[FECHA ENTRADA]]</f>
        <v>45768</v>
      </c>
      <c r="K2072" s="22">
        <v>45821</v>
      </c>
      <c r="L2072" s="23">
        <f>_xlfn.DAYS(Tabla1[[#This Row],[FECHA FIN ]],Tabla1[[#This Row],[FECHA INICIO]])</f>
        <v>53</v>
      </c>
      <c r="M2072" s="12"/>
      <c r="N2072" s="12"/>
      <c r="O2072" s="24">
        <f>(Tabla1[[#This Row],[COSTO FIJO ]]/30)*Tabla1[[#This Row],[TOTAL DIAS PROYECTO]]+(Tabla1[[#This Row],[COSTO TEMPORAL]])</f>
        <v>0</v>
      </c>
      <c r="P2072" s="12">
        <f>542.59/2</f>
        <v>271.29500000000002</v>
      </c>
      <c r="Q2072" s="12">
        <f>+(Tabla1[[#This Row],[COSTO COCHE]]/30)*Tabla1[[#This Row],[TOTAL DIAS PROYECTO]]</f>
        <v>479.28783333333342</v>
      </c>
      <c r="R2072" s="12">
        <f>+Tabla1[[#This Row],[COSTO TOTAL ALOJAMIENTO]]+Tabla1[[#This Row],[COSTO TOTAL COCHE]]</f>
        <v>479.28783333333342</v>
      </c>
      <c r="S2072" s="2"/>
      <c r="T2072" s="2" t="s">
        <v>44</v>
      </c>
      <c r="U2072" s="14">
        <v>45768</v>
      </c>
      <c r="V2072" s="79">
        <v>45818</v>
      </c>
      <c r="W2072" s="26"/>
      <c r="X2072" s="2"/>
      <c r="Y2072" s="11"/>
      <c r="Z2072" s="2" t="s">
        <v>36</v>
      </c>
      <c r="AA2072" s="13" t="e">
        <v>#N/A</v>
      </c>
      <c r="AB2072" s="13" t="e">
        <v>#N/A</v>
      </c>
    </row>
    <row r="2073" spans="1:28">
      <c r="A2073" s="2" t="s">
        <v>9097</v>
      </c>
      <c r="B2073" s="2" t="s">
        <v>368</v>
      </c>
      <c r="C2073" s="11" t="s">
        <v>2017</v>
      </c>
      <c r="D2073" s="2" t="s">
        <v>30</v>
      </c>
      <c r="E2073" s="2" t="s">
        <v>380</v>
      </c>
      <c r="F2073" s="11" t="s">
        <v>2236</v>
      </c>
      <c r="G2073" s="30" t="s">
        <v>2237</v>
      </c>
      <c r="H2073" s="2" t="s">
        <v>3575</v>
      </c>
      <c r="I2073" s="12" t="s">
        <v>3086</v>
      </c>
      <c r="J2073" s="22">
        <f>+Tabla1[[#This Row],[FECHA ENTRADA]]</f>
        <v>45622</v>
      </c>
      <c r="K2073" s="22">
        <v>45669</v>
      </c>
      <c r="L2073" s="23">
        <f>_xlfn.DAYS(Tabla1[[#This Row],[FECHA FIN ]],Tabla1[[#This Row],[FECHA INICIO]])</f>
        <v>47</v>
      </c>
      <c r="M2073" s="12"/>
      <c r="N2073" s="12"/>
      <c r="O2073" s="24">
        <f>(Tabla1[[#This Row],[COSTO FIJO ]]/30)*Tabla1[[#This Row],[TOTAL DIAS PROYECTO]]+(Tabla1[[#This Row],[COSTO TEMPORAL]])</f>
        <v>0</v>
      </c>
      <c r="P2073" s="12"/>
      <c r="Q2073" s="12">
        <f>+(Tabla1[[#This Row],[COSTO COCHE]]/30)*Tabla1[[#This Row],[TOTAL DIAS PROYECTO]]</f>
        <v>0</v>
      </c>
      <c r="R2073" s="12">
        <f>+Tabla1[[#This Row],[COSTO TOTAL ALOJAMIENTO]]+Tabla1[[#This Row],[COSTO TOTAL COCHE]]</f>
        <v>0</v>
      </c>
      <c r="S2073" s="2"/>
      <c r="T2073" s="2" t="s">
        <v>35</v>
      </c>
      <c r="U2073" s="14">
        <v>45622</v>
      </c>
      <c r="V2073" s="25"/>
      <c r="W2073" s="26"/>
      <c r="X2073" s="2"/>
      <c r="Y2073" s="11"/>
      <c r="Z2073" s="2" t="s">
        <v>36</v>
      </c>
      <c r="AA2073" s="13" t="s">
        <v>10370</v>
      </c>
      <c r="AB2073" s="13" t="s">
        <v>10371</v>
      </c>
    </row>
    <row r="2074" spans="1:28">
      <c r="A2074" s="2" t="s">
        <v>9553</v>
      </c>
      <c r="B2074" s="2" t="s">
        <v>28</v>
      </c>
      <c r="C2074" s="18" t="s">
        <v>3601</v>
      </c>
      <c r="D2074" s="2" t="s">
        <v>30</v>
      </c>
      <c r="E2074" s="2" t="s">
        <v>608</v>
      </c>
      <c r="F2074" s="11" t="s">
        <v>1918</v>
      </c>
      <c r="G2074" s="11" t="s">
        <v>1919</v>
      </c>
      <c r="H2074" s="2" t="s">
        <v>1920</v>
      </c>
      <c r="I2074" s="12" t="s">
        <v>34</v>
      </c>
      <c r="J2074" s="8">
        <f>+Tabla1[[#This Row],[FECHA ENTRADA]]</f>
        <v>45433</v>
      </c>
      <c r="K2074" s="22">
        <v>45751</v>
      </c>
      <c r="L2074" s="13">
        <f>_xlfn.DAYS(Tabla1[[#This Row],[FECHA FIN ]],Tabla1[[#This Row],[FECHA INICIO]])</f>
        <v>318</v>
      </c>
      <c r="M2074" s="12"/>
      <c r="N2074" s="12">
        <v>300</v>
      </c>
      <c r="O2074" s="12">
        <f>(Tabla1[[#This Row],[COSTO FIJO ]]/30)*Tabla1[[#This Row],[TOTAL DIAS PROYECTO]]+(Tabla1[[#This Row],[COSTO TEMPORAL]])</f>
        <v>3180</v>
      </c>
      <c r="P2074" s="12">
        <f>+(645.06*50%)/4</f>
        <v>80.632499999999993</v>
      </c>
      <c r="Q2074" s="12">
        <f>+(Tabla1[[#This Row],[COSTO COCHE]]/30)*Tabla1[[#This Row],[TOTAL DIAS PROYECTO]]</f>
        <v>854.70449999999994</v>
      </c>
      <c r="R2074" s="12">
        <f>+Tabla1[[#This Row],[COSTO TOTAL ALOJAMIENTO]]+Tabla1[[#This Row],[COSTO TOTAL COCHE]]</f>
        <v>4034.7044999999998</v>
      </c>
      <c r="S2074" s="2"/>
      <c r="T2074" s="2" t="s">
        <v>35</v>
      </c>
      <c r="U2074" s="14">
        <v>45433</v>
      </c>
      <c r="V2074" s="14">
        <v>45440</v>
      </c>
      <c r="W2074" s="26">
        <v>900</v>
      </c>
      <c r="X2074" s="2">
        <v>5</v>
      </c>
      <c r="Y2074" s="85" t="s">
        <v>3602</v>
      </c>
      <c r="Z2074" s="2" t="s">
        <v>36</v>
      </c>
      <c r="AA2074" s="13" t="s">
        <v>10383</v>
      </c>
      <c r="AB2074" s="13" t="s">
        <v>10384</v>
      </c>
    </row>
    <row r="2075" spans="1:28" ht="15" customHeight="1">
      <c r="A2075" s="2" t="s">
        <v>9554</v>
      </c>
      <c r="B2075" s="2" t="s">
        <v>368</v>
      </c>
      <c r="C2075" s="215" t="s">
        <v>3603</v>
      </c>
      <c r="D2075" s="2" t="s">
        <v>99</v>
      </c>
      <c r="E2075" s="2" t="s">
        <v>2570</v>
      </c>
      <c r="F2075" s="11" t="s">
        <v>2571</v>
      </c>
      <c r="G2075" s="21" t="s">
        <v>2572</v>
      </c>
      <c r="H2075" s="2" t="s">
        <v>3600</v>
      </c>
      <c r="I2075" s="10" t="s">
        <v>2228</v>
      </c>
      <c r="J2075" s="22">
        <f>+Tabla1[[#This Row],[FECHA ENTRADA]]</f>
        <v>45768</v>
      </c>
      <c r="K2075" s="22">
        <v>45821</v>
      </c>
      <c r="L2075" s="23">
        <f>_xlfn.DAYS(Tabla1[[#This Row],[FECHA FIN ]],Tabla1[[#This Row],[FECHA INICIO]])</f>
        <v>53</v>
      </c>
      <c r="M2075" s="12"/>
      <c r="N2075" s="24">
        <v>408.5</v>
      </c>
      <c r="O2075" s="24">
        <f>(Tabla1[[#This Row],[COSTO FIJO ]]/30)*Tabla1[[#This Row],[TOTAL DIAS PROYECTO]]+(Tabla1[[#This Row],[COSTO TEMPORAL]])</f>
        <v>721.68333333333339</v>
      </c>
      <c r="P2075" s="12">
        <f>542.59/2</f>
        <v>271.29500000000002</v>
      </c>
      <c r="Q2075" s="12">
        <f>+(Tabla1[[#This Row],[COSTO COCHE]]/30)*Tabla1[[#This Row],[TOTAL DIAS PROYECTO]]</f>
        <v>479.28783333333342</v>
      </c>
      <c r="R2075" s="12">
        <f>+Tabla1[[#This Row],[COSTO TOTAL ALOJAMIENTO]]+Tabla1[[#This Row],[COSTO TOTAL COCHE]]</f>
        <v>1200.9711666666667</v>
      </c>
      <c r="S2075" s="2"/>
      <c r="T2075" s="2" t="s">
        <v>44</v>
      </c>
      <c r="U2075" s="14">
        <v>45768</v>
      </c>
      <c r="V2075" s="79">
        <v>45818</v>
      </c>
      <c r="W2075" s="26"/>
      <c r="X2075" s="2"/>
      <c r="Y2075" s="11"/>
      <c r="Z2075" s="2" t="s">
        <v>36</v>
      </c>
      <c r="AA2075" s="13" t="e">
        <v>#N/A</v>
      </c>
      <c r="AB2075" s="13" t="e">
        <v>#N/A</v>
      </c>
    </row>
    <row r="2076" spans="1:28" ht="15" customHeight="1">
      <c r="A2076" s="2" t="s">
        <v>9015</v>
      </c>
      <c r="B2076" s="2" t="s">
        <v>28</v>
      </c>
      <c r="C2076" s="219" t="s">
        <v>1703</v>
      </c>
      <c r="D2076" s="2" t="s">
        <v>99</v>
      </c>
      <c r="E2076" s="2" t="s">
        <v>259</v>
      </c>
      <c r="F2076" s="11" t="s">
        <v>2586</v>
      </c>
      <c r="G2076" t="s">
        <v>2587</v>
      </c>
      <c r="H2076" s="2" t="s">
        <v>2118</v>
      </c>
      <c r="I2076" t="s">
        <v>2119</v>
      </c>
      <c r="J2076" s="22">
        <f>+Tabla1[[#This Row],[FECHA ENTRADA]]</f>
        <v>45783</v>
      </c>
      <c r="K2076" s="22">
        <v>45821</v>
      </c>
      <c r="L2076" s="23">
        <f>_xlfn.DAYS(Tabla1[[#This Row],[FECHA FIN ]],Tabla1[[#This Row],[FECHA INICIO]])</f>
        <v>38</v>
      </c>
      <c r="M2076" s="12"/>
      <c r="N2076" s="20"/>
      <c r="O2076" s="24">
        <f>(Tabla1[[#This Row],[COSTO FIJO ]]/30)*Tabla1[[#This Row],[TOTAL DIAS PROYECTO]]+(Tabla1[[#This Row],[COSTO TEMPORAL]])</f>
        <v>0</v>
      </c>
      <c r="P2076" s="12">
        <f>651.96/4</f>
        <v>162.99</v>
      </c>
      <c r="Q2076" s="12">
        <f>+(Tabla1[[#This Row],[COSTO COCHE]]/30)*Tabla1[[#This Row],[TOTAL DIAS PROYECTO]]</f>
        <v>206.45400000000004</v>
      </c>
      <c r="R2076" s="12">
        <f>+Tabla1[[#This Row],[COSTO TOTAL ALOJAMIENTO]]+Tabla1[[#This Row],[COSTO TOTAL COCHE]]</f>
        <v>206.45400000000004</v>
      </c>
      <c r="S2076" s="2"/>
      <c r="T2076" s="14" t="s">
        <v>44</v>
      </c>
      <c r="U2076" s="14">
        <v>45783</v>
      </c>
      <c r="V2076" s="79">
        <v>45818</v>
      </c>
      <c r="W2076" s="2"/>
      <c r="X2076" s="2"/>
      <c r="Y2076" s="11" t="s">
        <v>2588</v>
      </c>
      <c r="Z2076" s="2" t="s">
        <v>36</v>
      </c>
      <c r="AA2076" s="13">
        <v>-0.87734000000000001</v>
      </c>
      <c r="AB2076" s="13" t="s">
        <v>10359</v>
      </c>
    </row>
    <row r="2077" spans="1:28" ht="15" customHeight="1">
      <c r="A2077" s="2" t="s">
        <v>9555</v>
      </c>
      <c r="B2077" s="2" t="s">
        <v>368</v>
      </c>
      <c r="C2077" s="215" t="s">
        <v>3604</v>
      </c>
      <c r="D2077" s="2" t="s">
        <v>99</v>
      </c>
      <c r="E2077" s="2" t="s">
        <v>422</v>
      </c>
      <c r="F2077" s="11" t="s">
        <v>1983</v>
      </c>
      <c r="G2077" s="11" t="s">
        <v>2067</v>
      </c>
      <c r="H2077" s="2" t="s">
        <v>3540</v>
      </c>
      <c r="I2077" s="12" t="s">
        <v>1435</v>
      </c>
      <c r="J2077" s="22">
        <f>+Tabla1[[#This Row],[FECHA ENTRADA]]</f>
        <v>45799</v>
      </c>
      <c r="K2077" s="8">
        <f>+Tabla1[[#This Row],[FECHA SALIDA]]</f>
        <v>45805</v>
      </c>
      <c r="L2077" s="23">
        <f>_xlfn.DAYS(Tabla1[[#This Row],[FECHA FIN ]],Tabla1[[#This Row],[FECHA INICIO]])</f>
        <v>6</v>
      </c>
      <c r="M2077" s="12"/>
      <c r="N2077" s="20"/>
      <c r="O2077" s="24">
        <f>(Tabla1[[#This Row],[COSTO FIJO ]]/30)*Tabla1[[#This Row],[TOTAL DIAS PROYECTO]]+(Tabla1[[#This Row],[COSTO TEMPORAL]])</f>
        <v>0</v>
      </c>
      <c r="P2077" s="12"/>
      <c r="Q2077" s="12">
        <f>+(Tabla1[[#This Row],[COSTO COCHE]]/30)*Tabla1[[#This Row],[TOTAL DIAS PROYECTO]]</f>
        <v>0</v>
      </c>
      <c r="R2077" s="12">
        <f>+Tabla1[[#This Row],[COSTO TOTAL ALOJAMIENTO]]+Tabla1[[#This Row],[COSTO TOTAL COCHE]]</f>
        <v>0</v>
      </c>
      <c r="S2077" s="2"/>
      <c r="T2077" s="14" t="s">
        <v>44</v>
      </c>
      <c r="U2077" s="14">
        <v>45799</v>
      </c>
      <c r="V2077" s="79">
        <v>45805</v>
      </c>
      <c r="W2077" s="2"/>
      <c r="X2077" s="2"/>
      <c r="Y2077" s="11"/>
      <c r="Z2077" s="2" t="s">
        <v>36</v>
      </c>
      <c r="AA2077" s="13">
        <v>-326.69799999999998</v>
      </c>
      <c r="AB2077" s="13" t="s">
        <v>10373</v>
      </c>
    </row>
    <row r="2078" spans="1:28" ht="15" customHeight="1">
      <c r="A2078" s="2" t="s">
        <v>8888</v>
      </c>
      <c r="B2078" s="2" t="s">
        <v>368</v>
      </c>
      <c r="C2078" s="220" t="s">
        <v>1170</v>
      </c>
      <c r="D2078" s="2" t="s">
        <v>30</v>
      </c>
      <c r="E2078" s="2" t="s">
        <v>87</v>
      </c>
      <c r="F2078" s="11" t="s">
        <v>1668</v>
      </c>
      <c r="G2078" s="128" t="s">
        <v>1669</v>
      </c>
      <c r="H2078" s="2" t="s">
        <v>3605</v>
      </c>
      <c r="I2078" s="12" t="s">
        <v>1392</v>
      </c>
      <c r="J2078" s="22">
        <f>+Tabla1[[#This Row],[FECHA ENTRADA]]</f>
        <v>45760</v>
      </c>
      <c r="K2078" s="22">
        <v>45970</v>
      </c>
      <c r="L2078" s="23">
        <f>_xlfn.DAYS(Tabla1[[#This Row],[FECHA FIN ]],Tabla1[[#This Row],[FECHA INICIO]])</f>
        <v>210</v>
      </c>
      <c r="M2078" s="12"/>
      <c r="N2078" s="12">
        <v>268.83333333333331</v>
      </c>
      <c r="O2078" s="24">
        <f>(Tabla1[[#This Row],[COSTO FIJO ]]/30)*Tabla1[[#This Row],[TOTAL DIAS PROYECTO]]+(Tabla1[[#This Row],[COSTO TEMPORAL]])</f>
        <v>1881.8333333333333</v>
      </c>
      <c r="P2078" s="12">
        <f>613.83/5</f>
        <v>122.76600000000001</v>
      </c>
      <c r="Q2078" s="12">
        <f>+(Tabla1[[#This Row],[COSTO COCHE]]/30)*Tabla1[[#This Row],[TOTAL DIAS PROYECTO]]</f>
        <v>859.36199999999997</v>
      </c>
      <c r="R2078" s="12">
        <f>+Tabla1[[#This Row],[COSTO TOTAL ALOJAMIENTO]]+Tabla1[[#This Row],[COSTO TOTAL COCHE]]</f>
        <v>2741.1953333333331</v>
      </c>
      <c r="S2078" s="2"/>
      <c r="T2078" s="2" t="s">
        <v>35</v>
      </c>
      <c r="U2078" s="14">
        <v>45760</v>
      </c>
      <c r="V2078" s="25"/>
      <c r="W2078" s="26"/>
      <c r="X2078" s="2">
        <v>5</v>
      </c>
      <c r="Y2078" s="30" t="s">
        <v>3606</v>
      </c>
      <c r="Z2078" s="2" t="s">
        <v>36</v>
      </c>
      <c r="AA2078" s="13" t="s">
        <v>10335</v>
      </c>
      <c r="AB2078" s="13">
        <v>404.16500000000002</v>
      </c>
    </row>
    <row r="2079" spans="1:28" ht="15" customHeight="1">
      <c r="A2079" s="2" t="s">
        <v>9556</v>
      </c>
      <c r="B2079" s="2" t="s">
        <v>368</v>
      </c>
      <c r="C2079" s="215" t="s">
        <v>3607</v>
      </c>
      <c r="D2079" s="2" t="s">
        <v>99</v>
      </c>
      <c r="E2079" s="2" t="s">
        <v>422</v>
      </c>
      <c r="F2079" s="11" t="s">
        <v>1983</v>
      </c>
      <c r="G2079" s="11" t="s">
        <v>2067</v>
      </c>
      <c r="H2079" s="2" t="s">
        <v>3540</v>
      </c>
      <c r="I2079" s="12" t="s">
        <v>1435</v>
      </c>
      <c r="J2079" s="22">
        <f>+Tabla1[[#This Row],[FECHA ENTRADA]]</f>
        <v>45799</v>
      </c>
      <c r="K2079" s="8">
        <f>+Tabla1[[#This Row],[FECHA SALIDA]]</f>
        <v>45805</v>
      </c>
      <c r="L2079" s="23">
        <f>_xlfn.DAYS(Tabla1[[#This Row],[FECHA FIN ]],Tabla1[[#This Row],[FECHA INICIO]])</f>
        <v>6</v>
      </c>
      <c r="M2079" s="12"/>
      <c r="N2079" s="12">
        <v>123.5</v>
      </c>
      <c r="O2079" s="24">
        <f>(Tabla1[[#This Row],[COSTO FIJO ]]/30)*Tabla1[[#This Row],[TOTAL DIAS PROYECTO]]+(Tabla1[[#This Row],[COSTO TEMPORAL]])</f>
        <v>24.699999999999996</v>
      </c>
      <c r="P2079" s="12"/>
      <c r="Q2079" s="12">
        <f>+(Tabla1[[#This Row],[COSTO COCHE]]/30)*Tabla1[[#This Row],[TOTAL DIAS PROYECTO]]</f>
        <v>0</v>
      </c>
      <c r="R2079" s="12">
        <f>+Tabla1[[#This Row],[COSTO TOTAL ALOJAMIENTO]]+Tabla1[[#This Row],[COSTO TOTAL COCHE]]</f>
        <v>24.699999999999996</v>
      </c>
      <c r="S2079" s="2"/>
      <c r="T2079" s="14" t="s">
        <v>44</v>
      </c>
      <c r="U2079" s="14">
        <v>45799</v>
      </c>
      <c r="V2079" s="79">
        <v>45805</v>
      </c>
      <c r="W2079" s="2"/>
      <c r="X2079" s="2"/>
      <c r="Y2079" s="11"/>
      <c r="Z2079" s="2" t="s">
        <v>36</v>
      </c>
      <c r="AA2079" s="13">
        <v>-326.69799999999998</v>
      </c>
      <c r="AB2079" s="13" t="s">
        <v>10373</v>
      </c>
    </row>
    <row r="2080" spans="1:28">
      <c r="A2080" s="2" t="s">
        <v>9321</v>
      </c>
      <c r="B2080" s="2" t="s">
        <v>28</v>
      </c>
      <c r="C2080" s="11" t="s">
        <v>2816</v>
      </c>
      <c r="D2080" s="2" t="s">
        <v>30</v>
      </c>
      <c r="E2080" s="2" t="s">
        <v>415</v>
      </c>
      <c r="F2080" s="11" t="s">
        <v>487</v>
      </c>
      <c r="G2080" s="49" t="s">
        <v>488</v>
      </c>
      <c r="H2080" s="2" t="s">
        <v>2214</v>
      </c>
      <c r="I2080" s="12" t="s">
        <v>490</v>
      </c>
      <c r="J2080" s="22">
        <f>+Tabla1[[#This Row],[FECHA ENTRADA]]</f>
        <v>45697</v>
      </c>
      <c r="K2080" s="22">
        <v>45821</v>
      </c>
      <c r="L2080" s="23">
        <f>_xlfn.DAYS(Tabla1[[#This Row],[FECHA FIN ]],Tabla1[[#This Row],[FECHA INICIO]])</f>
        <v>124</v>
      </c>
      <c r="M2080" s="12"/>
      <c r="N2080" s="12"/>
      <c r="O2080" s="24">
        <f>(Tabla1[[#This Row],[COSTO FIJO ]]/30)*Tabla1[[#This Row],[TOTAL DIAS PROYECTO]]+(Tabla1[[#This Row],[COSTO TEMPORAL]])</f>
        <v>0</v>
      </c>
      <c r="P2080" s="12"/>
      <c r="Q2080" s="12"/>
      <c r="R2080" s="12">
        <f>+Tabla1[[#This Row],[COSTO TOTAL ALOJAMIENTO]]+Tabla1[[#This Row],[COSTO TOTAL COCHE]]</f>
        <v>0</v>
      </c>
      <c r="S2080" s="2"/>
      <c r="T2080" s="2" t="s">
        <v>35</v>
      </c>
      <c r="U2080" s="14">
        <v>45697</v>
      </c>
      <c r="V2080" s="25"/>
      <c r="W2080" s="26"/>
      <c r="X2080" s="2">
        <v>5</v>
      </c>
      <c r="Y2080" s="11"/>
      <c r="Z2080" s="2" t="s">
        <v>36</v>
      </c>
      <c r="AA2080" s="13">
        <v>-0.37739</v>
      </c>
      <c r="AB2080" s="13" t="s">
        <v>10372</v>
      </c>
    </row>
    <row r="2081" spans="1:28" ht="15" customHeight="1">
      <c r="A2081" s="2" t="s">
        <v>8642</v>
      </c>
      <c r="B2081" s="2" t="s">
        <v>368</v>
      </c>
      <c r="C2081" s="215" t="s">
        <v>3608</v>
      </c>
      <c r="D2081" s="2" t="s">
        <v>99</v>
      </c>
      <c r="E2081" s="2" t="s">
        <v>422</v>
      </c>
      <c r="F2081" s="11" t="s">
        <v>1983</v>
      </c>
      <c r="G2081" s="11" t="s">
        <v>2067</v>
      </c>
      <c r="H2081" s="2" t="s">
        <v>3540</v>
      </c>
      <c r="I2081" s="12" t="s">
        <v>1435</v>
      </c>
      <c r="J2081" s="22">
        <f>+Tabla1[[#This Row],[FECHA ENTRADA]]</f>
        <v>45799</v>
      </c>
      <c r="K2081" s="8">
        <f>+Tabla1[[#This Row],[FECHA SALIDA]]</f>
        <v>45805</v>
      </c>
      <c r="L2081" s="23">
        <f>_xlfn.DAYS(Tabla1[[#This Row],[FECHA FIN ]],Tabla1[[#This Row],[FECHA INICIO]])</f>
        <v>6</v>
      </c>
      <c r="M2081" s="12">
        <v>123.5</v>
      </c>
      <c r="N2081" s="20"/>
      <c r="O2081" s="24">
        <f>(Tabla1[[#This Row],[COSTO FIJO ]]/30)*Tabla1[[#This Row],[TOTAL DIAS PROYECTO]]+(Tabla1[[#This Row],[COSTO TEMPORAL]])</f>
        <v>123.5</v>
      </c>
      <c r="P2081" s="12"/>
      <c r="Q2081" s="12">
        <f>+(Tabla1[[#This Row],[COSTO COCHE]]/30)*Tabla1[[#This Row],[TOTAL DIAS PROYECTO]]</f>
        <v>0</v>
      </c>
      <c r="R2081" s="12">
        <f>+Tabla1[[#This Row],[COSTO TOTAL ALOJAMIENTO]]+Tabla1[[#This Row],[COSTO TOTAL COCHE]]</f>
        <v>123.5</v>
      </c>
      <c r="S2081" s="2"/>
      <c r="T2081" s="14" t="s">
        <v>44</v>
      </c>
      <c r="U2081" s="14">
        <v>45799</v>
      </c>
      <c r="V2081" s="79">
        <v>45805</v>
      </c>
      <c r="W2081" s="2"/>
      <c r="X2081" s="2"/>
      <c r="Y2081" s="11"/>
      <c r="Z2081" s="2" t="s">
        <v>36</v>
      </c>
      <c r="AA2081" s="13">
        <v>-326.69799999999998</v>
      </c>
      <c r="AB2081" s="13" t="s">
        <v>10373</v>
      </c>
    </row>
    <row r="2082" spans="1:28" ht="15" customHeight="1">
      <c r="A2082" s="2" t="s">
        <v>9498</v>
      </c>
      <c r="B2082" s="2" t="s">
        <v>28</v>
      </c>
      <c r="C2082" s="215" t="s">
        <v>3388</v>
      </c>
      <c r="D2082" s="2" t="s">
        <v>99</v>
      </c>
      <c r="E2082" s="2" t="s">
        <v>608</v>
      </c>
      <c r="F2082" s="11" t="s">
        <v>2617</v>
      </c>
      <c r="G2082" s="49" t="s">
        <v>2618</v>
      </c>
      <c r="H2082" s="2" t="s">
        <v>2619</v>
      </c>
      <c r="I2082" s="12" t="s">
        <v>292</v>
      </c>
      <c r="J2082" s="22">
        <f>+Tabla1[[#This Row],[FECHA ENTRADA]]</f>
        <v>45803</v>
      </c>
      <c r="K2082" s="22">
        <v>45821</v>
      </c>
      <c r="L2082" s="13">
        <f>_xlfn.DAYS(Tabla1[[#This Row],[FECHA FIN ]],Tabla1[[#This Row],[FECHA INICIO]])</f>
        <v>18</v>
      </c>
      <c r="M2082" s="12"/>
      <c r="N2082" s="12"/>
      <c r="O2082" s="12">
        <f>(Tabla1[[#This Row],[COSTO FIJO ]]/30)*Tabla1[[#This Row],[TOTAL DIAS PROYECTO]]+(Tabla1[[#This Row],[COSTO TEMPORAL]])</f>
        <v>0</v>
      </c>
      <c r="P2082" s="12"/>
      <c r="Q2082" s="12">
        <f>+(Tabla1[[#This Row],[COSTO COCHE]]/30)*Tabla1[[#This Row],[TOTAL DIAS PROYECTO]]</f>
        <v>0</v>
      </c>
      <c r="R2082" s="12">
        <f>+Tabla1[[#This Row],[COSTO TOTAL ALOJAMIENTO]]+Tabla1[[#This Row],[COSTO TOTAL COCHE]]</f>
        <v>0</v>
      </c>
      <c r="S2082" s="2"/>
      <c r="T2082" s="2" t="s">
        <v>44</v>
      </c>
      <c r="U2082" s="14">
        <v>45803</v>
      </c>
      <c r="V2082" s="14">
        <v>45820</v>
      </c>
      <c r="W2082" s="26"/>
      <c r="X2082" s="16"/>
      <c r="Y2082" s="18"/>
      <c r="Z2082" s="2" t="s">
        <v>36</v>
      </c>
      <c r="AA2082" s="13" t="s">
        <v>10383</v>
      </c>
      <c r="AB2082" s="13" t="s">
        <v>10384</v>
      </c>
    </row>
    <row r="2083" spans="1:28" ht="15" customHeight="1">
      <c r="A2083" s="2" t="s">
        <v>8884</v>
      </c>
      <c r="B2083" s="2" t="s">
        <v>28</v>
      </c>
      <c r="C2083" s="215" t="s">
        <v>1160</v>
      </c>
      <c r="D2083" s="2" t="s">
        <v>30</v>
      </c>
      <c r="E2083" s="2" t="s">
        <v>1393</v>
      </c>
      <c r="F2083" s="11" t="s">
        <v>2590</v>
      </c>
      <c r="G2083" s="21" t="s">
        <v>2272</v>
      </c>
      <c r="H2083" s="2" t="s">
        <v>1396</v>
      </c>
      <c r="I2083" s="12" t="s">
        <v>1067</v>
      </c>
      <c r="J2083" s="22">
        <f>+Tabla1[[#This Row],[FECHA ENTRADA]]</f>
        <v>45810</v>
      </c>
      <c r="K2083" s="22">
        <v>45821</v>
      </c>
      <c r="L2083" s="42">
        <f>_xlfn.DAYS(Tabla1[[#This Row],[FECHA FIN ]],Tabla1[[#This Row],[FECHA INICIO]])</f>
        <v>11</v>
      </c>
      <c r="M2083" s="12"/>
      <c r="N2083" s="12"/>
      <c r="O2083" s="28">
        <f>(Tabla1[[#This Row],[COSTO FIJO ]]/30)*Tabla1[[#This Row],[TOTAL DIAS PROYECTO]]+(Tabla1[[#This Row],[COSTO TEMPORAL]])</f>
        <v>0</v>
      </c>
      <c r="P2083" s="12"/>
      <c r="Q2083" s="12">
        <f>+(Tabla1[[#This Row],[COSTO COCHE]]/30)*Tabla1[[#This Row],[TOTAL DIAS PROYECTO]]</f>
        <v>0</v>
      </c>
      <c r="R2083" s="12">
        <f>+Tabla1[[#This Row],[COSTO TOTAL ALOJAMIENTO]]+Tabla1[[#This Row],[COSTO TOTAL COCHE]]</f>
        <v>0</v>
      </c>
      <c r="S2083" s="2"/>
      <c r="T2083" s="2" t="s">
        <v>44</v>
      </c>
      <c r="U2083" s="14">
        <v>45810</v>
      </c>
      <c r="V2083" s="25">
        <v>45820</v>
      </c>
      <c r="W2083" s="26"/>
      <c r="X2083" s="2"/>
      <c r="Y2083" s="11"/>
      <c r="Z2083" s="2" t="s">
        <v>36</v>
      </c>
      <c r="AA2083" s="13" t="s">
        <v>10416</v>
      </c>
      <c r="AB2083" s="13" t="s">
        <v>10417</v>
      </c>
    </row>
    <row r="2084" spans="1:28" ht="15" customHeight="1">
      <c r="A2084" s="2" t="s">
        <v>9557</v>
      </c>
      <c r="B2084" s="2" t="s">
        <v>28</v>
      </c>
      <c r="C2084" s="221" t="s">
        <v>3609</v>
      </c>
      <c r="D2084" s="2" t="s">
        <v>30</v>
      </c>
      <c r="E2084" s="2" t="s">
        <v>31</v>
      </c>
      <c r="F2084" s="11" t="s">
        <v>409</v>
      </c>
      <c r="G2084" s="11" t="s">
        <v>410</v>
      </c>
      <c r="H2084" s="2" t="s">
        <v>3610</v>
      </c>
      <c r="I2084" s="12" t="s">
        <v>1101</v>
      </c>
      <c r="J2084" s="8">
        <f>+Tabla1[[#This Row],[FECHA ENTRADA]]</f>
        <v>45480</v>
      </c>
      <c r="K2084" s="22">
        <v>45821</v>
      </c>
      <c r="L2084" s="13">
        <f>_xlfn.DAYS(Tabla1[[#This Row],[FECHA FIN ]],Tabla1[[#This Row],[FECHA INICIO]])</f>
        <v>341</v>
      </c>
      <c r="M2084" s="12"/>
      <c r="N2084" s="12">
        <f>1811.6/17</f>
        <v>106.56470588235294</v>
      </c>
      <c r="O2084" s="12">
        <f>(Tabla1[[#This Row],[COSTO FIJO ]]/30)*Tabla1[[#This Row],[TOTAL DIAS PROYECTO]]+(Tabla1[[#This Row],[COSTO TEMPORAL]])</f>
        <v>1211.2854901960784</v>
      </c>
      <c r="P2084" s="12"/>
      <c r="Q2084" s="12">
        <f>+(Tabla1[[#This Row],[COSTO COCHE]]/30)*Tabla1[[#This Row],[TOTAL DIAS PROYECTO]]</f>
        <v>0</v>
      </c>
      <c r="R2084" s="12">
        <f>+Tabla1[[#This Row],[COSTO TOTAL ALOJAMIENTO]]+Tabla1[[#This Row],[COSTO TOTAL COCHE]]</f>
        <v>1211.2854901960784</v>
      </c>
      <c r="S2084" s="2"/>
      <c r="T2084" s="2" t="s">
        <v>35</v>
      </c>
      <c r="U2084" s="14">
        <v>45480</v>
      </c>
      <c r="V2084" s="14"/>
      <c r="W2084" s="26"/>
      <c r="X2084" s="2">
        <v>5</v>
      </c>
      <c r="Y2084" s="11" t="s">
        <v>3611</v>
      </c>
      <c r="Z2084" s="2" t="s">
        <v>36</v>
      </c>
      <c r="AA2084" s="13" t="s">
        <v>10323</v>
      </c>
      <c r="AB2084" s="13" t="s">
        <v>10324</v>
      </c>
    </row>
    <row r="2085" spans="1:28" ht="15" customHeight="1">
      <c r="A2085" s="2" t="s">
        <v>9467</v>
      </c>
      <c r="B2085" s="2" t="s">
        <v>28</v>
      </c>
      <c r="C2085" s="215" t="s">
        <v>3288</v>
      </c>
      <c r="D2085" s="2" t="s">
        <v>99</v>
      </c>
      <c r="E2085" s="2" t="s">
        <v>608</v>
      </c>
      <c r="F2085" s="11" t="s">
        <v>2617</v>
      </c>
      <c r="G2085" s="21" t="s">
        <v>2618</v>
      </c>
      <c r="H2085" s="2" t="s">
        <v>2619</v>
      </c>
      <c r="I2085" s="12" t="s">
        <v>292</v>
      </c>
      <c r="J2085" s="22">
        <f>+Tabla1[[#This Row],[FECHA ENTRADA]]</f>
        <v>45803</v>
      </c>
      <c r="K2085" s="22">
        <v>45821</v>
      </c>
      <c r="L2085" s="13">
        <f>_xlfn.DAYS(Tabla1[[#This Row],[FECHA FIN ]],Tabla1[[#This Row],[FECHA INICIO]])</f>
        <v>18</v>
      </c>
      <c r="M2085" s="12"/>
      <c r="N2085" s="12">
        <f>1042.8/3</f>
        <v>347.59999999999997</v>
      </c>
      <c r="O2085" s="12">
        <f>(Tabla1[[#This Row],[COSTO FIJO ]]/30)*Tabla1[[#This Row],[TOTAL DIAS PROYECTO]]+(Tabla1[[#This Row],[COSTO TEMPORAL]])</f>
        <v>208.56</v>
      </c>
      <c r="P2085" s="12"/>
      <c r="Q2085" s="12">
        <f>+(Tabla1[[#This Row],[COSTO COCHE]]/30)*Tabla1[[#This Row],[TOTAL DIAS PROYECTO]]</f>
        <v>0</v>
      </c>
      <c r="R2085" s="12">
        <f>+Tabla1[[#This Row],[COSTO TOTAL ALOJAMIENTO]]+Tabla1[[#This Row],[COSTO TOTAL COCHE]]</f>
        <v>208.56</v>
      </c>
      <c r="S2085" s="2"/>
      <c r="T2085" s="2" t="s">
        <v>44</v>
      </c>
      <c r="U2085" s="14">
        <v>45803</v>
      </c>
      <c r="V2085" s="14">
        <v>45820</v>
      </c>
      <c r="W2085" s="26"/>
      <c r="X2085" s="16"/>
      <c r="Y2085" s="18"/>
      <c r="Z2085" s="2" t="s">
        <v>36</v>
      </c>
      <c r="AA2085" s="13" t="s">
        <v>10383</v>
      </c>
      <c r="AB2085" s="13" t="s">
        <v>10384</v>
      </c>
    </row>
    <row r="2086" spans="1:28" ht="15" customHeight="1">
      <c r="A2086" s="2" t="s">
        <v>9523</v>
      </c>
      <c r="B2086" s="2" t="s">
        <v>28</v>
      </c>
      <c r="C2086" s="215" t="s">
        <v>3526</v>
      </c>
      <c r="D2086" s="2" t="s">
        <v>30</v>
      </c>
      <c r="E2086" s="2" t="s">
        <v>1393</v>
      </c>
      <c r="F2086" s="11" t="s">
        <v>2590</v>
      </c>
      <c r="G2086" s="21" t="s">
        <v>2272</v>
      </c>
      <c r="H2086" s="2" t="s">
        <v>3527</v>
      </c>
      <c r="I2086" s="12" t="s">
        <v>1067</v>
      </c>
      <c r="J2086" s="22">
        <f>+Tabla1[[#This Row],[FECHA ENTRADA]]</f>
        <v>45810</v>
      </c>
      <c r="K2086" s="22">
        <v>45821</v>
      </c>
      <c r="L2086" s="42">
        <f>_xlfn.DAYS(Tabla1[[#This Row],[FECHA FIN ]],Tabla1[[#This Row],[FECHA INICIO]])</f>
        <v>11</v>
      </c>
      <c r="M2086" s="12"/>
      <c r="N2086" s="20"/>
      <c r="O2086" s="28">
        <f>(Tabla1[[#This Row],[COSTO FIJO ]]/30)*Tabla1[[#This Row],[TOTAL DIAS PROYECTO]]+(Tabla1[[#This Row],[COSTO TEMPORAL]])</f>
        <v>0</v>
      </c>
      <c r="P2086" s="12"/>
      <c r="Q2086" s="12">
        <f>+(Tabla1[[#This Row],[COSTO COCHE]]/30)*Tabla1[[#This Row],[TOTAL DIAS PROYECTO]]</f>
        <v>0</v>
      </c>
      <c r="R2086" s="12">
        <f>+Tabla1[[#This Row],[COSTO TOTAL ALOJAMIENTO]]+Tabla1[[#This Row],[COSTO TOTAL COCHE]]</f>
        <v>0</v>
      </c>
      <c r="S2086" s="2"/>
      <c r="T2086" s="2" t="s">
        <v>44</v>
      </c>
      <c r="U2086" s="14">
        <v>45810</v>
      </c>
      <c r="V2086" s="25">
        <v>45820</v>
      </c>
      <c r="W2086" s="26"/>
      <c r="X2086" s="2"/>
      <c r="Y2086" s="11"/>
      <c r="Z2086" s="2" t="s">
        <v>36</v>
      </c>
      <c r="AA2086" s="13" t="s">
        <v>10416</v>
      </c>
      <c r="AB2086" s="13" t="s">
        <v>10417</v>
      </c>
    </row>
    <row r="2087" spans="1:28" ht="16.5" customHeight="1">
      <c r="A2087" s="2" t="s">
        <v>9558</v>
      </c>
      <c r="B2087" s="2" t="s">
        <v>368</v>
      </c>
      <c r="C2087" s="215" t="s">
        <v>3612</v>
      </c>
      <c r="D2087" s="2" t="s">
        <v>99</v>
      </c>
      <c r="E2087" s="2" t="s">
        <v>31</v>
      </c>
      <c r="F2087" s="11" t="s">
        <v>2608</v>
      </c>
      <c r="G2087" s="46">
        <v>34646052521</v>
      </c>
      <c r="H2087" s="2" t="s">
        <v>2609</v>
      </c>
      <c r="I2087" s="10" t="s">
        <v>1316</v>
      </c>
      <c r="J2087" s="22">
        <f>+Tabla1[[#This Row],[FECHA ENTRADA]]</f>
        <v>45810</v>
      </c>
      <c r="K2087" s="22">
        <v>45821</v>
      </c>
      <c r="L2087" s="23">
        <f>_xlfn.DAYS(Tabla1[[#This Row],[FECHA FIN ]],Tabla1[[#This Row],[FECHA INICIO]])</f>
        <v>11</v>
      </c>
      <c r="M2087" s="12"/>
      <c r="N2087" s="24"/>
      <c r="O2087" s="24">
        <f>(Tabla1[[#This Row],[COSTO FIJO ]]/30)*Tabla1[[#This Row],[TOTAL DIAS PROYECTO]]+(Tabla1[[#This Row],[COSTO TEMPORAL]])</f>
        <v>0</v>
      </c>
      <c r="P2087" s="12"/>
      <c r="Q2087" s="12">
        <f>+(Tabla1[[#This Row],[COSTO COCHE]]/30)*Tabla1[[#This Row],[TOTAL DIAS PROYECTO]]</f>
        <v>0</v>
      </c>
      <c r="R2087" s="12">
        <f>+Tabla1[[#This Row],[COSTO TOTAL ALOJAMIENTO]]+Tabla1[[#This Row],[COSTO TOTAL COCHE]]</f>
        <v>0</v>
      </c>
      <c r="S2087" s="2" t="s">
        <v>84</v>
      </c>
      <c r="T2087" s="2" t="s">
        <v>44</v>
      </c>
      <c r="U2087" s="14">
        <v>45810</v>
      </c>
      <c r="V2087" s="25">
        <v>45820</v>
      </c>
      <c r="W2087" s="26"/>
      <c r="X2087" s="2"/>
      <c r="Z2087" s="2" t="s">
        <v>36</v>
      </c>
      <c r="AA2087" s="13" t="s">
        <v>10323</v>
      </c>
      <c r="AB2087" s="13" t="s">
        <v>10324</v>
      </c>
    </row>
    <row r="2088" spans="1:28" ht="15" customHeight="1">
      <c r="A2088" s="2" t="s">
        <v>8884</v>
      </c>
      <c r="B2088" s="2" t="s">
        <v>28</v>
      </c>
      <c r="C2088" s="215" t="s">
        <v>1160</v>
      </c>
      <c r="D2088" s="2" t="s">
        <v>30</v>
      </c>
      <c r="E2088" s="2" t="s">
        <v>1393</v>
      </c>
      <c r="F2088" s="11" t="s">
        <v>3613</v>
      </c>
      <c r="G2088" s="49" t="s">
        <v>3614</v>
      </c>
      <c r="H2088" s="2" t="s">
        <v>1396</v>
      </c>
      <c r="I2088" s="12" t="s">
        <v>1067</v>
      </c>
      <c r="J2088" s="22">
        <f>+Tabla1[[#This Row],[FECHA ENTRADA]]</f>
        <v>45819</v>
      </c>
      <c r="K2088" s="22">
        <v>45821</v>
      </c>
      <c r="L2088" s="23">
        <f>_xlfn.DAYS(Tabla1[[#This Row],[FECHA FIN ]],Tabla1[[#This Row],[FECHA INICIO]])</f>
        <v>2</v>
      </c>
      <c r="M2088" s="12"/>
      <c r="N2088" s="12">
        <v>65</v>
      </c>
      <c r="O2088" s="24">
        <f>(Tabla1[[#This Row],[COSTO FIJO ]]/30)*Tabla1[[#This Row],[TOTAL DIAS PROYECTO]]+(Tabla1[[#This Row],[COSTO TEMPORAL]])</f>
        <v>4.333333333333333</v>
      </c>
      <c r="P2088" s="12"/>
      <c r="Q2088" s="12">
        <f>+(Tabla1[[#This Row],[COSTO COCHE]]/30)*Tabla1[[#This Row],[TOTAL DIAS PROYECTO]]</f>
        <v>0</v>
      </c>
      <c r="R2088" s="12">
        <f>+Tabla1[[#This Row],[COSTO TOTAL ALOJAMIENTO]]+Tabla1[[#This Row],[COSTO TOTAL COCHE]]</f>
        <v>4.333333333333333</v>
      </c>
      <c r="S2088" s="2"/>
      <c r="T2088" s="2" t="s">
        <v>44</v>
      </c>
      <c r="U2088" s="14">
        <v>45819</v>
      </c>
      <c r="V2088" s="25">
        <v>45821</v>
      </c>
      <c r="W2088" s="2"/>
      <c r="X2088" s="2"/>
      <c r="Y2088" s="11"/>
      <c r="Z2088" s="2" t="s">
        <v>36</v>
      </c>
      <c r="AA2088" s="13" t="s">
        <v>10416</v>
      </c>
      <c r="AB2088" s="13" t="s">
        <v>10417</v>
      </c>
    </row>
    <row r="2089" spans="1:28" ht="16.5" customHeight="1">
      <c r="A2089" s="2" t="s">
        <v>9357</v>
      </c>
      <c r="B2089" s="2" t="s">
        <v>368</v>
      </c>
      <c r="C2089" s="215" t="s">
        <v>2921</v>
      </c>
      <c r="D2089" s="2" t="s">
        <v>99</v>
      </c>
      <c r="E2089" s="2" t="s">
        <v>1664</v>
      </c>
      <c r="F2089" s="11"/>
      <c r="G2089" s="46"/>
      <c r="H2089" s="2" t="s">
        <v>2573</v>
      </c>
      <c r="I2089" s="12" t="s">
        <v>2228</v>
      </c>
      <c r="J2089" s="41">
        <f>+Tabla1[[#This Row],[FECHA ENTRADA]]</f>
        <v>45817</v>
      </c>
      <c r="K2089" s="22">
        <v>45821</v>
      </c>
      <c r="L2089" s="42">
        <f>_xlfn.DAYS(Tabla1[[#This Row],[FECHA FIN ]],Tabla1[[#This Row],[FECHA INICIO]])</f>
        <v>4</v>
      </c>
      <c r="M2089" s="12"/>
      <c r="N2089" s="12"/>
      <c r="O2089" s="28">
        <f>(Tabla1[[#This Row],[COSTO FIJO ]]/30)*Tabla1[[#This Row],[TOTAL DIAS PROYECTO]]+(Tabla1[[#This Row],[COSTO TEMPORAL]])</f>
        <v>0</v>
      </c>
      <c r="P2089" s="12"/>
      <c r="Q2089" s="12">
        <f>+(Tabla1[[#This Row],[COSTO COCHE]]/30)*Tabla1[[#This Row],[TOTAL DIAS PROYECTO]]</f>
        <v>0</v>
      </c>
      <c r="R2089" s="12">
        <f>+Tabla1[[#This Row],[COSTO TOTAL ALOJAMIENTO]]+Tabla1[[#This Row],[COSTO TOTAL COCHE]]</f>
        <v>0</v>
      </c>
      <c r="S2089" s="2"/>
      <c r="T2089" s="2" t="s">
        <v>44</v>
      </c>
      <c r="U2089" s="14">
        <v>45817</v>
      </c>
      <c r="V2089" s="43">
        <v>45821</v>
      </c>
      <c r="W2089" s="2"/>
      <c r="X2089" s="2"/>
      <c r="Y2089" s="11"/>
      <c r="Z2089" s="2" t="s">
        <v>36</v>
      </c>
      <c r="AA2089" s="13" t="s">
        <v>10425</v>
      </c>
      <c r="AB2089" s="13" t="s">
        <v>10426</v>
      </c>
    </row>
    <row r="2090" spans="1:28" ht="15" customHeight="1">
      <c r="A2090" s="2" t="s">
        <v>9523</v>
      </c>
      <c r="B2090" s="2" t="s">
        <v>28</v>
      </c>
      <c r="C2090" s="215" t="s">
        <v>3526</v>
      </c>
      <c r="D2090" s="2" t="s">
        <v>30</v>
      </c>
      <c r="E2090" s="2" t="s">
        <v>1393</v>
      </c>
      <c r="F2090" s="11" t="s">
        <v>3613</v>
      </c>
      <c r="G2090" s="49" t="s">
        <v>3614</v>
      </c>
      <c r="H2090" s="2" t="s">
        <v>3527</v>
      </c>
      <c r="I2090" s="12" t="s">
        <v>1067</v>
      </c>
      <c r="J2090" s="22">
        <f>+Tabla1[[#This Row],[FECHA ENTRADA]]</f>
        <v>45819</v>
      </c>
      <c r="K2090" s="22">
        <v>45821</v>
      </c>
      <c r="L2090" s="23">
        <f>_xlfn.DAYS(Tabla1[[#This Row],[FECHA FIN ]],Tabla1[[#This Row],[FECHA INICIO]])</f>
        <v>2</v>
      </c>
      <c r="M2090" s="12"/>
      <c r="N2090" s="24"/>
      <c r="O2090" s="24">
        <f>(Tabla1[[#This Row],[COSTO FIJO ]]/30)*Tabla1[[#This Row],[TOTAL DIAS PROYECTO]]+(Tabla1[[#This Row],[COSTO TEMPORAL]])</f>
        <v>0</v>
      </c>
      <c r="P2090" s="12"/>
      <c r="Q2090" s="12">
        <f>+(Tabla1[[#This Row],[COSTO COCHE]]/30)*Tabla1[[#This Row],[TOTAL DIAS PROYECTO]]</f>
        <v>0</v>
      </c>
      <c r="R2090" s="12">
        <f>+Tabla1[[#This Row],[COSTO TOTAL ALOJAMIENTO]]+Tabla1[[#This Row],[COSTO TOTAL COCHE]]</f>
        <v>0</v>
      </c>
      <c r="S2090" s="2"/>
      <c r="T2090" s="2" t="s">
        <v>44</v>
      </c>
      <c r="U2090" s="14">
        <v>45819</v>
      </c>
      <c r="V2090" s="25">
        <v>45821</v>
      </c>
      <c r="W2090" s="2"/>
      <c r="X2090" s="2"/>
      <c r="Y2090" s="11"/>
      <c r="Z2090" s="2" t="s">
        <v>36</v>
      </c>
      <c r="AA2090" s="13" t="s">
        <v>10416</v>
      </c>
      <c r="AB2090" s="13" t="s">
        <v>10417</v>
      </c>
    </row>
    <row r="2091" spans="1:28" ht="15" customHeight="1">
      <c r="A2091" s="2" t="s">
        <v>8887</v>
      </c>
      <c r="B2091" s="2" t="s">
        <v>28</v>
      </c>
      <c r="C2091" s="215" t="s">
        <v>1169</v>
      </c>
      <c r="D2091" s="2" t="s">
        <v>30</v>
      </c>
      <c r="E2091" s="2" t="s">
        <v>1393</v>
      </c>
      <c r="F2091" s="11" t="s">
        <v>3613</v>
      </c>
      <c r="G2091" s="49" t="s">
        <v>3614</v>
      </c>
      <c r="H2091" s="2" t="s">
        <v>1396</v>
      </c>
      <c r="I2091" s="12" t="s">
        <v>1067</v>
      </c>
      <c r="J2091" s="22">
        <f>+Tabla1[[#This Row],[FECHA ENTRADA]]</f>
        <v>45819</v>
      </c>
      <c r="K2091" s="22">
        <v>45821</v>
      </c>
      <c r="L2091" s="23">
        <f>_xlfn.DAYS(Tabla1[[#This Row],[FECHA FIN ]],Tabla1[[#This Row],[FECHA INICIO]])</f>
        <v>2</v>
      </c>
      <c r="M2091" s="12">
        <v>65</v>
      </c>
      <c r="N2091" s="24"/>
      <c r="O2091" s="24">
        <f>(Tabla1[[#This Row],[COSTO FIJO ]]/30)*Tabla1[[#This Row],[TOTAL DIAS PROYECTO]]+(Tabla1[[#This Row],[COSTO TEMPORAL]])</f>
        <v>65</v>
      </c>
      <c r="P2091" s="12"/>
      <c r="Q2091" s="12">
        <f>+(Tabla1[[#This Row],[COSTO COCHE]]/30)*Tabla1[[#This Row],[TOTAL DIAS PROYECTO]]</f>
        <v>0</v>
      </c>
      <c r="R2091" s="12">
        <f>+Tabla1[[#This Row],[COSTO TOTAL ALOJAMIENTO]]+Tabla1[[#This Row],[COSTO TOTAL COCHE]]</f>
        <v>65</v>
      </c>
      <c r="S2091" s="2"/>
      <c r="T2091" s="2" t="s">
        <v>44</v>
      </c>
      <c r="U2091" s="14">
        <v>45819</v>
      </c>
      <c r="V2091" s="25">
        <v>45821</v>
      </c>
      <c r="W2091" s="2"/>
      <c r="X2091" s="2"/>
      <c r="Y2091" s="11"/>
      <c r="Z2091" s="2" t="s">
        <v>36</v>
      </c>
      <c r="AA2091" s="13" t="s">
        <v>10416</v>
      </c>
      <c r="AB2091" s="13" t="s">
        <v>10417</v>
      </c>
    </row>
    <row r="2092" spans="1:28" ht="15" customHeight="1">
      <c r="A2092" s="2" t="s">
        <v>8889</v>
      </c>
      <c r="B2092" s="2" t="s">
        <v>28</v>
      </c>
      <c r="C2092" s="181" t="s">
        <v>1171</v>
      </c>
      <c r="D2092" s="2" t="s">
        <v>30</v>
      </c>
      <c r="E2092" s="2" t="s">
        <v>1393</v>
      </c>
      <c r="F2092" s="11" t="s">
        <v>3613</v>
      </c>
      <c r="G2092" s="49" t="s">
        <v>3614</v>
      </c>
      <c r="H2092" s="2" t="s">
        <v>1396</v>
      </c>
      <c r="I2092" s="12" t="s">
        <v>1067</v>
      </c>
      <c r="J2092" s="22">
        <f>+Tabla1[[#This Row],[FECHA ENTRADA]]</f>
        <v>45819</v>
      </c>
      <c r="K2092" s="22">
        <v>45821</v>
      </c>
      <c r="L2092" s="23">
        <f>_xlfn.DAYS(Tabla1[[#This Row],[FECHA FIN ]],Tabla1[[#This Row],[FECHA INICIO]])</f>
        <v>2</v>
      </c>
      <c r="M2092" s="12">
        <v>65</v>
      </c>
      <c r="N2092" s="24"/>
      <c r="O2092" s="24">
        <f>(Tabla1[[#This Row],[COSTO FIJO ]]/30)*Tabla1[[#This Row],[TOTAL DIAS PROYECTO]]+(Tabla1[[#This Row],[COSTO TEMPORAL]])</f>
        <v>65</v>
      </c>
      <c r="P2092" s="12"/>
      <c r="Q2092" s="12">
        <f>+(Tabla1[[#This Row],[COSTO COCHE]]/30)*Tabla1[[#This Row],[TOTAL DIAS PROYECTO]]</f>
        <v>0</v>
      </c>
      <c r="R2092" s="12">
        <f>+Tabla1[[#This Row],[COSTO TOTAL ALOJAMIENTO]]+Tabla1[[#This Row],[COSTO TOTAL COCHE]]</f>
        <v>65</v>
      </c>
      <c r="S2092" s="2"/>
      <c r="T2092" s="2" t="s">
        <v>44</v>
      </c>
      <c r="U2092" s="14">
        <v>45819</v>
      </c>
      <c r="V2092" s="25">
        <v>45821</v>
      </c>
      <c r="W2092" s="2"/>
      <c r="X2092" s="2"/>
      <c r="Y2092" s="11"/>
      <c r="Z2092" s="2" t="s">
        <v>36</v>
      </c>
      <c r="AA2092" s="13" t="s">
        <v>10416</v>
      </c>
      <c r="AB2092" s="13" t="s">
        <v>10417</v>
      </c>
    </row>
    <row r="2093" spans="1:28" ht="16.5" customHeight="1">
      <c r="A2093" s="2" t="s">
        <v>9498</v>
      </c>
      <c r="B2093" s="2" t="s">
        <v>28</v>
      </c>
      <c r="C2093" s="11" t="s">
        <v>3388</v>
      </c>
      <c r="D2093" s="2" t="s">
        <v>99</v>
      </c>
      <c r="E2093" s="2" t="s">
        <v>608</v>
      </c>
      <c r="F2093" s="11" t="s">
        <v>3615</v>
      </c>
      <c r="G2093" s="46" t="s">
        <v>3616</v>
      </c>
      <c r="H2093" s="2" t="s">
        <v>2619</v>
      </c>
      <c r="I2093" s="12" t="s">
        <v>292</v>
      </c>
      <c r="J2093" s="41">
        <f>+Tabla1[[#This Row],[FECHA ENTRADA]]</f>
        <v>45820</v>
      </c>
      <c r="K2093" s="22">
        <v>45821</v>
      </c>
      <c r="L2093" s="42">
        <f>_xlfn.DAYS(Tabla1[[#This Row],[FECHA FIN ]],Tabla1[[#This Row],[FECHA INICIO]])</f>
        <v>1</v>
      </c>
      <c r="M2093" s="12"/>
      <c r="N2093" s="12"/>
      <c r="O2093" s="28">
        <f>(Tabla1[[#This Row],[COSTO FIJO ]]/30)*Tabla1[[#This Row],[TOTAL DIAS PROYECTO]]+(Tabla1[[#This Row],[COSTO TEMPORAL]])</f>
        <v>0</v>
      </c>
      <c r="P2093" s="12"/>
      <c r="Q2093" s="12">
        <f>+(Tabla1[[#This Row],[COSTO COCHE]]/30)*Tabla1[[#This Row],[TOTAL DIAS PROYECTO]]</f>
        <v>0</v>
      </c>
      <c r="R2093" s="12">
        <f>+Tabla1[[#This Row],[COSTO TOTAL ALOJAMIENTO]]+Tabla1[[#This Row],[COSTO TOTAL COCHE]]</f>
        <v>0</v>
      </c>
      <c r="S2093" s="2"/>
      <c r="T2093" s="2" t="s">
        <v>44</v>
      </c>
      <c r="U2093" s="14">
        <v>45820</v>
      </c>
      <c r="V2093" s="43">
        <v>45824</v>
      </c>
      <c r="W2093" s="2"/>
      <c r="X2093" s="2"/>
      <c r="Y2093" s="11" t="s">
        <v>3617</v>
      </c>
      <c r="Z2093" s="2" t="s">
        <v>36</v>
      </c>
      <c r="AA2093" s="13" t="s">
        <v>10383</v>
      </c>
      <c r="AB2093" s="13" t="s">
        <v>10384</v>
      </c>
    </row>
    <row r="2094" spans="1:28" ht="15" customHeight="1">
      <c r="A2094" s="2" t="s">
        <v>9467</v>
      </c>
      <c r="B2094" s="2" t="s">
        <v>28</v>
      </c>
      <c r="C2094" s="104" t="s">
        <v>3288</v>
      </c>
      <c r="D2094" s="2" t="s">
        <v>99</v>
      </c>
      <c r="E2094" s="2" t="s">
        <v>608</v>
      </c>
      <c r="F2094" s="11" t="s">
        <v>3615</v>
      </c>
      <c r="G2094" s="46" t="s">
        <v>3616</v>
      </c>
      <c r="H2094" s="2" t="s">
        <v>2619</v>
      </c>
      <c r="I2094" s="12" t="s">
        <v>292</v>
      </c>
      <c r="J2094" s="41">
        <f>+Tabla1[[#This Row],[FECHA ENTRADA]]</f>
        <v>45820</v>
      </c>
      <c r="K2094" s="22">
        <v>45821</v>
      </c>
      <c r="L2094" s="42">
        <f>_xlfn.DAYS(Tabla1[[#This Row],[FECHA FIN ]],Tabla1[[#This Row],[FECHA INICIO]])</f>
        <v>1</v>
      </c>
      <c r="M2094" s="12"/>
      <c r="N2094" s="12"/>
      <c r="O2094" s="28">
        <f>(Tabla1[[#This Row],[COSTO FIJO ]]/30)*Tabla1[[#This Row],[TOTAL DIAS PROYECTO]]+(Tabla1[[#This Row],[COSTO TEMPORAL]])</f>
        <v>0</v>
      </c>
      <c r="P2094" s="12"/>
      <c r="Q2094" s="12">
        <f>+(Tabla1[[#This Row],[COSTO COCHE]]/30)*Tabla1[[#This Row],[TOTAL DIAS PROYECTO]]</f>
        <v>0</v>
      </c>
      <c r="R2094" s="12">
        <f>+Tabla1[[#This Row],[COSTO TOTAL ALOJAMIENTO]]+Tabla1[[#This Row],[COSTO TOTAL COCHE]]</f>
        <v>0</v>
      </c>
      <c r="S2094" s="2"/>
      <c r="T2094" s="2" t="s">
        <v>44</v>
      </c>
      <c r="U2094" s="14">
        <v>45820</v>
      </c>
      <c r="V2094" s="43">
        <v>45824</v>
      </c>
      <c r="W2094" s="2"/>
      <c r="X2094" s="2"/>
      <c r="Y2094" s="11" t="s">
        <v>3617</v>
      </c>
      <c r="Z2094" s="2" t="s">
        <v>36</v>
      </c>
      <c r="AA2094" s="13" t="s">
        <v>10383</v>
      </c>
      <c r="AB2094" s="13" t="s">
        <v>10384</v>
      </c>
    </row>
    <row r="2095" spans="1:28" ht="15" customHeight="1">
      <c r="A2095" s="2" t="s">
        <v>9130</v>
      </c>
      <c r="B2095" s="2" t="s">
        <v>28</v>
      </c>
      <c r="C2095" s="215" t="s">
        <v>2126</v>
      </c>
      <c r="D2095" s="2" t="s">
        <v>99</v>
      </c>
      <c r="E2095" s="2" t="s">
        <v>608</v>
      </c>
      <c r="F2095" s="11" t="s">
        <v>3615</v>
      </c>
      <c r="G2095" s="46" t="s">
        <v>3616</v>
      </c>
      <c r="H2095" s="2" t="s">
        <v>2619</v>
      </c>
      <c r="I2095" s="12" t="s">
        <v>292</v>
      </c>
      <c r="J2095" s="41">
        <f>+Tabla1[[#This Row],[FECHA ENTRADA]]</f>
        <v>45820</v>
      </c>
      <c r="K2095" s="22">
        <v>45821</v>
      </c>
      <c r="L2095" s="42">
        <f>_xlfn.DAYS(Tabla1[[#This Row],[FECHA FIN ]],Tabla1[[#This Row],[FECHA INICIO]])</f>
        <v>1</v>
      </c>
      <c r="M2095" s="12"/>
      <c r="N2095" s="12"/>
      <c r="O2095" s="28">
        <f>(Tabla1[[#This Row],[COSTO FIJO ]]/30)*Tabla1[[#This Row],[TOTAL DIAS PROYECTO]]+(Tabla1[[#This Row],[COSTO TEMPORAL]])</f>
        <v>0</v>
      </c>
      <c r="P2095" s="12"/>
      <c r="Q2095" s="12">
        <f>+(Tabla1[[#This Row],[COSTO COCHE]]/30)*Tabla1[[#This Row],[TOTAL DIAS PROYECTO]]</f>
        <v>0</v>
      </c>
      <c r="R2095" s="12">
        <f>+Tabla1[[#This Row],[COSTO TOTAL ALOJAMIENTO]]+Tabla1[[#This Row],[COSTO TOTAL COCHE]]</f>
        <v>0</v>
      </c>
      <c r="S2095" s="2"/>
      <c r="T2095" s="2" t="s">
        <v>44</v>
      </c>
      <c r="U2095" s="14">
        <v>45820</v>
      </c>
      <c r="V2095" s="43">
        <v>45824</v>
      </c>
      <c r="W2095" s="2"/>
      <c r="X2095" s="2"/>
      <c r="Y2095" s="11" t="s">
        <v>3617</v>
      </c>
      <c r="Z2095" s="2" t="s">
        <v>36</v>
      </c>
      <c r="AA2095" s="13" t="s">
        <v>10383</v>
      </c>
      <c r="AB2095" s="13" t="s">
        <v>10384</v>
      </c>
    </row>
    <row r="2096" spans="1:28" ht="15" customHeight="1">
      <c r="A2096" s="2" t="s">
        <v>9559</v>
      </c>
      <c r="B2096" s="2" t="s">
        <v>28</v>
      </c>
      <c r="C2096" s="215" t="s">
        <v>3618</v>
      </c>
      <c r="D2096" s="2" t="s">
        <v>30</v>
      </c>
      <c r="E2096" s="2" t="s">
        <v>151</v>
      </c>
      <c r="F2096" s="11" t="s">
        <v>1259</v>
      </c>
      <c r="G2096" s="46" t="s">
        <v>2557</v>
      </c>
      <c r="H2096" s="2" t="s">
        <v>3619</v>
      </c>
      <c r="I2096" s="12" t="s">
        <v>228</v>
      </c>
      <c r="J2096" s="41">
        <f>+Tabla1[[#This Row],[FECHA ENTRADA]]</f>
        <v>45819</v>
      </c>
      <c r="K2096" s="22">
        <v>45821</v>
      </c>
      <c r="L2096" s="42">
        <f>_xlfn.DAYS(Tabla1[[#This Row],[FECHA FIN ]],Tabla1[[#This Row],[FECHA INICIO]])</f>
        <v>2</v>
      </c>
      <c r="M2096" s="12"/>
      <c r="N2096" s="12"/>
      <c r="O2096" s="28">
        <f>(Tabla1[[#This Row],[COSTO FIJO ]]/30)*Tabla1[[#This Row],[TOTAL DIAS PROYECTO]]+(Tabla1[[#This Row],[COSTO TEMPORAL]])</f>
        <v>0</v>
      </c>
      <c r="P2096" s="12"/>
      <c r="Q2096" s="12">
        <f>+(Tabla1[[#This Row],[COSTO COCHE]]/30)*Tabla1[[#This Row],[TOTAL DIAS PROYECTO]]</f>
        <v>0</v>
      </c>
      <c r="R2096" s="12">
        <f>+Tabla1[[#This Row],[COSTO TOTAL ALOJAMIENTO]]+Tabla1[[#This Row],[COSTO TOTAL COCHE]]</f>
        <v>0</v>
      </c>
      <c r="S2096" s="2"/>
      <c r="T2096" s="14" t="s">
        <v>44</v>
      </c>
      <c r="U2096" s="14">
        <v>45819</v>
      </c>
      <c r="V2096" s="79">
        <v>45825</v>
      </c>
      <c r="W2096" s="2"/>
      <c r="X2096" s="2"/>
      <c r="Y2096" s="11"/>
      <c r="Z2096" s="2" t="s">
        <v>36</v>
      </c>
      <c r="AA2096" s="13" t="s">
        <v>10345</v>
      </c>
      <c r="AB2096" s="13" t="s">
        <v>10346</v>
      </c>
    </row>
    <row r="2097" spans="1:28" ht="16.5" customHeight="1">
      <c r="A2097" s="2" t="s">
        <v>9548</v>
      </c>
      <c r="B2097" s="2" t="s">
        <v>368</v>
      </c>
      <c r="C2097" s="11" t="s">
        <v>3592</v>
      </c>
      <c r="D2097" s="2" t="s">
        <v>30</v>
      </c>
      <c r="E2097" s="2" t="s">
        <v>1443</v>
      </c>
      <c r="F2097" s="11" t="s">
        <v>1444</v>
      </c>
      <c r="G2097" s="11" t="s">
        <v>1445</v>
      </c>
      <c r="H2097" s="2" t="s">
        <v>1391</v>
      </c>
      <c r="I2097" s="12" t="s">
        <v>1447</v>
      </c>
      <c r="J2097" s="22">
        <f>+Tabla1[[#This Row],[FECHA ENTRADA]]</f>
        <v>45675</v>
      </c>
      <c r="K2097" s="22">
        <v>45821</v>
      </c>
      <c r="L2097" s="23">
        <f>_xlfn.DAYS(Tabla1[[#This Row],[FECHA FIN ]],Tabla1[[#This Row],[FECHA INICIO]])</f>
        <v>146</v>
      </c>
      <c r="M2097" s="12"/>
      <c r="N2097" s="12"/>
      <c r="O2097" s="24">
        <f>(Tabla1[[#This Row],[COSTO FIJO ]]/30)*Tabla1[[#This Row],[TOTAL DIAS PROYECTO]]+(Tabla1[[#This Row],[COSTO TEMPORAL]])</f>
        <v>0</v>
      </c>
      <c r="P2097" s="12">
        <v>80</v>
      </c>
      <c r="Q2097" s="12">
        <f>+(Tabla1[[#This Row],[COSTO COCHE]]/30)*Tabla1[[#This Row],[TOTAL DIAS PROYECTO]]</f>
        <v>389.33333333333331</v>
      </c>
      <c r="R2097" s="12">
        <f>+Tabla1[[#This Row],[COSTO TOTAL ALOJAMIENTO]]+Tabla1[[#This Row],[COSTO TOTAL COCHE]]</f>
        <v>389.33333333333331</v>
      </c>
      <c r="S2097" s="2"/>
      <c r="T2097" s="2" t="s">
        <v>44</v>
      </c>
      <c r="U2097" s="14">
        <v>45675</v>
      </c>
      <c r="V2097" s="25">
        <v>45826</v>
      </c>
      <c r="W2097" s="26"/>
      <c r="X2097" s="2"/>
      <c r="Y2097" s="161" t="s">
        <v>3620</v>
      </c>
      <c r="Z2097" s="2" t="s">
        <v>36</v>
      </c>
      <c r="AA2097" s="13" t="s">
        <v>10420</v>
      </c>
      <c r="AB2097" s="13">
        <v>3907741</v>
      </c>
    </row>
    <row r="2098" spans="1:28" ht="15" customHeight="1">
      <c r="A2098" s="2" t="s">
        <v>8642</v>
      </c>
      <c r="B2098" s="2" t="s">
        <v>368</v>
      </c>
      <c r="C2098" s="31" t="s">
        <v>3621</v>
      </c>
      <c r="D2098" s="2" t="s">
        <v>30</v>
      </c>
      <c r="E2098" s="2" t="s">
        <v>1443</v>
      </c>
      <c r="F2098" s="11" t="s">
        <v>1444</v>
      </c>
      <c r="G2098" s="11" t="s">
        <v>1445</v>
      </c>
      <c r="H2098" s="2" t="s">
        <v>1869</v>
      </c>
      <c r="I2098" s="116" t="s">
        <v>3356</v>
      </c>
      <c r="J2098" s="22">
        <f>+Tabla1[[#This Row],[FECHA ENTRADA]]</f>
        <v>45783</v>
      </c>
      <c r="K2098" s="22">
        <v>45821</v>
      </c>
      <c r="L2098" s="23">
        <f>_xlfn.DAYS(Tabla1[[#This Row],[FECHA FIN ]],Tabla1[[#This Row],[FECHA INICIO]])</f>
        <v>38</v>
      </c>
      <c r="M2098" s="12"/>
      <c r="N2098" s="12"/>
      <c r="O2098" s="24">
        <f>(Tabla1[[#This Row],[COSTO FIJO ]]/30)*Tabla1[[#This Row],[TOTAL DIAS PROYECTO]]+(Tabla1[[#This Row],[COSTO TEMPORAL]])</f>
        <v>0</v>
      </c>
      <c r="P2098" s="12">
        <v>80</v>
      </c>
      <c r="Q2098" s="12">
        <f>+(Tabla1[[#This Row],[COSTO COCHE]]/30)*Tabla1[[#This Row],[TOTAL DIAS PROYECTO]]</f>
        <v>101.33333333333333</v>
      </c>
      <c r="R2098" s="12">
        <f>+Tabla1[[#This Row],[COSTO TOTAL ALOJAMIENTO]]+Tabla1[[#This Row],[COSTO TOTAL COCHE]]</f>
        <v>101.33333333333333</v>
      </c>
      <c r="S2098" s="2"/>
      <c r="T2098" s="2" t="s">
        <v>44</v>
      </c>
      <c r="U2098" s="14">
        <v>45783</v>
      </c>
      <c r="V2098" s="25">
        <v>45826</v>
      </c>
      <c r="W2098" s="26"/>
      <c r="X2098" s="2"/>
      <c r="Y2098" s="161" t="s">
        <v>3620</v>
      </c>
      <c r="Z2098" s="2" t="s">
        <v>36</v>
      </c>
      <c r="AA2098" s="13" t="s">
        <v>10420</v>
      </c>
      <c r="AB2098" s="13">
        <v>3907741</v>
      </c>
    </row>
    <row r="2099" spans="1:28" ht="15" customHeight="1">
      <c r="A2099" s="2" t="s">
        <v>9447</v>
      </c>
      <c r="B2099" s="2" t="s">
        <v>368</v>
      </c>
      <c r="C2099" s="11" t="s">
        <v>3218</v>
      </c>
      <c r="D2099" s="2" t="s">
        <v>30</v>
      </c>
      <c r="E2099" s="2" t="s">
        <v>127</v>
      </c>
      <c r="F2099" s="11" t="s">
        <v>820</v>
      </c>
      <c r="G2099" s="21" t="s">
        <v>1234</v>
      </c>
      <c r="H2099" s="2" t="s">
        <v>3622</v>
      </c>
      <c r="I2099" s="12" t="s">
        <v>1193</v>
      </c>
      <c r="J2099" s="22">
        <f>+Tabla1[[#This Row],[FECHA ENTRADA]]</f>
        <v>45798</v>
      </c>
      <c r="K2099" s="22">
        <v>45821</v>
      </c>
      <c r="L2099" s="23">
        <f>_xlfn.DAYS(Tabla1[[#This Row],[FECHA FIN ]],Tabla1[[#This Row],[FECHA INICIO]])</f>
        <v>23</v>
      </c>
      <c r="M2099" s="12"/>
      <c r="N2099" s="12"/>
      <c r="O2099" s="24">
        <f>(Tabla1[[#This Row],[COSTO FIJO ]]/30)*Tabla1[[#This Row],[TOTAL DIAS PROYECTO]]+(Tabla1[[#This Row],[COSTO TEMPORAL]])</f>
        <v>0</v>
      </c>
      <c r="P2099" s="12"/>
      <c r="Q2099" s="12">
        <f>+(Tabla1[[#This Row],[COSTO COCHE]]/30)*Tabla1[[#This Row],[TOTAL DIAS PROYECTO]]</f>
        <v>0</v>
      </c>
      <c r="R2099" s="12">
        <f>+Tabla1[[#This Row],[COSTO TOTAL ALOJAMIENTO]]+Tabla1[[#This Row],[COSTO TOTAL COCHE]]</f>
        <v>0</v>
      </c>
      <c r="S2099" s="2"/>
      <c r="T2099" s="2" t="s">
        <v>44</v>
      </c>
      <c r="U2099" s="14">
        <v>45798</v>
      </c>
      <c r="V2099" s="25">
        <v>45827</v>
      </c>
      <c r="W2099" s="26"/>
      <c r="X2099" s="2"/>
      <c r="Y2099" s="11"/>
      <c r="Z2099" s="2" t="s">
        <v>36</v>
      </c>
      <c r="AA2099" s="13" t="s">
        <v>10342</v>
      </c>
      <c r="AB2099" s="13" t="s">
        <v>10343</v>
      </c>
    </row>
    <row r="2100" spans="1:28" ht="15" customHeight="1">
      <c r="A2100" s="2" t="s">
        <v>8642</v>
      </c>
      <c r="B2100" s="2" t="s">
        <v>368</v>
      </c>
      <c r="C2100" s="11" t="s">
        <v>3623</v>
      </c>
      <c r="D2100" s="2" t="s">
        <v>99</v>
      </c>
      <c r="E2100" s="2" t="s">
        <v>422</v>
      </c>
      <c r="F2100" s="11" t="s">
        <v>1983</v>
      </c>
      <c r="G2100" s="11" t="s">
        <v>2067</v>
      </c>
      <c r="H2100" s="2" t="s">
        <v>3540</v>
      </c>
      <c r="I2100" s="12" t="s">
        <v>1435</v>
      </c>
      <c r="J2100" s="22">
        <f>+Tabla1[[#This Row],[FECHA ENTRADA]]</f>
        <v>45799</v>
      </c>
      <c r="K2100" s="8">
        <f>+Tabla1[[#This Row],[FECHA SALIDA]]</f>
        <v>45805</v>
      </c>
      <c r="L2100" s="23">
        <f>_xlfn.DAYS(Tabla1[[#This Row],[FECHA FIN ]],Tabla1[[#This Row],[FECHA INICIO]])</f>
        <v>6</v>
      </c>
      <c r="M2100" s="12">
        <v>123.5</v>
      </c>
      <c r="N2100" s="20"/>
      <c r="O2100" s="24">
        <f>(Tabla1[[#This Row],[COSTO FIJO ]]/30)*Tabla1[[#This Row],[TOTAL DIAS PROYECTO]]+(Tabla1[[#This Row],[COSTO TEMPORAL]])</f>
        <v>123.5</v>
      </c>
      <c r="P2100" s="12"/>
      <c r="Q2100" s="12">
        <f>+(Tabla1[[#This Row],[COSTO COCHE]]/30)*Tabla1[[#This Row],[TOTAL DIAS PROYECTO]]</f>
        <v>0</v>
      </c>
      <c r="R2100" s="12">
        <f>+Tabla1[[#This Row],[COSTO TOTAL ALOJAMIENTO]]+Tabla1[[#This Row],[COSTO TOTAL COCHE]]</f>
        <v>123.5</v>
      </c>
      <c r="S2100" s="2"/>
      <c r="T2100" s="14" t="s">
        <v>44</v>
      </c>
      <c r="U2100" s="14">
        <v>45799</v>
      </c>
      <c r="V2100" s="79">
        <v>45805</v>
      </c>
      <c r="W2100" s="2"/>
      <c r="X2100" s="2"/>
      <c r="Y2100" s="11"/>
      <c r="Z2100" s="2" t="s">
        <v>36</v>
      </c>
      <c r="AA2100" s="13">
        <v>-326.69799999999998</v>
      </c>
      <c r="AB2100" s="13" t="s">
        <v>10373</v>
      </c>
    </row>
    <row r="2101" spans="1:28" ht="15" customHeight="1">
      <c r="A2101" s="2" t="s">
        <v>8642</v>
      </c>
      <c r="B2101" s="2" t="s">
        <v>368</v>
      </c>
      <c r="C2101" s="11" t="s">
        <v>3624</v>
      </c>
      <c r="D2101" s="2" t="s">
        <v>99</v>
      </c>
      <c r="E2101" s="2" t="s">
        <v>422</v>
      </c>
      <c r="F2101" s="11" t="s">
        <v>1983</v>
      </c>
      <c r="G2101" s="11" t="s">
        <v>2067</v>
      </c>
      <c r="H2101" s="2" t="s">
        <v>3540</v>
      </c>
      <c r="I2101" s="12" t="s">
        <v>1435</v>
      </c>
      <c r="J2101" s="22">
        <f>+Tabla1[[#This Row],[FECHA ENTRADA]]</f>
        <v>45799</v>
      </c>
      <c r="K2101" s="8">
        <f>+Tabla1[[#This Row],[FECHA SALIDA]]</f>
        <v>45805</v>
      </c>
      <c r="L2101" s="23">
        <f>_xlfn.DAYS(Tabla1[[#This Row],[FECHA FIN ]],Tabla1[[#This Row],[FECHA INICIO]])</f>
        <v>6</v>
      </c>
      <c r="M2101" s="12">
        <v>123.5</v>
      </c>
      <c r="N2101" s="20"/>
      <c r="O2101" s="24">
        <f>(Tabla1[[#This Row],[COSTO FIJO ]]/30)*Tabla1[[#This Row],[TOTAL DIAS PROYECTO]]+(Tabla1[[#This Row],[COSTO TEMPORAL]])</f>
        <v>123.5</v>
      </c>
      <c r="P2101" s="12"/>
      <c r="Q2101" s="12">
        <f>+(Tabla1[[#This Row],[COSTO COCHE]]/30)*Tabla1[[#This Row],[TOTAL DIAS PROYECTO]]</f>
        <v>0</v>
      </c>
      <c r="R2101" s="12">
        <f>+Tabla1[[#This Row],[COSTO TOTAL ALOJAMIENTO]]+Tabla1[[#This Row],[COSTO TOTAL COCHE]]</f>
        <v>123.5</v>
      </c>
      <c r="S2101" s="2"/>
      <c r="T2101" s="14" t="s">
        <v>44</v>
      </c>
      <c r="U2101" s="14">
        <v>45799</v>
      </c>
      <c r="V2101" s="79">
        <v>45805</v>
      </c>
      <c r="W2101" s="2"/>
      <c r="X2101" s="2"/>
      <c r="Y2101" s="11" t="s">
        <v>3625</v>
      </c>
      <c r="Z2101" s="2" t="s">
        <v>36</v>
      </c>
      <c r="AA2101" s="13">
        <v>-326.69799999999998</v>
      </c>
      <c r="AB2101" s="13" t="s">
        <v>10373</v>
      </c>
    </row>
    <row r="2102" spans="1:28" ht="15" customHeight="1">
      <c r="A2102" s="2" t="s">
        <v>9526</v>
      </c>
      <c r="B2102" s="2" t="s">
        <v>368</v>
      </c>
      <c r="C2102" s="11" t="s">
        <v>3539</v>
      </c>
      <c r="D2102" s="2" t="s">
        <v>99</v>
      </c>
      <c r="E2102" s="2" t="s">
        <v>422</v>
      </c>
      <c r="F2102" s="11" t="s">
        <v>1983</v>
      </c>
      <c r="G2102" s="11" t="s">
        <v>2067</v>
      </c>
      <c r="H2102" s="2" t="s">
        <v>3540</v>
      </c>
      <c r="I2102" s="12" t="s">
        <v>1435</v>
      </c>
      <c r="J2102" s="22">
        <f>+Tabla1[[#This Row],[FECHA ENTRADA]]</f>
        <v>45805</v>
      </c>
      <c r="K2102" s="22">
        <v>45812</v>
      </c>
      <c r="L2102" s="23">
        <f>_xlfn.DAYS(Tabla1[[#This Row],[FECHA FIN ]],Tabla1[[#This Row],[FECHA INICIO]])</f>
        <v>7</v>
      </c>
      <c r="M2102" s="12"/>
      <c r="N2102" s="12"/>
      <c r="O2102" s="24">
        <f>(Tabla1[[#This Row],[COSTO FIJO ]]/30)*Tabla1[[#This Row],[TOTAL DIAS PROYECTO]]+(Tabla1[[#This Row],[COSTO TEMPORAL]])</f>
        <v>0</v>
      </c>
      <c r="P2102" s="12"/>
      <c r="Q2102" s="12">
        <f>+(Tabla1[[#This Row],[COSTO COCHE]]/30)*Tabla1[[#This Row],[TOTAL DIAS PROYECTO]]</f>
        <v>0</v>
      </c>
      <c r="R2102" s="12">
        <f>+Tabla1[[#This Row],[COSTO TOTAL ALOJAMIENTO]]+Tabla1[[#This Row],[COSTO TOTAL COCHE]]</f>
        <v>0</v>
      </c>
      <c r="S2102" s="2"/>
      <c r="T2102" s="14" t="s">
        <v>44</v>
      </c>
      <c r="U2102" s="22">
        <v>45805</v>
      </c>
      <c r="V2102" s="79">
        <v>45812</v>
      </c>
      <c r="W2102" s="2"/>
      <c r="X2102" s="2"/>
      <c r="Y2102" s="11" t="s">
        <v>3626</v>
      </c>
      <c r="Z2102" s="2" t="s">
        <v>36</v>
      </c>
      <c r="AA2102" s="13">
        <v>-326.69799999999998</v>
      </c>
      <c r="AB2102" s="13" t="s">
        <v>10373</v>
      </c>
    </row>
    <row r="2103" spans="1:28" ht="15" customHeight="1">
      <c r="A2103" s="2" t="s">
        <v>9085</v>
      </c>
      <c r="B2103" s="2" t="s">
        <v>711</v>
      </c>
      <c r="C2103" s="215" t="s">
        <v>1954</v>
      </c>
      <c r="D2103" s="2" t="s">
        <v>72</v>
      </c>
      <c r="E2103" s="2" t="s">
        <v>1955</v>
      </c>
      <c r="F2103" s="11" t="s">
        <v>3627</v>
      </c>
      <c r="G2103" s="49" t="s">
        <v>3628</v>
      </c>
      <c r="H2103" s="2" t="s">
        <v>1958</v>
      </c>
      <c r="I2103" s="12" t="s">
        <v>1959</v>
      </c>
      <c r="J2103" s="22">
        <f>+Tabla1[[#This Row],[FECHA ENTRADA]]</f>
        <v>45806</v>
      </c>
      <c r="K2103" s="22">
        <v>45821</v>
      </c>
      <c r="L2103" s="23">
        <f>_xlfn.DAYS(Tabla1[[#This Row],[FECHA FIN ]],Tabla1[[#This Row],[FECHA INICIO]])</f>
        <v>15</v>
      </c>
      <c r="M2103" s="12"/>
      <c r="N2103" s="12"/>
      <c r="O2103" s="24">
        <f>(Tabla1[[#This Row],[COSTO FIJO ]]/30)*Tabla1[[#This Row],[TOTAL DIAS PROYECTO]]+(Tabla1[[#This Row],[COSTO TEMPORAL]])</f>
        <v>0</v>
      </c>
      <c r="P2103" s="12"/>
      <c r="Q2103" s="12">
        <f>+(Tabla1[[#This Row],[COSTO COCHE]]/30)*Tabla1[[#This Row],[TOTAL DIAS PROYECTO]]</f>
        <v>0</v>
      </c>
      <c r="R2103" s="12">
        <f>+Tabla1[[#This Row],[COSTO TOTAL ALOJAMIENTO]]+Tabla1[[#This Row],[COSTO TOTAL COCHE]]</f>
        <v>0</v>
      </c>
      <c r="S2103" s="2" t="s">
        <v>84</v>
      </c>
      <c r="T2103" s="2" t="s">
        <v>528</v>
      </c>
      <c r="U2103" s="14">
        <v>45806</v>
      </c>
      <c r="V2103" s="25">
        <v>45829</v>
      </c>
      <c r="W2103" s="2"/>
      <c r="X2103" s="2"/>
      <c r="Y2103" s="11"/>
      <c r="Z2103" s="2" t="s">
        <v>36</v>
      </c>
      <c r="AA2103" s="13" t="s">
        <v>10433</v>
      </c>
      <c r="AB2103" s="13" t="s">
        <v>10434</v>
      </c>
    </row>
    <row r="2104" spans="1:28" ht="15" customHeight="1">
      <c r="A2104" s="2" t="s">
        <v>9086</v>
      </c>
      <c r="B2104" s="2" t="s">
        <v>711</v>
      </c>
      <c r="C2104" s="215" t="s">
        <v>1960</v>
      </c>
      <c r="D2104" s="2" t="s">
        <v>72</v>
      </c>
      <c r="E2104" s="2" t="s">
        <v>1955</v>
      </c>
      <c r="F2104" s="11" t="s">
        <v>3627</v>
      </c>
      <c r="G2104" s="49" t="s">
        <v>3628</v>
      </c>
      <c r="H2104" s="2" t="s">
        <v>1958</v>
      </c>
      <c r="I2104" s="12" t="s">
        <v>1959</v>
      </c>
      <c r="J2104" s="22">
        <f>+Tabla1[[#This Row],[FECHA ENTRADA]]</f>
        <v>45806</v>
      </c>
      <c r="K2104" s="22">
        <v>45821</v>
      </c>
      <c r="L2104" s="23">
        <f>_xlfn.DAYS(Tabla1[[#This Row],[FECHA FIN ]],Tabla1[[#This Row],[FECHA INICIO]])</f>
        <v>15</v>
      </c>
      <c r="M2104" s="12"/>
      <c r="N2104" s="12"/>
      <c r="O2104" s="24">
        <f>(Tabla1[[#This Row],[COSTO FIJO ]]/30)*Tabla1[[#This Row],[TOTAL DIAS PROYECTO]]+(Tabla1[[#This Row],[COSTO TEMPORAL]])</f>
        <v>0</v>
      </c>
      <c r="P2104" s="12"/>
      <c r="Q2104" s="12">
        <f>+(Tabla1[[#This Row],[COSTO COCHE]]/30)*Tabla1[[#This Row],[TOTAL DIAS PROYECTO]]</f>
        <v>0</v>
      </c>
      <c r="R2104" s="12">
        <f>+Tabla1[[#This Row],[COSTO TOTAL ALOJAMIENTO]]+Tabla1[[#This Row],[COSTO TOTAL COCHE]]</f>
        <v>0</v>
      </c>
      <c r="S2104" s="2" t="s">
        <v>84</v>
      </c>
      <c r="T2104" s="2" t="s">
        <v>528</v>
      </c>
      <c r="U2104" s="14">
        <v>45806</v>
      </c>
      <c r="V2104" s="25">
        <v>45829</v>
      </c>
      <c r="W2104" s="2"/>
      <c r="X2104" s="2"/>
      <c r="Y2104" s="11"/>
      <c r="Z2104" s="2" t="s">
        <v>36</v>
      </c>
      <c r="AA2104" s="13" t="s">
        <v>10433</v>
      </c>
      <c r="AB2104" s="13" t="s">
        <v>10434</v>
      </c>
    </row>
    <row r="2105" spans="1:28" ht="15" customHeight="1">
      <c r="A2105" s="2" t="s">
        <v>9036</v>
      </c>
      <c r="B2105" s="2" t="s">
        <v>28</v>
      </c>
      <c r="C2105" s="11" t="s">
        <v>1765</v>
      </c>
      <c r="D2105" s="2" t="s">
        <v>99</v>
      </c>
      <c r="E2105" s="2" t="s">
        <v>259</v>
      </c>
      <c r="F2105" s="11" t="s">
        <v>691</v>
      </c>
      <c r="G2105" s="11" t="s">
        <v>2555</v>
      </c>
      <c r="H2105" s="2" t="s">
        <v>3629</v>
      </c>
      <c r="I2105" s="12" t="s">
        <v>57</v>
      </c>
      <c r="J2105" s="22">
        <f>+Tabla1[[#This Row],[FECHA ENTRADA]]</f>
        <v>45816</v>
      </c>
      <c r="K2105" s="22">
        <v>45821</v>
      </c>
      <c r="L2105" s="23">
        <f>_xlfn.DAYS(Tabla1[[#This Row],[FECHA FIN ]],Tabla1[[#This Row],[FECHA INICIO]])</f>
        <v>5</v>
      </c>
      <c r="M2105" s="12"/>
      <c r="N2105" s="12"/>
      <c r="O2105" s="24">
        <f>(Tabla1[[#This Row],[COSTO FIJO ]]/30)*Tabla1[[#This Row],[TOTAL DIAS PROYECTO]]+(Tabla1[[#This Row],[COSTO TEMPORAL]])</f>
        <v>0</v>
      </c>
      <c r="P2105" s="12"/>
      <c r="Q2105" s="12">
        <f>+(Tabla1[[#This Row],[COSTO COCHE]]/30)*Tabla1[[#This Row],[TOTAL DIAS PROYECTO]]</f>
        <v>0</v>
      </c>
      <c r="R2105" s="12">
        <f>+Tabla1[[#This Row],[COSTO TOTAL ALOJAMIENTO]]+Tabla1[[#This Row],[COSTO TOTAL COCHE]]</f>
        <v>0</v>
      </c>
      <c r="S2105" s="2"/>
      <c r="T2105" s="2" t="s">
        <v>44</v>
      </c>
      <c r="U2105" s="14">
        <v>45816</v>
      </c>
      <c r="V2105" s="14">
        <v>45830</v>
      </c>
      <c r="W2105" s="2"/>
      <c r="X2105" s="2"/>
      <c r="Y2105" s="11"/>
      <c r="Z2105" s="2" t="s">
        <v>36</v>
      </c>
      <c r="AA2105" s="13">
        <v>-0.87734000000000001</v>
      </c>
      <c r="AB2105" s="13" t="s">
        <v>10359</v>
      </c>
    </row>
    <row r="2106" spans="1:28" ht="15" customHeight="1">
      <c r="A2106" s="2" t="s">
        <v>8880</v>
      </c>
      <c r="B2106" s="2" t="s">
        <v>28</v>
      </c>
      <c r="C2106" s="11" t="s">
        <v>1146</v>
      </c>
      <c r="D2106" s="2" t="s">
        <v>99</v>
      </c>
      <c r="E2106" s="2" t="s">
        <v>259</v>
      </c>
      <c r="F2106" s="11" t="s">
        <v>691</v>
      </c>
      <c r="G2106" s="11" t="s">
        <v>2555</v>
      </c>
      <c r="H2106" s="2" t="s">
        <v>3397</v>
      </c>
      <c r="I2106" s="12" t="s">
        <v>57</v>
      </c>
      <c r="J2106" s="22">
        <f>+Tabla1[[#This Row],[FECHA ENTRADA]]</f>
        <v>45795</v>
      </c>
      <c r="K2106" s="22">
        <v>45821</v>
      </c>
      <c r="L2106" s="13">
        <f>_xlfn.DAYS(Tabla1[[#This Row],[FECHA FIN ]],Tabla1[[#This Row],[FECHA INICIO]])</f>
        <v>26</v>
      </c>
      <c r="M2106" s="12"/>
      <c r="N2106" s="12"/>
      <c r="O2106" s="12">
        <f>(Tabla1[[#This Row],[COSTO FIJO ]]/30)*Tabla1[[#This Row],[TOTAL DIAS PROYECTO]]+(Tabla1[[#This Row],[COSTO TEMPORAL]])</f>
        <v>0</v>
      </c>
      <c r="P2106" s="13"/>
      <c r="Q2106" s="12">
        <f>+(Tabla1[[#This Row],[COSTO COCHE]]/30)*Tabla1[[#This Row],[TOTAL DIAS PROYECTO]]</f>
        <v>0</v>
      </c>
      <c r="R2106" s="12">
        <f>+Tabla1[[#This Row],[COSTO TOTAL ALOJAMIENTO]]+Tabla1[[#This Row],[COSTO TOTAL COCHE]]</f>
        <v>0</v>
      </c>
      <c r="S2106" s="2"/>
      <c r="T2106" s="2" t="s">
        <v>44</v>
      </c>
      <c r="U2106" s="14">
        <v>45795</v>
      </c>
      <c r="V2106" s="14">
        <v>45830</v>
      </c>
      <c r="W2106" s="26"/>
      <c r="X2106" s="2"/>
      <c r="Y2106" s="31"/>
      <c r="Z2106" s="2" t="s">
        <v>36</v>
      </c>
      <c r="AA2106" s="13">
        <v>-0.87734000000000001</v>
      </c>
      <c r="AB2106" s="13" t="s">
        <v>10359</v>
      </c>
    </row>
    <row r="2107" spans="1:28" ht="15" customHeight="1">
      <c r="A2107" s="2" t="s">
        <v>9425</v>
      </c>
      <c r="B2107" s="2" t="s">
        <v>28</v>
      </c>
      <c r="C2107" s="11" t="s">
        <v>3127</v>
      </c>
      <c r="D2107" s="2" t="s">
        <v>99</v>
      </c>
      <c r="E2107" s="2" t="s">
        <v>259</v>
      </c>
      <c r="F2107" s="11" t="s">
        <v>691</v>
      </c>
      <c r="G2107" s="11" t="s">
        <v>2555</v>
      </c>
      <c r="H2107" s="2" t="s">
        <v>3629</v>
      </c>
      <c r="I2107" s="12" t="s">
        <v>57</v>
      </c>
      <c r="J2107" s="22">
        <f>+Tabla1[[#This Row],[FECHA ENTRADA]]</f>
        <v>45816</v>
      </c>
      <c r="K2107" s="22">
        <v>45821</v>
      </c>
      <c r="L2107" s="23">
        <f>_xlfn.DAYS(Tabla1[[#This Row],[FECHA FIN ]],Tabla1[[#This Row],[FECHA INICIO]])</f>
        <v>5</v>
      </c>
      <c r="M2107" s="12"/>
      <c r="N2107" s="12"/>
      <c r="O2107" s="24">
        <f>(Tabla1[[#This Row],[COSTO FIJO ]]/30)*Tabla1[[#This Row],[TOTAL DIAS PROYECTO]]+(Tabla1[[#This Row],[COSTO TEMPORAL]])</f>
        <v>0</v>
      </c>
      <c r="P2107" s="12"/>
      <c r="Q2107" s="12">
        <f>+(Tabla1[[#This Row],[COSTO COCHE]]/30)*Tabla1[[#This Row],[TOTAL DIAS PROYECTO]]</f>
        <v>0</v>
      </c>
      <c r="R2107" s="12">
        <f>+Tabla1[[#This Row],[COSTO TOTAL ALOJAMIENTO]]+Tabla1[[#This Row],[COSTO TOTAL COCHE]]</f>
        <v>0</v>
      </c>
      <c r="S2107" s="2"/>
      <c r="T2107" s="2" t="s">
        <v>44</v>
      </c>
      <c r="U2107" s="14">
        <v>45816</v>
      </c>
      <c r="V2107" s="14">
        <v>45830</v>
      </c>
      <c r="W2107" s="2"/>
      <c r="X2107" s="2"/>
      <c r="Y2107" s="11"/>
      <c r="Z2107" s="2" t="s">
        <v>36</v>
      </c>
      <c r="AA2107" s="13">
        <v>-0.87734000000000001</v>
      </c>
      <c r="AB2107" s="13" t="s">
        <v>10359</v>
      </c>
    </row>
    <row r="2108" spans="1:28" ht="15" customHeight="1">
      <c r="A2108" s="2" t="s">
        <v>9499</v>
      </c>
      <c r="B2108" s="2" t="s">
        <v>28</v>
      </c>
      <c r="C2108" s="11" t="s">
        <v>3399</v>
      </c>
      <c r="D2108" s="2" t="s">
        <v>99</v>
      </c>
      <c r="E2108" s="2" t="s">
        <v>259</v>
      </c>
      <c r="F2108" s="11" t="s">
        <v>691</v>
      </c>
      <c r="G2108" s="11" t="s">
        <v>2555</v>
      </c>
      <c r="H2108" s="2" t="s">
        <v>3397</v>
      </c>
      <c r="I2108" s="12" t="s">
        <v>57</v>
      </c>
      <c r="J2108" s="22">
        <f>+Tabla1[[#This Row],[FECHA ENTRADA]]</f>
        <v>45795</v>
      </c>
      <c r="K2108" s="22">
        <v>45821</v>
      </c>
      <c r="L2108" s="13">
        <f>_xlfn.DAYS(Tabla1[[#This Row],[FECHA FIN ]],Tabla1[[#This Row],[FECHA INICIO]])</f>
        <v>26</v>
      </c>
      <c r="M2108" s="12"/>
      <c r="N2108" s="12">
        <v>300</v>
      </c>
      <c r="O2108" s="12">
        <f>(Tabla1[[#This Row],[COSTO FIJO ]]/30)*Tabla1[[#This Row],[TOTAL DIAS PROYECTO]]+(Tabla1[[#This Row],[COSTO TEMPORAL]])</f>
        <v>260</v>
      </c>
      <c r="P2108" s="13"/>
      <c r="Q2108" s="12">
        <f>+(Tabla1[[#This Row],[COSTO COCHE]]/30)*Tabla1[[#This Row],[TOTAL DIAS PROYECTO]]</f>
        <v>0</v>
      </c>
      <c r="R2108" s="12">
        <f>+Tabla1[[#This Row],[COSTO TOTAL ALOJAMIENTO]]+Tabla1[[#This Row],[COSTO TOTAL COCHE]]</f>
        <v>260</v>
      </c>
      <c r="S2108" s="2"/>
      <c r="T2108" s="2" t="s">
        <v>44</v>
      </c>
      <c r="U2108" s="14">
        <v>45795</v>
      </c>
      <c r="V2108" s="14">
        <v>45830</v>
      </c>
      <c r="W2108" s="26"/>
      <c r="X2108" s="2"/>
      <c r="Y2108" s="31"/>
      <c r="Z2108" s="2" t="s">
        <v>36</v>
      </c>
      <c r="AA2108" s="13">
        <v>-0.87734000000000001</v>
      </c>
      <c r="AB2108" s="13" t="s">
        <v>10359</v>
      </c>
    </row>
    <row r="2109" spans="1:28" ht="15" customHeight="1">
      <c r="A2109" s="2" t="s">
        <v>9453</v>
      </c>
      <c r="B2109" s="2" t="s">
        <v>711</v>
      </c>
      <c r="C2109" s="215" t="s">
        <v>3228</v>
      </c>
      <c r="D2109" s="2" t="s">
        <v>99</v>
      </c>
      <c r="E2109" s="2" t="s">
        <v>720</v>
      </c>
      <c r="F2109" s="11" t="s">
        <v>2548</v>
      </c>
      <c r="G2109" s="21" t="s">
        <v>2549</v>
      </c>
      <c r="H2109" s="2" t="s">
        <v>1874</v>
      </c>
      <c r="I2109" s="12" t="s">
        <v>506</v>
      </c>
      <c r="J2109" s="22">
        <f>+Tabla1[[#This Row],[FECHA ENTRADA]]</f>
        <v>45807</v>
      </c>
      <c r="K2109" s="22">
        <v>45821</v>
      </c>
      <c r="L2109" s="23">
        <f>_xlfn.DAYS(Tabla1[[#This Row],[FECHA FIN ]],Tabla1[[#This Row],[FECHA INICIO]])</f>
        <v>14</v>
      </c>
      <c r="M2109" s="12"/>
      <c r="N2109" s="12"/>
      <c r="O2109" s="24">
        <f>(Tabla1[[#This Row],[COSTO FIJO ]]/30)*Tabla1[[#This Row],[TOTAL DIAS PROYECTO]]+(Tabla1[[#This Row],[COSTO TEMPORAL]])</f>
        <v>0</v>
      </c>
      <c r="P2109" s="12">
        <f>613.47/3</f>
        <v>204.49</v>
      </c>
      <c r="Q2109" s="12">
        <f>+(Tabla1[[#This Row],[COSTO COCHE]]/30)*Tabla1[[#This Row],[TOTAL DIAS PROYECTO]]</f>
        <v>95.428666666666672</v>
      </c>
      <c r="R2109" s="12">
        <f>+Tabla1[[#This Row],[COSTO TOTAL ALOJAMIENTO]]+Tabla1[[#This Row],[COSTO TOTAL COCHE]]</f>
        <v>95.428666666666672</v>
      </c>
      <c r="S2109" s="2"/>
      <c r="T2109" s="2" t="s">
        <v>528</v>
      </c>
      <c r="U2109" s="14">
        <v>45807</v>
      </c>
      <c r="V2109" s="25">
        <v>45812</v>
      </c>
      <c r="W2109" s="2"/>
      <c r="X2109" s="2"/>
      <c r="Y2109" s="161" t="s">
        <v>2550</v>
      </c>
      <c r="Z2109" s="2" t="s">
        <v>36</v>
      </c>
      <c r="AA2109" s="13" t="s">
        <v>10394</v>
      </c>
      <c r="AB2109" s="13" t="s">
        <v>10395</v>
      </c>
    </row>
    <row r="2110" spans="1:28" ht="15" customHeight="1">
      <c r="A2110" s="2" t="s">
        <v>9443</v>
      </c>
      <c r="B2110" s="2" t="s">
        <v>711</v>
      </c>
      <c r="C2110" s="215" t="s">
        <v>3196</v>
      </c>
      <c r="D2110" s="2" t="s">
        <v>99</v>
      </c>
      <c r="E2110" s="2" t="s">
        <v>720</v>
      </c>
      <c r="F2110" s="11" t="s">
        <v>2548</v>
      </c>
      <c r="G2110" s="21" t="s">
        <v>2549</v>
      </c>
      <c r="H2110" s="2" t="s">
        <v>1874</v>
      </c>
      <c r="I2110" s="12" t="s">
        <v>506</v>
      </c>
      <c r="J2110" s="22">
        <f>+Tabla1[[#This Row],[FECHA ENTRADA]]</f>
        <v>45807</v>
      </c>
      <c r="K2110" s="22">
        <v>45821</v>
      </c>
      <c r="L2110" s="23">
        <f>_xlfn.DAYS(Tabla1[[#This Row],[FECHA FIN ]],Tabla1[[#This Row],[FECHA INICIO]])</f>
        <v>14</v>
      </c>
      <c r="M2110" s="12"/>
      <c r="N2110" s="12"/>
      <c r="O2110" s="24">
        <f>(Tabla1[[#This Row],[COSTO FIJO ]]/30)*Tabla1[[#This Row],[TOTAL DIAS PROYECTO]]+(Tabla1[[#This Row],[COSTO TEMPORAL]])</f>
        <v>0</v>
      </c>
      <c r="P2110" s="12">
        <f>613.47/3</f>
        <v>204.49</v>
      </c>
      <c r="Q2110" s="12">
        <f>+(Tabla1[[#This Row],[COSTO COCHE]]/30)*Tabla1[[#This Row],[TOTAL DIAS PROYECTO]]</f>
        <v>95.428666666666672</v>
      </c>
      <c r="R2110" s="12">
        <f>+Tabla1[[#This Row],[COSTO TOTAL ALOJAMIENTO]]+Tabla1[[#This Row],[COSTO TOTAL COCHE]]</f>
        <v>95.428666666666672</v>
      </c>
      <c r="S2110" s="2"/>
      <c r="T2110" s="2" t="s">
        <v>528</v>
      </c>
      <c r="U2110" s="14">
        <v>45807</v>
      </c>
      <c r="V2110" s="25">
        <v>45812</v>
      </c>
      <c r="W2110" s="2"/>
      <c r="X2110" s="2"/>
      <c r="Y2110" s="161" t="s">
        <v>2550</v>
      </c>
      <c r="Z2110" s="2" t="s">
        <v>36</v>
      </c>
      <c r="AA2110" s="13" t="s">
        <v>10394</v>
      </c>
      <c r="AB2110" s="13" t="s">
        <v>10395</v>
      </c>
    </row>
    <row r="2111" spans="1:28" ht="15" customHeight="1">
      <c r="A2111" s="2" t="s">
        <v>9453</v>
      </c>
      <c r="B2111" s="2" t="s">
        <v>711</v>
      </c>
      <c r="C2111" s="215" t="s">
        <v>3228</v>
      </c>
      <c r="D2111" s="2" t="s">
        <v>99</v>
      </c>
      <c r="E2111" s="2" t="s">
        <v>720</v>
      </c>
      <c r="F2111" s="11" t="s">
        <v>3630</v>
      </c>
      <c r="G2111" s="46" t="s">
        <v>3631</v>
      </c>
      <c r="H2111" s="2" t="s">
        <v>1874</v>
      </c>
      <c r="I2111" s="12" t="s">
        <v>506</v>
      </c>
      <c r="J2111" s="41">
        <f>+Tabla1[[#This Row],[FECHA ENTRADA]]</f>
        <v>45812</v>
      </c>
      <c r="K2111" s="22">
        <v>45821</v>
      </c>
      <c r="L2111" s="42">
        <f>_xlfn.DAYS(Tabla1[[#This Row],[FECHA FIN ]],Tabla1[[#This Row],[FECHA INICIO]])</f>
        <v>9</v>
      </c>
      <c r="M2111" s="12"/>
      <c r="N2111" s="12"/>
      <c r="O2111" s="28">
        <f>(Tabla1[[#This Row],[COSTO FIJO ]]/30)*Tabla1[[#This Row],[TOTAL DIAS PROYECTO]]+(Tabla1[[#This Row],[COSTO TEMPORAL]])</f>
        <v>0</v>
      </c>
      <c r="P2111" s="12"/>
      <c r="Q2111" s="12">
        <f>+(Tabla1[[#This Row],[COSTO COCHE]]/30)*Tabla1[[#This Row],[TOTAL DIAS PROYECTO]]</f>
        <v>0</v>
      </c>
      <c r="R2111" s="12">
        <f>+Tabla1[[#This Row],[COSTO TOTAL ALOJAMIENTO]]+Tabla1[[#This Row],[COSTO TOTAL COCHE]]</f>
        <v>0</v>
      </c>
      <c r="S2111" s="2"/>
      <c r="T2111" s="2" t="s">
        <v>528</v>
      </c>
      <c r="U2111" s="14">
        <v>45812</v>
      </c>
      <c r="V2111" s="43">
        <v>45830</v>
      </c>
      <c r="W2111" s="2"/>
      <c r="X2111" s="2"/>
      <c r="Y2111" s="11"/>
      <c r="Z2111" s="2" t="s">
        <v>36</v>
      </c>
      <c r="AA2111" s="13" t="s">
        <v>10394</v>
      </c>
      <c r="AB2111" s="13" t="s">
        <v>10395</v>
      </c>
    </row>
    <row r="2112" spans="1:28" ht="15" customHeight="1">
      <c r="A2112" s="2" t="s">
        <v>9443</v>
      </c>
      <c r="B2112" s="2" t="s">
        <v>711</v>
      </c>
      <c r="C2112" s="215" t="s">
        <v>3196</v>
      </c>
      <c r="D2112" s="2" t="s">
        <v>99</v>
      </c>
      <c r="E2112" s="2" t="s">
        <v>720</v>
      </c>
      <c r="F2112" s="11" t="s">
        <v>3630</v>
      </c>
      <c r="G2112" s="46" t="s">
        <v>3631</v>
      </c>
      <c r="H2112" s="2" t="s">
        <v>1874</v>
      </c>
      <c r="I2112" s="12" t="s">
        <v>506</v>
      </c>
      <c r="J2112" s="41">
        <f>+Tabla1[[#This Row],[FECHA ENTRADA]]</f>
        <v>45812</v>
      </c>
      <c r="K2112" s="22">
        <v>45821</v>
      </c>
      <c r="L2112" s="42">
        <f>_xlfn.DAYS(Tabla1[[#This Row],[FECHA FIN ]],Tabla1[[#This Row],[FECHA INICIO]])</f>
        <v>9</v>
      </c>
      <c r="M2112" s="12"/>
      <c r="N2112" s="12"/>
      <c r="O2112" s="28">
        <f>(Tabla1[[#This Row],[COSTO FIJO ]]/30)*Tabla1[[#This Row],[TOTAL DIAS PROYECTO]]+(Tabla1[[#This Row],[COSTO TEMPORAL]])</f>
        <v>0</v>
      </c>
      <c r="P2112" s="12"/>
      <c r="Q2112" s="12">
        <f>+(Tabla1[[#This Row],[COSTO COCHE]]/30)*Tabla1[[#This Row],[TOTAL DIAS PROYECTO]]</f>
        <v>0</v>
      </c>
      <c r="R2112" s="12">
        <f>+Tabla1[[#This Row],[COSTO TOTAL ALOJAMIENTO]]+Tabla1[[#This Row],[COSTO TOTAL COCHE]]</f>
        <v>0</v>
      </c>
      <c r="S2112" s="2"/>
      <c r="T2112" s="2" t="s">
        <v>528</v>
      </c>
      <c r="U2112" s="14">
        <v>45812</v>
      </c>
      <c r="V2112" s="43">
        <v>45830</v>
      </c>
      <c r="W2112" s="2"/>
      <c r="X2112" s="2"/>
      <c r="Y2112" s="11"/>
      <c r="Z2112" s="2" t="s">
        <v>36</v>
      </c>
      <c r="AA2112" s="13" t="s">
        <v>10394</v>
      </c>
      <c r="AB2112" s="13" t="s">
        <v>10395</v>
      </c>
    </row>
    <row r="2113" spans="1:28" ht="15" customHeight="1">
      <c r="A2113" s="2" t="s">
        <v>8848</v>
      </c>
      <c r="B2113" s="2" t="s">
        <v>711</v>
      </c>
      <c r="C2113" s="11" t="s">
        <v>1003</v>
      </c>
      <c r="D2113" s="2" t="s">
        <v>99</v>
      </c>
      <c r="E2113" s="2" t="s">
        <v>720</v>
      </c>
      <c r="F2113" s="11" t="s">
        <v>3630</v>
      </c>
      <c r="G2113" s="46" t="s">
        <v>3631</v>
      </c>
      <c r="H2113" s="2" t="s">
        <v>1874</v>
      </c>
      <c r="I2113" s="12" t="s">
        <v>506</v>
      </c>
      <c r="J2113" s="41">
        <f>+Tabla1[[#This Row],[FECHA ENTRADA]]</f>
        <v>45812</v>
      </c>
      <c r="K2113" s="22">
        <v>45821</v>
      </c>
      <c r="L2113" s="42">
        <f>_xlfn.DAYS(Tabla1[[#This Row],[FECHA FIN ]],Tabla1[[#This Row],[FECHA INICIO]])</f>
        <v>9</v>
      </c>
      <c r="M2113" s="12"/>
      <c r="N2113" s="12"/>
      <c r="O2113" s="28">
        <f>(Tabla1[[#This Row],[COSTO FIJO ]]/30)*Tabla1[[#This Row],[TOTAL DIAS PROYECTO]]+(Tabla1[[#This Row],[COSTO TEMPORAL]])</f>
        <v>0</v>
      </c>
      <c r="P2113" s="12"/>
      <c r="Q2113" s="12">
        <f>+(Tabla1[[#This Row],[COSTO COCHE]]/30)*Tabla1[[#This Row],[TOTAL DIAS PROYECTO]]</f>
        <v>0</v>
      </c>
      <c r="R2113" s="12">
        <f>+Tabla1[[#This Row],[COSTO TOTAL ALOJAMIENTO]]+Tabla1[[#This Row],[COSTO TOTAL COCHE]]</f>
        <v>0</v>
      </c>
      <c r="S2113" s="2"/>
      <c r="T2113" s="2" t="s">
        <v>528</v>
      </c>
      <c r="U2113" s="14">
        <v>45812</v>
      </c>
      <c r="V2113" s="43">
        <v>45830</v>
      </c>
      <c r="W2113" s="2"/>
      <c r="X2113" s="2"/>
      <c r="Y2113" s="11"/>
      <c r="Z2113" s="2" t="s">
        <v>36</v>
      </c>
      <c r="AA2113" s="13" t="s">
        <v>10394</v>
      </c>
      <c r="AB2113" s="13" t="s">
        <v>10395</v>
      </c>
    </row>
    <row r="2114" spans="1:28">
      <c r="A2114" s="2" t="s">
        <v>8964</v>
      </c>
      <c r="B2114" s="2" t="s">
        <v>28</v>
      </c>
      <c r="C2114" s="11" t="s">
        <v>1519</v>
      </c>
      <c r="D2114" s="2" t="s">
        <v>30</v>
      </c>
      <c r="E2114" s="2" t="s">
        <v>259</v>
      </c>
      <c r="F2114" s="11"/>
      <c r="G2114" s="11" t="s">
        <v>261</v>
      </c>
      <c r="H2114" s="2" t="s">
        <v>3632</v>
      </c>
      <c r="I2114" s="12" t="s">
        <v>181</v>
      </c>
      <c r="J2114" s="8">
        <f>+Tabla1[[#This Row],[FECHA ENTRADA]]</f>
        <v>45390</v>
      </c>
      <c r="K2114" s="22">
        <v>45821</v>
      </c>
      <c r="L2114" s="13">
        <f>_xlfn.DAYS(Tabla1[[#This Row],[FECHA FIN ]],Tabla1[[#This Row],[FECHA INICIO]])</f>
        <v>431</v>
      </c>
      <c r="M2114" s="12"/>
      <c r="N2114" s="12"/>
      <c r="O2114" s="12">
        <f>(Tabla1[[#This Row],[COSTO FIJO ]]/30)*Tabla1[[#This Row],[TOTAL DIAS PROYECTO]]+(Tabla1[[#This Row],[COSTO TEMPORAL]])</f>
        <v>0</v>
      </c>
      <c r="P2114" s="12"/>
      <c r="Q2114" s="12">
        <f>+(Tabla1[[#This Row],[COSTO COCHE]]/30)*Tabla1[[#This Row],[TOTAL DIAS PROYECTO]]</f>
        <v>0</v>
      </c>
      <c r="R2114" s="12">
        <f>+Tabla1[[#This Row],[COSTO TOTAL ALOJAMIENTO]]+Tabla1[[#This Row],[COSTO TOTAL COCHE]]</f>
        <v>0</v>
      </c>
      <c r="S2114" s="2"/>
      <c r="T2114" s="2" t="s">
        <v>35</v>
      </c>
      <c r="U2114" s="14">
        <v>45390</v>
      </c>
      <c r="V2114" s="14"/>
      <c r="W2114" s="15"/>
      <c r="X2114" s="16">
        <v>5</v>
      </c>
      <c r="Y2114" s="11" t="s">
        <v>260</v>
      </c>
      <c r="Z2114" s="2" t="s">
        <v>36</v>
      </c>
      <c r="AA2114" s="13">
        <v>-0.87734000000000001</v>
      </c>
      <c r="AB2114" s="13" t="s">
        <v>10359</v>
      </c>
    </row>
    <row r="2115" spans="1:28" ht="15" customHeight="1">
      <c r="A2115" s="2" t="s">
        <v>9281</v>
      </c>
      <c r="B2115" s="2" t="s">
        <v>28</v>
      </c>
      <c r="C2115" s="11" t="s">
        <v>2689</v>
      </c>
      <c r="D2115" s="2" t="s">
        <v>30</v>
      </c>
      <c r="E2115" s="2" t="s">
        <v>259</v>
      </c>
      <c r="F2115" s="11" t="s">
        <v>260</v>
      </c>
      <c r="G2115" s="11" t="s">
        <v>261</v>
      </c>
      <c r="H2115" s="2" t="s">
        <v>262</v>
      </c>
      <c r="I2115" s="12" t="s">
        <v>263</v>
      </c>
      <c r="J2115" s="8">
        <f>+Tabla1[[#This Row],[FECHA ENTRADA]]</f>
        <v>45413</v>
      </c>
      <c r="K2115" s="22">
        <v>45821</v>
      </c>
      <c r="L2115" s="13">
        <f>_xlfn.DAYS(Tabla1[[#This Row],[FECHA FIN ]],Tabla1[[#This Row],[FECHA INICIO]])</f>
        <v>408</v>
      </c>
      <c r="M2115" s="12"/>
      <c r="N2115" s="12"/>
      <c r="O2115" s="12">
        <f>(Tabla1[[#This Row],[COSTO FIJO ]]/30)*Tabla1[[#This Row],[TOTAL DIAS PROYECTO]]+(Tabla1[[#This Row],[COSTO TEMPORAL]])</f>
        <v>0</v>
      </c>
      <c r="P2115" s="12"/>
      <c r="Q2115" s="12">
        <f>+(Tabla1[[#This Row],[COSTO COCHE]]/30)*Tabla1[[#This Row],[TOTAL DIAS PROYECTO]]</f>
        <v>0</v>
      </c>
      <c r="R2115" s="12">
        <f>+Tabla1[[#This Row],[COSTO TOTAL ALOJAMIENTO]]+Tabla1[[#This Row],[COSTO TOTAL COCHE]]</f>
        <v>0</v>
      </c>
      <c r="S2115" s="2"/>
      <c r="T2115" s="2" t="s">
        <v>35</v>
      </c>
      <c r="U2115" s="14">
        <v>45413</v>
      </c>
      <c r="V2115" s="14"/>
      <c r="W2115" s="2"/>
      <c r="X2115" s="2">
        <v>5</v>
      </c>
      <c r="Y2115" s="18" t="s">
        <v>264</v>
      </c>
      <c r="Z2115" s="2" t="s">
        <v>36</v>
      </c>
      <c r="AA2115" s="13">
        <v>-0.87734000000000001</v>
      </c>
      <c r="AB2115" s="13" t="s">
        <v>10359</v>
      </c>
    </row>
    <row r="2116" spans="1:28">
      <c r="A2116" s="2" t="s">
        <v>9507</v>
      </c>
      <c r="B2116" s="2" t="s">
        <v>28</v>
      </c>
      <c r="C2116" s="182" t="s">
        <v>3457</v>
      </c>
      <c r="D2116" s="2" t="s">
        <v>30</v>
      </c>
      <c r="E2116" s="2" t="s">
        <v>259</v>
      </c>
      <c r="F2116" s="11"/>
      <c r="G2116" s="11" t="s">
        <v>261</v>
      </c>
      <c r="H2116" s="2" t="s">
        <v>518</v>
      </c>
      <c r="I2116" s="12" t="s">
        <v>57</v>
      </c>
      <c r="J2116" s="8">
        <f>+Tabla1[[#This Row],[FECHA ENTRADA]]</f>
        <v>45480</v>
      </c>
      <c r="K2116" s="22">
        <v>45821</v>
      </c>
      <c r="L2116" s="13">
        <f>_xlfn.DAYS(Tabla1[[#This Row],[FECHA FIN ]],Tabla1[[#This Row],[FECHA INICIO]])</f>
        <v>341</v>
      </c>
      <c r="M2116" s="12"/>
      <c r="N2116" s="12">
        <f>1811.6/17</f>
        <v>106.56470588235294</v>
      </c>
      <c r="O2116" s="12">
        <f>(Tabla1[[#This Row],[COSTO FIJO ]]/30)*Tabla1[[#This Row],[TOTAL DIAS PROYECTO]]+(Tabla1[[#This Row],[COSTO TEMPORAL]])</f>
        <v>1211.2854901960784</v>
      </c>
      <c r="P2116" s="12"/>
      <c r="Q2116" s="12">
        <f>+(Tabla1[[#This Row],[COSTO COCHE]]/30)*Tabla1[[#This Row],[TOTAL DIAS PROYECTO]]</f>
        <v>0</v>
      </c>
      <c r="R2116" s="12">
        <f>+Tabla1[[#This Row],[COSTO TOTAL ALOJAMIENTO]]+Tabla1[[#This Row],[COSTO TOTAL COCHE]]</f>
        <v>1211.2854901960784</v>
      </c>
      <c r="S2116" s="2"/>
      <c r="T2116" s="2" t="s">
        <v>35</v>
      </c>
      <c r="U2116" s="14">
        <v>45480</v>
      </c>
      <c r="V2116" s="14"/>
      <c r="W2116" s="26"/>
      <c r="X2116" s="2">
        <v>5</v>
      </c>
      <c r="Y2116" s="11" t="s">
        <v>260</v>
      </c>
      <c r="Z2116" s="2" t="s">
        <v>36</v>
      </c>
      <c r="AA2116" s="13">
        <v>-0.87734000000000001</v>
      </c>
      <c r="AB2116" s="13" t="s">
        <v>10359</v>
      </c>
    </row>
    <row r="2117" spans="1:28">
      <c r="A2117" s="2" t="s">
        <v>8925</v>
      </c>
      <c r="B2117" s="2" t="s">
        <v>28</v>
      </c>
      <c r="C2117" s="221" t="s">
        <v>1304</v>
      </c>
      <c r="D2117" s="2" t="s">
        <v>30</v>
      </c>
      <c r="E2117" s="2" t="s">
        <v>259</v>
      </c>
      <c r="F2117" s="11" t="s">
        <v>260</v>
      </c>
      <c r="G2117" s="11" t="s">
        <v>261</v>
      </c>
      <c r="H2117" s="2" t="s">
        <v>262</v>
      </c>
      <c r="I2117" s="12" t="s">
        <v>263</v>
      </c>
      <c r="J2117" s="8">
        <f>+Tabla1[[#This Row],[FECHA ENTRADA]]</f>
        <v>45413</v>
      </c>
      <c r="K2117" s="22">
        <v>45801</v>
      </c>
      <c r="L2117" s="13">
        <f>_xlfn.DAYS(Tabla1[[#This Row],[FECHA FIN ]],Tabla1[[#This Row],[FECHA INICIO]])</f>
        <v>388</v>
      </c>
      <c r="M2117" s="12"/>
      <c r="N2117" s="12">
        <v>420</v>
      </c>
      <c r="O2117" s="12">
        <f>(Tabla1[[#This Row],[COSTO FIJO ]]/30)*Tabla1[[#This Row],[TOTAL DIAS PROYECTO]]+(Tabla1[[#This Row],[COSTO TEMPORAL]])</f>
        <v>5432</v>
      </c>
      <c r="P2117" s="12"/>
      <c r="Q2117" s="12">
        <f>+(Tabla1[[#This Row],[COSTO COCHE]]/30)*Tabla1[[#This Row],[TOTAL DIAS PROYECTO]]</f>
        <v>0</v>
      </c>
      <c r="R2117" s="12">
        <f>+Tabla1[[#This Row],[COSTO TOTAL ALOJAMIENTO]]+Tabla1[[#This Row],[COSTO TOTAL COCHE]]</f>
        <v>5432</v>
      </c>
      <c r="S2117" s="2"/>
      <c r="T2117" s="2" t="s">
        <v>35</v>
      </c>
      <c r="U2117" s="14">
        <v>45413</v>
      </c>
      <c r="V2117" s="14"/>
      <c r="W2117" s="2"/>
      <c r="X2117" s="2">
        <v>5</v>
      </c>
      <c r="Y2117" s="18" t="s">
        <v>264</v>
      </c>
      <c r="Z2117" s="2" t="s">
        <v>36</v>
      </c>
      <c r="AA2117" s="13">
        <v>-0.87734000000000001</v>
      </c>
      <c r="AB2117" s="13" t="s">
        <v>10359</v>
      </c>
    </row>
    <row r="2118" spans="1:28">
      <c r="A2118" s="2" t="s">
        <v>8894</v>
      </c>
      <c r="B2118" s="2" t="s">
        <v>28</v>
      </c>
      <c r="C2118" s="221" t="s">
        <v>1177</v>
      </c>
      <c r="D2118" s="2" t="s">
        <v>30</v>
      </c>
      <c r="E2118" s="2" t="s">
        <v>259</v>
      </c>
      <c r="F2118" s="11" t="s">
        <v>260</v>
      </c>
      <c r="G2118" s="11" t="s">
        <v>261</v>
      </c>
      <c r="H2118" s="2" t="s">
        <v>3632</v>
      </c>
      <c r="I2118" s="12" t="s">
        <v>181</v>
      </c>
      <c r="J2118" s="8">
        <f>+Tabla1[[#This Row],[FECHA ENTRADA]]</f>
        <v>45390</v>
      </c>
      <c r="K2118" s="22">
        <v>45821</v>
      </c>
      <c r="L2118" s="13">
        <f>_xlfn.DAYS(Tabla1[[#This Row],[FECHA FIN ]],Tabla1[[#This Row],[FECHA INICIO]])</f>
        <v>431</v>
      </c>
      <c r="M2118" s="12"/>
      <c r="N2118" s="12">
        <v>420</v>
      </c>
      <c r="O2118" s="12">
        <f>(Tabla1[[#This Row],[COSTO FIJO ]]/30)*Tabla1[[#This Row],[TOTAL DIAS PROYECTO]]+(Tabla1[[#This Row],[COSTO TEMPORAL]])</f>
        <v>6034</v>
      </c>
      <c r="P2118" s="12"/>
      <c r="Q2118" s="12">
        <f>+(Tabla1[[#This Row],[COSTO COCHE]]/30)*Tabla1[[#This Row],[TOTAL DIAS PROYECTO]]</f>
        <v>0</v>
      </c>
      <c r="R2118" s="12">
        <f>+Tabla1[[#This Row],[COSTO TOTAL ALOJAMIENTO]]+Tabla1[[#This Row],[COSTO TOTAL COCHE]]</f>
        <v>6034</v>
      </c>
      <c r="S2118" s="2"/>
      <c r="T2118" s="2" t="s">
        <v>35</v>
      </c>
      <c r="U2118" s="14">
        <v>45390</v>
      </c>
      <c r="V2118" s="14"/>
      <c r="W2118" s="15"/>
      <c r="X2118" s="16">
        <v>5</v>
      </c>
      <c r="Y2118" s="18" t="s">
        <v>3633</v>
      </c>
      <c r="Z2118" s="2" t="s">
        <v>36</v>
      </c>
      <c r="AA2118" s="13">
        <v>-0.87734000000000001</v>
      </c>
      <c r="AB2118" s="13" t="s">
        <v>10359</v>
      </c>
    </row>
    <row r="2119" spans="1:28">
      <c r="A2119" s="2" t="s">
        <v>9498</v>
      </c>
      <c r="B2119" s="2" t="s">
        <v>368</v>
      </c>
      <c r="C2119" s="215" t="s">
        <v>3388</v>
      </c>
      <c r="D2119" s="2" t="s">
        <v>99</v>
      </c>
      <c r="E2119" s="2" t="s">
        <v>55</v>
      </c>
      <c r="F2119" s="11" t="s">
        <v>3634</v>
      </c>
      <c r="G2119" s="21" t="s">
        <v>3635</v>
      </c>
      <c r="H2119" s="2" t="s">
        <v>2129</v>
      </c>
      <c r="I2119" s="12" t="s">
        <v>1316</v>
      </c>
      <c r="J2119" s="22">
        <f>+Tabla1[[#This Row],[FECHA ENTRADA]]</f>
        <v>45782</v>
      </c>
      <c r="K2119" s="22">
        <v>45821</v>
      </c>
      <c r="L2119" s="42">
        <f>_xlfn.DAYS(Tabla1[[#This Row],[FECHA FIN ]],Tabla1[[#This Row],[FECHA INICIO]])</f>
        <v>39</v>
      </c>
      <c r="M2119" s="12"/>
      <c r="N2119" s="12"/>
      <c r="O2119" s="28">
        <f>(Tabla1[[#This Row],[COSTO FIJO ]]/30)*Tabla1[[#This Row],[TOTAL DIAS PROYECTO]]+(Tabla1[[#This Row],[COSTO TEMPORAL]])</f>
        <v>0</v>
      </c>
      <c r="P2119" s="12"/>
      <c r="Q2119" s="12">
        <f>+(Tabla1[[#This Row],[COSTO COCHE]]/30)*Tabla1[[#This Row],[TOTAL DIAS PROYECTO]]</f>
        <v>0</v>
      </c>
      <c r="R2119" s="12">
        <f>+Tabla1[[#This Row],[COSTO TOTAL ALOJAMIENTO]]+Tabla1[[#This Row],[COSTO TOTAL COCHE]]</f>
        <v>0</v>
      </c>
      <c r="S2119" s="2"/>
      <c r="T2119" s="2" t="s">
        <v>613</v>
      </c>
      <c r="U2119" s="14">
        <v>45782</v>
      </c>
      <c r="V2119" s="43"/>
      <c r="W2119" s="26"/>
      <c r="X2119" s="2">
        <v>5</v>
      </c>
      <c r="Y2119" s="161" t="s">
        <v>2258</v>
      </c>
      <c r="Z2119" s="2" t="s">
        <v>36</v>
      </c>
      <c r="AA2119" s="13" t="s">
        <v>10327</v>
      </c>
      <c r="AB2119" s="13" t="s">
        <v>10328</v>
      </c>
    </row>
    <row r="2120" spans="1:28" ht="15" customHeight="1">
      <c r="A2120" s="2" t="s">
        <v>8642</v>
      </c>
      <c r="B2120" s="2" t="s">
        <v>368</v>
      </c>
      <c r="C2120" s="215" t="s">
        <v>3469</v>
      </c>
      <c r="D2120" s="2" t="s">
        <v>72</v>
      </c>
      <c r="E2120" s="2" t="s">
        <v>1458</v>
      </c>
      <c r="F2120" s="11" t="s">
        <v>3636</v>
      </c>
      <c r="G2120" s="49" t="s">
        <v>2053</v>
      </c>
      <c r="H2120" s="2" t="s">
        <v>3470</v>
      </c>
      <c r="I2120" s="12" t="s">
        <v>1288</v>
      </c>
      <c r="J2120" s="22">
        <f>+Tabla1[[#This Row],[FECHA ENTRADA]]</f>
        <v>45805</v>
      </c>
      <c r="K2120" s="22">
        <v>45821</v>
      </c>
      <c r="L2120" s="23">
        <f>_xlfn.DAYS(Tabla1[[#This Row],[FECHA FIN ]],Tabla1[[#This Row],[FECHA INICIO]])</f>
        <v>16</v>
      </c>
      <c r="M2120" s="12"/>
      <c r="N2120" s="12"/>
      <c r="O2120" s="24">
        <f>(Tabla1[[#This Row],[COSTO FIJO ]]/30)*Tabla1[[#This Row],[TOTAL DIAS PROYECTO]]+(Tabla1[[#This Row],[COSTO TEMPORAL]])</f>
        <v>0</v>
      </c>
      <c r="P2120" s="12"/>
      <c r="Q2120" s="12">
        <f>+(Tabla1[[#This Row],[COSTO COCHE]]/30)*Tabla1[[#This Row],[TOTAL DIAS PROYECTO]]</f>
        <v>0</v>
      </c>
      <c r="R2120" s="12">
        <f>+Tabla1[[#This Row],[COSTO TOTAL ALOJAMIENTO]]+Tabla1[[#This Row],[COSTO TOTAL COCHE]]</f>
        <v>0</v>
      </c>
      <c r="S2120" s="2"/>
      <c r="T2120" s="2" t="s">
        <v>44</v>
      </c>
      <c r="U2120" s="14">
        <v>45805</v>
      </c>
      <c r="V2120" s="25">
        <v>45836</v>
      </c>
      <c r="W2120" s="2"/>
      <c r="X2120" s="2"/>
      <c r="Y2120" s="150" t="s">
        <v>3637</v>
      </c>
      <c r="Z2120" s="2" t="s">
        <v>36</v>
      </c>
      <c r="AA2120" s="13" t="s">
        <v>10421</v>
      </c>
      <c r="AB2120" s="13">
        <v>5113412</v>
      </c>
    </row>
    <row r="2121" spans="1:28" ht="15" customHeight="1">
      <c r="A2121" s="2" t="s">
        <v>9539</v>
      </c>
      <c r="B2121" s="2" t="s">
        <v>28</v>
      </c>
      <c r="C2121" s="215" t="s">
        <v>3579</v>
      </c>
      <c r="D2121" s="2" t="s">
        <v>99</v>
      </c>
      <c r="E2121" s="2" t="s">
        <v>245</v>
      </c>
      <c r="F2121" s="11" t="s">
        <v>3584</v>
      </c>
      <c r="G2121" s="21" t="s">
        <v>3585</v>
      </c>
      <c r="H2121" s="2" t="s">
        <v>3444</v>
      </c>
      <c r="I2121" s="12" t="s">
        <v>249</v>
      </c>
      <c r="J2121" s="22">
        <f>+Tabla1[[#This Row],[FECHA ENTRADA]]</f>
        <v>45778</v>
      </c>
      <c r="K2121" s="22">
        <v>45821</v>
      </c>
      <c r="L2121" s="23">
        <f>_xlfn.DAYS(Tabla1[[#This Row],[FECHA FIN ]],Tabla1[[#This Row],[FECHA INICIO]])</f>
        <v>43</v>
      </c>
      <c r="M2121" s="12">
        <v>66.25</v>
      </c>
      <c r="N2121" s="20"/>
      <c r="O2121" s="24">
        <f>(Tabla1[[#This Row],[COSTO FIJO ]]/30)*Tabla1[[#This Row],[TOTAL DIAS PROYECTO]]+(Tabla1[[#This Row],[COSTO TEMPORAL]])</f>
        <v>66.25</v>
      </c>
      <c r="P2121" s="12"/>
      <c r="Q2121" s="12">
        <f>+(Tabla1[[#This Row],[COSTO COCHE]]/30)*Tabla1[[#This Row],[TOTAL DIAS PROYECTO]]</f>
        <v>0</v>
      </c>
      <c r="R2121" s="12">
        <f>+Tabla1[[#This Row],[COSTO TOTAL ALOJAMIENTO]]+Tabla1[[#This Row],[COSTO TOTAL COCHE]]</f>
        <v>66.25</v>
      </c>
      <c r="S2121" s="2" t="s">
        <v>403</v>
      </c>
      <c r="T2121" s="2" t="s">
        <v>44</v>
      </c>
      <c r="U2121" s="14">
        <v>45778</v>
      </c>
      <c r="V2121" s="25">
        <v>45781</v>
      </c>
      <c r="W2121" s="26"/>
      <c r="X2121" s="2"/>
      <c r="Y2121" s="11" t="s">
        <v>2311</v>
      </c>
      <c r="Z2121" s="2" t="s">
        <v>36</v>
      </c>
      <c r="AA2121" s="13" t="s">
        <v>10355</v>
      </c>
      <c r="AB2121" s="13" t="s">
        <v>10356</v>
      </c>
    </row>
    <row r="2122" spans="1:28" ht="15" customHeight="1">
      <c r="A2122" s="2" t="s">
        <v>9539</v>
      </c>
      <c r="B2122" s="2" t="s">
        <v>28</v>
      </c>
      <c r="C2122" s="219" t="s">
        <v>3579</v>
      </c>
      <c r="D2122" s="2" t="s">
        <v>99</v>
      </c>
      <c r="E2122" s="2" t="s">
        <v>245</v>
      </c>
      <c r="F2122" s="11" t="s">
        <v>2209</v>
      </c>
      <c r="G2122" s="46" t="s">
        <v>2210</v>
      </c>
      <c r="H2122" s="2" t="s">
        <v>3444</v>
      </c>
      <c r="I2122" s="12" t="s">
        <v>249</v>
      </c>
      <c r="J2122" s="41">
        <f>+Tabla1[[#This Row],[FECHA ENTRADA]]</f>
        <v>45781</v>
      </c>
      <c r="K2122" s="22">
        <v>45821</v>
      </c>
      <c r="L2122" s="23">
        <f>_xlfn.DAYS(Tabla1[[#This Row],[FECHA FIN ]],Tabla1[[#This Row],[FECHA INICIO]])</f>
        <v>40</v>
      </c>
      <c r="M2122" s="12"/>
      <c r="N2122" s="12"/>
      <c r="O2122" s="24">
        <f>(Tabla1[[#This Row],[COSTO FIJO ]]/30)*Tabla1[[#This Row],[TOTAL DIAS PROYECTO]]+(Tabla1[[#This Row],[COSTO TEMPORAL]])</f>
        <v>0</v>
      </c>
      <c r="P2122" s="12">
        <v>92.307692307692307</v>
      </c>
      <c r="Q2122" s="12">
        <f>+(Tabla1[[#This Row],[COSTO COCHE]]/30)*Tabla1[[#This Row],[TOTAL DIAS PROYECTO]]</f>
        <v>123.07692307692308</v>
      </c>
      <c r="R2122" s="12">
        <f>+Tabla1[[#This Row],[COSTO TOTAL ALOJAMIENTO]]+Tabla1[[#This Row],[COSTO TOTAL COCHE]]</f>
        <v>123.07692307692308</v>
      </c>
      <c r="S2122" s="2" t="s">
        <v>84</v>
      </c>
      <c r="T2122" s="2" t="s">
        <v>44</v>
      </c>
      <c r="U2122" s="14">
        <v>45781</v>
      </c>
      <c r="V2122" s="25">
        <v>45837</v>
      </c>
      <c r="W2122" s="26"/>
      <c r="X2122" s="2"/>
      <c r="Y2122" s="11"/>
      <c r="Z2122" s="2" t="s">
        <v>36</v>
      </c>
      <c r="AA2122" s="13" t="s">
        <v>10355</v>
      </c>
      <c r="AB2122" s="13" t="s">
        <v>10356</v>
      </c>
    </row>
    <row r="2123" spans="1:28" ht="15" customHeight="1">
      <c r="A2123" s="2" t="s">
        <v>8949</v>
      </c>
      <c r="B2123" s="2" t="s">
        <v>368</v>
      </c>
      <c r="C2123" s="215" t="s">
        <v>1426</v>
      </c>
      <c r="D2123" s="2" t="s">
        <v>99</v>
      </c>
      <c r="E2123" s="2" t="s">
        <v>109</v>
      </c>
      <c r="F2123" s="11" t="s">
        <v>898</v>
      </c>
      <c r="G2123" s="21" t="s">
        <v>899</v>
      </c>
      <c r="H2123" s="2" t="s">
        <v>1989</v>
      </c>
      <c r="I2123" s="12" t="s">
        <v>42</v>
      </c>
      <c r="J2123" s="41">
        <f>+Tabla1[[#This Row],[FECHA ENTRADA]]</f>
        <v>45794</v>
      </c>
      <c r="K2123" s="22">
        <v>45825</v>
      </c>
      <c r="L2123" s="42">
        <f>_xlfn.DAYS(Tabla1[[#This Row],[FECHA FIN ]],Tabla1[[#This Row],[FECHA INICIO]])</f>
        <v>31</v>
      </c>
      <c r="M2123" s="12"/>
      <c r="N2123" s="12"/>
      <c r="O2123" s="28">
        <f>(Tabla1[[#This Row],[COSTO FIJO ]]/30)*Tabla1[[#This Row],[TOTAL DIAS PROYECTO]]+(Tabla1[[#This Row],[COSTO TEMPORAL]])</f>
        <v>0</v>
      </c>
      <c r="P2123" s="12"/>
      <c r="Q2123" s="12">
        <f>+(Tabla1[[#This Row],[COSTO COCHE]]/30)*Tabla1[[#This Row],[TOTAL DIAS PROYECTO]]</f>
        <v>0</v>
      </c>
      <c r="R2123" s="12">
        <f>+Tabla1[[#This Row],[COSTO TOTAL ALOJAMIENTO]]+Tabla1[[#This Row],[COSTO TOTAL COCHE]]</f>
        <v>0</v>
      </c>
      <c r="S2123" s="2"/>
      <c r="T2123" s="14" t="s">
        <v>35</v>
      </c>
      <c r="U2123" s="14">
        <v>45794</v>
      </c>
      <c r="V2123" s="75"/>
      <c r="W2123" s="2"/>
      <c r="X2123" s="2">
        <v>1</v>
      </c>
      <c r="Y2123" s="90">
        <v>45825</v>
      </c>
      <c r="Z2123" s="2" t="s">
        <v>36</v>
      </c>
      <c r="AA2123" s="13">
        <v>0.62217999999999996</v>
      </c>
      <c r="AB2123" s="13" t="s">
        <v>10339</v>
      </c>
    </row>
    <row r="2124" spans="1:28" ht="15" customHeight="1">
      <c r="A2124" s="2" t="s">
        <v>9419</v>
      </c>
      <c r="B2124" s="2" t="s">
        <v>368</v>
      </c>
      <c r="C2124" s="221" t="s">
        <v>3107</v>
      </c>
      <c r="D2124" s="2" t="s">
        <v>30</v>
      </c>
      <c r="E2124" s="2" t="s">
        <v>31</v>
      </c>
      <c r="F2124" s="11" t="s">
        <v>67</v>
      </c>
      <c r="G2124" s="50" t="s">
        <v>68</v>
      </c>
      <c r="H2124" s="2" t="s">
        <v>1112</v>
      </c>
      <c r="I2124" s="12" t="s">
        <v>514</v>
      </c>
      <c r="J2124" s="8">
        <f>+Tabla1[[#This Row],[FECHA ENTRADA]]</f>
        <v>45478</v>
      </c>
      <c r="K2124" s="22">
        <v>45821</v>
      </c>
      <c r="L2124" s="13">
        <f>_xlfn.DAYS(Tabla1[[#This Row],[FECHA FIN ]],Tabla1[[#This Row],[FECHA INICIO]])</f>
        <v>343</v>
      </c>
      <c r="M2124" s="12"/>
      <c r="N2124" s="12">
        <v>450</v>
      </c>
      <c r="O2124" s="12">
        <f>(Tabla1[[#This Row],[COSTO FIJO ]]/30)*Tabla1[[#This Row],[TOTAL DIAS PROYECTO]]+(Tabla1[[#This Row],[COSTO TEMPORAL]])</f>
        <v>5145</v>
      </c>
      <c r="P2124" s="12"/>
      <c r="Q2124" s="12">
        <f>+(Tabla1[[#This Row],[COSTO COCHE]]/30)*Tabla1[[#This Row],[TOTAL DIAS PROYECTO]]</f>
        <v>0</v>
      </c>
      <c r="R2124" s="12">
        <f>+Tabla1[[#This Row],[COSTO TOTAL ALOJAMIENTO]]+Tabla1[[#This Row],[COSTO TOTAL COCHE]]</f>
        <v>5145</v>
      </c>
      <c r="S2124" s="2"/>
      <c r="T2124" s="2" t="s">
        <v>35</v>
      </c>
      <c r="U2124" s="14">
        <v>45478</v>
      </c>
      <c r="V2124" s="14"/>
      <c r="W2124" s="26"/>
      <c r="X2124" s="2">
        <v>5</v>
      </c>
      <c r="Y2124" s="18"/>
      <c r="Z2124" s="2" t="s">
        <v>36</v>
      </c>
      <c r="AA2124" s="13" t="s">
        <v>10323</v>
      </c>
      <c r="AB2124" s="13" t="s">
        <v>10324</v>
      </c>
    </row>
    <row r="2125" spans="1:28" ht="15" customHeight="1">
      <c r="A2125" s="2" t="s">
        <v>9311</v>
      </c>
      <c r="B2125" s="2" t="s">
        <v>28</v>
      </c>
      <c r="C2125" s="221" t="s">
        <v>2783</v>
      </c>
      <c r="D2125" s="2" t="s">
        <v>30</v>
      </c>
      <c r="E2125" s="2" t="s">
        <v>31</v>
      </c>
      <c r="F2125" s="11"/>
      <c r="G2125" s="11" t="s">
        <v>3638</v>
      </c>
      <c r="H2125" s="2" t="s">
        <v>3639</v>
      </c>
      <c r="I2125" s="12" t="s">
        <v>385</v>
      </c>
      <c r="J2125" s="8">
        <f>+Tabla1[[#This Row],[FECHA ENTRADA]]</f>
        <v>45356</v>
      </c>
      <c r="K2125" s="22">
        <v>45821</v>
      </c>
      <c r="L2125" s="13">
        <f>_xlfn.DAYS(Tabla1[[#This Row],[FECHA FIN ]],Tabla1[[#This Row],[FECHA INICIO]])</f>
        <v>465</v>
      </c>
      <c r="M2125" s="12"/>
      <c r="N2125" s="12">
        <v>325</v>
      </c>
      <c r="O2125" s="12">
        <f>(Tabla1[[#This Row],[COSTO FIJO ]]/30)*Tabla1[[#This Row],[TOTAL DIAS PROYECTO]]+(Tabla1[[#This Row],[COSTO TEMPORAL]])</f>
        <v>5037.5</v>
      </c>
      <c r="P2125" s="12"/>
      <c r="Q2125" s="12">
        <f>+(Tabla1[[#This Row],[COSTO COCHE]]/30)*Tabla1[[#This Row],[TOTAL DIAS PROYECTO]]</f>
        <v>0</v>
      </c>
      <c r="R2125" s="12">
        <f>+Tabla1[[#This Row],[COSTO TOTAL ALOJAMIENTO]]+Tabla1[[#This Row],[COSTO TOTAL COCHE]]</f>
        <v>5037.5</v>
      </c>
      <c r="S2125" s="2"/>
      <c r="T2125" s="2" t="s">
        <v>35</v>
      </c>
      <c r="U2125" s="14">
        <v>45356</v>
      </c>
      <c r="V2125" s="14"/>
      <c r="W2125" s="15"/>
      <c r="X2125" s="16">
        <v>5</v>
      </c>
      <c r="Y2125" s="11" t="s">
        <v>3640</v>
      </c>
      <c r="Z2125" s="2" t="s">
        <v>36</v>
      </c>
      <c r="AA2125" s="13" t="s">
        <v>10323</v>
      </c>
      <c r="AB2125" s="13" t="s">
        <v>10324</v>
      </c>
    </row>
    <row r="2126" spans="1:28" ht="15" customHeight="1">
      <c r="A2126" s="2" t="s">
        <v>9318</v>
      </c>
      <c r="B2126" s="2" t="s">
        <v>28</v>
      </c>
      <c r="C2126" s="115" t="s">
        <v>2810</v>
      </c>
      <c r="D2126" s="2" t="s">
        <v>30</v>
      </c>
      <c r="E2126" s="2" t="s">
        <v>599</v>
      </c>
      <c r="F2126" s="11" t="s">
        <v>600</v>
      </c>
      <c r="G2126" s="11" t="s">
        <v>601</v>
      </c>
      <c r="H2126" s="2" t="s">
        <v>602</v>
      </c>
      <c r="I2126" s="12" t="s">
        <v>603</v>
      </c>
      <c r="J2126" s="8">
        <f>+Tabla1[[#This Row],[FECHA ENTRADA]]</f>
        <v>45504</v>
      </c>
      <c r="K2126" s="22">
        <v>45534</v>
      </c>
      <c r="L2126" s="13">
        <f>_xlfn.DAYS(Tabla1[[#This Row],[FECHA FIN ]],Tabla1[[#This Row],[FECHA INICIO]])</f>
        <v>30</v>
      </c>
      <c r="M2126" s="12"/>
      <c r="N2126" s="12">
        <v>302.5</v>
      </c>
      <c r="O2126" s="12">
        <f>(Tabla1[[#This Row],[COSTO FIJO ]]/30)*Tabla1[[#This Row],[TOTAL DIAS PROYECTO]]+(Tabla1[[#This Row],[COSTO TEMPORAL]])</f>
        <v>302.5</v>
      </c>
      <c r="P2126" s="12"/>
      <c r="Q2126" s="12">
        <f>+(Tabla1[[#This Row],[COSTO COCHE]]/30)*Tabla1[[#This Row],[TOTAL DIAS PROYECTO]]</f>
        <v>0</v>
      </c>
      <c r="R2126" s="12">
        <f>+Tabla1[[#This Row],[COSTO TOTAL ALOJAMIENTO]]+Tabla1[[#This Row],[COSTO TOTAL COCHE]]</f>
        <v>302.5</v>
      </c>
      <c r="S2126" s="2"/>
      <c r="T2126" s="2" t="s">
        <v>35</v>
      </c>
      <c r="U2126" s="14">
        <v>45504</v>
      </c>
      <c r="V2126" s="14"/>
      <c r="W2126" s="26"/>
      <c r="X2126" s="2">
        <v>6</v>
      </c>
      <c r="Y2126" s="18" t="s">
        <v>604</v>
      </c>
      <c r="Z2126" s="2" t="s">
        <v>36</v>
      </c>
      <c r="AA2126" s="13" t="s">
        <v>10382</v>
      </c>
      <c r="AB2126" s="13">
        <v>4038884</v>
      </c>
    </row>
    <row r="2127" spans="1:28">
      <c r="A2127" s="2" t="s">
        <v>8642</v>
      </c>
      <c r="B2127" s="2" t="s">
        <v>368</v>
      </c>
      <c r="C2127" s="104" t="s">
        <v>3516</v>
      </c>
      <c r="D2127" s="2" t="s">
        <v>99</v>
      </c>
      <c r="E2127" s="2" t="s">
        <v>87</v>
      </c>
      <c r="F2127" s="11" t="s">
        <v>1864</v>
      </c>
      <c r="G2127" s="11" t="s">
        <v>2195</v>
      </c>
      <c r="H2127" s="2" t="s">
        <v>2196</v>
      </c>
      <c r="I2127" s="12" t="s">
        <v>1288</v>
      </c>
      <c r="J2127" s="41">
        <f>+Tabla1[[#This Row],[FECHA ENTRADA]]</f>
        <v>45775</v>
      </c>
      <c r="K2127" s="22">
        <v>45821</v>
      </c>
      <c r="L2127" s="23">
        <f>_xlfn.DAYS(Tabla1[[#This Row],[FECHA FIN ]],Tabla1[[#This Row],[FECHA INICIO]])</f>
        <v>46</v>
      </c>
      <c r="M2127" s="12"/>
      <c r="N2127" s="12"/>
      <c r="O2127" s="24">
        <f>(Tabla1[[#This Row],[COSTO FIJO ]]/30)*Tabla1[[#This Row],[TOTAL DIAS PROYECTO]]+(Tabla1[[#This Row],[COSTO TEMPORAL]])</f>
        <v>0</v>
      </c>
      <c r="P2127" s="12"/>
      <c r="Q2127" s="12">
        <f>+(Tabla1[[#This Row],[COSTO COCHE]]/30)*Tabla1[[#This Row],[TOTAL DIAS PROYECTO]]</f>
        <v>0</v>
      </c>
      <c r="R2127" s="12">
        <f>+Tabla1[[#This Row],[COSTO TOTAL ALOJAMIENTO]]+Tabla1[[#This Row],[COSTO TOTAL COCHE]]</f>
        <v>0</v>
      </c>
      <c r="S2127" s="2"/>
      <c r="T2127" s="2" t="s">
        <v>35</v>
      </c>
      <c r="U2127" s="14">
        <v>45775</v>
      </c>
      <c r="V2127" s="25"/>
      <c r="W2127" s="26"/>
      <c r="X2127" s="2">
        <v>7</v>
      </c>
      <c r="Y2127" s="11" t="s">
        <v>2188</v>
      </c>
      <c r="Z2127" s="2" t="s">
        <v>36</v>
      </c>
      <c r="AA2127" s="13" t="s">
        <v>10335</v>
      </c>
      <c r="AB2127" s="13">
        <v>404.16500000000002</v>
      </c>
    </row>
    <row r="2128" spans="1:28" ht="15" customHeight="1">
      <c r="A2128" s="2" t="s">
        <v>9349</v>
      </c>
      <c r="B2128" s="2" t="s">
        <v>28</v>
      </c>
      <c r="C2128" s="215" t="s">
        <v>2900</v>
      </c>
      <c r="D2128" s="2" t="s">
        <v>30</v>
      </c>
      <c r="E2128" s="2" t="s">
        <v>127</v>
      </c>
      <c r="F2128" s="11" t="s">
        <v>3641</v>
      </c>
      <c r="G2128" s="21" t="s">
        <v>3642</v>
      </c>
      <c r="H2128" s="2" t="s">
        <v>3643</v>
      </c>
      <c r="I2128" s="12" t="s">
        <v>547</v>
      </c>
      <c r="J2128" s="22">
        <f>+Tabla1[[#This Row],[FECHA ENTRADA]]</f>
        <v>45579</v>
      </c>
      <c r="K2128" s="22">
        <v>45601</v>
      </c>
      <c r="L2128" s="23">
        <f>_xlfn.DAYS(Tabla1[[#This Row],[FECHA FIN ]],Tabla1[[#This Row],[FECHA INICIO]])</f>
        <v>22</v>
      </c>
      <c r="M2128" s="12"/>
      <c r="N2128" s="12">
        <f>1811.6/17</f>
        <v>106.56470588235294</v>
      </c>
      <c r="O2128" s="24">
        <f>(Tabla1[[#This Row],[COSTO FIJO ]]/30)*Tabla1[[#This Row],[TOTAL DIAS PROYECTO]]+(Tabla1[[#This Row],[COSTO TEMPORAL]])</f>
        <v>78.147450980392165</v>
      </c>
      <c r="P2128" s="12"/>
      <c r="Q2128" s="12">
        <f>+(Tabla1[[#This Row],[COSTO COCHE]]/30)*Tabla1[[#This Row],[TOTAL DIAS PROYECTO]]</f>
        <v>0</v>
      </c>
      <c r="R2128" s="12">
        <f>+Tabla1[[#This Row],[COSTO TOTAL ALOJAMIENTO]]+Tabla1[[#This Row],[COSTO TOTAL COCHE]]</f>
        <v>78.147450980392165</v>
      </c>
      <c r="S2128" s="2"/>
      <c r="T2128" s="2" t="s">
        <v>35</v>
      </c>
      <c r="U2128" s="14">
        <v>45579</v>
      </c>
      <c r="V2128" s="79"/>
      <c r="W2128" s="26">
        <v>300</v>
      </c>
      <c r="X2128" s="2">
        <v>7</v>
      </c>
      <c r="Y2128" s="11" t="s">
        <v>3644</v>
      </c>
      <c r="Z2128" s="2" t="s">
        <v>36</v>
      </c>
      <c r="AA2128" s="13" t="s">
        <v>10342</v>
      </c>
      <c r="AB2128" s="13" t="s">
        <v>10343</v>
      </c>
    </row>
    <row r="2129" spans="1:28" ht="15" customHeight="1">
      <c r="A2129" s="2" t="s">
        <v>9307</v>
      </c>
      <c r="B2129" s="2" t="s">
        <v>28</v>
      </c>
      <c r="C2129" s="215" t="s">
        <v>2771</v>
      </c>
      <c r="D2129" s="2" t="s">
        <v>30</v>
      </c>
      <c r="E2129" s="2" t="s">
        <v>127</v>
      </c>
      <c r="F2129" s="11" t="s">
        <v>3641</v>
      </c>
      <c r="G2129" s="21" t="s">
        <v>3642</v>
      </c>
      <c r="H2129" s="2" t="s">
        <v>3643</v>
      </c>
      <c r="I2129" s="12" t="s">
        <v>547</v>
      </c>
      <c r="J2129" s="22">
        <f>+Tabla1[[#This Row],[FECHA ENTRADA]]</f>
        <v>45578</v>
      </c>
      <c r="K2129" s="22">
        <v>45821</v>
      </c>
      <c r="L2129" s="23">
        <f>_xlfn.DAYS(Tabla1[[#This Row],[FECHA FIN ]],Tabla1[[#This Row],[FECHA INICIO]])</f>
        <v>243</v>
      </c>
      <c r="M2129" s="12"/>
      <c r="N2129" s="12">
        <f>1811.6/17</f>
        <v>106.56470588235294</v>
      </c>
      <c r="O2129" s="24">
        <f>(Tabla1[[#This Row],[COSTO FIJO ]]/30)*Tabla1[[#This Row],[TOTAL DIAS PROYECTO]]+(Tabla1[[#This Row],[COSTO TEMPORAL]])</f>
        <v>863.17411764705889</v>
      </c>
      <c r="P2129" s="12"/>
      <c r="Q2129" s="12">
        <f>+(Tabla1[[#This Row],[COSTO COCHE]]/30)*Tabla1[[#This Row],[TOTAL DIAS PROYECTO]]</f>
        <v>0</v>
      </c>
      <c r="R2129" s="12">
        <f>+Tabla1[[#This Row],[COSTO TOTAL ALOJAMIENTO]]+Tabla1[[#This Row],[COSTO TOTAL COCHE]]</f>
        <v>863.17411764705889</v>
      </c>
      <c r="S2129" s="2"/>
      <c r="T2129" s="2" t="s">
        <v>35</v>
      </c>
      <c r="U2129" s="14">
        <v>45578</v>
      </c>
      <c r="V2129" s="79"/>
      <c r="W2129" s="26">
        <v>300</v>
      </c>
      <c r="X2129" s="2">
        <v>7</v>
      </c>
      <c r="Y2129" s="11" t="s">
        <v>3644</v>
      </c>
      <c r="Z2129" s="2" t="s">
        <v>36</v>
      </c>
      <c r="AA2129" s="13" t="s">
        <v>10342</v>
      </c>
      <c r="AB2129" s="13" t="s">
        <v>10343</v>
      </c>
    </row>
    <row r="2130" spans="1:28" ht="15" customHeight="1">
      <c r="A2130" s="2" t="s">
        <v>9357</v>
      </c>
      <c r="B2130" s="2" t="s">
        <v>368</v>
      </c>
      <c r="C2130" s="215" t="s">
        <v>2921</v>
      </c>
      <c r="D2130" s="2" t="s">
        <v>30</v>
      </c>
      <c r="E2130" s="2" t="s">
        <v>87</v>
      </c>
      <c r="F2130" s="11" t="s">
        <v>1864</v>
      </c>
      <c r="G2130" s="67" t="s">
        <v>1865</v>
      </c>
      <c r="H2130" s="2" t="s">
        <v>1866</v>
      </c>
      <c r="I2130" s="12" t="s">
        <v>1392</v>
      </c>
      <c r="J2130" s="22">
        <f>+Tabla1[[#This Row],[FECHA ENTRADA]]</f>
        <v>45683</v>
      </c>
      <c r="K2130" s="22">
        <v>45821</v>
      </c>
      <c r="L2130" s="42">
        <f>_xlfn.DAYS(Tabla1[[#This Row],[FECHA FIN ]],Tabla1[[#This Row],[FECHA INICIO]])</f>
        <v>138</v>
      </c>
      <c r="M2130" s="12"/>
      <c r="N2130" s="12">
        <f>1811.6/17</f>
        <v>106.56470588235294</v>
      </c>
      <c r="O2130" s="28">
        <f>(Tabla1[[#This Row],[COSTO FIJO ]]/30)*Tabla1[[#This Row],[TOTAL DIAS PROYECTO]]+(Tabla1[[#This Row],[COSTO TEMPORAL]])</f>
        <v>490.19764705882352</v>
      </c>
      <c r="P2130" s="12">
        <f>613.83/5</f>
        <v>122.76600000000001</v>
      </c>
      <c r="Q2130" s="12">
        <f>+(Tabla1[[#This Row],[COSTO COCHE]]/30)*Tabla1[[#This Row],[TOTAL DIAS PROYECTO]]</f>
        <v>564.72360000000003</v>
      </c>
      <c r="R2130" s="12">
        <f>+Tabla1[[#This Row],[COSTO TOTAL ALOJAMIENTO]]+Tabla1[[#This Row],[COSTO TOTAL COCHE]]</f>
        <v>1054.9212470588236</v>
      </c>
      <c r="S2130" s="2"/>
      <c r="T2130" s="2" t="s">
        <v>35</v>
      </c>
      <c r="U2130" s="14">
        <v>45683</v>
      </c>
      <c r="V2130" s="43"/>
      <c r="W2130" s="26"/>
      <c r="X2130" s="2">
        <v>7</v>
      </c>
      <c r="Y2130" t="s">
        <v>1867</v>
      </c>
      <c r="Z2130" s="2" t="s">
        <v>36</v>
      </c>
      <c r="AA2130" s="13" t="s">
        <v>10335</v>
      </c>
      <c r="AB2130" s="13">
        <v>404.16500000000002</v>
      </c>
    </row>
    <row r="2131" spans="1:28" ht="15" customHeight="1">
      <c r="A2131" s="2" t="s">
        <v>8885</v>
      </c>
      <c r="B2131" s="2" t="s">
        <v>368</v>
      </c>
      <c r="C2131" s="215" t="s">
        <v>1167</v>
      </c>
      <c r="D2131" s="2" t="s">
        <v>30</v>
      </c>
      <c r="E2131" s="2" t="s">
        <v>87</v>
      </c>
      <c r="F2131" s="11" t="s">
        <v>1864</v>
      </c>
      <c r="G2131" s="67" t="s">
        <v>1865</v>
      </c>
      <c r="H2131" s="2" t="s">
        <v>1866</v>
      </c>
      <c r="I2131" s="12" t="s">
        <v>1392</v>
      </c>
      <c r="J2131" s="22">
        <f>+Tabla1[[#This Row],[FECHA ENTRADA]]</f>
        <v>45683</v>
      </c>
      <c r="K2131" s="22">
        <v>45821</v>
      </c>
      <c r="L2131" s="42">
        <f>_xlfn.DAYS(Tabla1[[#This Row],[FECHA FIN ]],Tabla1[[#This Row],[FECHA INICIO]])</f>
        <v>138</v>
      </c>
      <c r="M2131" s="12"/>
      <c r="N2131" s="12">
        <f>1811.6/17</f>
        <v>106.56470588235294</v>
      </c>
      <c r="O2131" s="28">
        <f>(Tabla1[[#This Row],[COSTO FIJO ]]/30)*Tabla1[[#This Row],[TOTAL DIAS PROYECTO]]+(Tabla1[[#This Row],[COSTO TEMPORAL]])</f>
        <v>490.19764705882352</v>
      </c>
      <c r="P2131" s="12">
        <f>1413.83/9</f>
        <v>157.0922222222222</v>
      </c>
      <c r="Q2131" s="12">
        <f>+(Tabla1[[#This Row],[COSTO COCHE]]/30)*Tabla1[[#This Row],[TOTAL DIAS PROYECTO]]</f>
        <v>722.62422222222222</v>
      </c>
      <c r="R2131" s="12">
        <f>+Tabla1[[#This Row],[COSTO TOTAL ALOJAMIENTO]]+Tabla1[[#This Row],[COSTO TOTAL COCHE]]</f>
        <v>1212.8218692810458</v>
      </c>
      <c r="S2131" s="2"/>
      <c r="T2131" s="2" t="s">
        <v>35</v>
      </c>
      <c r="U2131" s="14">
        <v>45683</v>
      </c>
      <c r="V2131" s="79"/>
      <c r="W2131" s="26"/>
      <c r="X2131" s="2">
        <v>7</v>
      </c>
      <c r="Y2131" s="11"/>
      <c r="Z2131" s="2" t="s">
        <v>36</v>
      </c>
      <c r="AA2131" s="13" t="s">
        <v>10335</v>
      </c>
      <c r="AB2131" s="13">
        <v>404.16500000000002</v>
      </c>
    </row>
    <row r="2132" spans="1:28" ht="15" customHeight="1">
      <c r="A2132" s="2" t="s">
        <v>8886</v>
      </c>
      <c r="B2132" s="2" t="s">
        <v>368</v>
      </c>
      <c r="C2132" s="219" t="s">
        <v>1168</v>
      </c>
      <c r="D2132" s="2" t="s">
        <v>30</v>
      </c>
      <c r="E2132" s="2" t="s">
        <v>87</v>
      </c>
      <c r="F2132" s="11" t="s">
        <v>1864</v>
      </c>
      <c r="G2132" s="67" t="s">
        <v>1865</v>
      </c>
      <c r="H2132" s="2" t="s">
        <v>1866</v>
      </c>
      <c r="I2132" s="12" t="s">
        <v>1392</v>
      </c>
      <c r="J2132" s="22">
        <f>+Tabla1[[#This Row],[FECHA ENTRADA]]</f>
        <v>45683</v>
      </c>
      <c r="K2132" s="22">
        <v>45821</v>
      </c>
      <c r="L2132" s="42">
        <f>_xlfn.DAYS(Tabla1[[#This Row],[FECHA FIN ]],Tabla1[[#This Row],[FECHA INICIO]])</f>
        <v>138</v>
      </c>
      <c r="M2132" s="12"/>
      <c r="N2132" s="12">
        <f>1811.6/17</f>
        <v>106.56470588235294</v>
      </c>
      <c r="O2132" s="28">
        <f>(Tabla1[[#This Row],[COSTO FIJO ]]/30)*Tabla1[[#This Row],[TOTAL DIAS PROYECTO]]+(Tabla1[[#This Row],[COSTO TEMPORAL]])</f>
        <v>490.19764705882352</v>
      </c>
      <c r="P2132" s="12">
        <f>1413.83/9</f>
        <v>157.0922222222222</v>
      </c>
      <c r="Q2132" s="12">
        <f>+(Tabla1[[#This Row],[COSTO COCHE]]/30)*Tabla1[[#This Row],[TOTAL DIAS PROYECTO]]</f>
        <v>722.62422222222222</v>
      </c>
      <c r="R2132" s="12">
        <f>+Tabla1[[#This Row],[COSTO TOTAL ALOJAMIENTO]]+Tabla1[[#This Row],[COSTO TOTAL COCHE]]</f>
        <v>1212.8218692810458</v>
      </c>
      <c r="S2132" s="2"/>
      <c r="T2132" s="2" t="s">
        <v>35</v>
      </c>
      <c r="U2132" s="14">
        <v>45683</v>
      </c>
      <c r="V2132" s="79"/>
      <c r="W2132" s="26"/>
      <c r="X2132" s="2">
        <v>7</v>
      </c>
      <c r="Y2132" s="11"/>
      <c r="Z2132" s="2" t="s">
        <v>36</v>
      </c>
      <c r="AA2132" s="13" t="s">
        <v>10335</v>
      </c>
      <c r="AB2132" s="13">
        <v>404.16500000000002</v>
      </c>
    </row>
    <row r="2133" spans="1:28" ht="15" customHeight="1">
      <c r="A2133" s="2" t="s">
        <v>9326</v>
      </c>
      <c r="B2133" s="2" t="s">
        <v>28</v>
      </c>
      <c r="C2133" s="221" t="s">
        <v>2829</v>
      </c>
      <c r="D2133" s="2" t="s">
        <v>30</v>
      </c>
      <c r="E2133" s="2" t="s">
        <v>87</v>
      </c>
      <c r="F2133" s="11" t="s">
        <v>1515</v>
      </c>
      <c r="G2133" s="30" t="s">
        <v>1516</v>
      </c>
      <c r="H2133" s="2" t="s">
        <v>2832</v>
      </c>
      <c r="I2133" s="12" t="s">
        <v>994</v>
      </c>
      <c r="J2133" s="41">
        <v>45635</v>
      </c>
      <c r="K2133" s="22">
        <v>45821</v>
      </c>
      <c r="L2133" s="42">
        <f>_xlfn.DAYS(Tabla1[[#This Row],[FECHA FIN ]],Tabla1[[#This Row],[FECHA INICIO]])</f>
        <v>186</v>
      </c>
      <c r="M2133" s="12"/>
      <c r="N2133" s="12"/>
      <c r="O2133" s="28">
        <f>(Tabla1[[#This Row],[COSTO FIJO ]]/30)*Tabla1[[#This Row],[TOTAL DIAS PROYECTO]]+(Tabla1[[#This Row],[COSTO TEMPORAL]])</f>
        <v>0</v>
      </c>
      <c r="P2133" s="12"/>
      <c r="Q2133" s="12">
        <f>+(Tabla1[[#This Row],[COSTO COCHE]]/30)*Tabla1[[#This Row],[TOTAL DIAS PROYECTO]]</f>
        <v>0</v>
      </c>
      <c r="R2133" s="12">
        <f>+Tabla1[[#This Row],[COSTO TOTAL ALOJAMIENTO]]+Tabla1[[#This Row],[COSTO TOTAL COCHE]]</f>
        <v>0</v>
      </c>
      <c r="S2133" s="2"/>
      <c r="T2133" s="2" t="s">
        <v>35</v>
      </c>
      <c r="U2133" s="14">
        <v>45635</v>
      </c>
      <c r="V2133" s="43"/>
      <c r="W2133" s="26"/>
      <c r="X2133" s="2">
        <v>7</v>
      </c>
      <c r="Y2133" s="11"/>
      <c r="Z2133" s="2" t="s">
        <v>36</v>
      </c>
      <c r="AA2133" s="13" t="s">
        <v>10335</v>
      </c>
      <c r="AB2133" s="13">
        <v>404.16500000000002</v>
      </c>
    </row>
    <row r="2134" spans="1:28" ht="15" customHeight="1">
      <c r="A2134" s="2" t="s">
        <v>8730</v>
      </c>
      <c r="B2134" s="2" t="s">
        <v>368</v>
      </c>
      <c r="C2134" s="219" t="s">
        <v>472</v>
      </c>
      <c r="D2134" s="2" t="s">
        <v>30</v>
      </c>
      <c r="E2134" s="2" t="s">
        <v>87</v>
      </c>
      <c r="F2134" s="11" t="s">
        <v>1864</v>
      </c>
      <c r="G2134" s="67" t="s">
        <v>1865</v>
      </c>
      <c r="H2134" s="2" t="s">
        <v>1866</v>
      </c>
      <c r="I2134" s="12" t="s">
        <v>1392</v>
      </c>
      <c r="J2134" s="22">
        <f>+Tabla1[[#This Row],[FECHA ENTRADA]]</f>
        <v>45683</v>
      </c>
      <c r="K2134" s="22">
        <v>45821</v>
      </c>
      <c r="L2134" s="42">
        <f>_xlfn.DAYS(Tabla1[[#This Row],[FECHA FIN ]],Tabla1[[#This Row],[FECHA INICIO]])</f>
        <v>138</v>
      </c>
      <c r="M2134" s="12"/>
      <c r="N2134" s="12">
        <f>1811.6/17</f>
        <v>106.56470588235294</v>
      </c>
      <c r="O2134" s="28">
        <f>(Tabla1[[#This Row],[COSTO FIJO ]]/30)*Tabla1[[#This Row],[TOTAL DIAS PROYECTO]]+(Tabla1[[#This Row],[COSTO TEMPORAL]])</f>
        <v>490.19764705882352</v>
      </c>
      <c r="P2134" s="12">
        <f>613.83/5</f>
        <v>122.76600000000001</v>
      </c>
      <c r="Q2134" s="12">
        <f>+(Tabla1[[#This Row],[COSTO COCHE]]/30)*Tabla1[[#This Row],[TOTAL DIAS PROYECTO]]</f>
        <v>564.72360000000003</v>
      </c>
      <c r="R2134" s="12">
        <f>+Tabla1[[#This Row],[COSTO TOTAL ALOJAMIENTO]]+Tabla1[[#This Row],[COSTO TOTAL COCHE]]</f>
        <v>1054.9212470588236</v>
      </c>
      <c r="S2134" s="2"/>
      <c r="T2134" s="2" t="s">
        <v>35</v>
      </c>
      <c r="U2134" s="14">
        <v>45683</v>
      </c>
      <c r="V2134" s="79"/>
      <c r="W2134" s="26"/>
      <c r="X2134" s="2">
        <v>7</v>
      </c>
      <c r="Y2134" t="s">
        <v>1867</v>
      </c>
      <c r="Z2134" s="2" t="s">
        <v>36</v>
      </c>
      <c r="AA2134" s="13" t="s">
        <v>10335</v>
      </c>
      <c r="AB2134" s="13">
        <v>404.16500000000002</v>
      </c>
    </row>
    <row r="2135" spans="1:28" ht="15" customHeight="1">
      <c r="A2135" s="2" t="s">
        <v>8642</v>
      </c>
      <c r="B2135" s="2" t="s">
        <v>28</v>
      </c>
      <c r="C2135" s="221" t="s">
        <v>2950</v>
      </c>
      <c r="D2135" s="2" t="s">
        <v>30</v>
      </c>
      <c r="E2135" s="2" t="s">
        <v>127</v>
      </c>
      <c r="F2135" s="11" t="s">
        <v>3641</v>
      </c>
      <c r="G2135" s="21" t="s">
        <v>3642</v>
      </c>
      <c r="H2135" s="2" t="s">
        <v>3643</v>
      </c>
      <c r="I2135" s="12" t="s">
        <v>547</v>
      </c>
      <c r="J2135" s="22">
        <f>+Tabla1[[#This Row],[FECHA ENTRADA]]</f>
        <v>45578</v>
      </c>
      <c r="K2135" s="22">
        <v>45821</v>
      </c>
      <c r="L2135" s="23">
        <f>_xlfn.DAYS(Tabla1[[#This Row],[FECHA FIN ]],Tabla1[[#This Row],[FECHA INICIO]])</f>
        <v>243</v>
      </c>
      <c r="M2135" s="12"/>
      <c r="N2135" s="24"/>
      <c r="O2135" s="24">
        <f>(Tabla1[[#This Row],[COSTO FIJO ]]/30)*Tabla1[[#This Row],[TOTAL DIAS PROYECTO]]+(Tabla1[[#This Row],[COSTO TEMPORAL]])</f>
        <v>0</v>
      </c>
      <c r="P2135" s="12"/>
      <c r="Q2135" s="12">
        <f>+(Tabla1[[#This Row],[COSTO COCHE]]/30)*Tabla1[[#This Row],[TOTAL DIAS PROYECTO]]</f>
        <v>0</v>
      </c>
      <c r="R2135" s="12">
        <f>+Tabla1[[#This Row],[COSTO TOTAL ALOJAMIENTO]]+Tabla1[[#This Row],[COSTO TOTAL COCHE]]</f>
        <v>0</v>
      </c>
      <c r="S2135" s="2"/>
      <c r="T2135" s="2" t="s">
        <v>35</v>
      </c>
      <c r="U2135" s="14">
        <v>45578</v>
      </c>
      <c r="V2135" s="79"/>
      <c r="W2135" s="26">
        <v>300</v>
      </c>
      <c r="X2135" s="2">
        <v>7</v>
      </c>
      <c r="Y2135" s="11" t="s">
        <v>3644</v>
      </c>
      <c r="Z2135" s="2" t="s">
        <v>36</v>
      </c>
      <c r="AA2135" s="13" t="s">
        <v>10342</v>
      </c>
      <c r="AB2135" s="13" t="s">
        <v>10343</v>
      </c>
    </row>
    <row r="2136" spans="1:28" ht="15" customHeight="1">
      <c r="A2136" s="2" t="s">
        <v>9442</v>
      </c>
      <c r="B2136" s="2" t="s">
        <v>368</v>
      </c>
      <c r="C2136" s="215" t="s">
        <v>3191</v>
      </c>
      <c r="D2136" s="2" t="s">
        <v>99</v>
      </c>
      <c r="E2136" s="2" t="s">
        <v>87</v>
      </c>
      <c r="F2136" s="11" t="s">
        <v>1864</v>
      </c>
      <c r="G2136" s="11" t="s">
        <v>2195</v>
      </c>
      <c r="H2136" s="185" t="s">
        <v>2196</v>
      </c>
      <c r="I2136" s="222" t="s">
        <v>1288</v>
      </c>
      <c r="J2136" s="41">
        <f>+Tabla1[[#This Row],[FECHA ENTRADA]]</f>
        <v>45775</v>
      </c>
      <c r="K2136" s="22">
        <v>45821</v>
      </c>
      <c r="L2136" s="23">
        <f>_xlfn.DAYS(Tabla1[[#This Row],[FECHA FIN ]],Tabla1[[#This Row],[FECHA INICIO]])</f>
        <v>46</v>
      </c>
      <c r="M2136" s="12"/>
      <c r="N2136" s="20">
        <f>1752.5/6</f>
        <v>292.08333333333331</v>
      </c>
      <c r="O2136" s="24">
        <f>(Tabla1[[#This Row],[COSTO FIJO ]]/30)*Tabla1[[#This Row],[TOTAL DIAS PROYECTO]]+(Tabla1[[#This Row],[COSTO TEMPORAL]])</f>
        <v>447.86111111111109</v>
      </c>
      <c r="P2136" s="12"/>
      <c r="Q2136" s="12">
        <f>+(Tabla1[[#This Row],[COSTO COCHE]]/30)*Tabla1[[#This Row],[TOTAL DIAS PROYECTO]]</f>
        <v>0</v>
      </c>
      <c r="R2136" s="12">
        <f>+Tabla1[[#This Row],[COSTO TOTAL ALOJAMIENTO]]+Tabla1[[#This Row],[COSTO TOTAL COCHE]]</f>
        <v>447.86111111111109</v>
      </c>
      <c r="S2136" s="2"/>
      <c r="T2136" s="2" t="s">
        <v>35</v>
      </c>
      <c r="U2136" s="14">
        <v>45775</v>
      </c>
      <c r="V2136" s="25"/>
      <c r="W2136" s="26"/>
      <c r="X2136" s="2">
        <v>7</v>
      </c>
      <c r="Y2136" s="11" t="s">
        <v>2188</v>
      </c>
      <c r="Z2136" s="2" t="s">
        <v>36</v>
      </c>
      <c r="AA2136" s="13" t="s">
        <v>10335</v>
      </c>
      <c r="AB2136" s="13">
        <v>404.16500000000002</v>
      </c>
    </row>
    <row r="2137" spans="1:28" ht="15" customHeight="1">
      <c r="A2137" s="2" t="s">
        <v>9209</v>
      </c>
      <c r="B2137" s="2" t="s">
        <v>28</v>
      </c>
      <c r="C2137" s="18" t="s">
        <v>2445</v>
      </c>
      <c r="D2137" s="2" t="s">
        <v>30</v>
      </c>
      <c r="E2137" s="2" t="s">
        <v>151</v>
      </c>
      <c r="F2137" s="11" t="s">
        <v>1499</v>
      </c>
      <c r="G2137" s="11" t="s">
        <v>1500</v>
      </c>
      <c r="H2137" s="2" t="s">
        <v>1654</v>
      </c>
      <c r="I2137" s="12" t="s">
        <v>152</v>
      </c>
      <c r="J2137" s="8">
        <f>+Tabla1[[#This Row],[FECHA ENTRADA]]</f>
        <v>45389</v>
      </c>
      <c r="K2137" s="22">
        <v>45821</v>
      </c>
      <c r="L2137" s="13">
        <f>_xlfn.DAYS(Tabla1[[#This Row],[FECHA FIN ]],Tabla1[[#This Row],[FECHA INICIO]])</f>
        <v>432</v>
      </c>
      <c r="M2137" s="12"/>
      <c r="N2137" s="12">
        <v>350</v>
      </c>
      <c r="O2137" s="12">
        <f>(Tabla1[[#This Row],[COSTO FIJO ]]/30)*Tabla1[[#This Row],[TOTAL DIAS PROYECTO]]+(Tabla1[[#This Row],[COSTO TEMPORAL]])</f>
        <v>5040</v>
      </c>
      <c r="P2137" s="12"/>
      <c r="Q2137" s="12">
        <f>+(Tabla1[[#This Row],[COSTO COCHE]]/30)*Tabla1[[#This Row],[TOTAL DIAS PROYECTO]]</f>
        <v>0</v>
      </c>
      <c r="R2137" s="12">
        <f>+Tabla1[[#This Row],[COSTO TOTAL ALOJAMIENTO]]+Tabla1[[#This Row],[COSTO TOTAL COCHE]]</f>
        <v>5040</v>
      </c>
      <c r="S2137" s="2"/>
      <c r="T2137" s="2" t="s">
        <v>35</v>
      </c>
      <c r="U2137" s="14">
        <v>45389</v>
      </c>
      <c r="V2137" s="14"/>
      <c r="W2137" s="15">
        <v>350</v>
      </c>
      <c r="X2137" s="16">
        <v>7</v>
      </c>
      <c r="Y2137" s="31" t="s">
        <v>3645</v>
      </c>
      <c r="Z2137" s="2" t="s">
        <v>36</v>
      </c>
      <c r="AA2137" s="13" t="s">
        <v>10345</v>
      </c>
      <c r="AB2137" s="13" t="s">
        <v>10346</v>
      </c>
    </row>
    <row r="2138" spans="1:28" ht="15" customHeight="1">
      <c r="A2138" s="2" t="s">
        <v>9054</v>
      </c>
      <c r="B2138" s="2" t="s">
        <v>28</v>
      </c>
      <c r="C2138" s="18" t="s">
        <v>1815</v>
      </c>
      <c r="D2138" s="2" t="s">
        <v>30</v>
      </c>
      <c r="E2138" s="2" t="s">
        <v>608</v>
      </c>
      <c r="F2138" s="11" t="s">
        <v>3646</v>
      </c>
      <c r="G2138" s="11" t="s">
        <v>1008</v>
      </c>
      <c r="H2138" s="2" t="s">
        <v>3647</v>
      </c>
      <c r="I2138" s="12" t="s">
        <v>34</v>
      </c>
      <c r="J2138" s="8">
        <f>+Tabla1[[#This Row],[FECHA ENTRADA]]</f>
        <v>45511</v>
      </c>
      <c r="K2138" s="22">
        <v>45821</v>
      </c>
      <c r="L2138" s="13">
        <f>_xlfn.DAYS(Tabla1[[#This Row],[FECHA FIN ]],Tabla1[[#This Row],[FECHA INICIO]])</f>
        <v>310</v>
      </c>
      <c r="M2138" s="12"/>
      <c r="N2138" s="12">
        <v>350</v>
      </c>
      <c r="O2138" s="12">
        <f>(Tabla1[[#This Row],[COSTO FIJO ]]/30)*Tabla1[[#This Row],[TOTAL DIAS PROYECTO]]+(Tabla1[[#This Row],[COSTO TEMPORAL]])</f>
        <v>3616.6666666666665</v>
      </c>
      <c r="P2138" s="12">
        <f>+(645.06*50%)/4</f>
        <v>80.632499999999993</v>
      </c>
      <c r="Q2138" s="12">
        <f>+(Tabla1[[#This Row],[COSTO COCHE]]/30)*Tabla1[[#This Row],[TOTAL DIAS PROYECTO]]</f>
        <v>833.20249999999999</v>
      </c>
      <c r="R2138" s="12">
        <f>+Tabla1[[#This Row],[COSTO TOTAL ALOJAMIENTO]]+Tabla1[[#This Row],[COSTO TOTAL COCHE]]</f>
        <v>4449.8691666666664</v>
      </c>
      <c r="S2138" s="2"/>
      <c r="T2138" s="2" t="s">
        <v>35</v>
      </c>
      <c r="U2138" s="14">
        <v>45511</v>
      </c>
      <c r="V2138" s="14"/>
      <c r="W2138" s="26">
        <v>350</v>
      </c>
      <c r="X2138" s="2">
        <v>7</v>
      </c>
      <c r="Y2138" s="50" t="s">
        <v>3648</v>
      </c>
      <c r="Z2138" s="2" t="s">
        <v>36</v>
      </c>
      <c r="AA2138" s="13" t="s">
        <v>10383</v>
      </c>
      <c r="AB2138" s="13" t="s">
        <v>10384</v>
      </c>
    </row>
    <row r="2139" spans="1:28" ht="15" customHeight="1">
      <c r="A2139" s="2" t="s">
        <v>9560</v>
      </c>
      <c r="B2139" s="2" t="s">
        <v>368</v>
      </c>
      <c r="C2139" s="212" t="s">
        <v>3649</v>
      </c>
      <c r="D2139" s="2" t="s">
        <v>30</v>
      </c>
      <c r="E2139" s="2" t="s">
        <v>87</v>
      </c>
      <c r="F2139" s="11" t="s">
        <v>1864</v>
      </c>
      <c r="G2139" s="11" t="s">
        <v>2195</v>
      </c>
      <c r="H2139" s="2" t="s">
        <v>2359</v>
      </c>
      <c r="I2139" s="10" t="s">
        <v>233</v>
      </c>
      <c r="J2139" s="41">
        <f>+Tabla1[[#This Row],[FECHA ENTRADA]]</f>
        <v>45747</v>
      </c>
      <c r="K2139" s="22">
        <v>45821</v>
      </c>
      <c r="L2139" s="42">
        <f>_xlfn.DAYS(Tabla1[[#This Row],[FECHA FIN ]],Tabla1[[#This Row],[FECHA INICIO]])</f>
        <v>74</v>
      </c>
      <c r="M2139" s="12"/>
      <c r="N2139" s="20">
        <f>1752.5/6</f>
        <v>292.08333333333331</v>
      </c>
      <c r="O2139" s="28">
        <f>(Tabla1[[#This Row],[COSTO FIJO ]]/30)*Tabla1[[#This Row],[TOTAL DIAS PROYECTO]]+(Tabla1[[#This Row],[COSTO TEMPORAL]])</f>
        <v>720.47222222222217</v>
      </c>
      <c r="P2139" s="12">
        <v>133.33333333333334</v>
      </c>
      <c r="Q2139" s="12">
        <f>+(Tabla1[[#This Row],[COSTO COCHE]]/30)*Tabla1[[#This Row],[TOTAL DIAS PROYECTO]]</f>
        <v>328.88888888888891</v>
      </c>
      <c r="R2139" s="12">
        <f>+Tabla1[[#This Row],[COSTO TOTAL ALOJAMIENTO]]+Tabla1[[#This Row],[COSTO TOTAL COCHE]]</f>
        <v>1049.3611111111111</v>
      </c>
      <c r="S2139" s="2"/>
      <c r="T2139" s="2" t="s">
        <v>35</v>
      </c>
      <c r="U2139" s="14">
        <v>45747</v>
      </c>
      <c r="V2139" s="43"/>
      <c r="W2139" s="26"/>
      <c r="X2139" s="2">
        <v>7</v>
      </c>
      <c r="Y2139" s="11"/>
      <c r="Z2139" s="2" t="s">
        <v>36</v>
      </c>
      <c r="AA2139" s="13" t="s">
        <v>10335</v>
      </c>
      <c r="AB2139" s="13">
        <v>404.16500000000002</v>
      </c>
    </row>
    <row r="2140" spans="1:28" ht="15" customHeight="1">
      <c r="A2140" s="2" t="s">
        <v>8760</v>
      </c>
      <c r="B2140" s="2" t="s">
        <v>368</v>
      </c>
      <c r="C2140" s="31" t="s">
        <v>632</v>
      </c>
      <c r="D2140" s="2" t="s">
        <v>30</v>
      </c>
      <c r="E2140" s="2" t="s">
        <v>87</v>
      </c>
      <c r="F2140" s="11" t="s">
        <v>1864</v>
      </c>
      <c r="G2140" s="67" t="s">
        <v>1865</v>
      </c>
      <c r="H2140" s="2" t="s">
        <v>1866</v>
      </c>
      <c r="I2140" s="12" t="s">
        <v>1392</v>
      </c>
      <c r="J2140" s="22">
        <f>+Tabla1[[#This Row],[FECHA ENTRADA]]</f>
        <v>45683</v>
      </c>
      <c r="K2140" s="22">
        <v>45821</v>
      </c>
      <c r="L2140" s="42">
        <f>_xlfn.DAYS(Tabla1[[#This Row],[FECHA FIN ]],Tabla1[[#This Row],[FECHA INICIO]])</f>
        <v>138</v>
      </c>
      <c r="M2140" s="12"/>
      <c r="N2140" s="20">
        <f>1752.5/6</f>
        <v>292.08333333333331</v>
      </c>
      <c r="O2140" s="28">
        <f>(Tabla1[[#This Row],[COSTO FIJO ]]/30)*Tabla1[[#This Row],[TOTAL DIAS PROYECTO]]+(Tabla1[[#This Row],[COSTO TEMPORAL]])</f>
        <v>1343.5833333333333</v>
      </c>
      <c r="P2140" s="12">
        <f>1413.83/9</f>
        <v>157.0922222222222</v>
      </c>
      <c r="Q2140" s="12">
        <f>+(Tabla1[[#This Row],[COSTO COCHE]]/30)*Tabla1[[#This Row],[TOTAL DIAS PROYECTO]]</f>
        <v>722.62422222222222</v>
      </c>
      <c r="R2140" s="12">
        <f>+Tabla1[[#This Row],[COSTO TOTAL ALOJAMIENTO]]+Tabla1[[#This Row],[COSTO TOTAL COCHE]]</f>
        <v>2066.2075555555557</v>
      </c>
      <c r="S2140" s="2"/>
      <c r="T2140" s="2" t="s">
        <v>35</v>
      </c>
      <c r="U2140" s="14">
        <v>45683</v>
      </c>
      <c r="V2140" s="79"/>
      <c r="W2140" s="26">
        <v>950</v>
      </c>
      <c r="X2140" s="2">
        <v>7</v>
      </c>
      <c r="Y2140" s="11"/>
      <c r="Z2140" s="2" t="s">
        <v>36</v>
      </c>
      <c r="AA2140" s="13" t="s">
        <v>10335</v>
      </c>
      <c r="AB2140" s="13">
        <v>404.16500000000002</v>
      </c>
    </row>
    <row r="2141" spans="1:28" ht="15" customHeight="1">
      <c r="A2141" s="2" t="s">
        <v>9561</v>
      </c>
      <c r="B2141" s="2" t="s">
        <v>368</v>
      </c>
      <c r="C2141" s="11" t="s">
        <v>3650</v>
      </c>
      <c r="D2141" s="2" t="s">
        <v>30</v>
      </c>
      <c r="E2141" s="2" t="s">
        <v>415</v>
      </c>
      <c r="F2141" s="11" t="s">
        <v>2198</v>
      </c>
      <c r="G2141" s="46" t="s">
        <v>2174</v>
      </c>
      <c r="H2141" s="2" t="s">
        <v>2203</v>
      </c>
      <c r="I2141" s="12" t="s">
        <v>2200</v>
      </c>
      <c r="J2141" s="41">
        <f>+Tabla1[[#This Row],[FECHA ENTRADA]]</f>
        <v>45727</v>
      </c>
      <c r="K2141" s="22">
        <v>45821</v>
      </c>
      <c r="L2141" s="42">
        <f>_xlfn.DAYS(Tabla1[[#This Row],[FECHA FIN ]],Tabla1[[#This Row],[FECHA INICIO]])</f>
        <v>94</v>
      </c>
      <c r="M2141" s="12"/>
      <c r="N2141" s="12"/>
      <c r="O2141" s="28">
        <f>(Tabla1[[#This Row],[COSTO FIJO ]]/30)*Tabla1[[#This Row],[TOTAL DIAS PROYECTO]]+(Tabla1[[#This Row],[COSTO TEMPORAL]])</f>
        <v>0</v>
      </c>
      <c r="P2141" s="12">
        <f>666.59/5</f>
        <v>133.31800000000001</v>
      </c>
      <c r="Q2141" s="12">
        <f>+(Tabla1[[#This Row],[COSTO COCHE]]/30)*Tabla1[[#This Row],[TOTAL DIAS PROYECTO]]</f>
        <v>417.72973333333334</v>
      </c>
      <c r="R2141" s="12">
        <f>+Tabla1[[#This Row],[COSTO TOTAL ALOJAMIENTO]]+Tabla1[[#This Row],[COSTO TOTAL COCHE]]</f>
        <v>417.72973333333334</v>
      </c>
      <c r="S2141" s="2"/>
      <c r="T2141" s="2" t="s">
        <v>35</v>
      </c>
      <c r="U2141" s="14">
        <v>45727</v>
      </c>
      <c r="V2141" s="43"/>
      <c r="W2141" s="26"/>
      <c r="X2141" s="2">
        <v>8</v>
      </c>
      <c r="Y2141" t="s">
        <v>3651</v>
      </c>
      <c r="Z2141" s="2" t="s">
        <v>36</v>
      </c>
      <c r="AA2141" s="13">
        <v>-0.37739</v>
      </c>
      <c r="AB2141" s="13" t="s">
        <v>10372</v>
      </c>
    </row>
    <row r="2142" spans="1:28" ht="15" customHeight="1">
      <c r="A2142" s="2" t="s">
        <v>9562</v>
      </c>
      <c r="B2142" s="2" t="s">
        <v>368</v>
      </c>
      <c r="C2142" s="104" t="s">
        <v>3652</v>
      </c>
      <c r="D2142" s="2" t="s">
        <v>30</v>
      </c>
      <c r="E2142" s="2" t="s">
        <v>415</v>
      </c>
      <c r="F2142" s="11" t="s">
        <v>2198</v>
      </c>
      <c r="G2142" s="46" t="s">
        <v>2174</v>
      </c>
      <c r="H2142" s="2" t="s">
        <v>2199</v>
      </c>
      <c r="I2142" s="12" t="s">
        <v>2200</v>
      </c>
      <c r="J2142" s="41">
        <f>+Tabla1[[#This Row],[FECHA ENTRADA]]</f>
        <v>45727</v>
      </c>
      <c r="K2142" s="22">
        <v>45821</v>
      </c>
      <c r="L2142" s="42">
        <f>_xlfn.DAYS(Tabla1[[#This Row],[FECHA FIN ]],Tabla1[[#This Row],[FECHA INICIO]])</f>
        <v>94</v>
      </c>
      <c r="M2142" s="12"/>
      <c r="N2142" s="12">
        <f>1811.6/17</f>
        <v>106.56470588235294</v>
      </c>
      <c r="O2142" s="28">
        <f>(Tabla1[[#This Row],[COSTO FIJO ]]/30)*Tabla1[[#This Row],[TOTAL DIAS PROYECTO]]+(Tabla1[[#This Row],[COSTO TEMPORAL]])</f>
        <v>333.90274509803925</v>
      </c>
      <c r="P2142" s="12">
        <f>666.59/5</f>
        <v>133.31800000000001</v>
      </c>
      <c r="Q2142" s="12">
        <f>+(Tabla1[[#This Row],[COSTO COCHE]]/30)*Tabla1[[#This Row],[TOTAL DIAS PROYECTO]]</f>
        <v>417.72973333333334</v>
      </c>
      <c r="R2142" s="12">
        <f>+Tabla1[[#This Row],[COSTO TOTAL ALOJAMIENTO]]+Tabla1[[#This Row],[COSTO TOTAL COCHE]]</f>
        <v>751.63247843137265</v>
      </c>
      <c r="S2142" s="2"/>
      <c r="T2142" s="2" t="s">
        <v>35</v>
      </c>
      <c r="U2142" s="14">
        <v>45727</v>
      </c>
      <c r="V2142" s="43"/>
      <c r="W2142" s="26"/>
      <c r="X2142" s="2">
        <v>8</v>
      </c>
      <c r="Y2142" t="s">
        <v>2201</v>
      </c>
      <c r="Z2142" s="2" t="s">
        <v>36</v>
      </c>
      <c r="AA2142" s="13">
        <v>-0.37739</v>
      </c>
      <c r="AB2142" s="13" t="s">
        <v>10372</v>
      </c>
    </row>
    <row r="2143" spans="1:28" ht="15" customHeight="1">
      <c r="A2143" s="2" t="s">
        <v>9404</v>
      </c>
      <c r="B2143" s="2" t="s">
        <v>978</v>
      </c>
      <c r="C2143" s="86" t="s">
        <v>3073</v>
      </c>
      <c r="D2143" s="2" t="s">
        <v>30</v>
      </c>
      <c r="E2143" s="2" t="s">
        <v>253</v>
      </c>
      <c r="F2143" s="11" t="s">
        <v>1688</v>
      </c>
      <c r="G2143" s="46" t="s">
        <v>1689</v>
      </c>
      <c r="H2143" s="2" t="s">
        <v>1530</v>
      </c>
      <c r="I2143" s="12" t="s">
        <v>1155</v>
      </c>
      <c r="J2143" s="41">
        <f>+Tabla1[[#This Row],[FECHA ENTRADA]]</f>
        <v>45786</v>
      </c>
      <c r="K2143" s="22">
        <v>45821</v>
      </c>
      <c r="L2143" s="42">
        <f>_xlfn.DAYS(Tabla1[[#This Row],[FECHA FIN ]],Tabla1[[#This Row],[FECHA INICIO]])</f>
        <v>35</v>
      </c>
      <c r="M2143" s="12"/>
      <c r="N2143" s="28">
        <v>480</v>
      </c>
      <c r="O2143" s="28">
        <f>(Tabla1[[#This Row],[COSTO FIJO ]]/30)*Tabla1[[#This Row],[TOTAL DIAS PROYECTO]]+(Tabla1[[#This Row],[COSTO TEMPORAL]])</f>
        <v>560</v>
      </c>
      <c r="P2143" s="12"/>
      <c r="Q2143" s="12">
        <f>+(Tabla1[[#This Row],[COSTO COCHE]]/30)*Tabla1[[#This Row],[TOTAL DIAS PROYECTO]]</f>
        <v>0</v>
      </c>
      <c r="R2143" s="12">
        <f>+Tabla1[[#This Row],[COSTO TOTAL ALOJAMIENTO]]+Tabla1[[#This Row],[COSTO TOTAL COCHE]]</f>
        <v>560</v>
      </c>
      <c r="S2143" s="2"/>
      <c r="T2143" s="2" t="s">
        <v>35</v>
      </c>
      <c r="U2143" s="14">
        <v>45786</v>
      </c>
      <c r="V2143" s="75"/>
      <c r="W2143" s="2"/>
      <c r="X2143" s="2">
        <v>8</v>
      </c>
      <c r="Y2143" s="11"/>
      <c r="Z2143" s="2" t="s">
        <v>36</v>
      </c>
      <c r="AA2143" s="13" t="s">
        <v>10357</v>
      </c>
      <c r="AB2143" s="13" t="s">
        <v>10358</v>
      </c>
    </row>
    <row r="2144" spans="1:28" ht="15" customHeight="1">
      <c r="A2144" s="2" t="s">
        <v>9466</v>
      </c>
      <c r="B2144" s="2" t="s">
        <v>368</v>
      </c>
      <c r="C2144" s="11" t="s">
        <v>3286</v>
      </c>
      <c r="D2144" s="2" t="s">
        <v>99</v>
      </c>
      <c r="E2144" s="2" t="s">
        <v>87</v>
      </c>
      <c r="F2144" s="11" t="s">
        <v>567</v>
      </c>
      <c r="G2144" s="11" t="s">
        <v>568</v>
      </c>
      <c r="H2144" s="2" t="s">
        <v>3287</v>
      </c>
      <c r="I2144" s="12" t="s">
        <v>1288</v>
      </c>
      <c r="J2144" s="22">
        <f>+Tabla1[[#This Row],[FECHA ENTRADA]]</f>
        <v>45764</v>
      </c>
      <c r="K2144" s="22">
        <v>45821</v>
      </c>
      <c r="L2144" s="13">
        <f>_xlfn.DAYS(Tabla1[[#This Row],[FECHA FIN ]],Tabla1[[#This Row],[FECHA INICIO]])</f>
        <v>57</v>
      </c>
      <c r="M2144" s="12"/>
      <c r="N2144" s="20">
        <f>1302.5/3</f>
        <v>434.16666666666669</v>
      </c>
      <c r="O2144" s="12">
        <f>(Tabla1[[#This Row],[COSTO FIJO ]]/30)*Tabla1[[#This Row],[TOTAL DIAS PROYECTO]]+(Tabla1[[#This Row],[COSTO TEMPORAL]])</f>
        <v>824.91666666666674</v>
      </c>
      <c r="P2144" s="12"/>
      <c r="Q2144" s="12">
        <f>+(Tabla1[[#This Row],[COSTO COCHE]]/30)*Tabla1[[#This Row],[TOTAL DIAS PROYECTO]]</f>
        <v>0</v>
      </c>
      <c r="R2144" s="12">
        <f>+Tabla1[[#This Row],[COSTO TOTAL ALOJAMIENTO]]+Tabla1[[#This Row],[COSTO TOTAL COCHE]]</f>
        <v>824.91666666666674</v>
      </c>
      <c r="S2144" s="2"/>
      <c r="T2144" s="2" t="s">
        <v>35</v>
      </c>
      <c r="U2144" s="14">
        <v>45764</v>
      </c>
      <c r="V2144" s="14"/>
      <c r="W2144" s="15"/>
      <c r="X2144" s="16">
        <v>9</v>
      </c>
      <c r="Y2144" s="11"/>
      <c r="Z2144" s="2" t="s">
        <v>36</v>
      </c>
      <c r="AA2144" s="13" t="s">
        <v>10335</v>
      </c>
      <c r="AB2144" s="13">
        <v>404.16500000000002</v>
      </c>
    </row>
    <row r="2145" spans="1:28">
      <c r="A2145" s="2" t="s">
        <v>9446</v>
      </c>
      <c r="B2145" s="2" t="s">
        <v>28</v>
      </c>
      <c r="C2145" s="104" t="s">
        <v>3212</v>
      </c>
      <c r="D2145" s="2" t="s">
        <v>30</v>
      </c>
      <c r="E2145" s="2" t="s">
        <v>3213</v>
      </c>
      <c r="F2145" s="11" t="s">
        <v>3653</v>
      </c>
      <c r="G2145" s="21" t="s">
        <v>3654</v>
      </c>
      <c r="H2145" s="2" t="s">
        <v>3215</v>
      </c>
      <c r="I2145" s="57" t="s">
        <v>3216</v>
      </c>
      <c r="J2145" s="41">
        <f>+Tabla1[[#This Row],[FECHA ENTRADA]]</f>
        <v>45728</v>
      </c>
      <c r="K2145" s="22">
        <v>45821</v>
      </c>
      <c r="L2145" s="42">
        <f>_xlfn.DAYS(Tabla1[[#This Row],[FECHA FIN ]],Tabla1[[#This Row],[FECHA INICIO]])</f>
        <v>93</v>
      </c>
      <c r="M2145" s="12"/>
      <c r="N2145" s="12"/>
      <c r="O2145" s="28">
        <f>(Tabla1[[#This Row],[COSTO FIJO ]]/30)*Tabla1[[#This Row],[TOTAL DIAS PROYECTO]]+(Tabla1[[#This Row],[COSTO TEMPORAL]])</f>
        <v>0</v>
      </c>
      <c r="P2145" s="12"/>
      <c r="Q2145" s="12">
        <f>+(Tabla1[[#This Row],[COSTO COCHE]]/30)*Tabla1[[#This Row],[TOTAL DIAS PROYECTO]]</f>
        <v>0</v>
      </c>
      <c r="R2145" s="12">
        <f>+Tabla1[[#This Row],[COSTO TOTAL ALOJAMIENTO]]+Tabla1[[#This Row],[COSTO TOTAL COCHE]]</f>
        <v>0</v>
      </c>
      <c r="S2145" s="2"/>
      <c r="T2145" s="2" t="s">
        <v>35</v>
      </c>
      <c r="U2145" s="14">
        <v>45728</v>
      </c>
      <c r="V2145" s="79"/>
      <c r="W2145" s="26">
        <v>285</v>
      </c>
      <c r="X2145" s="2">
        <v>9</v>
      </c>
      <c r="Y2145" t="s">
        <v>3655</v>
      </c>
      <c r="Z2145" s="2" t="s">
        <v>36</v>
      </c>
      <c r="AA2145" s="13" t="s">
        <v>10440</v>
      </c>
      <c r="AB2145" s="13" t="s">
        <v>10441</v>
      </c>
    </row>
    <row r="2146" spans="1:28" ht="15" customHeight="1">
      <c r="A2146" s="2" t="s">
        <v>9349</v>
      </c>
      <c r="B2146" s="2" t="s">
        <v>368</v>
      </c>
      <c r="C2146" s="104" t="s">
        <v>2900</v>
      </c>
      <c r="D2146" s="2" t="s">
        <v>30</v>
      </c>
      <c r="E2146" s="2" t="s">
        <v>87</v>
      </c>
      <c r="F2146" s="11" t="s">
        <v>567</v>
      </c>
      <c r="G2146" t="s">
        <v>947</v>
      </c>
      <c r="H2146" s="2" t="s">
        <v>1866</v>
      </c>
      <c r="I2146" s="12" t="s">
        <v>1392</v>
      </c>
      <c r="J2146" s="41">
        <f>+Tabla1[[#This Row],[FECHA ENTRADA]]</f>
        <v>45683</v>
      </c>
      <c r="K2146" s="22">
        <v>45851</v>
      </c>
      <c r="L2146" s="42">
        <f>_xlfn.DAYS(Tabla1[[#This Row],[FECHA FIN ]],Tabla1[[#This Row],[FECHA INICIO]])</f>
        <v>168</v>
      </c>
      <c r="M2146" s="12"/>
      <c r="N2146" s="12">
        <f>1811.6/17</f>
        <v>106.56470588235294</v>
      </c>
      <c r="O2146" s="28">
        <f>(Tabla1[[#This Row],[COSTO FIJO ]]/30)*Tabla1[[#This Row],[TOTAL DIAS PROYECTO]]+(Tabla1[[#This Row],[COSTO TEMPORAL]])</f>
        <v>596.76235294117646</v>
      </c>
      <c r="P2146" s="12">
        <f>1413.83/9</f>
        <v>157.0922222222222</v>
      </c>
      <c r="Q2146" s="12">
        <f>+(Tabla1[[#This Row],[COSTO COCHE]]/30)*Tabla1[[#This Row],[TOTAL DIAS PROYECTO]]</f>
        <v>879.71644444444439</v>
      </c>
      <c r="R2146" s="12">
        <f>+Tabla1[[#This Row],[COSTO TOTAL ALOJAMIENTO]]+Tabla1[[#This Row],[COSTO TOTAL COCHE]]</f>
        <v>1476.478797385621</v>
      </c>
      <c r="S2146" s="2"/>
      <c r="T2146" s="2" t="s">
        <v>35</v>
      </c>
      <c r="U2146" s="14">
        <v>45683</v>
      </c>
      <c r="V2146" s="79"/>
      <c r="W2146" s="26"/>
      <c r="X2146" s="2">
        <v>9</v>
      </c>
      <c r="Y2146" s="11"/>
      <c r="Z2146" s="2" t="s">
        <v>36</v>
      </c>
      <c r="AA2146" s="13" t="s">
        <v>10335</v>
      </c>
      <c r="AB2146" s="13">
        <v>404.16500000000002</v>
      </c>
    </row>
    <row r="2147" spans="1:28">
      <c r="A2147" s="2" t="s">
        <v>9202</v>
      </c>
      <c r="B2147" s="2" t="s">
        <v>28</v>
      </c>
      <c r="C2147" s="223" t="s">
        <v>2419</v>
      </c>
      <c r="D2147" s="2" t="s">
        <v>30</v>
      </c>
      <c r="E2147" s="2" t="s">
        <v>151</v>
      </c>
      <c r="F2147" s="11" t="s">
        <v>3656</v>
      </c>
      <c r="G2147" s="11" t="s">
        <v>3657</v>
      </c>
      <c r="H2147" s="2" t="s">
        <v>3658</v>
      </c>
      <c r="I2147" s="12" t="s">
        <v>152</v>
      </c>
      <c r="J2147" s="8">
        <f>+Tabla1[[#This Row],[FECHA ENTRADA]]</f>
        <v>45480</v>
      </c>
      <c r="K2147" s="22">
        <v>45821</v>
      </c>
      <c r="L2147" s="13">
        <f>_xlfn.DAYS(Tabla1[[#This Row],[FECHA FIN ]],Tabla1[[#This Row],[FECHA INICIO]])</f>
        <v>341</v>
      </c>
      <c r="M2147" s="12"/>
      <c r="N2147" s="12">
        <f>1811.6/17</f>
        <v>106.56470588235294</v>
      </c>
      <c r="O2147" s="12">
        <f>(Tabla1[[#This Row],[COSTO FIJO ]]/30)*Tabla1[[#This Row],[TOTAL DIAS PROYECTO]]+(Tabla1[[#This Row],[COSTO TEMPORAL]])</f>
        <v>1211.2854901960784</v>
      </c>
      <c r="P2147" s="12"/>
      <c r="Q2147" s="12">
        <f>+(Tabla1[[#This Row],[COSTO COCHE]]/30)*Tabla1[[#This Row],[TOTAL DIAS PROYECTO]]</f>
        <v>0</v>
      </c>
      <c r="R2147" s="12">
        <f>+Tabla1[[#This Row],[COSTO TOTAL ALOJAMIENTO]]+Tabla1[[#This Row],[COSTO TOTAL COCHE]]</f>
        <v>1211.2854901960784</v>
      </c>
      <c r="S2147" s="2"/>
      <c r="T2147" s="2" t="s">
        <v>35</v>
      </c>
      <c r="U2147" s="14">
        <v>45480</v>
      </c>
      <c r="V2147" s="14"/>
      <c r="W2147" s="26"/>
      <c r="X2147" s="2">
        <v>9</v>
      </c>
      <c r="Y2147" s="11" t="s">
        <v>3659</v>
      </c>
      <c r="Z2147" s="2" t="s">
        <v>36</v>
      </c>
      <c r="AA2147" s="13" t="s">
        <v>10345</v>
      </c>
      <c r="AB2147" s="13" t="s">
        <v>10346</v>
      </c>
    </row>
    <row r="2148" spans="1:28" ht="15" customHeight="1">
      <c r="A2148" s="2" t="s">
        <v>9202</v>
      </c>
      <c r="B2148" s="2" t="s">
        <v>28</v>
      </c>
      <c r="C2148" s="86" t="s">
        <v>2419</v>
      </c>
      <c r="D2148" s="2" t="s">
        <v>30</v>
      </c>
      <c r="E2148" s="2" t="s">
        <v>151</v>
      </c>
      <c r="F2148" s="11" t="s">
        <v>3656</v>
      </c>
      <c r="G2148" s="11" t="s">
        <v>3657</v>
      </c>
      <c r="H2148" s="2" t="s">
        <v>1260</v>
      </c>
      <c r="I2148" s="12" t="s">
        <v>152</v>
      </c>
      <c r="J2148" s="8">
        <f>+Tabla1[[#This Row],[FECHA ENTRADA]]</f>
        <v>45480</v>
      </c>
      <c r="K2148" s="22">
        <v>45821</v>
      </c>
      <c r="L2148" s="13">
        <f>_xlfn.DAYS(Tabla1[[#This Row],[FECHA FIN ]],Tabla1[[#This Row],[FECHA INICIO]])</f>
        <v>341</v>
      </c>
      <c r="M2148" s="12"/>
      <c r="N2148" s="12">
        <f>1811.6/17</f>
        <v>106.56470588235294</v>
      </c>
      <c r="O2148" s="12">
        <f>(Tabla1[[#This Row],[COSTO FIJO ]]/30)*Tabla1[[#This Row],[TOTAL DIAS PROYECTO]]+(Tabla1[[#This Row],[COSTO TEMPORAL]])</f>
        <v>1211.2854901960784</v>
      </c>
      <c r="P2148" s="12"/>
      <c r="Q2148" s="12">
        <f>+(Tabla1[[#This Row],[COSTO COCHE]]/30)*Tabla1[[#This Row],[TOTAL DIAS PROYECTO]]</f>
        <v>0</v>
      </c>
      <c r="R2148" s="12">
        <f>+Tabla1[[#This Row],[COSTO TOTAL ALOJAMIENTO]]+Tabla1[[#This Row],[COSTO TOTAL COCHE]]</f>
        <v>1211.2854901960784</v>
      </c>
      <c r="S2148" s="2"/>
      <c r="T2148" s="2" t="s">
        <v>35</v>
      </c>
      <c r="U2148" s="14">
        <v>45480</v>
      </c>
      <c r="V2148" s="14"/>
      <c r="W2148" s="26"/>
      <c r="X2148" s="2">
        <v>9</v>
      </c>
      <c r="Y2148" s="11" t="s">
        <v>1120</v>
      </c>
      <c r="Z2148" s="2" t="s">
        <v>36</v>
      </c>
      <c r="AA2148" s="13" t="s">
        <v>10345</v>
      </c>
      <c r="AB2148" s="13" t="s">
        <v>10346</v>
      </c>
    </row>
    <row r="2149" spans="1:28" ht="15" customHeight="1">
      <c r="A2149" s="2" t="s">
        <v>8839</v>
      </c>
      <c r="B2149" s="2" t="s">
        <v>368</v>
      </c>
      <c r="C2149" s="31" t="s">
        <v>968</v>
      </c>
      <c r="D2149" s="2" t="s">
        <v>30</v>
      </c>
      <c r="E2149" s="2" t="s">
        <v>87</v>
      </c>
      <c r="F2149" s="11" t="s">
        <v>567</v>
      </c>
      <c r="G2149" t="s">
        <v>947</v>
      </c>
      <c r="H2149" s="2" t="s">
        <v>1866</v>
      </c>
      <c r="I2149" s="12" t="s">
        <v>1392</v>
      </c>
      <c r="J2149" s="41">
        <f>+Tabla1[[#This Row],[FECHA ENTRADA]]</f>
        <v>45683</v>
      </c>
      <c r="K2149" s="22">
        <v>45821</v>
      </c>
      <c r="L2149" s="42">
        <f>_xlfn.DAYS(Tabla1[[#This Row],[FECHA FIN ]],Tabla1[[#This Row],[FECHA INICIO]])</f>
        <v>138</v>
      </c>
      <c r="M2149" s="12"/>
      <c r="N2149" s="20">
        <f>1302.5/4</f>
        <v>325.625</v>
      </c>
      <c r="O2149" s="28">
        <f>(Tabla1[[#This Row],[COSTO FIJO ]]/30)*Tabla1[[#This Row],[TOTAL DIAS PROYECTO]]+(Tabla1[[#This Row],[COSTO TEMPORAL]])</f>
        <v>1497.875</v>
      </c>
      <c r="P2149" s="12">
        <f>613.83/5</f>
        <v>122.76600000000001</v>
      </c>
      <c r="Q2149" s="12">
        <f>+(Tabla1[[#This Row],[COSTO COCHE]]/30)*Tabla1[[#This Row],[TOTAL DIAS PROYECTO]]</f>
        <v>564.72360000000003</v>
      </c>
      <c r="R2149" s="12">
        <f>+Tabla1[[#This Row],[COSTO TOTAL ALOJAMIENTO]]+Tabla1[[#This Row],[COSTO TOTAL COCHE]]</f>
        <v>2062.5986000000003</v>
      </c>
      <c r="S2149" s="2"/>
      <c r="T2149" s="2" t="s">
        <v>35</v>
      </c>
      <c r="U2149" s="14">
        <v>45683</v>
      </c>
      <c r="V2149" s="79"/>
      <c r="W2149" s="26"/>
      <c r="X2149" s="2">
        <v>9</v>
      </c>
      <c r="Y2149" s="11"/>
      <c r="Z2149" s="2" t="s">
        <v>36</v>
      </c>
      <c r="AA2149" s="13" t="s">
        <v>10335</v>
      </c>
      <c r="AB2149" s="13">
        <v>404.16500000000002</v>
      </c>
    </row>
    <row r="2150" spans="1:28">
      <c r="A2150" s="2" t="s">
        <v>8642</v>
      </c>
      <c r="B2150" s="2" t="s">
        <v>368</v>
      </c>
      <c r="C2150" s="218" t="s">
        <v>3660</v>
      </c>
      <c r="D2150" s="2" t="s">
        <v>99</v>
      </c>
      <c r="E2150" s="2" t="s">
        <v>87</v>
      </c>
      <c r="F2150" s="11" t="s">
        <v>567</v>
      </c>
      <c r="G2150" s="11" t="s">
        <v>568</v>
      </c>
      <c r="H2150" s="2" t="s">
        <v>2187</v>
      </c>
      <c r="I2150" s="12" t="s">
        <v>1288</v>
      </c>
      <c r="J2150" s="41">
        <f>+Tabla1[[#This Row],[FECHA ENTRADA]]</f>
        <v>45775</v>
      </c>
      <c r="K2150" s="22">
        <v>45821</v>
      </c>
      <c r="L2150" s="13">
        <f>_xlfn.DAYS(Tabla1[[#This Row],[FECHA FIN ]],Tabla1[[#This Row],[FECHA INICIO]])</f>
        <v>46</v>
      </c>
      <c r="M2150" s="12"/>
      <c r="N2150" s="20">
        <f>1752.5/6</f>
        <v>292.08333333333331</v>
      </c>
      <c r="O2150" s="12">
        <f>(Tabla1[[#This Row],[COSTO FIJO ]]/30)*Tabla1[[#This Row],[TOTAL DIAS PROYECTO]]+(Tabla1[[#This Row],[COSTO TEMPORAL]])</f>
        <v>447.86111111111109</v>
      </c>
      <c r="P2150" s="12"/>
      <c r="Q2150" s="12">
        <f>+(Tabla1[[#This Row],[COSTO COCHE]]/30)*Tabla1[[#This Row],[TOTAL DIAS PROYECTO]]</f>
        <v>0</v>
      </c>
      <c r="R2150" s="12">
        <f>+Tabla1[[#This Row],[COSTO TOTAL ALOJAMIENTO]]+Tabla1[[#This Row],[COSTO TOTAL COCHE]]</f>
        <v>447.86111111111109</v>
      </c>
      <c r="S2150" s="2"/>
      <c r="T2150" s="2" t="s">
        <v>35</v>
      </c>
      <c r="U2150" s="14">
        <v>45775</v>
      </c>
      <c r="V2150" s="14"/>
      <c r="W2150" s="15"/>
      <c r="X2150" s="16">
        <v>9</v>
      </c>
      <c r="Y2150" s="11" t="s">
        <v>2188</v>
      </c>
      <c r="Z2150" s="2" t="s">
        <v>36</v>
      </c>
      <c r="AA2150" s="13" t="s">
        <v>10335</v>
      </c>
      <c r="AB2150" s="13">
        <v>404.16500000000002</v>
      </c>
    </row>
    <row r="2151" spans="1:28" ht="15" customHeight="1">
      <c r="A2151" s="2" t="s">
        <v>9097</v>
      </c>
      <c r="B2151" s="2" t="s">
        <v>368</v>
      </c>
      <c r="C2151" s="97" t="s">
        <v>2017</v>
      </c>
      <c r="D2151" s="2" t="s">
        <v>30</v>
      </c>
      <c r="E2151" s="2" t="s">
        <v>87</v>
      </c>
      <c r="F2151" s="11" t="s">
        <v>567</v>
      </c>
      <c r="G2151" t="s">
        <v>947</v>
      </c>
      <c r="H2151" s="2" t="s">
        <v>1866</v>
      </c>
      <c r="I2151" s="12" t="s">
        <v>1392</v>
      </c>
      <c r="J2151" s="41">
        <f>+Tabla1[[#This Row],[FECHA ENTRADA]]</f>
        <v>45683</v>
      </c>
      <c r="K2151" s="22">
        <v>45746</v>
      </c>
      <c r="L2151" s="42">
        <f>_xlfn.DAYS(Tabla1[[#This Row],[FECHA FIN ]],Tabla1[[#This Row],[FECHA INICIO]])</f>
        <v>63</v>
      </c>
      <c r="M2151" s="12"/>
      <c r="N2151" s="12"/>
      <c r="O2151" s="28">
        <f>(Tabla1[[#This Row],[COSTO FIJO ]]/30)*Tabla1[[#This Row],[TOTAL DIAS PROYECTO]]+(Tabla1[[#This Row],[COSTO TEMPORAL]])</f>
        <v>0</v>
      </c>
      <c r="P2151" s="12">
        <f>613.83/5</f>
        <v>122.76600000000001</v>
      </c>
      <c r="Q2151" s="12">
        <f>+(Tabla1[[#This Row],[COSTO COCHE]]/30)*Tabla1[[#This Row],[TOTAL DIAS PROYECTO]]</f>
        <v>257.80860000000001</v>
      </c>
      <c r="R2151" s="12">
        <f>+Tabla1[[#This Row],[COSTO TOTAL ALOJAMIENTO]]+Tabla1[[#This Row],[COSTO TOTAL COCHE]]</f>
        <v>257.80860000000001</v>
      </c>
      <c r="S2151" s="2"/>
      <c r="T2151" s="2" t="s">
        <v>35</v>
      </c>
      <c r="U2151" s="14">
        <v>45683</v>
      </c>
      <c r="V2151" s="79"/>
      <c r="W2151" s="26"/>
      <c r="X2151" s="2">
        <v>9</v>
      </c>
      <c r="Y2151" s="11"/>
      <c r="Z2151" s="2" t="s">
        <v>36</v>
      </c>
      <c r="AA2151" s="13" t="s">
        <v>10335</v>
      </c>
      <c r="AB2151" s="13">
        <v>404.16500000000002</v>
      </c>
    </row>
    <row r="2152" spans="1:28" ht="15" customHeight="1">
      <c r="A2152" s="2" t="s">
        <v>9205</v>
      </c>
      <c r="B2152" s="2" t="s">
        <v>28</v>
      </c>
      <c r="C2152" s="115" t="s">
        <v>2425</v>
      </c>
      <c r="D2152" s="2" t="s">
        <v>72</v>
      </c>
      <c r="E2152" s="2" t="s">
        <v>73</v>
      </c>
      <c r="F2152" s="11" t="s">
        <v>74</v>
      </c>
      <c r="G2152" s="11" t="s">
        <v>75</v>
      </c>
      <c r="H2152" s="2" t="s">
        <v>3661</v>
      </c>
      <c r="I2152" s="2" t="s">
        <v>3662</v>
      </c>
      <c r="J2152" s="8">
        <f>+Tabla1[[#This Row],[FECHA ENTRADA]]</f>
        <v>45361</v>
      </c>
      <c r="K2152" s="22">
        <v>45821</v>
      </c>
      <c r="L2152" s="13">
        <f>_xlfn.DAYS(Tabla1[[#This Row],[FECHA FIN ]],Tabla1[[#This Row],[FECHA INICIO]])</f>
        <v>460</v>
      </c>
      <c r="M2152" s="12"/>
      <c r="N2152" s="12"/>
      <c r="O2152" s="12">
        <f>(Tabla1[[#This Row],[COSTO FIJO ]]/30)*Tabla1[[#This Row],[TOTAL DIAS PROYECTO]]+(Tabla1[[#This Row],[COSTO TEMPORAL]])</f>
        <v>0</v>
      </c>
      <c r="P2152" s="12"/>
      <c r="Q2152" s="12">
        <f>+(Tabla1[[#This Row],[COSTO COCHE]]/30)*Tabla1[[#This Row],[TOTAL DIAS PROYECTO]]</f>
        <v>0</v>
      </c>
      <c r="R2152" s="12">
        <f>+Tabla1[[#This Row],[COSTO TOTAL ALOJAMIENTO]]+Tabla1[[#This Row],[COSTO TOTAL COCHE]]</f>
        <v>0</v>
      </c>
      <c r="S2152" s="2"/>
      <c r="T2152" s="2" t="s">
        <v>35</v>
      </c>
      <c r="U2152" s="14">
        <v>45361</v>
      </c>
      <c r="V2152" s="14"/>
      <c r="W2152" s="15"/>
      <c r="X2152" s="16">
        <v>9</v>
      </c>
      <c r="Y2152" s="18"/>
      <c r="Z2152" s="2" t="s">
        <v>36</v>
      </c>
      <c r="AA2152" s="13" t="s">
        <v>10331</v>
      </c>
      <c r="AB2152" s="13" t="s">
        <v>10332</v>
      </c>
    </row>
    <row r="2153" spans="1:28">
      <c r="A2153" s="2" t="s">
        <v>9460</v>
      </c>
      <c r="B2153" s="2" t="s">
        <v>368</v>
      </c>
      <c r="C2153" s="11" t="s">
        <v>3250</v>
      </c>
      <c r="D2153" s="2" t="s">
        <v>99</v>
      </c>
      <c r="E2153" s="2" t="s">
        <v>87</v>
      </c>
      <c r="F2153" s="11" t="s">
        <v>567</v>
      </c>
      <c r="G2153" s="11" t="s">
        <v>568</v>
      </c>
      <c r="H2153" s="2" t="s">
        <v>3290</v>
      </c>
      <c r="I2153" s="12" t="s">
        <v>1288</v>
      </c>
      <c r="J2153" s="22">
        <f>+Tabla1[[#This Row],[FECHA ENTRADA]]</f>
        <v>45764</v>
      </c>
      <c r="K2153" s="22">
        <v>45821</v>
      </c>
      <c r="L2153" s="13">
        <f>_xlfn.DAYS(Tabla1[[#This Row],[FECHA FIN ]],Tabla1[[#This Row],[FECHA INICIO]])</f>
        <v>57</v>
      </c>
      <c r="M2153" s="12"/>
      <c r="N2153" s="20">
        <f>1302.5/3</f>
        <v>434.16666666666669</v>
      </c>
      <c r="O2153" s="12">
        <f>(Tabla1[[#This Row],[COSTO FIJO ]]/30)*Tabla1[[#This Row],[TOTAL DIAS PROYECTO]]+(Tabla1[[#This Row],[COSTO TEMPORAL]])</f>
        <v>824.91666666666674</v>
      </c>
      <c r="P2153" s="12"/>
      <c r="Q2153" s="12">
        <f>+(Tabla1[[#This Row],[COSTO COCHE]]/30)*Tabla1[[#This Row],[TOTAL DIAS PROYECTO]]</f>
        <v>0</v>
      </c>
      <c r="R2153" s="12">
        <f>+Tabla1[[#This Row],[COSTO TOTAL ALOJAMIENTO]]+Tabla1[[#This Row],[COSTO TOTAL COCHE]]</f>
        <v>824.91666666666674</v>
      </c>
      <c r="S2153" s="2"/>
      <c r="T2153" s="2" t="s">
        <v>35</v>
      </c>
      <c r="U2153" s="14">
        <v>45764</v>
      </c>
      <c r="V2153" s="14"/>
      <c r="W2153" s="15"/>
      <c r="X2153" s="16">
        <v>9</v>
      </c>
      <c r="Y2153" s="11"/>
      <c r="Z2153" s="2" t="s">
        <v>36</v>
      </c>
      <c r="AA2153" s="13" t="s">
        <v>10335</v>
      </c>
      <c r="AB2153" s="13">
        <v>404.16500000000002</v>
      </c>
    </row>
    <row r="2154" spans="1:28" ht="15" customHeight="1">
      <c r="A2154" s="2" t="s">
        <v>9147</v>
      </c>
      <c r="B2154" s="2" t="s">
        <v>28</v>
      </c>
      <c r="C2154" s="11" t="s">
        <v>2212</v>
      </c>
      <c r="D2154" s="2" t="s">
        <v>30</v>
      </c>
      <c r="E2154" s="2" t="s">
        <v>253</v>
      </c>
      <c r="F2154" s="11" t="s">
        <v>1692</v>
      </c>
      <c r="G2154" s="21" t="s">
        <v>1693</v>
      </c>
      <c r="H2154" s="2" t="s">
        <v>3663</v>
      </c>
      <c r="I2154" s="12" t="s">
        <v>2342</v>
      </c>
      <c r="J2154" s="22">
        <f>+Tabla1[[#This Row],[FECHA ENTRADA]]</f>
        <v>45791</v>
      </c>
      <c r="K2154" s="22">
        <v>45821</v>
      </c>
      <c r="L2154" s="23">
        <f>_xlfn.DAYS(Tabla1[[#This Row],[FECHA FIN ]],Tabla1[[#This Row],[FECHA INICIO]])</f>
        <v>30</v>
      </c>
      <c r="M2154" s="12"/>
      <c r="N2154" s="12">
        <v>438.5</v>
      </c>
      <c r="O2154" s="24">
        <f>(Tabla1[[#This Row],[COSTO FIJO ]]/30)*Tabla1[[#This Row],[TOTAL DIAS PROYECTO]]+(Tabla1[[#This Row],[COSTO TEMPORAL]])</f>
        <v>438.5</v>
      </c>
      <c r="P2154" s="12"/>
      <c r="Q2154" s="12">
        <f>+(Tabla1[[#This Row],[COSTO COCHE]]/30)*Tabla1[[#This Row],[TOTAL DIAS PROYECTO]]</f>
        <v>0</v>
      </c>
      <c r="R2154" s="12">
        <f>+Tabla1[[#This Row],[COSTO TOTAL ALOJAMIENTO]]+Tabla1[[#This Row],[COSTO TOTAL COCHE]]</f>
        <v>438.5</v>
      </c>
      <c r="S2154" s="2"/>
      <c r="T2154" s="2" t="s">
        <v>35</v>
      </c>
      <c r="U2154" s="14">
        <v>45791</v>
      </c>
      <c r="V2154" s="25"/>
      <c r="W2154" s="26"/>
      <c r="X2154" s="2">
        <v>10</v>
      </c>
      <c r="Y2154" s="11" t="s">
        <v>3664</v>
      </c>
      <c r="Z2154" s="2" t="s">
        <v>36</v>
      </c>
      <c r="AA2154" s="13" t="s">
        <v>10357</v>
      </c>
      <c r="AB2154" s="13" t="s">
        <v>10358</v>
      </c>
    </row>
    <row r="2155" spans="1:28">
      <c r="A2155" s="2" t="s">
        <v>9153</v>
      </c>
      <c r="B2155" s="2" t="s">
        <v>28</v>
      </c>
      <c r="C2155" s="11" t="s">
        <v>2245</v>
      </c>
      <c r="D2155" s="2" t="s">
        <v>99</v>
      </c>
      <c r="E2155" s="2" t="s">
        <v>253</v>
      </c>
      <c r="F2155" s="11" t="s">
        <v>1692</v>
      </c>
      <c r="G2155" s="11" t="s">
        <v>1693</v>
      </c>
      <c r="H2155" s="2" t="s">
        <v>3663</v>
      </c>
      <c r="I2155" s="12" t="s">
        <v>2342</v>
      </c>
      <c r="J2155" s="22">
        <f>+Tabla1[[#This Row],[FECHA ENTRADA]]</f>
        <v>45791</v>
      </c>
      <c r="K2155" s="22">
        <v>45821</v>
      </c>
      <c r="L2155" s="23">
        <f>_xlfn.DAYS(Tabla1[[#This Row],[FECHA FIN ]],Tabla1[[#This Row],[FECHA INICIO]])</f>
        <v>30</v>
      </c>
      <c r="M2155" s="12"/>
      <c r="N2155" s="12">
        <v>438.5</v>
      </c>
      <c r="O2155" s="24">
        <f>(Tabla1[[#This Row],[COSTO FIJO ]]/30)*Tabla1[[#This Row],[TOTAL DIAS PROYECTO]]+(Tabla1[[#This Row],[COSTO TEMPORAL]])</f>
        <v>438.5</v>
      </c>
      <c r="P2155" s="12"/>
      <c r="Q2155" s="12">
        <f>+(Tabla1[[#This Row],[COSTO COCHE]]/30)*Tabla1[[#This Row],[TOTAL DIAS PROYECTO]]</f>
        <v>0</v>
      </c>
      <c r="R2155" s="12">
        <f>+Tabla1[[#This Row],[COSTO TOTAL ALOJAMIENTO]]+Tabla1[[#This Row],[COSTO TOTAL COCHE]]</f>
        <v>438.5</v>
      </c>
      <c r="S2155" s="2"/>
      <c r="T2155" s="2" t="s">
        <v>35</v>
      </c>
      <c r="U2155" s="14">
        <v>45791</v>
      </c>
      <c r="V2155" s="25"/>
      <c r="W2155" s="26"/>
      <c r="X2155" s="2">
        <v>10</v>
      </c>
      <c r="Y2155" s="11" t="s">
        <v>3664</v>
      </c>
      <c r="Z2155" s="2" t="s">
        <v>36</v>
      </c>
      <c r="AA2155" s="13" t="s">
        <v>10357</v>
      </c>
      <c r="AB2155" s="13" t="s">
        <v>10358</v>
      </c>
    </row>
    <row r="2156" spans="1:28">
      <c r="A2156" s="2" t="s">
        <v>9447</v>
      </c>
      <c r="B2156" s="2" t="s">
        <v>28</v>
      </c>
      <c r="C2156" s="11" t="s">
        <v>3218</v>
      </c>
      <c r="D2156" s="2" t="s">
        <v>30</v>
      </c>
      <c r="E2156" s="2" t="s">
        <v>253</v>
      </c>
      <c r="F2156" s="11" t="s">
        <v>1692</v>
      </c>
      <c r="G2156" s="21" t="s">
        <v>1693</v>
      </c>
      <c r="H2156" s="2" t="s">
        <v>3663</v>
      </c>
      <c r="I2156" s="12" t="s">
        <v>2342</v>
      </c>
      <c r="J2156" s="22">
        <f>+Tabla1[[#This Row],[FECHA ENTRADA]]</f>
        <v>45791</v>
      </c>
      <c r="K2156" s="22">
        <v>45821</v>
      </c>
      <c r="L2156" s="23">
        <f>_xlfn.DAYS(Tabla1[[#This Row],[FECHA FIN ]],Tabla1[[#This Row],[FECHA INICIO]])</f>
        <v>30</v>
      </c>
      <c r="M2156" s="12"/>
      <c r="N2156" s="12">
        <v>438.5</v>
      </c>
      <c r="O2156" s="24">
        <f>(Tabla1[[#This Row],[COSTO FIJO ]]/30)*Tabla1[[#This Row],[TOTAL DIAS PROYECTO]]+(Tabla1[[#This Row],[COSTO TEMPORAL]])</f>
        <v>438.5</v>
      </c>
      <c r="P2156" s="12"/>
      <c r="Q2156" s="12">
        <f>+(Tabla1[[#This Row],[COSTO COCHE]]/30)*Tabla1[[#This Row],[TOTAL DIAS PROYECTO]]</f>
        <v>0</v>
      </c>
      <c r="R2156" s="12">
        <f>+Tabla1[[#This Row],[COSTO TOTAL ALOJAMIENTO]]+Tabla1[[#This Row],[COSTO TOTAL COCHE]]</f>
        <v>438.5</v>
      </c>
      <c r="S2156" s="2"/>
      <c r="T2156" s="2" t="s">
        <v>35</v>
      </c>
      <c r="U2156" s="14">
        <v>45791</v>
      </c>
      <c r="V2156" s="25"/>
      <c r="W2156" s="26"/>
      <c r="X2156" s="2">
        <v>10</v>
      </c>
      <c r="Y2156" s="11"/>
      <c r="Z2156" s="2" t="s">
        <v>36</v>
      </c>
      <c r="AA2156" s="13" t="s">
        <v>10357</v>
      </c>
      <c r="AB2156" s="13" t="s">
        <v>10358</v>
      </c>
    </row>
    <row r="2157" spans="1:28" ht="15" customHeight="1">
      <c r="A2157" s="2" t="s">
        <v>9563</v>
      </c>
      <c r="B2157" s="2" t="s">
        <v>28</v>
      </c>
      <c r="C2157" s="11" t="s">
        <v>3665</v>
      </c>
      <c r="D2157" s="2" t="s">
        <v>30</v>
      </c>
      <c r="E2157" s="2" t="s">
        <v>114</v>
      </c>
      <c r="F2157" s="11" t="s">
        <v>3666</v>
      </c>
      <c r="G2157" s="11" t="s">
        <v>174</v>
      </c>
      <c r="H2157" s="2" t="s">
        <v>117</v>
      </c>
      <c r="I2157" s="12" t="s">
        <v>118</v>
      </c>
      <c r="J2157" s="8">
        <f>+Tabla1[[#This Row],[FECHA ENTRADA]]</f>
        <v>45368</v>
      </c>
      <c r="K2157" s="22">
        <v>45821</v>
      </c>
      <c r="L2157" s="13">
        <f>_xlfn.DAYS(Tabla1[[#This Row],[FECHA FIN ]],Tabla1[[#This Row],[FECHA INICIO]])</f>
        <v>453</v>
      </c>
      <c r="M2157" s="12"/>
      <c r="N2157" s="12"/>
      <c r="O2157" s="12">
        <f>(Tabla1[[#This Row],[COSTO FIJO ]]/30)*Tabla1[[#This Row],[TOTAL DIAS PROYECTO]]+(Tabla1[[#This Row],[COSTO TEMPORAL]])</f>
        <v>0</v>
      </c>
      <c r="P2157" s="12"/>
      <c r="Q2157" s="12">
        <f>+(Tabla1[[#This Row],[COSTO COCHE]]/30)*Tabla1[[#This Row],[TOTAL DIAS PROYECTO]]</f>
        <v>0</v>
      </c>
      <c r="R2157" s="12">
        <f>+Tabla1[[#This Row],[COSTO TOTAL ALOJAMIENTO]]+Tabla1[[#This Row],[COSTO TOTAL COCHE]]</f>
        <v>0</v>
      </c>
      <c r="S2157" s="2"/>
      <c r="T2157" s="2" t="s">
        <v>35</v>
      </c>
      <c r="U2157" s="14">
        <v>45368</v>
      </c>
      <c r="V2157" s="14"/>
      <c r="W2157" s="15">
        <v>800</v>
      </c>
      <c r="X2157" s="16">
        <v>10</v>
      </c>
      <c r="Y2157" s="18"/>
      <c r="Z2157" s="2" t="s">
        <v>36</v>
      </c>
      <c r="AA2157" s="13" t="s">
        <v>10340</v>
      </c>
      <c r="AB2157" s="13" t="s">
        <v>10341</v>
      </c>
    </row>
    <row r="2158" spans="1:28" ht="15" customHeight="1">
      <c r="A2158" s="2" t="s">
        <v>9564</v>
      </c>
      <c r="B2158" s="2" t="s">
        <v>28</v>
      </c>
      <c r="C2158" s="11" t="s">
        <v>3667</v>
      </c>
      <c r="D2158" s="2" t="s">
        <v>30</v>
      </c>
      <c r="E2158" s="2" t="s">
        <v>114</v>
      </c>
      <c r="F2158" s="11" t="s">
        <v>3666</v>
      </c>
      <c r="G2158" s="11" t="s">
        <v>174</v>
      </c>
      <c r="H2158" s="2" t="s">
        <v>117</v>
      </c>
      <c r="I2158" s="12" t="s">
        <v>118</v>
      </c>
      <c r="J2158" s="8">
        <f>+Tabla1[[#This Row],[FECHA ENTRADA]]</f>
        <v>45368</v>
      </c>
      <c r="K2158" s="22">
        <v>45821</v>
      </c>
      <c r="L2158" s="13">
        <f>_xlfn.DAYS(Tabla1[[#This Row],[FECHA FIN ]],Tabla1[[#This Row],[FECHA INICIO]])</f>
        <v>453</v>
      </c>
      <c r="M2158" s="12"/>
      <c r="N2158" s="12"/>
      <c r="O2158" s="12">
        <f>(Tabla1[[#This Row],[COSTO FIJO ]]/30)*Tabla1[[#This Row],[TOTAL DIAS PROYECTO]]+(Tabla1[[#This Row],[COSTO TEMPORAL]])</f>
        <v>0</v>
      </c>
      <c r="P2158" s="12"/>
      <c r="Q2158" s="12">
        <f>+(Tabla1[[#This Row],[COSTO COCHE]]/30)*Tabla1[[#This Row],[TOTAL DIAS PROYECTO]]</f>
        <v>0</v>
      </c>
      <c r="R2158" s="12">
        <f>+Tabla1[[#This Row],[COSTO TOTAL ALOJAMIENTO]]+Tabla1[[#This Row],[COSTO TOTAL COCHE]]</f>
        <v>0</v>
      </c>
      <c r="S2158" s="2"/>
      <c r="T2158" s="2" t="s">
        <v>35</v>
      </c>
      <c r="U2158" s="14">
        <v>45368</v>
      </c>
      <c r="V2158" s="14"/>
      <c r="W2158" s="15"/>
      <c r="X2158" s="16">
        <v>10</v>
      </c>
      <c r="Y2158" s="18"/>
      <c r="Z2158" s="2" t="s">
        <v>36</v>
      </c>
      <c r="AA2158" s="13" t="s">
        <v>10340</v>
      </c>
      <c r="AB2158" s="13" t="s">
        <v>10341</v>
      </c>
    </row>
    <row r="2159" spans="1:28" ht="15" customHeight="1">
      <c r="A2159" s="2" t="s">
        <v>9321</v>
      </c>
      <c r="B2159" s="2" t="s">
        <v>368</v>
      </c>
      <c r="C2159" s="11" t="s">
        <v>2816</v>
      </c>
      <c r="D2159" s="2" t="s">
        <v>30</v>
      </c>
      <c r="E2159" s="2" t="s">
        <v>877</v>
      </c>
      <c r="F2159" s="11" t="s">
        <v>2248</v>
      </c>
      <c r="G2159" s="49" t="s">
        <v>2249</v>
      </c>
      <c r="H2159" s="2" t="s">
        <v>3161</v>
      </c>
      <c r="I2159" s="91" t="s">
        <v>3162</v>
      </c>
      <c r="J2159" s="22">
        <f>+Tabla1[[#This Row],[FECHA ENTRADA]]</f>
        <v>45701</v>
      </c>
      <c r="K2159" s="22">
        <v>45821</v>
      </c>
      <c r="L2159" s="23">
        <f>_xlfn.DAYS(Tabla1[[#This Row],[FECHA FIN ]],Tabla1[[#This Row],[FECHA INICIO]])</f>
        <v>120</v>
      </c>
      <c r="M2159" s="12"/>
      <c r="N2159" s="12"/>
      <c r="O2159" s="24">
        <f>(Tabla1[[#This Row],[COSTO FIJO ]]/30)*Tabla1[[#This Row],[TOTAL DIAS PROYECTO]]+(Tabla1[[#This Row],[COSTO TEMPORAL]])</f>
        <v>0</v>
      </c>
      <c r="P2159" s="12"/>
      <c r="Q2159" s="12">
        <f>+(Tabla1[[#This Row],[COSTO COCHE]]/30)*Tabla1[[#This Row],[TOTAL DIAS PROYECTO]]</f>
        <v>0</v>
      </c>
      <c r="R2159" s="12">
        <f>+Tabla1[[#This Row],[COSTO TOTAL ALOJAMIENTO]]+Tabla1[[#This Row],[COSTO TOTAL COCHE]]</f>
        <v>0</v>
      </c>
      <c r="S2159" s="2"/>
      <c r="T2159" s="2" t="s">
        <v>35</v>
      </c>
      <c r="U2159" s="14">
        <v>45701</v>
      </c>
      <c r="V2159" s="25"/>
      <c r="W2159" s="26"/>
      <c r="X2159" s="2">
        <v>10</v>
      </c>
      <c r="Y2159" s="11"/>
      <c r="Z2159" s="2" t="s">
        <v>36</v>
      </c>
      <c r="AA2159" s="13" t="s">
        <v>10403</v>
      </c>
      <c r="AB2159" s="13" t="s">
        <v>10404</v>
      </c>
    </row>
    <row r="2160" spans="1:28" ht="15" customHeight="1">
      <c r="A2160" s="2" t="s">
        <v>9565</v>
      </c>
      <c r="B2160" s="2" t="s">
        <v>28</v>
      </c>
      <c r="C2160" s="104" t="s">
        <v>3668</v>
      </c>
      <c r="D2160" s="2" t="s">
        <v>30</v>
      </c>
      <c r="E2160" s="2" t="s">
        <v>114</v>
      </c>
      <c r="F2160" s="11" t="s">
        <v>3666</v>
      </c>
      <c r="G2160" s="11" t="s">
        <v>174</v>
      </c>
      <c r="H2160" s="2" t="s">
        <v>117</v>
      </c>
      <c r="I2160" s="12" t="s">
        <v>118</v>
      </c>
      <c r="J2160" s="8">
        <f>+Tabla1[[#This Row],[FECHA ENTRADA]]</f>
        <v>45368</v>
      </c>
      <c r="K2160" s="22">
        <v>45821</v>
      </c>
      <c r="L2160" s="13">
        <f>_xlfn.DAYS(Tabla1[[#This Row],[FECHA FIN ]],Tabla1[[#This Row],[FECHA INICIO]])</f>
        <v>453</v>
      </c>
      <c r="M2160" s="12"/>
      <c r="N2160" s="12">
        <f>1811.6/17</f>
        <v>106.56470588235294</v>
      </c>
      <c r="O2160" s="12">
        <f>(Tabla1[[#This Row],[COSTO FIJO ]]/30)*Tabla1[[#This Row],[TOTAL DIAS PROYECTO]]+(Tabla1[[#This Row],[COSTO TEMPORAL]])</f>
        <v>1609.1270588235295</v>
      </c>
      <c r="P2160" s="12"/>
      <c r="Q2160" s="12">
        <f>+(Tabla1[[#This Row],[COSTO COCHE]]/30)*Tabla1[[#This Row],[TOTAL DIAS PROYECTO]]</f>
        <v>0</v>
      </c>
      <c r="R2160" s="12">
        <f>+Tabla1[[#This Row],[COSTO TOTAL ALOJAMIENTO]]+Tabla1[[#This Row],[COSTO TOTAL COCHE]]</f>
        <v>1609.1270588235295</v>
      </c>
      <c r="S2160" s="2"/>
      <c r="T2160" s="2" t="s">
        <v>35</v>
      </c>
      <c r="U2160" s="14">
        <v>45368</v>
      </c>
      <c r="V2160" s="14"/>
      <c r="W2160" s="15"/>
      <c r="X2160" s="16">
        <v>10</v>
      </c>
      <c r="Y2160" s="18"/>
      <c r="Z2160" s="2" t="s">
        <v>36</v>
      </c>
      <c r="AA2160" s="13" t="s">
        <v>10340</v>
      </c>
      <c r="AB2160" s="13" t="s">
        <v>10341</v>
      </c>
    </row>
    <row r="2161" spans="1:28">
      <c r="A2161" s="2" t="s">
        <v>9227</v>
      </c>
      <c r="B2161" s="2" t="s">
        <v>28</v>
      </c>
      <c r="C2161" s="11" t="s">
        <v>2509</v>
      </c>
      <c r="D2161" s="2" t="s">
        <v>30</v>
      </c>
      <c r="E2161" s="2" t="s">
        <v>213</v>
      </c>
      <c r="F2161" s="11" t="s">
        <v>871</v>
      </c>
      <c r="G2161" s="11" t="s">
        <v>872</v>
      </c>
      <c r="H2161" s="2" t="s">
        <v>3669</v>
      </c>
      <c r="I2161" s="2" t="s">
        <v>3670</v>
      </c>
      <c r="J2161" s="8">
        <f>+Tabla1[[#This Row],[FECHA ENTRADA]]</f>
        <v>45334</v>
      </c>
      <c r="K2161" s="22">
        <v>45821</v>
      </c>
      <c r="L2161" s="13">
        <f>_xlfn.DAYS(Tabla1[[#This Row],[FECHA FIN ]],Tabla1[[#This Row],[FECHA INICIO]])</f>
        <v>487</v>
      </c>
      <c r="M2161" s="12"/>
      <c r="N2161" s="12">
        <f>1811.6/17</f>
        <v>106.56470588235294</v>
      </c>
      <c r="O2161" s="12">
        <f>(Tabla1[[#This Row],[COSTO FIJO ]]/30)*Tabla1[[#This Row],[TOTAL DIAS PROYECTO]]+(Tabla1[[#This Row],[COSTO TEMPORAL]])</f>
        <v>1729.9003921568628</v>
      </c>
      <c r="P2161" s="12"/>
      <c r="Q2161" s="12">
        <f>+(Tabla1[[#This Row],[COSTO COCHE]]/30)*Tabla1[[#This Row],[TOTAL DIAS PROYECTO]]</f>
        <v>0</v>
      </c>
      <c r="R2161" s="12">
        <f>+Tabla1[[#This Row],[COSTO TOTAL ALOJAMIENTO]]+Tabla1[[#This Row],[COSTO TOTAL COCHE]]</f>
        <v>1729.9003921568628</v>
      </c>
      <c r="S2161" s="2"/>
      <c r="T2161" s="2" t="s">
        <v>35</v>
      </c>
      <c r="U2161" s="14">
        <v>45334</v>
      </c>
      <c r="V2161" s="14"/>
      <c r="W2161" s="15"/>
      <c r="X2161" s="16">
        <v>10</v>
      </c>
      <c r="Y2161" s="18"/>
      <c r="Z2161" s="2" t="s">
        <v>36</v>
      </c>
      <c r="AA2161" s="13" t="s">
        <v>10349</v>
      </c>
      <c r="AB2161" s="13" t="s">
        <v>10350</v>
      </c>
    </row>
    <row r="2162" spans="1:28" ht="15" customHeight="1">
      <c r="A2162" s="2" t="s">
        <v>8973</v>
      </c>
      <c r="B2162" s="2" t="s">
        <v>368</v>
      </c>
      <c r="C2162" s="11" t="s">
        <v>1560</v>
      </c>
      <c r="D2162" s="2" t="s">
        <v>30</v>
      </c>
      <c r="E2162" s="2" t="s">
        <v>109</v>
      </c>
      <c r="F2162" s="11" t="s">
        <v>898</v>
      </c>
      <c r="G2162" s="21" t="s">
        <v>899</v>
      </c>
      <c r="H2162" s="2" t="s">
        <v>1561</v>
      </c>
      <c r="I2162" s="12" t="s">
        <v>1562</v>
      </c>
      <c r="J2162" s="22">
        <f>+Tabla1[[#This Row],[FECHA ENTRADA]]</f>
        <v>45760</v>
      </c>
      <c r="K2162" s="8">
        <v>45925</v>
      </c>
      <c r="L2162" s="23">
        <f>_xlfn.DAYS(Tabla1[[#This Row],[FECHA FIN ]],Tabla1[[#This Row],[FECHA INICIO]])</f>
        <v>165</v>
      </c>
      <c r="M2162" s="12"/>
      <c r="N2162" s="12">
        <v>200</v>
      </c>
      <c r="O2162" s="24">
        <f>(Tabla1[[#This Row],[COSTO FIJO ]]/30)*Tabla1[[#This Row],[TOTAL DIAS PROYECTO]]+(Tabla1[[#This Row],[COSTO TEMPORAL]])</f>
        <v>1100</v>
      </c>
      <c r="P2162" s="12"/>
      <c r="Q2162" s="12">
        <f>+(Tabla1[[#This Row],[COSTO COCHE]]/30)*Tabla1[[#This Row],[TOTAL DIAS PROYECTO]]</f>
        <v>0</v>
      </c>
      <c r="R2162" s="12">
        <f>+Tabla1[[#This Row],[COSTO TOTAL ALOJAMIENTO]]+Tabla1[[#This Row],[COSTO TOTAL COCHE]]</f>
        <v>1100</v>
      </c>
      <c r="S2162" s="2"/>
      <c r="T2162" s="2" t="s">
        <v>35</v>
      </c>
      <c r="U2162" s="14">
        <v>45760</v>
      </c>
      <c r="V2162" s="25"/>
      <c r="W2162" s="26">
        <v>2800</v>
      </c>
      <c r="X2162" s="2">
        <v>1</v>
      </c>
      <c r="Y2162" s="11" t="s">
        <v>1166</v>
      </c>
      <c r="Z2162" s="2" t="s">
        <v>36</v>
      </c>
      <c r="AA2162" s="13">
        <v>0.62217999999999996</v>
      </c>
      <c r="AB2162" s="13" t="s">
        <v>10339</v>
      </c>
    </row>
    <row r="2163" spans="1:28">
      <c r="A2163" s="2" t="s">
        <v>8676</v>
      </c>
      <c r="B2163" s="2" t="s">
        <v>28</v>
      </c>
      <c r="C2163" s="18" t="s">
        <v>244</v>
      </c>
      <c r="D2163" s="2" t="s">
        <v>30</v>
      </c>
      <c r="E2163" s="2" t="s">
        <v>213</v>
      </c>
      <c r="F2163" s="11" t="s">
        <v>871</v>
      </c>
      <c r="G2163" s="11" t="s">
        <v>872</v>
      </c>
      <c r="H2163" s="2" t="s">
        <v>3669</v>
      </c>
      <c r="I2163" s="2" t="s">
        <v>3670</v>
      </c>
      <c r="J2163" s="8">
        <f>+Tabla1[[#This Row],[FECHA ENTRADA]]</f>
        <v>45334</v>
      </c>
      <c r="K2163" s="22">
        <v>45821</v>
      </c>
      <c r="L2163" s="13">
        <f>_xlfn.DAYS(Tabla1[[#This Row],[FECHA FIN ]],Tabla1[[#This Row],[FECHA INICIO]])</f>
        <v>487</v>
      </c>
      <c r="M2163" s="12"/>
      <c r="N2163" s="12">
        <f>1811.6/17</f>
        <v>106.56470588235294</v>
      </c>
      <c r="O2163" s="12">
        <f>(Tabla1[[#This Row],[COSTO FIJO ]]/30)*Tabla1[[#This Row],[TOTAL DIAS PROYECTO]]+(Tabla1[[#This Row],[COSTO TEMPORAL]])</f>
        <v>1729.9003921568628</v>
      </c>
      <c r="P2163" s="12"/>
      <c r="Q2163" s="12">
        <f>+(Tabla1[[#This Row],[COSTO COCHE]]/30)*Tabla1[[#This Row],[TOTAL DIAS PROYECTO]]</f>
        <v>0</v>
      </c>
      <c r="R2163" s="12">
        <f>+Tabla1[[#This Row],[COSTO TOTAL ALOJAMIENTO]]+Tabla1[[#This Row],[COSTO TOTAL COCHE]]</f>
        <v>1729.9003921568628</v>
      </c>
      <c r="S2163" s="2"/>
      <c r="T2163" s="2" t="s">
        <v>35</v>
      </c>
      <c r="U2163" s="14">
        <v>45334</v>
      </c>
      <c r="V2163" s="14"/>
      <c r="W2163" s="15"/>
      <c r="X2163" s="16">
        <v>10</v>
      </c>
      <c r="Y2163" s="18"/>
      <c r="Z2163" s="2" t="s">
        <v>36</v>
      </c>
      <c r="AA2163" s="13" t="s">
        <v>10349</v>
      </c>
      <c r="AB2163" s="13" t="s">
        <v>10350</v>
      </c>
    </row>
    <row r="2164" spans="1:28" ht="15" customHeight="1">
      <c r="A2164" s="2" t="s">
        <v>9505</v>
      </c>
      <c r="B2164" s="2" t="s">
        <v>28</v>
      </c>
      <c r="C2164" s="31" t="s">
        <v>3443</v>
      </c>
      <c r="D2164" s="2" t="s">
        <v>99</v>
      </c>
      <c r="E2164" s="2" t="s">
        <v>245</v>
      </c>
      <c r="F2164" s="11" t="s">
        <v>2209</v>
      </c>
      <c r="G2164" s="46" t="s">
        <v>2210</v>
      </c>
      <c r="H2164" s="2" t="s">
        <v>3444</v>
      </c>
      <c r="I2164" s="12" t="s">
        <v>249</v>
      </c>
      <c r="J2164" s="41">
        <f>+Tabla1[[#This Row],[FECHA ENTRADA]]</f>
        <v>45781</v>
      </c>
      <c r="K2164" s="22">
        <v>45821</v>
      </c>
      <c r="L2164" s="23">
        <f>_xlfn.DAYS(Tabla1[[#This Row],[FECHA FIN ]],Tabla1[[#This Row],[FECHA INICIO]])</f>
        <v>40</v>
      </c>
      <c r="M2164" s="12"/>
      <c r="N2164" s="12"/>
      <c r="O2164" s="24">
        <f>(Tabla1[[#This Row],[COSTO FIJO ]]/30)*Tabla1[[#This Row],[TOTAL DIAS PROYECTO]]+(Tabla1[[#This Row],[COSTO TEMPORAL]])</f>
        <v>0</v>
      </c>
      <c r="P2164" s="12">
        <v>92.307692307692307</v>
      </c>
      <c r="Q2164" s="12">
        <f>+(Tabla1[[#This Row],[COSTO COCHE]]/30)*Tabla1[[#This Row],[TOTAL DIAS PROYECTO]]</f>
        <v>123.07692307692308</v>
      </c>
      <c r="R2164" s="12">
        <f>+Tabla1[[#This Row],[COSTO TOTAL ALOJAMIENTO]]+Tabla1[[#This Row],[COSTO TOTAL COCHE]]</f>
        <v>123.07692307692308</v>
      </c>
      <c r="S2164" s="2" t="s">
        <v>84</v>
      </c>
      <c r="T2164" s="2" t="s">
        <v>44</v>
      </c>
      <c r="U2164" s="14">
        <v>45781</v>
      </c>
      <c r="V2164" s="25">
        <v>45837</v>
      </c>
      <c r="W2164" s="26"/>
      <c r="X2164" s="2"/>
      <c r="Y2164" s="11"/>
      <c r="Z2164" s="2" t="s">
        <v>36</v>
      </c>
      <c r="AA2164" s="13" t="s">
        <v>10355</v>
      </c>
      <c r="AB2164" s="13" t="s">
        <v>10356</v>
      </c>
    </row>
    <row r="2165" spans="1:28" ht="15" customHeight="1">
      <c r="A2165" s="2" t="s">
        <v>9566</v>
      </c>
      <c r="B2165" s="2" t="s">
        <v>28</v>
      </c>
      <c r="C2165" s="86" t="s">
        <v>3671</v>
      </c>
      <c r="D2165" s="2" t="s">
        <v>30</v>
      </c>
      <c r="E2165" s="2" t="s">
        <v>648</v>
      </c>
      <c r="F2165" s="11" t="s">
        <v>3672</v>
      </c>
      <c r="G2165" s="11" t="s">
        <v>1545</v>
      </c>
      <c r="H2165" s="2" t="s">
        <v>3673</v>
      </c>
      <c r="I2165" s="12" t="s">
        <v>96</v>
      </c>
      <c r="J2165" s="8">
        <f>+Tabla1[[#This Row],[FECHA ENTRADA]]</f>
        <v>45487</v>
      </c>
      <c r="K2165" s="8">
        <v>45670</v>
      </c>
      <c r="L2165" s="13">
        <f>_xlfn.DAYS(Tabla1[[#This Row],[FECHA FIN ]],Tabla1[[#This Row],[FECHA INICIO]])</f>
        <v>183</v>
      </c>
      <c r="M2165" s="12"/>
      <c r="N2165" s="12">
        <v>240</v>
      </c>
      <c r="O2165" s="12">
        <f>(Tabla1[[#This Row],[COSTO FIJO ]]/30)*Tabla1[[#This Row],[TOTAL DIAS PROYECTO]]+(Tabla1[[#This Row],[COSTO TEMPORAL]])</f>
        <v>1464</v>
      </c>
      <c r="P2165" s="12"/>
      <c r="Q2165" s="12">
        <f>+(Tabla1[[#This Row],[COSTO COCHE]]/30)*Tabla1[[#This Row],[TOTAL DIAS PROYECTO]]</f>
        <v>0</v>
      </c>
      <c r="R2165" s="12">
        <f>+Tabla1[[#This Row],[COSTO TOTAL ALOJAMIENTO]]+Tabla1[[#This Row],[COSTO TOTAL COCHE]]</f>
        <v>1464</v>
      </c>
      <c r="S2165" s="2"/>
      <c r="T2165" s="2" t="s">
        <v>35</v>
      </c>
      <c r="U2165" s="14">
        <v>45487</v>
      </c>
      <c r="V2165" s="14"/>
      <c r="W2165" s="26"/>
      <c r="X2165" s="2">
        <v>1</v>
      </c>
      <c r="Y2165" s="2" t="s">
        <v>3674</v>
      </c>
      <c r="Z2165" s="2" t="s">
        <v>36</v>
      </c>
      <c r="AA2165" s="13" t="s">
        <v>10387</v>
      </c>
      <c r="AB2165" s="13" t="s">
        <v>10388</v>
      </c>
    </row>
    <row r="2166" spans="1:28" ht="15" customHeight="1">
      <c r="A2166" s="2" t="s">
        <v>9325</v>
      </c>
      <c r="B2166" s="2" t="s">
        <v>28</v>
      </c>
      <c r="C2166" s="11" t="s">
        <v>2828</v>
      </c>
      <c r="D2166" s="2" t="s">
        <v>749</v>
      </c>
      <c r="E2166" s="2" t="s">
        <v>288</v>
      </c>
      <c r="F2166" s="11" t="s">
        <v>928</v>
      </c>
      <c r="G2166" t="s">
        <v>1031</v>
      </c>
      <c r="H2166" s="2" t="s">
        <v>3675</v>
      </c>
      <c r="I2166" s="10" t="s">
        <v>753</v>
      </c>
      <c r="J2166" s="22">
        <f>+Tabla1[[#This Row],[FECHA ENTRADA]]</f>
        <v>45755</v>
      </c>
      <c r="K2166" s="22">
        <v>45821</v>
      </c>
      <c r="L2166" s="13">
        <f>_xlfn.DAYS(Tabla1[[#This Row],[FECHA FIN ]],Tabla1[[#This Row],[FECHA INICIO]])</f>
        <v>66</v>
      </c>
      <c r="M2166" s="12"/>
      <c r="N2166" s="12"/>
      <c r="O2166" s="12">
        <f>(Tabla1[[#This Row],[COSTO FIJO ]]/30)*Tabla1[[#This Row],[TOTAL DIAS PROYECTO]]+(Tabla1[[#This Row],[COSTO TEMPORAL]])</f>
        <v>0</v>
      </c>
      <c r="P2166" s="12"/>
      <c r="Q2166" s="12">
        <f>+(Tabla1[[#This Row],[COSTO COCHE]]/30)*Tabla1[[#This Row],[TOTAL DIAS PROYECTO]]</f>
        <v>0</v>
      </c>
      <c r="R2166" s="12">
        <f>+Tabla1[[#This Row],[COSTO TOTAL ALOJAMIENTO]]+Tabla1[[#This Row],[COSTO TOTAL COCHE]]</f>
        <v>0</v>
      </c>
      <c r="S2166" s="2"/>
      <c r="T2166" s="2" t="s">
        <v>44</v>
      </c>
      <c r="U2166" s="14">
        <v>45755</v>
      </c>
      <c r="V2166" s="14">
        <v>45785</v>
      </c>
      <c r="W2166" s="26"/>
      <c r="X2166" s="2"/>
      <c r="Y2166" s="11"/>
      <c r="Z2166" s="2" t="s">
        <v>36</v>
      </c>
      <c r="AA2166" s="13" t="s">
        <v>10362</v>
      </c>
      <c r="AB2166" s="13" t="s">
        <v>10363</v>
      </c>
    </row>
    <row r="2167" spans="1:28" ht="15" customHeight="1">
      <c r="A2167" s="2" t="s">
        <v>8809</v>
      </c>
      <c r="B2167" s="2" t="s">
        <v>28</v>
      </c>
      <c r="C2167" s="31" t="s">
        <v>853</v>
      </c>
      <c r="D2167" s="2" t="s">
        <v>30</v>
      </c>
      <c r="E2167" s="2" t="s">
        <v>213</v>
      </c>
      <c r="F2167" s="11" t="s">
        <v>1728</v>
      </c>
      <c r="G2167" s="11" t="s">
        <v>1729</v>
      </c>
      <c r="H2167" s="2" t="s">
        <v>1730</v>
      </c>
      <c r="I2167" s="12" t="s">
        <v>560</v>
      </c>
      <c r="J2167" s="41">
        <f>+Tabla1[[#This Row],[FECHA ENTRADA]]</f>
        <v>45669</v>
      </c>
      <c r="K2167" s="22">
        <v>45821</v>
      </c>
      <c r="L2167" s="42">
        <f>_xlfn.DAYS(Tabla1[[#This Row],[FECHA FIN ]],Tabla1[[#This Row],[FECHA INICIO]])</f>
        <v>152</v>
      </c>
      <c r="M2167" s="12"/>
      <c r="N2167" s="28">
        <v>370</v>
      </c>
      <c r="O2167" s="28">
        <f>(Tabla1[[#This Row],[COSTO FIJO ]]/30)*Tabla1[[#This Row],[TOTAL DIAS PROYECTO]]+(Tabla1[[#This Row],[COSTO TEMPORAL]])</f>
        <v>1874.6666666666667</v>
      </c>
      <c r="P2167" s="12"/>
      <c r="Q2167" s="12">
        <f>+(Tabla1[[#This Row],[COSTO COCHE]]/30)*Tabla1[[#This Row],[TOTAL DIAS PROYECTO]]</f>
        <v>0</v>
      </c>
      <c r="R2167" s="12">
        <f>+Tabla1[[#This Row],[COSTO TOTAL ALOJAMIENTO]]+Tabla1[[#This Row],[COSTO TOTAL COCHE]]</f>
        <v>1874.6666666666667</v>
      </c>
      <c r="S2167" s="2"/>
      <c r="T2167" s="2" t="s">
        <v>35</v>
      </c>
      <c r="U2167" s="14">
        <v>45669</v>
      </c>
      <c r="V2167" s="43"/>
      <c r="W2167" s="26"/>
      <c r="X2167" s="2">
        <v>10</v>
      </c>
      <c r="Y2167" s="11" t="s">
        <v>1731</v>
      </c>
      <c r="Z2167" s="2" t="s">
        <v>36</v>
      </c>
      <c r="AA2167" s="13" t="s">
        <v>10349</v>
      </c>
      <c r="AB2167" s="13" t="s">
        <v>10350</v>
      </c>
    </row>
    <row r="2168" spans="1:28" ht="15" customHeight="1">
      <c r="A2168" s="2" t="s">
        <v>9567</v>
      </c>
      <c r="B2168" s="2" t="s">
        <v>28</v>
      </c>
      <c r="C2168" s="18" t="s">
        <v>3676</v>
      </c>
      <c r="D2168" s="2" t="s">
        <v>30</v>
      </c>
      <c r="E2168" s="2" t="s">
        <v>114</v>
      </c>
      <c r="F2168" s="11" t="s">
        <v>3666</v>
      </c>
      <c r="G2168" s="11" t="s">
        <v>174</v>
      </c>
      <c r="H2168" s="2" t="s">
        <v>117</v>
      </c>
      <c r="I2168" s="12" t="s">
        <v>118</v>
      </c>
      <c r="J2168" s="8">
        <f>+Tabla1[[#This Row],[FECHA ENTRADA]]</f>
        <v>45368</v>
      </c>
      <c r="K2168" s="22">
        <v>45821</v>
      </c>
      <c r="L2168" s="13">
        <f>_xlfn.DAYS(Tabla1[[#This Row],[FECHA FIN ]],Tabla1[[#This Row],[FECHA INICIO]])</f>
        <v>453</v>
      </c>
      <c r="M2168" s="12"/>
      <c r="N2168" s="24"/>
      <c r="O2168" s="12">
        <f>(Tabla1[[#This Row],[COSTO FIJO ]]/30)*Tabla1[[#This Row],[TOTAL DIAS PROYECTO]]+(Tabla1[[#This Row],[COSTO TEMPORAL]])</f>
        <v>0</v>
      </c>
      <c r="P2168" s="12"/>
      <c r="Q2168" s="12">
        <f>+(Tabla1[[#This Row],[COSTO COCHE]]/30)*Tabla1[[#This Row],[TOTAL DIAS PROYECTO]]</f>
        <v>0</v>
      </c>
      <c r="R2168" s="12">
        <f>+Tabla1[[#This Row],[COSTO TOTAL ALOJAMIENTO]]+Tabla1[[#This Row],[COSTO TOTAL COCHE]]</f>
        <v>0</v>
      </c>
      <c r="S2168" s="2"/>
      <c r="T2168" s="2" t="s">
        <v>35</v>
      </c>
      <c r="U2168" s="14">
        <v>45368</v>
      </c>
      <c r="V2168" s="14"/>
      <c r="W2168" s="15"/>
      <c r="X2168" s="16">
        <v>10</v>
      </c>
      <c r="Y2168" s="18"/>
      <c r="Z2168" s="2" t="s">
        <v>36</v>
      </c>
      <c r="AA2168" s="13" t="s">
        <v>10340</v>
      </c>
      <c r="AB2168" s="13" t="s">
        <v>10341</v>
      </c>
    </row>
    <row r="2169" spans="1:28" ht="15" customHeight="1">
      <c r="A2169" s="2" t="s">
        <v>9380</v>
      </c>
      <c r="B2169" s="2" t="s">
        <v>28</v>
      </c>
      <c r="C2169" s="11" t="s">
        <v>2982</v>
      </c>
      <c r="D2169" s="2" t="s">
        <v>99</v>
      </c>
      <c r="E2169" s="2" t="s">
        <v>245</v>
      </c>
      <c r="F2169" s="11" t="s">
        <v>3377</v>
      </c>
      <c r="G2169" s="46" t="s">
        <v>3378</v>
      </c>
      <c r="H2169" s="2" t="s">
        <v>2985</v>
      </c>
      <c r="I2169" s="12" t="s">
        <v>1019</v>
      </c>
      <c r="J2169" s="41">
        <f>+Tabla1[[#This Row],[FECHA ENTRADA]]</f>
        <v>45783</v>
      </c>
      <c r="K2169" s="22">
        <v>45797</v>
      </c>
      <c r="L2169" s="23">
        <f>_xlfn.DAYS(Tabla1[[#This Row],[FECHA FIN ]],Tabla1[[#This Row],[FECHA INICIO]])</f>
        <v>14</v>
      </c>
      <c r="M2169" s="12"/>
      <c r="N2169" s="12"/>
      <c r="O2169" s="24">
        <f>(Tabla1[[#This Row],[COSTO FIJO ]]/30)*Tabla1[[#This Row],[TOTAL DIAS PROYECTO]]+(Tabla1[[#This Row],[COSTO TEMPORAL]])</f>
        <v>0</v>
      </c>
      <c r="P2169" s="12"/>
      <c r="Q2169" s="12">
        <f>+(Tabla1[[#This Row],[COSTO COCHE]]/30)*Tabla1[[#This Row],[TOTAL DIAS PROYECTO]]</f>
        <v>0</v>
      </c>
      <c r="R2169" s="12">
        <f>+Tabla1[[#This Row],[COSTO TOTAL ALOJAMIENTO]]+Tabla1[[#This Row],[COSTO TOTAL COCHE]]</f>
        <v>0</v>
      </c>
      <c r="S2169" s="2"/>
      <c r="T2169" s="2" t="s">
        <v>44</v>
      </c>
      <c r="U2169" s="14">
        <v>45783</v>
      </c>
      <c r="V2169" s="25">
        <v>45797</v>
      </c>
      <c r="W2169" s="26"/>
      <c r="X2169" s="2"/>
      <c r="Y2169" s="178" t="s">
        <v>3677</v>
      </c>
      <c r="Z2169" s="2" t="s">
        <v>36</v>
      </c>
      <c r="AA2169" s="13" t="s">
        <v>10355</v>
      </c>
      <c r="AB2169" s="13" t="s">
        <v>10356</v>
      </c>
    </row>
    <row r="2170" spans="1:28">
      <c r="A2170" s="2" t="s">
        <v>9568</v>
      </c>
      <c r="B2170" s="2" t="s">
        <v>28</v>
      </c>
      <c r="C2170" s="18" t="s">
        <v>3678</v>
      </c>
      <c r="D2170" s="2" t="s">
        <v>30</v>
      </c>
      <c r="E2170" s="2" t="s">
        <v>114</v>
      </c>
      <c r="F2170" s="11" t="s">
        <v>3666</v>
      </c>
      <c r="G2170" s="11" t="s">
        <v>174</v>
      </c>
      <c r="H2170" s="2" t="s">
        <v>117</v>
      </c>
      <c r="I2170" s="12" t="s">
        <v>118</v>
      </c>
      <c r="J2170" s="8">
        <f>+Tabla1[[#This Row],[FECHA ENTRADA]]</f>
        <v>45368</v>
      </c>
      <c r="K2170" s="22">
        <v>45821</v>
      </c>
      <c r="L2170" s="13">
        <f>_xlfn.DAYS(Tabla1[[#This Row],[FECHA FIN ]],Tabla1[[#This Row],[FECHA INICIO]])</f>
        <v>453</v>
      </c>
      <c r="M2170" s="12"/>
      <c r="N2170" s="12">
        <v>114.28571428571399</v>
      </c>
      <c r="O2170" s="12">
        <f>(Tabla1[[#This Row],[COSTO FIJO ]]/30)*Tabla1[[#This Row],[TOTAL DIAS PROYECTO]]+(Tabla1[[#This Row],[COSTO TEMPORAL]])</f>
        <v>1725.7142857142815</v>
      </c>
      <c r="P2170" s="12"/>
      <c r="Q2170" s="12">
        <f>+(Tabla1[[#This Row],[COSTO COCHE]]/30)*Tabla1[[#This Row],[TOTAL DIAS PROYECTO]]</f>
        <v>0</v>
      </c>
      <c r="R2170" s="12">
        <f>+Tabla1[[#This Row],[COSTO TOTAL ALOJAMIENTO]]+Tabla1[[#This Row],[COSTO TOTAL COCHE]]</f>
        <v>1725.7142857142815</v>
      </c>
      <c r="S2170" s="2"/>
      <c r="T2170" s="2" t="s">
        <v>35</v>
      </c>
      <c r="U2170" s="14">
        <v>45368</v>
      </c>
      <c r="V2170" s="14"/>
      <c r="W2170" s="15"/>
      <c r="X2170" s="16">
        <v>10</v>
      </c>
      <c r="Y2170" s="18"/>
      <c r="Z2170" s="2" t="s">
        <v>36</v>
      </c>
      <c r="AA2170" s="13" t="s">
        <v>10340</v>
      </c>
      <c r="AB2170" s="13" t="s">
        <v>10341</v>
      </c>
    </row>
    <row r="2171" spans="1:28">
      <c r="A2171" s="2" t="s">
        <v>9569</v>
      </c>
      <c r="B2171" s="2" t="s">
        <v>28</v>
      </c>
      <c r="C2171" s="18" t="s">
        <v>3679</v>
      </c>
      <c r="D2171" s="2" t="s">
        <v>30</v>
      </c>
      <c r="E2171" s="2" t="s">
        <v>114</v>
      </c>
      <c r="F2171" s="11" t="s">
        <v>3666</v>
      </c>
      <c r="G2171" s="11" t="s">
        <v>174</v>
      </c>
      <c r="H2171" s="2" t="s">
        <v>117</v>
      </c>
      <c r="I2171" s="12" t="s">
        <v>118</v>
      </c>
      <c r="J2171" s="8">
        <f>+Tabla1[[#This Row],[FECHA ENTRADA]]</f>
        <v>45368</v>
      </c>
      <c r="K2171" s="22">
        <v>45821</v>
      </c>
      <c r="L2171" s="13">
        <f>_xlfn.DAYS(Tabla1[[#This Row],[FECHA FIN ]],Tabla1[[#This Row],[FECHA INICIO]])</f>
        <v>453</v>
      </c>
      <c r="M2171" s="12"/>
      <c r="N2171" s="12">
        <v>114.28571428571399</v>
      </c>
      <c r="O2171" s="12">
        <f>(Tabla1[[#This Row],[COSTO FIJO ]]/30)*Tabla1[[#This Row],[TOTAL DIAS PROYECTO]]+(Tabla1[[#This Row],[COSTO TEMPORAL]])</f>
        <v>1725.7142857142815</v>
      </c>
      <c r="P2171" s="12"/>
      <c r="Q2171" s="12">
        <f>+(Tabla1[[#This Row],[COSTO COCHE]]/30)*Tabla1[[#This Row],[TOTAL DIAS PROYECTO]]</f>
        <v>0</v>
      </c>
      <c r="R2171" s="12">
        <f>+Tabla1[[#This Row],[COSTO TOTAL ALOJAMIENTO]]+Tabla1[[#This Row],[COSTO TOTAL COCHE]]</f>
        <v>1725.7142857142815</v>
      </c>
      <c r="S2171" s="2"/>
      <c r="T2171" s="2" t="s">
        <v>35</v>
      </c>
      <c r="U2171" s="14">
        <v>45368</v>
      </c>
      <c r="V2171" s="14"/>
      <c r="W2171" s="15"/>
      <c r="X2171" s="16">
        <v>10</v>
      </c>
      <c r="Y2171" s="18"/>
      <c r="Z2171" s="2" t="s">
        <v>36</v>
      </c>
      <c r="AA2171" s="13" t="s">
        <v>10340</v>
      </c>
      <c r="AB2171" s="13" t="s">
        <v>10341</v>
      </c>
    </row>
    <row r="2172" spans="1:28">
      <c r="A2172" s="2" t="s">
        <v>8882</v>
      </c>
      <c r="B2172" s="2" t="s">
        <v>368</v>
      </c>
      <c r="C2172" s="11" t="s">
        <v>1151</v>
      </c>
      <c r="D2172" s="2" t="s">
        <v>30</v>
      </c>
      <c r="E2172" s="2" t="s">
        <v>109</v>
      </c>
      <c r="F2172" s="11" t="s">
        <v>1793</v>
      </c>
      <c r="G2172" s="21">
        <v>973266788</v>
      </c>
      <c r="H2172" s="2" t="s">
        <v>1829</v>
      </c>
      <c r="I2172" s="12" t="s">
        <v>1830</v>
      </c>
      <c r="J2172" s="41">
        <f>+Tabla1[[#This Row],[FECHA ENTRADA]]</f>
        <v>45774</v>
      </c>
      <c r="K2172" s="22">
        <v>45798</v>
      </c>
      <c r="L2172" s="23">
        <f>_xlfn.DAYS(Tabla1[[#This Row],[FECHA FIN ]],Tabla1[[#This Row],[FECHA INICIO]])</f>
        <v>24</v>
      </c>
      <c r="M2172" s="12"/>
      <c r="N2172" s="12"/>
      <c r="O2172" s="24">
        <f>(Tabla1[[#This Row],[COSTO FIJO ]]/30)*Tabla1[[#This Row],[TOTAL DIAS PROYECTO]]+(Tabla1[[#This Row],[COSTO TEMPORAL]])</f>
        <v>0</v>
      </c>
      <c r="P2172" s="12"/>
      <c r="Q2172" s="12">
        <f>+(Tabla1[[#This Row],[COSTO COCHE]]/30)*Tabla1[[#This Row],[TOTAL DIAS PROYECTO]]</f>
        <v>0</v>
      </c>
      <c r="R2172" s="12">
        <f>+Tabla1[[#This Row],[COSTO TOTAL ALOJAMIENTO]]+Tabla1[[#This Row],[COSTO TOTAL COCHE]]</f>
        <v>0</v>
      </c>
      <c r="S2172" s="2"/>
      <c r="T2172" s="2" t="s">
        <v>44</v>
      </c>
      <c r="U2172" s="14">
        <v>45774</v>
      </c>
      <c r="V2172" s="25">
        <v>45799</v>
      </c>
      <c r="W2172" s="26"/>
      <c r="X2172" s="2"/>
      <c r="Y2172" s="11"/>
      <c r="Z2172" s="2" t="s">
        <v>36</v>
      </c>
      <c r="AA2172" s="13">
        <v>0.62217999999999996</v>
      </c>
      <c r="AB2172" s="13" t="s">
        <v>10339</v>
      </c>
    </row>
    <row r="2173" spans="1:28" ht="15" customHeight="1">
      <c r="A2173" s="2" t="s">
        <v>8949</v>
      </c>
      <c r="B2173" s="2" t="s">
        <v>368</v>
      </c>
      <c r="C2173" s="104" t="s">
        <v>1426</v>
      </c>
      <c r="D2173" s="2" t="s">
        <v>30</v>
      </c>
      <c r="E2173" s="2" t="s">
        <v>109</v>
      </c>
      <c r="F2173" s="11" t="s">
        <v>3066</v>
      </c>
      <c r="G2173" s="100" t="s">
        <v>3067</v>
      </c>
      <c r="H2173" s="2" t="s">
        <v>1990</v>
      </c>
      <c r="I2173" s="12" t="s">
        <v>42</v>
      </c>
      <c r="J2173" s="22">
        <f>+Tabla1[[#This Row],[FECHA ENTRADA]]</f>
        <v>45760</v>
      </c>
      <c r="K2173" s="22">
        <v>45783</v>
      </c>
      <c r="L2173" s="42">
        <f>_xlfn.DAYS(Tabla1[[#This Row],[FECHA FIN ]],Tabla1[[#This Row],[FECHA INICIO]])</f>
        <v>23</v>
      </c>
      <c r="M2173" s="12"/>
      <c r="N2173" s="24"/>
      <c r="O2173" s="28">
        <f>(Tabla1[[#This Row],[COSTO FIJO ]]/30)*Tabla1[[#This Row],[TOTAL DIAS PROYECTO]]+(Tabla1[[#This Row],[COSTO TEMPORAL]])</f>
        <v>0</v>
      </c>
      <c r="P2173" s="12">
        <v>100</v>
      </c>
      <c r="Q2173" s="12">
        <f>+(Tabla1[[#This Row],[COSTO COCHE]]/30)*Tabla1[[#This Row],[TOTAL DIAS PROYECTO]]</f>
        <v>76.666666666666671</v>
      </c>
      <c r="R2173" s="12">
        <f>+Tabla1[[#This Row],[COSTO TOTAL ALOJAMIENTO]]+Tabla1[[#This Row],[COSTO TOTAL COCHE]]</f>
        <v>76.666666666666671</v>
      </c>
      <c r="S2173" s="2"/>
      <c r="T2173" s="2" t="s">
        <v>35</v>
      </c>
      <c r="U2173" s="14">
        <v>45760</v>
      </c>
      <c r="V2173" s="43"/>
      <c r="W2173" s="26"/>
      <c r="X2173" s="2">
        <v>1</v>
      </c>
      <c r="Y2173" s="11" t="s">
        <v>1361</v>
      </c>
      <c r="Z2173" s="2" t="s">
        <v>36</v>
      </c>
      <c r="AA2173" s="13">
        <v>0.62217999999999996</v>
      </c>
      <c r="AB2173" s="13" t="s">
        <v>10339</v>
      </c>
    </row>
    <row r="2174" spans="1:28" ht="15" customHeight="1">
      <c r="A2174" s="2" t="s">
        <v>9570</v>
      </c>
      <c r="B2174" s="2" t="s">
        <v>711</v>
      </c>
      <c r="C2174" s="97" t="s">
        <v>3680</v>
      </c>
      <c r="D2174" s="2" t="s">
        <v>30</v>
      </c>
      <c r="E2174" s="2" t="s">
        <v>648</v>
      </c>
      <c r="F2174" s="11" t="s">
        <v>3681</v>
      </c>
      <c r="G2174" s="118" t="s">
        <v>1545</v>
      </c>
      <c r="H2174" s="2" t="s">
        <v>3682</v>
      </c>
      <c r="I2174" s="12" t="s">
        <v>96</v>
      </c>
      <c r="J2174" s="41">
        <f>+Tabla1[[#This Row],[FECHA ENTRADA]]</f>
        <v>45966</v>
      </c>
      <c r="K2174" s="22">
        <v>46074</v>
      </c>
      <c r="L2174" s="42">
        <f>_xlfn.DAYS(Tabla1[[#This Row],[FECHA FIN ]],Tabla1[[#This Row],[FECHA INICIO]])</f>
        <v>108</v>
      </c>
      <c r="M2174" s="12"/>
      <c r="N2174" s="12">
        <v>183.33333333333334</v>
      </c>
      <c r="O2174" s="28">
        <f>(Tabla1[[#This Row],[COSTO FIJO ]]/30)*Tabla1[[#This Row],[TOTAL DIAS PROYECTO]]+(Tabla1[[#This Row],[COSTO TEMPORAL]])</f>
        <v>660</v>
      </c>
      <c r="P2174" s="12"/>
      <c r="Q2174" s="12">
        <f>+(Tabla1[[#This Row],[COSTO COCHE]]/30)*Tabla1[[#This Row],[TOTAL DIAS PROYECTO]]</f>
        <v>0</v>
      </c>
      <c r="R2174" s="12">
        <f>+Tabla1[[#This Row],[COSTO TOTAL ALOJAMIENTO]]+Tabla1[[#This Row],[COSTO TOTAL COCHE]]</f>
        <v>660</v>
      </c>
      <c r="S2174" s="2"/>
      <c r="T2174" s="14" t="s">
        <v>35</v>
      </c>
      <c r="U2174" s="14">
        <v>45966</v>
      </c>
      <c r="V2174" s="43"/>
      <c r="W2174" s="71"/>
      <c r="X2174" s="2">
        <v>1</v>
      </c>
      <c r="Y2174" s="11"/>
      <c r="Z2174" s="2" t="s">
        <v>36</v>
      </c>
      <c r="AA2174" s="13" t="s">
        <v>10387</v>
      </c>
      <c r="AB2174" s="13" t="s">
        <v>10388</v>
      </c>
    </row>
    <row r="2175" spans="1:28">
      <c r="A2175" s="2" t="s">
        <v>9298</v>
      </c>
      <c r="B2175" s="2" t="s">
        <v>28</v>
      </c>
      <c r="C2175" s="104" t="s">
        <v>2737</v>
      </c>
      <c r="D2175" s="2" t="s">
        <v>30</v>
      </c>
      <c r="E2175" s="2" t="s">
        <v>151</v>
      </c>
      <c r="F2175" s="11" t="s">
        <v>1499</v>
      </c>
      <c r="G2175" s="11"/>
      <c r="H2175" s="2" t="s">
        <v>1678</v>
      </c>
      <c r="I2175" s="12" t="s">
        <v>152</v>
      </c>
      <c r="J2175" s="41">
        <f>+Tabla1[[#This Row],[FECHA ENTRADA]]</f>
        <v>45601</v>
      </c>
      <c r="K2175" s="22">
        <v>45821</v>
      </c>
      <c r="L2175" s="42">
        <f>_xlfn.DAYS(Tabla1[[#This Row],[FECHA FIN ]],Tabla1[[#This Row],[FECHA INICIO]])</f>
        <v>220</v>
      </c>
      <c r="M2175" s="12"/>
      <c r="N2175" s="12"/>
      <c r="O2175" s="28">
        <f>(Tabla1[[#This Row],[COSTO FIJO ]]/30)*Tabla1[[#This Row],[TOTAL DIAS PROYECTO]]+(Tabla1[[#This Row],[COSTO TEMPORAL]])</f>
        <v>0</v>
      </c>
      <c r="P2175" s="12"/>
      <c r="Q2175" s="12">
        <f>+(Tabla1[[#This Row],[COSTO COCHE]]/30)*Tabla1[[#This Row],[TOTAL DIAS PROYECTO]]</f>
        <v>0</v>
      </c>
      <c r="R2175" s="12">
        <f>+Tabla1[[#This Row],[COSTO TOTAL ALOJAMIENTO]]+Tabla1[[#This Row],[COSTO TOTAL COCHE]]</f>
        <v>0</v>
      </c>
      <c r="S2175" s="2"/>
      <c r="T2175" s="2" t="s">
        <v>35</v>
      </c>
      <c r="U2175" s="14">
        <v>45601</v>
      </c>
      <c r="V2175" s="43"/>
      <c r="W2175" s="26"/>
      <c r="X2175" s="2">
        <v>11</v>
      </c>
      <c r="Y2175" s="11"/>
      <c r="Z2175" s="2" t="s">
        <v>36</v>
      </c>
      <c r="AA2175" s="13" t="s">
        <v>10345</v>
      </c>
      <c r="AB2175" s="13" t="s">
        <v>10346</v>
      </c>
    </row>
    <row r="2176" spans="1:28">
      <c r="A2176" s="2" t="s">
        <v>9571</v>
      </c>
      <c r="B2176" s="2" t="s">
        <v>28</v>
      </c>
      <c r="C2176" s="104" t="s">
        <v>3683</v>
      </c>
      <c r="D2176" s="2" t="s">
        <v>30</v>
      </c>
      <c r="E2176" s="2" t="s">
        <v>3684</v>
      </c>
      <c r="F2176" s="11" t="s">
        <v>3685</v>
      </c>
      <c r="G2176" s="46" t="s">
        <v>3686</v>
      </c>
      <c r="H2176" s="2" t="s">
        <v>3687</v>
      </c>
      <c r="I2176" s="12" t="s">
        <v>96</v>
      </c>
      <c r="J2176" s="22">
        <f>+Tabla1[[#This Row],[FECHA ENTRADA]]</f>
        <v>45700</v>
      </c>
      <c r="K2176" s="22">
        <v>45808</v>
      </c>
      <c r="L2176" s="23">
        <f>_xlfn.DAYS(Tabla1[[#This Row],[FECHA FIN ]],Tabla1[[#This Row],[FECHA INICIO]])</f>
        <v>108</v>
      </c>
      <c r="M2176" s="12"/>
      <c r="N2176" s="20">
        <v>300</v>
      </c>
      <c r="O2176" s="24">
        <f>(Tabla1[[#This Row],[COSTO FIJO ]]/30)*Tabla1[[#This Row],[TOTAL DIAS PROYECTO]]+(Tabla1[[#This Row],[COSTO TEMPORAL]])</f>
        <v>1080</v>
      </c>
      <c r="P2176" s="12"/>
      <c r="Q2176" s="12">
        <f>+(Tabla1[[#This Row],[COSTO COCHE]]/30)*Tabla1[[#This Row],[TOTAL DIAS PROYECTO]]</f>
        <v>0</v>
      </c>
      <c r="R2176" s="12">
        <f>+Tabla1[[#This Row],[COSTO TOTAL ALOJAMIENTO]]+Tabla1[[#This Row],[COSTO TOTAL COCHE]]</f>
        <v>1080</v>
      </c>
      <c r="S2176" s="2"/>
      <c r="T2176" s="2" t="s">
        <v>44</v>
      </c>
      <c r="U2176" s="14">
        <v>45700</v>
      </c>
      <c r="V2176" s="79">
        <v>45816</v>
      </c>
      <c r="W2176" s="26">
        <v>1200</v>
      </c>
      <c r="X2176" s="2">
        <v>5</v>
      </c>
      <c r="Y2176" s="11"/>
      <c r="Z2176" s="2" t="s">
        <v>36</v>
      </c>
      <c r="AA2176" s="13" t="s">
        <v>10442</v>
      </c>
      <c r="AB2176" s="13">
        <v>3588919</v>
      </c>
    </row>
    <row r="2177" spans="1:28">
      <c r="A2177" s="2" t="s">
        <v>9571</v>
      </c>
      <c r="B2177" s="2" t="s">
        <v>28</v>
      </c>
      <c r="C2177" s="104" t="s">
        <v>3683</v>
      </c>
      <c r="D2177" s="2" t="s">
        <v>30</v>
      </c>
      <c r="E2177" s="2" t="s">
        <v>127</v>
      </c>
      <c r="F2177" s="11" t="s">
        <v>820</v>
      </c>
      <c r="G2177" s="21" t="s">
        <v>1234</v>
      </c>
      <c r="H2177" s="2" t="s">
        <v>3688</v>
      </c>
      <c r="I2177" s="12" t="s">
        <v>96</v>
      </c>
      <c r="J2177" s="22">
        <f>+Tabla1[[#This Row],[FECHA ENTRADA]]</f>
        <v>45810</v>
      </c>
      <c r="K2177" s="8">
        <v>45845</v>
      </c>
      <c r="L2177" s="23">
        <f>_xlfn.DAYS(Tabla1[[#This Row],[FECHA FIN ]],Tabla1[[#This Row],[FECHA INICIO]])</f>
        <v>35</v>
      </c>
      <c r="M2177" s="12"/>
      <c r="N2177" s="12"/>
      <c r="O2177" s="24">
        <f>(Tabla1[[#This Row],[COSTO FIJO ]]/30)*Tabla1[[#This Row],[TOTAL DIAS PROYECTO]]+(Tabla1[[#This Row],[COSTO TEMPORAL]])</f>
        <v>0</v>
      </c>
      <c r="P2177" s="12"/>
      <c r="Q2177" s="12">
        <f>+(Tabla1[[#This Row],[COSTO COCHE]]/30)*Tabla1[[#This Row],[TOTAL DIAS PROYECTO]]</f>
        <v>0</v>
      </c>
      <c r="R2177" s="12">
        <f>+Tabla1[[#This Row],[COSTO TOTAL ALOJAMIENTO]]+Tabla1[[#This Row],[COSTO TOTAL COCHE]]</f>
        <v>0</v>
      </c>
      <c r="S2177" s="2"/>
      <c r="T2177" s="2" t="s">
        <v>44</v>
      </c>
      <c r="U2177" s="14">
        <v>45810</v>
      </c>
      <c r="V2177" s="25">
        <v>45857</v>
      </c>
      <c r="W2177" s="2"/>
      <c r="X2177" s="2"/>
      <c r="Y2177" s="11"/>
      <c r="Z2177" s="2" t="s">
        <v>36</v>
      </c>
      <c r="AA2177" s="13" t="s">
        <v>10342</v>
      </c>
      <c r="AB2177" s="13" t="s">
        <v>10343</v>
      </c>
    </row>
    <row r="2178" spans="1:28">
      <c r="A2178" s="2" t="s">
        <v>9026</v>
      </c>
      <c r="B2178" s="2" t="s">
        <v>368</v>
      </c>
      <c r="C2178" s="104" t="s">
        <v>1726</v>
      </c>
      <c r="D2178" s="2" t="s">
        <v>30</v>
      </c>
      <c r="E2178" s="2" t="s">
        <v>877</v>
      </c>
      <c r="F2178" s="11" t="s">
        <v>3689</v>
      </c>
      <c r="G2178" s="46" t="s">
        <v>3690</v>
      </c>
      <c r="H2178" s="2" t="s">
        <v>3691</v>
      </c>
      <c r="I2178" s="12" t="s">
        <v>3692</v>
      </c>
      <c r="J2178" s="41">
        <f>+Tabla1[[#This Row],[FECHA ENTRADA]]</f>
        <v>45627</v>
      </c>
      <c r="K2178" s="22">
        <v>45663</v>
      </c>
      <c r="L2178" s="42">
        <f>_xlfn.DAYS(Tabla1[[#This Row],[FECHA FIN ]],Tabla1[[#This Row],[FECHA INICIO]])</f>
        <v>36</v>
      </c>
      <c r="M2178" s="12"/>
      <c r="N2178" s="12">
        <f>1811.6/17</f>
        <v>106.56470588235294</v>
      </c>
      <c r="O2178" s="28">
        <f>(Tabla1[[#This Row],[COSTO FIJO ]]/30)*Tabla1[[#This Row],[TOTAL DIAS PROYECTO]]+(Tabla1[[#This Row],[COSTO TEMPORAL]])</f>
        <v>127.87764705882353</v>
      </c>
      <c r="P2178" s="12"/>
      <c r="Q2178" s="12">
        <f>+(Tabla1[[#This Row],[COSTO COCHE]]/30)*Tabla1[[#This Row],[TOTAL DIAS PROYECTO]]</f>
        <v>0</v>
      </c>
      <c r="R2178" s="12">
        <f>+Tabla1[[#This Row],[COSTO TOTAL ALOJAMIENTO]]+Tabla1[[#This Row],[COSTO TOTAL COCHE]]</f>
        <v>127.87764705882353</v>
      </c>
      <c r="S2178" s="2"/>
      <c r="T2178" s="2" t="s">
        <v>35</v>
      </c>
      <c r="U2178" s="14">
        <v>45627</v>
      </c>
      <c r="V2178" s="43"/>
      <c r="W2178" s="26"/>
      <c r="X2178" s="2">
        <v>11</v>
      </c>
      <c r="Y2178" s="11"/>
      <c r="Z2178" s="2" t="s">
        <v>36</v>
      </c>
      <c r="AA2178" s="13" t="s">
        <v>10403</v>
      </c>
      <c r="AB2178" s="13" t="s">
        <v>10404</v>
      </c>
    </row>
    <row r="2179" spans="1:28" ht="15" customHeight="1">
      <c r="A2179" s="2" t="s">
        <v>9571</v>
      </c>
      <c r="B2179" s="2" t="s">
        <v>28</v>
      </c>
      <c r="C2179" s="97" t="s">
        <v>3683</v>
      </c>
      <c r="D2179" s="2" t="s">
        <v>30</v>
      </c>
      <c r="E2179" s="2" t="s">
        <v>359</v>
      </c>
      <c r="F2179" s="11" t="s">
        <v>494</v>
      </c>
      <c r="G2179" s="46" t="s">
        <v>495</v>
      </c>
      <c r="H2179" s="2" t="s">
        <v>3693</v>
      </c>
      <c r="I2179" s="12" t="s">
        <v>96</v>
      </c>
      <c r="J2179" s="41">
        <f>+Tabla1[[#This Row],[FECHA ENTRADA]]</f>
        <v>45845</v>
      </c>
      <c r="K2179" s="41">
        <v>45907</v>
      </c>
      <c r="L2179" s="42">
        <f>_xlfn.DAYS(Tabla1[[#This Row],[FECHA FIN ]],Tabla1[[#This Row],[FECHA INICIO]])</f>
        <v>62</v>
      </c>
      <c r="M2179" s="12"/>
      <c r="N2179" s="12">
        <v>141.66666666666666</v>
      </c>
      <c r="O2179" s="28">
        <f>(Tabla1[[#This Row],[COSTO FIJO ]]/30)*Tabla1[[#This Row],[TOTAL DIAS PROYECTO]]+(Tabla1[[#This Row],[COSTO TEMPORAL]])</f>
        <v>292.77777777777777</v>
      </c>
      <c r="P2179" s="12"/>
      <c r="Q2179" s="12">
        <f>+(Tabla1[[#This Row],[COSTO COCHE]]/30)*Tabla1[[#This Row],[TOTAL DIAS PROYECTO]]</f>
        <v>0</v>
      </c>
      <c r="R2179" s="12">
        <f>+Tabla1[[#This Row],[COSTO TOTAL ALOJAMIENTO]]+Tabla1[[#This Row],[COSTO TOTAL COCHE]]</f>
        <v>292.77777777777777</v>
      </c>
      <c r="S2179" s="2"/>
      <c r="T2179" s="14" t="s">
        <v>35</v>
      </c>
      <c r="U2179" s="14">
        <v>45845</v>
      </c>
      <c r="V2179" s="43"/>
      <c r="W2179" s="12"/>
      <c r="X2179" s="2">
        <v>1</v>
      </c>
      <c r="Y2179" s="11" t="s">
        <v>3694</v>
      </c>
      <c r="Z2179" s="2" t="s">
        <v>36</v>
      </c>
      <c r="AA2179" s="13" t="s">
        <v>10367</v>
      </c>
      <c r="AB2179" s="13">
        <v>3899424</v>
      </c>
    </row>
    <row r="2180" spans="1:28" ht="15" customHeight="1">
      <c r="A2180" s="2" t="s">
        <v>9572</v>
      </c>
      <c r="B2180" s="2" t="s">
        <v>368</v>
      </c>
      <c r="C2180" s="18" t="s">
        <v>3695</v>
      </c>
      <c r="D2180" s="2" t="s">
        <v>30</v>
      </c>
      <c r="E2180" s="2" t="s">
        <v>877</v>
      </c>
      <c r="F2180" s="11" t="s">
        <v>3689</v>
      </c>
      <c r="G2180" s="46" t="s">
        <v>3690</v>
      </c>
      <c r="H2180" s="2" t="s">
        <v>3696</v>
      </c>
      <c r="I2180" s="12" t="s">
        <v>3692</v>
      </c>
      <c r="J2180" s="41">
        <f>+Tabla1[[#This Row],[FECHA ENTRADA]]</f>
        <v>45608</v>
      </c>
      <c r="K2180" s="22">
        <v>45608</v>
      </c>
      <c r="L2180" s="42">
        <f>_xlfn.DAYS(Tabla1[[#This Row],[FECHA FIN ]],Tabla1[[#This Row],[FECHA INICIO]])</f>
        <v>0</v>
      </c>
      <c r="M2180" s="12"/>
      <c r="N2180" s="12">
        <f>1811.6/17</f>
        <v>106.56470588235294</v>
      </c>
      <c r="O2180" s="28">
        <f>(Tabla1[[#This Row],[COSTO FIJO ]]/30)*Tabla1[[#This Row],[TOTAL DIAS PROYECTO]]+(Tabla1[[#This Row],[COSTO TEMPORAL]])</f>
        <v>0</v>
      </c>
      <c r="P2180" s="12"/>
      <c r="Q2180" s="12">
        <f>+(Tabla1[[#This Row],[COSTO COCHE]]/30)*Tabla1[[#This Row],[TOTAL DIAS PROYECTO]]</f>
        <v>0</v>
      </c>
      <c r="R2180" s="12">
        <f>+Tabla1[[#This Row],[COSTO TOTAL ALOJAMIENTO]]+Tabla1[[#This Row],[COSTO TOTAL COCHE]]</f>
        <v>0</v>
      </c>
      <c r="S2180" s="2"/>
      <c r="T2180" s="2" t="s">
        <v>35</v>
      </c>
      <c r="U2180" s="14">
        <v>45608</v>
      </c>
      <c r="V2180" s="43"/>
      <c r="W2180" s="26"/>
      <c r="X2180" s="2">
        <v>11</v>
      </c>
      <c r="Y2180" s="11" t="s">
        <v>119</v>
      </c>
      <c r="Z2180" s="2" t="s">
        <v>36</v>
      </c>
      <c r="AA2180" s="13" t="s">
        <v>10403</v>
      </c>
      <c r="AB2180" s="13" t="s">
        <v>10404</v>
      </c>
    </row>
    <row r="2181" spans="1:28" ht="60">
      <c r="A2181" s="2" t="s">
        <v>9571</v>
      </c>
      <c r="B2181" s="2" t="s">
        <v>28</v>
      </c>
      <c r="C2181" s="11" t="s">
        <v>3683</v>
      </c>
      <c r="D2181" s="2" t="s">
        <v>30</v>
      </c>
      <c r="E2181" s="2" t="s">
        <v>686</v>
      </c>
      <c r="F2181" s="11" t="s">
        <v>3068</v>
      </c>
      <c r="G2181" s="21" t="s">
        <v>3069</v>
      </c>
      <c r="H2181" s="2" t="s">
        <v>3070</v>
      </c>
      <c r="I2181" s="12" t="s">
        <v>96</v>
      </c>
      <c r="J2181" s="22">
        <f>+Tabla1[[#This Row],[FECHA ENTRADA]]</f>
        <v>45907</v>
      </c>
      <c r="K2181" s="22">
        <v>45931</v>
      </c>
      <c r="L2181" s="23">
        <f>_xlfn.DAYS(Tabla1[[#This Row],[FECHA FIN ]],Tabla1[[#This Row],[FECHA INICIO]])</f>
        <v>24</v>
      </c>
      <c r="M2181" s="12"/>
      <c r="N2181" s="20"/>
      <c r="O2181" s="24">
        <f>(Tabla1[[#This Row],[COSTO FIJO ]]/30)*Tabla1[[#This Row],[TOTAL DIAS PROYECTO]]+(Tabla1[[#This Row],[COSTO TEMPORAL]])</f>
        <v>0</v>
      </c>
      <c r="P2181" s="12"/>
      <c r="Q2181" s="12">
        <f>+(Tabla1[[#This Row],[COSTO COCHE]]/30)*Tabla1[[#This Row],[TOTAL DIAS PROYECTO]]</f>
        <v>0</v>
      </c>
      <c r="R2181" s="12">
        <f>+Tabla1[[#This Row],[COSTO TOTAL ALOJAMIENTO]]+Tabla1[[#This Row],[COSTO TOTAL COCHE]]</f>
        <v>0</v>
      </c>
      <c r="S2181" s="2"/>
      <c r="T2181" s="14" t="s">
        <v>44</v>
      </c>
      <c r="U2181" s="14">
        <v>45907</v>
      </c>
      <c r="V2181" s="25">
        <v>45931</v>
      </c>
      <c r="W2181" s="71"/>
      <c r="X2181" s="2"/>
      <c r="Y2181" s="136" t="s">
        <v>3697</v>
      </c>
      <c r="Z2181" s="2" t="s">
        <v>36</v>
      </c>
      <c r="AA2181" s="13" t="s">
        <v>10393</v>
      </c>
      <c r="AB2181" s="13">
        <v>3834517</v>
      </c>
    </row>
    <row r="2182" spans="1:28">
      <c r="A2182" s="2" t="s">
        <v>9387</v>
      </c>
      <c r="B2182" s="2" t="s">
        <v>368</v>
      </c>
      <c r="C2182" s="86" t="s">
        <v>3010</v>
      </c>
      <c r="D2182" s="2" t="s">
        <v>30</v>
      </c>
      <c r="E2182" s="2" t="s">
        <v>151</v>
      </c>
      <c r="F2182" s="11" t="s">
        <v>1499</v>
      </c>
      <c r="G2182" s="11" t="s">
        <v>1500</v>
      </c>
      <c r="H2182" s="2" t="s">
        <v>1260</v>
      </c>
      <c r="I2182" s="12" t="s">
        <v>152</v>
      </c>
      <c r="J2182" s="41">
        <f>+Tabla1[[#This Row],[FECHA ENTRADA]]</f>
        <v>45613</v>
      </c>
      <c r="K2182" s="22">
        <v>45821</v>
      </c>
      <c r="L2182" s="42">
        <f>_xlfn.DAYS(Tabla1[[#This Row],[FECHA FIN ]],Tabla1[[#This Row],[FECHA INICIO]])</f>
        <v>208</v>
      </c>
      <c r="M2182" s="12"/>
      <c r="N2182" s="28">
        <v>350</v>
      </c>
      <c r="O2182" s="28">
        <f>(Tabla1[[#This Row],[COSTO FIJO ]]/30)*Tabla1[[#This Row],[TOTAL DIAS PROYECTO]]+(Tabla1[[#This Row],[COSTO TEMPORAL]])</f>
        <v>2426.6666666666665</v>
      </c>
      <c r="P2182" s="12"/>
      <c r="Q2182" s="12">
        <f>+(Tabla1[[#This Row],[COSTO COCHE]]/30)*Tabla1[[#This Row],[TOTAL DIAS PROYECTO]]</f>
        <v>0</v>
      </c>
      <c r="R2182" s="12">
        <f>+Tabla1[[#This Row],[COSTO TOTAL ALOJAMIENTO]]+Tabla1[[#This Row],[COSTO TOTAL COCHE]]</f>
        <v>2426.6666666666665</v>
      </c>
      <c r="S2182" s="2"/>
      <c r="T2182" s="2" t="s">
        <v>35</v>
      </c>
      <c r="U2182" s="14">
        <v>45613</v>
      </c>
      <c r="V2182" s="43"/>
      <c r="W2182" s="26"/>
      <c r="X2182" s="2">
        <v>11</v>
      </c>
      <c r="Y2182" s="11"/>
      <c r="Z2182" s="2" t="s">
        <v>36</v>
      </c>
      <c r="AA2182" s="13" t="s">
        <v>10345</v>
      </c>
      <c r="AB2182" s="13" t="s">
        <v>10346</v>
      </c>
    </row>
    <row r="2183" spans="1:28" ht="15" customHeight="1">
      <c r="A2183" s="2" t="s">
        <v>9364</v>
      </c>
      <c r="B2183" s="2" t="s">
        <v>28</v>
      </c>
      <c r="C2183" s="18" t="s">
        <v>2940</v>
      </c>
      <c r="D2183" s="2" t="s">
        <v>30</v>
      </c>
      <c r="E2183" s="2" t="s">
        <v>151</v>
      </c>
      <c r="F2183" s="11" t="s">
        <v>1499</v>
      </c>
      <c r="G2183" s="11" t="s">
        <v>1500</v>
      </c>
      <c r="H2183" s="2" t="s">
        <v>1501</v>
      </c>
      <c r="I2183" s="12" t="s">
        <v>152</v>
      </c>
      <c r="J2183" s="41">
        <f>+Tabla1[[#This Row],[FECHA ENTRADA]]</f>
        <v>45550</v>
      </c>
      <c r="K2183" s="22">
        <v>45821</v>
      </c>
      <c r="L2183" s="42">
        <f>_xlfn.DAYS(Tabla1[[#This Row],[FECHA FIN ]],Tabla1[[#This Row],[FECHA INICIO]])</f>
        <v>271</v>
      </c>
      <c r="M2183" s="12"/>
      <c r="N2183" s="24"/>
      <c r="O2183" s="28">
        <f>(Tabla1[[#This Row],[COSTO FIJO ]]/30)*Tabla1[[#This Row],[TOTAL DIAS PROYECTO]]+(Tabla1[[#This Row],[COSTO TEMPORAL]])</f>
        <v>0</v>
      </c>
      <c r="P2183" s="12"/>
      <c r="Q2183" s="12">
        <f>+(Tabla1[[#This Row],[COSTO COCHE]]/30)*Tabla1[[#This Row],[TOTAL DIAS PROYECTO]]</f>
        <v>0</v>
      </c>
      <c r="R2183" s="12">
        <f>+Tabla1[[#This Row],[COSTO TOTAL ALOJAMIENTO]]+Tabla1[[#This Row],[COSTO TOTAL COCHE]]</f>
        <v>0</v>
      </c>
      <c r="S2183" s="2"/>
      <c r="T2183" s="2" t="s">
        <v>35</v>
      </c>
      <c r="U2183" s="14">
        <v>45550</v>
      </c>
      <c r="V2183" s="75"/>
      <c r="W2183" s="26"/>
      <c r="X2183" s="2">
        <v>11</v>
      </c>
      <c r="Y2183" s="11" t="s">
        <v>1502</v>
      </c>
      <c r="Z2183" s="2" t="s">
        <v>36</v>
      </c>
      <c r="AA2183" s="13" t="s">
        <v>10345</v>
      </c>
      <c r="AB2183" s="13" t="s">
        <v>10346</v>
      </c>
    </row>
    <row r="2184" spans="1:28" ht="15" customHeight="1">
      <c r="A2184" s="117" t="s">
        <v>9571</v>
      </c>
      <c r="B2184" s="117" t="s">
        <v>711</v>
      </c>
      <c r="C2184" s="224" t="s">
        <v>3683</v>
      </c>
      <c r="D2184" s="117" t="s">
        <v>30</v>
      </c>
      <c r="E2184" s="117" t="s">
        <v>686</v>
      </c>
      <c r="F2184" s="11" t="s">
        <v>3253</v>
      </c>
      <c r="G2184" s="128" t="s">
        <v>3254</v>
      </c>
      <c r="H2184" s="117" t="s">
        <v>3070</v>
      </c>
      <c r="I2184" s="119" t="s">
        <v>96</v>
      </c>
      <c r="J2184" s="121">
        <f>+Tabla1[[#This Row],[FECHA ENTRADA]]</f>
        <v>46010</v>
      </c>
      <c r="K2184" s="121">
        <f ca="1">TODAY()</f>
        <v>46260</v>
      </c>
      <c r="L2184" s="129">
        <f ca="1">_xlfn.DAYS(Tabla1[[#This Row],[FECHA FIN ]],Tabla1[[#This Row],[FECHA INICIO]])</f>
        <v>250</v>
      </c>
      <c r="M2184" s="119">
        <v>387.5</v>
      </c>
      <c r="N2184" s="130"/>
      <c r="O2184" s="131">
        <f ca="1">(Tabla1[[#This Row],[COSTO FIJO ]]/30)*Tabla1[[#This Row],[TOTAL DIAS PROYECTO]]+(Tabla1[[#This Row],[COSTO TEMPORAL]])</f>
        <v>387.5</v>
      </c>
      <c r="P2184" s="119"/>
      <c r="Q2184" s="119">
        <f ca="1">+(Tabla1[[#This Row],[COSTO COCHE]]/30)*Tabla1[[#This Row],[TOTAL DIAS PROYECTO]]</f>
        <v>0</v>
      </c>
      <c r="R2184" s="119">
        <f ca="1">+Tabla1[[#This Row],[COSTO TOTAL ALOJAMIENTO]]+Tabla1[[#This Row],[COSTO TOTAL COCHE]]</f>
        <v>387.5</v>
      </c>
      <c r="S2184" s="117"/>
      <c r="T2184" s="124" t="s">
        <v>44</v>
      </c>
      <c r="U2184" s="124">
        <v>46010</v>
      </c>
      <c r="V2184" s="125">
        <v>46101</v>
      </c>
      <c r="W2184" s="119"/>
      <c r="X2184" s="117">
        <v>1</v>
      </c>
      <c r="Y2184" s="118" t="s">
        <v>3698</v>
      </c>
      <c r="Z2184" s="117" t="s">
        <v>36</v>
      </c>
      <c r="AA2184" s="127" t="s">
        <v>10393</v>
      </c>
      <c r="AB2184" s="127">
        <v>3834517</v>
      </c>
    </row>
    <row r="2185" spans="1:28" ht="15" customHeight="1">
      <c r="A2185" s="117" t="s">
        <v>9571</v>
      </c>
      <c r="B2185" s="117" t="s">
        <v>711</v>
      </c>
      <c r="C2185" s="224" t="s">
        <v>3683</v>
      </c>
      <c r="D2185" s="117" t="s">
        <v>30</v>
      </c>
      <c r="E2185" s="117" t="s">
        <v>686</v>
      </c>
      <c r="F2185" s="11" t="s">
        <v>3257</v>
      </c>
      <c r="G2185" s="128" t="s">
        <v>3258</v>
      </c>
      <c r="H2185" s="117" t="s">
        <v>3070</v>
      </c>
      <c r="I2185" s="119" t="s">
        <v>96</v>
      </c>
      <c r="J2185" s="121">
        <f>+Tabla1[[#This Row],[FECHA ENTRADA]]</f>
        <v>46100</v>
      </c>
      <c r="K2185" s="121">
        <v>46120</v>
      </c>
      <c r="L2185" s="129">
        <f>_xlfn.DAYS(Tabla1[[#This Row],[FECHA FIN ]],Tabla1[[#This Row],[FECHA INICIO]])</f>
        <v>20</v>
      </c>
      <c r="M2185" s="119">
        <f>1622.88/4</f>
        <v>405.72</v>
      </c>
      <c r="N2185" s="130"/>
      <c r="O2185" s="131">
        <f>(Tabla1[[#This Row],[COSTO FIJO ]]/30)*Tabla1[[#This Row],[TOTAL DIAS PROYECTO]]+(Tabla1[[#This Row],[COSTO TEMPORAL]])</f>
        <v>405.72</v>
      </c>
      <c r="P2185" s="119"/>
      <c r="Q2185" s="119">
        <f>+(Tabla1[[#This Row],[COSTO COCHE]]/30)*Tabla1[[#This Row],[TOTAL DIAS PROYECTO]]</f>
        <v>0</v>
      </c>
      <c r="R2185" s="119">
        <f>+Tabla1[[#This Row],[COSTO TOTAL ALOJAMIENTO]]+Tabla1[[#This Row],[COSTO TOTAL COCHE]]</f>
        <v>405.72</v>
      </c>
      <c r="S2185" s="117" t="s">
        <v>403</v>
      </c>
      <c r="T2185" s="124" t="s">
        <v>44</v>
      </c>
      <c r="U2185" s="124">
        <v>46100</v>
      </c>
      <c r="V2185" s="132">
        <v>46121</v>
      </c>
      <c r="W2185" s="119"/>
      <c r="X2185" s="117"/>
      <c r="Y2185" s="118" t="s">
        <v>3259</v>
      </c>
      <c r="Z2185" s="117" t="s">
        <v>36</v>
      </c>
      <c r="AA2185" s="127" t="s">
        <v>10393</v>
      </c>
      <c r="AB2185" s="127">
        <v>3834517</v>
      </c>
    </row>
    <row r="2186" spans="1:28">
      <c r="A2186" s="117" t="s">
        <v>9571</v>
      </c>
      <c r="B2186" s="117" t="s">
        <v>711</v>
      </c>
      <c r="C2186" s="224" t="s">
        <v>3683</v>
      </c>
      <c r="D2186" s="117" t="s">
        <v>30</v>
      </c>
      <c r="E2186" s="117" t="s">
        <v>686</v>
      </c>
      <c r="F2186" s="11" t="s">
        <v>3268</v>
      </c>
      <c r="G2186" s="128" t="s">
        <v>3269</v>
      </c>
      <c r="H2186" s="117" t="s">
        <v>3070</v>
      </c>
      <c r="I2186" s="119" t="s">
        <v>96</v>
      </c>
      <c r="J2186" s="120">
        <f>+Tabla1[[#This Row],[FECHA ENTRADA]]</f>
        <v>45931</v>
      </c>
      <c r="K2186" s="121">
        <f ca="1">TODAY()</f>
        <v>46260</v>
      </c>
      <c r="L2186" s="122">
        <f ca="1">_xlfn.DAYS(Tabla1[[#This Row],[FECHA FIN ]],Tabla1[[#This Row],[FECHA INICIO]])</f>
        <v>329</v>
      </c>
      <c r="M2186" s="119">
        <f>4606.12/4</f>
        <v>1151.53</v>
      </c>
      <c r="N2186" s="123"/>
      <c r="O2186" s="123">
        <f ca="1">(Tabla1[[#This Row],[COSTO FIJO ]]/30)*Tabla1[[#This Row],[TOTAL DIAS PROYECTO]]+(Tabla1[[#This Row],[COSTO TEMPORAL]])</f>
        <v>1151.53</v>
      </c>
      <c r="P2186" s="119"/>
      <c r="Q2186" s="119">
        <f ca="1">+(Tabla1[[#This Row],[COSTO COCHE]]/30)*Tabla1[[#This Row],[TOTAL DIAS PROYECTO]]</f>
        <v>0</v>
      </c>
      <c r="R2186" s="119">
        <f ca="1">+Tabla1[[#This Row],[COSTO TOTAL ALOJAMIENTO]]+Tabla1[[#This Row],[COSTO TOTAL COCHE]]</f>
        <v>1151.53</v>
      </c>
      <c r="S2186" s="117" t="s">
        <v>84</v>
      </c>
      <c r="T2186" s="124" t="s">
        <v>44</v>
      </c>
      <c r="U2186" s="124">
        <v>45931</v>
      </c>
      <c r="V2186" s="125">
        <v>46010</v>
      </c>
      <c r="W2186" s="126"/>
      <c r="X2186" s="117"/>
      <c r="Y2186" s="118" t="s">
        <v>3699</v>
      </c>
      <c r="Z2186" s="117" t="s">
        <v>36</v>
      </c>
      <c r="AA2186" s="127" t="s">
        <v>10393</v>
      </c>
      <c r="AB2186" s="127">
        <v>3834517</v>
      </c>
    </row>
    <row r="2187" spans="1:28" ht="15" customHeight="1">
      <c r="A2187" s="117" t="s">
        <v>9571</v>
      </c>
      <c r="B2187" s="117" t="s">
        <v>711</v>
      </c>
      <c r="C2187" s="224" t="s">
        <v>3683</v>
      </c>
      <c r="D2187" s="117" t="s">
        <v>30</v>
      </c>
      <c r="E2187" s="117" t="s">
        <v>686</v>
      </c>
      <c r="F2187" s="11" t="s">
        <v>3068</v>
      </c>
      <c r="G2187" s="128" t="s">
        <v>3312</v>
      </c>
      <c r="H2187" s="117" t="s">
        <v>3070</v>
      </c>
      <c r="I2187" s="119" t="s">
        <v>96</v>
      </c>
      <c r="J2187" s="121">
        <f>+Tabla1[[#This Row],[FECHA ENTRADA]]</f>
        <v>46120</v>
      </c>
      <c r="K2187" s="121">
        <v>46139</v>
      </c>
      <c r="L2187" s="129">
        <f>_xlfn.DAYS(Tabla1[[#This Row],[FECHA FIN ]],Tabla1[[#This Row],[FECHA INICIO]])</f>
        <v>19</v>
      </c>
      <c r="M2187" s="119">
        <f>1122.6/4</f>
        <v>280.64999999999998</v>
      </c>
      <c r="N2187" s="130"/>
      <c r="O2187" s="131">
        <f>(Tabla1[[#This Row],[COSTO FIJO ]]/30)*Tabla1[[#This Row],[TOTAL DIAS PROYECTO]]+(Tabla1[[#This Row],[COSTO TEMPORAL]])</f>
        <v>280.64999999999998</v>
      </c>
      <c r="P2187" s="119"/>
      <c r="Q2187" s="119">
        <f>+(Tabla1[[#This Row],[COSTO COCHE]]/30)*Tabla1[[#This Row],[TOTAL DIAS PROYECTO]]</f>
        <v>0</v>
      </c>
      <c r="R2187" s="119">
        <f>+Tabla1[[#This Row],[COSTO TOTAL ALOJAMIENTO]]+Tabla1[[#This Row],[COSTO TOTAL COCHE]]</f>
        <v>280.64999999999998</v>
      </c>
      <c r="S2187" s="117"/>
      <c r="T2187" s="124" t="s">
        <v>44</v>
      </c>
      <c r="U2187" s="124">
        <v>46120</v>
      </c>
      <c r="V2187" s="125">
        <v>46140</v>
      </c>
      <c r="W2187" s="119"/>
      <c r="X2187" s="117"/>
      <c r="Y2187" s="118" t="s">
        <v>3700</v>
      </c>
      <c r="Z2187" s="117" t="s">
        <v>36</v>
      </c>
      <c r="AA2187" s="127" t="s">
        <v>10393</v>
      </c>
      <c r="AB2187" s="127">
        <v>3834517</v>
      </c>
    </row>
    <row r="2188" spans="1:28" ht="15" customHeight="1">
      <c r="A2188" s="2" t="s">
        <v>8642</v>
      </c>
      <c r="B2188" s="2" t="s">
        <v>606</v>
      </c>
      <c r="C2188" s="31" t="s">
        <v>3701</v>
      </c>
      <c r="D2188" s="2" t="s">
        <v>30</v>
      </c>
      <c r="E2188" s="2" t="s">
        <v>31</v>
      </c>
      <c r="F2188" s="11" t="s">
        <v>1206</v>
      </c>
      <c r="G2188" s="167" t="s">
        <v>1005</v>
      </c>
      <c r="H2188" s="2" t="s">
        <v>2390</v>
      </c>
      <c r="I2188" s="12" t="s">
        <v>2391</v>
      </c>
      <c r="J2188" s="22">
        <f>+Tabla1[[#This Row],[FECHA ENTRADA]]</f>
        <v>46236</v>
      </c>
      <c r="K2188" s="22">
        <v>46255</v>
      </c>
      <c r="L2188" s="23">
        <f>_xlfn.DAYS(Tabla1[[#This Row],[FECHA FIN ]],Tabla1[[#This Row],[FECHA INICIO]])</f>
        <v>19</v>
      </c>
      <c r="M2188" s="12"/>
      <c r="N2188" s="12">
        <v>416.66666666666669</v>
      </c>
      <c r="O2188" s="24">
        <f>(Tabla1[[#This Row],[COSTO FIJO ]]/30)*Tabla1[[#This Row],[TOTAL DIAS PROYECTO]]+(Tabla1[[#This Row],[COSTO TEMPORAL]])</f>
        <v>263.88888888888891</v>
      </c>
      <c r="P2188" s="12"/>
      <c r="Q2188" s="12">
        <f>+(Tabla1[[#This Row],[COSTO COCHE]]/30)*Tabla1[[#This Row],[TOTAL DIAS PROYECTO]]</f>
        <v>0</v>
      </c>
      <c r="R2188" s="12">
        <f>+Tabla1[[#This Row],[COSTO TOTAL ALOJAMIENTO]]+Tabla1[[#This Row],[COSTO TOTAL COCHE]]</f>
        <v>263.88888888888891</v>
      </c>
      <c r="S2188" s="2"/>
      <c r="T2188" s="14" t="s">
        <v>35</v>
      </c>
      <c r="U2188" s="14">
        <v>46236</v>
      </c>
      <c r="V2188" s="79"/>
      <c r="W2188" s="12"/>
      <c r="X2188" s="2">
        <v>1</v>
      </c>
      <c r="Y2188" s="168" t="s">
        <v>3702</v>
      </c>
      <c r="Z2188" s="2" t="s">
        <v>36</v>
      </c>
      <c r="AA2188" s="13" t="s">
        <v>10323</v>
      </c>
      <c r="AB2188" s="13" t="s">
        <v>10324</v>
      </c>
    </row>
    <row r="2189" spans="1:28" ht="15" customHeight="1">
      <c r="A2189" s="2" t="s">
        <v>9297</v>
      </c>
      <c r="B2189" s="2" t="s">
        <v>368</v>
      </c>
      <c r="C2189" s="18" t="s">
        <v>2736</v>
      </c>
      <c r="D2189" s="2" t="s">
        <v>30</v>
      </c>
      <c r="E2189" s="2" t="s">
        <v>877</v>
      </c>
      <c r="F2189" s="11" t="s">
        <v>3689</v>
      </c>
      <c r="G2189" s="46" t="s">
        <v>3690</v>
      </c>
      <c r="H2189" s="2" t="s">
        <v>3696</v>
      </c>
      <c r="I2189" s="12" t="s">
        <v>3692</v>
      </c>
      <c r="J2189" s="41">
        <f>+Tabla1[[#This Row],[FECHA ENTRADA]]</f>
        <v>45608</v>
      </c>
      <c r="K2189" s="22">
        <v>45821</v>
      </c>
      <c r="L2189" s="42">
        <f>_xlfn.DAYS(Tabla1[[#This Row],[FECHA FIN ]],Tabla1[[#This Row],[FECHA INICIO]])</f>
        <v>213</v>
      </c>
      <c r="M2189" s="12"/>
      <c r="N2189" s="28">
        <v>350</v>
      </c>
      <c r="O2189" s="28">
        <f>(Tabla1[[#This Row],[COSTO FIJO ]]/30)*Tabla1[[#This Row],[TOTAL DIAS PROYECTO]]+(Tabla1[[#This Row],[COSTO TEMPORAL]])</f>
        <v>2485</v>
      </c>
      <c r="P2189" s="12"/>
      <c r="Q2189" s="12">
        <f>+(Tabla1[[#This Row],[COSTO COCHE]]/30)*Tabla1[[#This Row],[TOTAL DIAS PROYECTO]]</f>
        <v>0</v>
      </c>
      <c r="R2189" s="12">
        <f>+Tabla1[[#This Row],[COSTO TOTAL ALOJAMIENTO]]+Tabla1[[#This Row],[COSTO TOTAL COCHE]]</f>
        <v>2485</v>
      </c>
      <c r="S2189" s="2"/>
      <c r="T2189" s="2" t="s">
        <v>35</v>
      </c>
      <c r="U2189" s="14">
        <v>45608</v>
      </c>
      <c r="V2189" s="43"/>
      <c r="W2189" s="26"/>
      <c r="X2189" s="2">
        <v>11</v>
      </c>
      <c r="Y2189" s="11"/>
      <c r="Z2189" s="2" t="s">
        <v>36</v>
      </c>
      <c r="AA2189" s="13" t="s">
        <v>10403</v>
      </c>
      <c r="AB2189" s="13" t="s">
        <v>10404</v>
      </c>
    </row>
    <row r="2190" spans="1:28">
      <c r="A2190" s="2" t="s">
        <v>9298</v>
      </c>
      <c r="B2190" s="2" t="s">
        <v>28</v>
      </c>
      <c r="C2190" s="11" t="s">
        <v>2737</v>
      </c>
      <c r="D2190" s="2" t="s">
        <v>30</v>
      </c>
      <c r="E2190" s="2" t="s">
        <v>3703</v>
      </c>
      <c r="F2190" s="11" t="s">
        <v>3704</v>
      </c>
      <c r="G2190" s="11" t="s">
        <v>361</v>
      </c>
      <c r="H2190" s="2" t="s">
        <v>3705</v>
      </c>
      <c r="I2190" s="2" t="s">
        <v>2741</v>
      </c>
      <c r="J2190" s="8">
        <f>+Tabla1[[#This Row],[FECHA ENTRADA]]</f>
        <v>45396</v>
      </c>
      <c r="K2190" s="22">
        <v>45492</v>
      </c>
      <c r="L2190" s="13">
        <f>_xlfn.DAYS(Tabla1[[#This Row],[FECHA FIN ]],Tabla1[[#This Row],[FECHA INICIO]])</f>
        <v>96</v>
      </c>
      <c r="M2190" s="12"/>
      <c r="N2190" s="12">
        <v>250</v>
      </c>
      <c r="O2190" s="12">
        <f>(Tabla1[[#This Row],[COSTO FIJO ]]/30)*Tabla1[[#This Row],[TOTAL DIAS PROYECTO]]+(Tabla1[[#This Row],[COSTO TEMPORAL]])</f>
        <v>800</v>
      </c>
      <c r="P2190" s="12"/>
      <c r="Q2190" s="12">
        <f>+(Tabla1[[#This Row],[COSTO COCHE]]/30)*Tabla1[[#This Row],[TOTAL DIAS PROYECTO]]</f>
        <v>0</v>
      </c>
      <c r="R2190" s="12">
        <f>+Tabla1[[#This Row],[COSTO TOTAL ALOJAMIENTO]]+Tabla1[[#This Row],[COSTO TOTAL COCHE]]</f>
        <v>800</v>
      </c>
      <c r="S2190" s="2" t="s">
        <v>3706</v>
      </c>
      <c r="T2190" s="2" t="s">
        <v>35</v>
      </c>
      <c r="U2190" s="14">
        <v>45396</v>
      </c>
      <c r="V2190" s="14"/>
      <c r="W2190" s="62">
        <v>250</v>
      </c>
      <c r="X2190" s="16">
        <v>12</v>
      </c>
      <c r="Y2190" s="18" t="s">
        <v>3707</v>
      </c>
      <c r="Z2190" s="2" t="s">
        <v>36</v>
      </c>
      <c r="AA2190" s="13" t="s">
        <v>10443</v>
      </c>
      <c r="AB2190" s="13" t="s">
        <v>10444</v>
      </c>
    </row>
    <row r="2191" spans="1:28" ht="15" customHeight="1">
      <c r="A2191" s="2" t="s">
        <v>9298</v>
      </c>
      <c r="B2191" s="2" t="s">
        <v>28</v>
      </c>
      <c r="C2191" s="11" t="s">
        <v>2737</v>
      </c>
      <c r="D2191" s="2" t="s">
        <v>30</v>
      </c>
      <c r="E2191" s="2" t="s">
        <v>1719</v>
      </c>
      <c r="F2191" s="11" t="s">
        <v>3708</v>
      </c>
      <c r="G2191" s="21" t="s">
        <v>3709</v>
      </c>
      <c r="H2191" s="2" t="s">
        <v>3710</v>
      </c>
      <c r="I2191" s="12" t="s">
        <v>152</v>
      </c>
      <c r="J2191" s="8">
        <f>+Tabla1[[#This Row],[FECHA ENTRADA]]</f>
        <v>45559</v>
      </c>
      <c r="K2191" s="22">
        <v>45821</v>
      </c>
      <c r="L2191" s="42">
        <f>_xlfn.DAYS(Tabla1[[#This Row],[FECHA FIN ]],Tabla1[[#This Row],[FECHA INICIO]])</f>
        <v>262</v>
      </c>
      <c r="M2191" s="12"/>
      <c r="N2191" s="12"/>
      <c r="O2191" s="28">
        <f>(Tabla1[[#This Row],[COSTO FIJO ]]/30)*Tabla1[[#This Row],[TOTAL DIAS PROYECTO]]+(Tabla1[[#This Row],[COSTO TEMPORAL]])</f>
        <v>0</v>
      </c>
      <c r="P2191" s="12"/>
      <c r="Q2191" s="12">
        <f>+(Tabla1[[#This Row],[COSTO COCHE]]/30)*Tabla1[[#This Row],[TOTAL DIAS PROYECTO]]</f>
        <v>0</v>
      </c>
      <c r="R2191" s="12">
        <f>+Tabla1[[#This Row],[COSTO TOTAL ALOJAMIENTO]]+Tabla1[[#This Row],[COSTO TOTAL COCHE]]</f>
        <v>0</v>
      </c>
      <c r="S2191" s="2"/>
      <c r="T2191" s="2" t="s">
        <v>35</v>
      </c>
      <c r="U2191" s="14">
        <v>45559</v>
      </c>
      <c r="V2191" s="79"/>
      <c r="W2191" s="26">
        <v>1200</v>
      </c>
      <c r="X2191" s="2">
        <v>12</v>
      </c>
      <c r="Y2191" s="11" t="s">
        <v>3711</v>
      </c>
      <c r="Z2191" s="2" t="s">
        <v>36</v>
      </c>
      <c r="AA2191" s="13" t="s">
        <v>10427</v>
      </c>
      <c r="AB2191" s="13">
        <v>4260003</v>
      </c>
    </row>
    <row r="2192" spans="1:28">
      <c r="A2192" s="2" t="s">
        <v>9006</v>
      </c>
      <c r="B2192" s="2" t="s">
        <v>28</v>
      </c>
      <c r="C2192" s="11" t="s">
        <v>1675</v>
      </c>
      <c r="D2192" s="2" t="s">
        <v>30</v>
      </c>
      <c r="E2192" s="2" t="s">
        <v>1719</v>
      </c>
      <c r="F2192" s="11" t="s">
        <v>3712</v>
      </c>
      <c r="G2192" s="46" t="s">
        <v>3709</v>
      </c>
      <c r="H2192" s="2" t="s">
        <v>2422</v>
      </c>
      <c r="I2192" s="12" t="s">
        <v>152</v>
      </c>
      <c r="J2192" s="41">
        <f>+Tabla1[[#This Row],[FECHA ENTRADA]]</f>
        <v>45550</v>
      </c>
      <c r="K2192" s="8">
        <v>45653</v>
      </c>
      <c r="L2192" s="42">
        <f>_xlfn.DAYS(Tabla1[[#This Row],[FECHA FIN ]],Tabla1[[#This Row],[FECHA INICIO]])</f>
        <v>103</v>
      </c>
      <c r="M2192" s="12"/>
      <c r="N2192" s="12">
        <v>240</v>
      </c>
      <c r="O2192" s="28">
        <f>(Tabla1[[#This Row],[COSTO FIJO ]]/30)*Tabla1[[#This Row],[TOTAL DIAS PROYECTO]]+(Tabla1[[#This Row],[COSTO TEMPORAL]])</f>
        <v>824</v>
      </c>
      <c r="P2192" s="12"/>
      <c r="Q2192" s="12">
        <f>+(Tabla1[[#This Row],[COSTO COCHE]]/30)*Tabla1[[#This Row],[TOTAL DIAS PROYECTO]]</f>
        <v>0</v>
      </c>
      <c r="R2192" s="12">
        <f>+Tabla1[[#This Row],[COSTO TOTAL ALOJAMIENTO]]+Tabla1[[#This Row],[COSTO TOTAL COCHE]]</f>
        <v>824</v>
      </c>
      <c r="S2192" s="2"/>
      <c r="T2192" s="2" t="s">
        <v>35</v>
      </c>
      <c r="U2192" s="14">
        <v>45550</v>
      </c>
      <c r="V2192" s="43">
        <v>45611</v>
      </c>
      <c r="W2192" s="26"/>
      <c r="X2192" s="2">
        <v>12</v>
      </c>
      <c r="Y2192" s="31" t="s">
        <v>3713</v>
      </c>
      <c r="Z2192" s="2" t="s">
        <v>36</v>
      </c>
      <c r="AA2192" s="13" t="s">
        <v>10427</v>
      </c>
      <c r="AB2192" s="13">
        <v>4260003</v>
      </c>
    </row>
    <row r="2193" spans="1:28" ht="15" customHeight="1">
      <c r="A2193" s="2" t="s">
        <v>8884</v>
      </c>
      <c r="B2193" s="2" t="s">
        <v>28</v>
      </c>
      <c r="C2193" s="11" t="s">
        <v>1160</v>
      </c>
      <c r="D2193" s="2" t="s">
        <v>30</v>
      </c>
      <c r="E2193" s="2" t="s">
        <v>1393</v>
      </c>
      <c r="F2193" s="11" t="s">
        <v>3689</v>
      </c>
      <c r="G2193" s="49" t="s">
        <v>3690</v>
      </c>
      <c r="H2193" s="64" t="s">
        <v>1396</v>
      </c>
      <c r="I2193" s="64" t="s">
        <v>1067</v>
      </c>
      <c r="J2193" s="22">
        <f>+Tabla1[[#This Row],[FECHA ENTRADA]]</f>
        <v>45761</v>
      </c>
      <c r="K2193" s="22">
        <v>45821</v>
      </c>
      <c r="L2193" s="42">
        <f>_xlfn.DAYS(Tabla1[[#This Row],[FECHA FIN ]],Tabla1[[#This Row],[FECHA INICIO]])</f>
        <v>60</v>
      </c>
      <c r="M2193" s="12"/>
      <c r="N2193" s="20">
        <v>450</v>
      </c>
      <c r="O2193" s="28">
        <f>(Tabla1[[#This Row],[COSTO FIJO ]]/30)*Tabla1[[#This Row],[TOTAL DIAS PROYECTO]]+(Tabla1[[#This Row],[COSTO TEMPORAL]])</f>
        <v>900</v>
      </c>
      <c r="P2193" s="12">
        <v>133.33333333333334</v>
      </c>
      <c r="Q2193" s="12">
        <f>+(Tabla1[[#This Row],[COSTO COCHE]]/30)*Tabla1[[#This Row],[TOTAL DIAS PROYECTO]]</f>
        <v>266.66666666666669</v>
      </c>
      <c r="R2193" s="12">
        <f>+Tabla1[[#This Row],[COSTO TOTAL ALOJAMIENTO]]+Tabla1[[#This Row],[COSTO TOTAL COCHE]]</f>
        <v>1166.6666666666667</v>
      </c>
      <c r="S2193" s="2"/>
      <c r="T2193" s="2" t="s">
        <v>35</v>
      </c>
      <c r="U2193" s="14">
        <v>45761</v>
      </c>
      <c r="V2193" s="43"/>
      <c r="W2193" s="26"/>
      <c r="X2193" s="2">
        <v>12</v>
      </c>
      <c r="Y2193" s="11" t="s">
        <v>1166</v>
      </c>
      <c r="Z2193" s="2" t="s">
        <v>36</v>
      </c>
      <c r="AA2193" s="13" t="s">
        <v>10416</v>
      </c>
      <c r="AB2193" s="13" t="s">
        <v>10417</v>
      </c>
    </row>
    <row r="2194" spans="1:28" ht="15" customHeight="1">
      <c r="A2194" s="2" t="s">
        <v>9233</v>
      </c>
      <c r="B2194" s="2" t="s">
        <v>28</v>
      </c>
      <c r="C2194" s="11" t="s">
        <v>2524</v>
      </c>
      <c r="D2194" s="2" t="s">
        <v>30</v>
      </c>
      <c r="E2194" s="2" t="s">
        <v>1719</v>
      </c>
      <c r="F2194" s="11" t="s">
        <v>3708</v>
      </c>
      <c r="G2194" s="46" t="s">
        <v>3709</v>
      </c>
      <c r="H2194" s="2" t="s">
        <v>2422</v>
      </c>
      <c r="I2194" s="12" t="s">
        <v>152</v>
      </c>
      <c r="J2194" s="41">
        <f>+Tabla1[[#This Row],[FECHA ENTRADA]]</f>
        <v>45550</v>
      </c>
      <c r="K2194" s="22">
        <v>45821</v>
      </c>
      <c r="L2194" s="42">
        <f>_xlfn.DAYS(Tabla1[[#This Row],[FECHA FIN ]],Tabla1[[#This Row],[FECHA INICIO]])</f>
        <v>271</v>
      </c>
      <c r="M2194" s="12"/>
      <c r="N2194" s="12">
        <f>1811.6/17</f>
        <v>106.56470588235294</v>
      </c>
      <c r="O2194" s="28">
        <f>(Tabla1[[#This Row],[COSTO FIJO ]]/30)*Tabla1[[#This Row],[TOTAL DIAS PROYECTO]]+(Tabla1[[#This Row],[COSTO TEMPORAL]])</f>
        <v>962.63450980392156</v>
      </c>
      <c r="P2194" s="12"/>
      <c r="Q2194" s="12">
        <f>+(Tabla1[[#This Row],[COSTO COCHE]]/30)*Tabla1[[#This Row],[TOTAL DIAS PROYECTO]]</f>
        <v>0</v>
      </c>
      <c r="R2194" s="12">
        <f>+Tabla1[[#This Row],[COSTO TOTAL ALOJAMIENTO]]+Tabla1[[#This Row],[COSTO TOTAL COCHE]]</f>
        <v>962.63450980392156</v>
      </c>
      <c r="S2194" s="2"/>
      <c r="T2194" s="2" t="s">
        <v>35</v>
      </c>
      <c r="U2194" s="14">
        <v>45550</v>
      </c>
      <c r="V2194" s="75">
        <v>45611</v>
      </c>
      <c r="W2194" s="26"/>
      <c r="X2194" s="2">
        <v>12</v>
      </c>
      <c r="Y2194" s="31" t="s">
        <v>3714</v>
      </c>
      <c r="Z2194" s="2" t="s">
        <v>36</v>
      </c>
      <c r="AA2194" s="13" t="s">
        <v>10427</v>
      </c>
      <c r="AB2194" s="13">
        <v>4260003</v>
      </c>
    </row>
    <row r="2195" spans="1:28" ht="15" customHeight="1">
      <c r="A2195" s="2" t="s">
        <v>9573</v>
      </c>
      <c r="B2195" s="2" t="s">
        <v>28</v>
      </c>
      <c r="C2195" s="11" t="s">
        <v>3715</v>
      </c>
      <c r="D2195" s="2" t="s">
        <v>30</v>
      </c>
      <c r="E2195" s="2" t="s">
        <v>476</v>
      </c>
      <c r="F2195" s="11" t="s">
        <v>3716</v>
      </c>
      <c r="G2195" s="11" t="s">
        <v>3717</v>
      </c>
      <c r="H2195" s="2" t="s">
        <v>484</v>
      </c>
      <c r="I2195" s="12" t="s">
        <v>165</v>
      </c>
      <c r="J2195" s="8">
        <f>+Tabla1[[#This Row],[FECHA ENTRADA]]</f>
        <v>45396</v>
      </c>
      <c r="K2195" s="22">
        <v>45821</v>
      </c>
      <c r="L2195" s="13">
        <f>_xlfn.DAYS(Tabla1[[#This Row],[FECHA FIN ]],Tabla1[[#This Row],[FECHA INICIO]])</f>
        <v>425</v>
      </c>
      <c r="M2195" s="12"/>
      <c r="N2195" s="12">
        <f>1811.6/17</f>
        <v>106.56470588235294</v>
      </c>
      <c r="O2195" s="12">
        <f>(Tabla1[[#This Row],[COSTO FIJO ]]/30)*Tabla1[[#This Row],[TOTAL DIAS PROYECTO]]+(Tabla1[[#This Row],[COSTO TEMPORAL]])</f>
        <v>1509.6666666666667</v>
      </c>
      <c r="P2195" s="12"/>
      <c r="Q2195" s="12">
        <f>+(Tabla1[[#This Row],[COSTO COCHE]]/30)*Tabla1[[#This Row],[TOTAL DIAS PROYECTO]]</f>
        <v>0</v>
      </c>
      <c r="R2195" s="12">
        <f>+Tabla1[[#This Row],[COSTO TOTAL ALOJAMIENTO]]+Tabla1[[#This Row],[COSTO TOTAL COCHE]]</f>
        <v>1509.6666666666667</v>
      </c>
      <c r="S2195" s="2"/>
      <c r="T2195" s="2" t="s">
        <v>35</v>
      </c>
      <c r="U2195" s="14">
        <v>45396</v>
      </c>
      <c r="V2195" s="14"/>
      <c r="W2195" s="15"/>
      <c r="X2195" s="16">
        <v>12</v>
      </c>
      <c r="Y2195" s="18" t="s">
        <v>3718</v>
      </c>
      <c r="Z2195" s="2" t="s">
        <v>36</v>
      </c>
      <c r="AA2195" s="13">
        <v>-7.8640699999999999</v>
      </c>
      <c r="AB2195" s="13">
        <v>42.336689999999997</v>
      </c>
    </row>
    <row r="2196" spans="1:28" ht="15" customHeight="1">
      <c r="A2196" s="2" t="s">
        <v>9202</v>
      </c>
      <c r="B2196" s="2" t="s">
        <v>28</v>
      </c>
      <c r="C2196" s="11" t="s">
        <v>2419</v>
      </c>
      <c r="D2196" s="2" t="s">
        <v>30</v>
      </c>
      <c r="E2196" s="2" t="s">
        <v>1719</v>
      </c>
      <c r="F2196" s="11" t="s">
        <v>3708</v>
      </c>
      <c r="G2196" s="46" t="s">
        <v>3709</v>
      </c>
      <c r="H2196" s="2" t="s">
        <v>2422</v>
      </c>
      <c r="I2196" s="12" t="s">
        <v>152</v>
      </c>
      <c r="J2196" s="41">
        <f>+Tabla1[[#This Row],[FECHA ENTRADA]]</f>
        <v>45550</v>
      </c>
      <c r="K2196" s="22">
        <v>45821</v>
      </c>
      <c r="L2196" s="42">
        <f>_xlfn.DAYS(Tabla1[[#This Row],[FECHA FIN ]],Tabla1[[#This Row],[FECHA INICIO]])</f>
        <v>271</v>
      </c>
      <c r="M2196" s="12"/>
      <c r="N2196" s="12">
        <f>1811.6/17</f>
        <v>106.56470588235294</v>
      </c>
      <c r="O2196" s="28">
        <f>(Tabla1[[#This Row],[COSTO FIJO ]]/30)*Tabla1[[#This Row],[TOTAL DIAS PROYECTO]]+(Tabla1[[#This Row],[COSTO TEMPORAL]])</f>
        <v>962.63450980392156</v>
      </c>
      <c r="P2196" s="12"/>
      <c r="Q2196" s="12">
        <f>+(Tabla1[[#This Row],[COSTO COCHE]]/30)*Tabla1[[#This Row],[TOTAL DIAS PROYECTO]]</f>
        <v>0</v>
      </c>
      <c r="R2196" s="12">
        <f>+Tabla1[[#This Row],[COSTO TOTAL ALOJAMIENTO]]+Tabla1[[#This Row],[COSTO TOTAL COCHE]]</f>
        <v>962.63450980392156</v>
      </c>
      <c r="S2196" s="2"/>
      <c r="T2196" s="2" t="s">
        <v>35</v>
      </c>
      <c r="U2196" s="14">
        <v>45550</v>
      </c>
      <c r="V2196" s="75">
        <v>45611</v>
      </c>
      <c r="W2196" s="26">
        <v>1500</v>
      </c>
      <c r="X2196" s="2">
        <v>12</v>
      </c>
      <c r="Y2196" s="31" t="s">
        <v>3719</v>
      </c>
      <c r="Z2196" s="2" t="s">
        <v>36</v>
      </c>
      <c r="AA2196" s="13" t="s">
        <v>10427</v>
      </c>
      <c r="AB2196" s="13">
        <v>4260003</v>
      </c>
    </row>
    <row r="2197" spans="1:28" ht="15" customHeight="1">
      <c r="A2197" s="2" t="s">
        <v>9402</v>
      </c>
      <c r="B2197" s="2" t="s">
        <v>28</v>
      </c>
      <c r="C2197" s="181" t="s">
        <v>3063</v>
      </c>
      <c r="D2197" s="2" t="s">
        <v>99</v>
      </c>
      <c r="E2197" s="2" t="s">
        <v>245</v>
      </c>
      <c r="F2197" s="11" t="s">
        <v>3377</v>
      </c>
      <c r="G2197" s="46" t="s">
        <v>3378</v>
      </c>
      <c r="H2197" s="2" t="s">
        <v>2985</v>
      </c>
      <c r="I2197" s="12" t="s">
        <v>1019</v>
      </c>
      <c r="J2197" s="41">
        <f>+Tabla1[[#This Row],[FECHA ENTRADA]]</f>
        <v>45783</v>
      </c>
      <c r="K2197" s="22">
        <v>45821</v>
      </c>
      <c r="L2197" s="23">
        <f>_xlfn.DAYS(Tabla1[[#This Row],[FECHA FIN ]],Tabla1[[#This Row],[FECHA INICIO]])</f>
        <v>38</v>
      </c>
      <c r="M2197" s="12"/>
      <c r="N2197" s="12"/>
      <c r="O2197" s="24">
        <f>(Tabla1[[#This Row],[COSTO FIJO ]]/30)*Tabla1[[#This Row],[TOTAL DIAS PROYECTO]]+(Tabla1[[#This Row],[COSTO TEMPORAL]])</f>
        <v>0</v>
      </c>
      <c r="P2197" s="12"/>
      <c r="Q2197" s="12">
        <f>+(Tabla1[[#This Row],[COSTO COCHE]]/30)*Tabla1[[#This Row],[TOTAL DIAS PROYECTO]]</f>
        <v>0</v>
      </c>
      <c r="R2197" s="12">
        <f>+Tabla1[[#This Row],[COSTO TOTAL ALOJAMIENTO]]+Tabla1[[#This Row],[COSTO TOTAL COCHE]]</f>
        <v>0</v>
      </c>
      <c r="S2197" s="2"/>
      <c r="T2197" s="2" t="s">
        <v>44</v>
      </c>
      <c r="U2197" s="14">
        <v>45783</v>
      </c>
      <c r="V2197" s="25">
        <v>45797</v>
      </c>
      <c r="W2197" s="26"/>
      <c r="X2197" s="2"/>
      <c r="Y2197" s="11" t="s">
        <v>3677</v>
      </c>
      <c r="Z2197" s="2" t="s">
        <v>36</v>
      </c>
      <c r="AA2197" s="13" t="s">
        <v>10355</v>
      </c>
      <c r="AB2197" s="13" t="s">
        <v>10356</v>
      </c>
    </row>
    <row r="2198" spans="1:28" ht="15" customHeight="1">
      <c r="A2198" s="2" t="s">
        <v>9149</v>
      </c>
      <c r="B2198" s="2" t="s">
        <v>28</v>
      </c>
      <c r="C2198" s="181" t="s">
        <v>2223</v>
      </c>
      <c r="D2198" s="2" t="s">
        <v>30</v>
      </c>
      <c r="E2198" s="2" t="s">
        <v>3703</v>
      </c>
      <c r="F2198" s="11" t="s">
        <v>3704</v>
      </c>
      <c r="G2198" s="11" t="s">
        <v>361</v>
      </c>
      <c r="H2198" s="2" t="s">
        <v>3705</v>
      </c>
      <c r="I2198" s="2" t="s">
        <v>2741</v>
      </c>
      <c r="J2198" s="8">
        <f>+Tabla1[[#This Row],[FECHA ENTRADA]]</f>
        <v>45396</v>
      </c>
      <c r="K2198" s="22">
        <v>45492</v>
      </c>
      <c r="L2198" s="13">
        <f>_xlfn.DAYS(Tabla1[[#This Row],[FECHA FIN ]],Tabla1[[#This Row],[FECHA INICIO]])</f>
        <v>96</v>
      </c>
      <c r="M2198" s="12"/>
      <c r="N2198" s="12">
        <v>250</v>
      </c>
      <c r="O2198" s="12">
        <f>(Tabla1[[#This Row],[COSTO FIJO ]]/30)*Tabla1[[#This Row],[TOTAL DIAS PROYECTO]]+(Tabla1[[#This Row],[COSTO TEMPORAL]])</f>
        <v>800</v>
      </c>
      <c r="P2198" s="12"/>
      <c r="Q2198" s="12">
        <f>+(Tabla1[[#This Row],[COSTO COCHE]]/30)*Tabla1[[#This Row],[TOTAL DIAS PROYECTO]]</f>
        <v>0</v>
      </c>
      <c r="R2198" s="12">
        <f>+Tabla1[[#This Row],[COSTO TOTAL ALOJAMIENTO]]+Tabla1[[#This Row],[COSTO TOTAL COCHE]]</f>
        <v>800</v>
      </c>
      <c r="S2198" s="2" t="s">
        <v>3706</v>
      </c>
      <c r="T2198" s="2" t="s">
        <v>35</v>
      </c>
      <c r="U2198" s="14">
        <v>45396</v>
      </c>
      <c r="V2198" s="14"/>
      <c r="W2198" s="62">
        <v>250</v>
      </c>
      <c r="X2198" s="16">
        <v>12</v>
      </c>
      <c r="Y2198" s="18" t="s">
        <v>3707</v>
      </c>
      <c r="Z2198" s="2" t="s">
        <v>36</v>
      </c>
      <c r="AA2198" s="13" t="s">
        <v>10443</v>
      </c>
      <c r="AB2198" s="13" t="s">
        <v>10444</v>
      </c>
    </row>
    <row r="2199" spans="1:28" ht="15" customHeight="1">
      <c r="A2199" s="2" t="s">
        <v>9364</v>
      </c>
      <c r="B2199" s="2" t="s">
        <v>28</v>
      </c>
      <c r="C2199" s="11" t="s">
        <v>2940</v>
      </c>
      <c r="D2199" s="2" t="s">
        <v>30</v>
      </c>
      <c r="E2199" s="2" t="s">
        <v>1719</v>
      </c>
      <c r="F2199" s="11" t="s">
        <v>3712</v>
      </c>
      <c r="G2199" s="21" t="s">
        <v>3709</v>
      </c>
      <c r="H2199" s="2" t="s">
        <v>3710</v>
      </c>
      <c r="I2199" s="12" t="s">
        <v>152</v>
      </c>
      <c r="J2199" s="41">
        <f>+Tabla1[[#This Row],[FECHA ENTRADA]]</f>
        <v>45560</v>
      </c>
      <c r="K2199" s="8">
        <v>45653</v>
      </c>
      <c r="L2199" s="42">
        <f>_xlfn.DAYS(Tabla1[[#This Row],[FECHA FIN ]],Tabla1[[#This Row],[FECHA INICIO]])</f>
        <v>93</v>
      </c>
      <c r="M2199" s="12"/>
      <c r="N2199" s="12">
        <v>240</v>
      </c>
      <c r="O2199" s="28">
        <f>(Tabla1[[#This Row],[COSTO FIJO ]]/30)*Tabla1[[#This Row],[TOTAL DIAS PROYECTO]]+(Tabla1[[#This Row],[COSTO TEMPORAL]])</f>
        <v>744</v>
      </c>
      <c r="P2199" s="12"/>
      <c r="Q2199" s="12">
        <f>+(Tabla1[[#This Row],[COSTO COCHE]]/30)*Tabla1[[#This Row],[TOTAL DIAS PROYECTO]]</f>
        <v>0</v>
      </c>
      <c r="R2199" s="12">
        <f>+Tabla1[[#This Row],[COSTO TOTAL ALOJAMIENTO]]+Tabla1[[#This Row],[COSTO TOTAL COCHE]]</f>
        <v>744</v>
      </c>
      <c r="S2199" s="2"/>
      <c r="T2199" s="2" t="s">
        <v>35</v>
      </c>
      <c r="U2199" s="14">
        <v>45560</v>
      </c>
      <c r="V2199" s="79"/>
      <c r="W2199" s="26"/>
      <c r="X2199" s="2">
        <v>12</v>
      </c>
      <c r="Y2199" s="11" t="s">
        <v>3720</v>
      </c>
      <c r="Z2199" s="2" t="s">
        <v>36</v>
      </c>
      <c r="AA2199" s="13" t="s">
        <v>10427</v>
      </c>
      <c r="AB2199" s="13">
        <v>4260003</v>
      </c>
    </row>
    <row r="2200" spans="1:28">
      <c r="A2200" s="56" t="s">
        <v>9574</v>
      </c>
      <c r="B2200" s="56" t="s">
        <v>606</v>
      </c>
      <c r="C2200" s="11" t="s">
        <v>3721</v>
      </c>
      <c r="D2200" s="56" t="s">
        <v>30</v>
      </c>
      <c r="E2200" s="56" t="s">
        <v>608</v>
      </c>
      <c r="F2200" s="11" t="s">
        <v>609</v>
      </c>
      <c r="G2200" s="18" t="s">
        <v>610</v>
      </c>
      <c r="H2200" s="56" t="s">
        <v>611</v>
      </c>
      <c r="I2200" s="57" t="s">
        <v>612</v>
      </c>
      <c r="J2200" s="58">
        <f>+Tabla1[[#This Row],[FECHA ENTRADA]]</f>
        <v>45487</v>
      </c>
      <c r="K2200" s="22">
        <v>45821</v>
      </c>
      <c r="L2200" s="59">
        <f>_xlfn.DAYS(Tabla1[[#This Row],[FECHA FIN ]],Tabla1[[#This Row],[FECHA INICIO]])</f>
        <v>334</v>
      </c>
      <c r="M2200" s="12"/>
      <c r="N2200" s="94">
        <v>260</v>
      </c>
      <c r="O2200" s="57">
        <f>(Tabla1[[#This Row],[COSTO FIJO ]]/30)*Tabla1[[#This Row],[TOTAL DIAS PROYECTO]]+(Tabla1[[#This Row],[COSTO TEMPORAL]])</f>
        <v>2894.6666666666665</v>
      </c>
      <c r="P2200" s="57"/>
      <c r="Q2200" s="57">
        <f>+(Tabla1[[#This Row],[COSTO COCHE]]/30)*Tabla1[[#This Row],[TOTAL DIAS PROYECTO]]</f>
        <v>0</v>
      </c>
      <c r="R2200" s="57">
        <f>+Tabla1[[#This Row],[COSTO TOTAL ALOJAMIENTO]]+Tabla1[[#This Row],[COSTO TOTAL COCHE]]</f>
        <v>2894.6666666666665</v>
      </c>
      <c r="S2200" s="56"/>
      <c r="T2200" s="56" t="s">
        <v>613</v>
      </c>
      <c r="U2200" s="60">
        <v>45487</v>
      </c>
      <c r="V2200" s="58">
        <v>45609</v>
      </c>
      <c r="W2200" s="61">
        <v>390</v>
      </c>
      <c r="X2200" s="56">
        <v>12</v>
      </c>
      <c r="Y2200" s="18" t="s">
        <v>1352</v>
      </c>
      <c r="Z2200" s="56" t="s">
        <v>36</v>
      </c>
      <c r="AA2200" s="59" t="s">
        <v>10383</v>
      </c>
      <c r="AB2200" s="59" t="s">
        <v>10384</v>
      </c>
    </row>
    <row r="2201" spans="1:28" ht="15" customHeight="1">
      <c r="A2201" s="2" t="s">
        <v>9575</v>
      </c>
      <c r="B2201" s="2" t="s">
        <v>28</v>
      </c>
      <c r="C2201" s="181" t="s">
        <v>3722</v>
      </c>
      <c r="D2201" s="2" t="s">
        <v>30</v>
      </c>
      <c r="E2201" s="2" t="s">
        <v>114</v>
      </c>
      <c r="F2201" s="11" t="s">
        <v>173</v>
      </c>
      <c r="G2201" s="11" t="s">
        <v>174</v>
      </c>
      <c r="H2201" s="2" t="s">
        <v>175</v>
      </c>
      <c r="I2201" s="12" t="s">
        <v>158</v>
      </c>
      <c r="J2201" s="8">
        <f>+Tabla1[[#This Row],[FECHA ENTRADA]]</f>
        <v>45363</v>
      </c>
      <c r="K2201" s="22">
        <v>45821</v>
      </c>
      <c r="L2201" s="13">
        <f>_xlfn.DAYS(Tabla1[[#This Row],[FECHA FIN ]],Tabla1[[#This Row],[FECHA INICIO]])</f>
        <v>458</v>
      </c>
      <c r="M2201" s="12"/>
      <c r="N2201" s="12">
        <v>168.75</v>
      </c>
      <c r="O2201" s="12">
        <f>(Tabla1[[#This Row],[COSTO FIJO ]]/30)*Tabla1[[#This Row],[TOTAL DIAS PROYECTO]]+(Tabla1[[#This Row],[COSTO TEMPORAL]])</f>
        <v>2576.25</v>
      </c>
      <c r="P2201" s="12"/>
      <c r="Q2201" s="12">
        <f>+(Tabla1[[#This Row],[COSTO COCHE]]/30)*Tabla1[[#This Row],[TOTAL DIAS PROYECTO]]</f>
        <v>0</v>
      </c>
      <c r="R2201" s="12">
        <f>+Tabla1[[#This Row],[COSTO TOTAL ALOJAMIENTO]]+Tabla1[[#This Row],[COSTO TOTAL COCHE]]</f>
        <v>2576.25</v>
      </c>
      <c r="S2201" s="2"/>
      <c r="T2201" s="2" t="s">
        <v>35</v>
      </c>
      <c r="U2201" s="14">
        <v>45363</v>
      </c>
      <c r="V2201" s="14">
        <v>45391</v>
      </c>
      <c r="W2201" s="15"/>
      <c r="X2201" s="16">
        <v>12</v>
      </c>
      <c r="Y2201" s="18" t="s">
        <v>3723</v>
      </c>
      <c r="Z2201" s="2" t="s">
        <v>36</v>
      </c>
      <c r="AA2201" s="13" t="s">
        <v>10340</v>
      </c>
      <c r="AB2201" s="13" t="s">
        <v>10341</v>
      </c>
    </row>
    <row r="2202" spans="1:28">
      <c r="A2202" s="2" t="s">
        <v>9380</v>
      </c>
      <c r="B2202" s="2" t="s">
        <v>28</v>
      </c>
      <c r="C2202" s="11" t="s">
        <v>2982</v>
      </c>
      <c r="D2202" s="2" t="s">
        <v>99</v>
      </c>
      <c r="E2202" s="2" t="s">
        <v>245</v>
      </c>
      <c r="F2202" s="11" t="s">
        <v>2983</v>
      </c>
      <c r="G2202" s="46" t="s">
        <v>2984</v>
      </c>
      <c r="H2202" s="2" t="s">
        <v>2985</v>
      </c>
      <c r="I2202" s="12" t="s">
        <v>1019</v>
      </c>
      <c r="J2202" s="22">
        <f>+Tabla1[[#This Row],[FECHA ENTRADA]]</f>
        <v>45797</v>
      </c>
      <c r="K2202" s="22">
        <v>45799</v>
      </c>
      <c r="L2202" s="23">
        <f>_xlfn.DAYS(Tabla1[[#This Row],[FECHA FIN ]],Tabla1[[#This Row],[FECHA INICIO]])</f>
        <v>2</v>
      </c>
      <c r="M2202" s="12"/>
      <c r="N2202" s="12"/>
      <c r="O2202" s="24">
        <f>(Tabla1[[#This Row],[COSTO FIJO ]]/30)*Tabla1[[#This Row],[TOTAL DIAS PROYECTO]]+(Tabla1[[#This Row],[COSTO TEMPORAL]])</f>
        <v>0</v>
      </c>
      <c r="P2202" s="12"/>
      <c r="Q2202" s="12">
        <f>+(Tabla1[[#This Row],[COSTO COCHE]]/30)*Tabla1[[#This Row],[TOTAL DIAS PROYECTO]]</f>
        <v>0</v>
      </c>
      <c r="R2202" s="12">
        <f>+Tabla1[[#This Row],[COSTO TOTAL ALOJAMIENTO]]+Tabla1[[#This Row],[COSTO TOTAL COCHE]]</f>
        <v>0</v>
      </c>
      <c r="S2202" s="2"/>
      <c r="T2202" s="2" t="s">
        <v>44</v>
      </c>
      <c r="U2202" s="14">
        <v>45797</v>
      </c>
      <c r="V2202" s="25">
        <v>45799</v>
      </c>
      <c r="W2202" s="26"/>
      <c r="X2202" s="2"/>
      <c r="Y2202" s="11" t="s">
        <v>1166</v>
      </c>
      <c r="Z2202" s="2" t="s">
        <v>36</v>
      </c>
      <c r="AA2202" s="13" t="s">
        <v>10355</v>
      </c>
      <c r="AB2202" s="13" t="s">
        <v>10356</v>
      </c>
    </row>
    <row r="2203" spans="1:28" ht="15" customHeight="1">
      <c r="A2203" s="2" t="s">
        <v>9209</v>
      </c>
      <c r="B2203" s="2" t="s">
        <v>28</v>
      </c>
      <c r="C2203" s="11" t="s">
        <v>2445</v>
      </c>
      <c r="D2203" s="2" t="s">
        <v>30</v>
      </c>
      <c r="E2203" s="2" t="s">
        <v>1719</v>
      </c>
      <c r="F2203" s="11" t="s">
        <v>3712</v>
      </c>
      <c r="G2203" s="46" t="s">
        <v>3709</v>
      </c>
      <c r="H2203" s="2" t="s">
        <v>2422</v>
      </c>
      <c r="I2203" s="12" t="s">
        <v>152</v>
      </c>
      <c r="J2203" s="41">
        <f>+Tabla1[[#This Row],[FECHA ENTRADA]]</f>
        <v>45550</v>
      </c>
      <c r="K2203" s="8">
        <v>45653</v>
      </c>
      <c r="L2203" s="42">
        <f>_xlfn.DAYS(Tabla1[[#This Row],[FECHA FIN ]],Tabla1[[#This Row],[FECHA INICIO]])</f>
        <v>103</v>
      </c>
      <c r="M2203" s="12"/>
      <c r="N2203" s="12">
        <v>240</v>
      </c>
      <c r="O2203" s="28">
        <f>(Tabla1[[#This Row],[COSTO FIJO ]]/30)*Tabla1[[#This Row],[TOTAL DIAS PROYECTO]]+(Tabla1[[#This Row],[COSTO TEMPORAL]])</f>
        <v>824</v>
      </c>
      <c r="P2203" s="12"/>
      <c r="Q2203" s="12">
        <f>+(Tabla1[[#This Row],[COSTO COCHE]]/30)*Tabla1[[#This Row],[TOTAL DIAS PROYECTO]]</f>
        <v>0</v>
      </c>
      <c r="R2203" s="12">
        <f>+Tabla1[[#This Row],[COSTO TOTAL ALOJAMIENTO]]+Tabla1[[#This Row],[COSTO TOTAL COCHE]]</f>
        <v>824</v>
      </c>
      <c r="S2203" s="2"/>
      <c r="T2203" s="2" t="s">
        <v>35</v>
      </c>
      <c r="U2203" s="14">
        <v>45550</v>
      </c>
      <c r="V2203" s="75">
        <v>45611</v>
      </c>
      <c r="W2203" s="26"/>
      <c r="X2203" s="2">
        <v>12</v>
      </c>
      <c r="Y2203" s="31" t="s">
        <v>3724</v>
      </c>
      <c r="Z2203" s="2" t="s">
        <v>36</v>
      </c>
      <c r="AA2203" s="13" t="s">
        <v>10427</v>
      </c>
      <c r="AB2203" s="13">
        <v>4260003</v>
      </c>
    </row>
    <row r="2204" spans="1:28" ht="15" customHeight="1">
      <c r="A2204" s="2" t="s">
        <v>8925</v>
      </c>
      <c r="B2204" s="2" t="s">
        <v>28</v>
      </c>
      <c r="C2204" s="11" t="s">
        <v>1304</v>
      </c>
      <c r="D2204" s="2" t="s">
        <v>30</v>
      </c>
      <c r="E2204" s="2" t="s">
        <v>114</v>
      </c>
      <c r="F2204" s="11" t="s">
        <v>3725</v>
      </c>
      <c r="G2204" s="11" t="s">
        <v>174</v>
      </c>
      <c r="H2204" s="2" t="s">
        <v>117</v>
      </c>
      <c r="I2204" s="12" t="s">
        <v>118</v>
      </c>
      <c r="J2204" s="8">
        <f>+Tabla1[[#This Row],[FECHA ENTRADA]]</f>
        <v>45368</v>
      </c>
      <c r="K2204" s="22">
        <v>45778</v>
      </c>
      <c r="L2204" s="13">
        <f>_xlfn.DAYS(Tabla1[[#This Row],[FECHA FIN ]],Tabla1[[#This Row],[FECHA INICIO]])</f>
        <v>410</v>
      </c>
      <c r="M2204" s="12"/>
      <c r="N2204" s="12">
        <v>168.75</v>
      </c>
      <c r="O2204" s="12">
        <f>(Tabla1[[#This Row],[COSTO FIJO ]]/30)*Tabla1[[#This Row],[TOTAL DIAS PROYECTO]]+(Tabla1[[#This Row],[COSTO TEMPORAL]])</f>
        <v>2306.25</v>
      </c>
      <c r="P2204" s="12"/>
      <c r="Q2204" s="12">
        <f>+(Tabla1[[#This Row],[COSTO COCHE]]/30)*Tabla1[[#This Row],[TOTAL DIAS PROYECTO]]</f>
        <v>0</v>
      </c>
      <c r="R2204" s="12">
        <f>+Tabla1[[#This Row],[COSTO TOTAL ALOJAMIENTO]]+Tabla1[[#This Row],[COSTO TOTAL COCHE]]</f>
        <v>2306.25</v>
      </c>
      <c r="S2204" s="2"/>
      <c r="T2204" s="2" t="s">
        <v>35</v>
      </c>
      <c r="U2204" s="14">
        <v>45368</v>
      </c>
      <c r="V2204" s="14"/>
      <c r="W2204" s="15"/>
      <c r="X2204" s="16">
        <v>12</v>
      </c>
      <c r="Y2204" s="18"/>
      <c r="Z2204" s="2" t="s">
        <v>36</v>
      </c>
      <c r="AA2204" s="13" t="s">
        <v>10340</v>
      </c>
      <c r="AB2204" s="13" t="s">
        <v>10341</v>
      </c>
    </row>
    <row r="2205" spans="1:28" ht="15" customHeight="1">
      <c r="A2205" s="2" t="s">
        <v>8821</v>
      </c>
      <c r="B2205" s="2" t="s">
        <v>28</v>
      </c>
      <c r="C2205" s="11" t="s">
        <v>893</v>
      </c>
      <c r="D2205" s="2" t="s">
        <v>30</v>
      </c>
      <c r="E2205" s="2" t="s">
        <v>114</v>
      </c>
      <c r="F2205" s="11" t="s">
        <v>173</v>
      </c>
      <c r="G2205" s="11" t="s">
        <v>174</v>
      </c>
      <c r="H2205" s="2" t="s">
        <v>220</v>
      </c>
      <c r="I2205" s="12" t="s">
        <v>118</v>
      </c>
      <c r="J2205" s="8">
        <f>+Tabla1[[#This Row],[FECHA ENTRADA]]</f>
        <v>45385</v>
      </c>
      <c r="K2205" s="22">
        <v>45821</v>
      </c>
      <c r="L2205" s="13">
        <f>_xlfn.DAYS(Tabla1[[#This Row],[FECHA FIN ]],Tabla1[[#This Row],[FECHA INICIO]])</f>
        <v>436</v>
      </c>
      <c r="M2205" s="12"/>
      <c r="N2205" s="12">
        <v>168.75</v>
      </c>
      <c r="O2205" s="12">
        <f>(Tabla1[[#This Row],[COSTO FIJO ]]/30)*Tabla1[[#This Row],[TOTAL DIAS PROYECTO]]+(Tabla1[[#This Row],[COSTO TEMPORAL]])</f>
        <v>2452.5</v>
      </c>
      <c r="P2205" s="12"/>
      <c r="Q2205" s="12">
        <f>+(Tabla1[[#This Row],[COSTO COCHE]]/30)*Tabla1[[#This Row],[TOTAL DIAS PROYECTO]]</f>
        <v>0</v>
      </c>
      <c r="R2205" s="12">
        <f>+Tabla1[[#This Row],[COSTO TOTAL ALOJAMIENTO]]+Tabla1[[#This Row],[COSTO TOTAL COCHE]]</f>
        <v>2452.5</v>
      </c>
      <c r="S2205" s="2"/>
      <c r="T2205" s="2" t="s">
        <v>35</v>
      </c>
      <c r="U2205" s="14">
        <v>45385</v>
      </c>
      <c r="V2205" s="14"/>
      <c r="W2205" s="15"/>
      <c r="X2205" s="16">
        <v>12</v>
      </c>
      <c r="Y2205" s="18" t="s">
        <v>3726</v>
      </c>
      <c r="Z2205" s="2" t="s">
        <v>36</v>
      </c>
      <c r="AA2205" s="13" t="s">
        <v>10340</v>
      </c>
      <c r="AB2205" s="13" t="s">
        <v>10341</v>
      </c>
    </row>
    <row r="2206" spans="1:28">
      <c r="A2206" s="2" t="s">
        <v>9576</v>
      </c>
      <c r="B2206" s="2" t="s">
        <v>28</v>
      </c>
      <c r="C2206" s="11" t="s">
        <v>3727</v>
      </c>
      <c r="D2206" s="2" t="s">
        <v>30</v>
      </c>
      <c r="E2206" s="2" t="s">
        <v>31</v>
      </c>
      <c r="F2206" s="11" t="s">
        <v>3728</v>
      </c>
      <c r="G2206" s="11" t="s">
        <v>3729</v>
      </c>
      <c r="H2206" s="2" t="s">
        <v>3730</v>
      </c>
      <c r="I2206" s="12" t="s">
        <v>385</v>
      </c>
      <c r="J2206" s="8">
        <f>+Tabla1[[#This Row],[FECHA ENTRADA]]</f>
        <v>45422</v>
      </c>
      <c r="K2206" s="22">
        <v>45821</v>
      </c>
      <c r="L2206" s="13">
        <f>_xlfn.DAYS(Tabla1[[#This Row],[FECHA FIN ]],Tabla1[[#This Row],[FECHA INICIO]])</f>
        <v>399</v>
      </c>
      <c r="M2206" s="12"/>
      <c r="N2206" s="12">
        <f>1811.6/17</f>
        <v>106.56470588235294</v>
      </c>
      <c r="O2206" s="12">
        <f>(Tabla1[[#This Row],[COSTO FIJO ]]/30)*Tabla1[[#This Row],[TOTAL DIAS PROYECTO]]+(Tabla1[[#This Row],[COSTO TEMPORAL]])</f>
        <v>1417.3105882352941</v>
      </c>
      <c r="P2206" s="12"/>
      <c r="Q2206" s="12">
        <f>+(Tabla1[[#This Row],[COSTO COCHE]]/30)*Tabla1[[#This Row],[TOTAL DIAS PROYECTO]]</f>
        <v>0</v>
      </c>
      <c r="R2206" s="12">
        <f>+Tabla1[[#This Row],[COSTO TOTAL ALOJAMIENTO]]+Tabla1[[#This Row],[COSTO TOTAL COCHE]]</f>
        <v>1417.3105882352941</v>
      </c>
      <c r="S2206" s="2"/>
      <c r="T2206" s="2" t="s">
        <v>35</v>
      </c>
      <c r="U2206" s="14">
        <v>45422</v>
      </c>
      <c r="V2206" s="14"/>
      <c r="W2206" s="2"/>
      <c r="X2206" s="2">
        <v>12</v>
      </c>
      <c r="Y2206" s="11" t="s">
        <v>3731</v>
      </c>
      <c r="Z2206" s="2" t="s">
        <v>36</v>
      </c>
      <c r="AA2206" s="13" t="s">
        <v>10323</v>
      </c>
      <c r="AB2206" s="13" t="s">
        <v>10324</v>
      </c>
    </row>
    <row r="2207" spans="1:28" ht="15" customHeight="1">
      <c r="A2207" s="2" t="s">
        <v>9577</v>
      </c>
      <c r="B2207" s="2" t="s">
        <v>368</v>
      </c>
      <c r="C2207" s="11" t="s">
        <v>3732</v>
      </c>
      <c r="D2207" s="2" t="s">
        <v>30</v>
      </c>
      <c r="E2207" s="2" t="s">
        <v>31</v>
      </c>
      <c r="F2207" s="11" t="s">
        <v>3733</v>
      </c>
      <c r="G2207" s="46" t="s">
        <v>3734</v>
      </c>
      <c r="H2207" s="2" t="s">
        <v>3735</v>
      </c>
      <c r="I2207" s="10" t="s">
        <v>3736</v>
      </c>
      <c r="J2207" s="41">
        <v>45571</v>
      </c>
      <c r="K2207" s="22">
        <v>45821</v>
      </c>
      <c r="L2207" s="42">
        <f>_xlfn.DAYS(Tabla1[[#This Row],[FECHA FIN ]],Tabla1[[#This Row],[FECHA INICIO]])</f>
        <v>250</v>
      </c>
      <c r="M2207" s="12"/>
      <c r="N2207" s="28">
        <v>380</v>
      </c>
      <c r="O2207" s="28">
        <f>(Tabla1[[#This Row],[COSTO FIJO ]]/30)*Tabla1[[#This Row],[TOTAL DIAS PROYECTO]]+(Tabla1[[#This Row],[COSTO TEMPORAL]])</f>
        <v>3166.6666666666665</v>
      </c>
      <c r="P2207" s="12"/>
      <c r="Q2207" s="12">
        <f>+(Tabla1[[#This Row],[COSTO COCHE]]/30)*Tabla1[[#This Row],[TOTAL DIAS PROYECTO]]</f>
        <v>0</v>
      </c>
      <c r="R2207" s="12">
        <f>+Tabla1[[#This Row],[COSTO TOTAL ALOJAMIENTO]]+Tabla1[[#This Row],[COSTO TOTAL COCHE]]</f>
        <v>3166.6666666666665</v>
      </c>
      <c r="S2207" s="2"/>
      <c r="T2207" s="2" t="s">
        <v>35</v>
      </c>
      <c r="U2207" s="14">
        <v>45571</v>
      </c>
      <c r="V2207" s="43"/>
      <c r="W2207" s="26">
        <v>200</v>
      </c>
      <c r="X2207" s="2">
        <v>12</v>
      </c>
      <c r="Y2207" s="11" t="s">
        <v>3737</v>
      </c>
      <c r="Z2207" s="2" t="s">
        <v>36</v>
      </c>
      <c r="AA2207" s="13" t="s">
        <v>10323</v>
      </c>
      <c r="AB2207" s="13" t="s">
        <v>10324</v>
      </c>
    </row>
    <row r="2208" spans="1:28">
      <c r="A2208" s="2" t="s">
        <v>9578</v>
      </c>
      <c r="B2208" s="2" t="s">
        <v>28</v>
      </c>
      <c r="C2208" s="11" t="s">
        <v>3738</v>
      </c>
      <c r="D2208" s="2" t="s">
        <v>30</v>
      </c>
      <c r="E2208" s="2" t="s">
        <v>31</v>
      </c>
      <c r="F2208" s="11" t="s">
        <v>1589</v>
      </c>
      <c r="G2208" s="34" t="s">
        <v>1590</v>
      </c>
      <c r="H2208" s="2" t="s">
        <v>180</v>
      </c>
      <c r="I2208" s="2" t="s">
        <v>181</v>
      </c>
      <c r="J2208" s="8">
        <f>+Tabla1[[#This Row],[FECHA ENTRADA]]</f>
        <v>45354</v>
      </c>
      <c r="K2208" s="22">
        <v>45821</v>
      </c>
      <c r="L2208" s="13">
        <f>_xlfn.DAYS(Tabla1[[#This Row],[FECHA FIN ]],Tabla1[[#This Row],[FECHA INICIO]])</f>
        <v>467</v>
      </c>
      <c r="M2208" s="12"/>
      <c r="N2208" s="12">
        <v>350</v>
      </c>
      <c r="O2208" s="12">
        <f>(Tabla1[[#This Row],[COSTO FIJO ]]/30)*Tabla1[[#This Row],[TOTAL DIAS PROYECTO]]+(Tabla1[[#This Row],[COSTO TEMPORAL]])</f>
        <v>5448.333333333333</v>
      </c>
      <c r="P2208" s="12"/>
      <c r="Q2208" s="12">
        <f>+(Tabla1[[#This Row],[COSTO COCHE]]/30)*Tabla1[[#This Row],[TOTAL DIAS PROYECTO]]</f>
        <v>0</v>
      </c>
      <c r="R2208" s="12">
        <f>+Tabla1[[#This Row],[COSTO TOTAL ALOJAMIENTO]]+Tabla1[[#This Row],[COSTO TOTAL COCHE]]</f>
        <v>5448.333333333333</v>
      </c>
      <c r="S2208" s="2"/>
      <c r="T2208" s="2" t="s">
        <v>35</v>
      </c>
      <c r="U2208" s="14">
        <v>45354</v>
      </c>
      <c r="V2208" s="14"/>
      <c r="W2208" s="15">
        <v>175</v>
      </c>
      <c r="X2208" s="16">
        <v>12</v>
      </c>
      <c r="Y2208" s="11" t="s">
        <v>182</v>
      </c>
      <c r="Z2208" s="2" t="s">
        <v>36</v>
      </c>
      <c r="AA2208" s="13" t="s">
        <v>10323</v>
      </c>
      <c r="AB2208" s="13" t="s">
        <v>10324</v>
      </c>
    </row>
    <row r="2209" spans="1:28" ht="15" customHeight="1">
      <c r="A2209" s="2" t="s">
        <v>9432</v>
      </c>
      <c r="B2209" s="2" t="s">
        <v>368</v>
      </c>
      <c r="C2209" s="11" t="s">
        <v>3169</v>
      </c>
      <c r="D2209" s="2" t="s">
        <v>30</v>
      </c>
      <c r="E2209" s="2" t="s">
        <v>92</v>
      </c>
      <c r="F2209" s="11" t="s">
        <v>2084</v>
      </c>
      <c r="G2209" s="11" t="s">
        <v>804</v>
      </c>
      <c r="H2209" s="2" t="s">
        <v>2085</v>
      </c>
      <c r="I2209" s="12" t="s">
        <v>806</v>
      </c>
      <c r="J2209" s="41">
        <f>+Tabla1[[#This Row],[FECHA ENTRADA]]</f>
        <v>45672</v>
      </c>
      <c r="K2209" s="22">
        <v>45821</v>
      </c>
      <c r="L2209" s="42">
        <f>_xlfn.DAYS(Tabla1[[#This Row],[FECHA FIN ]],Tabla1[[#This Row],[FECHA INICIO]])</f>
        <v>149</v>
      </c>
      <c r="M2209" s="12"/>
      <c r="N2209" s="12"/>
      <c r="O2209" s="28">
        <f>(Tabla1[[#This Row],[COSTO FIJO ]]/30)*Tabla1[[#This Row],[TOTAL DIAS PROYECTO]]+(Tabla1[[#This Row],[COSTO TEMPORAL]])</f>
        <v>0</v>
      </c>
      <c r="P2209" s="12">
        <f>651.6/4</f>
        <v>162.9</v>
      </c>
      <c r="Q2209" s="12">
        <f>+(Tabla1[[#This Row],[COSTO COCHE]]/30)*Tabla1[[#This Row],[TOTAL DIAS PROYECTO]]</f>
        <v>809.07</v>
      </c>
      <c r="R2209" s="12">
        <f>+Tabla1[[#This Row],[COSTO TOTAL ALOJAMIENTO]]+Tabla1[[#This Row],[COSTO TOTAL COCHE]]</f>
        <v>809.07</v>
      </c>
      <c r="S2209" s="2"/>
      <c r="T2209" s="2" t="s">
        <v>35</v>
      </c>
      <c r="U2209" s="14">
        <v>45672</v>
      </c>
      <c r="V2209" s="43"/>
      <c r="W2209" s="26"/>
      <c r="X2209" s="2">
        <v>13</v>
      </c>
      <c r="Y2209" t="s">
        <v>2083</v>
      </c>
      <c r="Z2209" s="2" t="s">
        <v>36</v>
      </c>
      <c r="AA2209" s="13" t="s">
        <v>10336</v>
      </c>
      <c r="AB2209" s="13" t="s">
        <v>10337</v>
      </c>
    </row>
    <row r="2210" spans="1:28">
      <c r="A2210" s="2" t="s">
        <v>9579</v>
      </c>
      <c r="B2210" s="2" t="s">
        <v>28</v>
      </c>
      <c r="C2210" s="11" t="s">
        <v>3056</v>
      </c>
      <c r="D2210" s="2" t="s">
        <v>30</v>
      </c>
      <c r="E2210" s="2" t="s">
        <v>127</v>
      </c>
      <c r="F2210" s="11" t="s">
        <v>3739</v>
      </c>
      <c r="G2210" s="11" t="s">
        <v>390</v>
      </c>
      <c r="H2210" s="2" t="s">
        <v>391</v>
      </c>
      <c r="I2210" s="12" t="s">
        <v>392</v>
      </c>
      <c r="J2210" s="8">
        <f>+Tabla1[[#This Row],[FECHA ENTRADA]]</f>
        <v>45454</v>
      </c>
      <c r="K2210" s="22">
        <v>45821</v>
      </c>
      <c r="L2210" s="13">
        <f>_xlfn.DAYS(Tabla1[[#This Row],[FECHA FIN ]],Tabla1[[#This Row],[FECHA INICIO]])</f>
        <v>367</v>
      </c>
      <c r="M2210" s="12"/>
      <c r="N2210" s="12">
        <f>1811.6/17</f>
        <v>106.56470588235294</v>
      </c>
      <c r="O2210" s="12">
        <f>(Tabla1[[#This Row],[COSTO FIJO ]]/30)*Tabla1[[#This Row],[TOTAL DIAS PROYECTO]]+(Tabla1[[#This Row],[COSTO TEMPORAL]])</f>
        <v>1303.6415686274511</v>
      </c>
      <c r="P2210" s="12"/>
      <c r="Q2210" s="12">
        <f>+(Tabla1[[#This Row],[COSTO COCHE]]/30)*Tabla1[[#This Row],[TOTAL DIAS PROYECTO]]</f>
        <v>0</v>
      </c>
      <c r="R2210" s="12">
        <f>+Tabla1[[#This Row],[COSTO TOTAL ALOJAMIENTO]]+Tabla1[[#This Row],[COSTO TOTAL COCHE]]</f>
        <v>1303.6415686274511</v>
      </c>
      <c r="S2210" s="2"/>
      <c r="T2210" s="2" t="s">
        <v>35</v>
      </c>
      <c r="U2210" s="14">
        <v>45454</v>
      </c>
      <c r="V2210" s="14">
        <v>45474</v>
      </c>
      <c r="W2210" s="26"/>
      <c r="X2210" s="2">
        <v>13</v>
      </c>
      <c r="Y2210" s="18" t="s">
        <v>393</v>
      </c>
      <c r="Z2210" s="2" t="s">
        <v>36</v>
      </c>
      <c r="AA2210" s="13" t="s">
        <v>10342</v>
      </c>
      <c r="AB2210" s="13" t="s">
        <v>10343</v>
      </c>
    </row>
    <row r="2211" spans="1:28" ht="15" customHeight="1">
      <c r="A2211" s="116" t="s">
        <v>8759</v>
      </c>
      <c r="B2211" s="116" t="s">
        <v>368</v>
      </c>
      <c r="C2211" s="11" t="s">
        <v>625</v>
      </c>
      <c r="D2211" s="116" t="s">
        <v>30</v>
      </c>
      <c r="E2211" s="116" t="s">
        <v>1130</v>
      </c>
      <c r="F2211" s="11" t="s">
        <v>1131</v>
      </c>
      <c r="G2211" s="171" t="s">
        <v>1132</v>
      </c>
      <c r="H2211" s="116" t="s">
        <v>1133</v>
      </c>
      <c r="I2211" s="139" t="s">
        <v>1134</v>
      </c>
      <c r="J2211" s="225">
        <v>45551</v>
      </c>
      <c r="K2211" s="137">
        <v>45821</v>
      </c>
      <c r="L2211" s="134">
        <f>_xlfn.DAYS(Tabla1[[#This Row],[FECHA FIN ]],Tabla1[[#This Row],[FECHA INICIO]])</f>
        <v>270</v>
      </c>
      <c r="M2211" s="139"/>
      <c r="N2211" s="139"/>
      <c r="O2211" s="139">
        <f>(Tabla1[[#This Row],[COSTO FIJO ]]/30)*Tabla1[[#This Row],[TOTAL DIAS PROYECTO]]+(Tabla1[[#This Row],[COSTO TEMPORAL]])</f>
        <v>0</v>
      </c>
      <c r="P2211" s="139"/>
      <c r="Q2211" s="139">
        <f>+(Tabla1[[#This Row],[COSTO COCHE]]/30)*Tabla1[[#This Row],[TOTAL DIAS PROYECTO]]</f>
        <v>0</v>
      </c>
      <c r="R2211" s="139">
        <f>+Tabla1[[#This Row],[COSTO TOTAL ALOJAMIENTO]]+Tabla1[[#This Row],[COSTO TOTAL COCHE]]</f>
        <v>0</v>
      </c>
      <c r="S2211" s="116"/>
      <c r="T2211" s="116" t="s">
        <v>35</v>
      </c>
      <c r="U2211" s="141">
        <v>45488</v>
      </c>
      <c r="V2211" s="141"/>
      <c r="W2211" s="143"/>
      <c r="X2211" s="116">
        <v>14</v>
      </c>
      <c r="Y2211" s="67" t="s">
        <v>3740</v>
      </c>
      <c r="Z2211" s="116" t="s">
        <v>36</v>
      </c>
      <c r="AA2211" s="134" t="s">
        <v>10412</v>
      </c>
      <c r="AB2211" s="134">
        <v>4200955</v>
      </c>
    </row>
    <row r="2212" spans="1:28" ht="15" customHeight="1">
      <c r="A2212" s="2" t="s">
        <v>9227</v>
      </c>
      <c r="B2212" s="2" t="s">
        <v>28</v>
      </c>
      <c r="C2212" s="11" t="s">
        <v>2509</v>
      </c>
      <c r="D2212" s="2" t="s">
        <v>30</v>
      </c>
      <c r="E2212" s="2" t="s">
        <v>253</v>
      </c>
      <c r="F2212" s="11" t="s">
        <v>1688</v>
      </c>
      <c r="G2212" s="11" t="s">
        <v>2944</v>
      </c>
      <c r="H2212" s="2" t="s">
        <v>3741</v>
      </c>
      <c r="I2212" s="12" t="s">
        <v>774</v>
      </c>
      <c r="J2212" s="8">
        <f>+Tabla1[[#This Row],[FECHA ENTRADA]]</f>
        <v>45396</v>
      </c>
      <c r="K2212" s="22">
        <v>45821</v>
      </c>
      <c r="L2212" s="13">
        <f>_xlfn.DAYS(Tabla1[[#This Row],[FECHA FIN ]],Tabla1[[#This Row],[FECHA INICIO]])</f>
        <v>425</v>
      </c>
      <c r="M2212" s="12"/>
      <c r="N2212" s="12">
        <f>1811.6/17</f>
        <v>106.56470588235294</v>
      </c>
      <c r="O2212" s="12">
        <f>(Tabla1[[#This Row],[COSTO FIJO ]]/30)*Tabla1[[#This Row],[TOTAL DIAS PROYECTO]]+(Tabla1[[#This Row],[COSTO TEMPORAL]])</f>
        <v>1509.6666666666667</v>
      </c>
      <c r="P2212" s="12"/>
      <c r="Q2212" s="12">
        <f>+(Tabla1[[#This Row],[COSTO COCHE]]/30)*Tabla1[[#This Row],[TOTAL DIAS PROYECTO]]</f>
        <v>0</v>
      </c>
      <c r="R2212" s="12">
        <f>+Tabla1[[#This Row],[COSTO TOTAL ALOJAMIENTO]]+Tabla1[[#This Row],[COSTO TOTAL COCHE]]</f>
        <v>1509.6666666666667</v>
      </c>
      <c r="S2212" s="2"/>
      <c r="T2212" s="2" t="s">
        <v>35</v>
      </c>
      <c r="U2212" s="14">
        <v>45396</v>
      </c>
      <c r="V2212" s="14"/>
      <c r="W2212" s="15"/>
      <c r="X2212" s="16">
        <v>14</v>
      </c>
      <c r="Y2212" s="11"/>
      <c r="Z2212" s="2" t="s">
        <v>36</v>
      </c>
      <c r="AA2212" s="13" t="s">
        <v>10357</v>
      </c>
      <c r="AB2212" s="13" t="s">
        <v>10358</v>
      </c>
    </row>
    <row r="2213" spans="1:28">
      <c r="A2213" s="2" t="s">
        <v>9402</v>
      </c>
      <c r="B2213" s="2" t="s">
        <v>28</v>
      </c>
      <c r="C2213" s="11" t="s">
        <v>3063</v>
      </c>
      <c r="D2213" s="2" t="s">
        <v>99</v>
      </c>
      <c r="E2213" s="2" t="s">
        <v>245</v>
      </c>
      <c r="F2213" s="11" t="s">
        <v>2983</v>
      </c>
      <c r="G2213" s="46" t="s">
        <v>2984</v>
      </c>
      <c r="H2213" s="2" t="s">
        <v>2985</v>
      </c>
      <c r="I2213" s="12" t="s">
        <v>1019</v>
      </c>
      <c r="J2213" s="22">
        <f>+Tabla1[[#This Row],[FECHA ENTRADA]]</f>
        <v>45797</v>
      </c>
      <c r="K2213" s="22">
        <v>45821</v>
      </c>
      <c r="L2213" s="23">
        <f>_xlfn.DAYS(Tabla1[[#This Row],[FECHA FIN ]],Tabla1[[#This Row],[FECHA INICIO]])</f>
        <v>24</v>
      </c>
      <c r="M2213" s="12"/>
      <c r="N2213" s="12">
        <v>90</v>
      </c>
      <c r="O2213" s="24">
        <f>(Tabla1[[#This Row],[COSTO FIJO ]]/30)*Tabla1[[#This Row],[TOTAL DIAS PROYECTO]]+(Tabla1[[#This Row],[COSTO TEMPORAL]])</f>
        <v>72</v>
      </c>
      <c r="P2213" s="12"/>
      <c r="Q2213" s="12">
        <f>+(Tabla1[[#This Row],[COSTO COCHE]]/30)*Tabla1[[#This Row],[TOTAL DIAS PROYECTO]]</f>
        <v>0</v>
      </c>
      <c r="R2213" s="12">
        <f>+Tabla1[[#This Row],[COSTO TOTAL ALOJAMIENTO]]+Tabla1[[#This Row],[COSTO TOTAL COCHE]]</f>
        <v>72</v>
      </c>
      <c r="S2213" s="2"/>
      <c r="T2213" s="2" t="s">
        <v>44</v>
      </c>
      <c r="U2213" s="14">
        <v>45797</v>
      </c>
      <c r="V2213" s="25">
        <v>45799</v>
      </c>
      <c r="W2213" s="26"/>
      <c r="X2213" s="2"/>
      <c r="Y2213" s="11" t="s">
        <v>1166</v>
      </c>
      <c r="Z2213" s="2" t="s">
        <v>36</v>
      </c>
      <c r="AA2213" s="13" t="s">
        <v>10355</v>
      </c>
      <c r="AB2213" s="13" t="s">
        <v>10356</v>
      </c>
    </row>
    <row r="2214" spans="1:28">
      <c r="A2214" s="2" t="s">
        <v>9087</v>
      </c>
      <c r="B2214" s="2" t="s">
        <v>368</v>
      </c>
      <c r="C2214" s="11" t="s">
        <v>1961</v>
      </c>
      <c r="D2214" s="2" t="s">
        <v>30</v>
      </c>
      <c r="E2214" s="2" t="s">
        <v>31</v>
      </c>
      <c r="F2214" s="11" t="s">
        <v>409</v>
      </c>
      <c r="G2214" s="11" t="s">
        <v>410</v>
      </c>
      <c r="H2214" s="2" t="s">
        <v>411</v>
      </c>
      <c r="I2214" s="12" t="s">
        <v>412</v>
      </c>
      <c r="J2214" s="8">
        <f>+Tabla1[[#This Row],[FECHA ENTRADA]]</f>
        <v>45487</v>
      </c>
      <c r="K2214" s="22">
        <v>45821</v>
      </c>
      <c r="L2214" s="13">
        <f>_xlfn.DAYS(Tabla1[[#This Row],[FECHA FIN ]],Tabla1[[#This Row],[FECHA INICIO]])</f>
        <v>334</v>
      </c>
      <c r="M2214" s="12"/>
      <c r="N2214" s="24"/>
      <c r="O2214" s="12">
        <f>(Tabla1[[#This Row],[COSTO FIJO ]]/30)*Tabla1[[#This Row],[TOTAL DIAS PROYECTO]]+(Tabla1[[#This Row],[COSTO TEMPORAL]])</f>
        <v>0</v>
      </c>
      <c r="P2214" s="12"/>
      <c r="Q2214" s="12">
        <f>+(Tabla1[[#This Row],[COSTO COCHE]]/30)*Tabla1[[#This Row],[TOTAL DIAS PROYECTO]]</f>
        <v>0</v>
      </c>
      <c r="R2214" s="12">
        <f>+Tabla1[[#This Row],[COSTO TOTAL ALOJAMIENTO]]+Tabla1[[#This Row],[COSTO TOTAL COCHE]]</f>
        <v>0</v>
      </c>
      <c r="S2214" s="2"/>
      <c r="T2214" s="2" t="s">
        <v>35</v>
      </c>
      <c r="U2214" s="14">
        <v>45487</v>
      </c>
      <c r="V2214" s="14"/>
      <c r="W2214" s="26">
        <v>350</v>
      </c>
      <c r="X2214" s="2">
        <v>14</v>
      </c>
      <c r="Y2214" s="18" t="s">
        <v>413</v>
      </c>
      <c r="Z2214" s="2" t="s">
        <v>36</v>
      </c>
      <c r="AA2214" s="13" t="s">
        <v>10323</v>
      </c>
      <c r="AB2214" s="13" t="s">
        <v>10324</v>
      </c>
    </row>
    <row r="2215" spans="1:28">
      <c r="A2215" s="2" t="s">
        <v>9580</v>
      </c>
      <c r="B2215" s="2" t="s">
        <v>28</v>
      </c>
      <c r="C2215" s="104" t="s">
        <v>3742</v>
      </c>
      <c r="D2215" s="2" t="s">
        <v>30</v>
      </c>
      <c r="E2215" s="2" t="s">
        <v>855</v>
      </c>
      <c r="F2215" s="11" t="s">
        <v>856</v>
      </c>
      <c r="G2215" s="21" t="s">
        <v>857</v>
      </c>
      <c r="H2215" s="2" t="s">
        <v>1200</v>
      </c>
      <c r="I2215" s="12" t="s">
        <v>1201</v>
      </c>
      <c r="J2215" s="41">
        <f>+Tabla1[[#This Row],[FECHA ENTRADA]]</f>
        <v>45550</v>
      </c>
      <c r="K2215" s="22">
        <v>45821</v>
      </c>
      <c r="L2215" s="42">
        <f>_xlfn.DAYS(Tabla1[[#This Row],[FECHA FIN ]],Tabla1[[#This Row],[FECHA INICIO]])</f>
        <v>271</v>
      </c>
      <c r="M2215" s="12"/>
      <c r="N2215" s="12"/>
      <c r="O2215" s="28">
        <f>(Tabla1[[#This Row],[COSTO FIJO ]]/30)*Tabla1[[#This Row],[TOTAL DIAS PROYECTO]]+(Tabla1[[#This Row],[COSTO TEMPORAL]])</f>
        <v>0</v>
      </c>
      <c r="P2215" s="12"/>
      <c r="Q2215" s="12">
        <f>+(Tabla1[[#This Row],[COSTO COCHE]]/30)*Tabla1[[#This Row],[TOTAL DIAS PROYECTO]]</f>
        <v>0</v>
      </c>
      <c r="R2215" s="12">
        <f>+Tabla1[[#This Row],[COSTO TOTAL ALOJAMIENTO]]+Tabla1[[#This Row],[COSTO TOTAL COCHE]]</f>
        <v>0</v>
      </c>
      <c r="S2215" s="2"/>
      <c r="T2215" s="2" t="s">
        <v>35</v>
      </c>
      <c r="U2215" s="14">
        <v>45550</v>
      </c>
      <c r="V2215" s="75"/>
      <c r="W2215" s="26"/>
      <c r="X2215" s="2">
        <v>15</v>
      </c>
      <c r="Y2215" s="11" t="s">
        <v>3743</v>
      </c>
      <c r="Z2215" s="2" t="s">
        <v>36</v>
      </c>
      <c r="AA2215" s="13" t="s">
        <v>10401</v>
      </c>
      <c r="AB2215" s="13" t="s">
        <v>10402</v>
      </c>
    </row>
    <row r="2216" spans="1:28" ht="15" customHeight="1">
      <c r="A2216" s="2" t="s">
        <v>9165</v>
      </c>
      <c r="B2216" s="2" t="s">
        <v>28</v>
      </c>
      <c r="C2216" s="11" t="s">
        <v>2289</v>
      </c>
      <c r="D2216" s="2" t="s">
        <v>30</v>
      </c>
      <c r="E2216" s="2" t="s">
        <v>259</v>
      </c>
      <c r="F2216" s="11" t="s">
        <v>691</v>
      </c>
      <c r="G2216" s="11" t="s">
        <v>692</v>
      </c>
      <c r="H2216" s="2" t="s">
        <v>693</v>
      </c>
      <c r="I2216" s="12" t="s">
        <v>292</v>
      </c>
      <c r="J2216" s="8">
        <f>+Tabla1[[#This Row],[FECHA ENTRADA]]</f>
        <v>45458</v>
      </c>
      <c r="K2216" s="22">
        <v>45821</v>
      </c>
      <c r="L2216" s="13">
        <f>_xlfn.DAYS(Tabla1[[#This Row],[FECHA FIN ]],Tabla1[[#This Row],[FECHA INICIO]])</f>
        <v>363</v>
      </c>
      <c r="M2216" s="12"/>
      <c r="N2216" s="12"/>
      <c r="O2216" s="12">
        <f>(Tabla1[[#This Row],[COSTO FIJO ]]/30)*Tabla1[[#This Row],[TOTAL DIAS PROYECTO]]+(Tabla1[[#This Row],[COSTO TEMPORAL]])</f>
        <v>0</v>
      </c>
      <c r="P2216" s="12"/>
      <c r="Q2216" s="12">
        <f>+(Tabla1[[#This Row],[COSTO COCHE]]/30)*Tabla1[[#This Row],[TOTAL DIAS PROYECTO]]</f>
        <v>0</v>
      </c>
      <c r="R2216" s="12">
        <f>+Tabla1[[#This Row],[COSTO TOTAL ALOJAMIENTO]]+Tabla1[[#This Row],[COSTO TOTAL COCHE]]</f>
        <v>0</v>
      </c>
      <c r="S2216" s="2"/>
      <c r="T2216" s="2" t="s">
        <v>35</v>
      </c>
      <c r="U2216" s="14">
        <v>45458</v>
      </c>
      <c r="V2216" s="14"/>
      <c r="W2216" s="26"/>
      <c r="X2216" s="2">
        <v>15</v>
      </c>
      <c r="Y2216" s="31" t="s">
        <v>685</v>
      </c>
      <c r="Z2216" s="2" t="s">
        <v>36</v>
      </c>
      <c r="AA2216" s="13">
        <v>-0.87734000000000001</v>
      </c>
      <c r="AB2216" s="13" t="s">
        <v>10359</v>
      </c>
    </row>
    <row r="2217" spans="1:28">
      <c r="A2217" s="2" t="s">
        <v>9226</v>
      </c>
      <c r="B2217" s="2" t="s">
        <v>28</v>
      </c>
      <c r="C2217" s="11" t="s">
        <v>2505</v>
      </c>
      <c r="D2217" s="2" t="s">
        <v>30</v>
      </c>
      <c r="E2217" s="2" t="s">
        <v>572</v>
      </c>
      <c r="F2217" s="11" t="s">
        <v>573</v>
      </c>
      <c r="G2217" s="11" t="s">
        <v>574</v>
      </c>
      <c r="H2217" s="2" t="s">
        <v>575</v>
      </c>
      <c r="I2217" s="12" t="s">
        <v>576</v>
      </c>
      <c r="J2217" s="8">
        <f>+Tabla1[[#This Row],[FECHA ENTRADA]]</f>
        <v>45420</v>
      </c>
      <c r="K2217" s="8">
        <v>45533</v>
      </c>
      <c r="L2217" s="13">
        <f>_xlfn.DAYS(Tabla1[[#This Row],[FECHA FIN ]],Tabla1[[#This Row],[FECHA INICIO]])</f>
        <v>113</v>
      </c>
      <c r="M2217" s="12"/>
      <c r="N2217" s="12">
        <v>112</v>
      </c>
      <c r="O2217" s="12">
        <f>(Tabla1[[#This Row],[COSTO FIJO ]]/30)*Tabla1[[#This Row],[TOTAL DIAS PROYECTO]]+(Tabla1[[#This Row],[COSTO TEMPORAL]])</f>
        <v>421.86666666666667</v>
      </c>
      <c r="P2217" s="12">
        <f>(577.1*50%)/5</f>
        <v>57.71</v>
      </c>
      <c r="Q2217" s="12">
        <f>+(Tabla1[[#This Row],[COSTO COCHE]]/30)*Tabla1[[#This Row],[TOTAL DIAS PROYECTO]]</f>
        <v>217.37433333333334</v>
      </c>
      <c r="R2217" s="12">
        <f>+Tabla1[[#This Row],[COSTO TOTAL ALOJAMIENTO]]+Tabla1[[#This Row],[COSTO TOTAL COCHE]]</f>
        <v>639.24099999999999</v>
      </c>
      <c r="S2217" s="2"/>
      <c r="T2217" s="2" t="s">
        <v>35</v>
      </c>
      <c r="U2217" s="14">
        <v>45420</v>
      </c>
      <c r="V2217" s="14"/>
      <c r="W2217" s="26">
        <v>1120</v>
      </c>
      <c r="X2217" s="2">
        <v>15</v>
      </c>
      <c r="Y2217" s="18" t="s">
        <v>3744</v>
      </c>
      <c r="Z2217" s="2" t="s">
        <v>36</v>
      </c>
      <c r="AA2217" s="13" t="s">
        <v>10380</v>
      </c>
      <c r="AB2217" s="13" t="s">
        <v>10381</v>
      </c>
    </row>
    <row r="2218" spans="1:28" ht="15" customHeight="1">
      <c r="A2218" s="2" t="s">
        <v>9581</v>
      </c>
      <c r="B2218" s="2" t="s">
        <v>28</v>
      </c>
      <c r="C2218" s="11" t="s">
        <v>3745</v>
      </c>
      <c r="D2218" s="2" t="s">
        <v>30</v>
      </c>
      <c r="E2218" s="2" t="s">
        <v>114</v>
      </c>
      <c r="F2218" s="11" t="s">
        <v>210</v>
      </c>
      <c r="G2218" s="11" t="s">
        <v>211</v>
      </c>
      <c r="H2218" s="2" t="s">
        <v>117</v>
      </c>
      <c r="I2218" s="12" t="s">
        <v>118</v>
      </c>
      <c r="J2218" s="8">
        <f>+Tabla1[[#This Row],[FECHA ENTRADA]]</f>
        <v>45368</v>
      </c>
      <c r="K2218" s="22">
        <v>45821</v>
      </c>
      <c r="L2218" s="13">
        <f>_xlfn.DAYS(Tabla1[[#This Row],[FECHA FIN ]],Tabla1[[#This Row],[FECHA INICIO]])</f>
        <v>453</v>
      </c>
      <c r="M2218" s="12"/>
      <c r="N2218" s="12"/>
      <c r="O2218" s="12">
        <f>(Tabla1[[#This Row],[COSTO FIJO ]]/30)*Tabla1[[#This Row],[TOTAL DIAS PROYECTO]]+(Tabla1[[#This Row],[COSTO TEMPORAL]])</f>
        <v>0</v>
      </c>
      <c r="P2218" s="12"/>
      <c r="Q2218" s="12">
        <f>+(Tabla1[[#This Row],[COSTO COCHE]]/30)*Tabla1[[#This Row],[TOTAL DIAS PROYECTO]]</f>
        <v>0</v>
      </c>
      <c r="R2218" s="12">
        <f>+Tabla1[[#This Row],[COSTO TOTAL ALOJAMIENTO]]+Tabla1[[#This Row],[COSTO TOTAL COCHE]]</f>
        <v>0</v>
      </c>
      <c r="S2218" s="2"/>
      <c r="T2218" s="2" t="s">
        <v>35</v>
      </c>
      <c r="U2218" s="14">
        <v>45368</v>
      </c>
      <c r="V2218" s="14"/>
      <c r="W2218" s="15"/>
      <c r="X2218" s="16">
        <v>15</v>
      </c>
      <c r="Y2218" s="18"/>
      <c r="Z2218" s="2" t="s">
        <v>36</v>
      </c>
      <c r="AA2218" s="13" t="s">
        <v>10340</v>
      </c>
      <c r="AB2218" s="13" t="s">
        <v>10341</v>
      </c>
    </row>
    <row r="2219" spans="1:28">
      <c r="A2219" s="2" t="s">
        <v>9281</v>
      </c>
      <c r="B2219" s="2" t="s">
        <v>28</v>
      </c>
      <c r="C2219" s="11" t="s">
        <v>2689</v>
      </c>
      <c r="D2219" s="2" t="s">
        <v>30</v>
      </c>
      <c r="E2219" s="2" t="s">
        <v>114</v>
      </c>
      <c r="F2219" s="11" t="s">
        <v>3746</v>
      </c>
      <c r="G2219" s="11" t="s">
        <v>3747</v>
      </c>
      <c r="H2219" s="2" t="s">
        <v>117</v>
      </c>
      <c r="I2219" s="12" t="s">
        <v>118</v>
      </c>
      <c r="J2219" s="8">
        <f>+Tabla1[[#This Row],[FECHA ENTRADA]]</f>
        <v>45368</v>
      </c>
      <c r="K2219" s="22">
        <v>45821</v>
      </c>
      <c r="L2219" s="13">
        <f>_xlfn.DAYS(Tabla1[[#This Row],[FECHA FIN ]],Tabla1[[#This Row],[FECHA INICIO]])</f>
        <v>453</v>
      </c>
      <c r="M2219" s="12"/>
      <c r="N2219" s="12"/>
      <c r="O2219" s="12">
        <f>(Tabla1[[#This Row],[COSTO FIJO ]]/30)*Tabla1[[#This Row],[TOTAL DIAS PROYECTO]]+(Tabla1[[#This Row],[COSTO TEMPORAL]])</f>
        <v>0</v>
      </c>
      <c r="P2219" s="12"/>
      <c r="Q2219" s="12">
        <f>+(Tabla1[[#This Row],[COSTO COCHE]]/30)*Tabla1[[#This Row],[TOTAL DIAS PROYECTO]]</f>
        <v>0</v>
      </c>
      <c r="R2219" s="12">
        <f>+Tabla1[[#This Row],[COSTO TOTAL ALOJAMIENTO]]+Tabla1[[#This Row],[COSTO TOTAL COCHE]]</f>
        <v>0</v>
      </c>
      <c r="S2219" s="2"/>
      <c r="T2219" s="2" t="s">
        <v>35</v>
      </c>
      <c r="U2219" s="14">
        <v>45368</v>
      </c>
      <c r="V2219" s="14"/>
      <c r="W2219" s="15"/>
      <c r="X2219" s="16">
        <v>15</v>
      </c>
      <c r="Y2219" s="18"/>
      <c r="Z2219" s="2" t="s">
        <v>36</v>
      </c>
      <c r="AA2219" s="13" t="s">
        <v>10340</v>
      </c>
      <c r="AB2219" s="13" t="s">
        <v>10341</v>
      </c>
    </row>
    <row r="2220" spans="1:28">
      <c r="A2220" s="2" t="s">
        <v>8642</v>
      </c>
      <c r="B2220" s="2" t="s">
        <v>28</v>
      </c>
      <c r="C2220" s="11" t="s">
        <v>3077</v>
      </c>
      <c r="D2220" s="2" t="s">
        <v>30</v>
      </c>
      <c r="E2220" s="2" t="s">
        <v>127</v>
      </c>
      <c r="F2220" s="11" t="s">
        <v>128</v>
      </c>
      <c r="G2220" s="11" t="s">
        <v>1900</v>
      </c>
      <c r="H2220" s="2" t="s">
        <v>684</v>
      </c>
      <c r="I2220" s="12" t="s">
        <v>377</v>
      </c>
      <c r="J2220" s="8">
        <f>+Tabla1[[#This Row],[FECHA ENTRADA]]</f>
        <v>45479</v>
      </c>
      <c r="K2220" s="22">
        <v>45821</v>
      </c>
      <c r="L2220" s="13">
        <f>_xlfn.DAYS(Tabla1[[#This Row],[FECHA FIN ]],Tabla1[[#This Row],[FECHA INICIO]])</f>
        <v>342</v>
      </c>
      <c r="M2220" s="12"/>
      <c r="N2220" s="12"/>
      <c r="O2220" s="12">
        <f>(Tabla1[[#This Row],[COSTO FIJO ]]/30)*Tabla1[[#This Row],[TOTAL DIAS PROYECTO]]+(Tabla1[[#This Row],[COSTO TEMPORAL]])</f>
        <v>0</v>
      </c>
      <c r="P2220" s="12"/>
      <c r="Q2220" s="12">
        <f>+(Tabla1[[#This Row],[COSTO COCHE]]/30)*Tabla1[[#This Row],[TOTAL DIAS PROYECTO]]</f>
        <v>0</v>
      </c>
      <c r="R2220" s="12">
        <f>+Tabla1[[#This Row],[COSTO TOTAL ALOJAMIENTO]]+Tabla1[[#This Row],[COSTO TOTAL COCHE]]</f>
        <v>0</v>
      </c>
      <c r="S2220" s="2"/>
      <c r="T2220" s="2" t="s">
        <v>35</v>
      </c>
      <c r="U2220" s="14">
        <v>45479</v>
      </c>
      <c r="V2220" s="14"/>
      <c r="W2220" s="26"/>
      <c r="X2220" s="2">
        <v>20</v>
      </c>
      <c r="Y2220" s="31"/>
      <c r="Z2220" s="2" t="s">
        <v>36</v>
      </c>
      <c r="AA2220" s="13" t="s">
        <v>10342</v>
      </c>
      <c r="AB2220" s="13" t="s">
        <v>10343</v>
      </c>
    </row>
    <row r="2221" spans="1:28">
      <c r="A2221" s="2" t="s">
        <v>9582</v>
      </c>
      <c r="B2221" s="2" t="s">
        <v>368</v>
      </c>
      <c r="C2221" s="11" t="s">
        <v>3748</v>
      </c>
      <c r="D2221" s="2" t="s">
        <v>30</v>
      </c>
      <c r="E2221" s="2" t="s">
        <v>92</v>
      </c>
      <c r="F2221" s="11" t="s">
        <v>803</v>
      </c>
      <c r="G2221" s="11" t="s">
        <v>804</v>
      </c>
      <c r="H2221" s="2" t="s">
        <v>3749</v>
      </c>
      <c r="I2221" s="12" t="s">
        <v>806</v>
      </c>
      <c r="J2221" s="8">
        <f>+Tabla1[[#This Row],[FECHA ENTRADA]]</f>
        <v>45503</v>
      </c>
      <c r="K2221" s="22">
        <v>45821</v>
      </c>
      <c r="L2221" s="13">
        <f>_xlfn.DAYS(Tabla1[[#This Row],[FECHA FIN ]],Tabla1[[#This Row],[FECHA INICIO]])</f>
        <v>318</v>
      </c>
      <c r="M2221" s="12"/>
      <c r="N2221" s="12">
        <v>150</v>
      </c>
      <c r="O2221" s="12">
        <f>(Tabla1[[#This Row],[COSTO FIJO ]]/30)*Tabla1[[#This Row],[TOTAL DIAS PROYECTO]]+(Tabla1[[#This Row],[COSTO TEMPORAL]])</f>
        <v>1590</v>
      </c>
      <c r="P2221" s="12"/>
      <c r="Q2221" s="12">
        <f>+(Tabla1[[#This Row],[COSTO COCHE]]/30)*Tabla1[[#This Row],[TOTAL DIAS PROYECTO]]</f>
        <v>0</v>
      </c>
      <c r="R2221" s="12">
        <f>+Tabla1[[#This Row],[COSTO TOTAL ALOJAMIENTO]]+Tabla1[[#This Row],[COSTO TOTAL COCHE]]</f>
        <v>1590</v>
      </c>
      <c r="S2221" s="2"/>
      <c r="T2221" s="2" t="s">
        <v>35</v>
      </c>
      <c r="U2221" s="14">
        <v>45503</v>
      </c>
      <c r="V2221" s="14"/>
      <c r="W2221" s="26"/>
      <c r="X2221" s="2">
        <v>15</v>
      </c>
      <c r="Y2221" s="11" t="s">
        <v>3750</v>
      </c>
      <c r="Z2221" s="2" t="s">
        <v>36</v>
      </c>
      <c r="AA2221" s="13" t="s">
        <v>10336</v>
      </c>
      <c r="AB2221" s="13" t="s">
        <v>10337</v>
      </c>
    </row>
    <row r="2222" spans="1:28">
      <c r="A2222" s="2" t="s">
        <v>9583</v>
      </c>
      <c r="B2222" s="2" t="s">
        <v>368</v>
      </c>
      <c r="C2222" s="11" t="s">
        <v>3751</v>
      </c>
      <c r="D2222" s="2" t="s">
        <v>30</v>
      </c>
      <c r="E2222" s="2" t="s">
        <v>92</v>
      </c>
      <c r="F2222" s="11" t="s">
        <v>803</v>
      </c>
      <c r="G2222" s="11" t="s">
        <v>804</v>
      </c>
      <c r="H2222" s="2" t="s">
        <v>805</v>
      </c>
      <c r="I2222" s="12" t="s">
        <v>806</v>
      </c>
      <c r="J2222" s="8">
        <f>+Tabla1[[#This Row],[FECHA ENTRADA]]</f>
        <v>45489</v>
      </c>
      <c r="K2222" s="22">
        <v>45821</v>
      </c>
      <c r="L2222" s="13">
        <f>_xlfn.DAYS(Tabla1[[#This Row],[FECHA FIN ]],Tabla1[[#This Row],[FECHA INICIO]])</f>
        <v>332</v>
      </c>
      <c r="M2222" s="12"/>
      <c r="N2222" s="12">
        <v>150</v>
      </c>
      <c r="O2222" s="12">
        <f>(Tabla1[[#This Row],[COSTO FIJO ]]/30)*Tabla1[[#This Row],[TOTAL DIAS PROYECTO]]+(Tabla1[[#This Row],[COSTO TEMPORAL]])</f>
        <v>1660</v>
      </c>
      <c r="P2222" s="12"/>
      <c r="Q2222" s="12">
        <f>+(Tabla1[[#This Row],[COSTO COCHE]]/30)*Tabla1[[#This Row],[TOTAL DIAS PROYECTO]]</f>
        <v>0</v>
      </c>
      <c r="R2222" s="12">
        <f>+Tabla1[[#This Row],[COSTO TOTAL ALOJAMIENTO]]+Tabla1[[#This Row],[COSTO TOTAL COCHE]]</f>
        <v>1660</v>
      </c>
      <c r="S2222" s="2"/>
      <c r="T2222" s="2" t="s">
        <v>35</v>
      </c>
      <c r="U2222" s="14">
        <v>45489</v>
      </c>
      <c r="V2222" s="14"/>
      <c r="W2222" s="26"/>
      <c r="X2222" s="2">
        <v>15</v>
      </c>
      <c r="Y2222" s="18"/>
      <c r="Z2222" s="2" t="s">
        <v>36</v>
      </c>
      <c r="AA2222" s="13" t="s">
        <v>10336</v>
      </c>
      <c r="AB2222" s="13" t="s">
        <v>10337</v>
      </c>
    </row>
    <row r="2223" spans="1:28">
      <c r="A2223" s="2" t="s">
        <v>8905</v>
      </c>
      <c r="B2223" s="2" t="s">
        <v>368</v>
      </c>
      <c r="C2223" s="11" t="s">
        <v>1221</v>
      </c>
      <c r="D2223" s="2" t="s">
        <v>30</v>
      </c>
      <c r="E2223" s="2" t="s">
        <v>415</v>
      </c>
      <c r="F2223" s="11" t="s">
        <v>2173</v>
      </c>
      <c r="G2223" t="s">
        <v>2174</v>
      </c>
      <c r="H2223" s="2" t="s">
        <v>3089</v>
      </c>
      <c r="I2223" s="12" t="s">
        <v>3752</v>
      </c>
      <c r="J2223" s="22">
        <f>+Tabla1[[#This Row],[FECHA ENTRADA]]</f>
        <v>45698</v>
      </c>
      <c r="K2223" s="22">
        <v>45711</v>
      </c>
      <c r="L2223" s="23">
        <f>_xlfn.DAYS(Tabla1[[#This Row],[FECHA FIN ]],Tabla1[[#This Row],[FECHA INICIO]])</f>
        <v>13</v>
      </c>
      <c r="M2223" s="12"/>
      <c r="N2223" s="12">
        <f>1811.6/17</f>
        <v>106.56470588235294</v>
      </c>
      <c r="O2223" s="24">
        <f>(Tabla1[[#This Row],[COSTO FIJO ]]/30)*Tabla1[[#This Row],[TOTAL DIAS PROYECTO]]+(Tabla1[[#This Row],[COSTO TEMPORAL]])</f>
        <v>46.178039215686276</v>
      </c>
      <c r="P2223" s="12">
        <f>400/2</f>
        <v>200</v>
      </c>
      <c r="Q2223" s="12">
        <f>+(Tabla1[[#This Row],[COSTO COCHE]]/30)*Tabla1[[#This Row],[TOTAL DIAS PROYECTO]]</f>
        <v>86.666666666666671</v>
      </c>
      <c r="R2223" s="12">
        <f>+Tabla1[[#This Row],[COSTO TOTAL ALOJAMIENTO]]+Tabla1[[#This Row],[COSTO TOTAL COCHE]]</f>
        <v>132.84470588235294</v>
      </c>
      <c r="S2223" s="2"/>
      <c r="T2223" s="2" t="s">
        <v>35</v>
      </c>
      <c r="U2223" s="14">
        <v>45698</v>
      </c>
      <c r="V2223" s="79"/>
      <c r="W2223" s="26"/>
      <c r="X2223" s="2">
        <v>15</v>
      </c>
      <c r="Y2223" s="11"/>
      <c r="Z2223" s="2" t="s">
        <v>36</v>
      </c>
      <c r="AA2223" s="13">
        <v>-0.37739</v>
      </c>
      <c r="AB2223" s="13" t="s">
        <v>10372</v>
      </c>
    </row>
    <row r="2224" spans="1:28" ht="15" customHeight="1">
      <c r="A2224" s="2" t="s">
        <v>9584</v>
      </c>
      <c r="B2224" s="2" t="s">
        <v>28</v>
      </c>
      <c r="C2224" s="11" t="s">
        <v>3753</v>
      </c>
      <c r="D2224" s="2" t="s">
        <v>30</v>
      </c>
      <c r="E2224" s="2" t="s">
        <v>114</v>
      </c>
      <c r="F2224" s="11" t="s">
        <v>3746</v>
      </c>
      <c r="G2224" s="11" t="s">
        <v>3747</v>
      </c>
      <c r="H2224" s="2" t="s">
        <v>117</v>
      </c>
      <c r="I2224" s="12" t="s">
        <v>118</v>
      </c>
      <c r="J2224" s="8">
        <f>+Tabla1[[#This Row],[FECHA ENTRADA]]</f>
        <v>45368</v>
      </c>
      <c r="K2224" s="22">
        <v>45821</v>
      </c>
      <c r="L2224" s="13">
        <f>_xlfn.DAYS(Tabla1[[#This Row],[FECHA FIN ]],Tabla1[[#This Row],[FECHA INICIO]])</f>
        <v>453</v>
      </c>
      <c r="M2224" s="12"/>
      <c r="N2224" s="12">
        <f>1811.6/17</f>
        <v>106.56470588235294</v>
      </c>
      <c r="O2224" s="12">
        <f>(Tabla1[[#This Row],[COSTO FIJO ]]/30)*Tabla1[[#This Row],[TOTAL DIAS PROYECTO]]+(Tabla1[[#This Row],[COSTO TEMPORAL]])</f>
        <v>1609.1270588235295</v>
      </c>
      <c r="P2224" s="12"/>
      <c r="Q2224" s="12">
        <f>+(Tabla1[[#This Row],[COSTO COCHE]]/30)*Tabla1[[#This Row],[TOTAL DIAS PROYECTO]]</f>
        <v>0</v>
      </c>
      <c r="R2224" s="12">
        <f>+Tabla1[[#This Row],[COSTO TOTAL ALOJAMIENTO]]+Tabla1[[#This Row],[COSTO TOTAL COCHE]]</f>
        <v>1609.1270588235295</v>
      </c>
      <c r="S2224" s="2"/>
      <c r="T2224" s="2" t="s">
        <v>35</v>
      </c>
      <c r="U2224" s="14">
        <v>45368</v>
      </c>
      <c r="V2224" s="14">
        <v>45397</v>
      </c>
      <c r="W2224" s="15">
        <v>500</v>
      </c>
      <c r="X2224" s="16">
        <v>15</v>
      </c>
      <c r="Y2224" s="18" t="s">
        <v>192</v>
      </c>
      <c r="Z2224" s="2" t="s">
        <v>36</v>
      </c>
      <c r="AA2224" s="13" t="s">
        <v>10340</v>
      </c>
      <c r="AB2224" s="13" t="s">
        <v>10341</v>
      </c>
    </row>
    <row r="2225" spans="1:28" ht="15" customHeight="1">
      <c r="A2225" s="2" t="s">
        <v>8727</v>
      </c>
      <c r="B2225" s="2" t="s">
        <v>368</v>
      </c>
      <c r="C2225" s="211" t="s">
        <v>463</v>
      </c>
      <c r="D2225" s="2" t="s">
        <v>30</v>
      </c>
      <c r="E2225" s="2" t="s">
        <v>127</v>
      </c>
      <c r="F2225" s="11" t="s">
        <v>128</v>
      </c>
      <c r="G2225" s="11" t="s">
        <v>1900</v>
      </c>
      <c r="H2225" s="2" t="s">
        <v>1192</v>
      </c>
      <c r="I2225" s="12" t="s">
        <v>1193</v>
      </c>
      <c r="J2225" s="41">
        <v>45641</v>
      </c>
      <c r="K2225" s="41">
        <v>45691</v>
      </c>
      <c r="L2225" s="42">
        <f>_xlfn.DAYS(Tabla1[[#This Row],[FECHA FIN ]],Tabla1[[#This Row],[FECHA INICIO]])</f>
        <v>50</v>
      </c>
      <c r="M2225" s="12"/>
      <c r="N2225" s="28">
        <v>250</v>
      </c>
      <c r="O2225" s="28">
        <f>(Tabla1[[#This Row],[COSTO FIJO ]]/30)*Tabla1[[#This Row],[TOTAL DIAS PROYECTO]]+(Tabla1[[#This Row],[COSTO TEMPORAL]])</f>
        <v>416.66666666666669</v>
      </c>
      <c r="P2225" s="12">
        <v>80</v>
      </c>
      <c r="Q2225" s="12">
        <f>+(Tabla1[[#This Row],[COSTO COCHE]]/30)*Tabla1[[#This Row],[TOTAL DIAS PROYECTO]]</f>
        <v>133.33333333333331</v>
      </c>
      <c r="R2225" s="12">
        <f>+Tabla1[[#This Row],[COSTO TOTAL ALOJAMIENTO]]+Tabla1[[#This Row],[COSTO TOTAL COCHE]]</f>
        <v>550</v>
      </c>
      <c r="S2225" s="2"/>
      <c r="T2225" s="2" t="s">
        <v>35</v>
      </c>
      <c r="U2225" s="14">
        <v>45628</v>
      </c>
      <c r="V2225" s="43"/>
      <c r="W2225" s="26"/>
      <c r="X2225" s="2">
        <v>1</v>
      </c>
      <c r="Y2225" s="11"/>
      <c r="Z2225" s="2" t="s">
        <v>36</v>
      </c>
      <c r="AA2225" s="13" t="s">
        <v>10342</v>
      </c>
      <c r="AB2225" s="13" t="s">
        <v>10343</v>
      </c>
    </row>
    <row r="2226" spans="1:28">
      <c r="A2226" s="2" t="s">
        <v>9585</v>
      </c>
      <c r="B2226" s="2" t="s">
        <v>28</v>
      </c>
      <c r="C2226" s="11" t="s">
        <v>3754</v>
      </c>
      <c r="D2226" s="2" t="s">
        <v>30</v>
      </c>
      <c r="E2226" s="2" t="s">
        <v>114</v>
      </c>
      <c r="F2226" s="11" t="s">
        <v>210</v>
      </c>
      <c r="G2226" s="11" t="s">
        <v>211</v>
      </c>
      <c r="H2226" s="2" t="s">
        <v>117</v>
      </c>
      <c r="I2226" s="12" t="s">
        <v>118</v>
      </c>
      <c r="J2226" s="8">
        <f>+Tabla1[[#This Row],[FECHA ENTRADA]]</f>
        <v>45368</v>
      </c>
      <c r="K2226" s="22">
        <v>45821</v>
      </c>
      <c r="L2226" s="13">
        <f>_xlfn.DAYS(Tabla1[[#This Row],[FECHA FIN ]],Tabla1[[#This Row],[FECHA INICIO]])</f>
        <v>453</v>
      </c>
      <c r="M2226" s="12"/>
      <c r="N2226" s="12">
        <f>1811.6/17</f>
        <v>106.56470588235294</v>
      </c>
      <c r="O2226" s="12">
        <f>(Tabla1[[#This Row],[COSTO FIJO ]]/30)*Tabla1[[#This Row],[TOTAL DIAS PROYECTO]]+(Tabla1[[#This Row],[COSTO TEMPORAL]])</f>
        <v>1609.1270588235295</v>
      </c>
      <c r="P2226" s="12"/>
      <c r="Q2226" s="12">
        <f>+(Tabla1[[#This Row],[COSTO COCHE]]/30)*Tabla1[[#This Row],[TOTAL DIAS PROYECTO]]</f>
        <v>0</v>
      </c>
      <c r="R2226" s="12">
        <f>+Tabla1[[#This Row],[COSTO TOTAL ALOJAMIENTO]]+Tabla1[[#This Row],[COSTO TOTAL COCHE]]</f>
        <v>1609.1270588235295</v>
      </c>
      <c r="S2226" s="2"/>
      <c r="T2226" s="2" t="s">
        <v>35</v>
      </c>
      <c r="U2226" s="14">
        <v>45368</v>
      </c>
      <c r="V2226" s="14">
        <v>45397</v>
      </c>
      <c r="W2226" s="15"/>
      <c r="X2226" s="16">
        <v>15</v>
      </c>
      <c r="Y2226" s="18" t="s">
        <v>192</v>
      </c>
      <c r="Z2226" s="2" t="s">
        <v>36</v>
      </c>
      <c r="AA2226" s="13" t="s">
        <v>10340</v>
      </c>
      <c r="AB2226" s="13" t="s">
        <v>10341</v>
      </c>
    </row>
    <row r="2227" spans="1:28" ht="15" customHeight="1">
      <c r="A2227" s="2" t="s">
        <v>8896</v>
      </c>
      <c r="B2227" s="2" t="s">
        <v>368</v>
      </c>
      <c r="C2227" s="99" t="s">
        <v>1194</v>
      </c>
      <c r="D2227" s="2" t="s">
        <v>30</v>
      </c>
      <c r="E2227" s="2" t="s">
        <v>127</v>
      </c>
      <c r="F2227" s="11" t="s">
        <v>128</v>
      </c>
      <c r="G2227" s="11" t="s">
        <v>1900</v>
      </c>
      <c r="H2227" s="2" t="s">
        <v>1192</v>
      </c>
      <c r="I2227" s="12" t="s">
        <v>1193</v>
      </c>
      <c r="J2227" s="41">
        <v>45641</v>
      </c>
      <c r="K2227" s="41">
        <v>45751</v>
      </c>
      <c r="L2227" s="42">
        <f>_xlfn.DAYS(Tabla1[[#This Row],[FECHA FIN ]],Tabla1[[#This Row],[FECHA INICIO]])</f>
        <v>110</v>
      </c>
      <c r="M2227" s="12"/>
      <c r="N2227" s="12">
        <v>416.66666666666669</v>
      </c>
      <c r="O2227" s="28">
        <f>(Tabla1[[#This Row],[COSTO FIJO ]]/30)*Tabla1[[#This Row],[TOTAL DIAS PROYECTO]]+(Tabla1[[#This Row],[COSTO TEMPORAL]])</f>
        <v>1527.7777777777778</v>
      </c>
      <c r="P2227" s="12">
        <f>542.69/5</f>
        <v>108.53800000000001</v>
      </c>
      <c r="Q2227" s="12">
        <f>+(Tabla1[[#This Row],[COSTO COCHE]]/30)*Tabla1[[#This Row],[TOTAL DIAS PROYECTO]]</f>
        <v>397.97266666666673</v>
      </c>
      <c r="R2227" s="12">
        <f>+Tabla1[[#This Row],[COSTO TOTAL ALOJAMIENTO]]+Tabla1[[#This Row],[COSTO TOTAL COCHE]]</f>
        <v>1925.7504444444446</v>
      </c>
      <c r="S2227" s="2"/>
      <c r="T2227" s="2" t="s">
        <v>35</v>
      </c>
      <c r="U2227" s="14">
        <v>45628</v>
      </c>
      <c r="V2227" s="43"/>
      <c r="W2227" s="26"/>
      <c r="X2227" s="2">
        <v>1</v>
      </c>
      <c r="Y2227" t="s">
        <v>3755</v>
      </c>
      <c r="Z2227" s="2" t="s">
        <v>36</v>
      </c>
      <c r="AA2227" s="13" t="s">
        <v>10342</v>
      </c>
      <c r="AB2227" s="13" t="s">
        <v>10343</v>
      </c>
    </row>
    <row r="2228" spans="1:28" ht="15" customHeight="1">
      <c r="A2228" s="2" t="s">
        <v>8825</v>
      </c>
      <c r="B2228" s="2" t="s">
        <v>28</v>
      </c>
      <c r="C2228" s="11" t="s">
        <v>915</v>
      </c>
      <c r="D2228" s="2" t="s">
        <v>30</v>
      </c>
      <c r="E2228" s="2" t="s">
        <v>572</v>
      </c>
      <c r="F2228" s="11" t="s">
        <v>573</v>
      </c>
      <c r="G2228" s="11" t="s">
        <v>574</v>
      </c>
      <c r="H2228" s="2" t="s">
        <v>575</v>
      </c>
      <c r="I2228" s="12" t="s">
        <v>576</v>
      </c>
      <c r="J2228" s="8">
        <f>+Tabla1[[#This Row],[FECHA ENTRADA]]</f>
        <v>45420</v>
      </c>
      <c r="K2228" s="8">
        <v>45533</v>
      </c>
      <c r="L2228" s="13">
        <f>_xlfn.DAYS(Tabla1[[#This Row],[FECHA FIN ]],Tabla1[[#This Row],[FECHA INICIO]])</f>
        <v>113</v>
      </c>
      <c r="M2228" s="12"/>
      <c r="N2228" s="12">
        <v>112</v>
      </c>
      <c r="O2228" s="12">
        <f>(Tabla1[[#This Row],[COSTO FIJO ]]/30)*Tabla1[[#This Row],[TOTAL DIAS PROYECTO]]+(Tabla1[[#This Row],[COSTO TEMPORAL]])</f>
        <v>421.86666666666667</v>
      </c>
      <c r="P2228" s="12">
        <f>(577.1*50%)/5</f>
        <v>57.71</v>
      </c>
      <c r="Q2228" s="12">
        <f>+(Tabla1[[#This Row],[COSTO COCHE]]/30)*Tabla1[[#This Row],[TOTAL DIAS PROYECTO]]</f>
        <v>217.37433333333334</v>
      </c>
      <c r="R2228" s="12">
        <f>+Tabla1[[#This Row],[COSTO TOTAL ALOJAMIENTO]]+Tabla1[[#This Row],[COSTO TOTAL COCHE]]</f>
        <v>639.24099999999999</v>
      </c>
      <c r="S2228" s="2"/>
      <c r="T2228" s="2" t="s">
        <v>35</v>
      </c>
      <c r="U2228" s="14">
        <v>45420</v>
      </c>
      <c r="V2228" s="14"/>
      <c r="W2228" s="26"/>
      <c r="X2228" s="2">
        <v>15</v>
      </c>
      <c r="Y2228" s="18"/>
      <c r="Z2228" s="2" t="s">
        <v>36</v>
      </c>
      <c r="AA2228" s="13" t="s">
        <v>10380</v>
      </c>
      <c r="AB2228" s="13" t="s">
        <v>10381</v>
      </c>
    </row>
    <row r="2229" spans="1:28" ht="15" customHeight="1">
      <c r="A2229" s="2" t="s">
        <v>9410</v>
      </c>
      <c r="B2229" s="2" t="s">
        <v>28</v>
      </c>
      <c r="C2229" s="11" t="s">
        <v>3092</v>
      </c>
      <c r="D2229" s="2" t="s">
        <v>30</v>
      </c>
      <c r="E2229" s="2" t="s">
        <v>855</v>
      </c>
      <c r="F2229" s="11" t="s">
        <v>865</v>
      </c>
      <c r="G2229" s="21" t="s">
        <v>866</v>
      </c>
      <c r="H2229" s="2" t="s">
        <v>1200</v>
      </c>
      <c r="I2229" s="12" t="s">
        <v>1201</v>
      </c>
      <c r="J2229" s="41">
        <f>+Tabla1[[#This Row],[FECHA ENTRADA]]</f>
        <v>45550</v>
      </c>
      <c r="K2229" s="22">
        <v>45821</v>
      </c>
      <c r="L2229" s="42">
        <f>_xlfn.DAYS(Tabla1[[#This Row],[FECHA FIN ]],Tabla1[[#This Row],[FECHA INICIO]])</f>
        <v>271</v>
      </c>
      <c r="M2229" s="12"/>
      <c r="N2229" s="12">
        <f>1811.6/17</f>
        <v>106.56470588235294</v>
      </c>
      <c r="O2229" s="28">
        <f>(Tabla1[[#This Row],[COSTO FIJO ]]/30)*Tabla1[[#This Row],[TOTAL DIAS PROYECTO]]+(Tabla1[[#This Row],[COSTO TEMPORAL]])</f>
        <v>962.63450980392156</v>
      </c>
      <c r="P2229" s="12"/>
      <c r="Q2229" s="12">
        <f>+(Tabla1[[#This Row],[COSTO COCHE]]/30)*Tabla1[[#This Row],[TOTAL DIAS PROYECTO]]</f>
        <v>0</v>
      </c>
      <c r="R2229" s="12">
        <f>+Tabla1[[#This Row],[COSTO TOTAL ALOJAMIENTO]]+Tabla1[[#This Row],[COSTO TOTAL COCHE]]</f>
        <v>962.63450980392156</v>
      </c>
      <c r="S2229" s="2"/>
      <c r="T2229" s="2" t="s">
        <v>35</v>
      </c>
      <c r="U2229" s="14">
        <v>45550</v>
      </c>
      <c r="V2229" s="75"/>
      <c r="W2229" s="26"/>
      <c r="X2229" s="2">
        <v>15</v>
      </c>
      <c r="Y2229" s="11" t="s">
        <v>3743</v>
      </c>
      <c r="Z2229" s="2" t="s">
        <v>36</v>
      </c>
      <c r="AA2229" s="13" t="s">
        <v>10401</v>
      </c>
      <c r="AB2229" s="13" t="s">
        <v>10402</v>
      </c>
    </row>
    <row r="2230" spans="1:28" ht="15" customHeight="1">
      <c r="A2230" s="2" t="s">
        <v>9282</v>
      </c>
      <c r="B2230" s="2" t="s">
        <v>28</v>
      </c>
      <c r="C2230" s="11" t="s">
        <v>2690</v>
      </c>
      <c r="D2230" s="2" t="s">
        <v>30</v>
      </c>
      <c r="E2230" s="2" t="s">
        <v>114</v>
      </c>
      <c r="F2230" s="11" t="s">
        <v>210</v>
      </c>
      <c r="G2230" s="11" t="s">
        <v>211</v>
      </c>
      <c r="H2230" s="2" t="s">
        <v>117</v>
      </c>
      <c r="I2230" s="12" t="s">
        <v>118</v>
      </c>
      <c r="J2230" s="8">
        <f>+Tabla1[[#This Row],[FECHA ENTRADA]]</f>
        <v>45368</v>
      </c>
      <c r="K2230" s="22">
        <v>45821</v>
      </c>
      <c r="L2230" s="13">
        <f>_xlfn.DAYS(Tabla1[[#This Row],[FECHA FIN ]],Tabla1[[#This Row],[FECHA INICIO]])</f>
        <v>453</v>
      </c>
      <c r="M2230" s="12"/>
      <c r="N2230" s="12">
        <v>100</v>
      </c>
      <c r="O2230" s="12">
        <f>(Tabla1[[#This Row],[COSTO FIJO ]]/30)*Tabla1[[#This Row],[TOTAL DIAS PROYECTO]]+(Tabla1[[#This Row],[COSTO TEMPORAL]])</f>
        <v>1510</v>
      </c>
      <c r="P2230" s="12"/>
      <c r="Q2230" s="12">
        <f>+(Tabla1[[#This Row],[COSTO COCHE]]/30)*Tabla1[[#This Row],[TOTAL DIAS PROYECTO]]</f>
        <v>0</v>
      </c>
      <c r="R2230" s="12">
        <f>+Tabla1[[#This Row],[COSTO TOTAL ALOJAMIENTO]]+Tabla1[[#This Row],[COSTO TOTAL COCHE]]</f>
        <v>1510</v>
      </c>
      <c r="S2230" s="2"/>
      <c r="T2230" s="2" t="s">
        <v>35</v>
      </c>
      <c r="U2230" s="14">
        <v>45368</v>
      </c>
      <c r="V2230" s="14">
        <v>45398</v>
      </c>
      <c r="W2230" s="15"/>
      <c r="X2230" s="16">
        <v>15</v>
      </c>
      <c r="Y2230" s="18" t="s">
        <v>206</v>
      </c>
      <c r="Z2230" s="2" t="s">
        <v>36</v>
      </c>
      <c r="AA2230" s="13" t="s">
        <v>10340</v>
      </c>
      <c r="AB2230" s="13" t="s">
        <v>10341</v>
      </c>
    </row>
    <row r="2231" spans="1:28">
      <c r="A2231" s="2" t="s">
        <v>9586</v>
      </c>
      <c r="B2231" s="2" t="s">
        <v>28</v>
      </c>
      <c r="C2231" s="11" t="s">
        <v>3756</v>
      </c>
      <c r="D2231" s="2" t="s">
        <v>30</v>
      </c>
      <c r="E2231" s="2" t="s">
        <v>253</v>
      </c>
      <c r="F2231" s="11" t="s">
        <v>777</v>
      </c>
      <c r="G2231" s="11" t="s">
        <v>778</v>
      </c>
      <c r="H2231" s="2">
        <v>2023</v>
      </c>
      <c r="I2231" s="12" t="s">
        <v>774</v>
      </c>
      <c r="J2231" s="8">
        <f>+Tabla1[[#This Row],[FECHA ENTRADA]]</f>
        <v>0</v>
      </c>
      <c r="K2231" s="22">
        <v>45821</v>
      </c>
      <c r="L2231" s="13">
        <f>_xlfn.DAYS(Tabla1[[#This Row],[FECHA FIN ]],Tabla1[[#This Row],[FECHA INICIO]])</f>
        <v>45821</v>
      </c>
      <c r="M2231" s="12"/>
      <c r="N2231" s="12">
        <v>550</v>
      </c>
      <c r="O2231" s="12">
        <f>(Tabla1[[#This Row],[COSTO FIJO ]]/30)*Tabla1[[#This Row],[TOTAL DIAS PROYECTO]]+(Tabla1[[#This Row],[COSTO TEMPORAL]])</f>
        <v>840051.66666666663</v>
      </c>
      <c r="P2231" s="12"/>
      <c r="Q2231" s="12">
        <f>+(Tabla1[[#This Row],[COSTO COCHE]]/30)*Tabla1[[#This Row],[TOTAL DIAS PROYECTO]]</f>
        <v>0</v>
      </c>
      <c r="R2231" s="12">
        <f>+Tabla1[[#This Row],[COSTO TOTAL ALOJAMIENTO]]+Tabla1[[#This Row],[COSTO TOTAL COCHE]]</f>
        <v>840051.66666666663</v>
      </c>
      <c r="S2231" s="2"/>
      <c r="T2231" s="2" t="s">
        <v>35</v>
      </c>
      <c r="U2231" s="14"/>
      <c r="V2231" s="14"/>
      <c r="W2231" s="15"/>
      <c r="X2231" s="16">
        <v>15</v>
      </c>
      <c r="Y2231" s="18"/>
      <c r="Z2231" s="2" t="s">
        <v>36</v>
      </c>
      <c r="AA2231" s="13" t="s">
        <v>10357</v>
      </c>
      <c r="AB2231" s="13" t="s">
        <v>10358</v>
      </c>
    </row>
    <row r="2232" spans="1:28" ht="15" customHeight="1">
      <c r="A2232" s="2" t="s">
        <v>8656</v>
      </c>
      <c r="B2232" s="2" t="s">
        <v>28</v>
      </c>
      <c r="C2232" s="104" t="s">
        <v>150</v>
      </c>
      <c r="D2232" s="2" t="s">
        <v>30</v>
      </c>
      <c r="E2232" s="2" t="s">
        <v>572</v>
      </c>
      <c r="F2232" s="11" t="s">
        <v>573</v>
      </c>
      <c r="G2232" s="11" t="s">
        <v>574</v>
      </c>
      <c r="H2232" s="2" t="s">
        <v>575</v>
      </c>
      <c r="I2232" s="12" t="s">
        <v>576</v>
      </c>
      <c r="J2232" s="8">
        <f>+Tabla1[[#This Row],[FECHA ENTRADA]]</f>
        <v>45420</v>
      </c>
      <c r="K2232" s="8">
        <v>45533</v>
      </c>
      <c r="L2232" s="13">
        <f>_xlfn.DAYS(Tabla1[[#This Row],[FECHA FIN ]],Tabla1[[#This Row],[FECHA INICIO]])</f>
        <v>113</v>
      </c>
      <c r="M2232" s="12"/>
      <c r="N2232" s="12">
        <v>112</v>
      </c>
      <c r="O2232" s="12">
        <f>(Tabla1[[#This Row],[COSTO FIJO ]]/30)*Tabla1[[#This Row],[TOTAL DIAS PROYECTO]]+(Tabla1[[#This Row],[COSTO TEMPORAL]])</f>
        <v>421.86666666666667</v>
      </c>
      <c r="P2232" s="12">
        <f>(577.1*50%)/5</f>
        <v>57.71</v>
      </c>
      <c r="Q2232" s="12">
        <f>+(Tabla1[[#This Row],[COSTO COCHE]]/30)*Tabla1[[#This Row],[TOTAL DIAS PROYECTO]]</f>
        <v>217.37433333333334</v>
      </c>
      <c r="R2232" s="12">
        <f>+Tabla1[[#This Row],[COSTO TOTAL ALOJAMIENTO]]+Tabla1[[#This Row],[COSTO TOTAL COCHE]]</f>
        <v>639.24099999999999</v>
      </c>
      <c r="S2232" s="2"/>
      <c r="T2232" s="2" t="s">
        <v>35</v>
      </c>
      <c r="U2232" s="14">
        <v>45420</v>
      </c>
      <c r="V2232" s="14"/>
      <c r="W2232" s="26"/>
      <c r="X2232" s="2">
        <v>15</v>
      </c>
      <c r="Y2232" s="18" t="s">
        <v>577</v>
      </c>
      <c r="Z2232" s="2" t="s">
        <v>36</v>
      </c>
      <c r="AA2232" s="13" t="s">
        <v>10380</v>
      </c>
      <c r="AB2232" s="13" t="s">
        <v>10381</v>
      </c>
    </row>
    <row r="2233" spans="1:28" ht="15" customHeight="1">
      <c r="A2233" s="2" t="s">
        <v>9587</v>
      </c>
      <c r="B2233" s="2" t="s">
        <v>28</v>
      </c>
      <c r="C2233" s="104" t="s">
        <v>3757</v>
      </c>
      <c r="D2233" s="2" t="s">
        <v>30</v>
      </c>
      <c r="E2233" s="2" t="s">
        <v>114</v>
      </c>
      <c r="F2233" s="11" t="s">
        <v>197</v>
      </c>
      <c r="G2233" s="11" t="s">
        <v>198</v>
      </c>
      <c r="H2233" s="2" t="s">
        <v>117</v>
      </c>
      <c r="I2233" s="12" t="s">
        <v>118</v>
      </c>
      <c r="J2233" s="8">
        <f>+Tabla1[[#This Row],[FECHA ENTRADA]]</f>
        <v>45368</v>
      </c>
      <c r="K2233" s="22">
        <v>45821</v>
      </c>
      <c r="L2233" s="13">
        <f>_xlfn.DAYS(Tabla1[[#This Row],[FECHA FIN ]],Tabla1[[#This Row],[FECHA INICIO]])</f>
        <v>453</v>
      </c>
      <c r="M2233" s="12"/>
      <c r="N2233" s="24"/>
      <c r="O2233" s="12">
        <f>(Tabla1[[#This Row],[COSTO FIJO ]]/30)*Tabla1[[#This Row],[TOTAL DIAS PROYECTO]]+(Tabla1[[#This Row],[COSTO TEMPORAL]])</f>
        <v>0</v>
      </c>
      <c r="P2233" s="12"/>
      <c r="Q2233" s="12">
        <f>+(Tabla1[[#This Row],[COSTO COCHE]]/30)*Tabla1[[#This Row],[TOTAL DIAS PROYECTO]]</f>
        <v>0</v>
      </c>
      <c r="R2233" s="12">
        <f>+Tabla1[[#This Row],[COSTO TOTAL ALOJAMIENTO]]+Tabla1[[#This Row],[COSTO TOTAL COCHE]]</f>
        <v>0</v>
      </c>
      <c r="S2233" s="2"/>
      <c r="T2233" s="2" t="s">
        <v>35</v>
      </c>
      <c r="U2233" s="14">
        <v>45368</v>
      </c>
      <c r="V2233" s="14">
        <v>45397</v>
      </c>
      <c r="W2233" s="15"/>
      <c r="X2233" s="16">
        <v>15</v>
      </c>
      <c r="Y2233" s="18"/>
      <c r="Z2233" s="2" t="s">
        <v>36</v>
      </c>
      <c r="AA2233" s="13" t="s">
        <v>10340</v>
      </c>
      <c r="AB2233" s="13" t="s">
        <v>10341</v>
      </c>
    </row>
    <row r="2234" spans="1:28" ht="15" customHeight="1">
      <c r="A2234" s="2" t="s">
        <v>9100</v>
      </c>
      <c r="B2234" s="2" t="s">
        <v>368</v>
      </c>
      <c r="C2234" s="104" t="s">
        <v>2024</v>
      </c>
      <c r="D2234" s="2" t="s">
        <v>30</v>
      </c>
      <c r="E2234" s="2" t="s">
        <v>92</v>
      </c>
      <c r="F2234" s="11" t="s">
        <v>803</v>
      </c>
      <c r="G2234" s="11" t="s">
        <v>804</v>
      </c>
      <c r="H2234" s="2" t="s">
        <v>805</v>
      </c>
      <c r="I2234" s="12" t="s">
        <v>806</v>
      </c>
      <c r="J2234" s="8">
        <f>+Tabla1[[#This Row],[FECHA ENTRADA]]</f>
        <v>45489</v>
      </c>
      <c r="K2234" s="22">
        <v>45821</v>
      </c>
      <c r="L2234" s="13">
        <f>_xlfn.DAYS(Tabla1[[#This Row],[FECHA FIN ]],Tabla1[[#This Row],[FECHA INICIO]])</f>
        <v>332</v>
      </c>
      <c r="M2234" s="12"/>
      <c r="N2234" s="24">
        <v>150</v>
      </c>
      <c r="O2234" s="12">
        <f>(Tabla1[[#This Row],[COSTO FIJO ]]/30)*Tabla1[[#This Row],[TOTAL DIAS PROYECTO]]+(Tabla1[[#This Row],[COSTO TEMPORAL]])</f>
        <v>1660</v>
      </c>
      <c r="P2234" s="12"/>
      <c r="Q2234" s="12">
        <f>+(Tabla1[[#This Row],[COSTO COCHE]]/30)*Tabla1[[#This Row],[TOTAL DIAS PROYECTO]]</f>
        <v>0</v>
      </c>
      <c r="R2234" s="12">
        <f>+Tabla1[[#This Row],[COSTO TOTAL ALOJAMIENTO]]+Tabla1[[#This Row],[COSTO TOTAL COCHE]]</f>
        <v>1660</v>
      </c>
      <c r="S2234" s="2"/>
      <c r="T2234" s="2" t="s">
        <v>35</v>
      </c>
      <c r="U2234" s="14">
        <v>45489</v>
      </c>
      <c r="V2234" s="14"/>
      <c r="W2234" s="26">
        <v>600</v>
      </c>
      <c r="X2234" s="2">
        <v>15</v>
      </c>
      <c r="Y2234" s="11" t="s">
        <v>3758</v>
      </c>
      <c r="Z2234" s="2" t="s">
        <v>36</v>
      </c>
      <c r="AA2234" s="13" t="s">
        <v>10336</v>
      </c>
      <c r="AB2234" s="13" t="s">
        <v>10337</v>
      </c>
    </row>
    <row r="2235" spans="1:28" ht="15" customHeight="1">
      <c r="A2235" s="2" t="s">
        <v>8897</v>
      </c>
      <c r="B2235" s="2" t="s">
        <v>368</v>
      </c>
      <c r="C2235" s="192" t="s">
        <v>1195</v>
      </c>
      <c r="D2235" s="2" t="s">
        <v>30</v>
      </c>
      <c r="E2235" s="2" t="s">
        <v>127</v>
      </c>
      <c r="F2235" s="11" t="s">
        <v>128</v>
      </c>
      <c r="G2235" s="11" t="s">
        <v>1900</v>
      </c>
      <c r="H2235" s="2" t="s">
        <v>1192</v>
      </c>
      <c r="I2235" s="12" t="s">
        <v>1193</v>
      </c>
      <c r="J2235" s="41">
        <v>45641</v>
      </c>
      <c r="K2235" s="41">
        <v>45751</v>
      </c>
      <c r="L2235" s="42">
        <f>_xlfn.DAYS(Tabla1[[#This Row],[FECHA FIN ]],Tabla1[[#This Row],[FECHA INICIO]])</f>
        <v>110</v>
      </c>
      <c r="M2235" s="12"/>
      <c r="N2235" s="12"/>
      <c r="O2235" s="28">
        <f>(Tabla1[[#This Row],[COSTO FIJO ]]/30)*Tabla1[[#This Row],[TOTAL DIAS PROYECTO]]+(Tabla1[[#This Row],[COSTO TEMPORAL]])</f>
        <v>0</v>
      </c>
      <c r="P2235" s="12">
        <f>542.69/5</f>
        <v>108.53800000000001</v>
      </c>
      <c r="Q2235" s="12">
        <f>+(Tabla1[[#This Row],[COSTO COCHE]]/30)*Tabla1[[#This Row],[TOTAL DIAS PROYECTO]]</f>
        <v>397.97266666666673</v>
      </c>
      <c r="R2235" s="12">
        <f>+Tabla1[[#This Row],[COSTO TOTAL ALOJAMIENTO]]+Tabla1[[#This Row],[COSTO TOTAL COCHE]]</f>
        <v>397.97266666666673</v>
      </c>
      <c r="S2235" s="2"/>
      <c r="T2235" s="2" t="s">
        <v>35</v>
      </c>
      <c r="U2235" s="14">
        <v>45628</v>
      </c>
      <c r="V2235" s="43"/>
      <c r="W2235" s="26"/>
      <c r="X2235" s="2">
        <v>1</v>
      </c>
      <c r="Y2235" t="s">
        <v>3755</v>
      </c>
      <c r="Z2235" s="2" t="s">
        <v>36</v>
      </c>
      <c r="AA2235" s="13" t="s">
        <v>10342</v>
      </c>
      <c r="AB2235" s="13" t="s">
        <v>10343</v>
      </c>
    </row>
    <row r="2236" spans="1:28">
      <c r="A2236" s="2" t="s">
        <v>8938</v>
      </c>
      <c r="B2236" s="2" t="s">
        <v>368</v>
      </c>
      <c r="C2236" s="104" t="s">
        <v>1362</v>
      </c>
      <c r="D2236" s="2" t="s">
        <v>99</v>
      </c>
      <c r="E2236" s="2" t="s">
        <v>127</v>
      </c>
      <c r="F2236" s="11" t="s">
        <v>128</v>
      </c>
      <c r="G2236" s="11" t="s">
        <v>1900</v>
      </c>
      <c r="H2236" s="2" t="s">
        <v>3759</v>
      </c>
      <c r="I2236" s="12" t="s">
        <v>1193</v>
      </c>
      <c r="J2236" s="22">
        <f>+Tabla1[[#This Row],[FECHA ENTRADA]]</f>
        <v>45707</v>
      </c>
      <c r="K2236" s="22">
        <v>45748</v>
      </c>
      <c r="L2236" s="23">
        <f>_xlfn.DAYS(Tabla1[[#This Row],[FECHA FIN ]],Tabla1[[#This Row],[FECHA INICIO]])</f>
        <v>41</v>
      </c>
      <c r="M2236" s="12"/>
      <c r="N2236" s="12"/>
      <c r="O2236" s="24">
        <f>(Tabla1[[#This Row],[COSTO FIJO ]]/30)*Tabla1[[#This Row],[TOTAL DIAS PROYECTO]]+(Tabla1[[#This Row],[COSTO TEMPORAL]])</f>
        <v>0</v>
      </c>
      <c r="P2236" s="12">
        <f>542.69/5</f>
        <v>108.53800000000001</v>
      </c>
      <c r="Q2236" s="12">
        <f>+(Tabla1[[#This Row],[COSTO COCHE]]/30)*Tabla1[[#This Row],[TOTAL DIAS PROYECTO]]</f>
        <v>148.33526666666668</v>
      </c>
      <c r="R2236" s="12">
        <f>+Tabla1[[#This Row],[COSTO TOTAL ALOJAMIENTO]]+Tabla1[[#This Row],[COSTO TOTAL COCHE]]</f>
        <v>148.33526666666668</v>
      </c>
      <c r="S2236" s="2"/>
      <c r="T2236" s="2" t="s">
        <v>35</v>
      </c>
      <c r="U2236" s="14">
        <v>45707</v>
      </c>
      <c r="V2236" s="79"/>
      <c r="W2236" s="26"/>
      <c r="X2236" s="2">
        <v>1</v>
      </c>
      <c r="Y2236" s="11"/>
      <c r="Z2236" s="2" t="s">
        <v>36</v>
      </c>
      <c r="AA2236" s="13" t="s">
        <v>10342</v>
      </c>
      <c r="AB2236" s="13" t="s">
        <v>10343</v>
      </c>
    </row>
    <row r="2237" spans="1:28">
      <c r="A2237" s="2" t="s">
        <v>9396</v>
      </c>
      <c r="B2237" s="2" t="s">
        <v>28</v>
      </c>
      <c r="C2237" s="104" t="s">
        <v>3033</v>
      </c>
      <c r="D2237" s="2" t="s">
        <v>30</v>
      </c>
      <c r="E2237" s="2" t="s">
        <v>151</v>
      </c>
      <c r="F2237" s="11" t="s">
        <v>1259</v>
      </c>
      <c r="G2237" s="46" t="s">
        <v>2557</v>
      </c>
      <c r="H2237" s="2" t="s">
        <v>1501</v>
      </c>
      <c r="I2237" s="12" t="s">
        <v>152</v>
      </c>
      <c r="J2237" s="41">
        <f>+Tabla1[[#This Row],[FECHA ENTRADA]]</f>
        <v>45550</v>
      </c>
      <c r="K2237" s="22">
        <v>45821</v>
      </c>
      <c r="L2237" s="42">
        <f>_xlfn.DAYS(Tabla1[[#This Row],[FECHA FIN ]],Tabla1[[#This Row],[FECHA INICIO]])</f>
        <v>271</v>
      </c>
      <c r="M2237" s="12"/>
      <c r="N2237" s="24"/>
      <c r="O2237" s="28">
        <f>(Tabla1[[#This Row],[COSTO FIJO ]]/30)*Tabla1[[#This Row],[TOTAL DIAS PROYECTO]]+(Tabla1[[#This Row],[COSTO TEMPORAL]])</f>
        <v>0</v>
      </c>
      <c r="P2237" s="12"/>
      <c r="Q2237" s="12">
        <f>+(Tabla1[[#This Row],[COSTO COCHE]]/30)*Tabla1[[#This Row],[TOTAL DIAS PROYECTO]]</f>
        <v>0</v>
      </c>
      <c r="R2237" s="12">
        <f>+Tabla1[[#This Row],[COSTO TOTAL ALOJAMIENTO]]+Tabla1[[#This Row],[COSTO TOTAL COCHE]]</f>
        <v>0</v>
      </c>
      <c r="S2237" s="2"/>
      <c r="T2237" s="2" t="s">
        <v>35</v>
      </c>
      <c r="U2237" s="14">
        <v>45550</v>
      </c>
      <c r="V2237" s="43">
        <v>45644</v>
      </c>
      <c r="W2237" s="26"/>
      <c r="X2237" s="2">
        <v>15</v>
      </c>
      <c r="Y2237" s="11" t="s">
        <v>3760</v>
      </c>
      <c r="Z2237" s="2" t="s">
        <v>36</v>
      </c>
      <c r="AA2237" s="13" t="s">
        <v>10345</v>
      </c>
      <c r="AB2237" s="13" t="s">
        <v>10346</v>
      </c>
    </row>
    <row r="2238" spans="1:28" ht="15" customHeight="1">
      <c r="A2238" s="2" t="s">
        <v>9588</v>
      </c>
      <c r="B2238" s="2" t="s">
        <v>28</v>
      </c>
      <c r="C2238" s="11" t="s">
        <v>3761</v>
      </c>
      <c r="D2238" s="2" t="s">
        <v>30</v>
      </c>
      <c r="E2238" s="2" t="s">
        <v>114</v>
      </c>
      <c r="F2238" s="11" t="s">
        <v>197</v>
      </c>
      <c r="G2238" s="11" t="s">
        <v>198</v>
      </c>
      <c r="H2238" s="2" t="s">
        <v>117</v>
      </c>
      <c r="I2238" s="12" t="s">
        <v>118</v>
      </c>
      <c r="J2238" s="8">
        <f>+Tabla1[[#This Row],[FECHA ENTRADA]]</f>
        <v>45368</v>
      </c>
      <c r="K2238" s="22">
        <v>45821</v>
      </c>
      <c r="L2238" s="13">
        <f>_xlfn.DAYS(Tabla1[[#This Row],[FECHA FIN ]],Tabla1[[#This Row],[FECHA INICIO]])</f>
        <v>453</v>
      </c>
      <c r="M2238" s="12"/>
      <c r="N2238" s="24"/>
      <c r="O2238" s="12">
        <f>(Tabla1[[#This Row],[COSTO FIJO ]]/30)*Tabla1[[#This Row],[TOTAL DIAS PROYECTO]]+(Tabla1[[#This Row],[COSTO TEMPORAL]])</f>
        <v>0</v>
      </c>
      <c r="P2238" s="12"/>
      <c r="Q2238" s="12">
        <f>+(Tabla1[[#This Row],[COSTO COCHE]]/30)*Tabla1[[#This Row],[TOTAL DIAS PROYECTO]]</f>
        <v>0</v>
      </c>
      <c r="R2238" s="12">
        <f>+Tabla1[[#This Row],[COSTO TOTAL ALOJAMIENTO]]+Tabla1[[#This Row],[COSTO TOTAL COCHE]]</f>
        <v>0</v>
      </c>
      <c r="S2238" s="2"/>
      <c r="T2238" s="2" t="s">
        <v>35</v>
      </c>
      <c r="U2238" s="14">
        <v>45368</v>
      </c>
      <c r="V2238" s="14">
        <v>45398</v>
      </c>
      <c r="W2238" s="15"/>
      <c r="X2238" s="16">
        <v>15</v>
      </c>
      <c r="Y2238" s="18" t="s">
        <v>206</v>
      </c>
      <c r="Z2238" s="2" t="s">
        <v>36</v>
      </c>
      <c r="AA2238" s="13" t="s">
        <v>10340</v>
      </c>
      <c r="AB2238" s="13" t="s">
        <v>10341</v>
      </c>
    </row>
    <row r="2239" spans="1:28" ht="15" customHeight="1">
      <c r="A2239" s="2" t="s">
        <v>9259</v>
      </c>
      <c r="B2239" s="2" t="s">
        <v>28</v>
      </c>
      <c r="C2239" s="11" t="s">
        <v>2628</v>
      </c>
      <c r="D2239" s="2" t="s">
        <v>30</v>
      </c>
      <c r="E2239" s="2" t="s">
        <v>114</v>
      </c>
      <c r="F2239" s="11" t="s">
        <v>210</v>
      </c>
      <c r="G2239" s="11" t="s">
        <v>211</v>
      </c>
      <c r="H2239" s="2" t="s">
        <v>117</v>
      </c>
      <c r="I2239" s="12" t="s">
        <v>118</v>
      </c>
      <c r="J2239" s="8">
        <f>+Tabla1[[#This Row],[FECHA ENTRADA]]</f>
        <v>45368</v>
      </c>
      <c r="K2239" s="22">
        <v>45821</v>
      </c>
      <c r="L2239" s="13">
        <f>_xlfn.DAYS(Tabla1[[#This Row],[FECHA FIN ]],Tabla1[[#This Row],[FECHA INICIO]])</f>
        <v>453</v>
      </c>
      <c r="M2239" s="12"/>
      <c r="N2239" s="12"/>
      <c r="O2239" s="12">
        <f>(Tabla1[[#This Row],[COSTO FIJO ]]/30)*Tabla1[[#This Row],[TOTAL DIAS PROYECTO]]+(Tabla1[[#This Row],[COSTO TEMPORAL]])</f>
        <v>0</v>
      </c>
      <c r="P2239" s="12"/>
      <c r="Q2239" s="12">
        <f>+(Tabla1[[#This Row],[COSTO COCHE]]/30)*Tabla1[[#This Row],[TOTAL DIAS PROYECTO]]</f>
        <v>0</v>
      </c>
      <c r="R2239" s="12">
        <f>+Tabla1[[#This Row],[COSTO TOTAL ALOJAMIENTO]]+Tabla1[[#This Row],[COSTO TOTAL COCHE]]</f>
        <v>0</v>
      </c>
      <c r="S2239" s="2" t="s">
        <v>84</v>
      </c>
      <c r="T2239" s="2" t="s">
        <v>35</v>
      </c>
      <c r="U2239" s="14">
        <v>45368</v>
      </c>
      <c r="V2239" s="14"/>
      <c r="W2239" s="15"/>
      <c r="X2239" s="16">
        <v>15</v>
      </c>
      <c r="Y2239" s="18"/>
      <c r="Z2239" s="2" t="s">
        <v>36</v>
      </c>
      <c r="AA2239" s="13" t="s">
        <v>10340</v>
      </c>
      <c r="AB2239" s="13" t="s">
        <v>10341</v>
      </c>
    </row>
    <row r="2240" spans="1:28" ht="15" customHeight="1">
      <c r="A2240" s="2" t="s">
        <v>9262</v>
      </c>
      <c r="B2240" s="2" t="s">
        <v>28</v>
      </c>
      <c r="C2240" s="18" t="s">
        <v>2639</v>
      </c>
      <c r="D2240" s="2" t="s">
        <v>30</v>
      </c>
      <c r="E2240" s="2" t="s">
        <v>114</v>
      </c>
      <c r="F2240" s="11" t="s">
        <v>210</v>
      </c>
      <c r="G2240" s="11" t="s">
        <v>211</v>
      </c>
      <c r="H2240" s="2" t="s">
        <v>117</v>
      </c>
      <c r="I2240" s="12" t="s">
        <v>118</v>
      </c>
      <c r="J2240" s="8">
        <f>+Tabla1[[#This Row],[FECHA ENTRADA]]</f>
        <v>45368</v>
      </c>
      <c r="K2240" s="22">
        <v>45821</v>
      </c>
      <c r="L2240" s="13">
        <f>_xlfn.DAYS(Tabla1[[#This Row],[FECHA FIN ]],Tabla1[[#This Row],[FECHA INICIO]])</f>
        <v>453</v>
      </c>
      <c r="M2240" s="12"/>
      <c r="N2240" s="12"/>
      <c r="O2240" s="12">
        <f>(Tabla1[[#This Row],[COSTO FIJO ]]/30)*Tabla1[[#This Row],[TOTAL DIAS PROYECTO]]+(Tabla1[[#This Row],[COSTO TEMPORAL]])</f>
        <v>0</v>
      </c>
      <c r="P2240" s="12"/>
      <c r="Q2240" s="12">
        <f>+(Tabla1[[#This Row],[COSTO COCHE]]/30)*Tabla1[[#This Row],[TOTAL DIAS PROYECTO]]</f>
        <v>0</v>
      </c>
      <c r="R2240" s="12">
        <f>+Tabla1[[#This Row],[COSTO TOTAL ALOJAMIENTO]]+Tabla1[[#This Row],[COSTO TOTAL COCHE]]</f>
        <v>0</v>
      </c>
      <c r="S2240" s="2"/>
      <c r="T2240" s="2" t="s">
        <v>35</v>
      </c>
      <c r="U2240" s="14">
        <v>45368</v>
      </c>
      <c r="V2240" s="14">
        <v>45398</v>
      </c>
      <c r="W2240" s="55">
        <v>800</v>
      </c>
      <c r="X2240" s="16">
        <v>15</v>
      </c>
      <c r="Y2240" s="18" t="s">
        <v>206</v>
      </c>
      <c r="Z2240" s="2" t="s">
        <v>36</v>
      </c>
      <c r="AA2240" s="13" t="s">
        <v>10340</v>
      </c>
      <c r="AB2240" s="13" t="s">
        <v>10341</v>
      </c>
    </row>
    <row r="2241" spans="1:28">
      <c r="A2241" s="2" t="s">
        <v>9589</v>
      </c>
      <c r="B2241" s="2" t="s">
        <v>28</v>
      </c>
      <c r="C2241" s="31" t="s">
        <v>3762</v>
      </c>
      <c r="D2241" s="2" t="s">
        <v>30</v>
      </c>
      <c r="E2241" s="153" t="s">
        <v>415</v>
      </c>
      <c r="F2241" s="11" t="s">
        <v>2173</v>
      </c>
      <c r="G2241" t="s">
        <v>2174</v>
      </c>
      <c r="H2241" s="157" t="s">
        <v>3763</v>
      </c>
      <c r="I2241" s="12" t="s">
        <v>3764</v>
      </c>
      <c r="J2241" s="41">
        <f>+Tabla1[[#This Row],[FECHA ENTRADA]]</f>
        <v>45678</v>
      </c>
      <c r="K2241" s="22">
        <v>45821</v>
      </c>
      <c r="L2241" s="42">
        <f>_xlfn.DAYS(Tabla1[[#This Row],[FECHA FIN ]],Tabla1[[#This Row],[FECHA INICIO]])</f>
        <v>143</v>
      </c>
      <c r="M2241" s="12"/>
      <c r="N2241" s="12"/>
      <c r="O2241" s="28">
        <f>(Tabla1[[#This Row],[COSTO FIJO ]]/30)*Tabla1[[#This Row],[TOTAL DIAS PROYECTO]]+(Tabla1[[#This Row],[COSTO TEMPORAL]])</f>
        <v>0</v>
      </c>
      <c r="P2241" s="12"/>
      <c r="Q2241" s="12">
        <f>+(Tabla1[[#This Row],[COSTO COCHE]]/30)*Tabla1[[#This Row],[TOTAL DIAS PROYECTO]]</f>
        <v>0</v>
      </c>
      <c r="R2241" s="12">
        <f>+Tabla1[[#This Row],[COSTO TOTAL ALOJAMIENTO]]+Tabla1[[#This Row],[COSTO TOTAL COCHE]]</f>
        <v>0</v>
      </c>
      <c r="S2241" s="2"/>
      <c r="T2241" s="2" t="s">
        <v>35</v>
      </c>
      <c r="U2241" s="14">
        <v>45678</v>
      </c>
      <c r="V2241" s="43"/>
      <c r="W2241" s="26"/>
      <c r="X2241" s="2">
        <v>15</v>
      </c>
      <c r="Y2241" s="11"/>
      <c r="Z2241" s="2" t="s">
        <v>36</v>
      </c>
      <c r="AA2241" s="13">
        <v>-0.37739</v>
      </c>
      <c r="AB2241" s="13" t="s">
        <v>10372</v>
      </c>
    </row>
    <row r="2242" spans="1:28" ht="15" customHeight="1">
      <c r="A2242" s="2" t="s">
        <v>8642</v>
      </c>
      <c r="B2242" s="2" t="s">
        <v>711</v>
      </c>
      <c r="C2242" s="31" t="s">
        <v>3765</v>
      </c>
      <c r="D2242" s="2" t="s">
        <v>30</v>
      </c>
      <c r="E2242" s="2" t="s">
        <v>1987</v>
      </c>
      <c r="F2242" s="11" t="s">
        <v>3766</v>
      </c>
      <c r="G2242" s="128" t="s">
        <v>3767</v>
      </c>
      <c r="H2242" s="157" t="s">
        <v>3768</v>
      </c>
      <c r="I2242" s="12" t="s">
        <v>3769</v>
      </c>
      <c r="J2242" s="41">
        <f>+Tabla1[[#This Row],[FECHA ENTRADA]]</f>
        <v>46136</v>
      </c>
      <c r="K2242" s="22">
        <v>46242</v>
      </c>
      <c r="L2242" s="42">
        <f>_xlfn.DAYS(Tabla1[[#This Row],[FECHA FIN ]],Tabla1[[#This Row],[FECHA INICIO]])</f>
        <v>106</v>
      </c>
      <c r="M2242" s="12"/>
      <c r="N2242" s="28">
        <v>542.5</v>
      </c>
      <c r="O2242" s="28">
        <f>(Tabla1[[#This Row],[COSTO FIJO ]]/30)*Tabla1[[#This Row],[TOTAL DIAS PROYECTO]]+(Tabla1[[#This Row],[COSTO TEMPORAL]])</f>
        <v>1916.8333333333333</v>
      </c>
      <c r="P2242" s="12"/>
      <c r="Q2242" s="12">
        <f>+(Tabla1[[#This Row],[COSTO COCHE]]/30)*Tabla1[[#This Row],[TOTAL DIAS PROYECTO]]</f>
        <v>0</v>
      </c>
      <c r="R2242" s="12">
        <f>+Tabla1[[#This Row],[COSTO TOTAL ALOJAMIENTO]]+Tabla1[[#This Row],[COSTO TOTAL COCHE]]</f>
        <v>1916.8333333333333</v>
      </c>
      <c r="S2242" s="2"/>
      <c r="T2242" s="14" t="s">
        <v>35</v>
      </c>
      <c r="U2242" s="14">
        <v>46136</v>
      </c>
      <c r="V2242" s="43"/>
      <c r="W2242" s="12"/>
      <c r="X2242" s="2">
        <v>7</v>
      </c>
      <c r="Y2242" s="11" t="s">
        <v>3770</v>
      </c>
      <c r="Z2242" s="2" t="s">
        <v>36</v>
      </c>
      <c r="AA2242" s="13" t="s">
        <v>10435</v>
      </c>
      <c r="AB2242" s="13">
        <v>42.136150000000001</v>
      </c>
    </row>
    <row r="2243" spans="1:28" ht="15" customHeight="1">
      <c r="A2243" s="2" t="s">
        <v>9590</v>
      </c>
      <c r="B2243" s="2" t="s">
        <v>28</v>
      </c>
      <c r="C2243" s="11" t="s">
        <v>3771</v>
      </c>
      <c r="D2243" s="2" t="s">
        <v>30</v>
      </c>
      <c r="E2243" s="153" t="s">
        <v>415</v>
      </c>
      <c r="F2243" s="11" t="s">
        <v>2173</v>
      </c>
      <c r="G2243" t="s">
        <v>2174</v>
      </c>
      <c r="H2243" s="2" t="s">
        <v>3763</v>
      </c>
      <c r="I2243" s="12" t="s">
        <v>2176</v>
      </c>
      <c r="J2243" s="41">
        <f>+Tabla1[[#This Row],[FECHA ENTRADA]]</f>
        <v>45678</v>
      </c>
      <c r="K2243" s="22">
        <v>45821</v>
      </c>
      <c r="L2243" s="42">
        <f>_xlfn.DAYS(Tabla1[[#This Row],[FECHA FIN ]],Tabla1[[#This Row],[FECHA INICIO]])</f>
        <v>143</v>
      </c>
      <c r="M2243" s="12"/>
      <c r="N2243" s="12"/>
      <c r="O2243" s="28">
        <f>(Tabla1[[#This Row],[COSTO FIJO ]]/30)*Tabla1[[#This Row],[TOTAL DIAS PROYECTO]]+(Tabla1[[#This Row],[COSTO TEMPORAL]])</f>
        <v>0</v>
      </c>
      <c r="P2243" s="12"/>
      <c r="Q2243" s="12">
        <f>+(Tabla1[[#This Row],[COSTO COCHE]]/30)*Tabla1[[#This Row],[TOTAL DIAS PROYECTO]]</f>
        <v>0</v>
      </c>
      <c r="R2243" s="12">
        <f>+Tabla1[[#This Row],[COSTO TOTAL ALOJAMIENTO]]+Tabla1[[#This Row],[COSTO TOTAL COCHE]]</f>
        <v>0</v>
      </c>
      <c r="S2243" s="2"/>
      <c r="T2243" s="2" t="s">
        <v>35</v>
      </c>
      <c r="U2243" s="14">
        <v>45678</v>
      </c>
      <c r="V2243" s="43"/>
      <c r="W2243" s="26"/>
      <c r="X2243" s="2">
        <v>15</v>
      </c>
      <c r="Y2243" s="11"/>
      <c r="Z2243" s="2" t="s">
        <v>36</v>
      </c>
      <c r="AA2243" s="13">
        <v>-0.37739</v>
      </c>
      <c r="AB2243" s="13" t="s">
        <v>10372</v>
      </c>
    </row>
    <row r="2244" spans="1:28">
      <c r="A2244" s="2" t="s">
        <v>8638</v>
      </c>
      <c r="B2244" s="2" t="s">
        <v>368</v>
      </c>
      <c r="C2244" s="11" t="s">
        <v>3087</v>
      </c>
      <c r="D2244" s="2" t="s">
        <v>30</v>
      </c>
      <c r="E2244" s="2" t="s">
        <v>415</v>
      </c>
      <c r="F2244" s="11" t="s">
        <v>2173</v>
      </c>
      <c r="G2244" t="s">
        <v>2174</v>
      </c>
      <c r="H2244" s="2" t="s">
        <v>3089</v>
      </c>
      <c r="I2244" s="12" t="s">
        <v>3752</v>
      </c>
      <c r="J2244" s="22">
        <f>+Tabla1[[#This Row],[FECHA ENTRADA]]</f>
        <v>45698</v>
      </c>
      <c r="K2244" s="22">
        <v>45821</v>
      </c>
      <c r="L2244" s="23">
        <f>_xlfn.DAYS(Tabla1[[#This Row],[FECHA FIN ]],Tabla1[[#This Row],[FECHA INICIO]])</f>
        <v>123</v>
      </c>
      <c r="M2244" s="12"/>
      <c r="N2244" s="12"/>
      <c r="O2244" s="24">
        <f>(Tabla1[[#This Row],[COSTO FIJO ]]/30)*Tabla1[[#This Row],[TOTAL DIAS PROYECTO]]+(Tabla1[[#This Row],[COSTO TEMPORAL]])</f>
        <v>0</v>
      </c>
      <c r="P2244" s="12">
        <f>400/2</f>
        <v>200</v>
      </c>
      <c r="Q2244" s="12">
        <f>+(Tabla1[[#This Row],[COSTO COCHE]]/30)*Tabla1[[#This Row],[TOTAL DIAS PROYECTO]]</f>
        <v>820</v>
      </c>
      <c r="R2244" s="12">
        <f>+Tabla1[[#This Row],[COSTO TOTAL ALOJAMIENTO]]+Tabla1[[#This Row],[COSTO TOTAL COCHE]]</f>
        <v>820</v>
      </c>
      <c r="S2244" s="2"/>
      <c r="T2244" s="2" t="s">
        <v>35</v>
      </c>
      <c r="U2244" s="14">
        <v>45698</v>
      </c>
      <c r="V2244" s="79"/>
      <c r="W2244" s="26"/>
      <c r="X2244" s="2">
        <v>15</v>
      </c>
      <c r="Y2244" s="11"/>
      <c r="Z2244" s="2" t="s">
        <v>36</v>
      </c>
      <c r="AA2244" s="13">
        <v>-0.37739</v>
      </c>
      <c r="AB2244" s="13" t="s">
        <v>10372</v>
      </c>
    </row>
    <row r="2245" spans="1:28">
      <c r="A2245" s="2" t="s">
        <v>8672</v>
      </c>
      <c r="B2245" s="2" t="s">
        <v>28</v>
      </c>
      <c r="C2245" s="11" t="s">
        <v>230</v>
      </c>
      <c r="D2245" s="2" t="s">
        <v>30</v>
      </c>
      <c r="E2245" s="2" t="s">
        <v>720</v>
      </c>
      <c r="F2245" s="11" t="s">
        <v>3772</v>
      </c>
      <c r="G2245" s="11" t="s">
        <v>3773</v>
      </c>
      <c r="H2245" s="2" t="s">
        <v>3774</v>
      </c>
      <c r="I2245" s="12" t="s">
        <v>279</v>
      </c>
      <c r="J2245" s="8">
        <f>+Tabla1[[#This Row],[FECHA ENTRADA]]</f>
        <v>45430</v>
      </c>
      <c r="K2245" s="22">
        <v>45821</v>
      </c>
      <c r="L2245" s="13">
        <f>_xlfn.DAYS(Tabla1[[#This Row],[FECHA FIN ]],Tabla1[[#This Row],[FECHA INICIO]])</f>
        <v>391</v>
      </c>
      <c r="M2245" s="12"/>
      <c r="N2245" s="12"/>
      <c r="O2245" s="12">
        <f>(Tabla1[[#This Row],[COSTO FIJO ]]/30)*Tabla1[[#This Row],[TOTAL DIAS PROYECTO]]+(Tabla1[[#This Row],[COSTO TEMPORAL]])</f>
        <v>0</v>
      </c>
      <c r="P2245" s="12"/>
      <c r="Q2245" s="12">
        <f>+(Tabla1[[#This Row],[COSTO COCHE]]/30)*Tabla1[[#This Row],[TOTAL DIAS PROYECTO]]</f>
        <v>0</v>
      </c>
      <c r="R2245" s="12">
        <f>+Tabla1[[#This Row],[COSTO TOTAL ALOJAMIENTO]]+Tabla1[[#This Row],[COSTO TOTAL COCHE]]</f>
        <v>0</v>
      </c>
      <c r="S2245" s="2"/>
      <c r="T2245" s="2" t="s">
        <v>35</v>
      </c>
      <c r="U2245" s="14">
        <v>45430</v>
      </c>
      <c r="V2245" s="14"/>
      <c r="W2245" s="26"/>
      <c r="X2245" s="2">
        <v>15</v>
      </c>
      <c r="Y2245" s="18"/>
      <c r="Z2245" s="2" t="s">
        <v>36</v>
      </c>
      <c r="AA2245" s="13" t="s">
        <v>10394</v>
      </c>
      <c r="AB2245" s="13" t="s">
        <v>10395</v>
      </c>
    </row>
    <row r="2246" spans="1:28">
      <c r="A2246" s="2" t="s">
        <v>8764</v>
      </c>
      <c r="B2246" s="2" t="s">
        <v>28</v>
      </c>
      <c r="C2246" s="11" t="s">
        <v>644</v>
      </c>
      <c r="D2246" s="2" t="s">
        <v>30</v>
      </c>
      <c r="E2246" s="2" t="s">
        <v>415</v>
      </c>
      <c r="F2246" s="11" t="s">
        <v>3501</v>
      </c>
      <c r="G2246" s="46" t="s">
        <v>3775</v>
      </c>
      <c r="H2246" s="2" t="s">
        <v>1251</v>
      </c>
      <c r="I2246" s="12" t="s">
        <v>800</v>
      </c>
      <c r="J2246" s="41">
        <f>+Tabla1[[#This Row],[FECHA ENTRADA]]</f>
        <v>45580</v>
      </c>
      <c r="K2246" s="22">
        <v>45627</v>
      </c>
      <c r="L2246" s="42">
        <f>_xlfn.DAYS(Tabla1[[#This Row],[FECHA FIN ]],Tabla1[[#This Row],[FECHA INICIO]])</f>
        <v>47</v>
      </c>
      <c r="M2246" s="12"/>
      <c r="N2246" s="12">
        <v>400</v>
      </c>
      <c r="O2246" s="28">
        <f>(Tabla1[[#This Row],[COSTO FIJO ]]/30)*Tabla1[[#This Row],[TOTAL DIAS PROYECTO]]+(Tabla1[[#This Row],[COSTO TEMPORAL]])</f>
        <v>626.66666666666674</v>
      </c>
      <c r="P2246" s="12"/>
      <c r="Q2246" s="12">
        <f>+(Tabla1[[#This Row],[COSTO COCHE]]/30)*Tabla1[[#This Row],[TOTAL DIAS PROYECTO]]</f>
        <v>0</v>
      </c>
      <c r="R2246" s="12">
        <f>+Tabla1[[#This Row],[COSTO TOTAL ALOJAMIENTO]]+Tabla1[[#This Row],[COSTO TOTAL COCHE]]</f>
        <v>626.66666666666674</v>
      </c>
      <c r="S2246" s="2"/>
      <c r="T2246" s="2" t="s">
        <v>35</v>
      </c>
      <c r="U2246" s="14">
        <v>45580</v>
      </c>
      <c r="V2246" s="43"/>
      <c r="W2246" s="26">
        <v>400</v>
      </c>
      <c r="X2246" s="2">
        <v>15</v>
      </c>
      <c r="Y2246" s="11" t="s">
        <v>3776</v>
      </c>
      <c r="Z2246" s="2" t="s">
        <v>36</v>
      </c>
      <c r="AA2246" s="13">
        <v>-0.37739</v>
      </c>
      <c r="AB2246" s="13" t="s">
        <v>10372</v>
      </c>
    </row>
    <row r="2247" spans="1:28">
      <c r="A2247" s="2" t="s">
        <v>9508</v>
      </c>
      <c r="B2247" s="2" t="s">
        <v>368</v>
      </c>
      <c r="C2247" s="11" t="s">
        <v>3466</v>
      </c>
      <c r="D2247" s="2" t="s">
        <v>99</v>
      </c>
      <c r="E2247" s="2" t="s">
        <v>127</v>
      </c>
      <c r="F2247" s="11" t="s">
        <v>128</v>
      </c>
      <c r="G2247" s="11" t="s">
        <v>1900</v>
      </c>
      <c r="H2247" s="2" t="s">
        <v>3759</v>
      </c>
      <c r="I2247" s="12" t="s">
        <v>1193</v>
      </c>
      <c r="J2247" s="22">
        <f>+Tabla1[[#This Row],[FECHA ENTRADA]]</f>
        <v>45707</v>
      </c>
      <c r="K2247" s="22">
        <v>45821</v>
      </c>
      <c r="L2247" s="23">
        <f>_xlfn.DAYS(Tabla1[[#This Row],[FECHA FIN ]],Tabla1[[#This Row],[FECHA INICIO]])</f>
        <v>114</v>
      </c>
      <c r="M2247" s="12"/>
      <c r="N2247" s="12"/>
      <c r="O2247" s="24">
        <f>(Tabla1[[#This Row],[COSTO FIJO ]]/30)*Tabla1[[#This Row],[TOTAL DIAS PROYECTO]]+(Tabla1[[#This Row],[COSTO TEMPORAL]])</f>
        <v>0</v>
      </c>
      <c r="P2247" s="12">
        <f>542.69/5</f>
        <v>108.53800000000001</v>
      </c>
      <c r="Q2247" s="12">
        <f>+(Tabla1[[#This Row],[COSTO COCHE]]/30)*Tabla1[[#This Row],[TOTAL DIAS PROYECTO]]</f>
        <v>412.44440000000003</v>
      </c>
      <c r="R2247" s="12">
        <f>+Tabla1[[#This Row],[COSTO TOTAL ALOJAMIENTO]]+Tabla1[[#This Row],[COSTO TOTAL COCHE]]</f>
        <v>412.44440000000003</v>
      </c>
      <c r="S2247" s="2"/>
      <c r="T2247" s="2" t="s">
        <v>35</v>
      </c>
      <c r="U2247" s="14">
        <v>45707</v>
      </c>
      <c r="V2247" s="79"/>
      <c r="W2247" s="26"/>
      <c r="X2247" s="2">
        <v>1</v>
      </c>
      <c r="Y2247" s="11"/>
      <c r="Z2247" s="2" t="s">
        <v>36</v>
      </c>
      <c r="AA2247" s="13" t="s">
        <v>10342</v>
      </c>
      <c r="AB2247" s="13" t="s">
        <v>10343</v>
      </c>
    </row>
    <row r="2248" spans="1:28" ht="15" customHeight="1">
      <c r="A2248" s="2" t="s">
        <v>9591</v>
      </c>
      <c r="B2248" s="2" t="s">
        <v>28</v>
      </c>
      <c r="C2248" s="11" t="s">
        <v>3777</v>
      </c>
      <c r="D2248" s="2" t="s">
        <v>30</v>
      </c>
      <c r="E2248" s="2" t="s">
        <v>476</v>
      </c>
      <c r="F2248" s="11" t="s">
        <v>3778</v>
      </c>
      <c r="G2248" s="11" t="s">
        <v>3779</v>
      </c>
      <c r="H2248" s="2"/>
      <c r="I2248" s="2" t="s">
        <v>165</v>
      </c>
      <c r="J2248" s="8">
        <f>+Tabla1[[#This Row],[FECHA ENTRADA]]</f>
        <v>45340</v>
      </c>
      <c r="K2248" s="22">
        <v>45821</v>
      </c>
      <c r="L2248" s="13">
        <f>_xlfn.DAYS(Tabla1[[#This Row],[FECHA FIN ]],Tabla1[[#This Row],[FECHA INICIO]])</f>
        <v>481</v>
      </c>
      <c r="M2248" s="12"/>
      <c r="N2248" s="12"/>
      <c r="O2248" s="12">
        <f>(Tabla1[[#This Row],[COSTO FIJO ]]/30)*Tabla1[[#This Row],[TOTAL DIAS PROYECTO]]+(Tabla1[[#This Row],[COSTO TEMPORAL]])</f>
        <v>0</v>
      </c>
      <c r="P2248" s="12"/>
      <c r="Q2248" s="12">
        <f>+(Tabla1[[#This Row],[COSTO COCHE]]/30)*Tabla1[[#This Row],[TOTAL DIAS PROYECTO]]</f>
        <v>0</v>
      </c>
      <c r="R2248" s="12">
        <f>+Tabla1[[#This Row],[COSTO TOTAL ALOJAMIENTO]]+Tabla1[[#This Row],[COSTO TOTAL COCHE]]</f>
        <v>0</v>
      </c>
      <c r="S2248" s="2"/>
      <c r="T2248" s="2" t="s">
        <v>35</v>
      </c>
      <c r="U2248" s="14">
        <v>45340</v>
      </c>
      <c r="V2248" s="14"/>
      <c r="W2248" s="15"/>
      <c r="X2248" s="16">
        <v>15</v>
      </c>
      <c r="Y2248" s="18"/>
      <c r="Z2248" s="2" t="s">
        <v>36</v>
      </c>
      <c r="AA2248" s="13">
        <v>-7.8640699999999999</v>
      </c>
      <c r="AB2248" s="13">
        <v>42.336689999999997</v>
      </c>
    </row>
    <row r="2249" spans="1:28">
      <c r="A2249" s="2" t="s">
        <v>8642</v>
      </c>
      <c r="B2249" s="2" t="s">
        <v>28</v>
      </c>
      <c r="C2249" s="11" t="s">
        <v>3780</v>
      </c>
      <c r="D2249" s="2" t="s">
        <v>30</v>
      </c>
      <c r="E2249" s="2" t="s">
        <v>114</v>
      </c>
      <c r="F2249" s="11" t="s">
        <v>3746</v>
      </c>
      <c r="G2249" s="11" t="s">
        <v>3747</v>
      </c>
      <c r="H2249" s="2" t="s">
        <v>117</v>
      </c>
      <c r="I2249" s="12" t="s">
        <v>118</v>
      </c>
      <c r="J2249" s="8">
        <f>+Tabla1[[#This Row],[FECHA ENTRADA]]</f>
        <v>45368</v>
      </c>
      <c r="K2249" s="22">
        <v>45821</v>
      </c>
      <c r="L2249" s="13">
        <f>_xlfn.DAYS(Tabla1[[#This Row],[FECHA FIN ]],Tabla1[[#This Row],[FECHA INICIO]])</f>
        <v>453</v>
      </c>
      <c r="M2249" s="12"/>
      <c r="N2249" s="12"/>
      <c r="O2249" s="12">
        <f>(Tabla1[[#This Row],[COSTO FIJO ]]/30)*Tabla1[[#This Row],[TOTAL DIAS PROYECTO]]+(Tabla1[[#This Row],[COSTO TEMPORAL]])</f>
        <v>0</v>
      </c>
      <c r="P2249" s="12"/>
      <c r="Q2249" s="12">
        <f>+(Tabla1[[#This Row],[COSTO COCHE]]/30)*Tabla1[[#This Row],[TOTAL DIAS PROYECTO]]</f>
        <v>0</v>
      </c>
      <c r="R2249" s="12">
        <f>+Tabla1[[#This Row],[COSTO TOTAL ALOJAMIENTO]]+Tabla1[[#This Row],[COSTO TOTAL COCHE]]</f>
        <v>0</v>
      </c>
      <c r="S2249" s="2"/>
      <c r="T2249" s="2" t="s">
        <v>35</v>
      </c>
      <c r="U2249" s="14">
        <v>45368</v>
      </c>
      <c r="V2249" s="14">
        <v>45398</v>
      </c>
      <c r="W2249" s="15"/>
      <c r="X2249" s="16">
        <v>15</v>
      </c>
      <c r="Y2249" s="18" t="s">
        <v>206</v>
      </c>
      <c r="Z2249" s="2" t="s">
        <v>36</v>
      </c>
      <c r="AA2249" s="13" t="s">
        <v>10340</v>
      </c>
      <c r="AB2249" s="13" t="s">
        <v>10341</v>
      </c>
    </row>
    <row r="2250" spans="1:28">
      <c r="A2250" s="2" t="s">
        <v>8944</v>
      </c>
      <c r="B2250" s="2" t="s">
        <v>28</v>
      </c>
      <c r="C2250" s="11" t="s">
        <v>1382</v>
      </c>
      <c r="D2250" s="2" t="s">
        <v>30</v>
      </c>
      <c r="E2250" s="2" t="s">
        <v>259</v>
      </c>
      <c r="F2250" s="11" t="s">
        <v>260</v>
      </c>
      <c r="G2250" s="11" t="s">
        <v>261</v>
      </c>
      <c r="H2250" s="2" t="s">
        <v>902</v>
      </c>
      <c r="I2250" s="2" t="s">
        <v>52</v>
      </c>
      <c r="J2250" s="8">
        <f>+Tabla1[[#This Row],[FECHA ENTRADA]]</f>
        <v>45580</v>
      </c>
      <c r="K2250" s="22">
        <v>45821</v>
      </c>
      <c r="L2250" s="42">
        <f>_xlfn.DAYS(Tabla1[[#This Row],[FECHA FIN ]],Tabla1[[#This Row],[FECHA INICIO]])</f>
        <v>241</v>
      </c>
      <c r="M2250" s="12"/>
      <c r="N2250" s="12"/>
      <c r="O2250" s="28">
        <f>(Tabla1[[#This Row],[COSTO FIJO ]]/30)*Tabla1[[#This Row],[TOTAL DIAS PROYECTO]]+(Tabla1[[#This Row],[COSTO TEMPORAL]])</f>
        <v>0</v>
      </c>
      <c r="P2250" s="12"/>
      <c r="Q2250" s="12">
        <f>+(Tabla1[[#This Row],[COSTO COCHE]]/30)*Tabla1[[#This Row],[TOTAL DIAS PROYECTO]]</f>
        <v>0</v>
      </c>
      <c r="R2250" s="12">
        <f>+Tabla1[[#This Row],[COSTO TOTAL ALOJAMIENTO]]+Tabla1[[#This Row],[COSTO TOTAL COCHE]]</f>
        <v>0</v>
      </c>
      <c r="S2250" s="2"/>
      <c r="T2250" s="2" t="s">
        <v>35</v>
      </c>
      <c r="U2250" s="14">
        <v>45580</v>
      </c>
      <c r="V2250" s="43"/>
      <c r="W2250" s="26"/>
      <c r="X2250" s="2">
        <v>15</v>
      </c>
      <c r="Y2250" s="11"/>
      <c r="Z2250" s="2" t="s">
        <v>36</v>
      </c>
      <c r="AA2250" s="13">
        <v>-0.87734000000000001</v>
      </c>
      <c r="AB2250" s="13" t="s">
        <v>10359</v>
      </c>
    </row>
    <row r="2251" spans="1:28">
      <c r="A2251" s="2" t="s">
        <v>9275</v>
      </c>
      <c r="B2251" s="2" t="s">
        <v>28</v>
      </c>
      <c r="C2251" s="86" t="s">
        <v>2678</v>
      </c>
      <c r="D2251" s="2" t="s">
        <v>30</v>
      </c>
      <c r="E2251" s="2" t="s">
        <v>31</v>
      </c>
      <c r="F2251" s="11" t="s">
        <v>409</v>
      </c>
      <c r="G2251" s="11" t="s">
        <v>410</v>
      </c>
      <c r="H2251" s="2" t="s">
        <v>3781</v>
      </c>
      <c r="I2251" s="12" t="s">
        <v>1101</v>
      </c>
      <c r="J2251" s="8">
        <f>+Tabla1[[#This Row],[FECHA ENTRADA]]</f>
        <v>45459</v>
      </c>
      <c r="K2251" s="22">
        <v>45821</v>
      </c>
      <c r="L2251" s="13">
        <f>_xlfn.DAYS(Tabla1[[#This Row],[FECHA FIN ]],Tabla1[[#This Row],[FECHA INICIO]])</f>
        <v>362</v>
      </c>
      <c r="M2251" s="12"/>
      <c r="N2251" s="12"/>
      <c r="O2251" s="12">
        <f>(Tabla1[[#This Row],[COSTO FIJO ]]/30)*Tabla1[[#This Row],[TOTAL DIAS PROYECTO]]+(Tabla1[[#This Row],[COSTO TEMPORAL]])</f>
        <v>0</v>
      </c>
      <c r="P2251" s="12"/>
      <c r="Q2251" s="12">
        <f>+(Tabla1[[#This Row],[COSTO COCHE]]/30)*Tabla1[[#This Row],[TOTAL DIAS PROYECTO]]</f>
        <v>0</v>
      </c>
      <c r="R2251" s="12">
        <f>+Tabla1[[#This Row],[COSTO TOTAL ALOJAMIENTO]]+Tabla1[[#This Row],[COSTO TOTAL COCHE]]</f>
        <v>0</v>
      </c>
      <c r="S2251" s="2"/>
      <c r="T2251" s="2" t="s">
        <v>35</v>
      </c>
      <c r="U2251" s="14">
        <v>45459</v>
      </c>
      <c r="V2251" s="14"/>
      <c r="W2251" s="26">
        <v>300</v>
      </c>
      <c r="X2251" s="2">
        <v>15</v>
      </c>
      <c r="Y2251" s="31" t="s">
        <v>3782</v>
      </c>
      <c r="Z2251" s="2" t="s">
        <v>36</v>
      </c>
      <c r="AA2251" s="13" t="s">
        <v>10323</v>
      </c>
      <c r="AB2251" s="13" t="s">
        <v>10324</v>
      </c>
    </row>
    <row r="2252" spans="1:28">
      <c r="A2252" s="2" t="s">
        <v>9380</v>
      </c>
      <c r="B2252" s="2" t="s">
        <v>28</v>
      </c>
      <c r="C2252" s="11" t="s">
        <v>2982</v>
      </c>
      <c r="D2252" s="2" t="s">
        <v>99</v>
      </c>
      <c r="E2252" s="2" t="s">
        <v>245</v>
      </c>
      <c r="F2252" s="11" t="s">
        <v>3783</v>
      </c>
      <c r="G2252" s="21" t="s">
        <v>3784</v>
      </c>
      <c r="H2252" s="2" t="s">
        <v>2985</v>
      </c>
      <c r="I2252" s="12" t="s">
        <v>1019</v>
      </c>
      <c r="J2252" s="22">
        <f>+Tabla1[[#This Row],[FECHA ENTRADA]]</f>
        <v>45799</v>
      </c>
      <c r="K2252" s="22">
        <v>45817</v>
      </c>
      <c r="L2252" s="23">
        <f>_xlfn.DAYS(Tabla1[[#This Row],[FECHA FIN ]],Tabla1[[#This Row],[FECHA INICIO]])</f>
        <v>18</v>
      </c>
      <c r="M2252" s="12"/>
      <c r="N2252" s="12"/>
      <c r="O2252" s="24">
        <f>(Tabla1[[#This Row],[COSTO FIJO ]]/30)*Tabla1[[#This Row],[TOTAL DIAS PROYECTO]]+(Tabla1[[#This Row],[COSTO TEMPORAL]])</f>
        <v>0</v>
      </c>
      <c r="P2252" s="12"/>
      <c r="Q2252" s="12">
        <f>+(Tabla1[[#This Row],[COSTO COCHE]]/30)*Tabla1[[#This Row],[TOTAL DIAS PROYECTO]]</f>
        <v>0</v>
      </c>
      <c r="R2252" s="12">
        <f>+Tabla1[[#This Row],[COSTO TOTAL ALOJAMIENTO]]+Tabla1[[#This Row],[COSTO TOTAL COCHE]]</f>
        <v>0</v>
      </c>
      <c r="S2252" s="2"/>
      <c r="T2252" s="14" t="s">
        <v>44</v>
      </c>
      <c r="U2252" s="14">
        <v>45799</v>
      </c>
      <c r="V2252" s="25">
        <v>45815</v>
      </c>
      <c r="W2252" s="2"/>
      <c r="X2252" s="2"/>
      <c r="Y2252" s="11" t="s">
        <v>3785</v>
      </c>
      <c r="Z2252" s="2" t="s">
        <v>36</v>
      </c>
      <c r="AA2252" s="13" t="s">
        <v>10355</v>
      </c>
      <c r="AB2252" s="13" t="s">
        <v>10356</v>
      </c>
    </row>
    <row r="2253" spans="1:28">
      <c r="A2253" s="2" t="s">
        <v>9402</v>
      </c>
      <c r="B2253" s="2" t="s">
        <v>28</v>
      </c>
      <c r="C2253" s="11" t="s">
        <v>3063</v>
      </c>
      <c r="D2253" s="2" t="s">
        <v>99</v>
      </c>
      <c r="E2253" s="2" t="s">
        <v>245</v>
      </c>
      <c r="F2253" s="11" t="s">
        <v>3783</v>
      </c>
      <c r="G2253" s="21" t="s">
        <v>3784</v>
      </c>
      <c r="H2253" s="2" t="s">
        <v>2985</v>
      </c>
      <c r="I2253" s="12" t="s">
        <v>1019</v>
      </c>
      <c r="J2253" s="22">
        <f>+Tabla1[[#This Row],[FECHA ENTRADA]]</f>
        <v>45799</v>
      </c>
      <c r="K2253" s="22">
        <v>45821</v>
      </c>
      <c r="L2253" s="23">
        <f>_xlfn.DAYS(Tabla1[[#This Row],[FECHA FIN ]],Tabla1[[#This Row],[FECHA INICIO]])</f>
        <v>22</v>
      </c>
      <c r="M2253" s="12"/>
      <c r="N2253" s="12"/>
      <c r="O2253" s="24">
        <f>(Tabla1[[#This Row],[COSTO FIJO ]]/30)*Tabla1[[#This Row],[TOTAL DIAS PROYECTO]]+(Tabla1[[#This Row],[COSTO TEMPORAL]])</f>
        <v>0</v>
      </c>
      <c r="P2253" s="12"/>
      <c r="Q2253" s="12">
        <f>+(Tabla1[[#This Row],[COSTO COCHE]]/30)*Tabla1[[#This Row],[TOTAL DIAS PROYECTO]]</f>
        <v>0</v>
      </c>
      <c r="R2253" s="12">
        <f>+Tabla1[[#This Row],[COSTO TOTAL ALOJAMIENTO]]+Tabla1[[#This Row],[COSTO TOTAL COCHE]]</f>
        <v>0</v>
      </c>
      <c r="S2253" s="2"/>
      <c r="T2253" s="14" t="s">
        <v>44</v>
      </c>
      <c r="U2253" s="14">
        <v>45799</v>
      </c>
      <c r="V2253" s="25">
        <v>45815</v>
      </c>
      <c r="W2253" s="2"/>
      <c r="X2253" s="2"/>
      <c r="Y2253" s="11" t="s">
        <v>3785</v>
      </c>
      <c r="Z2253" s="2" t="s">
        <v>36</v>
      </c>
      <c r="AA2253" s="13" t="s">
        <v>10355</v>
      </c>
      <c r="AB2253" s="13" t="s">
        <v>10356</v>
      </c>
    </row>
    <row r="2254" spans="1:28">
      <c r="A2254" s="2" t="s">
        <v>8885</v>
      </c>
      <c r="B2254" s="2" t="s">
        <v>368</v>
      </c>
      <c r="C2254" s="11" t="s">
        <v>1167</v>
      </c>
      <c r="D2254" s="2" t="s">
        <v>30</v>
      </c>
      <c r="E2254" s="2" t="s">
        <v>415</v>
      </c>
      <c r="F2254" s="11" t="s">
        <v>1389</v>
      </c>
      <c r="G2254" s="46" t="s">
        <v>1390</v>
      </c>
      <c r="H2254" s="2" t="s">
        <v>3786</v>
      </c>
      <c r="I2254" s="12" t="s">
        <v>1392</v>
      </c>
      <c r="J2254" s="41">
        <f>+Tabla1[[#This Row],[FECHA ENTRADA]]</f>
        <v>45675</v>
      </c>
      <c r="K2254" s="22">
        <v>45821</v>
      </c>
      <c r="L2254" s="42">
        <f>_xlfn.DAYS(Tabla1[[#This Row],[FECHA FIN ]],Tabla1[[#This Row],[FECHA INICIO]])</f>
        <v>146</v>
      </c>
      <c r="M2254" s="12"/>
      <c r="N2254" s="12"/>
      <c r="O2254" s="28">
        <f>(Tabla1[[#This Row],[COSTO FIJO ]]/30)*Tabla1[[#This Row],[TOTAL DIAS PROYECTO]]+(Tabla1[[#This Row],[COSTO TEMPORAL]])</f>
        <v>0</v>
      </c>
      <c r="P2254" s="12">
        <v>100</v>
      </c>
      <c r="Q2254" s="12">
        <f>+(Tabla1[[#This Row],[COSTO COCHE]]/30)*Tabla1[[#This Row],[TOTAL DIAS PROYECTO]]</f>
        <v>486.66666666666669</v>
      </c>
      <c r="R2254" s="12">
        <f>+Tabla1[[#This Row],[COSTO TOTAL ALOJAMIENTO]]+Tabla1[[#This Row],[COSTO TOTAL COCHE]]</f>
        <v>486.66666666666669</v>
      </c>
      <c r="S2254" s="2"/>
      <c r="T2254" s="2" t="s">
        <v>35</v>
      </c>
      <c r="U2254" s="14">
        <v>45675</v>
      </c>
      <c r="V2254" s="43"/>
      <c r="W2254" s="26"/>
      <c r="X2254" s="2">
        <v>16</v>
      </c>
      <c r="Y2254" s="11"/>
      <c r="Z2254" s="2" t="s">
        <v>36</v>
      </c>
      <c r="AA2254" s="13">
        <v>-0.37739</v>
      </c>
      <c r="AB2254" s="13" t="s">
        <v>10372</v>
      </c>
    </row>
    <row r="2255" spans="1:28">
      <c r="A2255" s="2" t="s">
        <v>8886</v>
      </c>
      <c r="B2255" s="2" t="s">
        <v>368</v>
      </c>
      <c r="C2255" s="11" t="s">
        <v>1168</v>
      </c>
      <c r="D2255" s="2" t="s">
        <v>30</v>
      </c>
      <c r="E2255" s="2" t="s">
        <v>415</v>
      </c>
      <c r="F2255" s="11" t="s">
        <v>1389</v>
      </c>
      <c r="G2255" s="46" t="s">
        <v>1390</v>
      </c>
      <c r="H2255" s="2" t="s">
        <v>1391</v>
      </c>
      <c r="I2255" s="12" t="s">
        <v>1392</v>
      </c>
      <c r="J2255" s="41">
        <f>+Tabla1[[#This Row],[FECHA ENTRADA]]</f>
        <v>45675</v>
      </c>
      <c r="K2255" s="22">
        <v>45821</v>
      </c>
      <c r="L2255" s="42">
        <f>_xlfn.DAYS(Tabla1[[#This Row],[FECHA FIN ]],Tabla1[[#This Row],[FECHA INICIO]])</f>
        <v>146</v>
      </c>
      <c r="M2255" s="12"/>
      <c r="N2255" s="12"/>
      <c r="O2255" s="28">
        <f>(Tabla1[[#This Row],[COSTO FIJO ]]/30)*Tabla1[[#This Row],[TOTAL DIAS PROYECTO]]+(Tabla1[[#This Row],[COSTO TEMPORAL]])</f>
        <v>0</v>
      </c>
      <c r="P2255" s="12">
        <v>100</v>
      </c>
      <c r="Q2255" s="12">
        <f>+(Tabla1[[#This Row],[COSTO COCHE]]/30)*Tabla1[[#This Row],[TOTAL DIAS PROYECTO]]</f>
        <v>486.66666666666669</v>
      </c>
      <c r="R2255" s="12">
        <f>+Tabla1[[#This Row],[COSTO TOTAL ALOJAMIENTO]]+Tabla1[[#This Row],[COSTO TOTAL COCHE]]</f>
        <v>486.66666666666669</v>
      </c>
      <c r="S2255" s="2"/>
      <c r="T2255" s="2" t="s">
        <v>35</v>
      </c>
      <c r="U2255" s="14">
        <v>45675</v>
      </c>
      <c r="V2255" s="43"/>
      <c r="W2255" s="26"/>
      <c r="X2255" s="2">
        <v>16</v>
      </c>
      <c r="Y2255" s="11"/>
      <c r="Z2255" s="2" t="s">
        <v>36</v>
      </c>
      <c r="AA2255" s="13">
        <v>-0.37739</v>
      </c>
      <c r="AB2255" s="13" t="s">
        <v>10372</v>
      </c>
    </row>
    <row r="2256" spans="1:28" ht="15" customHeight="1">
      <c r="A2256" s="2" t="s">
        <v>9571</v>
      </c>
      <c r="B2256" s="2" t="s">
        <v>711</v>
      </c>
      <c r="C2256" s="118" t="s">
        <v>3683</v>
      </c>
      <c r="D2256" s="2" t="s">
        <v>30</v>
      </c>
      <c r="E2256" s="2" t="s">
        <v>686</v>
      </c>
      <c r="F2256" s="11" t="s">
        <v>3316</v>
      </c>
      <c r="G2256" s="21" t="s">
        <v>3317</v>
      </c>
      <c r="H2256" s="2" t="s">
        <v>3070</v>
      </c>
      <c r="I2256" s="12" t="s">
        <v>96</v>
      </c>
      <c r="J2256" s="41">
        <f>+Tabla1[[#This Row],[FECHA ENTRADA]]</f>
        <v>46139</v>
      </c>
      <c r="K2256" s="22">
        <v>46169</v>
      </c>
      <c r="L2256" s="42">
        <f>_xlfn.DAYS(Tabla1[[#This Row],[FECHA FIN ]],Tabla1[[#This Row],[FECHA INICIO]])</f>
        <v>30</v>
      </c>
      <c r="M2256" s="12">
        <f>2093.04/4</f>
        <v>523.26</v>
      </c>
      <c r="N2256" s="28"/>
      <c r="O2256" s="28">
        <f>(Tabla1[[#This Row],[COSTO FIJO ]]/30)*Tabla1[[#This Row],[TOTAL DIAS PROYECTO]]+(Tabla1[[#This Row],[COSTO TEMPORAL]])</f>
        <v>523.26</v>
      </c>
      <c r="P2256" s="12"/>
      <c r="Q2256" s="12">
        <f>+(Tabla1[[#This Row],[COSTO COCHE]]/30)*Tabla1[[#This Row],[TOTAL DIAS PROYECTO]]</f>
        <v>0</v>
      </c>
      <c r="R2256" s="12">
        <f>+Tabla1[[#This Row],[COSTO TOTAL ALOJAMIENTO]]+Tabla1[[#This Row],[COSTO TOTAL COCHE]]</f>
        <v>523.26</v>
      </c>
      <c r="S2256" s="2" t="s">
        <v>84</v>
      </c>
      <c r="T2256" s="14" t="s">
        <v>44</v>
      </c>
      <c r="U2256" s="14">
        <v>46139</v>
      </c>
      <c r="V2256" s="43">
        <v>46170</v>
      </c>
      <c r="W2256" s="12"/>
      <c r="X2256" s="2"/>
      <c r="Y2256" s="11" t="s">
        <v>3318</v>
      </c>
      <c r="Z2256" s="2" t="s">
        <v>36</v>
      </c>
      <c r="AA2256" s="13" t="s">
        <v>10393</v>
      </c>
      <c r="AB2256" s="13">
        <v>3834517</v>
      </c>
    </row>
    <row r="2257" spans="1:28" ht="15" customHeight="1">
      <c r="A2257" s="2" t="s">
        <v>8730</v>
      </c>
      <c r="B2257" s="2" t="s">
        <v>368</v>
      </c>
      <c r="C2257" s="104" t="s">
        <v>472</v>
      </c>
      <c r="D2257" s="2" t="s">
        <v>30</v>
      </c>
      <c r="E2257" s="2" t="s">
        <v>415</v>
      </c>
      <c r="F2257" s="11" t="s">
        <v>1389</v>
      </c>
      <c r="G2257" s="46" t="s">
        <v>1390</v>
      </c>
      <c r="H2257" s="2" t="s">
        <v>3531</v>
      </c>
      <c r="I2257" s="12" t="s">
        <v>1392</v>
      </c>
      <c r="J2257" s="41">
        <f>+Tabla1[[#This Row],[FECHA ENTRADA]]</f>
        <v>45675</v>
      </c>
      <c r="K2257" s="22">
        <v>45821</v>
      </c>
      <c r="L2257" s="42">
        <f>_xlfn.DAYS(Tabla1[[#This Row],[FECHA FIN ]],Tabla1[[#This Row],[FECHA INICIO]])</f>
        <v>146</v>
      </c>
      <c r="M2257" s="12"/>
      <c r="N2257" s="12"/>
      <c r="O2257" s="28">
        <f>(Tabla1[[#This Row],[COSTO FIJO ]]/30)*Tabla1[[#This Row],[TOTAL DIAS PROYECTO]]+(Tabla1[[#This Row],[COSTO TEMPORAL]])</f>
        <v>0</v>
      </c>
      <c r="P2257" s="12">
        <v>100</v>
      </c>
      <c r="Q2257" s="12">
        <f>+(Tabla1[[#This Row],[COSTO COCHE]]/30)*Tabla1[[#This Row],[TOTAL DIAS PROYECTO]]</f>
        <v>486.66666666666669</v>
      </c>
      <c r="R2257" s="12">
        <f>+Tabla1[[#This Row],[COSTO TOTAL ALOJAMIENTO]]+Tabla1[[#This Row],[COSTO TOTAL COCHE]]</f>
        <v>486.66666666666669</v>
      </c>
      <c r="S2257" s="2"/>
      <c r="T2257" s="2" t="s">
        <v>35</v>
      </c>
      <c r="U2257" s="14">
        <v>45675</v>
      </c>
      <c r="V2257" s="43"/>
      <c r="W2257" s="26"/>
      <c r="X2257" s="2">
        <v>16</v>
      </c>
      <c r="Y2257" s="11"/>
      <c r="Z2257" s="2" t="s">
        <v>36</v>
      </c>
      <c r="AA2257" s="13">
        <v>-0.37739</v>
      </c>
      <c r="AB2257" s="13" t="s">
        <v>10372</v>
      </c>
    </row>
    <row r="2258" spans="1:28">
      <c r="A2258" s="2" t="s">
        <v>9571</v>
      </c>
      <c r="B2258" s="2" t="s">
        <v>711</v>
      </c>
      <c r="C2258" s="11" t="s">
        <v>3683</v>
      </c>
      <c r="D2258" s="2" t="s">
        <v>30</v>
      </c>
      <c r="E2258" s="2" t="s">
        <v>686</v>
      </c>
      <c r="F2258" s="11" t="s">
        <v>3319</v>
      </c>
      <c r="G2258" s="21" t="s">
        <v>3320</v>
      </c>
      <c r="H2258" s="2" t="s">
        <v>3070</v>
      </c>
      <c r="I2258" s="12" t="s">
        <v>96</v>
      </c>
      <c r="J2258" s="22">
        <f>+Tabla1[[#This Row],[FECHA ENTRADA]]</f>
        <v>46169</v>
      </c>
      <c r="K2258" s="22">
        <v>46174</v>
      </c>
      <c r="L2258" s="23">
        <f>_xlfn.DAYS(Tabla1[[#This Row],[FECHA FIN ]],Tabla1[[#This Row],[FECHA INICIO]])</f>
        <v>5</v>
      </c>
      <c r="M2258" s="12">
        <v>105</v>
      </c>
      <c r="N2258" s="20"/>
      <c r="O2258" s="24">
        <f>(Tabla1[[#This Row],[COSTO FIJO ]]/30)*Tabla1[[#This Row],[TOTAL DIAS PROYECTO]]+(Tabla1[[#This Row],[COSTO TEMPORAL]])</f>
        <v>105</v>
      </c>
      <c r="P2258" s="12"/>
      <c r="Q2258" s="12">
        <f>+(Tabla1[[#This Row],[COSTO COCHE]]/30)*Tabla1[[#This Row],[TOTAL DIAS PROYECTO]]</f>
        <v>0</v>
      </c>
      <c r="R2258" s="12">
        <f>+Tabla1[[#This Row],[COSTO TOTAL ALOJAMIENTO]]+Tabla1[[#This Row],[COSTO TOTAL COCHE]]</f>
        <v>105</v>
      </c>
      <c r="S2258" s="2" t="s">
        <v>403</v>
      </c>
      <c r="T2258" s="14" t="s">
        <v>44</v>
      </c>
      <c r="U2258" s="14">
        <v>46169</v>
      </c>
      <c r="V2258" s="79">
        <v>46175</v>
      </c>
      <c r="W2258" s="12"/>
      <c r="X2258" s="2"/>
      <c r="Y2258" s="11" t="s">
        <v>3321</v>
      </c>
      <c r="Z2258" s="2" t="s">
        <v>36</v>
      </c>
      <c r="AA2258" s="13" t="s">
        <v>10393</v>
      </c>
      <c r="AB2258" s="13">
        <v>3834517</v>
      </c>
    </row>
    <row r="2259" spans="1:28" ht="15" customHeight="1">
      <c r="A2259" s="2" t="s">
        <v>9371</v>
      </c>
      <c r="B2259" s="2" t="s">
        <v>368</v>
      </c>
      <c r="C2259" s="104" t="s">
        <v>2966</v>
      </c>
      <c r="D2259" s="2" t="s">
        <v>30</v>
      </c>
      <c r="E2259" s="2" t="s">
        <v>538</v>
      </c>
      <c r="F2259" s="11" t="s">
        <v>1081</v>
      </c>
      <c r="G2259" s="46" t="s">
        <v>1082</v>
      </c>
      <c r="H2259" s="2" t="s">
        <v>1083</v>
      </c>
      <c r="I2259" s="12" t="s">
        <v>1084</v>
      </c>
      <c r="J2259" s="8">
        <f>+Tabla1[[#This Row],[FECHA ENTRADA]]</f>
        <v>45550</v>
      </c>
      <c r="K2259" s="22">
        <v>45821</v>
      </c>
      <c r="L2259" s="42">
        <f>_xlfn.DAYS(Tabla1[[#This Row],[FECHA FIN ]],Tabla1[[#This Row],[FECHA INICIO]])</f>
        <v>271</v>
      </c>
      <c r="M2259" s="12"/>
      <c r="N2259" s="12"/>
      <c r="O2259" s="28">
        <f>(Tabla1[[#This Row],[COSTO FIJO ]]/30)*Tabla1[[#This Row],[TOTAL DIAS PROYECTO]]+(Tabla1[[#This Row],[COSTO TEMPORAL]])</f>
        <v>0</v>
      </c>
      <c r="P2259" s="12">
        <v>200</v>
      </c>
      <c r="Q2259" s="12">
        <f>+(Tabla1[[#This Row],[COSTO COCHE]]/30)*Tabla1[[#This Row],[TOTAL DIAS PROYECTO]]</f>
        <v>1806.6666666666667</v>
      </c>
      <c r="R2259" s="12">
        <f>+Tabla1[[#This Row],[COSTO TOTAL ALOJAMIENTO]]+Tabla1[[#This Row],[COSTO TOTAL COCHE]]</f>
        <v>1806.6666666666667</v>
      </c>
      <c r="S2259" s="2"/>
      <c r="T2259" s="2" t="s">
        <v>35</v>
      </c>
      <c r="U2259" s="14">
        <v>45550</v>
      </c>
      <c r="V2259" s="75"/>
      <c r="W2259" s="26">
        <v>400</v>
      </c>
      <c r="X2259" s="2">
        <v>17</v>
      </c>
      <c r="Y2259" s="11" t="s">
        <v>3787</v>
      </c>
      <c r="Z2259" s="2" t="s">
        <v>36</v>
      </c>
      <c r="AA2259" s="13">
        <v>-378939</v>
      </c>
      <c r="AB2259" s="13">
        <v>3776578</v>
      </c>
    </row>
    <row r="2260" spans="1:28" ht="16.5">
      <c r="A2260" s="2" t="s">
        <v>9592</v>
      </c>
      <c r="B2260" s="2" t="s">
        <v>606</v>
      </c>
      <c r="C2260" s="97" t="s">
        <v>3788</v>
      </c>
      <c r="D2260" s="2" t="s">
        <v>99</v>
      </c>
      <c r="E2260" s="2" t="s">
        <v>213</v>
      </c>
      <c r="F2260" s="31" t="s">
        <v>3789</v>
      </c>
      <c r="G2260" s="197" t="s">
        <v>558</v>
      </c>
      <c r="H2260" s="2" t="s">
        <v>3790</v>
      </c>
      <c r="I2260" s="12" t="s">
        <v>3791</v>
      </c>
      <c r="J2260" s="22">
        <f>+Tabla1[[#This Row],[FECHA ENTRADA]]</f>
        <v>46224</v>
      </c>
      <c r="K2260" s="22">
        <v>46259</v>
      </c>
      <c r="L2260" s="23">
        <f>_xlfn.DAYS(Tabla1[[#This Row],[FECHA FIN ]],Tabla1[[#This Row],[FECHA INICIO]])</f>
        <v>35</v>
      </c>
      <c r="M2260" s="12"/>
      <c r="N2260" s="24">
        <v>500</v>
      </c>
      <c r="O2260" s="24">
        <f>(Tabla1[[#This Row],[COSTO FIJO ]]/30)*Tabla1[[#This Row],[TOTAL DIAS PROYECTO]]+(Tabla1[[#This Row],[COSTO TEMPORAL]])</f>
        <v>583.33333333333337</v>
      </c>
      <c r="P2260" s="12"/>
      <c r="Q2260" s="12">
        <f>+(Tabla1[[#This Row],[COSTO COCHE]]/30)*Tabla1[[#This Row],[TOTAL DIAS PROYECTO]]</f>
        <v>0</v>
      </c>
      <c r="R2260" s="12">
        <f>+Tabla1[[#This Row],[COSTO TOTAL ALOJAMIENTO]]+Tabla1[[#This Row],[COSTO TOTAL COCHE]]</f>
        <v>583.33333333333337</v>
      </c>
      <c r="S2260" s="2"/>
      <c r="T2260" s="14" t="s">
        <v>35</v>
      </c>
      <c r="U2260" s="14">
        <v>46224</v>
      </c>
      <c r="V2260" s="25"/>
      <c r="W2260" s="12"/>
      <c r="X2260" s="2">
        <v>20</v>
      </c>
      <c r="Y2260" s="226" t="s">
        <v>3792</v>
      </c>
      <c r="Z2260" s="2" t="s">
        <v>702</v>
      </c>
      <c r="AA2260" s="13" t="s">
        <v>10349</v>
      </c>
      <c r="AB2260" s="13" t="s">
        <v>10350</v>
      </c>
    </row>
    <row r="2261" spans="1:28" ht="15" customHeight="1">
      <c r="A2261" s="2" t="s">
        <v>9593</v>
      </c>
      <c r="B2261" s="2" t="s">
        <v>28</v>
      </c>
      <c r="C2261" s="11" t="s">
        <v>3793</v>
      </c>
      <c r="D2261" s="2" t="s">
        <v>30</v>
      </c>
      <c r="E2261" s="2" t="s">
        <v>127</v>
      </c>
      <c r="F2261" s="11" t="s">
        <v>820</v>
      </c>
      <c r="G2261" s="21" t="s">
        <v>1234</v>
      </c>
      <c r="H2261" s="2" t="s">
        <v>1509</v>
      </c>
      <c r="I2261" s="12" t="s">
        <v>96</v>
      </c>
      <c r="J2261" s="22">
        <f>+Tabla1[[#This Row],[FECHA ENTRADA]]</f>
        <v>45700</v>
      </c>
      <c r="K2261" s="22">
        <v>45708</v>
      </c>
      <c r="L2261" s="23">
        <f>_xlfn.DAYS(Tabla1[[#This Row],[FECHA FIN ]],Tabla1[[#This Row],[FECHA INICIO]])</f>
        <v>8</v>
      </c>
      <c r="M2261" s="12"/>
      <c r="N2261" s="12">
        <f>((1425/5)/11)*5+(855/11)</f>
        <v>207.27272727272731</v>
      </c>
      <c r="O2261" s="24">
        <f>(Tabla1[[#This Row],[COSTO FIJO ]]/30)*Tabla1[[#This Row],[TOTAL DIAS PROYECTO]]+(Tabla1[[#This Row],[COSTO TEMPORAL]])</f>
        <v>55.27272727272728</v>
      </c>
      <c r="P2261" s="12"/>
      <c r="Q2261" s="12">
        <f>+(Tabla1[[#This Row],[COSTO COCHE]]/30)*Tabla1[[#This Row],[TOTAL DIAS PROYECTO]]</f>
        <v>0</v>
      </c>
      <c r="R2261" s="12">
        <f>+Tabla1[[#This Row],[COSTO TOTAL ALOJAMIENTO]]+Tabla1[[#This Row],[COSTO TOTAL COCHE]]</f>
        <v>55.27272727272728</v>
      </c>
      <c r="S2261" s="2"/>
      <c r="T2261" s="2" t="s">
        <v>44</v>
      </c>
      <c r="U2261" s="14">
        <v>45700</v>
      </c>
      <c r="V2261" s="79">
        <v>45708</v>
      </c>
      <c r="W2261" s="26"/>
      <c r="X2261" s="2"/>
      <c r="Y2261" s="11"/>
      <c r="Z2261" s="2" t="s">
        <v>36</v>
      </c>
      <c r="AA2261" s="13" t="s">
        <v>10342</v>
      </c>
      <c r="AB2261" s="13" t="s">
        <v>10343</v>
      </c>
    </row>
    <row r="2262" spans="1:28">
      <c r="A2262" s="2" t="s">
        <v>9452</v>
      </c>
      <c r="B2262" s="2" t="s">
        <v>368</v>
      </c>
      <c r="C2262" s="11" t="s">
        <v>3226</v>
      </c>
      <c r="D2262" s="2" t="s">
        <v>30</v>
      </c>
      <c r="E2262" s="2" t="s">
        <v>55</v>
      </c>
      <c r="F2262" s="11" t="s">
        <v>1439</v>
      </c>
      <c r="G2262" s="46" t="s">
        <v>1440</v>
      </c>
      <c r="H2262" s="2" t="s">
        <v>1360</v>
      </c>
      <c r="I2262" s="30" t="s">
        <v>1620</v>
      </c>
      <c r="J2262" s="41">
        <f>+Tabla1[[#This Row],[FECHA ENTRADA]]</f>
        <v>45678</v>
      </c>
      <c r="K2262" s="22">
        <v>45821</v>
      </c>
      <c r="L2262" s="42">
        <f>_xlfn.DAYS(Tabla1[[#This Row],[FECHA FIN ]],Tabla1[[#This Row],[FECHA INICIO]])</f>
        <v>143</v>
      </c>
      <c r="M2262" s="12"/>
      <c r="N2262" s="12"/>
      <c r="O2262" s="28">
        <f>(Tabla1[[#This Row],[COSTO FIJO ]]/30)*Tabla1[[#This Row],[TOTAL DIAS PROYECTO]]+(Tabla1[[#This Row],[COSTO TEMPORAL]])</f>
        <v>0</v>
      </c>
      <c r="P2262" s="12">
        <v>80</v>
      </c>
      <c r="Q2262" s="12"/>
      <c r="R2262" s="12">
        <f>+Tabla1[[#This Row],[COSTO TOTAL ALOJAMIENTO]]+Tabla1[[#This Row],[COSTO TOTAL COCHE]]</f>
        <v>0</v>
      </c>
      <c r="S2262" s="2"/>
      <c r="T2262" s="2" t="s">
        <v>35</v>
      </c>
      <c r="U2262" s="14">
        <v>45678</v>
      </c>
      <c r="V2262" s="25">
        <v>45755</v>
      </c>
      <c r="W2262" s="26"/>
      <c r="X2262" s="2">
        <v>19</v>
      </c>
      <c r="Y2262" s="11" t="s">
        <v>2316</v>
      </c>
      <c r="Z2262" s="2" t="s">
        <v>36</v>
      </c>
      <c r="AA2262" s="13" t="s">
        <v>10327</v>
      </c>
      <c r="AB2262" s="13" t="s">
        <v>10328</v>
      </c>
    </row>
    <row r="2263" spans="1:28">
      <c r="A2263" s="2" t="s">
        <v>9055</v>
      </c>
      <c r="B2263" s="2" t="s">
        <v>368</v>
      </c>
      <c r="C2263" s="11" t="s">
        <v>1816</v>
      </c>
      <c r="D2263" s="2" t="s">
        <v>30</v>
      </c>
      <c r="E2263" s="2" t="s">
        <v>55</v>
      </c>
      <c r="F2263" s="11" t="s">
        <v>1439</v>
      </c>
      <c r="G2263" s="46" t="s">
        <v>1440</v>
      </c>
      <c r="H2263" s="2" t="s">
        <v>1622</v>
      </c>
      <c r="I2263" s="30" t="s">
        <v>1620</v>
      </c>
      <c r="J2263" s="41">
        <f>+Tabla1[[#This Row],[FECHA ENTRADA]]</f>
        <v>45678</v>
      </c>
      <c r="K2263" s="22">
        <v>45821</v>
      </c>
      <c r="L2263" s="42">
        <f>_xlfn.DAYS(Tabla1[[#This Row],[FECHA FIN ]],Tabla1[[#This Row],[FECHA INICIO]])</f>
        <v>143</v>
      </c>
      <c r="M2263" s="12"/>
      <c r="N2263" s="12"/>
      <c r="O2263" s="28">
        <f>(Tabla1[[#This Row],[COSTO FIJO ]]/30)*Tabla1[[#This Row],[TOTAL DIAS PROYECTO]]+(Tabla1[[#This Row],[COSTO TEMPORAL]])</f>
        <v>0</v>
      </c>
      <c r="P2263" s="12">
        <v>80</v>
      </c>
      <c r="Q2263" s="12"/>
      <c r="R2263" s="12">
        <f>+Tabla1[[#This Row],[COSTO TOTAL ALOJAMIENTO]]+Tabla1[[#This Row],[COSTO TOTAL COCHE]]</f>
        <v>0</v>
      </c>
      <c r="S2263" s="2"/>
      <c r="T2263" s="2" t="s">
        <v>35</v>
      </c>
      <c r="U2263" s="14">
        <v>45678</v>
      </c>
      <c r="V2263" s="25">
        <v>45755</v>
      </c>
      <c r="W2263" s="26"/>
      <c r="X2263" s="2">
        <v>19</v>
      </c>
      <c r="Y2263" s="11" t="s">
        <v>2316</v>
      </c>
      <c r="Z2263" s="2" t="s">
        <v>36</v>
      </c>
      <c r="AA2263" s="13" t="s">
        <v>10327</v>
      </c>
      <c r="AB2263" s="13" t="s">
        <v>10328</v>
      </c>
    </row>
    <row r="2264" spans="1:28" ht="15" customHeight="1">
      <c r="A2264" s="2" t="s">
        <v>8964</v>
      </c>
      <c r="B2264" s="2" t="s">
        <v>28</v>
      </c>
      <c r="C2264" s="227" t="s">
        <v>1519</v>
      </c>
      <c r="D2264" s="2" t="s">
        <v>30</v>
      </c>
      <c r="E2264" s="2" t="s">
        <v>476</v>
      </c>
      <c r="F2264" s="11" t="s">
        <v>3794</v>
      </c>
      <c r="G2264" s="11" t="s">
        <v>3795</v>
      </c>
      <c r="H2264" s="2">
        <v>2023</v>
      </c>
      <c r="I2264" s="2" t="s">
        <v>165</v>
      </c>
      <c r="J2264" s="8">
        <f>+Tabla1[[#This Row],[FECHA ENTRADA]]</f>
        <v>0</v>
      </c>
      <c r="K2264" s="22">
        <v>45821</v>
      </c>
      <c r="L2264" s="13">
        <f>_xlfn.DAYS(Tabla1[[#This Row],[FECHA FIN ]],Tabla1[[#This Row],[FECHA INICIO]])</f>
        <v>45821</v>
      </c>
      <c r="M2264" s="12"/>
      <c r="N2264" s="12"/>
      <c r="O2264" s="12">
        <f>(Tabla1[[#This Row],[COSTO FIJO ]]/30)*Tabla1[[#This Row],[TOTAL DIAS PROYECTO]]+(Tabla1[[#This Row],[COSTO TEMPORAL]])</f>
        <v>0</v>
      </c>
      <c r="P2264" s="12"/>
      <c r="Q2264" s="12">
        <f>+(Tabla1[[#This Row],[COSTO COCHE]]/30)*Tabla1[[#This Row],[TOTAL DIAS PROYECTO]]</f>
        <v>0</v>
      </c>
      <c r="R2264" s="12">
        <f>+Tabla1[[#This Row],[COSTO TOTAL ALOJAMIENTO]]+Tabla1[[#This Row],[COSTO TOTAL COCHE]]</f>
        <v>0</v>
      </c>
      <c r="S2264" s="2"/>
      <c r="T2264" s="2" t="s">
        <v>35</v>
      </c>
      <c r="U2264" s="14"/>
      <c r="V2264" s="14"/>
      <c r="W2264" s="15"/>
      <c r="X2264" s="16">
        <v>19</v>
      </c>
      <c r="Y2264" s="18"/>
      <c r="Z2264" s="2" t="s">
        <v>36</v>
      </c>
      <c r="AA2264" s="13">
        <v>-7.8640699999999999</v>
      </c>
      <c r="AB2264" s="13">
        <v>42.336689999999997</v>
      </c>
    </row>
    <row r="2265" spans="1:28">
      <c r="A2265" s="2" t="s">
        <v>9594</v>
      </c>
      <c r="B2265" s="2" t="s">
        <v>28</v>
      </c>
      <c r="C2265" s="227" t="s">
        <v>3796</v>
      </c>
      <c r="D2265" s="33" t="s">
        <v>30</v>
      </c>
      <c r="E2265" s="2" t="s">
        <v>790</v>
      </c>
      <c r="F2265" s="11" t="s">
        <v>791</v>
      </c>
      <c r="G2265" s="11" t="s">
        <v>792</v>
      </c>
      <c r="H2265" s="33">
        <v>2023</v>
      </c>
      <c r="I2265" s="33" t="s">
        <v>794</v>
      </c>
      <c r="J2265" s="8">
        <v>45345</v>
      </c>
      <c r="K2265" s="22">
        <v>45821</v>
      </c>
      <c r="L2265" s="13">
        <f>_xlfn.DAYS(Tabla1[[#This Row],[FECHA FIN ]],Tabla1[[#This Row],[FECHA INICIO]])</f>
        <v>476</v>
      </c>
      <c r="M2265" s="12"/>
      <c r="N2265" s="12"/>
      <c r="O2265" s="36">
        <f>(Tabla1[[#This Row],[COSTO FIJO ]]/30)*Tabla1[[#This Row],[TOTAL DIAS PROYECTO]]+(Tabla1[[#This Row],[COSTO TEMPORAL]])</f>
        <v>0</v>
      </c>
      <c r="P2265" s="36"/>
      <c r="Q2265" s="36">
        <f>+(Tabla1[[#This Row],[COSTO COCHE]]/30)*Tabla1[[#This Row],[TOTAL DIAS PROYECTO]]</f>
        <v>0</v>
      </c>
      <c r="R2265" s="36">
        <f>+Tabla1[[#This Row],[COSTO TOTAL ALOJAMIENTO]]+Tabla1[[#This Row],[COSTO TOTAL COCHE]]</f>
        <v>0</v>
      </c>
      <c r="S2265" s="33"/>
      <c r="T2265" s="33" t="s">
        <v>35</v>
      </c>
      <c r="U2265" s="37"/>
      <c r="V2265" s="14"/>
      <c r="W2265" s="38"/>
      <c r="X2265" s="39">
        <v>19</v>
      </c>
      <c r="Y2265" s="18" t="s">
        <v>3797</v>
      </c>
      <c r="Z2265" s="33" t="s">
        <v>36</v>
      </c>
      <c r="AA2265" s="13">
        <v>-574377</v>
      </c>
      <c r="AB2265" s="13">
        <v>4150368</v>
      </c>
    </row>
    <row r="2266" spans="1:28" ht="15" customHeight="1">
      <c r="A2266" s="2" t="s">
        <v>9595</v>
      </c>
      <c r="B2266" s="2" t="s">
        <v>368</v>
      </c>
      <c r="C2266" s="11" t="s">
        <v>3798</v>
      </c>
      <c r="D2266" s="2" t="s">
        <v>30</v>
      </c>
      <c r="E2266" s="2" t="s">
        <v>939</v>
      </c>
      <c r="F2266" s="11" t="s">
        <v>1253</v>
      </c>
      <c r="G2266" s="11" t="s">
        <v>941</v>
      </c>
      <c r="H2266" s="2" t="s">
        <v>3799</v>
      </c>
      <c r="I2266" s="2" t="s">
        <v>1255</v>
      </c>
      <c r="J2266" s="22">
        <f>+Tabla1[[#This Row],[FECHA ENTRADA]]</f>
        <v>45615</v>
      </c>
      <c r="K2266" s="22">
        <v>45821</v>
      </c>
      <c r="L2266" s="23">
        <f>_xlfn.DAYS(Tabla1[[#This Row],[FECHA FIN ]],Tabla1[[#This Row],[FECHA INICIO]])</f>
        <v>206</v>
      </c>
      <c r="M2266" s="12"/>
      <c r="N2266" s="12"/>
      <c r="O2266" s="24">
        <f>(Tabla1[[#This Row],[COSTO FIJO ]]/30)*Tabla1[[#This Row],[TOTAL DIAS PROYECTO]]+(Tabla1[[#This Row],[COSTO TEMPORAL]])</f>
        <v>0</v>
      </c>
      <c r="P2266" s="12"/>
      <c r="Q2266" s="12">
        <f>+(Tabla1[[#This Row],[COSTO COCHE]]/30)*Tabla1[[#This Row],[TOTAL DIAS PROYECTO]]</f>
        <v>0</v>
      </c>
      <c r="R2266" s="12">
        <f>+Tabla1[[#This Row],[COSTO TOTAL ALOJAMIENTO]]+Tabla1[[#This Row],[COSTO TOTAL COCHE]]</f>
        <v>0</v>
      </c>
      <c r="S2266" s="2"/>
      <c r="T2266" s="2" t="s">
        <v>35</v>
      </c>
      <c r="U2266" s="14">
        <v>45615</v>
      </c>
      <c r="V2266" s="25"/>
      <c r="W2266" s="80">
        <v>150</v>
      </c>
      <c r="X2266" s="2">
        <v>19</v>
      </c>
      <c r="Y2266" s="11"/>
      <c r="Z2266" s="2" t="s">
        <v>36</v>
      </c>
      <c r="AA2266" s="13" t="s">
        <v>10405</v>
      </c>
      <c r="AB2266" s="13" t="s">
        <v>10406</v>
      </c>
    </row>
    <row r="2267" spans="1:28" ht="15" customHeight="1">
      <c r="A2267" s="2" t="s">
        <v>9301</v>
      </c>
      <c r="B2267" s="30" t="s">
        <v>368</v>
      </c>
      <c r="C2267" s="227" t="s">
        <v>2746</v>
      </c>
      <c r="D2267" s="2" t="s">
        <v>30</v>
      </c>
      <c r="E2267" s="2" t="s">
        <v>3335</v>
      </c>
      <c r="F2267" s="11" t="s">
        <v>3800</v>
      </c>
      <c r="G2267" s="46" t="s">
        <v>3801</v>
      </c>
      <c r="H2267" s="2" t="s">
        <v>3802</v>
      </c>
      <c r="I2267" s="12" t="s">
        <v>3803</v>
      </c>
      <c r="J2267" s="41">
        <f>+Tabla1[[#This Row],[FECHA ENTRADA]]</f>
        <v>45554</v>
      </c>
      <c r="K2267" s="22">
        <v>45821</v>
      </c>
      <c r="L2267" s="42">
        <f>_xlfn.DAYS(Tabla1[[#This Row],[FECHA FIN ]],Tabla1[[#This Row],[FECHA INICIO]])</f>
        <v>267</v>
      </c>
      <c r="M2267" s="12"/>
      <c r="N2267" s="12"/>
      <c r="O2267" s="28">
        <f>(Tabla1[[#This Row],[COSTO FIJO ]]/30)*Tabla1[[#This Row],[TOTAL DIAS PROYECTO]]+(Tabla1[[#This Row],[COSTO TEMPORAL]])</f>
        <v>0</v>
      </c>
      <c r="P2267" s="12"/>
      <c r="Q2267" s="12">
        <f>+(Tabla1[[#This Row],[COSTO COCHE]]/30)*Tabla1[[#This Row],[TOTAL DIAS PROYECTO]]</f>
        <v>0</v>
      </c>
      <c r="R2267" s="12">
        <f>+Tabla1[[#This Row],[COSTO TOTAL ALOJAMIENTO]]+Tabla1[[#This Row],[COSTO TOTAL COCHE]]</f>
        <v>0</v>
      </c>
      <c r="S2267" s="2"/>
      <c r="T2267" s="2" t="s">
        <v>35</v>
      </c>
      <c r="U2267" s="14">
        <v>45554</v>
      </c>
      <c r="V2267" s="43"/>
      <c r="W2267" s="26">
        <v>850</v>
      </c>
      <c r="X2267" s="2">
        <v>19</v>
      </c>
      <c r="Y2267" s="11"/>
      <c r="Z2267" s="2" t="s">
        <v>36</v>
      </c>
      <c r="AA2267" s="13" t="e">
        <v>#N/A</v>
      </c>
      <c r="AB2267" s="13" t="e">
        <v>#N/A</v>
      </c>
    </row>
    <row r="2268" spans="1:28" ht="15" customHeight="1">
      <c r="A2268" s="2" t="s">
        <v>9302</v>
      </c>
      <c r="B2268" s="30" t="s">
        <v>368</v>
      </c>
      <c r="C2268" s="227" t="s">
        <v>2749</v>
      </c>
      <c r="D2268" s="2" t="s">
        <v>30</v>
      </c>
      <c r="E2268" s="2" t="s">
        <v>3335</v>
      </c>
      <c r="F2268" s="11" t="s">
        <v>3800</v>
      </c>
      <c r="G2268" s="46" t="s">
        <v>3801</v>
      </c>
      <c r="H2268" s="2" t="s">
        <v>3802</v>
      </c>
      <c r="I2268" s="12" t="s">
        <v>3803</v>
      </c>
      <c r="J2268" s="41">
        <v>45554</v>
      </c>
      <c r="K2268" s="22">
        <v>45821</v>
      </c>
      <c r="L2268" s="42">
        <f>_xlfn.DAYS(Tabla1[[#This Row],[FECHA FIN ]],Tabla1[[#This Row],[FECHA INICIO]])</f>
        <v>267</v>
      </c>
      <c r="M2268" s="12"/>
      <c r="N2268" s="12"/>
      <c r="O2268" s="28">
        <f>(Tabla1[[#This Row],[COSTO FIJO ]]/30)*Tabla1[[#This Row],[TOTAL DIAS PROYECTO]]+(Tabla1[[#This Row],[COSTO TEMPORAL]])</f>
        <v>0</v>
      </c>
      <c r="P2268" s="12"/>
      <c r="Q2268" s="12">
        <f>+(Tabla1[[#This Row],[COSTO COCHE]]/30)*Tabla1[[#This Row],[TOTAL DIAS PROYECTO]]</f>
        <v>0</v>
      </c>
      <c r="R2268" s="12">
        <f>+Tabla1[[#This Row],[COSTO TOTAL ALOJAMIENTO]]+Tabla1[[#This Row],[COSTO TOTAL COCHE]]</f>
        <v>0</v>
      </c>
      <c r="S2268" s="2"/>
      <c r="T2268" s="2" t="s">
        <v>35</v>
      </c>
      <c r="U2268" s="14">
        <v>45560</v>
      </c>
      <c r="V2268" s="75"/>
      <c r="W2268" s="26"/>
      <c r="X2268" s="2">
        <v>19</v>
      </c>
      <c r="Y2268" s="11"/>
      <c r="Z2268" s="2" t="s">
        <v>36</v>
      </c>
      <c r="AA2268" s="13" t="e">
        <v>#N/A</v>
      </c>
      <c r="AB2268" s="13" t="e">
        <v>#N/A</v>
      </c>
    </row>
    <row r="2269" spans="1:28" ht="15" customHeight="1">
      <c r="A2269" s="2" t="s">
        <v>9596</v>
      </c>
      <c r="B2269" s="2" t="s">
        <v>28</v>
      </c>
      <c r="C2269" s="227" t="s">
        <v>3804</v>
      </c>
      <c r="D2269" s="2" t="s">
        <v>30</v>
      </c>
      <c r="E2269" s="2" t="s">
        <v>31</v>
      </c>
      <c r="F2269" s="11" t="s">
        <v>3805</v>
      </c>
      <c r="G2269" s="11" t="s">
        <v>3806</v>
      </c>
      <c r="H2269" s="2" t="s">
        <v>3807</v>
      </c>
      <c r="I2269" s="12" t="s">
        <v>3808</v>
      </c>
      <c r="J2269" s="8">
        <f>+Tabla1[[#This Row],[FECHA ENTRADA]]</f>
        <v>45399</v>
      </c>
      <c r="K2269" s="22">
        <v>45821</v>
      </c>
      <c r="L2269" s="13">
        <f>_xlfn.DAYS(Tabla1[[#This Row],[FECHA FIN ]],Tabla1[[#This Row],[FECHA INICIO]])</f>
        <v>422</v>
      </c>
      <c r="M2269" s="12"/>
      <c r="N2269" s="12"/>
      <c r="O2269" s="12">
        <f>(Tabla1[[#This Row],[COSTO FIJO ]]/30)*Tabla1[[#This Row],[TOTAL DIAS PROYECTO]]+(Tabla1[[#This Row],[COSTO TEMPORAL]])</f>
        <v>0</v>
      </c>
      <c r="P2269" s="12"/>
      <c r="Q2269" s="12">
        <f>+(Tabla1[[#This Row],[COSTO COCHE]]/30)*Tabla1[[#This Row],[TOTAL DIAS PROYECTO]]</f>
        <v>0</v>
      </c>
      <c r="R2269" s="12">
        <f>+Tabla1[[#This Row],[COSTO TOTAL ALOJAMIENTO]]+Tabla1[[#This Row],[COSTO TOTAL COCHE]]</f>
        <v>0</v>
      </c>
      <c r="S2269" s="2"/>
      <c r="T2269" s="2" t="s">
        <v>35</v>
      </c>
      <c r="U2269" s="14">
        <v>45399</v>
      </c>
      <c r="V2269" s="14"/>
      <c r="W2269" s="15">
        <v>175</v>
      </c>
      <c r="X2269" s="16">
        <v>19</v>
      </c>
      <c r="Y2269" s="11" t="s">
        <v>3809</v>
      </c>
      <c r="Z2269" s="2" t="s">
        <v>36</v>
      </c>
      <c r="AA2269" s="13" t="s">
        <v>10323</v>
      </c>
      <c r="AB2269" s="13" t="s">
        <v>10324</v>
      </c>
    </row>
    <row r="2270" spans="1:28">
      <c r="A2270" s="2" t="s">
        <v>9168</v>
      </c>
      <c r="B2270" s="2" t="s">
        <v>28</v>
      </c>
      <c r="C2270" s="227" t="s">
        <v>2299</v>
      </c>
      <c r="D2270" s="2" t="s">
        <v>30</v>
      </c>
      <c r="E2270" s="2" t="s">
        <v>31</v>
      </c>
      <c r="F2270" s="11" t="s">
        <v>3810</v>
      </c>
      <c r="G2270" s="11" t="s">
        <v>3806</v>
      </c>
      <c r="H2270" s="2" t="s">
        <v>3807</v>
      </c>
      <c r="I2270" s="12" t="s">
        <v>3808</v>
      </c>
      <c r="J2270" s="8">
        <f>+Tabla1[[#This Row],[FECHA ENTRADA]]</f>
        <v>45399</v>
      </c>
      <c r="K2270" s="22">
        <v>45603</v>
      </c>
      <c r="L2270" s="13">
        <f>_xlfn.DAYS(Tabla1[[#This Row],[FECHA FIN ]],Tabla1[[#This Row],[FECHA INICIO]])</f>
        <v>204</v>
      </c>
      <c r="M2270" s="12"/>
      <c r="N2270" s="12"/>
      <c r="O2270" s="12">
        <f>(Tabla1[[#This Row],[COSTO FIJO ]]/30)*Tabla1[[#This Row],[TOTAL DIAS PROYECTO]]+(Tabla1[[#This Row],[COSTO TEMPORAL]])</f>
        <v>0</v>
      </c>
      <c r="P2270" s="12"/>
      <c r="Q2270" s="12">
        <f>+(Tabla1[[#This Row],[COSTO COCHE]]/30)*Tabla1[[#This Row],[TOTAL DIAS PROYECTO]]</f>
        <v>0</v>
      </c>
      <c r="R2270" s="12">
        <f>+Tabla1[[#This Row],[COSTO TOTAL ALOJAMIENTO]]+Tabla1[[#This Row],[COSTO TOTAL COCHE]]</f>
        <v>0</v>
      </c>
      <c r="S2270" s="2"/>
      <c r="T2270" s="2" t="s">
        <v>35</v>
      </c>
      <c r="U2270" s="14">
        <v>45399</v>
      </c>
      <c r="V2270" s="14"/>
      <c r="W2270" s="15">
        <v>175</v>
      </c>
      <c r="X2270" s="16">
        <v>19</v>
      </c>
      <c r="Y2270" s="11" t="s">
        <v>3809</v>
      </c>
      <c r="Z2270" s="2" t="s">
        <v>36</v>
      </c>
      <c r="AA2270" s="13" t="s">
        <v>10323</v>
      </c>
      <c r="AB2270" s="13" t="s">
        <v>10324</v>
      </c>
    </row>
    <row r="2271" spans="1:28" ht="15" customHeight="1">
      <c r="A2271" s="2" t="s">
        <v>9597</v>
      </c>
      <c r="B2271" s="29" t="s">
        <v>368</v>
      </c>
      <c r="C2271" s="227" t="s">
        <v>3811</v>
      </c>
      <c r="D2271" s="2" t="s">
        <v>30</v>
      </c>
      <c r="E2271" s="2" t="s">
        <v>259</v>
      </c>
      <c r="F2271" s="11" t="s">
        <v>691</v>
      </c>
      <c r="G2271" s="11" t="s">
        <v>692</v>
      </c>
      <c r="H2271" s="2" t="s">
        <v>969</v>
      </c>
      <c r="I2271" s="12" t="s">
        <v>970</v>
      </c>
      <c r="J2271" s="8">
        <f>+Tabla1[[#This Row],[FECHA ENTRADA]]</f>
        <v>45490</v>
      </c>
      <c r="K2271" s="22">
        <v>45821</v>
      </c>
      <c r="L2271" s="13">
        <f>_xlfn.DAYS(Tabla1[[#This Row],[FECHA FIN ]],Tabla1[[#This Row],[FECHA INICIO]])</f>
        <v>331</v>
      </c>
      <c r="M2271" s="12"/>
      <c r="N2271" s="12">
        <v>297.5</v>
      </c>
      <c r="O2271" s="12">
        <f>(Tabla1[[#This Row],[COSTO FIJO ]]/30)*Tabla1[[#This Row],[TOTAL DIAS PROYECTO]]+(Tabla1[[#This Row],[COSTO TEMPORAL]])</f>
        <v>3282.4166666666665</v>
      </c>
      <c r="P2271" s="12"/>
      <c r="Q2271" s="12">
        <f>+(Tabla1[[#This Row],[COSTO COCHE]]/30)*Tabla1[[#This Row],[TOTAL DIAS PROYECTO]]</f>
        <v>0</v>
      </c>
      <c r="R2271" s="12">
        <f>+Tabla1[[#This Row],[COSTO TOTAL ALOJAMIENTO]]+Tabla1[[#This Row],[COSTO TOTAL COCHE]]</f>
        <v>3282.4166666666665</v>
      </c>
      <c r="S2271" s="2"/>
      <c r="T2271" s="2" t="s">
        <v>35</v>
      </c>
      <c r="U2271" s="14">
        <v>45490</v>
      </c>
      <c r="V2271" s="14"/>
      <c r="W2271" s="26"/>
      <c r="X2271" s="2">
        <v>20</v>
      </c>
      <c r="Y2271" s="31" t="s">
        <v>3812</v>
      </c>
      <c r="Z2271" s="2" t="s">
        <v>36</v>
      </c>
      <c r="AA2271" s="13">
        <v>-0.87734000000000001</v>
      </c>
      <c r="AB2271" s="13" t="s">
        <v>10359</v>
      </c>
    </row>
    <row r="2272" spans="1:28" ht="15" customHeight="1">
      <c r="A2272" s="2" t="s">
        <v>8990</v>
      </c>
      <c r="B2272" s="2" t="s">
        <v>368</v>
      </c>
      <c r="C2272" s="227" t="s">
        <v>1609</v>
      </c>
      <c r="D2272" s="2" t="s">
        <v>30</v>
      </c>
      <c r="E2272" s="2" t="s">
        <v>127</v>
      </c>
      <c r="F2272" s="11" t="s">
        <v>128</v>
      </c>
      <c r="G2272" s="11" t="s">
        <v>1900</v>
      </c>
      <c r="H2272" s="2" t="s">
        <v>3813</v>
      </c>
      <c r="I2272" s="12" t="s">
        <v>1193</v>
      </c>
      <c r="J2272" s="22">
        <f>+Tabla1[[#This Row],[FECHA ENTRADA]]</f>
        <v>45712</v>
      </c>
      <c r="K2272" s="41">
        <v>45751</v>
      </c>
      <c r="L2272" s="42">
        <f>_xlfn.DAYS(Tabla1[[#This Row],[FECHA FIN ]],Tabla1[[#This Row],[FECHA INICIO]])</f>
        <v>39</v>
      </c>
      <c r="M2272" s="12"/>
      <c r="N2272" s="12"/>
      <c r="O2272" s="28">
        <f>(Tabla1[[#This Row],[COSTO FIJO ]]/30)*Tabla1[[#This Row],[TOTAL DIAS PROYECTO]]+(Tabla1[[#This Row],[COSTO TEMPORAL]])</f>
        <v>0</v>
      </c>
      <c r="P2272" s="12">
        <f>542.69/5</f>
        <v>108.53800000000001</v>
      </c>
      <c r="Q2272" s="12">
        <f>+(Tabla1[[#This Row],[COSTO COCHE]]/30)*Tabla1[[#This Row],[TOTAL DIAS PROYECTO]]</f>
        <v>141.0994</v>
      </c>
      <c r="R2272" s="12">
        <f>+Tabla1[[#This Row],[COSTO TOTAL ALOJAMIENTO]]+Tabla1[[#This Row],[COSTO TOTAL COCHE]]</f>
        <v>141.0994</v>
      </c>
      <c r="S2272" s="2"/>
      <c r="T2272" s="2" t="s">
        <v>35</v>
      </c>
      <c r="U2272" s="14">
        <v>45712</v>
      </c>
      <c r="V2272" s="79"/>
      <c r="W2272" s="172">
        <v>1000</v>
      </c>
      <c r="X2272" s="2">
        <v>1</v>
      </c>
      <c r="Y2272" t="s">
        <v>3755</v>
      </c>
      <c r="Z2272" s="2" t="s">
        <v>36</v>
      </c>
      <c r="AA2272" s="13" t="s">
        <v>10342</v>
      </c>
      <c r="AB2272" s="13" t="s">
        <v>10343</v>
      </c>
    </row>
    <row r="2273" spans="1:28">
      <c r="A2273" s="2" t="s">
        <v>8642</v>
      </c>
      <c r="B2273" s="2" t="s">
        <v>28</v>
      </c>
      <c r="C2273" s="227" t="s">
        <v>3814</v>
      </c>
      <c r="D2273" s="2" t="s">
        <v>30</v>
      </c>
      <c r="E2273" s="2" t="s">
        <v>127</v>
      </c>
      <c r="F2273" s="11" t="s">
        <v>682</v>
      </c>
      <c r="G2273" s="11" t="s">
        <v>683</v>
      </c>
      <c r="H2273" s="2" t="s">
        <v>376</v>
      </c>
      <c r="I2273" s="12" t="s">
        <v>377</v>
      </c>
      <c r="J2273" s="8">
        <f>+Tabla1[[#This Row],[FECHA ENTRADA]]</f>
        <v>45464</v>
      </c>
      <c r="K2273" s="22">
        <v>45821</v>
      </c>
      <c r="L2273" s="13">
        <f>_xlfn.DAYS(Tabla1[[#This Row],[FECHA FIN ]],Tabla1[[#This Row],[FECHA INICIO]])</f>
        <v>357</v>
      </c>
      <c r="M2273" s="12"/>
      <c r="N2273" s="12"/>
      <c r="O2273" s="12">
        <f>(Tabla1[[#This Row],[COSTO FIJO ]]/30)*Tabla1[[#This Row],[TOTAL DIAS PROYECTO]]+(Tabla1[[#This Row],[COSTO TEMPORAL]])</f>
        <v>0</v>
      </c>
      <c r="P2273" s="12"/>
      <c r="Q2273" s="12">
        <f>+(Tabla1[[#This Row],[COSTO COCHE]]/30)*Tabla1[[#This Row],[TOTAL DIAS PROYECTO]]</f>
        <v>0</v>
      </c>
      <c r="R2273" s="12">
        <f>+Tabla1[[#This Row],[COSTO TOTAL ALOJAMIENTO]]+Tabla1[[#This Row],[COSTO TOTAL COCHE]]</f>
        <v>0</v>
      </c>
      <c r="S2273" s="2"/>
      <c r="T2273" s="2" t="s">
        <v>35</v>
      </c>
      <c r="U2273" s="14">
        <v>45464</v>
      </c>
      <c r="V2273" s="14"/>
      <c r="W2273" s="26"/>
      <c r="X2273" s="2">
        <v>20</v>
      </c>
      <c r="Y2273" s="31" t="s">
        <v>3815</v>
      </c>
      <c r="Z2273" s="2" t="s">
        <v>36</v>
      </c>
      <c r="AA2273" s="13" t="s">
        <v>10342</v>
      </c>
      <c r="AB2273" s="13" t="s">
        <v>10343</v>
      </c>
    </row>
    <row r="2274" spans="1:28">
      <c r="A2274" s="2" t="s">
        <v>9598</v>
      </c>
      <c r="B2274" s="2" t="s">
        <v>28</v>
      </c>
      <c r="C2274" s="11" t="s">
        <v>3816</v>
      </c>
      <c r="D2274" s="2" t="s">
        <v>99</v>
      </c>
      <c r="E2274" s="2" t="s">
        <v>127</v>
      </c>
      <c r="F2274" s="11" t="s">
        <v>128</v>
      </c>
      <c r="G2274" s="11" t="s">
        <v>1900</v>
      </c>
      <c r="H2274" s="2" t="s">
        <v>3817</v>
      </c>
      <c r="I2274" s="12" t="s">
        <v>3818</v>
      </c>
      <c r="J2274" s="22">
        <f>+Tabla1[[#This Row],[FECHA ENTRADA]]</f>
        <v>45783</v>
      </c>
      <c r="K2274" s="22">
        <v>45821</v>
      </c>
      <c r="L2274" s="23">
        <f>_xlfn.DAYS(Tabla1[[#This Row],[FECHA FIN ]],Tabla1[[#This Row],[FECHA INICIO]])</f>
        <v>38</v>
      </c>
      <c r="M2274" s="12"/>
      <c r="N2274" s="12"/>
      <c r="O2274" s="24">
        <f>(Tabla1[[#This Row],[COSTO FIJO ]]/30)*Tabla1[[#This Row],[TOTAL DIAS PROYECTO]]+(Tabla1[[#This Row],[COSTO TEMPORAL]])</f>
        <v>0</v>
      </c>
      <c r="P2274" s="12"/>
      <c r="Q2274" s="12">
        <f>+(Tabla1[[#This Row],[COSTO COCHE]]/30)*Tabla1[[#This Row],[TOTAL DIAS PROYECTO]]</f>
        <v>0</v>
      </c>
      <c r="R2274" s="12">
        <f>+Tabla1[[#This Row],[COSTO TOTAL ALOJAMIENTO]]+Tabla1[[#This Row],[COSTO TOTAL COCHE]]</f>
        <v>0</v>
      </c>
      <c r="S2274" s="2"/>
      <c r="T2274" s="2" t="s">
        <v>35</v>
      </c>
      <c r="U2274" s="14">
        <v>45783</v>
      </c>
      <c r="V2274" s="79"/>
      <c r="W2274" s="2"/>
      <c r="X2274" s="2">
        <v>1</v>
      </c>
      <c r="Y2274" s="11"/>
      <c r="Z2274" s="2" t="s">
        <v>36</v>
      </c>
      <c r="AA2274" s="13" t="s">
        <v>10342</v>
      </c>
      <c r="AB2274" s="13" t="s">
        <v>10343</v>
      </c>
    </row>
    <row r="2275" spans="1:28" ht="15" customHeight="1">
      <c r="A2275" s="2" t="s">
        <v>9277</v>
      </c>
      <c r="B2275" s="2" t="s">
        <v>28</v>
      </c>
      <c r="C2275" s="11" t="s">
        <v>2683</v>
      </c>
      <c r="D2275" s="2" t="s">
        <v>30</v>
      </c>
      <c r="E2275" s="2" t="s">
        <v>213</v>
      </c>
      <c r="F2275" s="11" t="s">
        <v>1971</v>
      </c>
      <c r="G2275" s="11" t="s">
        <v>1972</v>
      </c>
      <c r="H2275" s="2" t="s">
        <v>1975</v>
      </c>
      <c r="I2275" s="2" t="s">
        <v>52</v>
      </c>
      <c r="J2275" s="8">
        <f>+Tabla1[[#This Row],[FECHA ENTRADA]]</f>
        <v>45473</v>
      </c>
      <c r="K2275" s="22">
        <v>45821</v>
      </c>
      <c r="L2275" s="13">
        <f>_xlfn.DAYS(Tabla1[[#This Row],[FECHA FIN ]],Tabla1[[#This Row],[FECHA INICIO]])</f>
        <v>348</v>
      </c>
      <c r="M2275" s="12"/>
      <c r="N2275" s="12"/>
      <c r="O2275" s="12">
        <f>(Tabla1[[#This Row],[COSTO FIJO ]]/30)*Tabla1[[#This Row],[TOTAL DIAS PROYECTO]]+(Tabla1[[#This Row],[COSTO TEMPORAL]])</f>
        <v>0</v>
      </c>
      <c r="P2275" s="12"/>
      <c r="Q2275" s="12">
        <f>+(Tabla1[[#This Row],[COSTO COCHE]]/30)*Tabla1[[#This Row],[TOTAL DIAS PROYECTO]]</f>
        <v>0</v>
      </c>
      <c r="R2275" s="12">
        <f>+Tabla1[[#This Row],[COSTO TOTAL ALOJAMIENTO]]+Tabla1[[#This Row],[COSTO TOTAL COCHE]]</f>
        <v>0</v>
      </c>
      <c r="S2275" s="2"/>
      <c r="T2275" s="2" t="s">
        <v>35</v>
      </c>
      <c r="U2275" s="14">
        <v>45473</v>
      </c>
      <c r="V2275" s="14"/>
      <c r="W2275" s="26"/>
      <c r="X2275" s="2">
        <v>29</v>
      </c>
      <c r="Y2275" s="11"/>
      <c r="Z2275" s="2" t="s">
        <v>36</v>
      </c>
      <c r="AA2275" s="13" t="s">
        <v>10349</v>
      </c>
      <c r="AB2275" s="13" t="s">
        <v>10350</v>
      </c>
    </row>
    <row r="2276" spans="1:28">
      <c r="A2276" s="2" t="s">
        <v>9154</v>
      </c>
      <c r="B2276" s="2" t="s">
        <v>28</v>
      </c>
      <c r="C2276" s="11" t="s">
        <v>2247</v>
      </c>
      <c r="D2276" s="2" t="s">
        <v>30</v>
      </c>
      <c r="E2276" s="2" t="s">
        <v>380</v>
      </c>
      <c r="F2276" s="11" t="s">
        <v>383</v>
      </c>
      <c r="G2276" t="s">
        <v>381</v>
      </c>
      <c r="H2276" s="2" t="s">
        <v>3819</v>
      </c>
      <c r="I2276" s="12" t="s">
        <v>382</v>
      </c>
      <c r="J2276" s="41">
        <f>+Tabla1[[#This Row],[FECHA ENTRADA]]</f>
        <v>45641</v>
      </c>
      <c r="K2276" s="22">
        <v>45821</v>
      </c>
      <c r="L2276" s="42">
        <f>_xlfn.DAYS(Tabla1[[#This Row],[FECHA FIN ]],Tabla1[[#This Row],[FECHA INICIO]])</f>
        <v>180</v>
      </c>
      <c r="M2276" s="12"/>
      <c r="N2276" s="12"/>
      <c r="O2276" s="28">
        <f>(Tabla1[[#This Row],[COSTO FIJO ]]/30)*Tabla1[[#This Row],[TOTAL DIAS PROYECTO]]+(Tabla1[[#This Row],[COSTO TEMPORAL]])</f>
        <v>0</v>
      </c>
      <c r="P2276" s="12"/>
      <c r="Q2276" s="12">
        <f>+(Tabla1[[#This Row],[COSTO COCHE]]/30)*Tabla1[[#This Row],[TOTAL DIAS PROYECTO]]</f>
        <v>0</v>
      </c>
      <c r="R2276" s="12">
        <f>+Tabla1[[#This Row],[COSTO TOTAL ALOJAMIENTO]]+Tabla1[[#This Row],[COSTO TOTAL COCHE]]</f>
        <v>0</v>
      </c>
      <c r="S2276" s="2"/>
      <c r="T2276" s="2" t="s">
        <v>35</v>
      </c>
      <c r="U2276" s="14">
        <v>45641</v>
      </c>
      <c r="V2276" s="43"/>
      <c r="W2276" s="26"/>
      <c r="X2276" s="2">
        <v>5</v>
      </c>
      <c r="Y2276" s="11"/>
      <c r="Z2276" s="2" t="s">
        <v>36</v>
      </c>
      <c r="AA2276" s="13" t="s">
        <v>10370</v>
      </c>
      <c r="AB2276" s="13" t="s">
        <v>10371</v>
      </c>
    </row>
    <row r="2277" spans="1:28">
      <c r="A2277" s="2" t="s">
        <v>9310</v>
      </c>
      <c r="B2277" s="2" t="s">
        <v>28</v>
      </c>
      <c r="C2277" s="11" t="s">
        <v>2782</v>
      </c>
      <c r="D2277" s="33" t="s">
        <v>30</v>
      </c>
      <c r="E2277" s="33" t="s">
        <v>127</v>
      </c>
      <c r="F2277" s="11" t="s">
        <v>276</v>
      </c>
      <c r="G2277" s="44" t="s">
        <v>277</v>
      </c>
      <c r="H2277" s="33" t="s">
        <v>376</v>
      </c>
      <c r="I2277" s="36" t="s">
        <v>377</v>
      </c>
      <c r="J2277" s="8">
        <f>+Tabla1[[#This Row],[FECHA ENTRADA]]</f>
        <v>45466</v>
      </c>
      <c r="K2277" s="22">
        <v>45821</v>
      </c>
      <c r="L2277" s="13">
        <f>_xlfn.DAYS(Tabla1[[#This Row],[FECHA FIN ]],Tabla1[[#This Row],[FECHA INICIO]])</f>
        <v>355</v>
      </c>
      <c r="M2277" s="12"/>
      <c r="N2277" s="12"/>
      <c r="O2277" s="36">
        <f>(Tabla1[[#This Row],[COSTO FIJO ]]/30)*Tabla1[[#This Row],[TOTAL DIAS PROYECTO]]+(Tabla1[[#This Row],[COSTO TEMPORAL]])</f>
        <v>0</v>
      </c>
      <c r="P2277" s="36"/>
      <c r="Q2277" s="36">
        <f>+(Tabla1[[#This Row],[COSTO COCHE]]/30)*Tabla1[[#This Row],[TOTAL DIAS PROYECTO]]</f>
        <v>0</v>
      </c>
      <c r="R2277" s="36">
        <f>+Tabla1[[#This Row],[COSTO TOTAL ALOJAMIENTO]]+Tabla1[[#This Row],[COSTO TOTAL COCHE]]</f>
        <v>0</v>
      </c>
      <c r="S2277" s="33"/>
      <c r="T2277" s="33" t="s">
        <v>35</v>
      </c>
      <c r="U2277" s="37">
        <v>45466</v>
      </c>
      <c r="V2277" s="14"/>
      <c r="W2277" s="40"/>
      <c r="X2277" s="33">
        <v>20</v>
      </c>
      <c r="Y2277" s="18" t="s">
        <v>3820</v>
      </c>
      <c r="Z2277" s="33" t="s">
        <v>36</v>
      </c>
      <c r="AA2277" s="13" t="s">
        <v>10342</v>
      </c>
      <c r="AB2277" s="13" t="s">
        <v>10343</v>
      </c>
    </row>
    <row r="2278" spans="1:28" ht="15" customHeight="1">
      <c r="A2278" s="2" t="s">
        <v>9599</v>
      </c>
      <c r="B2278" s="2" t="s">
        <v>28</v>
      </c>
      <c r="C2278" s="11" t="s">
        <v>3821</v>
      </c>
      <c r="D2278" s="2" t="s">
        <v>30</v>
      </c>
      <c r="E2278" s="2" t="s">
        <v>87</v>
      </c>
      <c r="F2278" s="11" t="s">
        <v>121</v>
      </c>
      <c r="G2278" s="11" t="s">
        <v>122</v>
      </c>
      <c r="H2278" s="2" t="s">
        <v>780</v>
      </c>
      <c r="I2278" s="12" t="s">
        <v>570</v>
      </c>
      <c r="J2278" s="8">
        <f>+Tabla1[[#This Row],[FECHA ENTRADA]]</f>
        <v>45536</v>
      </c>
      <c r="K2278" s="22">
        <v>45821</v>
      </c>
      <c r="L2278" s="13">
        <f>_xlfn.DAYS(Tabla1[[#This Row],[FECHA FIN ]],Tabla1[[#This Row],[FECHA INICIO]])</f>
        <v>285</v>
      </c>
      <c r="M2278" s="12"/>
      <c r="N2278" s="12"/>
      <c r="O2278" s="12">
        <f>(Tabla1[[#This Row],[COSTO FIJO ]]/30)*Tabla1[[#This Row],[TOTAL DIAS PROYECTO]]+(Tabla1[[#This Row],[COSTO TEMPORAL]])</f>
        <v>0</v>
      </c>
      <c r="P2278" s="12"/>
      <c r="Q2278" s="12">
        <f>+(Tabla1[[#This Row],[COSTO COCHE]]/30)*Tabla1[[#This Row],[TOTAL DIAS PROYECTO]]</f>
        <v>0</v>
      </c>
      <c r="R2278" s="12">
        <f>+Tabla1[[#This Row],[COSTO TOTAL ALOJAMIENTO]]+Tabla1[[#This Row],[COSTO TOTAL COCHE]]</f>
        <v>0</v>
      </c>
      <c r="S2278" s="2"/>
      <c r="T2278" s="2" t="s">
        <v>35</v>
      </c>
      <c r="U2278" s="14">
        <v>45536</v>
      </c>
      <c r="V2278" s="14"/>
      <c r="W2278" s="26"/>
      <c r="X2278" s="2">
        <v>20</v>
      </c>
      <c r="Y2278" s="11"/>
      <c r="Z2278" s="2" t="s">
        <v>36</v>
      </c>
      <c r="AA2278" s="13" t="s">
        <v>10335</v>
      </c>
      <c r="AB2278" s="13">
        <v>404.16500000000002</v>
      </c>
    </row>
    <row r="2279" spans="1:28" ht="15" customHeight="1">
      <c r="A2279" s="2" t="s">
        <v>9045</v>
      </c>
      <c r="B2279" s="2" t="s">
        <v>28</v>
      </c>
      <c r="C2279" s="11" t="s">
        <v>1798</v>
      </c>
      <c r="D2279" s="2" t="s">
        <v>749</v>
      </c>
      <c r="E2279" s="2" t="s">
        <v>288</v>
      </c>
      <c r="F2279" s="11" t="s">
        <v>928</v>
      </c>
      <c r="G2279" t="s">
        <v>1031</v>
      </c>
      <c r="H2279" s="2" t="s">
        <v>3675</v>
      </c>
      <c r="I2279" s="10" t="s">
        <v>753</v>
      </c>
      <c r="J2279" s="22">
        <f>+Tabla1[[#This Row],[FECHA ENTRADA]]</f>
        <v>45755</v>
      </c>
      <c r="K2279" s="8">
        <v>45835</v>
      </c>
      <c r="L2279" s="13">
        <f>_xlfn.DAYS(Tabla1[[#This Row],[FECHA FIN ]],Tabla1[[#This Row],[FECHA INICIO]])</f>
        <v>80</v>
      </c>
      <c r="M2279" s="12"/>
      <c r="N2279" s="12"/>
      <c r="O2279" s="12">
        <f>(Tabla1[[#This Row],[COSTO FIJO ]]/30)*Tabla1[[#This Row],[TOTAL DIAS PROYECTO]]+(Tabla1[[#This Row],[COSTO TEMPORAL]])</f>
        <v>0</v>
      </c>
      <c r="P2279" s="12"/>
      <c r="Q2279" s="12">
        <f>+(Tabla1[[#This Row],[COSTO COCHE]]/30)*Tabla1[[#This Row],[TOTAL DIAS PROYECTO]]</f>
        <v>0</v>
      </c>
      <c r="R2279" s="12">
        <f>+Tabla1[[#This Row],[COSTO TOTAL ALOJAMIENTO]]+Tabla1[[#This Row],[COSTO TOTAL COCHE]]</f>
        <v>0</v>
      </c>
      <c r="S2279" s="2"/>
      <c r="T2279" s="2" t="s">
        <v>44</v>
      </c>
      <c r="U2279" s="14">
        <v>45755</v>
      </c>
      <c r="V2279" s="14">
        <v>45785</v>
      </c>
      <c r="W2279" s="26"/>
      <c r="X2279" s="2"/>
      <c r="Y2279" s="11" t="s">
        <v>3822</v>
      </c>
      <c r="Z2279" s="2" t="s">
        <v>36</v>
      </c>
      <c r="AA2279" s="13" t="s">
        <v>10362</v>
      </c>
      <c r="AB2279" s="13" t="s">
        <v>10363</v>
      </c>
    </row>
    <row r="2280" spans="1:28" ht="15" customHeight="1">
      <c r="A2280" s="2" t="s">
        <v>9600</v>
      </c>
      <c r="B2280" s="2" t="s">
        <v>28</v>
      </c>
      <c r="C2280" s="227" t="s">
        <v>3823</v>
      </c>
      <c r="D2280" s="2" t="s">
        <v>30</v>
      </c>
      <c r="E2280" s="2" t="s">
        <v>127</v>
      </c>
      <c r="F2280" s="11" t="s">
        <v>276</v>
      </c>
      <c r="G2280" s="11" t="s">
        <v>277</v>
      </c>
      <c r="H2280" s="2" t="s">
        <v>278</v>
      </c>
      <c r="I2280" s="12" t="s">
        <v>279</v>
      </c>
      <c r="J2280" s="8">
        <f>+Tabla1[[#This Row],[FECHA ENTRADA]]</f>
        <v>45405</v>
      </c>
      <c r="K2280" s="22">
        <v>45821</v>
      </c>
      <c r="L2280" s="13">
        <f>_xlfn.DAYS(Tabla1[[#This Row],[FECHA FIN ]],Tabla1[[#This Row],[FECHA INICIO]])</f>
        <v>416</v>
      </c>
      <c r="M2280" s="12"/>
      <c r="N2280" s="12"/>
      <c r="O2280" s="12">
        <f>(Tabla1[[#This Row],[COSTO FIJO ]]/30)*Tabla1[[#This Row],[TOTAL DIAS PROYECTO]]+(Tabla1[[#This Row],[COSTO TEMPORAL]])</f>
        <v>0</v>
      </c>
      <c r="P2280" s="12"/>
      <c r="Q2280" s="12">
        <f>+(Tabla1[[#This Row],[COSTO COCHE]]/30)*Tabla1[[#This Row],[TOTAL DIAS PROYECTO]]</f>
        <v>0</v>
      </c>
      <c r="R2280" s="12">
        <f>+Tabla1[[#This Row],[COSTO TOTAL ALOJAMIENTO]]+Tabla1[[#This Row],[COSTO TOTAL COCHE]]</f>
        <v>0</v>
      </c>
      <c r="S2280" s="2"/>
      <c r="T2280" s="2" t="s">
        <v>35</v>
      </c>
      <c r="U2280" s="14">
        <v>45405</v>
      </c>
      <c r="V2280" s="14">
        <v>45437</v>
      </c>
      <c r="W2280" s="15"/>
      <c r="X2280" s="16">
        <v>20</v>
      </c>
      <c r="Y2280" s="18" t="s">
        <v>280</v>
      </c>
      <c r="Z2280" s="2" t="s">
        <v>36</v>
      </c>
      <c r="AA2280" s="13" t="s">
        <v>10342</v>
      </c>
      <c r="AB2280" s="13" t="s">
        <v>10343</v>
      </c>
    </row>
    <row r="2281" spans="1:28">
      <c r="A2281" s="2" t="s">
        <v>9064</v>
      </c>
      <c r="B2281" s="2" t="s">
        <v>28</v>
      </c>
      <c r="C2281" s="227" t="s">
        <v>1847</v>
      </c>
      <c r="D2281" s="2" t="s">
        <v>30</v>
      </c>
      <c r="E2281" s="2" t="s">
        <v>87</v>
      </c>
      <c r="F2281" s="11" t="s">
        <v>121</v>
      </c>
      <c r="G2281" s="11" t="s">
        <v>122</v>
      </c>
      <c r="H2281" s="2" t="s">
        <v>569</v>
      </c>
      <c r="I2281" s="12" t="s">
        <v>570</v>
      </c>
      <c r="J2281" s="8">
        <f>+Tabla1[[#This Row],[FECHA ENTRADA]]</f>
        <v>45487</v>
      </c>
      <c r="K2281" s="22">
        <v>45821</v>
      </c>
      <c r="L2281" s="13">
        <f>_xlfn.DAYS(Tabla1[[#This Row],[FECHA FIN ]],Tabla1[[#This Row],[FECHA INICIO]])</f>
        <v>334</v>
      </c>
      <c r="M2281" s="12"/>
      <c r="N2281" s="12"/>
      <c r="O2281" s="12">
        <f>(Tabla1[[#This Row],[COSTO FIJO ]]/30)*Tabla1[[#This Row],[TOTAL DIAS PROYECTO]]+(Tabla1[[#This Row],[COSTO TEMPORAL]])</f>
        <v>0</v>
      </c>
      <c r="P2281" s="12"/>
      <c r="Q2281" s="12">
        <f>+(Tabla1[[#This Row],[COSTO COCHE]]/30)*Tabla1[[#This Row],[TOTAL DIAS PROYECTO]]</f>
        <v>0</v>
      </c>
      <c r="R2281" s="12">
        <f>+Tabla1[[#This Row],[COSTO TOTAL ALOJAMIENTO]]+Tabla1[[#This Row],[COSTO TOTAL COCHE]]</f>
        <v>0</v>
      </c>
      <c r="S2281" s="2"/>
      <c r="T2281" s="2" t="s">
        <v>35</v>
      </c>
      <c r="U2281" s="14">
        <v>45487</v>
      </c>
      <c r="V2281" s="14"/>
      <c r="W2281" s="26"/>
      <c r="X2281" s="2">
        <v>20</v>
      </c>
      <c r="Y2281" s="11" t="s">
        <v>3824</v>
      </c>
      <c r="Z2281" s="2" t="s">
        <v>36</v>
      </c>
      <c r="AA2281" s="13" t="s">
        <v>10335</v>
      </c>
      <c r="AB2281" s="13">
        <v>404.16500000000002</v>
      </c>
    </row>
    <row r="2282" spans="1:28" ht="15" customHeight="1">
      <c r="A2282" s="2" t="s">
        <v>9410</v>
      </c>
      <c r="B2282" s="2" t="s">
        <v>28</v>
      </c>
      <c r="C2282" s="227" t="s">
        <v>3092</v>
      </c>
      <c r="D2282" s="2" t="s">
        <v>30</v>
      </c>
      <c r="E2282" s="2" t="s">
        <v>127</v>
      </c>
      <c r="F2282" s="11" t="s">
        <v>682</v>
      </c>
      <c r="G2282" s="11" t="s">
        <v>683</v>
      </c>
      <c r="H2282" s="2" t="s">
        <v>459</v>
      </c>
      <c r="I2282" s="12" t="s">
        <v>377</v>
      </c>
      <c r="J2282" s="8">
        <f>+Tabla1[[#This Row],[FECHA ENTRADA]]</f>
        <v>45487</v>
      </c>
      <c r="K2282" s="22">
        <v>45821</v>
      </c>
      <c r="L2282" s="13">
        <f>_xlfn.DAYS(Tabla1[[#This Row],[FECHA FIN ]],Tabla1[[#This Row],[FECHA INICIO]])</f>
        <v>334</v>
      </c>
      <c r="M2282" s="12"/>
      <c r="N2282" s="12"/>
      <c r="O2282" s="12">
        <f>(Tabla1[[#This Row],[COSTO FIJO ]]/30)*Tabla1[[#This Row],[TOTAL DIAS PROYECTO]]+(Tabla1[[#This Row],[COSTO TEMPORAL]])</f>
        <v>0</v>
      </c>
      <c r="P2282" s="12"/>
      <c r="Q2282" s="12">
        <f>+(Tabla1[[#This Row],[COSTO COCHE]]/30)*Tabla1[[#This Row],[TOTAL DIAS PROYECTO]]</f>
        <v>0</v>
      </c>
      <c r="R2282" s="12">
        <f>+Tabla1[[#This Row],[COSTO TOTAL ALOJAMIENTO]]+Tabla1[[#This Row],[COSTO TOTAL COCHE]]</f>
        <v>0</v>
      </c>
      <c r="S2282" s="2"/>
      <c r="T2282" s="2" t="s">
        <v>35</v>
      </c>
      <c r="U2282" s="14">
        <v>45487</v>
      </c>
      <c r="V2282" s="14"/>
      <c r="W2282" s="26"/>
      <c r="X2282" s="2">
        <v>20</v>
      </c>
      <c r="Y2282" s="11" t="s">
        <v>3825</v>
      </c>
      <c r="Z2282" s="2" t="s">
        <v>36</v>
      </c>
      <c r="AA2282" s="13" t="s">
        <v>10342</v>
      </c>
      <c r="AB2282" s="13" t="s">
        <v>10343</v>
      </c>
    </row>
    <row r="2283" spans="1:28" ht="15" customHeight="1">
      <c r="A2283" s="2" t="s">
        <v>9482</v>
      </c>
      <c r="B2283" s="2" t="s">
        <v>28</v>
      </c>
      <c r="C2283" s="228" t="s">
        <v>3345</v>
      </c>
      <c r="D2283" s="2" t="s">
        <v>99</v>
      </c>
      <c r="E2283" s="2" t="s">
        <v>127</v>
      </c>
      <c r="F2283" s="11" t="s">
        <v>128</v>
      </c>
      <c r="G2283" s="11" t="s">
        <v>1900</v>
      </c>
      <c r="H2283" s="2" t="s">
        <v>3817</v>
      </c>
      <c r="I2283" s="12" t="s">
        <v>3818</v>
      </c>
      <c r="J2283" s="22">
        <f>+Tabla1[[#This Row],[FECHA ENTRADA]]</f>
        <v>45783</v>
      </c>
      <c r="K2283" s="22">
        <v>45821</v>
      </c>
      <c r="L2283" s="23">
        <f>_xlfn.DAYS(Tabla1[[#This Row],[FECHA FIN ]],Tabla1[[#This Row],[FECHA INICIO]])</f>
        <v>38</v>
      </c>
      <c r="M2283" s="12"/>
      <c r="N2283" s="20">
        <v>250</v>
      </c>
      <c r="O2283" s="24">
        <f>(Tabla1[[#This Row],[COSTO FIJO ]]/30)*Tabla1[[#This Row],[TOTAL DIAS PROYECTO]]+(Tabla1[[#This Row],[COSTO TEMPORAL]])</f>
        <v>316.66666666666669</v>
      </c>
      <c r="P2283" s="12"/>
      <c r="Q2283" s="12">
        <f>+(Tabla1[[#This Row],[COSTO COCHE]]/30)*Tabla1[[#This Row],[TOTAL DIAS PROYECTO]]</f>
        <v>0</v>
      </c>
      <c r="R2283" s="12">
        <f>+Tabla1[[#This Row],[COSTO TOTAL ALOJAMIENTO]]+Tabla1[[#This Row],[COSTO TOTAL COCHE]]</f>
        <v>316.66666666666669</v>
      </c>
      <c r="S2283" s="2"/>
      <c r="T2283" s="2" t="s">
        <v>35</v>
      </c>
      <c r="U2283" s="14">
        <v>45783</v>
      </c>
      <c r="V2283" s="79"/>
      <c r="W2283" s="26"/>
      <c r="X2283" s="2">
        <v>1</v>
      </c>
      <c r="Y2283" t="s">
        <v>3826</v>
      </c>
      <c r="Z2283" s="2" t="s">
        <v>36</v>
      </c>
      <c r="AA2283" s="13" t="s">
        <v>10342</v>
      </c>
      <c r="AB2283" s="13" t="s">
        <v>10343</v>
      </c>
    </row>
    <row r="2284" spans="1:28">
      <c r="A2284" s="2" t="s">
        <v>9601</v>
      </c>
      <c r="B2284" s="2" t="s">
        <v>28</v>
      </c>
      <c r="C2284" s="227" t="s">
        <v>3827</v>
      </c>
      <c r="D2284" s="2" t="s">
        <v>30</v>
      </c>
      <c r="E2284" s="2" t="s">
        <v>213</v>
      </c>
      <c r="F2284" s="11"/>
      <c r="G2284" s="11" t="s">
        <v>558</v>
      </c>
      <c r="H2284" s="2" t="s">
        <v>559</v>
      </c>
      <c r="I2284" s="12" t="s">
        <v>560</v>
      </c>
      <c r="J2284" s="8">
        <f>+Tabla1[[#This Row],[FECHA ENTRADA]]</f>
        <v>45404</v>
      </c>
      <c r="K2284" s="22">
        <v>45821</v>
      </c>
      <c r="L2284" s="13">
        <f>_xlfn.DAYS(Tabla1[[#This Row],[FECHA FIN ]],Tabla1[[#This Row],[FECHA INICIO]])</f>
        <v>417</v>
      </c>
      <c r="M2284" s="12"/>
      <c r="N2284" s="12"/>
      <c r="O2284" s="12">
        <f>(Tabla1[[#This Row],[COSTO FIJO ]]/30)*Tabla1[[#This Row],[TOTAL DIAS PROYECTO]]+(Tabla1[[#This Row],[COSTO TEMPORAL]])</f>
        <v>0</v>
      </c>
      <c r="P2284" s="12"/>
      <c r="Q2284" s="12">
        <f>+(Tabla1[[#This Row],[COSTO COCHE]]/30)*Tabla1[[#This Row],[TOTAL DIAS PROYECTO]]</f>
        <v>0</v>
      </c>
      <c r="R2284" s="12">
        <f>+Tabla1[[#This Row],[COSTO TOTAL ALOJAMIENTO]]+Tabla1[[#This Row],[COSTO TOTAL COCHE]]</f>
        <v>0</v>
      </c>
      <c r="S2284" s="2"/>
      <c r="T2284" s="2" t="s">
        <v>35</v>
      </c>
      <c r="U2284" s="14">
        <v>45404</v>
      </c>
      <c r="V2284" s="14"/>
      <c r="W2284" s="15"/>
      <c r="X2284" s="16">
        <v>20</v>
      </c>
      <c r="Y2284" s="18" t="s">
        <v>3828</v>
      </c>
      <c r="Z2284" s="2" t="s">
        <v>36</v>
      </c>
      <c r="AA2284" s="13" t="s">
        <v>10349</v>
      </c>
      <c r="AB2284" s="13" t="s">
        <v>10350</v>
      </c>
    </row>
    <row r="2285" spans="1:28">
      <c r="A2285" s="2" t="s">
        <v>9602</v>
      </c>
      <c r="B2285" s="2" t="s">
        <v>28</v>
      </c>
      <c r="C2285" s="227" t="s">
        <v>3829</v>
      </c>
      <c r="D2285" s="2" t="s">
        <v>99</v>
      </c>
      <c r="E2285" s="2" t="s">
        <v>127</v>
      </c>
      <c r="F2285" s="11" t="s">
        <v>128</v>
      </c>
      <c r="G2285" s="11" t="s">
        <v>1900</v>
      </c>
      <c r="H2285" s="2" t="s">
        <v>3817</v>
      </c>
      <c r="I2285" s="12" t="s">
        <v>3818</v>
      </c>
      <c r="J2285" s="22">
        <f>+Tabla1[[#This Row],[FECHA ENTRADA]]</f>
        <v>45783</v>
      </c>
      <c r="K2285" s="22">
        <v>45835</v>
      </c>
      <c r="L2285" s="23">
        <f>_xlfn.DAYS(Tabla1[[#This Row],[FECHA FIN ]],Tabla1[[#This Row],[FECHA INICIO]])</f>
        <v>52</v>
      </c>
      <c r="M2285" s="12"/>
      <c r="N2285" s="12">
        <v>312.5</v>
      </c>
      <c r="O2285" s="24">
        <f>(Tabla1[[#This Row],[COSTO FIJO ]]/30)*Tabla1[[#This Row],[TOTAL DIAS PROYECTO]]+(Tabla1[[#This Row],[COSTO TEMPORAL]])</f>
        <v>541.66666666666663</v>
      </c>
      <c r="P2285" s="12"/>
      <c r="Q2285" s="12">
        <f>+(Tabla1[[#This Row],[COSTO COCHE]]/30)*Tabla1[[#This Row],[TOTAL DIAS PROYECTO]]</f>
        <v>0</v>
      </c>
      <c r="R2285" s="12">
        <f>+Tabla1[[#This Row],[COSTO TOTAL ALOJAMIENTO]]+Tabla1[[#This Row],[COSTO TOTAL COCHE]]</f>
        <v>541.66666666666663</v>
      </c>
      <c r="S2285" s="2"/>
      <c r="T2285" s="2" t="s">
        <v>35</v>
      </c>
      <c r="U2285" s="14">
        <v>45783</v>
      </c>
      <c r="V2285" s="79"/>
      <c r="W2285" s="26">
        <v>1000</v>
      </c>
      <c r="X2285" s="2">
        <v>1</v>
      </c>
      <c r="Y2285" s="11"/>
      <c r="Z2285" s="2" t="s">
        <v>36</v>
      </c>
      <c r="AA2285" s="13" t="s">
        <v>10342</v>
      </c>
      <c r="AB2285" s="13" t="s">
        <v>10343</v>
      </c>
    </row>
    <row r="2286" spans="1:28" ht="15" customHeight="1">
      <c r="A2286" s="2" t="s">
        <v>8642</v>
      </c>
      <c r="B2286" s="2" t="s">
        <v>28</v>
      </c>
      <c r="C2286" s="227" t="s">
        <v>2874</v>
      </c>
      <c r="D2286" s="2" t="s">
        <v>30</v>
      </c>
      <c r="E2286" s="2" t="s">
        <v>225</v>
      </c>
      <c r="F2286" s="11" t="s">
        <v>3112</v>
      </c>
      <c r="G2286" s="46" t="s">
        <v>3113</v>
      </c>
      <c r="H2286" s="2" t="s">
        <v>3114</v>
      </c>
      <c r="I2286" s="12" t="s">
        <v>228</v>
      </c>
      <c r="J2286" s="41">
        <f>+Tabla1[[#This Row],[FECHA ENTRADA]]</f>
        <v>45671</v>
      </c>
      <c r="K2286" s="22">
        <v>45821</v>
      </c>
      <c r="L2286" s="42">
        <f>_xlfn.DAYS(Tabla1[[#This Row],[FECHA FIN ]],Tabla1[[#This Row],[FECHA INICIO]])</f>
        <v>150</v>
      </c>
      <c r="M2286" s="12"/>
      <c r="N2286" s="12"/>
      <c r="O2286" s="28">
        <f>(Tabla1[[#This Row],[COSTO FIJO ]]/30)*Tabla1[[#This Row],[TOTAL DIAS PROYECTO]]+(Tabla1[[#This Row],[COSTO TEMPORAL]])</f>
        <v>0</v>
      </c>
      <c r="P2286" s="12"/>
      <c r="Q2286" s="12">
        <f>+(Tabla1[[#This Row],[COSTO COCHE]]/30)*Tabla1[[#This Row],[TOTAL DIAS PROYECTO]]</f>
        <v>0</v>
      </c>
      <c r="R2286" s="12">
        <f>+Tabla1[[#This Row],[COSTO TOTAL ALOJAMIENTO]]+Tabla1[[#This Row],[COSTO TOTAL COCHE]]</f>
        <v>0</v>
      </c>
      <c r="S2286" s="2"/>
      <c r="T2286" s="2" t="s">
        <v>44</v>
      </c>
      <c r="U2286" s="14">
        <v>45671</v>
      </c>
      <c r="V2286" s="43">
        <v>45673</v>
      </c>
      <c r="W2286" s="26"/>
      <c r="X2286" s="2"/>
      <c r="Y2286" s="11"/>
      <c r="Z2286" s="2" t="s">
        <v>36</v>
      </c>
      <c r="AA2286" s="13" t="s">
        <v>10353</v>
      </c>
      <c r="AB2286" s="13" t="s">
        <v>10354</v>
      </c>
    </row>
    <row r="2287" spans="1:28" ht="15" customHeight="1">
      <c r="A2287" s="2" t="s">
        <v>9603</v>
      </c>
      <c r="B2287" s="2" t="s">
        <v>28</v>
      </c>
      <c r="C2287" s="229" t="s">
        <v>3830</v>
      </c>
      <c r="D2287" s="2" t="s">
        <v>30</v>
      </c>
      <c r="E2287" s="2" t="s">
        <v>225</v>
      </c>
      <c r="F2287" s="11" t="s">
        <v>3112</v>
      </c>
      <c r="G2287" s="46" t="s">
        <v>3113</v>
      </c>
      <c r="H2287" s="2" t="s">
        <v>3114</v>
      </c>
      <c r="I2287" s="12" t="s">
        <v>228</v>
      </c>
      <c r="J2287" s="41">
        <f>+Tabla1[[#This Row],[FECHA ENTRADA]]</f>
        <v>45671</v>
      </c>
      <c r="K2287" s="22">
        <v>45821</v>
      </c>
      <c r="L2287" s="42">
        <f>_xlfn.DAYS(Tabla1[[#This Row],[FECHA FIN ]],Tabla1[[#This Row],[FECHA INICIO]])</f>
        <v>150</v>
      </c>
      <c r="M2287" s="12"/>
      <c r="N2287" s="12">
        <f>1811.6/17</f>
        <v>106.56470588235294</v>
      </c>
      <c r="O2287" s="28">
        <f>(Tabla1[[#This Row],[COSTO FIJO ]]/30)*Tabla1[[#This Row],[TOTAL DIAS PROYECTO]]+(Tabla1[[#This Row],[COSTO TEMPORAL]])</f>
        <v>532.82352941176475</v>
      </c>
      <c r="P2287" s="12"/>
      <c r="Q2287" s="12">
        <f>+(Tabla1[[#This Row],[COSTO COCHE]]/30)*Tabla1[[#This Row],[TOTAL DIAS PROYECTO]]</f>
        <v>0</v>
      </c>
      <c r="R2287" s="12">
        <f>+Tabla1[[#This Row],[COSTO TOTAL ALOJAMIENTO]]+Tabla1[[#This Row],[COSTO TOTAL COCHE]]</f>
        <v>532.82352941176475</v>
      </c>
      <c r="S2287" s="2"/>
      <c r="T2287" s="2" t="s">
        <v>44</v>
      </c>
      <c r="U2287" s="14">
        <v>45671</v>
      </c>
      <c r="V2287" s="43">
        <v>45674</v>
      </c>
      <c r="W2287" s="26"/>
      <c r="X2287" s="2"/>
      <c r="Y2287" s="11" t="s">
        <v>3831</v>
      </c>
      <c r="Z2287" s="2" t="s">
        <v>36</v>
      </c>
      <c r="AA2287" s="13" t="s">
        <v>10353</v>
      </c>
      <c r="AB2287" s="13" t="s">
        <v>10354</v>
      </c>
    </row>
    <row r="2288" spans="1:28" ht="15" customHeight="1">
      <c r="A2288" s="2" t="s">
        <v>9373</v>
      </c>
      <c r="B2288" s="2" t="s">
        <v>28</v>
      </c>
      <c r="C2288" s="229" t="s">
        <v>2971</v>
      </c>
      <c r="D2288" s="2" t="s">
        <v>30</v>
      </c>
      <c r="E2288" s="2" t="s">
        <v>225</v>
      </c>
      <c r="F2288" s="11" t="s">
        <v>3112</v>
      </c>
      <c r="G2288" s="46" t="s">
        <v>3113</v>
      </c>
      <c r="H2288" s="2" t="s">
        <v>3114</v>
      </c>
      <c r="I2288" s="12" t="s">
        <v>228</v>
      </c>
      <c r="J2288" s="41">
        <f>+Tabla1[[#This Row],[FECHA ENTRADA]]</f>
        <v>45671</v>
      </c>
      <c r="K2288" s="22">
        <v>45821</v>
      </c>
      <c r="L2288" s="42">
        <f>_xlfn.DAYS(Tabla1[[#This Row],[FECHA FIN ]],Tabla1[[#This Row],[FECHA INICIO]])</f>
        <v>150</v>
      </c>
      <c r="M2288" s="12"/>
      <c r="N2288" s="24"/>
      <c r="O2288" s="28">
        <f>(Tabla1[[#This Row],[COSTO FIJO ]]/30)*Tabla1[[#This Row],[TOTAL DIAS PROYECTO]]+(Tabla1[[#This Row],[COSTO TEMPORAL]])</f>
        <v>0</v>
      </c>
      <c r="P2288" s="12"/>
      <c r="Q2288" s="12">
        <f>+(Tabla1[[#This Row],[COSTO COCHE]]/30)*Tabla1[[#This Row],[TOTAL DIAS PROYECTO]]</f>
        <v>0</v>
      </c>
      <c r="R2288" s="12">
        <f>+Tabla1[[#This Row],[COSTO TOTAL ALOJAMIENTO]]+Tabla1[[#This Row],[COSTO TOTAL COCHE]]</f>
        <v>0</v>
      </c>
      <c r="S2288" s="2"/>
      <c r="T2288" s="2" t="s">
        <v>44</v>
      </c>
      <c r="U2288" s="14">
        <v>45671</v>
      </c>
      <c r="V2288" s="43">
        <v>45674</v>
      </c>
      <c r="W2288" s="26"/>
      <c r="X2288" s="2"/>
      <c r="Y2288" s="11" t="s">
        <v>3831</v>
      </c>
      <c r="Z2288" s="2" t="s">
        <v>36</v>
      </c>
      <c r="AA2288" s="13" t="s">
        <v>10353</v>
      </c>
      <c r="AB2288" s="13" t="s">
        <v>10354</v>
      </c>
    </row>
    <row r="2289" spans="1:28" ht="15" customHeight="1">
      <c r="A2289" s="2" t="s">
        <v>9604</v>
      </c>
      <c r="B2289" s="2" t="s">
        <v>28</v>
      </c>
      <c r="C2289" s="227" t="s">
        <v>3832</v>
      </c>
      <c r="D2289" s="2" t="s">
        <v>30</v>
      </c>
      <c r="E2289" s="2" t="s">
        <v>213</v>
      </c>
      <c r="F2289" s="11" t="s">
        <v>1728</v>
      </c>
      <c r="G2289" s="11" t="s">
        <v>1729</v>
      </c>
      <c r="H2289" s="2" t="s">
        <v>559</v>
      </c>
      <c r="I2289" s="12" t="s">
        <v>560</v>
      </c>
      <c r="J2289" s="8">
        <f>+Tabla1[[#This Row],[FECHA ENTRADA]]</f>
        <v>45415</v>
      </c>
      <c r="K2289" s="22">
        <v>45821</v>
      </c>
      <c r="L2289" s="13">
        <f>_xlfn.DAYS(Tabla1[[#This Row],[FECHA FIN ]],Tabla1[[#This Row],[FECHA INICIO]])</f>
        <v>406</v>
      </c>
      <c r="M2289" s="12"/>
      <c r="N2289" s="12"/>
      <c r="O2289" s="12">
        <f>(Tabla1[[#This Row],[COSTO FIJO ]]/30)*Tabla1[[#This Row],[TOTAL DIAS PROYECTO]]+(Tabla1[[#This Row],[COSTO TEMPORAL]])</f>
        <v>0</v>
      </c>
      <c r="P2289" s="12"/>
      <c r="Q2289" s="12">
        <f>+(Tabla1[[#This Row],[COSTO COCHE]]/30)*Tabla1[[#This Row],[TOTAL DIAS PROYECTO]]</f>
        <v>0</v>
      </c>
      <c r="R2289" s="12">
        <f>+Tabla1[[#This Row],[COSTO TOTAL ALOJAMIENTO]]+Tabla1[[#This Row],[COSTO TOTAL COCHE]]</f>
        <v>0</v>
      </c>
      <c r="S2289" s="2"/>
      <c r="T2289" s="2" t="s">
        <v>35</v>
      </c>
      <c r="U2289" s="14">
        <v>45415</v>
      </c>
      <c r="V2289" s="14"/>
      <c r="W2289" s="15">
        <v>1300</v>
      </c>
      <c r="X2289" s="16">
        <v>20</v>
      </c>
      <c r="Y2289" s="11" t="s">
        <v>3833</v>
      </c>
      <c r="Z2289" s="2" t="s">
        <v>36</v>
      </c>
      <c r="AA2289" s="13" t="s">
        <v>10349</v>
      </c>
      <c r="AB2289" s="13" t="s">
        <v>10350</v>
      </c>
    </row>
    <row r="2290" spans="1:28" ht="15" customHeight="1">
      <c r="A2290" s="2" t="s">
        <v>9164</v>
      </c>
      <c r="B2290" s="2" t="s">
        <v>28</v>
      </c>
      <c r="C2290" s="227" t="s">
        <v>2288</v>
      </c>
      <c r="D2290" s="2" t="s">
        <v>30</v>
      </c>
      <c r="E2290" s="2" t="s">
        <v>301</v>
      </c>
      <c r="F2290" s="11"/>
      <c r="G2290" s="11" t="s">
        <v>947</v>
      </c>
      <c r="H2290" s="2" t="s">
        <v>569</v>
      </c>
      <c r="I2290" s="12" t="s">
        <v>570</v>
      </c>
      <c r="J2290" s="8">
        <f>+Tabla1[[#This Row],[FECHA ENTRADA]]</f>
        <v>45487</v>
      </c>
      <c r="K2290" s="22">
        <v>45821</v>
      </c>
      <c r="L2290" s="13">
        <f>_xlfn.DAYS(Tabla1[[#This Row],[FECHA FIN ]],Tabla1[[#This Row],[FECHA INICIO]])</f>
        <v>334</v>
      </c>
      <c r="M2290" s="12"/>
      <c r="N2290" s="12"/>
      <c r="O2290" s="12">
        <f>(Tabla1[[#This Row],[COSTO FIJO ]]/30)*Tabla1[[#This Row],[TOTAL DIAS PROYECTO]]+(Tabla1[[#This Row],[COSTO TEMPORAL]])</f>
        <v>0</v>
      </c>
      <c r="P2290" s="12"/>
      <c r="Q2290" s="12">
        <f>+(Tabla1[[#This Row],[COSTO COCHE]]/30)*Tabla1[[#This Row],[TOTAL DIAS PROYECTO]]</f>
        <v>0</v>
      </c>
      <c r="R2290" s="12">
        <f>+Tabla1[[#This Row],[COSTO TOTAL ALOJAMIENTO]]+Tabla1[[#This Row],[COSTO TOTAL COCHE]]</f>
        <v>0</v>
      </c>
      <c r="S2290" s="2"/>
      <c r="T2290" s="2" t="s">
        <v>35</v>
      </c>
      <c r="U2290" s="14">
        <v>45487</v>
      </c>
      <c r="V2290" s="14"/>
      <c r="W2290" s="26"/>
      <c r="X2290" s="2">
        <v>20</v>
      </c>
      <c r="Y2290" s="18" t="s">
        <v>3834</v>
      </c>
      <c r="Z2290" s="2" t="s">
        <v>36</v>
      </c>
      <c r="AA2290" s="13" t="s">
        <v>10364</v>
      </c>
      <c r="AB2290" s="13" t="s">
        <v>10365</v>
      </c>
    </row>
    <row r="2291" spans="1:28" ht="15" customHeight="1">
      <c r="A2291" s="2" t="s">
        <v>9122</v>
      </c>
      <c r="B2291" s="2" t="s">
        <v>28</v>
      </c>
      <c r="C2291" s="227" t="s">
        <v>2093</v>
      </c>
      <c r="D2291" s="2" t="s">
        <v>30</v>
      </c>
      <c r="E2291" s="2" t="s">
        <v>213</v>
      </c>
      <c r="F2291" s="11" t="s">
        <v>557</v>
      </c>
      <c r="G2291" s="11" t="s">
        <v>558</v>
      </c>
      <c r="H2291" s="2" t="s">
        <v>3835</v>
      </c>
      <c r="I2291" s="2" t="s">
        <v>52</v>
      </c>
      <c r="J2291" s="22">
        <f>+Tabla1[[#This Row],[FECHA ENTRADA]]</f>
        <v>45685</v>
      </c>
      <c r="K2291" s="22">
        <v>45692</v>
      </c>
      <c r="L2291" s="23">
        <f>_xlfn.DAYS(Tabla1[[#This Row],[FECHA FIN ]],Tabla1[[#This Row],[FECHA INICIO]])</f>
        <v>7</v>
      </c>
      <c r="M2291" s="12"/>
      <c r="N2291" s="12"/>
      <c r="O2291" s="24">
        <f>(Tabla1[[#This Row],[COSTO FIJO ]]/30)*Tabla1[[#This Row],[TOTAL DIAS PROYECTO]]+(Tabla1[[#This Row],[COSTO TEMPORAL]])</f>
        <v>0</v>
      </c>
      <c r="P2291" s="12"/>
      <c r="Q2291" s="12">
        <f>+(Tabla1[[#This Row],[COSTO COCHE]]/30)*Tabla1[[#This Row],[TOTAL DIAS PROYECTO]]</f>
        <v>0</v>
      </c>
      <c r="R2291" s="12">
        <f>+Tabla1[[#This Row],[COSTO TOTAL ALOJAMIENTO]]+Tabla1[[#This Row],[COSTO TOTAL COCHE]]</f>
        <v>0</v>
      </c>
      <c r="S2291" s="2"/>
      <c r="T2291" s="2" t="s">
        <v>35</v>
      </c>
      <c r="U2291" s="14">
        <v>45685</v>
      </c>
      <c r="V2291" s="79"/>
      <c r="W2291" s="26">
        <v>1300</v>
      </c>
      <c r="X2291" s="2">
        <v>20</v>
      </c>
      <c r="Y2291" s="11"/>
      <c r="Z2291" s="2" t="s">
        <v>36</v>
      </c>
      <c r="AA2291" s="13" t="s">
        <v>10349</v>
      </c>
      <c r="AB2291" s="13" t="s">
        <v>10350</v>
      </c>
    </row>
    <row r="2292" spans="1:28" ht="15" customHeight="1">
      <c r="A2292" s="2" t="s">
        <v>9267</v>
      </c>
      <c r="B2292" s="2" t="s">
        <v>28</v>
      </c>
      <c r="C2292" s="227" t="s">
        <v>2651</v>
      </c>
      <c r="D2292" s="2" t="s">
        <v>30</v>
      </c>
      <c r="E2292" s="2" t="s">
        <v>213</v>
      </c>
      <c r="F2292" s="11" t="s">
        <v>1728</v>
      </c>
      <c r="G2292" s="11" t="s">
        <v>1729</v>
      </c>
      <c r="H2292" s="2" t="s">
        <v>3836</v>
      </c>
      <c r="I2292" s="12" t="s">
        <v>560</v>
      </c>
      <c r="J2292" s="8">
        <f>+Tabla1[[#This Row],[FECHA ENTRADA]]</f>
        <v>45433</v>
      </c>
      <c r="K2292" s="22">
        <v>45821</v>
      </c>
      <c r="L2292" s="13">
        <f>_xlfn.DAYS(Tabla1[[#This Row],[FECHA FIN ]],Tabla1[[#This Row],[FECHA INICIO]])</f>
        <v>388</v>
      </c>
      <c r="M2292" s="12"/>
      <c r="N2292" s="12"/>
      <c r="O2292" s="12">
        <f>(Tabla1[[#This Row],[COSTO FIJO ]]/30)*Tabla1[[#This Row],[TOTAL DIAS PROYECTO]]+(Tabla1[[#This Row],[COSTO TEMPORAL]])</f>
        <v>0</v>
      </c>
      <c r="P2292" s="12"/>
      <c r="Q2292" s="12">
        <f>+(Tabla1[[#This Row],[COSTO COCHE]]/30)*Tabla1[[#This Row],[TOTAL DIAS PROYECTO]]</f>
        <v>0</v>
      </c>
      <c r="R2292" s="12">
        <f>+Tabla1[[#This Row],[COSTO TOTAL ALOJAMIENTO]]+Tabla1[[#This Row],[COSTO TOTAL COCHE]]</f>
        <v>0</v>
      </c>
      <c r="S2292" s="2"/>
      <c r="T2292" s="2" t="s">
        <v>35</v>
      </c>
      <c r="U2292" s="14">
        <v>45433</v>
      </c>
      <c r="V2292" s="14"/>
      <c r="W2292" s="26"/>
      <c r="X2292" s="2">
        <v>20</v>
      </c>
      <c r="Y2292" s="31"/>
      <c r="Z2292" s="2" t="s">
        <v>36</v>
      </c>
      <c r="AA2292" s="13" t="s">
        <v>10349</v>
      </c>
      <c r="AB2292" s="13" t="s">
        <v>10350</v>
      </c>
    </row>
    <row r="2293" spans="1:28" ht="15" customHeight="1">
      <c r="A2293" s="2" t="s">
        <v>8642</v>
      </c>
      <c r="B2293" s="2" t="s">
        <v>368</v>
      </c>
      <c r="C2293" s="227" t="s">
        <v>3548</v>
      </c>
      <c r="D2293" s="2" t="s">
        <v>99</v>
      </c>
      <c r="E2293" s="2" t="s">
        <v>422</v>
      </c>
      <c r="F2293" s="11" t="s">
        <v>1983</v>
      </c>
      <c r="G2293" s="11" t="s">
        <v>2067</v>
      </c>
      <c r="H2293" s="2" t="s">
        <v>3540</v>
      </c>
      <c r="I2293" s="12" t="s">
        <v>1435</v>
      </c>
      <c r="J2293" s="22">
        <f>+Tabla1[[#This Row],[FECHA ENTRADA]]</f>
        <v>45805</v>
      </c>
      <c r="K2293" s="22">
        <v>45812</v>
      </c>
      <c r="L2293" s="23">
        <f>_xlfn.DAYS(Tabla1[[#This Row],[FECHA FIN ]],Tabla1[[#This Row],[FECHA INICIO]])</f>
        <v>7</v>
      </c>
      <c r="M2293" s="12"/>
      <c r="N2293" s="12"/>
      <c r="O2293" s="24">
        <f>(Tabla1[[#This Row],[COSTO FIJO ]]/30)*Tabla1[[#This Row],[TOTAL DIAS PROYECTO]]+(Tabla1[[#This Row],[COSTO TEMPORAL]])</f>
        <v>0</v>
      </c>
      <c r="P2293" s="12"/>
      <c r="Q2293" s="12">
        <f>+(Tabla1[[#This Row],[COSTO COCHE]]/30)*Tabla1[[#This Row],[TOTAL DIAS PROYECTO]]</f>
        <v>0</v>
      </c>
      <c r="R2293" s="12">
        <f>+Tabla1[[#This Row],[COSTO TOTAL ALOJAMIENTO]]+Tabla1[[#This Row],[COSTO TOTAL COCHE]]</f>
        <v>0</v>
      </c>
      <c r="S2293" s="2"/>
      <c r="T2293" s="14" t="s">
        <v>44</v>
      </c>
      <c r="U2293" s="22">
        <v>45805</v>
      </c>
      <c r="V2293" s="79">
        <v>45812</v>
      </c>
      <c r="W2293" s="2"/>
      <c r="X2293" s="2"/>
      <c r="Y2293" s="11" t="s">
        <v>3626</v>
      </c>
      <c r="Z2293" s="2" t="s">
        <v>36</v>
      </c>
      <c r="AA2293" s="13">
        <v>-326.69799999999998</v>
      </c>
      <c r="AB2293" s="13" t="s">
        <v>10373</v>
      </c>
    </row>
    <row r="2294" spans="1:28" ht="15" customHeight="1">
      <c r="A2294" s="2" t="s">
        <v>8706</v>
      </c>
      <c r="B2294" s="2" t="s">
        <v>28</v>
      </c>
      <c r="C2294" s="227" t="s">
        <v>379</v>
      </c>
      <c r="D2294" s="2" t="s">
        <v>30</v>
      </c>
      <c r="E2294" s="2" t="s">
        <v>1719</v>
      </c>
      <c r="F2294" s="11" t="s">
        <v>3837</v>
      </c>
      <c r="G2294" s="11"/>
      <c r="H2294" s="2" t="s">
        <v>709</v>
      </c>
      <c r="I2294" s="12" t="s">
        <v>152</v>
      </c>
      <c r="J2294" s="8">
        <f>+Tabla1[[#This Row],[FECHA ENTRADA]]</f>
        <v>45536</v>
      </c>
      <c r="K2294" s="22">
        <v>45821</v>
      </c>
      <c r="L2294" s="13">
        <f>_xlfn.DAYS(Tabla1[[#This Row],[FECHA FIN ]],Tabla1[[#This Row],[FECHA INICIO]])</f>
        <v>285</v>
      </c>
      <c r="M2294" s="12"/>
      <c r="N2294" s="12"/>
      <c r="O2294" s="12">
        <f>(Tabla1[[#This Row],[COSTO FIJO ]]/30)*Tabla1[[#This Row],[TOTAL DIAS PROYECTO]]+(Tabla1[[#This Row],[COSTO TEMPORAL]])</f>
        <v>0</v>
      </c>
      <c r="P2294" s="12"/>
      <c r="Q2294" s="12">
        <f>+(Tabla1[[#This Row],[COSTO COCHE]]/30)*Tabla1[[#This Row],[TOTAL DIAS PROYECTO]]</f>
        <v>0</v>
      </c>
      <c r="R2294" s="12">
        <f>+Tabla1[[#This Row],[COSTO TOTAL ALOJAMIENTO]]+Tabla1[[#This Row],[COSTO TOTAL COCHE]]</f>
        <v>0</v>
      </c>
      <c r="S2294" s="2"/>
      <c r="T2294" s="2" t="s">
        <v>44</v>
      </c>
      <c r="U2294" s="14">
        <v>45536</v>
      </c>
      <c r="V2294" s="14"/>
      <c r="W2294" s="26"/>
      <c r="X2294" s="2"/>
      <c r="Y2294" s="11" t="s">
        <v>3838</v>
      </c>
      <c r="Z2294" s="2" t="s">
        <v>36</v>
      </c>
      <c r="AA2294" s="13" t="s">
        <v>10427</v>
      </c>
      <c r="AB2294" s="13">
        <v>4260003</v>
      </c>
    </row>
    <row r="2295" spans="1:28" ht="15" customHeight="1">
      <c r="A2295" s="2" t="s">
        <v>9200</v>
      </c>
      <c r="B2295" s="2" t="s">
        <v>368</v>
      </c>
      <c r="C2295" s="11" t="s">
        <v>2415</v>
      </c>
      <c r="D2295" s="2" t="s">
        <v>30</v>
      </c>
      <c r="E2295" s="2" t="s">
        <v>253</v>
      </c>
      <c r="F2295" s="11" t="s">
        <v>1261</v>
      </c>
      <c r="G2295" s="11" t="s">
        <v>772</v>
      </c>
      <c r="H2295" s="2" t="s">
        <v>1575</v>
      </c>
      <c r="I2295" s="12" t="s">
        <v>1576</v>
      </c>
      <c r="J2295" s="22">
        <f>+Tabla1[[#This Row],[FECHA ENTRADA]]</f>
        <v>45698</v>
      </c>
      <c r="K2295" s="22">
        <v>45821</v>
      </c>
      <c r="L2295" s="23">
        <f>_xlfn.DAYS(Tabla1[[#This Row],[FECHA FIN ]],Tabla1[[#This Row],[FECHA INICIO]])</f>
        <v>123</v>
      </c>
      <c r="M2295" s="12"/>
      <c r="N2295" s="12"/>
      <c r="O2295" s="24">
        <f>(Tabla1[[#This Row],[COSTO FIJO ]]/30)*Tabla1[[#This Row],[TOTAL DIAS PROYECTO]]+(Tabla1[[#This Row],[COSTO TEMPORAL]])</f>
        <v>0</v>
      </c>
      <c r="P2295" s="12"/>
      <c r="Q2295" s="12">
        <f>+(Tabla1[[#This Row],[COSTO COCHE]]/30)*Tabla1[[#This Row],[TOTAL DIAS PROYECTO]]</f>
        <v>0</v>
      </c>
      <c r="R2295" s="12">
        <f>+Tabla1[[#This Row],[COSTO TOTAL ALOJAMIENTO]]+Tabla1[[#This Row],[COSTO TOTAL COCHE]]</f>
        <v>0</v>
      </c>
      <c r="S2295" s="2"/>
      <c r="T2295" s="2" t="s">
        <v>44</v>
      </c>
      <c r="U2295" s="14">
        <v>45698</v>
      </c>
      <c r="V2295" s="79"/>
      <c r="W2295" s="26"/>
      <c r="X2295" s="2">
        <v>5</v>
      </c>
      <c r="Y2295" s="11"/>
      <c r="Z2295" s="2" t="s">
        <v>36</v>
      </c>
      <c r="AA2295" s="13" t="s">
        <v>10357</v>
      </c>
      <c r="AB2295" s="13" t="s">
        <v>10358</v>
      </c>
    </row>
    <row r="2296" spans="1:28" ht="15" customHeight="1">
      <c r="A2296" s="2" t="s">
        <v>9298</v>
      </c>
      <c r="B2296" s="2" t="s">
        <v>28</v>
      </c>
      <c r="C2296" s="104" t="s">
        <v>2737</v>
      </c>
      <c r="D2296" s="2" t="s">
        <v>30</v>
      </c>
      <c r="E2296" s="2" t="s">
        <v>1719</v>
      </c>
      <c r="F2296" s="11" t="s">
        <v>3837</v>
      </c>
      <c r="G2296" s="11"/>
      <c r="H2296" s="2" t="s">
        <v>709</v>
      </c>
      <c r="I2296" s="12" t="s">
        <v>152</v>
      </c>
      <c r="J2296" s="8">
        <f>+Tabla1[[#This Row],[FECHA ENTRADA]]</f>
        <v>45536</v>
      </c>
      <c r="K2296" s="22">
        <v>45821</v>
      </c>
      <c r="L2296" s="13">
        <f>_xlfn.DAYS(Tabla1[[#This Row],[FECHA FIN ]],Tabla1[[#This Row],[FECHA INICIO]])</f>
        <v>285</v>
      </c>
      <c r="M2296" s="12"/>
      <c r="N2296" s="12"/>
      <c r="O2296" s="12">
        <f>(Tabla1[[#This Row],[COSTO FIJO ]]/30)*Tabla1[[#This Row],[TOTAL DIAS PROYECTO]]+(Tabla1[[#This Row],[COSTO TEMPORAL]])</f>
        <v>0</v>
      </c>
      <c r="P2296" s="12"/>
      <c r="Q2296" s="12">
        <f>+(Tabla1[[#This Row],[COSTO COCHE]]/30)*Tabla1[[#This Row],[TOTAL DIAS PROYECTO]]</f>
        <v>0</v>
      </c>
      <c r="R2296" s="12">
        <f>+Tabla1[[#This Row],[COSTO TOTAL ALOJAMIENTO]]+Tabla1[[#This Row],[COSTO TOTAL COCHE]]</f>
        <v>0</v>
      </c>
      <c r="S2296" s="2"/>
      <c r="T2296" s="2" t="s">
        <v>44</v>
      </c>
      <c r="U2296" s="14">
        <v>45536</v>
      </c>
      <c r="V2296" s="14"/>
      <c r="W2296" s="26"/>
      <c r="X2296" s="2"/>
      <c r="Y2296" s="11" t="s">
        <v>3838</v>
      </c>
      <c r="Z2296" s="2" t="s">
        <v>36</v>
      </c>
      <c r="AA2296" s="13" t="s">
        <v>10427</v>
      </c>
      <c r="AB2296" s="13">
        <v>4260003</v>
      </c>
    </row>
    <row r="2297" spans="1:28" ht="15" customHeight="1">
      <c r="A2297" s="2" t="s">
        <v>8676</v>
      </c>
      <c r="B2297" s="2" t="s">
        <v>28</v>
      </c>
      <c r="C2297" s="104" t="s">
        <v>244</v>
      </c>
      <c r="D2297" s="2" t="s">
        <v>749</v>
      </c>
      <c r="E2297" s="2" t="s">
        <v>288</v>
      </c>
      <c r="F2297" s="11" t="s">
        <v>928</v>
      </c>
      <c r="G2297" t="s">
        <v>1031</v>
      </c>
      <c r="H2297" s="2" t="s">
        <v>3675</v>
      </c>
      <c r="I2297" s="10" t="s">
        <v>753</v>
      </c>
      <c r="J2297" s="22">
        <f>+Tabla1[[#This Row],[FECHA ENTRADA]]</f>
        <v>45755</v>
      </c>
      <c r="K2297" s="8">
        <v>45877</v>
      </c>
      <c r="L2297" s="13">
        <f>_xlfn.DAYS(Tabla1[[#This Row],[FECHA FIN ]],Tabla1[[#This Row],[FECHA INICIO]])</f>
        <v>122</v>
      </c>
      <c r="M2297" s="12"/>
      <c r="N2297" s="12">
        <v>730</v>
      </c>
      <c r="O2297" s="12">
        <f>(Tabla1[[#This Row],[COSTO FIJO ]]/30)*Tabla1[[#This Row],[TOTAL DIAS PROYECTO]]+(Tabla1[[#This Row],[COSTO TEMPORAL]])</f>
        <v>2968.6666666666665</v>
      </c>
      <c r="P2297" s="12"/>
      <c r="Q2297" s="12">
        <f>+(Tabla1[[#This Row],[COSTO COCHE]]/30)*Tabla1[[#This Row],[TOTAL DIAS PROYECTO]]</f>
        <v>0</v>
      </c>
      <c r="R2297" s="12">
        <f>+Tabla1[[#This Row],[COSTO TOTAL ALOJAMIENTO]]+Tabla1[[#This Row],[COSTO TOTAL COCHE]]</f>
        <v>2968.6666666666665</v>
      </c>
      <c r="S2297" s="2"/>
      <c r="T2297" s="2" t="s">
        <v>44</v>
      </c>
      <c r="U2297" s="14">
        <v>45755</v>
      </c>
      <c r="V2297" s="14">
        <v>45785</v>
      </c>
      <c r="W2297" s="26"/>
      <c r="X2297" s="2"/>
      <c r="Y2297" s="11" t="s">
        <v>3839</v>
      </c>
      <c r="Z2297" s="2" t="s">
        <v>36</v>
      </c>
      <c r="AA2297" s="13" t="s">
        <v>10362</v>
      </c>
      <c r="AB2297" s="13" t="s">
        <v>10363</v>
      </c>
    </row>
    <row r="2298" spans="1:28" ht="15" customHeight="1">
      <c r="A2298" s="2" t="s">
        <v>9594</v>
      </c>
      <c r="B2298" s="30" t="s">
        <v>368</v>
      </c>
      <c r="C2298" s="227" t="s">
        <v>3796</v>
      </c>
      <c r="D2298" s="2" t="s">
        <v>30</v>
      </c>
      <c r="E2298" s="2" t="s">
        <v>31</v>
      </c>
      <c r="F2298" s="11" t="s">
        <v>3840</v>
      </c>
      <c r="G2298" s="11" t="s">
        <v>3841</v>
      </c>
      <c r="H2298" s="2" t="s">
        <v>3842</v>
      </c>
      <c r="I2298" s="12" t="s">
        <v>454</v>
      </c>
      <c r="J2298" s="8">
        <f>+Tabla1[[#This Row],[FECHA ENTRADA]]</f>
        <v>45490</v>
      </c>
      <c r="K2298" s="22">
        <v>45821</v>
      </c>
      <c r="L2298" s="13">
        <f>_xlfn.DAYS(Tabla1[[#This Row],[FECHA FIN ]],Tabla1[[#This Row],[FECHA INICIO]])</f>
        <v>331</v>
      </c>
      <c r="M2298" s="12"/>
      <c r="N2298" s="12"/>
      <c r="O2298" s="12">
        <f>(Tabla1[[#This Row],[COSTO FIJO ]]/30)*Tabla1[[#This Row],[TOTAL DIAS PROYECTO]]+(Tabla1[[#This Row],[COSTO TEMPORAL]])</f>
        <v>0</v>
      </c>
      <c r="P2298" s="12"/>
      <c r="Q2298" s="12">
        <f>+(Tabla1[[#This Row],[COSTO COCHE]]/30)*Tabla1[[#This Row],[TOTAL DIAS PROYECTO]]</f>
        <v>0</v>
      </c>
      <c r="R2298" s="12">
        <f>+Tabla1[[#This Row],[COSTO TOTAL ALOJAMIENTO]]+Tabla1[[#This Row],[COSTO TOTAL COCHE]]</f>
        <v>0</v>
      </c>
      <c r="S2298" s="2"/>
      <c r="T2298" s="2" t="s">
        <v>44</v>
      </c>
      <c r="U2298" s="14">
        <v>45490</v>
      </c>
      <c r="V2298" s="14"/>
      <c r="W2298" s="26"/>
      <c r="X2298" s="2"/>
      <c r="Y2298" s="18">
        <v>1</v>
      </c>
      <c r="Z2298" s="2" t="s">
        <v>36</v>
      </c>
      <c r="AA2298" s="13" t="s">
        <v>10323</v>
      </c>
      <c r="AB2298" s="13" t="s">
        <v>10324</v>
      </c>
    </row>
    <row r="2299" spans="1:28" ht="15" customHeight="1">
      <c r="A2299" s="2" t="s">
        <v>9605</v>
      </c>
      <c r="B2299" s="2" t="s">
        <v>28</v>
      </c>
      <c r="C2299" s="227" t="s">
        <v>3843</v>
      </c>
      <c r="D2299" s="2" t="s">
        <v>99</v>
      </c>
      <c r="E2299" s="2" t="s">
        <v>359</v>
      </c>
      <c r="F2299" s="11" t="s">
        <v>494</v>
      </c>
      <c r="G2299" s="49" t="s">
        <v>495</v>
      </c>
      <c r="H2299" s="2" t="s">
        <v>3844</v>
      </c>
      <c r="I2299" s="12" t="s">
        <v>96</v>
      </c>
      <c r="J2299" s="22">
        <f>+Tabla1[[#This Row],[FECHA ENTRADA]]</f>
        <v>45810</v>
      </c>
      <c r="K2299" s="41">
        <v>45914</v>
      </c>
      <c r="L2299" s="23">
        <f>_xlfn.DAYS(Tabla1[[#This Row],[FECHA FIN ]],Tabla1[[#This Row],[FECHA INICIO]])</f>
        <v>104</v>
      </c>
      <c r="M2299" s="12"/>
      <c r="N2299" s="12">
        <v>141.66666666666666</v>
      </c>
      <c r="O2299" s="24">
        <f>(Tabla1[[#This Row],[COSTO FIJO ]]/30)*Tabla1[[#This Row],[TOTAL DIAS PROYECTO]]+(Tabla1[[#This Row],[COSTO TEMPORAL]])</f>
        <v>491.11111111111114</v>
      </c>
      <c r="P2299" s="12"/>
      <c r="Q2299" s="12">
        <f>+(Tabla1[[#This Row],[COSTO COCHE]]/30)*Tabla1[[#This Row],[TOTAL DIAS PROYECTO]]</f>
        <v>0</v>
      </c>
      <c r="R2299" s="12">
        <f>+Tabla1[[#This Row],[COSTO TOTAL ALOJAMIENTO]]+Tabla1[[#This Row],[COSTO TOTAL COCHE]]</f>
        <v>491.11111111111114</v>
      </c>
      <c r="S2299" s="2"/>
      <c r="T2299" s="2" t="s">
        <v>35</v>
      </c>
      <c r="U2299" s="14">
        <v>45810</v>
      </c>
      <c r="V2299" s="25"/>
      <c r="W2299" s="26"/>
      <c r="X2299" s="2">
        <v>1</v>
      </c>
      <c r="Y2299" s="11" t="s">
        <v>3845</v>
      </c>
      <c r="Z2299" s="2" t="s">
        <v>36</v>
      </c>
      <c r="AA2299" s="13" t="s">
        <v>10367</v>
      </c>
      <c r="AB2299" s="13">
        <v>3899424</v>
      </c>
    </row>
    <row r="2300" spans="1:28" ht="15" customHeight="1">
      <c r="A2300" s="2" t="s">
        <v>9606</v>
      </c>
      <c r="B2300" s="2" t="s">
        <v>368</v>
      </c>
      <c r="C2300" s="104" t="s">
        <v>3846</v>
      </c>
      <c r="D2300" s="2" t="s">
        <v>30</v>
      </c>
      <c r="E2300" s="2" t="s">
        <v>1130</v>
      </c>
      <c r="F2300" s="11"/>
      <c r="G2300" s="49"/>
      <c r="H2300" s="2" t="s">
        <v>1133</v>
      </c>
      <c r="I2300" s="12" t="s">
        <v>1134</v>
      </c>
      <c r="J2300" s="22">
        <v>45548</v>
      </c>
      <c r="K2300" s="22">
        <v>45821</v>
      </c>
      <c r="L2300" s="23">
        <f>_xlfn.DAYS(Tabla1[[#This Row],[FECHA FIN ]],Tabla1[[#This Row],[FECHA INICIO]])</f>
        <v>273</v>
      </c>
      <c r="M2300" s="12"/>
      <c r="N2300" s="12"/>
      <c r="O2300" s="24">
        <f>(Tabla1[[#This Row],[COSTO FIJO ]]/30)*Tabla1[[#This Row],[TOTAL DIAS PROYECTO]]+(Tabla1[[#This Row],[COSTO TEMPORAL]])</f>
        <v>0</v>
      </c>
      <c r="P2300" s="12"/>
      <c r="Q2300" s="12">
        <f>+(Tabla1[[#This Row],[COSTO COCHE]]/30)*Tabla1[[#This Row],[TOTAL DIAS PROYECTO]]</f>
        <v>0</v>
      </c>
      <c r="R2300" s="12">
        <f>+Tabla1[[#This Row],[COSTO TOTAL ALOJAMIENTO]]+Tabla1[[#This Row],[COSTO TOTAL COCHE]]</f>
        <v>0</v>
      </c>
      <c r="S2300" s="2"/>
      <c r="T2300" s="2" t="s">
        <v>44</v>
      </c>
      <c r="U2300" s="14"/>
      <c r="V2300" s="25"/>
      <c r="W2300" s="26"/>
      <c r="X2300" s="2"/>
      <c r="Y2300" s="11"/>
      <c r="Z2300" s="2" t="s">
        <v>36</v>
      </c>
      <c r="AA2300" s="13" t="s">
        <v>10412</v>
      </c>
      <c r="AB2300" s="13">
        <v>4200955</v>
      </c>
    </row>
    <row r="2301" spans="1:28" ht="15" customHeight="1">
      <c r="A2301" s="2" t="s">
        <v>8788</v>
      </c>
      <c r="B2301" s="2" t="s">
        <v>368</v>
      </c>
      <c r="C2301" s="99" t="s">
        <v>765</v>
      </c>
      <c r="D2301" s="2" t="s">
        <v>30</v>
      </c>
      <c r="E2301" s="2" t="s">
        <v>213</v>
      </c>
      <c r="F2301" s="11" t="s">
        <v>1841</v>
      </c>
      <c r="G2301" t="s">
        <v>1197</v>
      </c>
      <c r="H2301" s="2" t="s">
        <v>1735</v>
      </c>
      <c r="I2301" s="12" t="s">
        <v>1043</v>
      </c>
      <c r="J2301" s="22">
        <f>+Tabla1[[#This Row],[FECHA ENTRADA]]</f>
        <v>45726</v>
      </c>
      <c r="K2301" s="22">
        <v>45821</v>
      </c>
      <c r="L2301" s="23">
        <f>_xlfn.DAYS(Tabla1[[#This Row],[FECHA FIN ]],Tabla1[[#This Row],[FECHA INICIO]])</f>
        <v>95</v>
      </c>
      <c r="M2301" s="12"/>
      <c r="N2301" s="12"/>
      <c r="O2301" s="24">
        <f>(Tabla1[[#This Row],[COSTO FIJO ]]/30)*Tabla1[[#This Row],[TOTAL DIAS PROYECTO]]+(Tabla1[[#This Row],[COSTO TEMPORAL]])</f>
        <v>0</v>
      </c>
      <c r="P2301" s="12"/>
      <c r="Q2301" s="12">
        <f>+(Tabla1[[#This Row],[COSTO COCHE]]/30)*Tabla1[[#This Row],[TOTAL DIAS PROYECTO]]</f>
        <v>0</v>
      </c>
      <c r="R2301" s="12">
        <f>+Tabla1[[#This Row],[COSTO TOTAL ALOJAMIENTO]]+Tabla1[[#This Row],[COSTO TOTAL COCHE]]</f>
        <v>0</v>
      </c>
      <c r="S2301" s="2"/>
      <c r="T2301" s="2" t="s">
        <v>44</v>
      </c>
      <c r="U2301" s="14">
        <v>45726</v>
      </c>
      <c r="V2301" s="25"/>
      <c r="W2301" s="26"/>
      <c r="X2301" s="2">
        <v>1</v>
      </c>
      <c r="Y2301" t="s">
        <v>3847</v>
      </c>
      <c r="Z2301" s="2" t="s">
        <v>36</v>
      </c>
      <c r="AA2301" s="13" t="s">
        <v>10349</v>
      </c>
      <c r="AB2301" s="13" t="s">
        <v>10350</v>
      </c>
    </row>
    <row r="2302" spans="1:28" ht="15" customHeight="1">
      <c r="A2302" s="2" t="s">
        <v>9320</v>
      </c>
      <c r="B2302" s="2" t="s">
        <v>28</v>
      </c>
      <c r="C2302" s="227" t="s">
        <v>2814</v>
      </c>
      <c r="D2302" s="2" t="s">
        <v>30</v>
      </c>
      <c r="E2302" s="2" t="s">
        <v>476</v>
      </c>
      <c r="F2302" s="11" t="s">
        <v>3848</v>
      </c>
      <c r="G2302" s="11" t="s">
        <v>3849</v>
      </c>
      <c r="H2302" s="2" t="s">
        <v>479</v>
      </c>
      <c r="I2302" s="12" t="s">
        <v>165</v>
      </c>
      <c r="J2302" s="8">
        <f>+Tabla1[[#This Row],[FECHA ENTRADA]]</f>
        <v>45487</v>
      </c>
      <c r="K2302" s="22">
        <v>45821</v>
      </c>
      <c r="L2302" s="13">
        <f>_xlfn.DAYS(Tabla1[[#This Row],[FECHA FIN ]],Tabla1[[#This Row],[FECHA INICIO]])</f>
        <v>334</v>
      </c>
      <c r="M2302" s="12"/>
      <c r="N2302" s="12">
        <f>1811.6/17</f>
        <v>106.56470588235294</v>
      </c>
      <c r="O2302" s="12">
        <f>(Tabla1[[#This Row],[COSTO FIJO ]]/30)*Tabla1[[#This Row],[TOTAL DIAS PROYECTO]]+(Tabla1[[#This Row],[COSTO TEMPORAL]])</f>
        <v>1186.4203921568628</v>
      </c>
      <c r="P2302" s="12"/>
      <c r="Q2302" s="12">
        <f>+(Tabla1[[#This Row],[COSTO COCHE]]/30)*Tabla1[[#This Row],[TOTAL DIAS PROYECTO]]</f>
        <v>0</v>
      </c>
      <c r="R2302" s="12">
        <f>+Tabla1[[#This Row],[COSTO TOTAL ALOJAMIENTO]]+Tabla1[[#This Row],[COSTO TOTAL COCHE]]</f>
        <v>1186.4203921568628</v>
      </c>
      <c r="S2302" s="2"/>
      <c r="T2302" s="2" t="s">
        <v>44</v>
      </c>
      <c r="U2302" s="14">
        <v>45487</v>
      </c>
      <c r="V2302" s="14"/>
      <c r="W2302" s="26"/>
      <c r="X2302" s="2"/>
      <c r="Y2302" s="18"/>
      <c r="Z2302" s="2" t="s">
        <v>36</v>
      </c>
      <c r="AA2302" s="13">
        <v>-7.8640699999999999</v>
      </c>
      <c r="AB2302" s="13">
        <v>42.336689999999997</v>
      </c>
    </row>
    <row r="2303" spans="1:28" ht="15" customHeight="1">
      <c r="A2303" s="2" t="s">
        <v>9607</v>
      </c>
      <c r="B2303" s="2" t="s">
        <v>368</v>
      </c>
      <c r="C2303" s="227" t="s">
        <v>3850</v>
      </c>
      <c r="D2303" s="2" t="s">
        <v>30</v>
      </c>
      <c r="E2303" s="2" t="s">
        <v>87</v>
      </c>
      <c r="F2303" s="11" t="s">
        <v>1740</v>
      </c>
      <c r="G2303" s="49">
        <v>916607649</v>
      </c>
      <c r="H2303" s="2" t="s">
        <v>1880</v>
      </c>
      <c r="I2303" s="12" t="s">
        <v>1288</v>
      </c>
      <c r="J2303" s="22">
        <v>45504</v>
      </c>
      <c r="K2303" s="22">
        <v>45821</v>
      </c>
      <c r="L2303" s="23">
        <f>_xlfn.DAYS(Tabla1[[#This Row],[FECHA FIN ]],Tabla1[[#This Row],[FECHA INICIO]])</f>
        <v>317</v>
      </c>
      <c r="M2303" s="12"/>
      <c r="N2303" s="12"/>
      <c r="O2303" s="24">
        <f>(Tabla1[[#This Row],[COSTO FIJO ]]/30)*Tabla1[[#This Row],[TOTAL DIAS PROYECTO]]+(Tabla1[[#This Row],[COSTO TEMPORAL]])</f>
        <v>0</v>
      </c>
      <c r="P2303" s="12"/>
      <c r="Q2303" s="12">
        <f>+(Tabla1[[#This Row],[COSTO COCHE]]/30)*Tabla1[[#This Row],[TOTAL DIAS PROYECTO]]</f>
        <v>0</v>
      </c>
      <c r="R2303" s="12">
        <f>+Tabla1[[#This Row],[COSTO TOTAL ALOJAMIENTO]]+Tabla1[[#This Row],[COSTO TOTAL COCHE]]</f>
        <v>0</v>
      </c>
      <c r="S2303" s="2"/>
      <c r="T2303" s="2" t="s">
        <v>44</v>
      </c>
      <c r="U2303" s="14"/>
      <c r="V2303" s="25"/>
      <c r="W2303" s="26"/>
      <c r="X2303" s="2"/>
      <c r="Y2303" s="11"/>
      <c r="Z2303" s="2" t="s">
        <v>36</v>
      </c>
      <c r="AA2303" s="13" t="s">
        <v>10335</v>
      </c>
      <c r="AB2303" s="13">
        <v>404.16500000000002</v>
      </c>
    </row>
    <row r="2304" spans="1:28" ht="15" customHeight="1">
      <c r="A2304" s="2" t="s">
        <v>9382</v>
      </c>
      <c r="B2304" s="2" t="s">
        <v>28</v>
      </c>
      <c r="C2304" s="11" t="s">
        <v>2996</v>
      </c>
      <c r="D2304" s="2" t="s">
        <v>30</v>
      </c>
      <c r="E2304" s="2" t="s">
        <v>31</v>
      </c>
      <c r="F2304" s="11"/>
      <c r="G2304" s="30"/>
      <c r="H2304" s="2" t="s">
        <v>1384</v>
      </c>
      <c r="I2304" s="2" t="s">
        <v>52</v>
      </c>
      <c r="J2304" s="8">
        <f>+Tabla1[[#This Row],[FECHA ENTRADA]]</f>
        <v>45468</v>
      </c>
      <c r="K2304" s="22">
        <v>45821</v>
      </c>
      <c r="L2304" s="13">
        <f>_xlfn.DAYS(Tabla1[[#This Row],[FECHA FIN ]],Tabla1[[#This Row],[FECHA INICIO]])</f>
        <v>353</v>
      </c>
      <c r="M2304" s="12"/>
      <c r="N2304" s="12">
        <f>1811.6/17</f>
        <v>106.56470588235294</v>
      </c>
      <c r="O2304" s="12">
        <f>(Tabla1[[#This Row],[COSTO FIJO ]]/30)*Tabla1[[#This Row],[TOTAL DIAS PROYECTO]]+(Tabla1[[#This Row],[COSTO TEMPORAL]])</f>
        <v>1253.9113725490197</v>
      </c>
      <c r="P2304" s="12"/>
      <c r="Q2304" s="12">
        <f>+(Tabla1[[#This Row],[COSTO COCHE]]/30)*Tabla1[[#This Row],[TOTAL DIAS PROYECTO]]</f>
        <v>0</v>
      </c>
      <c r="R2304" s="12">
        <f>+Tabla1[[#This Row],[COSTO TOTAL ALOJAMIENTO]]+Tabla1[[#This Row],[COSTO TOTAL COCHE]]</f>
        <v>1253.9113725490197</v>
      </c>
      <c r="S2304" s="2"/>
      <c r="T2304" s="2" t="s">
        <v>44</v>
      </c>
      <c r="U2304" s="14">
        <v>45468</v>
      </c>
      <c r="V2304" s="14"/>
      <c r="W2304" s="26"/>
      <c r="X2304" s="2"/>
      <c r="Y2304" s="18" t="s">
        <v>3851</v>
      </c>
      <c r="Z2304" s="2" t="s">
        <v>36</v>
      </c>
      <c r="AA2304" s="13" t="s">
        <v>10323</v>
      </c>
      <c r="AB2304" s="13" t="s">
        <v>10324</v>
      </c>
    </row>
    <row r="2305" spans="1:28" ht="15" customHeight="1">
      <c r="A2305" s="2" t="s">
        <v>9608</v>
      </c>
      <c r="B2305" s="2" t="s">
        <v>368</v>
      </c>
      <c r="C2305" s="11" t="s">
        <v>3852</v>
      </c>
      <c r="D2305" s="2" t="s">
        <v>30</v>
      </c>
      <c r="E2305" s="2" t="s">
        <v>253</v>
      </c>
      <c r="F2305" s="11" t="s">
        <v>581</v>
      </c>
      <c r="G2305" s="11" t="s">
        <v>255</v>
      </c>
      <c r="H2305" s="2" t="s">
        <v>3853</v>
      </c>
      <c r="I2305" s="12" t="s">
        <v>913</v>
      </c>
      <c r="J2305" s="41">
        <f>+Tabla1[[#This Row],[FECHA ENTRADA]]</f>
        <v>45599</v>
      </c>
      <c r="K2305" s="22">
        <v>45821</v>
      </c>
      <c r="L2305" s="42">
        <f>_xlfn.DAYS(Tabla1[[#This Row],[FECHA FIN ]],Tabla1[[#This Row],[FECHA INICIO]])</f>
        <v>222</v>
      </c>
      <c r="M2305" s="12"/>
      <c r="N2305" s="12">
        <f>1811.6/17</f>
        <v>106.56470588235294</v>
      </c>
      <c r="O2305" s="28">
        <f>(Tabla1[[#This Row],[COSTO FIJO ]]/30)*Tabla1[[#This Row],[TOTAL DIAS PROYECTO]]+(Tabla1[[#This Row],[COSTO TEMPORAL]])</f>
        <v>788.57882352941181</v>
      </c>
      <c r="P2305" s="12"/>
      <c r="Q2305" s="12">
        <f>+(Tabla1[[#This Row],[COSTO COCHE]]/30)*Tabla1[[#This Row],[TOTAL DIAS PROYECTO]]</f>
        <v>0</v>
      </c>
      <c r="R2305" s="12">
        <f>+Tabla1[[#This Row],[COSTO TOTAL ALOJAMIENTO]]+Tabla1[[#This Row],[COSTO TOTAL COCHE]]</f>
        <v>788.57882352941181</v>
      </c>
      <c r="S2305" s="2"/>
      <c r="T2305" s="2" t="s">
        <v>44</v>
      </c>
      <c r="U2305" s="14">
        <v>45599</v>
      </c>
      <c r="V2305" s="43"/>
      <c r="W2305" s="26"/>
      <c r="X2305" s="2">
        <v>1</v>
      </c>
      <c r="Y2305" s="11"/>
      <c r="Z2305" s="2" t="s">
        <v>36</v>
      </c>
      <c r="AA2305" s="13" t="s">
        <v>10357</v>
      </c>
      <c r="AB2305" s="13" t="s">
        <v>10358</v>
      </c>
    </row>
    <row r="2306" spans="1:28" ht="15" customHeight="1">
      <c r="A2306" s="2" t="s">
        <v>9608</v>
      </c>
      <c r="B2306" s="2" t="s">
        <v>368</v>
      </c>
      <c r="C2306" s="11" t="s">
        <v>3852</v>
      </c>
      <c r="D2306" s="2" t="s">
        <v>30</v>
      </c>
      <c r="E2306" s="2" t="s">
        <v>253</v>
      </c>
      <c r="F2306" s="11" t="s">
        <v>581</v>
      </c>
      <c r="G2306" s="49" t="s">
        <v>255</v>
      </c>
      <c r="H2306" s="2" t="s">
        <v>3853</v>
      </c>
      <c r="I2306" s="12" t="s">
        <v>913</v>
      </c>
      <c r="J2306" s="22">
        <v>45599</v>
      </c>
      <c r="K2306" s="22">
        <v>45821</v>
      </c>
      <c r="L2306" s="23">
        <v>1</v>
      </c>
      <c r="M2306" s="12"/>
      <c r="N2306" s="12">
        <f>1811.6/17</f>
        <v>106.56470588235294</v>
      </c>
      <c r="O2306" s="24">
        <v>0</v>
      </c>
      <c r="P2306" s="12"/>
      <c r="Q2306" s="12">
        <v>0</v>
      </c>
      <c r="R2306" s="12">
        <v>0</v>
      </c>
      <c r="S2306" s="2"/>
      <c r="T2306" s="2" t="s">
        <v>44</v>
      </c>
      <c r="U2306" s="14">
        <v>45599</v>
      </c>
      <c r="V2306" s="25"/>
      <c r="W2306" s="26"/>
      <c r="X2306" s="2">
        <v>1</v>
      </c>
      <c r="Y2306" s="11"/>
      <c r="Z2306" s="2" t="s">
        <v>36</v>
      </c>
      <c r="AA2306" s="13" t="s">
        <v>10357</v>
      </c>
      <c r="AB2306" s="13" t="s">
        <v>10358</v>
      </c>
    </row>
    <row r="2307" spans="1:28" ht="15" customHeight="1">
      <c r="A2307" s="2" t="s">
        <v>9605</v>
      </c>
      <c r="B2307" s="2" t="s">
        <v>711</v>
      </c>
      <c r="C2307" s="227" t="s">
        <v>3843</v>
      </c>
      <c r="D2307" s="2" t="s">
        <v>99</v>
      </c>
      <c r="E2307" s="2" t="s">
        <v>648</v>
      </c>
      <c r="F2307" s="11" t="s">
        <v>1544</v>
      </c>
      <c r="G2307" s="11" t="s">
        <v>1545</v>
      </c>
      <c r="H2307" s="2" t="s">
        <v>3854</v>
      </c>
      <c r="I2307" s="12" t="s">
        <v>96</v>
      </c>
      <c r="J2307" s="22">
        <f>+Tabla1[[#This Row],[FECHA ENTRADA]]</f>
        <v>45914</v>
      </c>
      <c r="K2307" s="22">
        <v>45921</v>
      </c>
      <c r="L2307" s="23">
        <f>_xlfn.DAYS(Tabla1[[#This Row],[FECHA FIN ]],Tabla1[[#This Row],[FECHA INICIO]])</f>
        <v>7</v>
      </c>
      <c r="M2307" s="12"/>
      <c r="N2307" s="12"/>
      <c r="O2307" s="24">
        <f>(Tabla1[[#This Row],[COSTO FIJO ]]/30)*Tabla1[[#This Row],[TOTAL DIAS PROYECTO]]+(Tabla1[[#This Row],[COSTO TEMPORAL]])</f>
        <v>0</v>
      </c>
      <c r="P2307" s="12"/>
      <c r="Q2307" s="12">
        <f>+(Tabla1[[#This Row],[COSTO COCHE]]/30)*Tabla1[[#This Row],[TOTAL DIAS PROYECTO]]</f>
        <v>0</v>
      </c>
      <c r="R2307" s="12">
        <f>+Tabla1[[#This Row],[COSTO TOTAL ALOJAMIENTO]]+Tabla1[[#This Row],[COSTO TOTAL COCHE]]</f>
        <v>0</v>
      </c>
      <c r="S2307" s="2"/>
      <c r="T2307" s="14" t="s">
        <v>35</v>
      </c>
      <c r="U2307" s="14">
        <v>45914</v>
      </c>
      <c r="V2307" s="79"/>
      <c r="W2307" s="71"/>
      <c r="X2307" s="2">
        <v>1</v>
      </c>
      <c r="Y2307" s="11"/>
      <c r="Z2307" s="2" t="s">
        <v>36</v>
      </c>
      <c r="AA2307" s="13" t="s">
        <v>10387</v>
      </c>
      <c r="AB2307" s="13" t="s">
        <v>10388</v>
      </c>
    </row>
    <row r="2308" spans="1:28" ht="15" customHeight="1">
      <c r="A2308" s="117" t="s">
        <v>9605</v>
      </c>
      <c r="B2308" s="117" t="s">
        <v>711</v>
      </c>
      <c r="C2308" s="230" t="s">
        <v>3843</v>
      </c>
      <c r="D2308" s="117" t="s">
        <v>30</v>
      </c>
      <c r="E2308" s="117" t="s">
        <v>127</v>
      </c>
      <c r="F2308" s="11" t="s">
        <v>128</v>
      </c>
      <c r="G2308" s="197" t="s">
        <v>2111</v>
      </c>
      <c r="H2308" s="117" t="s">
        <v>2112</v>
      </c>
      <c r="I2308" s="119" t="s">
        <v>96</v>
      </c>
      <c r="J2308" s="120">
        <f>+Tabla1[[#This Row],[FECHA ENTRADA]]</f>
        <v>45921</v>
      </c>
      <c r="K2308" s="120">
        <v>46069</v>
      </c>
      <c r="L2308" s="122">
        <f>_xlfn.DAYS(Tabla1[[#This Row],[FECHA FIN ]],Tabla1[[#This Row],[FECHA INICIO]])</f>
        <v>148</v>
      </c>
      <c r="M2308" s="119"/>
      <c r="N2308" s="119">
        <v>312.5</v>
      </c>
      <c r="O2308" s="123">
        <f>(Tabla1[[#This Row],[COSTO FIJO ]]/30)*Tabla1[[#This Row],[TOTAL DIAS PROYECTO]]+(Tabla1[[#This Row],[COSTO TEMPORAL]])</f>
        <v>1541.6666666666665</v>
      </c>
      <c r="P2308" s="119"/>
      <c r="Q2308" s="119">
        <f>+(Tabla1[[#This Row],[COSTO COCHE]]/30)*Tabla1[[#This Row],[TOTAL DIAS PROYECTO]]</f>
        <v>0</v>
      </c>
      <c r="R2308" s="119">
        <f>+Tabla1[[#This Row],[COSTO TOTAL ALOJAMIENTO]]+Tabla1[[#This Row],[COSTO TOTAL COCHE]]</f>
        <v>1541.6666666666665</v>
      </c>
      <c r="S2308" s="117"/>
      <c r="T2308" s="124" t="s">
        <v>35</v>
      </c>
      <c r="U2308" s="124">
        <v>45921</v>
      </c>
      <c r="V2308" s="159"/>
      <c r="W2308" s="126"/>
      <c r="X2308" s="117">
        <v>1</v>
      </c>
      <c r="Y2308" s="118" t="s">
        <v>3855</v>
      </c>
      <c r="Z2308" s="117" t="s">
        <v>36</v>
      </c>
      <c r="AA2308" s="127" t="s">
        <v>10342</v>
      </c>
      <c r="AB2308" s="127" t="s">
        <v>10343</v>
      </c>
    </row>
    <row r="2309" spans="1:28" ht="15" customHeight="1">
      <c r="A2309" s="2" t="s">
        <v>9199</v>
      </c>
      <c r="B2309" s="2" t="s">
        <v>28</v>
      </c>
      <c r="C2309" s="227" t="s">
        <v>2412</v>
      </c>
      <c r="D2309" s="2" t="s">
        <v>30</v>
      </c>
      <c r="E2309" s="2" t="s">
        <v>734</v>
      </c>
      <c r="F2309" s="11" t="s">
        <v>3856</v>
      </c>
      <c r="G2309" s="49"/>
      <c r="H2309" s="2" t="s">
        <v>2413</v>
      </c>
      <c r="I2309" s="12" t="s">
        <v>152</v>
      </c>
      <c r="J2309" s="22">
        <v>45414</v>
      </c>
      <c r="K2309" s="22">
        <v>45821</v>
      </c>
      <c r="L2309" s="23">
        <f>_xlfn.DAYS(Tabla1[[#This Row],[FECHA FIN ]],Tabla1[[#This Row],[FECHA INICIO]])</f>
        <v>407</v>
      </c>
      <c r="M2309" s="12"/>
      <c r="N2309" s="12">
        <f>1811.6/17</f>
        <v>106.56470588235294</v>
      </c>
      <c r="O2309" s="24">
        <f>(Tabla1[[#This Row],[COSTO FIJO ]]/30)*Tabla1[[#This Row],[TOTAL DIAS PROYECTO]]+(Tabla1[[#This Row],[COSTO TEMPORAL]])</f>
        <v>1445.7278431372549</v>
      </c>
      <c r="P2309" s="12"/>
      <c r="Q2309" s="12">
        <f>+(Tabla1[[#This Row],[COSTO COCHE]]/30)*Tabla1[[#This Row],[TOTAL DIAS PROYECTO]]</f>
        <v>0</v>
      </c>
      <c r="R2309" s="12">
        <f>+Tabla1[[#This Row],[COSTO TOTAL ALOJAMIENTO]]+Tabla1[[#This Row],[COSTO TOTAL COCHE]]</f>
        <v>1445.7278431372549</v>
      </c>
      <c r="S2309" s="2"/>
      <c r="T2309" s="2" t="s">
        <v>44</v>
      </c>
      <c r="U2309" s="14">
        <v>45414</v>
      </c>
      <c r="V2309" s="25"/>
      <c r="W2309" s="26"/>
      <c r="X2309" s="2"/>
      <c r="Y2309" s="11"/>
      <c r="Z2309" s="2" t="s">
        <v>36</v>
      </c>
      <c r="AA2309" s="13" t="s">
        <v>10396</v>
      </c>
      <c r="AB2309" s="13" t="s">
        <v>10397</v>
      </c>
    </row>
    <row r="2310" spans="1:28" ht="15" customHeight="1">
      <c r="A2310" s="2" t="s">
        <v>8642</v>
      </c>
      <c r="B2310" s="2" t="s">
        <v>368</v>
      </c>
      <c r="C2310" s="227" t="s">
        <v>3549</v>
      </c>
      <c r="D2310" s="2" t="s">
        <v>99</v>
      </c>
      <c r="E2310" s="2" t="s">
        <v>422</v>
      </c>
      <c r="F2310" s="11" t="s">
        <v>1983</v>
      </c>
      <c r="G2310" s="11" t="s">
        <v>2067</v>
      </c>
      <c r="H2310" s="2" t="s">
        <v>3540</v>
      </c>
      <c r="I2310" s="12" t="s">
        <v>1435</v>
      </c>
      <c r="J2310" s="22">
        <f>+Tabla1[[#This Row],[FECHA ENTRADA]]</f>
        <v>45805</v>
      </c>
      <c r="K2310" s="22">
        <v>45812</v>
      </c>
      <c r="L2310" s="23">
        <f>_xlfn.DAYS(Tabla1[[#This Row],[FECHA FIN ]],Tabla1[[#This Row],[FECHA INICIO]])</f>
        <v>7</v>
      </c>
      <c r="M2310" s="12"/>
      <c r="N2310" s="12">
        <v>105.55555555555556</v>
      </c>
      <c r="O2310" s="24">
        <f>(Tabla1[[#This Row],[COSTO FIJO ]]/30)*Tabla1[[#This Row],[TOTAL DIAS PROYECTO]]+(Tabla1[[#This Row],[COSTO TEMPORAL]])</f>
        <v>24.62962962962963</v>
      </c>
      <c r="P2310" s="12"/>
      <c r="Q2310" s="12">
        <f>+(Tabla1[[#This Row],[COSTO COCHE]]/30)*Tabla1[[#This Row],[TOTAL DIAS PROYECTO]]</f>
        <v>0</v>
      </c>
      <c r="R2310" s="12">
        <f>+Tabla1[[#This Row],[COSTO TOTAL ALOJAMIENTO]]+Tabla1[[#This Row],[COSTO TOTAL COCHE]]</f>
        <v>24.62962962962963</v>
      </c>
      <c r="S2310" s="2"/>
      <c r="T2310" s="14" t="s">
        <v>44</v>
      </c>
      <c r="U2310" s="22">
        <v>45805</v>
      </c>
      <c r="V2310" s="79">
        <v>45812</v>
      </c>
      <c r="W2310" s="2"/>
      <c r="X2310" s="2"/>
      <c r="Y2310" s="11" t="s">
        <v>3626</v>
      </c>
      <c r="Z2310" s="2" t="s">
        <v>36</v>
      </c>
      <c r="AA2310" s="13">
        <v>-326.69799999999998</v>
      </c>
      <c r="AB2310" s="13" t="s">
        <v>10373</v>
      </c>
    </row>
    <row r="2311" spans="1:28" ht="15" customHeight="1">
      <c r="A2311" s="2" t="s">
        <v>8835</v>
      </c>
      <c r="B2311" s="2" t="s">
        <v>368</v>
      </c>
      <c r="C2311" s="104" t="s">
        <v>954</v>
      </c>
      <c r="D2311" s="2" t="s">
        <v>30</v>
      </c>
      <c r="E2311" s="2" t="s">
        <v>380</v>
      </c>
      <c r="F2311" s="11" t="s">
        <v>3857</v>
      </c>
      <c r="G2311" s="46" t="s">
        <v>3858</v>
      </c>
      <c r="H2311" s="2" t="s">
        <v>3859</v>
      </c>
      <c r="I2311" s="12" t="s">
        <v>1208</v>
      </c>
      <c r="J2311" s="22">
        <f>+Tabla1[[#This Row],[FECHA ENTRADA]]</f>
        <v>45644</v>
      </c>
      <c r="K2311" s="41">
        <v>45668</v>
      </c>
      <c r="L2311" s="23">
        <f>_xlfn.DAYS(Tabla1[[#This Row],[FECHA FIN ]],Tabla1[[#This Row],[FECHA INICIO]])</f>
        <v>24</v>
      </c>
      <c r="M2311" s="12"/>
      <c r="N2311" s="12"/>
      <c r="O2311" s="24">
        <f>(Tabla1[[#This Row],[COSTO FIJO ]]/30)*Tabla1[[#This Row],[TOTAL DIAS PROYECTO]]+(Tabla1[[#This Row],[COSTO TEMPORAL]])</f>
        <v>0</v>
      </c>
      <c r="P2311" s="12"/>
      <c r="Q2311" s="12">
        <f>+(Tabla1[[#This Row],[COSTO COCHE]]/30)*Tabla1[[#This Row],[TOTAL DIAS PROYECTO]]</f>
        <v>0</v>
      </c>
      <c r="R2311" s="12">
        <f>+Tabla1[[#This Row],[COSTO TOTAL ALOJAMIENTO]]+Tabla1[[#This Row],[COSTO TOTAL COCHE]]</f>
        <v>0</v>
      </c>
      <c r="S2311" s="2"/>
      <c r="T2311" s="2" t="s">
        <v>44</v>
      </c>
      <c r="U2311" s="14">
        <v>45644</v>
      </c>
      <c r="V2311" s="25">
        <v>45675</v>
      </c>
      <c r="W2311" s="26"/>
      <c r="X2311" s="2"/>
      <c r="Y2311" s="11" t="s">
        <v>3860</v>
      </c>
      <c r="Z2311" s="2" t="s">
        <v>36</v>
      </c>
      <c r="AA2311" s="13" t="s">
        <v>10370</v>
      </c>
      <c r="AB2311" s="13" t="s">
        <v>10371</v>
      </c>
    </row>
    <row r="2312" spans="1:28" ht="15" customHeight="1">
      <c r="A2312" s="2" t="s">
        <v>9233</v>
      </c>
      <c r="B2312" s="2" t="s">
        <v>28</v>
      </c>
      <c r="C2312" s="11" t="s">
        <v>2524</v>
      </c>
      <c r="D2312" s="2" t="s">
        <v>30</v>
      </c>
      <c r="E2312" s="2" t="s">
        <v>151</v>
      </c>
      <c r="F2312" s="11" t="s">
        <v>1499</v>
      </c>
      <c r="G2312" s="11">
        <v>690763269</v>
      </c>
      <c r="H2312" s="2" t="s">
        <v>709</v>
      </c>
      <c r="I2312" s="12" t="s">
        <v>152</v>
      </c>
      <c r="J2312" s="8">
        <f>+Tabla1[[#This Row],[FECHA ENTRADA]]</f>
        <v>45536</v>
      </c>
      <c r="K2312" s="22">
        <v>45821</v>
      </c>
      <c r="L2312" s="13">
        <f>_xlfn.DAYS(Tabla1[[#This Row],[FECHA FIN ]],Tabla1[[#This Row],[FECHA INICIO]])</f>
        <v>285</v>
      </c>
      <c r="M2312" s="12"/>
      <c r="N2312" s="12">
        <f>1811.6/17</f>
        <v>106.56470588235294</v>
      </c>
      <c r="O2312" s="12">
        <f>(Tabla1[[#This Row],[COSTO FIJO ]]/30)*Tabla1[[#This Row],[TOTAL DIAS PROYECTO]]+(Tabla1[[#This Row],[COSTO TEMPORAL]])</f>
        <v>1012.364705882353</v>
      </c>
      <c r="P2312" s="12"/>
      <c r="Q2312" s="12">
        <f>+(Tabla1[[#This Row],[COSTO COCHE]]/30)*Tabla1[[#This Row],[TOTAL DIAS PROYECTO]]</f>
        <v>0</v>
      </c>
      <c r="R2312" s="12">
        <f>+Tabla1[[#This Row],[COSTO TOTAL ALOJAMIENTO]]+Tabla1[[#This Row],[COSTO TOTAL COCHE]]</f>
        <v>1012.364705882353</v>
      </c>
      <c r="S2312" s="2"/>
      <c r="T2312" s="2" t="s">
        <v>44</v>
      </c>
      <c r="U2312" s="14">
        <v>45536</v>
      </c>
      <c r="V2312" s="14"/>
      <c r="W2312" s="26"/>
      <c r="X2312" s="2"/>
      <c r="Y2312" s="11" t="s">
        <v>3861</v>
      </c>
      <c r="Z2312" s="2" t="s">
        <v>36</v>
      </c>
      <c r="AA2312" s="13" t="s">
        <v>10345</v>
      </c>
      <c r="AB2312" s="13" t="s">
        <v>10346</v>
      </c>
    </row>
    <row r="2313" spans="1:28" ht="15" customHeight="1">
      <c r="A2313" s="117" t="s">
        <v>9605</v>
      </c>
      <c r="B2313" s="117" t="s">
        <v>711</v>
      </c>
      <c r="C2313" s="118" t="s">
        <v>3843</v>
      </c>
      <c r="D2313" s="117" t="s">
        <v>30</v>
      </c>
      <c r="E2313" s="2" t="s">
        <v>826</v>
      </c>
      <c r="F2313" s="11" t="s">
        <v>3862</v>
      </c>
      <c r="G2313" s="118" t="s">
        <v>3863</v>
      </c>
      <c r="H2313" s="117" t="s">
        <v>2163</v>
      </c>
      <c r="I2313" s="119" t="s">
        <v>96</v>
      </c>
      <c r="J2313" s="121">
        <f>+Tabla1[[#This Row],[FECHA ENTRADA]]</f>
        <v>46103</v>
      </c>
      <c r="K2313" s="121">
        <v>46105</v>
      </c>
      <c r="L2313" s="129">
        <f>_xlfn.DAYS(Tabla1[[#This Row],[FECHA FIN ]],Tabla1[[#This Row],[FECHA INICIO]])</f>
        <v>2</v>
      </c>
      <c r="M2313" s="119"/>
      <c r="N2313" s="130"/>
      <c r="O2313" s="131">
        <f>(Tabla1[[#This Row],[COSTO FIJO ]]/30)*Tabla1[[#This Row],[TOTAL DIAS PROYECTO]]+(Tabla1[[#This Row],[COSTO TEMPORAL]])</f>
        <v>0</v>
      </c>
      <c r="P2313" s="119"/>
      <c r="Q2313" s="119">
        <f>+(Tabla1[[#This Row],[COSTO COCHE]]/30)*Tabla1[[#This Row],[TOTAL DIAS PROYECTO]]</f>
        <v>0</v>
      </c>
      <c r="R2313" s="119">
        <f>+Tabla1[[#This Row],[COSTO TOTAL ALOJAMIENTO]]+Tabla1[[#This Row],[COSTO TOTAL COCHE]]</f>
        <v>0</v>
      </c>
      <c r="S2313" s="117" t="s">
        <v>84</v>
      </c>
      <c r="T2313" s="124" t="s">
        <v>44</v>
      </c>
      <c r="U2313" s="124">
        <v>46103</v>
      </c>
      <c r="V2313" s="132">
        <v>46106</v>
      </c>
      <c r="W2313" s="119"/>
      <c r="X2313" s="117"/>
      <c r="Y2313" s="118" t="s">
        <v>3864</v>
      </c>
      <c r="Z2313" s="117" t="s">
        <v>36</v>
      </c>
      <c r="AA2313" s="127" t="s">
        <v>10399</v>
      </c>
      <c r="AB2313" s="127" t="s">
        <v>10400</v>
      </c>
    </row>
    <row r="2314" spans="1:28" ht="15" customHeight="1">
      <c r="A2314" s="2" t="s">
        <v>9605</v>
      </c>
      <c r="B2314" s="2" t="s">
        <v>711</v>
      </c>
      <c r="C2314" s="69" t="s">
        <v>3843</v>
      </c>
      <c r="D2314" s="2" t="s">
        <v>30</v>
      </c>
      <c r="E2314" s="2" t="s">
        <v>648</v>
      </c>
      <c r="F2314" s="11" t="s">
        <v>2103</v>
      </c>
      <c r="G2314" s="118" t="s">
        <v>1545</v>
      </c>
      <c r="H2314" s="2" t="s">
        <v>2163</v>
      </c>
      <c r="I2314" s="12" t="s">
        <v>96</v>
      </c>
      <c r="J2314" s="41">
        <f>+Tabla1[[#This Row],[FECHA ENTRADA]]</f>
        <v>46069</v>
      </c>
      <c r="K2314" s="22">
        <v>46105</v>
      </c>
      <c r="L2314" s="42">
        <f>_xlfn.DAYS(Tabla1[[#This Row],[FECHA FIN ]],Tabla1[[#This Row],[FECHA INICIO]])</f>
        <v>36</v>
      </c>
      <c r="M2314" s="12"/>
      <c r="N2314" s="20">
        <v>240</v>
      </c>
      <c r="O2314" s="28">
        <f>(Tabla1[[#This Row],[COSTO FIJO ]]/30)*Tabla1[[#This Row],[TOTAL DIAS PROYECTO]]+(Tabla1[[#This Row],[COSTO TEMPORAL]])</f>
        <v>288</v>
      </c>
      <c r="P2314" s="12"/>
      <c r="Q2314" s="12">
        <f>+(Tabla1[[#This Row],[COSTO COCHE]]/30)*Tabla1[[#This Row],[TOTAL DIAS PROYECTO]]</f>
        <v>0</v>
      </c>
      <c r="R2314" s="12">
        <f>+Tabla1[[#This Row],[COSTO TOTAL ALOJAMIENTO]]+Tabla1[[#This Row],[COSTO TOTAL COCHE]]</f>
        <v>288</v>
      </c>
      <c r="S2314" s="2"/>
      <c r="T2314" s="14" t="s">
        <v>35</v>
      </c>
      <c r="U2314" s="14">
        <v>46069</v>
      </c>
      <c r="V2314" s="43"/>
      <c r="W2314" s="12"/>
      <c r="X2314" s="2">
        <v>1</v>
      </c>
      <c r="Y2314" s="11" t="s">
        <v>3865</v>
      </c>
      <c r="Z2314" s="2" t="s">
        <v>36</v>
      </c>
      <c r="AA2314" s="13" t="s">
        <v>10387</v>
      </c>
      <c r="AB2314" s="13" t="s">
        <v>10388</v>
      </c>
    </row>
    <row r="2315" spans="1:28" ht="15" customHeight="1">
      <c r="A2315" s="2" t="s">
        <v>9609</v>
      </c>
      <c r="B2315" s="30" t="s">
        <v>368</v>
      </c>
      <c r="C2315" s="87" t="s">
        <v>3866</v>
      </c>
      <c r="D2315" s="2" t="s">
        <v>30</v>
      </c>
      <c r="E2315" s="2" t="s">
        <v>31</v>
      </c>
      <c r="F2315" s="11" t="s">
        <v>3840</v>
      </c>
      <c r="G2315" s="11" t="s">
        <v>3841</v>
      </c>
      <c r="H2315" s="2" t="s">
        <v>3842</v>
      </c>
      <c r="I2315" s="12" t="s">
        <v>454</v>
      </c>
      <c r="J2315" s="8">
        <f>+Tabla1[[#This Row],[FECHA ENTRADA]]</f>
        <v>45490</v>
      </c>
      <c r="K2315" s="22">
        <v>45821</v>
      </c>
      <c r="L2315" s="13">
        <f>_xlfn.DAYS(Tabla1[[#This Row],[FECHA FIN ]],Tabla1[[#This Row],[FECHA INICIO]])</f>
        <v>331</v>
      </c>
      <c r="M2315" s="12"/>
      <c r="N2315" s="20"/>
      <c r="O2315" s="12">
        <f>(Tabla1[[#This Row],[COSTO FIJO ]]/30)*Tabla1[[#This Row],[TOTAL DIAS PROYECTO]]+(Tabla1[[#This Row],[COSTO TEMPORAL]])</f>
        <v>0</v>
      </c>
      <c r="P2315" s="12"/>
      <c r="Q2315" s="12">
        <f>+(Tabla1[[#This Row],[COSTO COCHE]]/30)*Tabla1[[#This Row],[TOTAL DIAS PROYECTO]]</f>
        <v>0</v>
      </c>
      <c r="R2315" s="12">
        <f>+Tabla1[[#This Row],[COSTO TOTAL ALOJAMIENTO]]+Tabla1[[#This Row],[COSTO TOTAL COCHE]]</f>
        <v>0</v>
      </c>
      <c r="S2315" s="2"/>
      <c r="T2315" s="2" t="s">
        <v>44</v>
      </c>
      <c r="U2315" s="14">
        <v>45490</v>
      </c>
      <c r="V2315" s="14"/>
      <c r="W2315" s="26"/>
      <c r="X2315" s="2"/>
      <c r="Y2315" s="18"/>
      <c r="Z2315" s="2" t="s">
        <v>36</v>
      </c>
      <c r="AA2315" s="13" t="s">
        <v>10323</v>
      </c>
      <c r="AB2315" s="13" t="s">
        <v>10324</v>
      </c>
    </row>
    <row r="2316" spans="1:28" ht="15" customHeight="1">
      <c r="A2316" s="2" t="s">
        <v>9259</v>
      </c>
      <c r="B2316" s="2" t="s">
        <v>28</v>
      </c>
      <c r="C2316" s="18" t="s">
        <v>2628</v>
      </c>
      <c r="D2316" s="2" t="s">
        <v>30</v>
      </c>
      <c r="E2316" s="2" t="s">
        <v>447</v>
      </c>
      <c r="F2316" s="11" t="s">
        <v>840</v>
      </c>
      <c r="G2316" s="11" t="s">
        <v>3867</v>
      </c>
      <c r="H2316" s="2" t="s">
        <v>3868</v>
      </c>
      <c r="I2316" s="12" t="s">
        <v>279</v>
      </c>
      <c r="J2316" s="8">
        <f>+Tabla1[[#This Row],[FECHA ENTRADA]]</f>
        <v>45544</v>
      </c>
      <c r="K2316" s="22">
        <v>45821</v>
      </c>
      <c r="L2316" s="13">
        <f>_xlfn.DAYS(Tabla1[[#This Row],[FECHA FIN ]],Tabla1[[#This Row],[FECHA INICIO]])</f>
        <v>277</v>
      </c>
      <c r="M2316" s="12"/>
      <c r="N2316" s="24"/>
      <c r="O2316" s="12">
        <f>(Tabla1[[#This Row],[COSTO FIJO ]]/30)*Tabla1[[#This Row],[TOTAL DIAS PROYECTO]]+(Tabla1[[#This Row],[COSTO TEMPORAL]])</f>
        <v>0</v>
      </c>
      <c r="P2316" s="12"/>
      <c r="Q2316" s="12">
        <f>+(Tabla1[[#This Row],[COSTO COCHE]]/30)*Tabla1[[#This Row],[TOTAL DIAS PROYECTO]]</f>
        <v>0</v>
      </c>
      <c r="R2316" s="12">
        <f>+Tabla1[[#This Row],[COSTO TOTAL ALOJAMIENTO]]+Tabla1[[#This Row],[COSTO TOTAL COCHE]]</f>
        <v>0</v>
      </c>
      <c r="S2316" s="2"/>
      <c r="T2316" s="2" t="s">
        <v>44</v>
      </c>
      <c r="U2316" s="14">
        <v>45544</v>
      </c>
      <c r="V2316" s="14"/>
      <c r="W2316" s="26"/>
      <c r="X2316" s="2"/>
      <c r="Y2316" s="11"/>
      <c r="Z2316" s="64" t="s">
        <v>36</v>
      </c>
      <c r="AA2316" s="13">
        <v>-697.06100000000004</v>
      </c>
      <c r="AB2316" s="13" t="s">
        <v>10377</v>
      </c>
    </row>
    <row r="2317" spans="1:28" ht="15" customHeight="1">
      <c r="A2317" s="2" t="s">
        <v>9610</v>
      </c>
      <c r="B2317" s="2" t="s">
        <v>368</v>
      </c>
      <c r="C2317" s="231" t="s">
        <v>3869</v>
      </c>
      <c r="D2317" s="2" t="s">
        <v>30</v>
      </c>
      <c r="E2317" s="2" t="s">
        <v>87</v>
      </c>
      <c r="F2317" s="11" t="s">
        <v>1740</v>
      </c>
      <c r="G2317" s="49">
        <v>916607649</v>
      </c>
      <c r="H2317" s="2" t="s">
        <v>1880</v>
      </c>
      <c r="I2317" s="12" t="s">
        <v>1288</v>
      </c>
      <c r="J2317" s="22">
        <v>45504</v>
      </c>
      <c r="K2317" s="22">
        <v>45821</v>
      </c>
      <c r="L2317" s="23">
        <f>_xlfn.DAYS(Tabla1[[#This Row],[FECHA FIN ]],Tabla1[[#This Row],[FECHA INICIO]])</f>
        <v>317</v>
      </c>
      <c r="M2317" s="12"/>
      <c r="N2317" s="24"/>
      <c r="O2317" s="24">
        <f>(Tabla1[[#This Row],[COSTO FIJO ]]/30)*Tabla1[[#This Row],[TOTAL DIAS PROYECTO]]+(Tabla1[[#This Row],[COSTO TEMPORAL]])</f>
        <v>0</v>
      </c>
      <c r="P2317" s="12"/>
      <c r="Q2317" s="12">
        <f>+(Tabla1[[#This Row],[COSTO COCHE]]/30)*Tabla1[[#This Row],[TOTAL DIAS PROYECTO]]</f>
        <v>0</v>
      </c>
      <c r="R2317" s="12">
        <f>+Tabla1[[#This Row],[COSTO TOTAL ALOJAMIENTO]]+Tabla1[[#This Row],[COSTO TOTAL COCHE]]</f>
        <v>0</v>
      </c>
      <c r="S2317" s="2"/>
      <c r="T2317" s="2" t="s">
        <v>44</v>
      </c>
      <c r="U2317" s="14"/>
      <c r="V2317" s="25"/>
      <c r="W2317" s="26"/>
      <c r="X2317" s="2"/>
      <c r="Y2317" s="11"/>
      <c r="Z2317" s="2" t="s">
        <v>36</v>
      </c>
      <c r="AA2317" s="13" t="s">
        <v>10335</v>
      </c>
      <c r="AB2317" s="13">
        <v>404.16500000000002</v>
      </c>
    </row>
    <row r="2318" spans="1:28" ht="15" customHeight="1">
      <c r="A2318" s="2" t="s">
        <v>9504</v>
      </c>
      <c r="B2318" s="30" t="s">
        <v>368</v>
      </c>
      <c r="C2318" s="18" t="s">
        <v>3432</v>
      </c>
      <c r="D2318" s="2" t="s">
        <v>30</v>
      </c>
      <c r="E2318" s="2" t="s">
        <v>31</v>
      </c>
      <c r="F2318" s="11" t="s">
        <v>3840</v>
      </c>
      <c r="G2318" s="11" t="s">
        <v>3841</v>
      </c>
      <c r="H2318" s="2" t="s">
        <v>3842</v>
      </c>
      <c r="I2318" s="12" t="s">
        <v>454</v>
      </c>
      <c r="J2318" s="8">
        <f>+Tabla1[[#This Row],[FECHA ENTRADA]]</f>
        <v>45490</v>
      </c>
      <c r="K2318" s="22">
        <v>45821</v>
      </c>
      <c r="L2318" s="13">
        <f>_xlfn.DAYS(Tabla1[[#This Row],[FECHA FIN ]],Tabla1[[#This Row],[FECHA INICIO]])</f>
        <v>331</v>
      </c>
      <c r="M2318" s="12"/>
      <c r="N2318" s="24"/>
      <c r="O2318" s="12">
        <f>(Tabla1[[#This Row],[COSTO FIJO ]]/30)*Tabla1[[#This Row],[TOTAL DIAS PROYECTO]]+(Tabla1[[#This Row],[COSTO TEMPORAL]])</f>
        <v>0</v>
      </c>
      <c r="P2318" s="12"/>
      <c r="Q2318" s="12">
        <f>+(Tabla1[[#This Row],[COSTO COCHE]]/30)*Tabla1[[#This Row],[TOTAL DIAS PROYECTO]]</f>
        <v>0</v>
      </c>
      <c r="R2318" s="12">
        <f>+Tabla1[[#This Row],[COSTO TOTAL ALOJAMIENTO]]+Tabla1[[#This Row],[COSTO TOTAL COCHE]]</f>
        <v>0</v>
      </c>
      <c r="S2318" s="2"/>
      <c r="T2318" s="2" t="s">
        <v>44</v>
      </c>
      <c r="U2318" s="14">
        <v>45490</v>
      </c>
      <c r="V2318" s="14"/>
      <c r="W2318" s="26"/>
      <c r="X2318" s="2"/>
      <c r="Y2318" s="18" t="s">
        <v>3870</v>
      </c>
      <c r="Z2318" s="2" t="s">
        <v>36</v>
      </c>
      <c r="AA2318" s="13" t="s">
        <v>10323</v>
      </c>
      <c r="AB2318" s="13" t="s">
        <v>10324</v>
      </c>
    </row>
    <row r="2319" spans="1:28" ht="15" customHeight="1">
      <c r="A2319" s="2" t="s">
        <v>9611</v>
      </c>
      <c r="B2319" s="2" t="s">
        <v>28</v>
      </c>
      <c r="C2319" s="18" t="s">
        <v>3871</v>
      </c>
      <c r="D2319" s="2" t="s">
        <v>30</v>
      </c>
      <c r="E2319" s="2" t="s">
        <v>476</v>
      </c>
      <c r="F2319" s="11" t="s">
        <v>3848</v>
      </c>
      <c r="G2319" s="11" t="s">
        <v>3849</v>
      </c>
      <c r="H2319" s="2" t="s">
        <v>1869</v>
      </c>
      <c r="I2319" s="116" t="s">
        <v>3356</v>
      </c>
      <c r="J2319" s="8">
        <f>+Tabla1[[#This Row],[FECHA ENTRADA]]</f>
        <v>45487</v>
      </c>
      <c r="K2319" s="22">
        <v>45821</v>
      </c>
      <c r="L2319" s="13">
        <f>_xlfn.DAYS(Tabla1[[#This Row],[FECHA FIN ]],Tabla1[[#This Row],[FECHA INICIO]])</f>
        <v>334</v>
      </c>
      <c r="M2319" s="12"/>
      <c r="N2319" s="20"/>
      <c r="O2319" s="12">
        <f>(Tabla1[[#This Row],[COSTO FIJO ]]/30)*Tabla1[[#This Row],[TOTAL DIAS PROYECTO]]+(Tabla1[[#This Row],[COSTO TEMPORAL]])</f>
        <v>0</v>
      </c>
      <c r="P2319" s="12"/>
      <c r="Q2319" s="12">
        <f>+(Tabla1[[#This Row],[COSTO COCHE]]/30)*Tabla1[[#This Row],[TOTAL DIAS PROYECTO]]</f>
        <v>0</v>
      </c>
      <c r="R2319" s="12">
        <f>+Tabla1[[#This Row],[COSTO TOTAL ALOJAMIENTO]]+Tabla1[[#This Row],[COSTO TOTAL COCHE]]</f>
        <v>0</v>
      </c>
      <c r="S2319" s="2"/>
      <c r="T2319" s="2" t="s">
        <v>44</v>
      </c>
      <c r="U2319" s="14">
        <v>45487</v>
      </c>
      <c r="V2319" s="14"/>
      <c r="W2319" s="26"/>
      <c r="X2319" s="2"/>
      <c r="Y2319" s="18"/>
      <c r="Z2319" s="2" t="s">
        <v>36</v>
      </c>
      <c r="AA2319" s="13">
        <v>-7.8640699999999999</v>
      </c>
      <c r="AB2319" s="13">
        <v>42.336689999999997</v>
      </c>
    </row>
    <row r="2320" spans="1:28" ht="15" customHeight="1">
      <c r="A2320" s="2" t="s">
        <v>9012</v>
      </c>
      <c r="B2320" s="2" t="s">
        <v>28</v>
      </c>
      <c r="C2320" s="18" t="s">
        <v>1696</v>
      </c>
      <c r="D2320" s="2" t="s">
        <v>30</v>
      </c>
      <c r="E2320" s="2" t="s">
        <v>447</v>
      </c>
      <c r="F2320" s="11" t="s">
        <v>840</v>
      </c>
      <c r="G2320" s="11" t="s">
        <v>3867</v>
      </c>
      <c r="H2320" s="2" t="s">
        <v>3868</v>
      </c>
      <c r="I2320" s="12" t="s">
        <v>279</v>
      </c>
      <c r="J2320" s="8">
        <f>+Tabla1[[#This Row],[FECHA ENTRADA]]</f>
        <v>45544</v>
      </c>
      <c r="K2320" s="22">
        <v>45821</v>
      </c>
      <c r="L2320" s="13">
        <f>_xlfn.DAYS(Tabla1[[#This Row],[FECHA FIN ]],Tabla1[[#This Row],[FECHA INICIO]])</f>
        <v>277</v>
      </c>
      <c r="M2320" s="12"/>
      <c r="N2320" s="20"/>
      <c r="O2320" s="12">
        <f>(Tabla1[[#This Row],[COSTO FIJO ]]/30)*Tabla1[[#This Row],[TOTAL DIAS PROYECTO]]+(Tabla1[[#This Row],[COSTO TEMPORAL]])</f>
        <v>0</v>
      </c>
      <c r="P2320" s="12"/>
      <c r="Q2320" s="12">
        <f>+(Tabla1[[#This Row],[COSTO COCHE]]/30)*Tabla1[[#This Row],[TOTAL DIAS PROYECTO]]</f>
        <v>0</v>
      </c>
      <c r="R2320" s="12">
        <f>+Tabla1[[#This Row],[COSTO TOTAL ALOJAMIENTO]]+Tabla1[[#This Row],[COSTO TOTAL COCHE]]</f>
        <v>0</v>
      </c>
      <c r="S2320" s="2"/>
      <c r="T2320" s="2" t="s">
        <v>44</v>
      </c>
      <c r="U2320" s="14">
        <v>45544</v>
      </c>
      <c r="V2320" s="14"/>
      <c r="W2320" s="26"/>
      <c r="X2320" s="2"/>
      <c r="Y2320" s="11"/>
      <c r="Z2320" s="64" t="s">
        <v>36</v>
      </c>
      <c r="AA2320" s="13">
        <v>-697.06100000000004</v>
      </c>
      <c r="AB2320" s="13" t="s">
        <v>10377</v>
      </c>
    </row>
    <row r="2321" spans="1:28" ht="15" customHeight="1">
      <c r="A2321" s="2" t="s">
        <v>9612</v>
      </c>
      <c r="B2321" s="2" t="s">
        <v>28</v>
      </c>
      <c r="C2321" s="18" t="s">
        <v>3872</v>
      </c>
      <c r="D2321" s="2" t="s">
        <v>78</v>
      </c>
      <c r="E2321" s="2" t="s">
        <v>136</v>
      </c>
      <c r="F2321" s="11" t="s">
        <v>809</v>
      </c>
      <c r="G2321" s="11" t="s">
        <v>810</v>
      </c>
      <c r="H2321" s="2" t="s">
        <v>139</v>
      </c>
      <c r="I2321" s="12" t="s">
        <v>140</v>
      </c>
      <c r="J2321" s="8">
        <f>+Tabla1[[#This Row],[FECHA ENTRADA]]</f>
        <v>45472</v>
      </c>
      <c r="K2321" s="22">
        <v>45821</v>
      </c>
      <c r="L2321" s="13">
        <f>_xlfn.DAYS(Tabla1[[#This Row],[FECHA FIN ]],Tabla1[[#This Row],[FECHA INICIO]])</f>
        <v>349</v>
      </c>
      <c r="M2321" s="12"/>
      <c r="N2321" s="20"/>
      <c r="O2321" s="12">
        <f>(Tabla1[[#This Row],[COSTO FIJO ]]/30)*Tabla1[[#This Row],[TOTAL DIAS PROYECTO]]+(Tabla1[[#This Row],[COSTO TEMPORAL]])</f>
        <v>0</v>
      </c>
      <c r="P2321" s="12">
        <f>542.6/3</f>
        <v>180.86666666666667</v>
      </c>
      <c r="Q2321" s="12">
        <f>+(Tabla1[[#This Row],[COSTO COCHE]]/30)*Tabla1[[#This Row],[TOTAL DIAS PROYECTO]]</f>
        <v>2104.0822222222223</v>
      </c>
      <c r="R2321" s="12">
        <f>+Tabla1[[#This Row],[COSTO TOTAL ALOJAMIENTO]]+Tabla1[[#This Row],[COSTO TOTAL COCHE]]</f>
        <v>2104.0822222222223</v>
      </c>
      <c r="S2321" s="2" t="s">
        <v>84</v>
      </c>
      <c r="T2321" s="2" t="s">
        <v>44</v>
      </c>
      <c r="U2321" s="14">
        <v>45472</v>
      </c>
      <c r="V2321" s="14"/>
      <c r="W2321" s="26"/>
      <c r="X2321" s="16"/>
      <c r="Y2321" s="11" t="s">
        <v>811</v>
      </c>
      <c r="Z2321" s="2" t="s">
        <v>36</v>
      </c>
      <c r="AA2321" s="13" t="s">
        <v>10344</v>
      </c>
      <c r="AB2321" s="13">
        <v>440.18799999999999</v>
      </c>
    </row>
    <row r="2322" spans="1:28" ht="15" customHeight="1">
      <c r="A2322" s="2" t="s">
        <v>9237</v>
      </c>
      <c r="B2322" s="2" t="s">
        <v>368</v>
      </c>
      <c r="C2322" s="11" t="s">
        <v>2545</v>
      </c>
      <c r="D2322" s="2" t="s">
        <v>30</v>
      </c>
      <c r="E2322" s="2" t="s">
        <v>253</v>
      </c>
      <c r="F2322" s="11" t="s">
        <v>1261</v>
      </c>
      <c r="G2322" s="11" t="s">
        <v>772</v>
      </c>
      <c r="H2322" s="2" t="s">
        <v>1575</v>
      </c>
      <c r="I2322" s="12" t="s">
        <v>1576</v>
      </c>
      <c r="J2322" s="22">
        <f>+Tabla1[[#This Row],[FECHA ENTRADA]]</f>
        <v>45698</v>
      </c>
      <c r="K2322" s="22">
        <v>45821</v>
      </c>
      <c r="L2322" s="23">
        <f>_xlfn.DAYS(Tabla1[[#This Row],[FECHA FIN ]],Tabla1[[#This Row],[FECHA INICIO]])</f>
        <v>123</v>
      </c>
      <c r="M2322" s="12"/>
      <c r="N2322" s="12">
        <v>350</v>
      </c>
      <c r="O2322" s="24">
        <f>(Tabla1[[#This Row],[COSTO FIJO ]]/30)*Tabla1[[#This Row],[TOTAL DIAS PROYECTO]]+(Tabla1[[#This Row],[COSTO TEMPORAL]])</f>
        <v>1435</v>
      </c>
      <c r="P2322" s="12"/>
      <c r="Q2322" s="12">
        <f>+(Tabla1[[#This Row],[COSTO COCHE]]/30)*Tabla1[[#This Row],[TOTAL DIAS PROYECTO]]</f>
        <v>0</v>
      </c>
      <c r="R2322" s="12">
        <f>+Tabla1[[#This Row],[COSTO TOTAL ALOJAMIENTO]]+Tabla1[[#This Row],[COSTO TOTAL COCHE]]</f>
        <v>1435</v>
      </c>
      <c r="S2322" s="2"/>
      <c r="T2322" s="2" t="s">
        <v>44</v>
      </c>
      <c r="U2322" s="14">
        <v>45698</v>
      </c>
      <c r="V2322" s="79"/>
      <c r="W2322" s="26"/>
      <c r="X2322" s="2">
        <v>5</v>
      </c>
      <c r="Y2322" s="11"/>
      <c r="Z2322" s="2" t="s">
        <v>36</v>
      </c>
      <c r="AA2322" s="13" t="s">
        <v>10357</v>
      </c>
      <c r="AB2322" s="13" t="s">
        <v>10358</v>
      </c>
    </row>
    <row r="2323" spans="1:28" ht="15" customHeight="1">
      <c r="A2323" s="2" t="s">
        <v>9605</v>
      </c>
      <c r="B2323" s="2" t="s">
        <v>711</v>
      </c>
      <c r="C2323" s="232" t="s">
        <v>3843</v>
      </c>
      <c r="D2323" s="2" t="s">
        <v>30</v>
      </c>
      <c r="E2323" s="2" t="s">
        <v>3400</v>
      </c>
      <c r="F2323" s="11" t="s">
        <v>3873</v>
      </c>
      <c r="G2323" s="11" t="s">
        <v>3874</v>
      </c>
      <c r="H2323" s="2" t="s">
        <v>2163</v>
      </c>
      <c r="I2323" s="12" t="s">
        <v>96</v>
      </c>
      <c r="J2323" s="41">
        <f>+Tabla1[[#This Row],[FECHA ENTRADA]]</f>
        <v>46105</v>
      </c>
      <c r="K2323" s="22">
        <v>46174</v>
      </c>
      <c r="L2323" s="42">
        <f>_xlfn.DAYS(Tabla1[[#This Row],[FECHA FIN ]],Tabla1[[#This Row],[FECHA INICIO]])</f>
        <v>69</v>
      </c>
      <c r="M2323" s="12"/>
      <c r="N2323" s="28">
        <v>400</v>
      </c>
      <c r="O2323" s="28">
        <f>(Tabla1[[#This Row],[COSTO FIJO ]]/30)*Tabla1[[#This Row],[TOTAL DIAS PROYECTO]]+(Tabla1[[#This Row],[COSTO TEMPORAL]])</f>
        <v>920</v>
      </c>
      <c r="P2323" s="12"/>
      <c r="Q2323" s="12">
        <f>+(Tabla1[[#This Row],[COSTO COCHE]]/30)*Tabla1[[#This Row],[TOTAL DIAS PROYECTO]]</f>
        <v>0</v>
      </c>
      <c r="R2323" s="12">
        <f>+Tabla1[[#This Row],[COSTO TOTAL ALOJAMIENTO]]+Tabla1[[#This Row],[COSTO TOTAL COCHE]]</f>
        <v>920</v>
      </c>
      <c r="S2323" s="2"/>
      <c r="T2323" s="14" t="s">
        <v>35</v>
      </c>
      <c r="U2323" s="14">
        <v>46105</v>
      </c>
      <c r="V2323" s="43"/>
      <c r="W2323" s="12">
        <v>400</v>
      </c>
      <c r="X2323" s="2">
        <v>1</v>
      </c>
      <c r="Y2323" s="11" t="s">
        <v>738</v>
      </c>
      <c r="Z2323" s="2" t="s">
        <v>36</v>
      </c>
      <c r="AA2323" s="13" t="e">
        <v>#N/A</v>
      </c>
      <c r="AB2323" s="13" t="e">
        <v>#N/A</v>
      </c>
    </row>
    <row r="2324" spans="1:28" ht="15" customHeight="1">
      <c r="A2324" s="2" t="s">
        <v>9191</v>
      </c>
      <c r="B2324" s="2" t="s">
        <v>28</v>
      </c>
      <c r="C2324" s="11" t="s">
        <v>2374</v>
      </c>
      <c r="D2324" s="2" t="s">
        <v>749</v>
      </c>
      <c r="E2324" s="2" t="s">
        <v>288</v>
      </c>
      <c r="F2324" s="11" t="s">
        <v>928</v>
      </c>
      <c r="G2324" t="s">
        <v>1031</v>
      </c>
      <c r="H2324" s="2" t="s">
        <v>3675</v>
      </c>
      <c r="I2324" s="10" t="s">
        <v>753</v>
      </c>
      <c r="J2324" s="22">
        <f>+Tabla1[[#This Row],[FECHA ENTRADA]]</f>
        <v>45755</v>
      </c>
      <c r="K2324" s="8">
        <v>45877</v>
      </c>
      <c r="L2324" s="13">
        <f>_xlfn.DAYS(Tabla1[[#This Row],[FECHA FIN ]],Tabla1[[#This Row],[FECHA INICIO]])</f>
        <v>122</v>
      </c>
      <c r="M2324" s="12"/>
      <c r="N2324" s="12">
        <v>730</v>
      </c>
      <c r="O2324" s="12">
        <f>(Tabla1[[#This Row],[COSTO FIJO ]]/30)*Tabla1[[#This Row],[TOTAL DIAS PROYECTO]]+(Tabla1[[#This Row],[COSTO TEMPORAL]])</f>
        <v>2968.6666666666665</v>
      </c>
      <c r="P2324" s="12"/>
      <c r="Q2324" s="12">
        <f>+(Tabla1[[#This Row],[COSTO COCHE]]/30)*Tabla1[[#This Row],[TOTAL DIAS PROYECTO]]</f>
        <v>0</v>
      </c>
      <c r="R2324" s="12">
        <f>+Tabla1[[#This Row],[COSTO TOTAL ALOJAMIENTO]]+Tabla1[[#This Row],[COSTO TOTAL COCHE]]</f>
        <v>2968.6666666666665</v>
      </c>
      <c r="S2324" s="2"/>
      <c r="T2324" s="2" t="s">
        <v>44</v>
      </c>
      <c r="U2324" s="14">
        <v>45755</v>
      </c>
      <c r="V2324" s="14">
        <v>45785</v>
      </c>
      <c r="W2324" s="26"/>
      <c r="X2324" s="2"/>
      <c r="Y2324" s="11" t="s">
        <v>3875</v>
      </c>
      <c r="Z2324" s="2" t="s">
        <v>36</v>
      </c>
      <c r="AA2324" s="13" t="s">
        <v>10362</v>
      </c>
      <c r="AB2324" s="13" t="s">
        <v>10363</v>
      </c>
    </row>
    <row r="2325" spans="1:28" ht="15" customHeight="1">
      <c r="A2325" s="2" t="s">
        <v>9613</v>
      </c>
      <c r="B2325" s="2" t="s">
        <v>28</v>
      </c>
      <c r="C2325" s="11" t="s">
        <v>3876</v>
      </c>
      <c r="D2325" s="2" t="s">
        <v>30</v>
      </c>
      <c r="E2325" s="2" t="s">
        <v>259</v>
      </c>
      <c r="F2325" s="11" t="s">
        <v>260</v>
      </c>
      <c r="G2325" s="11" t="s">
        <v>261</v>
      </c>
      <c r="H2325" s="2" t="s">
        <v>3877</v>
      </c>
      <c r="I2325" s="12" t="s">
        <v>263</v>
      </c>
      <c r="J2325" s="8">
        <f>+Tabla1[[#This Row],[FECHA ENTRADA]]</f>
        <v>45494</v>
      </c>
      <c r="K2325" s="22">
        <v>45821</v>
      </c>
      <c r="L2325" s="13">
        <f>_xlfn.DAYS(Tabla1[[#This Row],[FECHA FIN ]],Tabla1[[#This Row],[FECHA INICIO]])</f>
        <v>327</v>
      </c>
      <c r="M2325" s="12"/>
      <c r="N2325" s="12"/>
      <c r="O2325" s="12">
        <f>(Tabla1[[#This Row],[COSTO FIJO ]]/30)*Tabla1[[#This Row],[TOTAL DIAS PROYECTO]]+(Tabla1[[#This Row],[COSTO TEMPORAL]])</f>
        <v>0</v>
      </c>
      <c r="P2325" s="12">
        <v>100</v>
      </c>
      <c r="Q2325" s="12">
        <f>+(Tabla1[[#This Row],[COSTO COCHE]]/30)*Tabla1[[#This Row],[TOTAL DIAS PROYECTO]]</f>
        <v>1090</v>
      </c>
      <c r="R2325" s="12">
        <f>+Tabla1[[#This Row],[COSTO TOTAL ALOJAMIENTO]]+Tabla1[[#This Row],[COSTO TOTAL COCHE]]</f>
        <v>1090</v>
      </c>
      <c r="S2325" s="2"/>
      <c r="T2325" s="2" t="s">
        <v>35</v>
      </c>
      <c r="U2325" s="14">
        <v>45494</v>
      </c>
      <c r="V2325" s="14"/>
      <c r="W2325" s="26"/>
      <c r="X2325" s="2">
        <v>20</v>
      </c>
      <c r="Y2325" s="11"/>
      <c r="Z2325" s="2" t="s">
        <v>36</v>
      </c>
      <c r="AA2325" s="13">
        <v>-0.87734000000000001</v>
      </c>
      <c r="AB2325" s="13" t="s">
        <v>10359</v>
      </c>
    </row>
    <row r="2326" spans="1:28" ht="15" customHeight="1">
      <c r="A2326" s="2" t="s">
        <v>9614</v>
      </c>
      <c r="B2326" s="2" t="s">
        <v>28</v>
      </c>
      <c r="C2326" s="11" t="s">
        <v>3878</v>
      </c>
      <c r="D2326" s="2" t="s">
        <v>30</v>
      </c>
      <c r="E2326" s="2" t="s">
        <v>259</v>
      </c>
      <c r="F2326" s="11" t="s">
        <v>260</v>
      </c>
      <c r="G2326" s="11" t="s">
        <v>261</v>
      </c>
      <c r="H2326" s="2" t="s">
        <v>523</v>
      </c>
      <c r="I2326" s="12" t="s">
        <v>263</v>
      </c>
      <c r="J2326" s="8">
        <f>+Tabla1[[#This Row],[FECHA ENTRADA]]</f>
        <v>45523</v>
      </c>
      <c r="K2326" s="22">
        <v>45821</v>
      </c>
      <c r="L2326" s="13">
        <f>_xlfn.DAYS(Tabla1[[#This Row],[FECHA FIN ]],Tabla1[[#This Row],[FECHA INICIO]])</f>
        <v>298</v>
      </c>
      <c r="M2326" s="12"/>
      <c r="N2326" s="12"/>
      <c r="O2326" s="12">
        <f>(Tabla1[[#This Row],[COSTO FIJO ]]/30)*Tabla1[[#This Row],[TOTAL DIAS PROYECTO]]+(Tabla1[[#This Row],[COSTO TEMPORAL]])</f>
        <v>0</v>
      </c>
      <c r="P2326" s="12"/>
      <c r="Q2326" s="12">
        <f>+(Tabla1[[#This Row],[COSTO COCHE]]/30)*Tabla1[[#This Row],[TOTAL DIAS PROYECTO]]</f>
        <v>0</v>
      </c>
      <c r="R2326" s="12">
        <f>+Tabla1[[#This Row],[COSTO TOTAL ALOJAMIENTO]]+Tabla1[[#This Row],[COSTO TOTAL COCHE]]</f>
        <v>0</v>
      </c>
      <c r="S2326" s="2"/>
      <c r="T2326" s="2" t="s">
        <v>35</v>
      </c>
      <c r="U2326" s="14">
        <v>45523</v>
      </c>
      <c r="V2326" s="14"/>
      <c r="W2326" s="26"/>
      <c r="X2326" s="2">
        <v>20</v>
      </c>
      <c r="Y2326" s="11" t="s">
        <v>3879</v>
      </c>
      <c r="Z2326" s="2" t="s">
        <v>36</v>
      </c>
      <c r="AA2326" s="13">
        <v>-0.87734000000000001</v>
      </c>
      <c r="AB2326" s="13" t="s">
        <v>10359</v>
      </c>
    </row>
    <row r="2327" spans="1:28" ht="15" customHeight="1">
      <c r="A2327" s="2" t="s">
        <v>9615</v>
      </c>
      <c r="B2327" s="2" t="s">
        <v>368</v>
      </c>
      <c r="C2327" s="18" t="s">
        <v>3880</v>
      </c>
      <c r="D2327" s="2" t="s">
        <v>30</v>
      </c>
      <c r="E2327" s="2" t="s">
        <v>31</v>
      </c>
      <c r="F2327" s="11" t="s">
        <v>1305</v>
      </c>
      <c r="G2327" s="11" t="s">
        <v>1306</v>
      </c>
      <c r="H2327" s="2" t="s">
        <v>3106</v>
      </c>
      <c r="I2327" s="29" t="s">
        <v>835</v>
      </c>
      <c r="J2327" s="41">
        <f>+Tabla1[[#This Row],[FECHA ENTRADA]]</f>
        <v>45614</v>
      </c>
      <c r="K2327" s="8">
        <v>45663</v>
      </c>
      <c r="L2327" s="42">
        <f>_xlfn.DAYS(Tabla1[[#This Row],[FECHA FIN ]],Tabla1[[#This Row],[FECHA INICIO]])</f>
        <v>49</v>
      </c>
      <c r="M2327" s="12"/>
      <c r="N2327" s="12">
        <v>400</v>
      </c>
      <c r="O2327" s="28">
        <f>(Tabla1[[#This Row],[COSTO FIJO ]]/30)*Tabla1[[#This Row],[TOTAL DIAS PROYECTO]]+(Tabla1[[#This Row],[COSTO TEMPORAL]])</f>
        <v>653.33333333333337</v>
      </c>
      <c r="P2327" s="12"/>
      <c r="Q2327" s="12">
        <f>+(Tabla1[[#This Row],[COSTO COCHE]]/30)*Tabla1[[#This Row],[TOTAL DIAS PROYECTO]]</f>
        <v>0</v>
      </c>
      <c r="R2327" s="12">
        <f>+Tabla1[[#This Row],[COSTO TOTAL ALOJAMIENTO]]+Tabla1[[#This Row],[COSTO TOTAL COCHE]]</f>
        <v>653.33333333333337</v>
      </c>
      <c r="S2327" s="2"/>
      <c r="T2327" s="2" t="s">
        <v>35</v>
      </c>
      <c r="U2327" s="14">
        <v>45614</v>
      </c>
      <c r="V2327" s="43"/>
      <c r="W2327" s="26">
        <v>200</v>
      </c>
      <c r="X2327" s="2">
        <v>8</v>
      </c>
      <c r="Y2327" s="11" t="s">
        <v>1166</v>
      </c>
      <c r="Z2327" s="2" t="s">
        <v>36</v>
      </c>
      <c r="AA2327" s="13" t="s">
        <v>10323</v>
      </c>
      <c r="AB2327" s="13" t="s">
        <v>10324</v>
      </c>
    </row>
    <row r="2328" spans="1:28" ht="15" customHeight="1">
      <c r="A2328" s="2" t="s">
        <v>9513</v>
      </c>
      <c r="B2328" s="2" t="s">
        <v>28</v>
      </c>
      <c r="C2328" s="227" t="s">
        <v>3487</v>
      </c>
      <c r="D2328" s="2" t="s">
        <v>30</v>
      </c>
      <c r="E2328" s="2" t="s">
        <v>114</v>
      </c>
      <c r="F2328" s="11" t="s">
        <v>3881</v>
      </c>
      <c r="G2328" s="11" t="s">
        <v>3882</v>
      </c>
      <c r="H2328" s="2">
        <v>2023</v>
      </c>
      <c r="I2328" s="2" t="s">
        <v>118</v>
      </c>
      <c r="J2328" s="8">
        <f>+Tabla1[[#This Row],[FECHA ENTRADA]]</f>
        <v>45315</v>
      </c>
      <c r="K2328" s="22">
        <v>45821</v>
      </c>
      <c r="L2328" s="13">
        <f>_xlfn.DAYS(Tabla1[[#This Row],[FECHA FIN ]],Tabla1[[#This Row],[FECHA INICIO]])</f>
        <v>506</v>
      </c>
      <c r="M2328" s="12"/>
      <c r="N2328" s="12">
        <v>110</v>
      </c>
      <c r="O2328" s="12">
        <f>(Tabla1[[#This Row],[COSTO FIJO ]]/30)*Tabla1[[#This Row],[TOTAL DIAS PROYECTO]]+(Tabla1[[#This Row],[COSTO TEMPORAL]])</f>
        <v>1855.3333333333333</v>
      </c>
      <c r="P2328" s="12"/>
      <c r="Q2328" s="12">
        <f>+(Tabla1[[#This Row],[COSTO COCHE]]/30)*Tabla1[[#This Row],[TOTAL DIAS PROYECTO]]</f>
        <v>0</v>
      </c>
      <c r="R2328" s="12">
        <f>+Tabla1[[#This Row],[COSTO TOTAL ALOJAMIENTO]]+Tabla1[[#This Row],[COSTO TOTAL COCHE]]</f>
        <v>1855.3333333333333</v>
      </c>
      <c r="S2328" s="2"/>
      <c r="T2328" s="2" t="s">
        <v>35</v>
      </c>
      <c r="U2328" s="14">
        <v>45315</v>
      </c>
      <c r="V2328" s="14">
        <v>45405</v>
      </c>
      <c r="W2328" s="15"/>
      <c r="X2328" s="16">
        <v>21</v>
      </c>
      <c r="Y2328" s="18" t="s">
        <v>223</v>
      </c>
      <c r="Z2328" s="2" t="s">
        <v>36</v>
      </c>
      <c r="AA2328" s="13" t="s">
        <v>10340</v>
      </c>
      <c r="AB2328" s="13" t="s">
        <v>10341</v>
      </c>
    </row>
    <row r="2329" spans="1:28" ht="15" customHeight="1">
      <c r="A2329" s="2" t="s">
        <v>9366</v>
      </c>
      <c r="B2329" s="2" t="s">
        <v>28</v>
      </c>
      <c r="C2329" s="227" t="s">
        <v>2943</v>
      </c>
      <c r="D2329" s="2" t="s">
        <v>30</v>
      </c>
      <c r="E2329" s="2" t="s">
        <v>114</v>
      </c>
      <c r="F2329" s="11" t="s">
        <v>3881</v>
      </c>
      <c r="G2329" s="11" t="s">
        <v>3882</v>
      </c>
      <c r="H2329" s="2"/>
      <c r="I2329" s="2" t="s">
        <v>118</v>
      </c>
      <c r="J2329" s="8">
        <f>+Tabla1[[#This Row],[FECHA ENTRADA]]</f>
        <v>45315</v>
      </c>
      <c r="K2329" s="22">
        <v>45821</v>
      </c>
      <c r="L2329" s="13">
        <f>_xlfn.DAYS(Tabla1[[#This Row],[FECHA FIN ]],Tabla1[[#This Row],[FECHA INICIO]])</f>
        <v>506</v>
      </c>
      <c r="M2329" s="12"/>
      <c r="N2329" s="12">
        <v>110</v>
      </c>
      <c r="O2329" s="12">
        <f>(Tabla1[[#This Row],[COSTO FIJO ]]/30)*Tabla1[[#This Row],[TOTAL DIAS PROYECTO]]+(Tabla1[[#This Row],[COSTO TEMPORAL]])</f>
        <v>1855.3333333333333</v>
      </c>
      <c r="P2329" s="12"/>
      <c r="Q2329" s="12">
        <f>+(Tabla1[[#This Row],[COSTO COCHE]]/30)*Tabla1[[#This Row],[TOTAL DIAS PROYECTO]]</f>
        <v>0</v>
      </c>
      <c r="R2329" s="12">
        <f>+Tabla1[[#This Row],[COSTO TOTAL ALOJAMIENTO]]+Tabla1[[#This Row],[COSTO TOTAL COCHE]]</f>
        <v>1855.3333333333333</v>
      </c>
      <c r="S2329" s="2"/>
      <c r="T2329" s="2" t="s">
        <v>35</v>
      </c>
      <c r="U2329" s="14">
        <v>45315</v>
      </c>
      <c r="V2329" s="14"/>
      <c r="W2329" s="15">
        <v>550</v>
      </c>
      <c r="X2329" s="16">
        <v>21</v>
      </c>
      <c r="Y2329" s="18" t="s">
        <v>3883</v>
      </c>
      <c r="Z2329" s="2" t="s">
        <v>36</v>
      </c>
      <c r="AA2329" s="13" t="s">
        <v>10340</v>
      </c>
      <c r="AB2329" s="13" t="s">
        <v>10341</v>
      </c>
    </row>
    <row r="2330" spans="1:28" ht="15" customHeight="1">
      <c r="A2330" s="2" t="s">
        <v>9419</v>
      </c>
      <c r="B2330" s="2" t="s">
        <v>28</v>
      </c>
      <c r="C2330" s="227" t="s">
        <v>3107</v>
      </c>
      <c r="D2330" s="2" t="s">
        <v>30</v>
      </c>
      <c r="E2330" s="2" t="s">
        <v>114</v>
      </c>
      <c r="F2330" s="11" t="s">
        <v>3881</v>
      </c>
      <c r="G2330" s="11" t="s">
        <v>3882</v>
      </c>
      <c r="H2330" s="2">
        <v>2023</v>
      </c>
      <c r="I2330" s="2" t="s">
        <v>118</v>
      </c>
      <c r="J2330" s="8">
        <f>+Tabla1[[#This Row],[FECHA ENTRADA]]</f>
        <v>45315</v>
      </c>
      <c r="K2330" s="22">
        <v>45821</v>
      </c>
      <c r="L2330" s="13">
        <f>_xlfn.DAYS(Tabla1[[#This Row],[FECHA FIN ]],Tabla1[[#This Row],[FECHA INICIO]])</f>
        <v>506</v>
      </c>
      <c r="M2330" s="12"/>
      <c r="N2330" s="12">
        <v>110</v>
      </c>
      <c r="O2330" s="12">
        <f>(Tabla1[[#This Row],[COSTO FIJO ]]/30)*Tabla1[[#This Row],[TOTAL DIAS PROYECTO]]+(Tabla1[[#This Row],[COSTO TEMPORAL]])</f>
        <v>1855.3333333333333</v>
      </c>
      <c r="P2330" s="12"/>
      <c r="Q2330" s="12">
        <f>+(Tabla1[[#This Row],[COSTO COCHE]]/30)*Tabla1[[#This Row],[TOTAL DIAS PROYECTO]]</f>
        <v>0</v>
      </c>
      <c r="R2330" s="12">
        <f>+Tabla1[[#This Row],[COSTO TOTAL ALOJAMIENTO]]+Tabla1[[#This Row],[COSTO TOTAL COCHE]]</f>
        <v>1855.3333333333333</v>
      </c>
      <c r="S2330" s="2"/>
      <c r="T2330" s="2" t="s">
        <v>35</v>
      </c>
      <c r="U2330" s="14">
        <v>45315</v>
      </c>
      <c r="V2330" s="14">
        <v>45405</v>
      </c>
      <c r="W2330" s="15"/>
      <c r="X2330" s="16">
        <v>21</v>
      </c>
      <c r="Y2330" s="18" t="s">
        <v>223</v>
      </c>
      <c r="Z2330" s="2" t="s">
        <v>36</v>
      </c>
      <c r="AA2330" s="13" t="s">
        <v>10340</v>
      </c>
      <c r="AB2330" s="13" t="s">
        <v>10341</v>
      </c>
    </row>
    <row r="2331" spans="1:28" ht="15" customHeight="1">
      <c r="A2331" s="2" t="s">
        <v>8788</v>
      </c>
      <c r="B2331" s="2" t="s">
        <v>368</v>
      </c>
      <c r="C2331" s="227" t="s">
        <v>765</v>
      </c>
      <c r="D2331" s="2" t="s">
        <v>30</v>
      </c>
      <c r="E2331" s="2" t="s">
        <v>213</v>
      </c>
      <c r="F2331" s="11" t="s">
        <v>1733</v>
      </c>
      <c r="G2331" s="21" t="s">
        <v>1734</v>
      </c>
      <c r="H2331" s="2" t="s">
        <v>1735</v>
      </c>
      <c r="I2331" s="12" t="s">
        <v>1043</v>
      </c>
      <c r="J2331" s="8">
        <f>+Tabla1[[#This Row],[FECHA ENTRADA]]</f>
        <v>45546</v>
      </c>
      <c r="K2331" s="22">
        <v>45821</v>
      </c>
      <c r="L2331" s="13">
        <f>_xlfn.DAYS(Tabla1[[#This Row],[FECHA FIN ]],Tabla1[[#This Row],[FECHA INICIO]])</f>
        <v>275</v>
      </c>
      <c r="M2331" s="12"/>
      <c r="N2331" s="12"/>
      <c r="O2331" s="12">
        <f>(Tabla1[[#This Row],[COSTO FIJO ]]/30)*Tabla1[[#This Row],[TOTAL DIAS PROYECTO]]+(Tabla1[[#This Row],[COSTO TEMPORAL]])</f>
        <v>0</v>
      </c>
      <c r="P2331" s="12"/>
      <c r="Q2331" s="12">
        <f>+(Tabla1[[#This Row],[COSTO COCHE]]/30)*Tabla1[[#This Row],[TOTAL DIAS PROYECTO]]</f>
        <v>0</v>
      </c>
      <c r="R2331" s="12">
        <f>+Tabla1[[#This Row],[COSTO TOTAL ALOJAMIENTO]]+Tabla1[[#This Row],[COSTO TOTAL COCHE]]</f>
        <v>0</v>
      </c>
      <c r="S2331" s="2"/>
      <c r="T2331" s="2" t="s">
        <v>35</v>
      </c>
      <c r="U2331" s="14">
        <v>45546</v>
      </c>
      <c r="V2331" s="14"/>
      <c r="W2331" s="26"/>
      <c r="X2331" s="2">
        <v>21</v>
      </c>
      <c r="Y2331" s="11" t="s">
        <v>1736</v>
      </c>
      <c r="Z2331" s="64" t="s">
        <v>36</v>
      </c>
      <c r="AA2331" s="13" t="s">
        <v>10349</v>
      </c>
      <c r="AB2331" s="13" t="s">
        <v>10350</v>
      </c>
    </row>
    <row r="2332" spans="1:28">
      <c r="A2332" s="2" t="s">
        <v>9616</v>
      </c>
      <c r="B2332" s="2" t="s">
        <v>28</v>
      </c>
      <c r="C2332" s="227" t="s">
        <v>3884</v>
      </c>
      <c r="D2332" s="2" t="s">
        <v>30</v>
      </c>
      <c r="E2332" s="2" t="s">
        <v>114</v>
      </c>
      <c r="F2332" s="11" t="s">
        <v>3881</v>
      </c>
      <c r="G2332" s="11" t="s">
        <v>3882</v>
      </c>
      <c r="H2332" s="2" t="s">
        <v>3885</v>
      </c>
      <c r="I2332" s="2" t="s">
        <v>158</v>
      </c>
      <c r="J2332" s="8">
        <f>+Tabla1[[#This Row],[FECHA ENTRADA]]</f>
        <v>45347</v>
      </c>
      <c r="K2332" s="22">
        <v>45821</v>
      </c>
      <c r="L2332" s="13">
        <f>_xlfn.DAYS(Tabla1[[#This Row],[FECHA FIN ]],Tabla1[[#This Row],[FECHA INICIO]])</f>
        <v>474</v>
      </c>
      <c r="M2332" s="12"/>
      <c r="N2332" s="12">
        <v>110</v>
      </c>
      <c r="O2332" s="12">
        <f>(Tabla1[[#This Row],[COSTO FIJO ]]/30)*Tabla1[[#This Row],[TOTAL DIAS PROYECTO]]+(Tabla1[[#This Row],[COSTO TEMPORAL]])</f>
        <v>1738</v>
      </c>
      <c r="P2332" s="12"/>
      <c r="Q2332" s="12">
        <f>+(Tabla1[[#This Row],[COSTO COCHE]]/30)*Tabla1[[#This Row],[TOTAL DIAS PROYECTO]]</f>
        <v>0</v>
      </c>
      <c r="R2332" s="12">
        <f>+Tabla1[[#This Row],[COSTO TOTAL ALOJAMIENTO]]+Tabla1[[#This Row],[COSTO TOTAL COCHE]]</f>
        <v>1738</v>
      </c>
      <c r="S2332" s="2"/>
      <c r="T2332" s="2" t="s">
        <v>35</v>
      </c>
      <c r="U2332" s="14">
        <v>45347</v>
      </c>
      <c r="V2332" s="14">
        <v>45387</v>
      </c>
      <c r="W2332" s="15"/>
      <c r="X2332" s="16">
        <v>21</v>
      </c>
      <c r="Y2332" s="18" t="s">
        <v>3886</v>
      </c>
      <c r="Z2332" s="2" t="s">
        <v>36</v>
      </c>
      <c r="AA2332" s="13" t="s">
        <v>10340</v>
      </c>
      <c r="AB2332" s="13" t="s">
        <v>10341</v>
      </c>
    </row>
    <row r="2333" spans="1:28" ht="15" customHeight="1">
      <c r="A2333" s="2" t="s">
        <v>9396</v>
      </c>
      <c r="B2333" s="2" t="s">
        <v>28</v>
      </c>
      <c r="C2333" s="227" t="s">
        <v>3033</v>
      </c>
      <c r="D2333" s="2" t="s">
        <v>30</v>
      </c>
      <c r="E2333" s="2" t="s">
        <v>114</v>
      </c>
      <c r="F2333" s="11" t="s">
        <v>3881</v>
      </c>
      <c r="G2333" s="11" t="s">
        <v>3882</v>
      </c>
      <c r="H2333" s="2" t="s">
        <v>3885</v>
      </c>
      <c r="I2333" s="2" t="s">
        <v>158</v>
      </c>
      <c r="J2333" s="8">
        <f>+Tabla1[[#This Row],[FECHA ENTRADA]]</f>
        <v>45347</v>
      </c>
      <c r="K2333" s="22">
        <v>45821</v>
      </c>
      <c r="L2333" s="13">
        <f>_xlfn.DAYS(Tabla1[[#This Row],[FECHA FIN ]],Tabla1[[#This Row],[FECHA INICIO]])</f>
        <v>474</v>
      </c>
      <c r="M2333" s="12"/>
      <c r="N2333" s="12">
        <v>110</v>
      </c>
      <c r="O2333" s="12">
        <f>(Tabla1[[#This Row],[COSTO FIJO ]]/30)*Tabla1[[#This Row],[TOTAL DIAS PROYECTO]]+(Tabla1[[#This Row],[COSTO TEMPORAL]])</f>
        <v>1738</v>
      </c>
      <c r="P2333" s="12"/>
      <c r="Q2333" s="12">
        <f>+(Tabla1[[#This Row],[COSTO COCHE]]/30)*Tabla1[[#This Row],[TOTAL DIAS PROYECTO]]</f>
        <v>0</v>
      </c>
      <c r="R2333" s="12">
        <f>+Tabla1[[#This Row],[COSTO TOTAL ALOJAMIENTO]]+Tabla1[[#This Row],[COSTO TOTAL COCHE]]</f>
        <v>1738</v>
      </c>
      <c r="S2333" s="2"/>
      <c r="T2333" s="2" t="s">
        <v>35</v>
      </c>
      <c r="U2333" s="14">
        <v>45347</v>
      </c>
      <c r="V2333" s="14">
        <v>45387</v>
      </c>
      <c r="W2333" s="15"/>
      <c r="X2333" s="16">
        <v>21</v>
      </c>
      <c r="Y2333" s="18" t="s">
        <v>3886</v>
      </c>
      <c r="Z2333" s="2" t="s">
        <v>36</v>
      </c>
      <c r="AA2333" s="13" t="s">
        <v>10340</v>
      </c>
      <c r="AB2333" s="13" t="s">
        <v>10341</v>
      </c>
    </row>
    <row r="2334" spans="1:28" ht="15" customHeight="1">
      <c r="A2334" s="2" t="s">
        <v>9161</v>
      </c>
      <c r="B2334" s="2" t="s">
        <v>28</v>
      </c>
      <c r="C2334" s="227" t="s">
        <v>2281</v>
      </c>
      <c r="D2334" s="2" t="s">
        <v>30</v>
      </c>
      <c r="E2334" s="2" t="s">
        <v>253</v>
      </c>
      <c r="F2334" s="11" t="s">
        <v>3577</v>
      </c>
      <c r="G2334" s="11" t="s">
        <v>660</v>
      </c>
      <c r="H2334" s="2">
        <v>2023</v>
      </c>
      <c r="I2334" s="2" t="s">
        <v>256</v>
      </c>
      <c r="J2334" s="8">
        <v>45314</v>
      </c>
      <c r="K2334" s="22">
        <v>45821</v>
      </c>
      <c r="L2334" s="13">
        <f>_xlfn.DAYS(Tabla1[[#This Row],[FECHA FIN ]],Tabla1[[#This Row],[FECHA INICIO]])</f>
        <v>507</v>
      </c>
      <c r="M2334" s="12"/>
      <c r="N2334" s="12"/>
      <c r="O2334" s="12">
        <f>(Tabla1[[#This Row],[COSTO FIJO ]]/30)*Tabla1[[#This Row],[TOTAL DIAS PROYECTO]]+(Tabla1[[#This Row],[COSTO TEMPORAL]])</f>
        <v>0</v>
      </c>
      <c r="P2334" s="12"/>
      <c r="Q2334" s="12">
        <f>+(Tabla1[[#This Row],[COSTO COCHE]]/30)*Tabla1[[#This Row],[TOTAL DIAS PROYECTO]]</f>
        <v>0</v>
      </c>
      <c r="R2334" s="12">
        <f>+Tabla1[[#This Row],[COSTO TOTAL ALOJAMIENTO]]+Tabla1[[#This Row],[COSTO TOTAL COCHE]]</f>
        <v>0</v>
      </c>
      <c r="S2334" s="2"/>
      <c r="T2334" s="2" t="s">
        <v>35</v>
      </c>
      <c r="U2334" s="14"/>
      <c r="V2334" s="14"/>
      <c r="W2334" s="15"/>
      <c r="X2334" s="16">
        <v>22</v>
      </c>
      <c r="Y2334" s="31" t="s">
        <v>839</v>
      </c>
      <c r="Z2334" s="2" t="s">
        <v>36</v>
      </c>
      <c r="AA2334" s="13" t="s">
        <v>10357</v>
      </c>
      <c r="AB2334" s="13" t="s">
        <v>10358</v>
      </c>
    </row>
    <row r="2335" spans="1:28" ht="15" customHeight="1">
      <c r="A2335" s="2" t="s">
        <v>9142</v>
      </c>
      <c r="B2335" s="2" t="s">
        <v>368</v>
      </c>
      <c r="C2335" s="227" t="s">
        <v>2192</v>
      </c>
      <c r="D2335" s="2" t="s">
        <v>30</v>
      </c>
      <c r="E2335" s="2" t="s">
        <v>985</v>
      </c>
      <c r="F2335" s="11" t="s">
        <v>1848</v>
      </c>
      <c r="G2335" s="49" t="s">
        <v>1849</v>
      </c>
      <c r="H2335" s="2" t="s">
        <v>2193</v>
      </c>
      <c r="I2335" s="12" t="s">
        <v>989</v>
      </c>
      <c r="J2335" s="41">
        <f>+Tabla1[[#This Row],[FECHA ENTRADA]]</f>
        <v>45627</v>
      </c>
      <c r="K2335" s="8">
        <v>45744</v>
      </c>
      <c r="L2335" s="42">
        <f>_xlfn.DAYS(Tabla1[[#This Row],[FECHA FIN ]],Tabla1[[#This Row],[FECHA INICIO]])</f>
        <v>117</v>
      </c>
      <c r="M2335" s="12"/>
      <c r="N2335" s="24">
        <v>140</v>
      </c>
      <c r="O2335" s="28">
        <f>(Tabla1[[#This Row],[COSTO FIJO ]]/30)*Tabla1[[#This Row],[TOTAL DIAS PROYECTO]]+(Tabla1[[#This Row],[COSTO TEMPORAL]])</f>
        <v>546</v>
      </c>
      <c r="P2335" s="12"/>
      <c r="Q2335" s="12">
        <f>+(Tabla1[[#This Row],[COSTO COCHE]]/30)*Tabla1[[#This Row],[TOTAL DIAS PROYECTO]]</f>
        <v>0</v>
      </c>
      <c r="R2335" s="12">
        <f>+Tabla1[[#This Row],[COSTO TOTAL ALOJAMIENTO]]+Tabla1[[#This Row],[COSTO TOTAL COCHE]]</f>
        <v>546</v>
      </c>
      <c r="S2335" s="2"/>
      <c r="T2335" s="2" t="s">
        <v>44</v>
      </c>
      <c r="U2335" s="14">
        <v>45627</v>
      </c>
      <c r="V2335" s="43">
        <v>45733</v>
      </c>
      <c r="W2335" s="26"/>
      <c r="X2335" s="2">
        <v>15</v>
      </c>
      <c r="Y2335" s="11" t="s">
        <v>3887</v>
      </c>
      <c r="Z2335" s="2" t="s">
        <v>36</v>
      </c>
      <c r="AA2335" s="13" t="s">
        <v>10407</v>
      </c>
      <c r="AB2335" s="13" t="s">
        <v>10408</v>
      </c>
    </row>
    <row r="2336" spans="1:28" ht="15" customHeight="1">
      <c r="A2336" s="2" t="s">
        <v>9617</v>
      </c>
      <c r="B2336" s="2" t="s">
        <v>28</v>
      </c>
      <c r="C2336" s="227" t="s">
        <v>3888</v>
      </c>
      <c r="D2336" s="2" t="s">
        <v>30</v>
      </c>
      <c r="E2336" s="2" t="s">
        <v>476</v>
      </c>
      <c r="F2336" s="11" t="s">
        <v>1488</v>
      </c>
      <c r="G2336" s="11"/>
      <c r="H2336" s="2"/>
      <c r="I2336" s="2" t="s">
        <v>165</v>
      </c>
      <c r="J2336" s="8">
        <f>+Tabla1[[#This Row],[FECHA ENTRADA]]</f>
        <v>45317</v>
      </c>
      <c r="K2336" s="22">
        <v>45821</v>
      </c>
      <c r="L2336" s="13">
        <f>_xlfn.DAYS(Tabla1[[#This Row],[FECHA FIN ]],Tabla1[[#This Row],[FECHA INICIO]])</f>
        <v>504</v>
      </c>
      <c r="M2336" s="12"/>
      <c r="N2336" s="12"/>
      <c r="O2336" s="12">
        <f>(Tabla1[[#This Row],[COSTO FIJO ]]/30)*Tabla1[[#This Row],[TOTAL DIAS PROYECTO]]+(Tabla1[[#This Row],[COSTO TEMPORAL]])</f>
        <v>0</v>
      </c>
      <c r="P2336" s="12"/>
      <c r="Q2336" s="12">
        <f>+(Tabla1[[#This Row],[COSTO COCHE]]/30)*Tabla1[[#This Row],[TOTAL DIAS PROYECTO]]</f>
        <v>0</v>
      </c>
      <c r="R2336" s="12">
        <f>+Tabla1[[#This Row],[COSTO TOTAL ALOJAMIENTO]]+Tabla1[[#This Row],[COSTO TOTAL COCHE]]</f>
        <v>0</v>
      </c>
      <c r="S2336" s="2"/>
      <c r="T2336" s="2" t="s">
        <v>35</v>
      </c>
      <c r="U2336" s="14">
        <v>45317</v>
      </c>
      <c r="V2336" s="14"/>
      <c r="W2336" s="15"/>
      <c r="X2336" s="16">
        <v>22</v>
      </c>
      <c r="Y2336" s="18"/>
      <c r="Z2336" s="2" t="s">
        <v>36</v>
      </c>
      <c r="AA2336" s="13">
        <v>-7.8640699999999999</v>
      </c>
      <c r="AB2336" s="13">
        <v>42.336689999999997</v>
      </c>
    </row>
    <row r="2337" spans="1:28" ht="15" customHeight="1">
      <c r="A2337" s="2" t="s">
        <v>9219</v>
      </c>
      <c r="B2337" s="2" t="s">
        <v>368</v>
      </c>
      <c r="C2337" s="227" t="s">
        <v>2487</v>
      </c>
      <c r="D2337" s="2" t="s">
        <v>30</v>
      </c>
      <c r="E2337" s="2" t="s">
        <v>985</v>
      </c>
      <c r="F2337" s="11" t="s">
        <v>3889</v>
      </c>
      <c r="G2337" s="46" t="s">
        <v>987</v>
      </c>
      <c r="H2337" s="2" t="s">
        <v>1128</v>
      </c>
      <c r="I2337" s="12" t="s">
        <v>989</v>
      </c>
      <c r="J2337" s="41">
        <f>+Tabla1[[#This Row],[FECHA ENTRADA]]</f>
        <v>45618</v>
      </c>
      <c r="K2337" s="22">
        <v>45821</v>
      </c>
      <c r="L2337" s="42">
        <f>_xlfn.DAYS(Tabla1[[#This Row],[FECHA FIN ]],Tabla1[[#This Row],[FECHA INICIO]])</f>
        <v>203</v>
      </c>
      <c r="M2337" s="12"/>
      <c r="N2337" s="12"/>
      <c r="O2337" s="28">
        <f>(Tabla1[[#This Row],[COSTO FIJO ]]/30)*Tabla1[[#This Row],[TOTAL DIAS PROYECTO]]+(Tabla1[[#This Row],[COSTO TEMPORAL]])</f>
        <v>0</v>
      </c>
      <c r="P2337" s="12"/>
      <c r="Q2337" s="12">
        <f>+(Tabla1[[#This Row],[COSTO COCHE]]/30)*Tabla1[[#This Row],[TOTAL DIAS PROYECTO]]</f>
        <v>0</v>
      </c>
      <c r="R2337" s="12">
        <f>+Tabla1[[#This Row],[COSTO TOTAL ALOJAMIENTO]]+Tabla1[[#This Row],[COSTO TOTAL COCHE]]</f>
        <v>0</v>
      </c>
      <c r="S2337" s="2"/>
      <c r="T2337" s="2" t="s">
        <v>35</v>
      </c>
      <c r="U2337" s="14">
        <v>45618</v>
      </c>
      <c r="V2337" s="43">
        <v>45788</v>
      </c>
      <c r="W2337" s="26"/>
      <c r="X2337" s="2">
        <v>22</v>
      </c>
      <c r="Y2337" s="11" t="s">
        <v>2488</v>
      </c>
      <c r="Z2337" s="2" t="s">
        <v>36</v>
      </c>
      <c r="AA2337" s="13" t="s">
        <v>10407</v>
      </c>
      <c r="AB2337" s="13" t="s">
        <v>10408</v>
      </c>
    </row>
    <row r="2338" spans="1:28" ht="15" customHeight="1">
      <c r="A2338" s="2" t="s">
        <v>9207</v>
      </c>
      <c r="B2338" s="2" t="s">
        <v>28</v>
      </c>
      <c r="C2338" s="227" t="s">
        <v>2430</v>
      </c>
      <c r="D2338" s="2" t="s">
        <v>99</v>
      </c>
      <c r="E2338" s="2" t="s">
        <v>259</v>
      </c>
      <c r="F2338" s="11" t="s">
        <v>260</v>
      </c>
      <c r="G2338" s="11" t="s">
        <v>261</v>
      </c>
      <c r="H2338" s="2" t="s">
        <v>2431</v>
      </c>
      <c r="I2338" s="12" t="s">
        <v>263</v>
      </c>
      <c r="J2338" s="41">
        <f>+Tabla1[[#This Row],[FECHA ENTRADA]]</f>
        <v>45739</v>
      </c>
      <c r="K2338" s="22">
        <v>45821</v>
      </c>
      <c r="L2338" s="42">
        <f>_xlfn.DAYS(Tabla1[[#This Row],[FECHA FIN ]],Tabla1[[#This Row],[FECHA INICIO]])</f>
        <v>82</v>
      </c>
      <c r="M2338" s="12"/>
      <c r="N2338" s="12"/>
      <c r="O2338" s="28">
        <f>(Tabla1[[#This Row],[COSTO FIJO ]]/30)*Tabla1[[#This Row],[TOTAL DIAS PROYECTO]]+(Tabla1[[#This Row],[COSTO TEMPORAL]])</f>
        <v>0</v>
      </c>
      <c r="P2338" s="12"/>
      <c r="Q2338" s="12">
        <f>+(Tabla1[[#This Row],[COSTO COCHE]]/30)*Tabla1[[#This Row],[TOTAL DIAS PROYECTO]]</f>
        <v>0</v>
      </c>
      <c r="R2338" s="12">
        <f>+Tabla1[[#This Row],[COSTO TOTAL ALOJAMIENTO]]+Tabla1[[#This Row],[COSTO TOTAL COCHE]]</f>
        <v>0</v>
      </c>
      <c r="S2338" s="2"/>
      <c r="T2338" s="2" t="s">
        <v>35</v>
      </c>
      <c r="U2338" s="14">
        <v>45739</v>
      </c>
      <c r="V2338" s="43"/>
      <c r="W2338" s="26"/>
      <c r="X2338" s="2">
        <v>22</v>
      </c>
      <c r="Y2338" s="11" t="s">
        <v>1166</v>
      </c>
      <c r="Z2338" s="2" t="s">
        <v>36</v>
      </c>
      <c r="AA2338" s="13">
        <v>-0.87734000000000001</v>
      </c>
      <c r="AB2338" s="13" t="s">
        <v>10359</v>
      </c>
    </row>
    <row r="2339" spans="1:28" ht="15" customHeight="1">
      <c r="A2339" s="2" t="s">
        <v>9208</v>
      </c>
      <c r="B2339" s="2" t="s">
        <v>28</v>
      </c>
      <c r="C2339" s="227" t="s">
        <v>2432</v>
      </c>
      <c r="D2339" s="2" t="s">
        <v>99</v>
      </c>
      <c r="E2339" s="2" t="s">
        <v>259</v>
      </c>
      <c r="F2339" s="11" t="s">
        <v>260</v>
      </c>
      <c r="G2339" s="11" t="s">
        <v>261</v>
      </c>
      <c r="H2339" s="2" t="s">
        <v>2431</v>
      </c>
      <c r="I2339" s="12" t="s">
        <v>263</v>
      </c>
      <c r="J2339" s="41">
        <f>+Tabla1[[#This Row],[FECHA ENTRADA]]</f>
        <v>45739</v>
      </c>
      <c r="K2339" s="22">
        <v>45821</v>
      </c>
      <c r="L2339" s="42">
        <f>_xlfn.DAYS(Tabla1[[#This Row],[FECHA FIN ]],Tabla1[[#This Row],[FECHA INICIO]])</f>
        <v>82</v>
      </c>
      <c r="M2339" s="12"/>
      <c r="N2339" s="12"/>
      <c r="O2339" s="28">
        <f>(Tabla1[[#This Row],[COSTO FIJO ]]/30)*Tabla1[[#This Row],[TOTAL DIAS PROYECTO]]+(Tabla1[[#This Row],[COSTO TEMPORAL]])</f>
        <v>0</v>
      </c>
      <c r="P2339" s="12"/>
      <c r="Q2339" s="12">
        <f>+(Tabla1[[#This Row],[COSTO COCHE]]/30)*Tabla1[[#This Row],[TOTAL DIAS PROYECTO]]</f>
        <v>0</v>
      </c>
      <c r="R2339" s="12">
        <f>+Tabla1[[#This Row],[COSTO TOTAL ALOJAMIENTO]]+Tabla1[[#This Row],[COSTO TOTAL COCHE]]</f>
        <v>0</v>
      </c>
      <c r="S2339" s="2"/>
      <c r="T2339" s="2" t="s">
        <v>35</v>
      </c>
      <c r="U2339" s="14">
        <v>45739</v>
      </c>
      <c r="V2339" s="43"/>
      <c r="W2339" s="26"/>
      <c r="X2339" s="2">
        <v>22</v>
      </c>
      <c r="Y2339" s="11"/>
      <c r="Z2339" s="2" t="s">
        <v>36</v>
      </c>
      <c r="AA2339" s="13">
        <v>-0.87734000000000001</v>
      </c>
      <c r="AB2339" s="13" t="s">
        <v>10359</v>
      </c>
    </row>
    <row r="2340" spans="1:28" ht="15" customHeight="1">
      <c r="A2340" s="2" t="s">
        <v>9280</v>
      </c>
      <c r="B2340" s="2" t="s">
        <v>28</v>
      </c>
      <c r="C2340" s="227" t="s">
        <v>2687</v>
      </c>
      <c r="D2340" s="2" t="s">
        <v>30</v>
      </c>
      <c r="E2340" s="2" t="s">
        <v>114</v>
      </c>
      <c r="F2340" s="11" t="s">
        <v>203</v>
      </c>
      <c r="G2340" s="11" t="s">
        <v>204</v>
      </c>
      <c r="H2340" s="2" t="s">
        <v>117</v>
      </c>
      <c r="I2340" s="12" t="s">
        <v>118</v>
      </c>
      <c r="J2340" s="8">
        <f>+Tabla1[[#This Row],[FECHA ENTRADA]]</f>
        <v>45375</v>
      </c>
      <c r="K2340" s="22">
        <v>45821</v>
      </c>
      <c r="L2340" s="13">
        <f>_xlfn.DAYS(Tabla1[[#This Row],[FECHA FIN ]],Tabla1[[#This Row],[FECHA INICIO]])</f>
        <v>446</v>
      </c>
      <c r="M2340" s="12"/>
      <c r="N2340" s="12"/>
      <c r="O2340" s="12">
        <f>(Tabla1[[#This Row],[COSTO FIJO ]]/30)*Tabla1[[#This Row],[TOTAL DIAS PROYECTO]]+(Tabla1[[#This Row],[COSTO TEMPORAL]])</f>
        <v>0</v>
      </c>
      <c r="P2340" s="12"/>
      <c r="Q2340" s="12">
        <f>+(Tabla1[[#This Row],[COSTO COCHE]]/30)*Tabla1[[#This Row],[TOTAL DIAS PROYECTO]]</f>
        <v>0</v>
      </c>
      <c r="R2340" s="12">
        <f>+Tabla1[[#This Row],[COSTO TOTAL ALOJAMIENTO]]+Tabla1[[#This Row],[COSTO TOTAL COCHE]]</f>
        <v>0</v>
      </c>
      <c r="S2340" s="2"/>
      <c r="T2340" s="2" t="s">
        <v>35</v>
      </c>
      <c r="U2340" s="14">
        <v>45375</v>
      </c>
      <c r="V2340" s="14">
        <v>45398</v>
      </c>
      <c r="W2340" s="15"/>
      <c r="X2340" s="16">
        <v>23</v>
      </c>
      <c r="Y2340" s="18" t="s">
        <v>206</v>
      </c>
      <c r="Z2340" s="2" t="s">
        <v>36</v>
      </c>
      <c r="AA2340" s="13" t="s">
        <v>10340</v>
      </c>
      <c r="AB2340" s="13" t="s">
        <v>10341</v>
      </c>
    </row>
    <row r="2341" spans="1:28" ht="15" customHeight="1">
      <c r="A2341" s="2" t="s">
        <v>9618</v>
      </c>
      <c r="B2341" s="2" t="s">
        <v>28</v>
      </c>
      <c r="C2341" s="227" t="s">
        <v>3890</v>
      </c>
      <c r="D2341" s="2" t="s">
        <v>30</v>
      </c>
      <c r="E2341" s="2" t="s">
        <v>114</v>
      </c>
      <c r="F2341" s="11" t="s">
        <v>3891</v>
      </c>
      <c r="G2341" s="11" t="s">
        <v>204</v>
      </c>
      <c r="H2341" s="2" t="s">
        <v>117</v>
      </c>
      <c r="I2341" s="12" t="s">
        <v>118</v>
      </c>
      <c r="J2341" s="8">
        <f>+Tabla1[[#This Row],[FECHA ENTRADA]]</f>
        <v>45375</v>
      </c>
      <c r="K2341" s="22">
        <v>45821</v>
      </c>
      <c r="L2341" s="13">
        <f>_xlfn.DAYS(Tabla1[[#This Row],[FECHA FIN ]],Tabla1[[#This Row],[FECHA INICIO]])</f>
        <v>446</v>
      </c>
      <c r="M2341" s="12"/>
      <c r="N2341" s="12"/>
      <c r="O2341" s="12">
        <f>(Tabla1[[#This Row],[COSTO FIJO ]]/30)*Tabla1[[#This Row],[TOTAL DIAS PROYECTO]]+(Tabla1[[#This Row],[COSTO TEMPORAL]])</f>
        <v>0</v>
      </c>
      <c r="P2341" s="12"/>
      <c r="Q2341" s="12">
        <f>+(Tabla1[[#This Row],[COSTO COCHE]]/30)*Tabla1[[#This Row],[TOTAL DIAS PROYECTO]]</f>
        <v>0</v>
      </c>
      <c r="R2341" s="12">
        <f>+Tabla1[[#This Row],[COSTO TOTAL ALOJAMIENTO]]+Tabla1[[#This Row],[COSTO TOTAL COCHE]]</f>
        <v>0</v>
      </c>
      <c r="S2341" s="2"/>
      <c r="T2341" s="2" t="s">
        <v>35</v>
      </c>
      <c r="U2341" s="14">
        <v>45375</v>
      </c>
      <c r="V2341" s="14">
        <v>45398</v>
      </c>
      <c r="W2341" s="15"/>
      <c r="X2341" s="16">
        <v>23</v>
      </c>
      <c r="Y2341" s="18" t="s">
        <v>206</v>
      </c>
      <c r="Z2341" s="2" t="s">
        <v>36</v>
      </c>
      <c r="AA2341" s="13" t="s">
        <v>10340</v>
      </c>
      <c r="AB2341" s="13" t="s">
        <v>10341</v>
      </c>
    </row>
    <row r="2342" spans="1:28" ht="15" customHeight="1">
      <c r="A2342" s="2" t="s">
        <v>9063</v>
      </c>
      <c r="B2342" s="2" t="s">
        <v>28</v>
      </c>
      <c r="C2342" s="227" t="s">
        <v>1840</v>
      </c>
      <c r="D2342" s="2" t="s">
        <v>30</v>
      </c>
      <c r="E2342" s="10" t="s">
        <v>213</v>
      </c>
      <c r="F2342" s="11" t="s">
        <v>1733</v>
      </c>
      <c r="G2342" s="21" t="s">
        <v>1734</v>
      </c>
      <c r="H2342" s="2" t="s">
        <v>1738</v>
      </c>
      <c r="I2342" s="12" t="s">
        <v>1043</v>
      </c>
      <c r="J2342" s="41">
        <f>+Tabla1[[#This Row],[FECHA ENTRADA]]</f>
        <v>45683</v>
      </c>
      <c r="K2342" s="22">
        <v>45821</v>
      </c>
      <c r="L2342" s="42">
        <f>_xlfn.DAYS(Tabla1[[#This Row],[FECHA FIN ]],Tabla1[[#This Row],[FECHA INICIO]])</f>
        <v>138</v>
      </c>
      <c r="M2342" s="12"/>
      <c r="N2342" s="12"/>
      <c r="O2342" s="28">
        <f>(Tabla1[[#This Row],[COSTO FIJO ]]/30)*Tabla1[[#This Row],[TOTAL DIAS PROYECTO]]+(Tabla1[[#This Row],[COSTO TEMPORAL]])</f>
        <v>0</v>
      </c>
      <c r="P2342" s="12"/>
      <c r="Q2342" s="12">
        <f>+(Tabla1[[#This Row],[COSTO COCHE]]/30)*Tabla1[[#This Row],[TOTAL DIAS PROYECTO]]</f>
        <v>0</v>
      </c>
      <c r="R2342" s="12">
        <f>+Tabla1[[#This Row],[COSTO TOTAL ALOJAMIENTO]]+Tabla1[[#This Row],[COSTO TOTAL COCHE]]</f>
        <v>0</v>
      </c>
      <c r="S2342" s="2"/>
      <c r="T2342" s="2" t="s">
        <v>35</v>
      </c>
      <c r="U2342" s="14">
        <v>45683</v>
      </c>
      <c r="V2342" s="79"/>
      <c r="W2342" s="26"/>
      <c r="X2342" s="2">
        <v>23</v>
      </c>
      <c r="Y2342" s="11" t="s">
        <v>1120</v>
      </c>
      <c r="Z2342" s="2" t="s">
        <v>36</v>
      </c>
      <c r="AA2342" s="13" t="s">
        <v>10349</v>
      </c>
      <c r="AB2342" s="13" t="s">
        <v>10350</v>
      </c>
    </row>
    <row r="2343" spans="1:28" ht="15" customHeight="1">
      <c r="A2343" s="2" t="s">
        <v>9619</v>
      </c>
      <c r="B2343" s="2" t="s">
        <v>28</v>
      </c>
      <c r="C2343" s="227" t="s">
        <v>3892</v>
      </c>
      <c r="D2343" s="2" t="s">
        <v>30</v>
      </c>
      <c r="E2343" s="2" t="s">
        <v>114</v>
      </c>
      <c r="F2343" s="11" t="s">
        <v>203</v>
      </c>
      <c r="G2343" s="11" t="s">
        <v>204</v>
      </c>
      <c r="H2343" s="2" t="s">
        <v>117</v>
      </c>
      <c r="I2343" s="12" t="s">
        <v>118</v>
      </c>
      <c r="J2343" s="8">
        <f>+Tabla1[[#This Row],[FECHA ENTRADA]]</f>
        <v>45375</v>
      </c>
      <c r="K2343" s="22">
        <v>45821</v>
      </c>
      <c r="L2343" s="13">
        <f>_xlfn.DAYS(Tabla1[[#This Row],[FECHA FIN ]],Tabla1[[#This Row],[FECHA INICIO]])</f>
        <v>446</v>
      </c>
      <c r="M2343" s="12"/>
      <c r="N2343" s="12"/>
      <c r="O2343" s="12">
        <f>(Tabla1[[#This Row],[COSTO FIJO ]]/30)*Tabla1[[#This Row],[TOTAL DIAS PROYECTO]]+(Tabla1[[#This Row],[COSTO TEMPORAL]])</f>
        <v>0</v>
      </c>
      <c r="P2343" s="12"/>
      <c r="Q2343" s="12">
        <f>+(Tabla1[[#This Row],[COSTO COCHE]]/30)*Tabla1[[#This Row],[TOTAL DIAS PROYECTO]]</f>
        <v>0</v>
      </c>
      <c r="R2343" s="12">
        <f>+Tabla1[[#This Row],[COSTO TOTAL ALOJAMIENTO]]+Tabla1[[#This Row],[COSTO TOTAL COCHE]]</f>
        <v>0</v>
      </c>
      <c r="S2343" s="2"/>
      <c r="T2343" s="2" t="s">
        <v>35</v>
      </c>
      <c r="U2343" s="14">
        <v>45375</v>
      </c>
      <c r="V2343" s="14">
        <v>45406</v>
      </c>
      <c r="W2343" s="15"/>
      <c r="X2343" s="16">
        <v>23</v>
      </c>
      <c r="Y2343" s="18"/>
      <c r="Z2343" s="2" t="s">
        <v>36</v>
      </c>
      <c r="AA2343" s="13" t="s">
        <v>10340</v>
      </c>
      <c r="AB2343" s="13" t="s">
        <v>10341</v>
      </c>
    </row>
    <row r="2344" spans="1:28" ht="15" customHeight="1">
      <c r="A2344" s="2" t="s">
        <v>9310</v>
      </c>
      <c r="B2344" s="2" t="s">
        <v>28</v>
      </c>
      <c r="C2344" s="227" t="s">
        <v>2782</v>
      </c>
      <c r="D2344" s="2" t="s">
        <v>30</v>
      </c>
      <c r="E2344" s="2" t="s">
        <v>114</v>
      </c>
      <c r="F2344" s="11" t="s">
        <v>203</v>
      </c>
      <c r="G2344" s="11" t="s">
        <v>204</v>
      </c>
      <c r="H2344" s="2" t="s">
        <v>117</v>
      </c>
      <c r="I2344" s="12" t="s">
        <v>118</v>
      </c>
      <c r="J2344" s="8">
        <f>+Tabla1[[#This Row],[FECHA ENTRADA]]</f>
        <v>45375</v>
      </c>
      <c r="K2344" s="22">
        <v>45821</v>
      </c>
      <c r="L2344" s="13">
        <f>_xlfn.DAYS(Tabla1[[#This Row],[FECHA FIN ]],Tabla1[[#This Row],[FECHA INICIO]])</f>
        <v>446</v>
      </c>
      <c r="M2344" s="12"/>
      <c r="N2344" s="12"/>
      <c r="O2344" s="12">
        <f>(Tabla1[[#This Row],[COSTO FIJO ]]/30)*Tabla1[[#This Row],[TOTAL DIAS PROYECTO]]+(Tabla1[[#This Row],[COSTO TEMPORAL]])</f>
        <v>0</v>
      </c>
      <c r="P2344" s="12"/>
      <c r="Q2344" s="12">
        <f>+(Tabla1[[#This Row],[COSTO COCHE]]/30)*Tabla1[[#This Row],[TOTAL DIAS PROYECTO]]</f>
        <v>0</v>
      </c>
      <c r="R2344" s="12">
        <f>+Tabla1[[#This Row],[COSTO TOTAL ALOJAMIENTO]]+Tabla1[[#This Row],[COSTO TOTAL COCHE]]</f>
        <v>0</v>
      </c>
      <c r="S2344" s="2"/>
      <c r="T2344" s="2" t="s">
        <v>35</v>
      </c>
      <c r="U2344" s="14">
        <v>45375</v>
      </c>
      <c r="V2344" s="14">
        <v>45398</v>
      </c>
      <c r="W2344" s="15"/>
      <c r="X2344" s="16">
        <v>23</v>
      </c>
      <c r="Y2344" s="18" t="s">
        <v>206</v>
      </c>
      <c r="Z2344" s="2" t="s">
        <v>36</v>
      </c>
      <c r="AA2344" s="13" t="s">
        <v>10340</v>
      </c>
      <c r="AB2344" s="13" t="s">
        <v>10341</v>
      </c>
    </row>
    <row r="2345" spans="1:28" ht="15.75" customHeight="1">
      <c r="A2345" s="2" t="s">
        <v>8865</v>
      </c>
      <c r="B2345" s="2" t="s">
        <v>28</v>
      </c>
      <c r="C2345" s="227" t="s">
        <v>1073</v>
      </c>
      <c r="D2345" s="2" t="s">
        <v>30</v>
      </c>
      <c r="E2345" s="2" t="s">
        <v>626</v>
      </c>
      <c r="F2345" s="11" t="s">
        <v>1041</v>
      </c>
      <c r="G2345" s="49" t="s">
        <v>628</v>
      </c>
      <c r="H2345" s="2" t="s">
        <v>3455</v>
      </c>
      <c r="I2345" s="12" t="s">
        <v>794</v>
      </c>
      <c r="J2345" s="22">
        <f>+Tabla1[[#This Row],[FECHA ENTRADA]]</f>
        <v>45679</v>
      </c>
      <c r="K2345" s="22">
        <v>45821</v>
      </c>
      <c r="L2345" s="23">
        <f>_xlfn.DAYS(Tabla1[[#This Row],[FECHA FIN ]],Tabla1[[#This Row],[FECHA INICIO]])</f>
        <v>142</v>
      </c>
      <c r="M2345" s="12"/>
      <c r="N2345" s="12"/>
      <c r="O2345" s="24">
        <f>(Tabla1[[#This Row],[COSTO FIJO ]]/30)*Tabla1[[#This Row],[TOTAL DIAS PROYECTO]]+(Tabla1[[#This Row],[COSTO TEMPORAL]])</f>
        <v>0</v>
      </c>
      <c r="P2345" s="12"/>
      <c r="Q2345" s="12">
        <f>+(Tabla1[[#This Row],[COSTO COCHE]]/30)*Tabla1[[#This Row],[TOTAL DIAS PROYECTO]]</f>
        <v>0</v>
      </c>
      <c r="R2345" s="12">
        <f>+Tabla1[[#This Row],[COSTO TOTAL ALOJAMIENTO]]+Tabla1[[#This Row],[COSTO TOTAL COCHE]]</f>
        <v>0</v>
      </c>
      <c r="S2345" s="2"/>
      <c r="T2345" s="2" t="s">
        <v>35</v>
      </c>
      <c r="U2345" s="14">
        <v>45679</v>
      </c>
      <c r="V2345" s="79"/>
      <c r="W2345" s="26"/>
      <c r="X2345" s="2">
        <v>23</v>
      </c>
      <c r="Y2345" s="11"/>
      <c r="Z2345" s="2" t="s">
        <v>36</v>
      </c>
      <c r="AA2345" s="13" t="s">
        <v>10385</v>
      </c>
      <c r="AB2345" s="13" t="s">
        <v>10386</v>
      </c>
    </row>
    <row r="2346" spans="1:28" ht="15" customHeight="1">
      <c r="A2346" s="2" t="s">
        <v>9620</v>
      </c>
      <c r="B2346" s="2" t="s">
        <v>28</v>
      </c>
      <c r="C2346" s="11" t="s">
        <v>3893</v>
      </c>
      <c r="D2346" s="2" t="s">
        <v>30</v>
      </c>
      <c r="E2346" s="2" t="s">
        <v>114</v>
      </c>
      <c r="F2346" s="11" t="s">
        <v>3891</v>
      </c>
      <c r="G2346" s="11" t="s">
        <v>204</v>
      </c>
      <c r="H2346" s="2" t="s">
        <v>117</v>
      </c>
      <c r="I2346" s="12" t="s">
        <v>118</v>
      </c>
      <c r="J2346" s="8">
        <f>+Tabla1[[#This Row],[FECHA ENTRADA]]</f>
        <v>45375</v>
      </c>
      <c r="K2346" s="22">
        <v>45821</v>
      </c>
      <c r="L2346" s="13">
        <f>_xlfn.DAYS(Tabla1[[#This Row],[FECHA FIN ]],Tabla1[[#This Row],[FECHA INICIO]])</f>
        <v>446</v>
      </c>
      <c r="M2346" s="12"/>
      <c r="N2346" s="12"/>
      <c r="O2346" s="12">
        <f>(Tabla1[[#This Row],[COSTO FIJO ]]/30)*Tabla1[[#This Row],[TOTAL DIAS PROYECTO]]+(Tabla1[[#This Row],[COSTO TEMPORAL]])</f>
        <v>0</v>
      </c>
      <c r="P2346" s="12"/>
      <c r="Q2346" s="12">
        <f>+(Tabla1[[#This Row],[COSTO COCHE]]/30)*Tabla1[[#This Row],[TOTAL DIAS PROYECTO]]</f>
        <v>0</v>
      </c>
      <c r="R2346" s="12">
        <f>+Tabla1[[#This Row],[COSTO TOTAL ALOJAMIENTO]]+Tabla1[[#This Row],[COSTO TOTAL COCHE]]</f>
        <v>0</v>
      </c>
      <c r="S2346" s="2"/>
      <c r="T2346" s="2" t="s">
        <v>35</v>
      </c>
      <c r="U2346" s="14">
        <v>45375</v>
      </c>
      <c r="V2346" s="14"/>
      <c r="W2346" s="15"/>
      <c r="X2346" s="16">
        <v>23</v>
      </c>
      <c r="Y2346" s="18"/>
      <c r="Z2346" s="2" t="s">
        <v>36</v>
      </c>
      <c r="AA2346" s="13" t="s">
        <v>10340</v>
      </c>
      <c r="AB2346" s="13" t="s">
        <v>10341</v>
      </c>
    </row>
    <row r="2347" spans="1:28" ht="15" customHeight="1">
      <c r="A2347" s="2" t="s">
        <v>9287</v>
      </c>
      <c r="B2347" s="2" t="s">
        <v>28</v>
      </c>
      <c r="C2347" s="181" t="s">
        <v>2701</v>
      </c>
      <c r="D2347" s="2" t="s">
        <v>30</v>
      </c>
      <c r="E2347" s="2" t="s">
        <v>626</v>
      </c>
      <c r="F2347" s="11" t="s">
        <v>1041</v>
      </c>
      <c r="G2347" s="46" t="s">
        <v>628</v>
      </c>
      <c r="H2347" s="2" t="s">
        <v>3456</v>
      </c>
      <c r="I2347" s="12" t="s">
        <v>570</v>
      </c>
      <c r="J2347" s="41">
        <f>+Tabla1[[#This Row],[FECHA ENTRADA]]</f>
        <v>45665</v>
      </c>
      <c r="K2347" s="22">
        <v>45821</v>
      </c>
      <c r="L2347" s="42">
        <f>_xlfn.DAYS(Tabla1[[#This Row],[FECHA FIN ]],Tabla1[[#This Row],[FECHA INICIO]])</f>
        <v>156</v>
      </c>
      <c r="M2347" s="12"/>
      <c r="N2347" s="12"/>
      <c r="O2347" s="28">
        <f>(Tabla1[[#This Row],[COSTO FIJO ]]/30)*Tabla1[[#This Row],[TOTAL DIAS PROYECTO]]+(Tabla1[[#This Row],[COSTO TEMPORAL]])</f>
        <v>0</v>
      </c>
      <c r="P2347" s="12"/>
      <c r="Q2347" s="12">
        <f>+(Tabla1[[#This Row],[COSTO COCHE]]/30)*Tabla1[[#This Row],[TOTAL DIAS PROYECTO]]</f>
        <v>0</v>
      </c>
      <c r="R2347" s="12">
        <f>+Tabla1[[#This Row],[COSTO TOTAL ALOJAMIENTO]]+Tabla1[[#This Row],[COSTO TOTAL COCHE]]</f>
        <v>0</v>
      </c>
      <c r="S2347" s="2"/>
      <c r="T2347" s="2" t="s">
        <v>35</v>
      </c>
      <c r="U2347" s="14">
        <v>45665</v>
      </c>
      <c r="V2347" s="43"/>
      <c r="W2347" s="26"/>
      <c r="X2347" s="2">
        <v>23</v>
      </c>
      <c r="Y2347" s="11"/>
      <c r="Z2347" s="2" t="s">
        <v>36</v>
      </c>
      <c r="AA2347" s="13" t="s">
        <v>10385</v>
      </c>
      <c r="AB2347" s="13" t="s">
        <v>10386</v>
      </c>
    </row>
    <row r="2348" spans="1:28" ht="15" customHeight="1">
      <c r="A2348" s="2" t="s">
        <v>9562</v>
      </c>
      <c r="B2348" s="2" t="s">
        <v>368</v>
      </c>
      <c r="C2348" s="11" t="s">
        <v>3652</v>
      </c>
      <c r="D2348" s="2" t="s">
        <v>30</v>
      </c>
      <c r="E2348" s="2" t="s">
        <v>415</v>
      </c>
      <c r="F2348" s="11" t="s">
        <v>3894</v>
      </c>
      <c r="G2348" s="46" t="s">
        <v>1390</v>
      </c>
      <c r="H2348" s="2" t="s">
        <v>2199</v>
      </c>
      <c r="I2348" s="12" t="s">
        <v>2200</v>
      </c>
      <c r="J2348" s="22">
        <f>+Tabla1[[#This Row],[FECHA ENTRADA]]</f>
        <v>45725</v>
      </c>
      <c r="K2348" s="22">
        <v>45821</v>
      </c>
      <c r="L2348" s="23">
        <f>_xlfn.DAYS(Tabla1[[#This Row],[FECHA FIN ]],Tabla1[[#This Row],[FECHA INICIO]])</f>
        <v>96</v>
      </c>
      <c r="M2348" s="12"/>
      <c r="N2348" s="12"/>
      <c r="O2348" s="24">
        <f>(Tabla1[[#This Row],[COSTO FIJO ]]/30)*Tabla1[[#This Row],[TOTAL DIAS PROYECTO]]+(Tabla1[[#This Row],[COSTO TEMPORAL]])</f>
        <v>0</v>
      </c>
      <c r="P2348" s="12"/>
      <c r="Q2348" s="12">
        <f>+(Tabla1[[#This Row],[COSTO COCHE]]/30)*Tabla1[[#This Row],[TOTAL DIAS PROYECTO]]</f>
        <v>0</v>
      </c>
      <c r="R2348" s="12">
        <f>+Tabla1[[#This Row],[COSTO TOTAL ALOJAMIENTO]]+Tabla1[[#This Row],[COSTO TOTAL COCHE]]</f>
        <v>0</v>
      </c>
      <c r="S2348" s="2"/>
      <c r="T2348" s="2" t="s">
        <v>35</v>
      </c>
      <c r="U2348" s="14">
        <v>45725</v>
      </c>
      <c r="V2348" s="25">
        <v>45726</v>
      </c>
      <c r="W2348" s="26"/>
      <c r="X2348" s="2">
        <v>23</v>
      </c>
      <c r="Y2348" s="11" t="s">
        <v>1166</v>
      </c>
      <c r="Z2348" s="2" t="s">
        <v>36</v>
      </c>
      <c r="AA2348" s="13">
        <v>-0.37739</v>
      </c>
      <c r="AB2348" s="13" t="s">
        <v>10372</v>
      </c>
    </row>
    <row r="2349" spans="1:28" ht="15" customHeight="1">
      <c r="A2349" s="2" t="s">
        <v>9099</v>
      </c>
      <c r="B2349" s="2" t="s">
        <v>28</v>
      </c>
      <c r="C2349" s="227" t="s">
        <v>2022</v>
      </c>
      <c r="D2349" s="2" t="s">
        <v>30</v>
      </c>
      <c r="E2349" s="2" t="s">
        <v>253</v>
      </c>
      <c r="F2349" s="11" t="s">
        <v>3577</v>
      </c>
      <c r="G2349" s="11" t="s">
        <v>3578</v>
      </c>
      <c r="H2349" s="2" t="s">
        <v>3895</v>
      </c>
      <c r="I2349" s="12" t="s">
        <v>256</v>
      </c>
      <c r="J2349" s="8">
        <f>+Tabla1[[#This Row],[FECHA ENTRADA]]</f>
        <v>45466</v>
      </c>
      <c r="K2349" s="22">
        <v>45821</v>
      </c>
      <c r="L2349" s="13">
        <f>_xlfn.DAYS(Tabla1[[#This Row],[FECHA FIN ]],Tabla1[[#This Row],[FECHA INICIO]])</f>
        <v>355</v>
      </c>
      <c r="M2349" s="12"/>
      <c r="N2349" s="12"/>
      <c r="O2349" s="12">
        <f>(Tabla1[[#This Row],[COSTO FIJO ]]/30)*Tabla1[[#This Row],[TOTAL DIAS PROYECTO]]+(Tabla1[[#This Row],[COSTO TEMPORAL]])</f>
        <v>0</v>
      </c>
      <c r="P2349" s="12"/>
      <c r="Q2349" s="12">
        <f>+(Tabla1[[#This Row],[COSTO COCHE]]/30)*Tabla1[[#This Row],[TOTAL DIAS PROYECTO]]</f>
        <v>0</v>
      </c>
      <c r="R2349" s="12">
        <f>+Tabla1[[#This Row],[COSTO TOTAL ALOJAMIENTO]]+Tabla1[[#This Row],[COSTO TOTAL COCHE]]</f>
        <v>0</v>
      </c>
      <c r="S2349" s="2"/>
      <c r="T2349" s="2" t="s">
        <v>35</v>
      </c>
      <c r="U2349" s="14">
        <v>45466</v>
      </c>
      <c r="V2349" s="14"/>
      <c r="W2349" s="26"/>
      <c r="X2349" s="2">
        <v>23</v>
      </c>
      <c r="Y2349" s="63" t="s">
        <v>662</v>
      </c>
      <c r="Z2349" s="2" t="s">
        <v>36</v>
      </c>
      <c r="AA2349" s="13" t="s">
        <v>10357</v>
      </c>
      <c r="AB2349" s="13" t="s">
        <v>10358</v>
      </c>
    </row>
    <row r="2350" spans="1:28" ht="15" customHeight="1">
      <c r="A2350" s="2" t="s">
        <v>8719</v>
      </c>
      <c r="B2350" s="2" t="s">
        <v>368</v>
      </c>
      <c r="C2350" s="227" t="s">
        <v>438</v>
      </c>
      <c r="D2350" s="2" t="s">
        <v>30</v>
      </c>
      <c r="E2350" s="2" t="s">
        <v>380</v>
      </c>
      <c r="F2350" s="11" t="s">
        <v>3857</v>
      </c>
      <c r="G2350" s="46" t="s">
        <v>3858</v>
      </c>
      <c r="H2350" s="2" t="s">
        <v>3859</v>
      </c>
      <c r="I2350" s="12" t="s">
        <v>1208</v>
      </c>
      <c r="J2350" s="22">
        <f>+Tabla1[[#This Row],[FECHA ENTRADA]]</f>
        <v>45644</v>
      </c>
      <c r="K2350" s="41">
        <v>45668</v>
      </c>
      <c r="L2350" s="23">
        <f>_xlfn.DAYS(Tabla1[[#This Row],[FECHA FIN ]],Tabla1[[#This Row],[FECHA INICIO]])</f>
        <v>24</v>
      </c>
      <c r="M2350" s="12"/>
      <c r="N2350" s="12">
        <f>1446.82/5</f>
        <v>289.36399999999998</v>
      </c>
      <c r="O2350" s="24">
        <f>(Tabla1[[#This Row],[COSTO FIJO ]]/30)*Tabla1[[#This Row],[TOTAL DIAS PROYECTO]]+(Tabla1[[#This Row],[COSTO TEMPORAL]])</f>
        <v>231.49119999999999</v>
      </c>
      <c r="P2350" s="12"/>
      <c r="Q2350" s="12">
        <f>+(Tabla1[[#This Row],[COSTO COCHE]]/30)*Tabla1[[#This Row],[TOTAL DIAS PROYECTO]]</f>
        <v>0</v>
      </c>
      <c r="R2350" s="12">
        <f>+Tabla1[[#This Row],[COSTO TOTAL ALOJAMIENTO]]+Tabla1[[#This Row],[COSTO TOTAL COCHE]]</f>
        <v>231.49119999999999</v>
      </c>
      <c r="S2350" s="2"/>
      <c r="T2350" s="2" t="s">
        <v>44</v>
      </c>
      <c r="U2350" s="14">
        <v>45644</v>
      </c>
      <c r="V2350" s="25">
        <v>45675</v>
      </c>
      <c r="W2350" s="26"/>
      <c r="X2350" s="2"/>
      <c r="Y2350" s="11" t="s">
        <v>3860</v>
      </c>
      <c r="Z2350" s="2" t="s">
        <v>36</v>
      </c>
      <c r="AA2350" s="13" t="s">
        <v>10370</v>
      </c>
      <c r="AB2350" s="13" t="s">
        <v>10371</v>
      </c>
    </row>
    <row r="2351" spans="1:28" ht="15" customHeight="1">
      <c r="A2351" s="2" t="s">
        <v>9321</v>
      </c>
      <c r="B2351" s="2" t="s">
        <v>368</v>
      </c>
      <c r="C2351" s="227" t="s">
        <v>2816</v>
      </c>
      <c r="D2351" s="2" t="s">
        <v>30</v>
      </c>
      <c r="E2351" s="2" t="s">
        <v>380</v>
      </c>
      <c r="F2351" s="11" t="s">
        <v>3857</v>
      </c>
      <c r="G2351" s="46" t="s">
        <v>3858</v>
      </c>
      <c r="H2351" s="2" t="s">
        <v>3859</v>
      </c>
      <c r="I2351" s="12" t="s">
        <v>1208</v>
      </c>
      <c r="J2351" s="22">
        <f>+Tabla1[[#This Row],[FECHA ENTRADA]]</f>
        <v>45644</v>
      </c>
      <c r="K2351" s="22">
        <v>45821</v>
      </c>
      <c r="L2351" s="23">
        <f>_xlfn.DAYS(Tabla1[[#This Row],[FECHA FIN ]],Tabla1[[#This Row],[FECHA INICIO]])</f>
        <v>177</v>
      </c>
      <c r="M2351" s="12"/>
      <c r="N2351" s="12"/>
      <c r="O2351" s="24">
        <f>(Tabla1[[#This Row],[COSTO FIJO ]]/30)*Tabla1[[#This Row],[TOTAL DIAS PROYECTO]]+(Tabla1[[#This Row],[COSTO TEMPORAL]])</f>
        <v>0</v>
      </c>
      <c r="P2351" s="12"/>
      <c r="Q2351" s="12">
        <f>+(Tabla1[[#This Row],[COSTO COCHE]]/30)*Tabla1[[#This Row],[TOTAL DIAS PROYECTO]]</f>
        <v>0</v>
      </c>
      <c r="R2351" s="12">
        <f>+Tabla1[[#This Row],[COSTO TOTAL ALOJAMIENTO]]+Tabla1[[#This Row],[COSTO TOTAL COCHE]]</f>
        <v>0</v>
      </c>
      <c r="S2351" s="2"/>
      <c r="T2351" s="2" t="s">
        <v>44</v>
      </c>
      <c r="U2351" s="14">
        <v>45644</v>
      </c>
      <c r="V2351" s="25">
        <v>45675</v>
      </c>
      <c r="W2351" s="26"/>
      <c r="X2351" s="2"/>
      <c r="Y2351" s="11" t="s">
        <v>3860</v>
      </c>
      <c r="Z2351" s="2" t="s">
        <v>36</v>
      </c>
      <c r="AA2351" s="13" t="s">
        <v>10370</v>
      </c>
      <c r="AB2351" s="13" t="s">
        <v>10371</v>
      </c>
    </row>
    <row r="2352" spans="1:28">
      <c r="A2352" s="2" t="s">
        <v>9621</v>
      </c>
      <c r="B2352" s="2" t="s">
        <v>28</v>
      </c>
      <c r="C2352" s="227" t="s">
        <v>3896</v>
      </c>
      <c r="D2352" s="2" t="s">
        <v>30</v>
      </c>
      <c r="E2352" s="10" t="s">
        <v>213</v>
      </c>
      <c r="F2352" s="11" t="s">
        <v>1733</v>
      </c>
      <c r="G2352" s="21" t="s">
        <v>1734</v>
      </c>
      <c r="H2352" s="2" t="s">
        <v>1738</v>
      </c>
      <c r="I2352" s="12" t="s">
        <v>1043</v>
      </c>
      <c r="J2352" s="41">
        <f>+Tabla1[[#This Row],[FECHA ENTRADA]]</f>
        <v>45683</v>
      </c>
      <c r="K2352" s="22">
        <v>45821</v>
      </c>
      <c r="L2352" s="42">
        <f>_xlfn.DAYS(Tabla1[[#This Row],[FECHA FIN ]],Tabla1[[#This Row],[FECHA INICIO]])</f>
        <v>138</v>
      </c>
      <c r="M2352" s="12"/>
      <c r="N2352" s="12"/>
      <c r="O2352" s="28">
        <f>(Tabla1[[#This Row],[COSTO FIJO ]]/30)*Tabla1[[#This Row],[TOTAL DIAS PROYECTO]]+(Tabla1[[#This Row],[COSTO TEMPORAL]])</f>
        <v>0</v>
      </c>
      <c r="P2352" s="12"/>
      <c r="Q2352" s="12">
        <f>+(Tabla1[[#This Row],[COSTO COCHE]]/30)*Tabla1[[#This Row],[TOTAL DIAS PROYECTO]]</f>
        <v>0</v>
      </c>
      <c r="R2352" s="12">
        <f>+Tabla1[[#This Row],[COSTO TOTAL ALOJAMIENTO]]+Tabla1[[#This Row],[COSTO TOTAL COCHE]]</f>
        <v>0</v>
      </c>
      <c r="S2352" s="2"/>
      <c r="T2352" s="2" t="s">
        <v>35</v>
      </c>
      <c r="U2352" s="14">
        <v>45683</v>
      </c>
      <c r="V2352" s="79"/>
      <c r="W2352" s="26"/>
      <c r="X2352" s="2">
        <v>23</v>
      </c>
      <c r="Y2352" s="11" t="s">
        <v>1120</v>
      </c>
      <c r="Z2352" s="2" t="s">
        <v>36</v>
      </c>
      <c r="AA2352" s="13" t="s">
        <v>10349</v>
      </c>
      <c r="AB2352" s="13" t="s">
        <v>10350</v>
      </c>
    </row>
    <row r="2353" spans="1:28">
      <c r="A2353" s="2" t="s">
        <v>9396</v>
      </c>
      <c r="B2353" s="2" t="s">
        <v>28</v>
      </c>
      <c r="C2353" s="227" t="s">
        <v>3033</v>
      </c>
      <c r="D2353" s="2" t="s">
        <v>30</v>
      </c>
      <c r="E2353" s="2" t="s">
        <v>253</v>
      </c>
      <c r="F2353" s="11" t="s">
        <v>1688</v>
      </c>
      <c r="G2353" s="11" t="s">
        <v>2944</v>
      </c>
      <c r="H2353" s="2" t="s">
        <v>3895</v>
      </c>
      <c r="I2353" s="12" t="s">
        <v>256</v>
      </c>
      <c r="J2353" s="8">
        <f>+Tabla1[[#This Row],[FECHA ENTRADA]]</f>
        <v>45466</v>
      </c>
      <c r="K2353" s="22">
        <v>45821</v>
      </c>
      <c r="L2353" s="13">
        <f>_xlfn.DAYS(Tabla1[[#This Row],[FECHA FIN ]],Tabla1[[#This Row],[FECHA INICIO]])</f>
        <v>355</v>
      </c>
      <c r="M2353" s="12"/>
      <c r="N2353" s="12"/>
      <c r="O2353" s="12">
        <f>(Tabla1[[#This Row],[COSTO FIJO ]]/30)*Tabla1[[#This Row],[TOTAL DIAS PROYECTO]]+(Tabla1[[#This Row],[COSTO TEMPORAL]])</f>
        <v>0</v>
      </c>
      <c r="P2353" s="12"/>
      <c r="Q2353" s="12">
        <f>+(Tabla1[[#This Row],[COSTO COCHE]]/30)*Tabla1[[#This Row],[TOTAL DIAS PROYECTO]]</f>
        <v>0</v>
      </c>
      <c r="R2353" s="12">
        <f>+Tabla1[[#This Row],[COSTO TOTAL ALOJAMIENTO]]+Tabla1[[#This Row],[COSTO TOTAL COCHE]]</f>
        <v>0</v>
      </c>
      <c r="S2353" s="2"/>
      <c r="T2353" s="2" t="s">
        <v>35</v>
      </c>
      <c r="U2353" s="14">
        <v>45466</v>
      </c>
      <c r="V2353" s="14"/>
      <c r="W2353" s="26"/>
      <c r="X2353" s="2">
        <v>23</v>
      </c>
      <c r="Y2353" s="63" t="s">
        <v>662</v>
      </c>
      <c r="Z2353" s="2" t="s">
        <v>36</v>
      </c>
      <c r="AA2353" s="13" t="s">
        <v>10357</v>
      </c>
      <c r="AB2353" s="13" t="s">
        <v>10358</v>
      </c>
    </row>
    <row r="2354" spans="1:28" ht="15" customHeight="1">
      <c r="A2354" s="2" t="s">
        <v>8880</v>
      </c>
      <c r="B2354" s="2" t="s">
        <v>368</v>
      </c>
      <c r="C2354" s="227" t="s">
        <v>1146</v>
      </c>
      <c r="D2354" s="2" t="s">
        <v>30</v>
      </c>
      <c r="E2354" s="2" t="s">
        <v>380</v>
      </c>
      <c r="F2354" s="11" t="s">
        <v>3857</v>
      </c>
      <c r="G2354" s="46" t="s">
        <v>3858</v>
      </c>
      <c r="H2354" s="2" t="s">
        <v>3859</v>
      </c>
      <c r="I2354" s="12" t="s">
        <v>1208</v>
      </c>
      <c r="J2354" s="22">
        <f>+Tabla1[[#This Row],[FECHA ENTRADA]]</f>
        <v>45644</v>
      </c>
      <c r="K2354" s="22">
        <v>45821</v>
      </c>
      <c r="L2354" s="23">
        <f>_xlfn.DAYS(Tabla1[[#This Row],[FECHA FIN ]],Tabla1[[#This Row],[FECHA INICIO]])</f>
        <v>177</v>
      </c>
      <c r="M2354" s="12"/>
      <c r="N2354" s="12">
        <f>1811.6/17</f>
        <v>106.56470588235294</v>
      </c>
      <c r="O2354" s="24">
        <f>(Tabla1[[#This Row],[COSTO FIJO ]]/30)*Tabla1[[#This Row],[TOTAL DIAS PROYECTO]]+(Tabla1[[#This Row],[COSTO TEMPORAL]])</f>
        <v>628.73176470588237</v>
      </c>
      <c r="P2354" s="12"/>
      <c r="Q2354" s="12">
        <f>+(Tabla1[[#This Row],[COSTO COCHE]]/30)*Tabla1[[#This Row],[TOTAL DIAS PROYECTO]]</f>
        <v>0</v>
      </c>
      <c r="R2354" s="12">
        <f>+Tabla1[[#This Row],[COSTO TOTAL ALOJAMIENTO]]+Tabla1[[#This Row],[COSTO TOTAL COCHE]]</f>
        <v>628.73176470588237</v>
      </c>
      <c r="S2354" s="2"/>
      <c r="T2354" s="2" t="s">
        <v>44</v>
      </c>
      <c r="U2354" s="14">
        <v>45644</v>
      </c>
      <c r="V2354" s="25">
        <v>45675</v>
      </c>
      <c r="W2354" s="26"/>
      <c r="X2354" s="2"/>
      <c r="Y2354" s="11" t="s">
        <v>3860</v>
      </c>
      <c r="Z2354" s="2" t="s">
        <v>36</v>
      </c>
      <c r="AA2354" s="13" t="s">
        <v>10370</v>
      </c>
      <c r="AB2354" s="13" t="s">
        <v>10371</v>
      </c>
    </row>
    <row r="2355" spans="1:28">
      <c r="A2355" s="2" t="s">
        <v>9054</v>
      </c>
      <c r="B2355" s="2" t="s">
        <v>28</v>
      </c>
      <c r="C2355" s="227" t="s">
        <v>1815</v>
      </c>
      <c r="D2355" s="2" t="s">
        <v>30</v>
      </c>
      <c r="E2355" s="2" t="s">
        <v>127</v>
      </c>
      <c r="F2355" s="11" t="s">
        <v>469</v>
      </c>
      <c r="G2355" s="30" t="s">
        <v>470</v>
      </c>
      <c r="H2355" s="2" t="s">
        <v>391</v>
      </c>
      <c r="I2355" s="12" t="s">
        <v>392</v>
      </c>
      <c r="J2355" s="8">
        <f>+Tabla1[[#This Row],[FECHA ENTRADA]]</f>
        <v>45454</v>
      </c>
      <c r="K2355" s="22">
        <v>45506</v>
      </c>
      <c r="L2355" s="13">
        <f>_xlfn.DAYS(Tabla1[[#This Row],[FECHA FIN ]],Tabla1[[#This Row],[FECHA INICIO]])</f>
        <v>52</v>
      </c>
      <c r="M2355" s="12"/>
      <c r="N2355" s="12">
        <v>375</v>
      </c>
      <c r="O2355" s="12">
        <f>(Tabla1[[#This Row],[COSTO FIJO ]]/30)*Tabla1[[#This Row],[TOTAL DIAS PROYECTO]]+(Tabla1[[#This Row],[COSTO TEMPORAL]])</f>
        <v>650</v>
      </c>
      <c r="P2355" s="12"/>
      <c r="Q2355" s="12">
        <f>+(Tabla1[[#This Row],[COSTO COCHE]]/30)*Tabla1[[#This Row],[TOTAL DIAS PROYECTO]]</f>
        <v>0</v>
      </c>
      <c r="R2355" s="12">
        <f>+Tabla1[[#This Row],[COSTO TOTAL ALOJAMIENTO]]+Tabla1[[#This Row],[COSTO TOTAL COCHE]]</f>
        <v>650</v>
      </c>
      <c r="S2355" s="2"/>
      <c r="T2355" s="2" t="s">
        <v>35</v>
      </c>
      <c r="U2355" s="14">
        <v>45454</v>
      </c>
      <c r="V2355" s="14">
        <v>45474</v>
      </c>
      <c r="W2355" s="26"/>
      <c r="X2355" s="2">
        <v>23</v>
      </c>
      <c r="Y2355" s="18" t="s">
        <v>3897</v>
      </c>
      <c r="Z2355" s="2" t="s">
        <v>36</v>
      </c>
      <c r="AA2355" s="13" t="s">
        <v>10342</v>
      </c>
      <c r="AB2355" s="13" t="s">
        <v>10343</v>
      </c>
    </row>
    <row r="2356" spans="1:28" ht="15" customHeight="1">
      <c r="A2356" s="2" t="s">
        <v>9156</v>
      </c>
      <c r="B2356" s="2" t="s">
        <v>368</v>
      </c>
      <c r="C2356" s="227" t="s">
        <v>2255</v>
      </c>
      <c r="D2356" s="2" t="s">
        <v>30</v>
      </c>
      <c r="E2356" s="2" t="s">
        <v>31</v>
      </c>
      <c r="F2356" s="11" t="s">
        <v>409</v>
      </c>
      <c r="G2356" s="11" t="s">
        <v>410</v>
      </c>
      <c r="H2356" s="2" t="s">
        <v>2256</v>
      </c>
      <c r="I2356" s="12" t="s">
        <v>412</v>
      </c>
      <c r="J2356" s="8">
        <f>+Tabla1[[#This Row],[FECHA ENTRADA]]</f>
        <v>45466</v>
      </c>
      <c r="K2356" s="22">
        <v>45821</v>
      </c>
      <c r="L2356" s="13">
        <f>_xlfn.DAYS(Tabla1[[#This Row],[FECHA FIN ]],Tabla1[[#This Row],[FECHA INICIO]])</f>
        <v>355</v>
      </c>
      <c r="M2356" s="12"/>
      <c r="N2356" s="12"/>
      <c r="O2356" s="12">
        <f>(Tabla1[[#This Row],[COSTO FIJO ]]/30)*Tabla1[[#This Row],[TOTAL DIAS PROYECTO]]+(Tabla1[[#This Row],[COSTO TEMPORAL]])</f>
        <v>0</v>
      </c>
      <c r="P2356" s="12"/>
      <c r="Q2356" s="12">
        <f>+(Tabla1[[#This Row],[COSTO COCHE]]/30)*Tabla1[[#This Row],[TOTAL DIAS PROYECTO]]</f>
        <v>0</v>
      </c>
      <c r="R2356" s="12">
        <f>+Tabla1[[#This Row],[COSTO TOTAL ALOJAMIENTO]]+Tabla1[[#This Row],[COSTO TOTAL COCHE]]</f>
        <v>0</v>
      </c>
      <c r="S2356" s="2"/>
      <c r="T2356" s="2" t="s">
        <v>35</v>
      </c>
      <c r="U2356" s="14">
        <v>45466</v>
      </c>
      <c r="V2356" s="14"/>
      <c r="W2356" s="26">
        <v>300</v>
      </c>
      <c r="X2356" s="2">
        <v>23</v>
      </c>
      <c r="Y2356" s="31" t="s">
        <v>3898</v>
      </c>
      <c r="Z2356" s="2" t="s">
        <v>36</v>
      </c>
      <c r="AA2356" s="13" t="s">
        <v>10323</v>
      </c>
      <c r="AB2356" s="13" t="s">
        <v>10324</v>
      </c>
    </row>
    <row r="2357" spans="1:28" ht="15" customHeight="1">
      <c r="A2357" s="2" t="s">
        <v>8686</v>
      </c>
      <c r="B2357" s="2" t="s">
        <v>368</v>
      </c>
      <c r="C2357" s="227" t="s">
        <v>284</v>
      </c>
      <c r="D2357" s="2" t="s">
        <v>30</v>
      </c>
      <c r="E2357" s="2" t="s">
        <v>31</v>
      </c>
      <c r="F2357" s="11" t="s">
        <v>409</v>
      </c>
      <c r="G2357" s="11" t="s">
        <v>410</v>
      </c>
      <c r="H2357" s="2" t="s">
        <v>2256</v>
      </c>
      <c r="I2357" s="12" t="s">
        <v>412</v>
      </c>
      <c r="J2357" s="8">
        <f>+Tabla1[[#This Row],[FECHA ENTRADA]]</f>
        <v>45466</v>
      </c>
      <c r="K2357" s="22">
        <v>45821</v>
      </c>
      <c r="L2357" s="13">
        <f>_xlfn.DAYS(Tabla1[[#This Row],[FECHA FIN ]],Tabla1[[#This Row],[FECHA INICIO]])</f>
        <v>355</v>
      </c>
      <c r="M2357" s="12"/>
      <c r="N2357" s="12"/>
      <c r="O2357" s="12">
        <f>(Tabla1[[#This Row],[COSTO FIJO ]]/30)*Tabla1[[#This Row],[TOTAL DIAS PROYECTO]]+(Tabla1[[#This Row],[COSTO TEMPORAL]])</f>
        <v>0</v>
      </c>
      <c r="P2357" s="12"/>
      <c r="Q2357" s="12">
        <f>+(Tabla1[[#This Row],[COSTO COCHE]]/30)*Tabla1[[#This Row],[TOTAL DIAS PROYECTO]]</f>
        <v>0</v>
      </c>
      <c r="R2357" s="12">
        <f>+Tabla1[[#This Row],[COSTO TOTAL ALOJAMIENTO]]+Tabla1[[#This Row],[COSTO TOTAL COCHE]]</f>
        <v>0</v>
      </c>
      <c r="S2357" s="2"/>
      <c r="T2357" s="2" t="s">
        <v>35</v>
      </c>
      <c r="U2357" s="14">
        <v>45466</v>
      </c>
      <c r="V2357" s="14"/>
      <c r="W2357" s="26">
        <v>350</v>
      </c>
      <c r="X2357" s="2">
        <v>23</v>
      </c>
      <c r="Y2357" s="31" t="s">
        <v>3899</v>
      </c>
      <c r="Z2357" s="2" t="s">
        <v>36</v>
      </c>
      <c r="AA2357" s="13" t="s">
        <v>10323</v>
      </c>
      <c r="AB2357" s="13" t="s">
        <v>10324</v>
      </c>
    </row>
    <row r="2358" spans="1:28" ht="15" customHeight="1">
      <c r="A2358" s="2" t="s">
        <v>8881</v>
      </c>
      <c r="B2358" s="2" t="s">
        <v>28</v>
      </c>
      <c r="C2358" s="227" t="s">
        <v>1147</v>
      </c>
      <c r="D2358" s="2" t="s">
        <v>30</v>
      </c>
      <c r="E2358" s="2" t="s">
        <v>626</v>
      </c>
      <c r="F2358" s="11" t="s">
        <v>1041</v>
      </c>
      <c r="G2358" s="11" t="s">
        <v>628</v>
      </c>
      <c r="H2358" s="2" t="s">
        <v>3456</v>
      </c>
      <c r="I2358" s="12" t="s">
        <v>570</v>
      </c>
      <c r="J2358" s="22">
        <f>+Tabla1[[#This Row],[FECHA ENTRADA]]</f>
        <v>45620</v>
      </c>
      <c r="K2358" s="22">
        <v>45821</v>
      </c>
      <c r="L2358" s="23">
        <f>_xlfn.DAYS(Tabla1[[#This Row],[FECHA FIN ]],Tabla1[[#This Row],[FECHA INICIO]])</f>
        <v>201</v>
      </c>
      <c r="M2358" s="12"/>
      <c r="N2358" s="12"/>
      <c r="O2358" s="24">
        <f>(Tabla1[[#This Row],[COSTO FIJO ]]/30)*Tabla1[[#This Row],[TOTAL DIAS PROYECTO]]+(Tabla1[[#This Row],[COSTO TEMPORAL]])</f>
        <v>0</v>
      </c>
      <c r="P2358" s="12"/>
      <c r="Q2358" s="12">
        <f>+(Tabla1[[#This Row],[COSTO COCHE]]/30)*Tabla1[[#This Row],[TOTAL DIAS PROYECTO]]</f>
        <v>0</v>
      </c>
      <c r="R2358" s="12">
        <f>+Tabla1[[#This Row],[COSTO TOTAL ALOJAMIENTO]]+Tabla1[[#This Row],[COSTO TOTAL COCHE]]</f>
        <v>0</v>
      </c>
      <c r="S2358" s="2"/>
      <c r="T2358" s="2" t="s">
        <v>35</v>
      </c>
      <c r="U2358" s="14">
        <v>45620</v>
      </c>
      <c r="V2358" s="25"/>
      <c r="W2358" s="26"/>
      <c r="X2358" s="2">
        <v>24</v>
      </c>
      <c r="Y2358" s="11"/>
      <c r="Z2358" s="2" t="s">
        <v>36</v>
      </c>
      <c r="AA2358" s="13" t="s">
        <v>10385</v>
      </c>
      <c r="AB2358" s="13" t="s">
        <v>10386</v>
      </c>
    </row>
    <row r="2359" spans="1:28" ht="15" customHeight="1">
      <c r="A2359" s="2" t="s">
        <v>9287</v>
      </c>
      <c r="B2359" s="2" t="s">
        <v>28</v>
      </c>
      <c r="C2359" s="227" t="s">
        <v>2701</v>
      </c>
      <c r="D2359" s="2" t="s">
        <v>30</v>
      </c>
      <c r="E2359" s="2" t="s">
        <v>626</v>
      </c>
      <c r="F2359" s="11" t="s">
        <v>1041</v>
      </c>
      <c r="G2359" s="11" t="s">
        <v>628</v>
      </c>
      <c r="H2359" s="2" t="s">
        <v>3456</v>
      </c>
      <c r="I2359" s="12" t="s">
        <v>570</v>
      </c>
      <c r="J2359" s="22">
        <f>+Tabla1[[#This Row],[FECHA ENTRADA]]</f>
        <v>45620</v>
      </c>
      <c r="K2359" s="22">
        <v>45821</v>
      </c>
      <c r="L2359" s="23">
        <f>_xlfn.DAYS(Tabla1[[#This Row],[FECHA FIN ]],Tabla1[[#This Row],[FECHA INICIO]])</f>
        <v>201</v>
      </c>
      <c r="M2359" s="12"/>
      <c r="N2359" s="12"/>
      <c r="O2359" s="24">
        <f>(Tabla1[[#This Row],[COSTO FIJO ]]/30)*Tabla1[[#This Row],[TOTAL DIAS PROYECTO]]+(Tabla1[[#This Row],[COSTO TEMPORAL]])</f>
        <v>0</v>
      </c>
      <c r="P2359" s="12"/>
      <c r="Q2359" s="12">
        <f>+(Tabla1[[#This Row],[COSTO COCHE]]/30)*Tabla1[[#This Row],[TOTAL DIAS PROYECTO]]</f>
        <v>0</v>
      </c>
      <c r="R2359" s="12">
        <f>+Tabla1[[#This Row],[COSTO TOTAL ALOJAMIENTO]]+Tabla1[[#This Row],[COSTO TOTAL COCHE]]</f>
        <v>0</v>
      </c>
      <c r="S2359" s="2"/>
      <c r="T2359" s="2" t="s">
        <v>35</v>
      </c>
      <c r="U2359" s="14">
        <v>45620</v>
      </c>
      <c r="V2359" s="25"/>
      <c r="W2359" s="26"/>
      <c r="X2359" s="2">
        <v>24</v>
      </c>
      <c r="Y2359" s="11" t="s">
        <v>1120</v>
      </c>
      <c r="Z2359" s="2" t="s">
        <v>36</v>
      </c>
      <c r="AA2359" s="13" t="s">
        <v>10385</v>
      </c>
      <c r="AB2359" s="13" t="s">
        <v>10386</v>
      </c>
    </row>
    <row r="2360" spans="1:28" ht="15" customHeight="1">
      <c r="A2360" s="2" t="s">
        <v>9622</v>
      </c>
      <c r="B2360" s="2" t="s">
        <v>28</v>
      </c>
      <c r="C2360" s="11" t="s">
        <v>3900</v>
      </c>
      <c r="D2360" s="2" t="s">
        <v>30</v>
      </c>
      <c r="E2360" s="2" t="s">
        <v>626</v>
      </c>
      <c r="F2360" s="11" t="s">
        <v>1041</v>
      </c>
      <c r="G2360" s="11" t="s">
        <v>628</v>
      </c>
      <c r="H2360" s="2" t="s">
        <v>868</v>
      </c>
      <c r="I2360" s="12" t="s">
        <v>570</v>
      </c>
      <c r="J2360" s="8">
        <f>+Tabla1[[#This Row],[FECHA ENTRADA]]</f>
        <v>45488</v>
      </c>
      <c r="K2360" s="22">
        <v>45821</v>
      </c>
      <c r="L2360" s="13">
        <f>_xlfn.DAYS(Tabla1[[#This Row],[FECHA FIN ]],Tabla1[[#This Row],[FECHA INICIO]])</f>
        <v>333</v>
      </c>
      <c r="M2360" s="12"/>
      <c r="N2360" s="12"/>
      <c r="O2360" s="12">
        <f>(Tabla1[[#This Row],[COSTO FIJO ]]/30)*Tabla1[[#This Row],[TOTAL DIAS PROYECTO]]+(Tabla1[[#This Row],[COSTO TEMPORAL]])</f>
        <v>0</v>
      </c>
      <c r="P2360" s="12"/>
      <c r="Q2360" s="12">
        <f>+(Tabla1[[#This Row],[COSTO COCHE]]/30)*Tabla1[[#This Row],[TOTAL DIAS PROYECTO]]</f>
        <v>0</v>
      </c>
      <c r="R2360" s="12">
        <f>+Tabla1[[#This Row],[COSTO TOTAL ALOJAMIENTO]]+Tabla1[[#This Row],[COSTO TOTAL COCHE]]</f>
        <v>0</v>
      </c>
      <c r="S2360" s="2"/>
      <c r="T2360" s="2" t="s">
        <v>35</v>
      </c>
      <c r="U2360" s="14">
        <v>45488</v>
      </c>
      <c r="V2360" s="14"/>
      <c r="W2360" s="26"/>
      <c r="X2360" s="2">
        <v>24</v>
      </c>
      <c r="Y2360" s="67" t="s">
        <v>3901</v>
      </c>
      <c r="Z2360" s="2" t="s">
        <v>36</v>
      </c>
      <c r="AA2360" s="13" t="s">
        <v>10385</v>
      </c>
      <c r="AB2360" s="13" t="s">
        <v>10386</v>
      </c>
    </row>
    <row r="2361" spans="1:28" ht="15" customHeight="1">
      <c r="A2361" s="2" t="s">
        <v>9440</v>
      </c>
      <c r="B2361" s="2" t="s">
        <v>28</v>
      </c>
      <c r="C2361" s="11" t="s">
        <v>3187</v>
      </c>
      <c r="D2361" s="2" t="s">
        <v>99</v>
      </c>
      <c r="E2361" s="2" t="s">
        <v>939</v>
      </c>
      <c r="F2361" s="11" t="s">
        <v>1253</v>
      </c>
      <c r="G2361" s="11" t="s">
        <v>941</v>
      </c>
      <c r="H2361" s="2" t="s">
        <v>3221</v>
      </c>
      <c r="I2361" s="12" t="s">
        <v>3185</v>
      </c>
      <c r="J2361" s="41">
        <f>+Tabla1[[#This Row],[FECHA ENTRADA]]</f>
        <v>45714</v>
      </c>
      <c r="K2361" s="22">
        <v>45821</v>
      </c>
      <c r="L2361" s="42">
        <f>_xlfn.DAYS(Tabla1[[#This Row],[FECHA FIN ]],Tabla1[[#This Row],[FECHA INICIO]])</f>
        <v>107</v>
      </c>
      <c r="M2361" s="12"/>
      <c r="N2361" s="12"/>
      <c r="O2361" s="28">
        <f>(Tabla1[[#This Row],[COSTO FIJO ]]/30)*Tabla1[[#This Row],[TOTAL DIAS PROYECTO]]+(Tabla1[[#This Row],[COSTO TEMPORAL]])</f>
        <v>0</v>
      </c>
      <c r="P2361" s="12"/>
      <c r="Q2361" s="12">
        <f>+(Tabla1[[#This Row],[COSTO COCHE]]/30)*Tabla1[[#This Row],[TOTAL DIAS PROYECTO]]</f>
        <v>0</v>
      </c>
      <c r="R2361" s="12">
        <f>+Tabla1[[#This Row],[COSTO TOTAL ALOJAMIENTO]]+Tabla1[[#This Row],[COSTO TOTAL COCHE]]</f>
        <v>0</v>
      </c>
      <c r="S2361" s="2"/>
      <c r="T2361" s="2" t="s">
        <v>35</v>
      </c>
      <c r="U2361" s="14">
        <v>45714</v>
      </c>
      <c r="V2361" s="43"/>
      <c r="W2361" s="26">
        <v>150</v>
      </c>
      <c r="X2361" s="2">
        <v>24</v>
      </c>
      <c r="Y2361" s="11"/>
      <c r="Z2361" s="2" t="s">
        <v>36</v>
      </c>
      <c r="AA2361" s="13" t="s">
        <v>10405</v>
      </c>
      <c r="AB2361" s="13" t="s">
        <v>10406</v>
      </c>
    </row>
    <row r="2362" spans="1:28" ht="15" customHeight="1">
      <c r="A2362" s="2" t="s">
        <v>9440</v>
      </c>
      <c r="B2362" s="2" t="s">
        <v>368</v>
      </c>
      <c r="C2362" s="11" t="s">
        <v>3187</v>
      </c>
      <c r="D2362" s="2" t="s">
        <v>99</v>
      </c>
      <c r="E2362" s="2" t="s">
        <v>939</v>
      </c>
      <c r="F2362" s="11" t="s">
        <v>1253</v>
      </c>
      <c r="G2362" s="11" t="s">
        <v>941</v>
      </c>
      <c r="H2362" s="2" t="s">
        <v>3902</v>
      </c>
      <c r="I2362" s="2" t="s">
        <v>1255</v>
      </c>
      <c r="J2362" s="41">
        <f>+Tabla1[[#This Row],[FECHA ENTRADA]]</f>
        <v>45749</v>
      </c>
      <c r="K2362" s="22">
        <v>45821</v>
      </c>
      <c r="L2362" s="42">
        <f>_xlfn.DAYS(Tabla1[[#This Row],[FECHA FIN ]],Tabla1[[#This Row],[FECHA INICIO]])</f>
        <v>72</v>
      </c>
      <c r="M2362" s="12"/>
      <c r="N2362" s="12"/>
      <c r="O2362" s="28">
        <f>(Tabla1[[#This Row],[COSTO FIJO ]]/30)*Tabla1[[#This Row],[TOTAL DIAS PROYECTO]]+(Tabla1[[#This Row],[COSTO TEMPORAL]])</f>
        <v>0</v>
      </c>
      <c r="P2362" s="12"/>
      <c r="Q2362" s="12">
        <f>+(Tabla1[[#This Row],[COSTO COCHE]]/30)*Tabla1[[#This Row],[TOTAL DIAS PROYECTO]]</f>
        <v>0</v>
      </c>
      <c r="R2362" s="12">
        <f>+Tabla1[[#This Row],[COSTO TOTAL ALOJAMIENTO]]+Tabla1[[#This Row],[COSTO TOTAL COCHE]]</f>
        <v>0</v>
      </c>
      <c r="S2362" s="2"/>
      <c r="T2362" s="2" t="s">
        <v>35</v>
      </c>
      <c r="U2362" s="14">
        <v>45749</v>
      </c>
      <c r="V2362" s="43"/>
      <c r="W2362" s="26">
        <v>150</v>
      </c>
      <c r="X2362" s="2">
        <v>24</v>
      </c>
      <c r="Y2362" s="11"/>
      <c r="Z2362" s="2" t="s">
        <v>36</v>
      </c>
      <c r="AA2362" s="13" t="s">
        <v>10405</v>
      </c>
      <c r="AB2362" s="13" t="s">
        <v>10406</v>
      </c>
    </row>
    <row r="2363" spans="1:28" ht="15" customHeight="1">
      <c r="A2363" s="2" t="s">
        <v>8839</v>
      </c>
      <c r="B2363" s="2" t="s">
        <v>368</v>
      </c>
      <c r="C2363" s="11" t="s">
        <v>968</v>
      </c>
      <c r="D2363" s="2" t="s">
        <v>30</v>
      </c>
      <c r="E2363" s="2" t="s">
        <v>626</v>
      </c>
      <c r="F2363" s="11" t="s">
        <v>1041</v>
      </c>
      <c r="G2363" s="11" t="s">
        <v>628</v>
      </c>
      <c r="H2363" s="2" t="s">
        <v>1133</v>
      </c>
      <c r="I2363" s="12" t="s">
        <v>1134</v>
      </c>
      <c r="J2363" s="8">
        <v>45551</v>
      </c>
      <c r="K2363" s="22">
        <v>45821</v>
      </c>
      <c r="L2363" s="13">
        <f>_xlfn.DAYS(Tabla1[[#This Row],[FECHA FIN ]],Tabla1[[#This Row],[FECHA INICIO]])</f>
        <v>270</v>
      </c>
      <c r="M2363" s="12"/>
      <c r="N2363" s="12"/>
      <c r="O2363" s="12">
        <f>(Tabla1[[#This Row],[COSTO FIJO ]]/30)*Tabla1[[#This Row],[TOTAL DIAS PROYECTO]]+(Tabla1[[#This Row],[COSTO TEMPORAL]])</f>
        <v>0</v>
      </c>
      <c r="P2363" s="12"/>
      <c r="Q2363" s="12">
        <f>+(Tabla1[[#This Row],[COSTO COCHE]]/30)*Tabla1[[#This Row],[TOTAL DIAS PROYECTO]]</f>
        <v>0</v>
      </c>
      <c r="R2363" s="12">
        <f>+Tabla1[[#This Row],[COSTO TOTAL ALOJAMIENTO]]+Tabla1[[#This Row],[COSTO TOTAL COCHE]]</f>
        <v>0</v>
      </c>
      <c r="S2363" s="2"/>
      <c r="T2363" s="2" t="s">
        <v>35</v>
      </c>
      <c r="U2363" s="14">
        <v>45488</v>
      </c>
      <c r="V2363" s="14"/>
      <c r="W2363" s="26"/>
      <c r="X2363" s="2">
        <v>24</v>
      </c>
      <c r="Y2363" s="11" t="s">
        <v>3903</v>
      </c>
      <c r="Z2363" s="2" t="s">
        <v>36</v>
      </c>
      <c r="AA2363" s="13" t="s">
        <v>10385</v>
      </c>
      <c r="AB2363" s="13" t="s">
        <v>10386</v>
      </c>
    </row>
    <row r="2364" spans="1:28" ht="15" customHeight="1">
      <c r="A2364" s="2" t="s">
        <v>9441</v>
      </c>
      <c r="B2364" s="2" t="s">
        <v>28</v>
      </c>
      <c r="C2364" s="11" t="s">
        <v>3188</v>
      </c>
      <c r="D2364" s="2" t="s">
        <v>30</v>
      </c>
      <c r="E2364" s="2" t="s">
        <v>939</v>
      </c>
      <c r="F2364" s="11" t="s">
        <v>3904</v>
      </c>
      <c r="G2364" s="11" t="s">
        <v>941</v>
      </c>
      <c r="H2364" s="2" t="s">
        <v>3221</v>
      </c>
      <c r="I2364" s="12" t="s">
        <v>3185</v>
      </c>
      <c r="J2364" s="41">
        <f>+Tabla1[[#This Row],[FECHA ENTRADA]]</f>
        <v>45714</v>
      </c>
      <c r="K2364" s="22">
        <v>45821</v>
      </c>
      <c r="L2364" s="42">
        <f>_xlfn.DAYS(Tabla1[[#This Row],[FECHA FIN ]],Tabla1[[#This Row],[FECHA INICIO]])</f>
        <v>107</v>
      </c>
      <c r="M2364" s="12"/>
      <c r="N2364" s="12"/>
      <c r="O2364" s="28">
        <f>(Tabla1[[#This Row],[COSTO FIJO ]]/30)*Tabla1[[#This Row],[TOTAL DIAS PROYECTO]]+(Tabla1[[#This Row],[COSTO TEMPORAL]])</f>
        <v>0</v>
      </c>
      <c r="P2364" s="12">
        <v>200</v>
      </c>
      <c r="Q2364" s="12">
        <f>+(Tabla1[[#This Row],[COSTO COCHE]]/30)*Tabla1[[#This Row],[TOTAL DIAS PROYECTO]]</f>
        <v>713.33333333333337</v>
      </c>
      <c r="R2364" s="12">
        <f>+Tabla1[[#This Row],[COSTO TOTAL ALOJAMIENTO]]+Tabla1[[#This Row],[COSTO TOTAL COCHE]]</f>
        <v>713.33333333333337</v>
      </c>
      <c r="S2364" s="2"/>
      <c r="T2364" s="2" t="s">
        <v>35</v>
      </c>
      <c r="U2364" s="14">
        <v>45714</v>
      </c>
      <c r="V2364" s="43"/>
      <c r="W2364" s="26">
        <v>150</v>
      </c>
      <c r="X2364" s="2">
        <v>24</v>
      </c>
      <c r="Y2364" t="s">
        <v>3905</v>
      </c>
      <c r="Z2364" s="2" t="s">
        <v>36</v>
      </c>
      <c r="AA2364" s="13" t="s">
        <v>10405</v>
      </c>
      <c r="AB2364" s="13" t="s">
        <v>10406</v>
      </c>
    </row>
    <row r="2365" spans="1:28">
      <c r="A2365" s="2" t="s">
        <v>9442</v>
      </c>
      <c r="B2365" s="2" t="s">
        <v>28</v>
      </c>
      <c r="C2365" s="11" t="s">
        <v>3191</v>
      </c>
      <c r="D2365" s="2" t="s">
        <v>30</v>
      </c>
      <c r="E2365" s="2" t="s">
        <v>939</v>
      </c>
      <c r="F2365" s="11" t="s">
        <v>3904</v>
      </c>
      <c r="G2365" s="11" t="s">
        <v>941</v>
      </c>
      <c r="H2365" s="2" t="s">
        <v>3221</v>
      </c>
      <c r="I2365" s="12" t="s">
        <v>3185</v>
      </c>
      <c r="J2365" s="41">
        <f>+Tabla1[[#This Row],[FECHA ENTRADA]]</f>
        <v>45714</v>
      </c>
      <c r="K2365" s="22">
        <v>45821</v>
      </c>
      <c r="L2365" s="42">
        <f>_xlfn.DAYS(Tabla1[[#This Row],[FECHA FIN ]],Tabla1[[#This Row],[FECHA INICIO]])</f>
        <v>107</v>
      </c>
      <c r="M2365" s="12"/>
      <c r="N2365" s="12"/>
      <c r="O2365" s="28">
        <f>(Tabla1[[#This Row],[COSTO FIJO ]]/30)*Tabla1[[#This Row],[TOTAL DIAS PROYECTO]]+(Tabla1[[#This Row],[COSTO TEMPORAL]])</f>
        <v>0</v>
      </c>
      <c r="P2365" s="12">
        <v>200</v>
      </c>
      <c r="Q2365" s="12">
        <f>+(Tabla1[[#This Row],[COSTO COCHE]]/30)*Tabla1[[#This Row],[TOTAL DIAS PROYECTO]]</f>
        <v>713.33333333333337</v>
      </c>
      <c r="R2365" s="12">
        <f>+Tabla1[[#This Row],[COSTO TOTAL ALOJAMIENTO]]+Tabla1[[#This Row],[COSTO TOTAL COCHE]]</f>
        <v>713.33333333333337</v>
      </c>
      <c r="S2365" s="2"/>
      <c r="T2365" s="2" t="s">
        <v>35</v>
      </c>
      <c r="U2365" s="14">
        <v>45714</v>
      </c>
      <c r="V2365" s="43"/>
      <c r="W2365" s="26">
        <v>150</v>
      </c>
      <c r="X2365" s="2">
        <v>24</v>
      </c>
      <c r="Y2365" t="s">
        <v>3905</v>
      </c>
      <c r="Z2365" s="2" t="s">
        <v>36</v>
      </c>
      <c r="AA2365" s="13" t="s">
        <v>10405</v>
      </c>
      <c r="AB2365" s="13" t="s">
        <v>10406</v>
      </c>
    </row>
    <row r="2366" spans="1:28" ht="15" customHeight="1">
      <c r="A2366" s="2" t="s">
        <v>9281</v>
      </c>
      <c r="B2366" s="2" t="s">
        <v>28</v>
      </c>
      <c r="C2366" s="11" t="s">
        <v>2689</v>
      </c>
      <c r="D2366" s="2" t="s">
        <v>30</v>
      </c>
      <c r="E2366" s="2" t="s">
        <v>720</v>
      </c>
      <c r="F2366" s="11" t="s">
        <v>935</v>
      </c>
      <c r="G2366" s="11" t="s">
        <v>936</v>
      </c>
      <c r="H2366" s="2" t="s">
        <v>937</v>
      </c>
      <c r="I2366" s="12" t="s">
        <v>279</v>
      </c>
      <c r="J2366" s="8">
        <f>+Tabla1[[#This Row],[FECHA ENTRADA]]</f>
        <v>45529</v>
      </c>
      <c r="K2366" s="8">
        <v>45596</v>
      </c>
      <c r="L2366" s="13">
        <f>_xlfn.DAYS(Tabla1[[#This Row],[FECHA FIN ]],Tabla1[[#This Row],[FECHA INICIO]])</f>
        <v>67</v>
      </c>
      <c r="M2366" s="12"/>
      <c r="N2366" s="12">
        <v>325</v>
      </c>
      <c r="O2366" s="12">
        <f>(Tabla1[[#This Row],[COSTO FIJO ]]/30)*Tabla1[[#This Row],[TOTAL DIAS PROYECTO]]+(Tabla1[[#This Row],[COSTO TEMPORAL]])</f>
        <v>725.83333333333337</v>
      </c>
      <c r="P2366" s="12">
        <f>+(637.91*50%)/2</f>
        <v>159.47749999999999</v>
      </c>
      <c r="Q2366" s="12">
        <f>+(Tabla1[[#This Row],[COSTO COCHE]]/30)*Tabla1[[#This Row],[TOTAL DIAS PROYECTO]]</f>
        <v>356.16641666666663</v>
      </c>
      <c r="R2366" s="12">
        <f>+Tabla1[[#This Row],[COSTO TOTAL ALOJAMIENTO]]+Tabla1[[#This Row],[COSTO TOTAL COCHE]]</f>
        <v>1081.9997499999999</v>
      </c>
      <c r="S2366" s="2"/>
      <c r="T2366" s="2" t="s">
        <v>35</v>
      </c>
      <c r="U2366" s="14">
        <v>45529</v>
      </c>
      <c r="V2366" s="14"/>
      <c r="W2366" s="26">
        <v>650</v>
      </c>
      <c r="X2366" s="2">
        <v>25</v>
      </c>
      <c r="Y2366" s="31"/>
      <c r="Z2366" s="2" t="s">
        <v>36</v>
      </c>
      <c r="AA2366" s="13" t="s">
        <v>10394</v>
      </c>
      <c r="AB2366" s="13" t="s">
        <v>10395</v>
      </c>
    </row>
    <row r="2367" spans="1:28" ht="15" customHeight="1">
      <c r="A2367" s="2" t="s">
        <v>8839</v>
      </c>
      <c r="B2367" s="2" t="s">
        <v>28</v>
      </c>
      <c r="C2367" s="11" t="s">
        <v>968</v>
      </c>
      <c r="D2367" s="2" t="s">
        <v>30</v>
      </c>
      <c r="E2367" s="2" t="s">
        <v>253</v>
      </c>
      <c r="F2367" s="11" t="s">
        <v>254</v>
      </c>
      <c r="G2367" s="11" t="s">
        <v>255</v>
      </c>
      <c r="H2367" s="2" t="s">
        <v>1262</v>
      </c>
      <c r="I2367" s="12" t="s">
        <v>1263</v>
      </c>
      <c r="J2367" s="22">
        <f>+Tabla1[[#This Row],[FECHA ENTRADA]]</f>
        <v>45621</v>
      </c>
      <c r="K2367" s="22">
        <v>45821</v>
      </c>
      <c r="L2367" s="23">
        <f>_xlfn.DAYS(Tabla1[[#This Row],[FECHA FIN ]],Tabla1[[#This Row],[FECHA INICIO]])</f>
        <v>200</v>
      </c>
      <c r="M2367" s="12"/>
      <c r="N2367" s="12"/>
      <c r="O2367" s="24">
        <f>(Tabla1[[#This Row],[COSTO FIJO ]]/30)*Tabla1[[#This Row],[TOTAL DIAS PROYECTO]]+(Tabla1[[#This Row],[COSTO TEMPORAL]])</f>
        <v>0</v>
      </c>
      <c r="P2367" s="12"/>
      <c r="Q2367" s="12">
        <f>+(Tabla1[[#This Row],[COSTO COCHE]]/30)*Tabla1[[#This Row],[TOTAL DIAS PROYECTO]]</f>
        <v>0</v>
      </c>
      <c r="R2367" s="12">
        <f>+Tabla1[[#This Row],[COSTO TOTAL ALOJAMIENTO]]+Tabla1[[#This Row],[COSTO TOTAL COCHE]]</f>
        <v>0</v>
      </c>
      <c r="S2367" s="2"/>
      <c r="T2367" s="2" t="s">
        <v>35</v>
      </c>
      <c r="U2367" s="14">
        <v>45621</v>
      </c>
      <c r="V2367" s="25"/>
      <c r="W2367" s="26"/>
      <c r="X2367" s="2">
        <v>25</v>
      </c>
      <c r="Y2367" s="11"/>
      <c r="Z2367" s="2" t="s">
        <v>36</v>
      </c>
      <c r="AA2367" s="13" t="s">
        <v>10357</v>
      </c>
      <c r="AB2367" s="13" t="s">
        <v>10358</v>
      </c>
    </row>
    <row r="2368" spans="1:28" ht="15" customHeight="1">
      <c r="A2368" s="2" t="s">
        <v>9438</v>
      </c>
      <c r="B2368" s="2" t="s">
        <v>28</v>
      </c>
      <c r="C2368" s="11" t="s">
        <v>3178</v>
      </c>
      <c r="D2368" s="2" t="s">
        <v>30</v>
      </c>
      <c r="E2368" s="2" t="s">
        <v>985</v>
      </c>
      <c r="F2368" s="11" t="s">
        <v>1269</v>
      </c>
      <c r="G2368" s="11" t="s">
        <v>1270</v>
      </c>
      <c r="H2368" s="2" t="s">
        <v>1271</v>
      </c>
      <c r="I2368" s="12" t="s">
        <v>1272</v>
      </c>
      <c r="J2368" s="8">
        <f>+Tabla1[[#This Row],[FECHA ENTRADA]]</f>
        <v>45433</v>
      </c>
      <c r="K2368" s="22">
        <v>45821</v>
      </c>
      <c r="L2368" s="13">
        <f>_xlfn.DAYS(Tabla1[[#This Row],[FECHA FIN ]],Tabla1[[#This Row],[FECHA INICIO]])</f>
        <v>388</v>
      </c>
      <c r="M2368" s="12"/>
      <c r="N2368" s="12"/>
      <c r="O2368" s="12">
        <f>(Tabla1[[#This Row],[COSTO FIJO ]]/30)*Tabla1[[#This Row],[TOTAL DIAS PROYECTO]]+(Tabla1[[#This Row],[COSTO TEMPORAL]])</f>
        <v>0</v>
      </c>
      <c r="P2368" s="12"/>
      <c r="Q2368" s="12">
        <f>+(Tabla1[[#This Row],[COSTO COCHE]]/30)*Tabla1[[#This Row],[TOTAL DIAS PROYECTO]]</f>
        <v>0</v>
      </c>
      <c r="R2368" s="12">
        <f>+Tabla1[[#This Row],[COSTO TOTAL ALOJAMIENTO]]+Tabla1[[#This Row],[COSTO TOTAL COCHE]]</f>
        <v>0</v>
      </c>
      <c r="S2368" s="2"/>
      <c r="T2368" s="2" t="s">
        <v>35</v>
      </c>
      <c r="U2368" s="14">
        <v>45433</v>
      </c>
      <c r="V2368" s="14">
        <v>45438</v>
      </c>
      <c r="W2368" s="26">
        <v>1500</v>
      </c>
      <c r="X2368" s="2">
        <v>25</v>
      </c>
      <c r="Y2368" s="11" t="s">
        <v>1273</v>
      </c>
      <c r="Z2368" s="2" t="s">
        <v>36</v>
      </c>
      <c r="AA2368" s="13" t="s">
        <v>10407</v>
      </c>
      <c r="AB2368" s="13" t="s">
        <v>10408</v>
      </c>
    </row>
    <row r="2369" spans="1:28" ht="15" customHeight="1">
      <c r="A2369" s="2" t="s">
        <v>9470</v>
      </c>
      <c r="B2369" s="2" t="s">
        <v>28</v>
      </c>
      <c r="C2369" s="11" t="s">
        <v>3297</v>
      </c>
      <c r="D2369" s="2" t="s">
        <v>30</v>
      </c>
      <c r="E2369" s="2" t="s">
        <v>985</v>
      </c>
      <c r="F2369" s="11" t="s">
        <v>1269</v>
      </c>
      <c r="G2369" s="11" t="s">
        <v>1270</v>
      </c>
      <c r="H2369" s="2" t="s">
        <v>1271</v>
      </c>
      <c r="I2369" s="12" t="s">
        <v>1272</v>
      </c>
      <c r="J2369" s="8">
        <f>+Tabla1[[#This Row],[FECHA ENTRADA]]</f>
        <v>45433</v>
      </c>
      <c r="K2369" s="22">
        <v>45821</v>
      </c>
      <c r="L2369" s="13">
        <f>_xlfn.DAYS(Tabla1[[#This Row],[FECHA FIN ]],Tabla1[[#This Row],[FECHA INICIO]])</f>
        <v>388</v>
      </c>
      <c r="M2369" s="12"/>
      <c r="N2369" s="12"/>
      <c r="O2369" s="12">
        <f>(Tabla1[[#This Row],[COSTO FIJO ]]/30)*Tabla1[[#This Row],[TOTAL DIAS PROYECTO]]+(Tabla1[[#This Row],[COSTO TEMPORAL]])</f>
        <v>0</v>
      </c>
      <c r="P2369" s="12"/>
      <c r="Q2369" s="12">
        <f>+(Tabla1[[#This Row],[COSTO COCHE]]/30)*Tabla1[[#This Row],[TOTAL DIAS PROYECTO]]</f>
        <v>0</v>
      </c>
      <c r="R2369" s="12">
        <f>+Tabla1[[#This Row],[COSTO TOTAL ALOJAMIENTO]]+Tabla1[[#This Row],[COSTO TOTAL COCHE]]</f>
        <v>0</v>
      </c>
      <c r="S2369" s="2"/>
      <c r="T2369" s="2" t="s">
        <v>35</v>
      </c>
      <c r="U2369" s="14">
        <v>45433</v>
      </c>
      <c r="V2369" s="14">
        <v>45438</v>
      </c>
      <c r="W2369" s="26"/>
      <c r="X2369" s="2">
        <v>25</v>
      </c>
      <c r="Y2369" s="11" t="s">
        <v>1273</v>
      </c>
      <c r="Z2369" s="2" t="s">
        <v>36</v>
      </c>
      <c r="AA2369" s="13" t="s">
        <v>10407</v>
      </c>
      <c r="AB2369" s="13" t="s">
        <v>10408</v>
      </c>
    </row>
    <row r="2370" spans="1:28" ht="15" customHeight="1">
      <c r="A2370" s="2" t="s">
        <v>9605</v>
      </c>
      <c r="B2370" s="2" t="s">
        <v>711</v>
      </c>
      <c r="C2370" s="31" t="s">
        <v>3843</v>
      </c>
      <c r="D2370" s="2" t="s">
        <v>30</v>
      </c>
      <c r="E2370" s="2" t="s">
        <v>3400</v>
      </c>
      <c r="F2370" s="11"/>
      <c r="G2370" s="46"/>
      <c r="H2370" s="2" t="s">
        <v>2163</v>
      </c>
      <c r="I2370" s="12" t="s">
        <v>96</v>
      </c>
      <c r="J2370" s="41">
        <f>+Tabla1[[#This Row],[FECHA ENTRADA]]</f>
        <v>46174</v>
      </c>
      <c r="K2370" s="41">
        <v>46200</v>
      </c>
      <c r="L2370" s="42">
        <f>_xlfn.DAYS(Tabla1[[#This Row],[FECHA FIN ]],Tabla1[[#This Row],[FECHA INICIO]])</f>
        <v>26</v>
      </c>
      <c r="M2370" s="12"/>
      <c r="N2370" s="28">
        <v>0</v>
      </c>
      <c r="O2370" s="28">
        <f>(Tabla1[[#This Row],[COSTO FIJO ]]/30)*Tabla1[[#This Row],[TOTAL DIAS PROYECTO]]+(Tabla1[[#This Row],[COSTO TEMPORAL]])</f>
        <v>0</v>
      </c>
      <c r="P2370" s="12"/>
      <c r="Q2370" s="12">
        <f>+(Tabla1[[#This Row],[COSTO COCHE]]/30)*Tabla1[[#This Row],[TOTAL DIAS PROYECTO]]</f>
        <v>0</v>
      </c>
      <c r="R2370" s="12">
        <f>+Tabla1[[#This Row],[COSTO TOTAL ALOJAMIENTO]]+Tabla1[[#This Row],[COSTO TOTAL COCHE]]</f>
        <v>0</v>
      </c>
      <c r="S2370" s="2"/>
      <c r="T2370" s="14" t="s">
        <v>8</v>
      </c>
      <c r="U2370" s="14">
        <v>46174</v>
      </c>
      <c r="V2370" s="43"/>
      <c r="W2370" s="12"/>
      <c r="X2370" s="2"/>
      <c r="Y2370" s="11" t="s">
        <v>3906</v>
      </c>
      <c r="Z2370" s="2" t="s">
        <v>36</v>
      </c>
      <c r="AA2370" s="13" t="e">
        <v>#N/A</v>
      </c>
      <c r="AB2370" s="13" t="e">
        <v>#N/A</v>
      </c>
    </row>
    <row r="2371" spans="1:28">
      <c r="A2371" s="2" t="s">
        <v>8760</v>
      </c>
      <c r="B2371" s="2" t="s">
        <v>28</v>
      </c>
      <c r="C2371" s="11" t="s">
        <v>632</v>
      </c>
      <c r="D2371" s="2" t="s">
        <v>30</v>
      </c>
      <c r="E2371" s="2" t="s">
        <v>253</v>
      </c>
      <c r="F2371" s="11" t="s">
        <v>1261</v>
      </c>
      <c r="G2371" s="11" t="s">
        <v>772</v>
      </c>
      <c r="H2371" s="2" t="s">
        <v>1262</v>
      </c>
      <c r="I2371" s="12" t="s">
        <v>1263</v>
      </c>
      <c r="J2371" s="22">
        <f>+Tabla1[[#This Row],[FECHA ENTRADA]]</f>
        <v>45621</v>
      </c>
      <c r="K2371" s="22">
        <v>45821</v>
      </c>
      <c r="L2371" s="23">
        <f>_xlfn.DAYS(Tabla1[[#This Row],[FECHA FIN ]],Tabla1[[#This Row],[FECHA INICIO]])</f>
        <v>200</v>
      </c>
      <c r="M2371" s="12"/>
      <c r="N2371" s="12"/>
      <c r="O2371" s="24">
        <f>(Tabla1[[#This Row],[COSTO FIJO ]]/30)*Tabla1[[#This Row],[TOTAL DIAS PROYECTO]]+(Tabla1[[#This Row],[COSTO TEMPORAL]])</f>
        <v>0</v>
      </c>
      <c r="P2371" s="12"/>
      <c r="Q2371" s="12">
        <f>+(Tabla1[[#This Row],[COSTO COCHE]]/30)*Tabla1[[#This Row],[TOTAL DIAS PROYECTO]]</f>
        <v>0</v>
      </c>
      <c r="R2371" s="12">
        <f>+Tabla1[[#This Row],[COSTO TOTAL ALOJAMIENTO]]+Tabla1[[#This Row],[COSTO TOTAL COCHE]]</f>
        <v>0</v>
      </c>
      <c r="S2371" s="2"/>
      <c r="T2371" s="2" t="s">
        <v>35</v>
      </c>
      <c r="U2371" s="14">
        <v>45621</v>
      </c>
      <c r="V2371" s="25">
        <v>45648</v>
      </c>
      <c r="W2371" s="26"/>
      <c r="X2371" s="2">
        <v>25</v>
      </c>
      <c r="Y2371" s="11"/>
      <c r="Z2371" s="2" t="s">
        <v>36</v>
      </c>
      <c r="AA2371" s="13" t="s">
        <v>10357</v>
      </c>
      <c r="AB2371" s="13" t="s">
        <v>10358</v>
      </c>
    </row>
    <row r="2372" spans="1:28" ht="15" customHeight="1">
      <c r="A2372" s="2" t="s">
        <v>8734</v>
      </c>
      <c r="B2372" s="2" t="s">
        <v>28</v>
      </c>
      <c r="C2372" s="11" t="s">
        <v>491</v>
      </c>
      <c r="D2372" s="2" t="s">
        <v>30</v>
      </c>
      <c r="E2372" s="2" t="s">
        <v>259</v>
      </c>
      <c r="F2372" s="11" t="s">
        <v>260</v>
      </c>
      <c r="G2372" s="11" t="s">
        <v>261</v>
      </c>
      <c r="H2372" s="2" t="s">
        <v>3907</v>
      </c>
      <c r="I2372" s="12" t="s">
        <v>263</v>
      </c>
      <c r="J2372" s="8">
        <f>+Tabla1[[#This Row],[FECHA ENTRADA]]</f>
        <v>45438</v>
      </c>
      <c r="K2372" s="22">
        <v>45821</v>
      </c>
      <c r="L2372" s="13">
        <f>_xlfn.DAYS(Tabla1[[#This Row],[FECHA FIN ]],Tabla1[[#This Row],[FECHA INICIO]])</f>
        <v>383</v>
      </c>
      <c r="M2372" s="12"/>
      <c r="N2372" s="12"/>
      <c r="O2372" s="12">
        <f>(Tabla1[[#This Row],[COSTO FIJO ]]/30)*Tabla1[[#This Row],[TOTAL DIAS PROYECTO]]+(Tabla1[[#This Row],[COSTO TEMPORAL]])</f>
        <v>0</v>
      </c>
      <c r="P2372" s="12"/>
      <c r="Q2372" s="12">
        <f>+(Tabla1[[#This Row],[COSTO COCHE]]/30)*Tabla1[[#This Row],[TOTAL DIAS PROYECTO]]</f>
        <v>0</v>
      </c>
      <c r="R2372" s="12">
        <f>+Tabla1[[#This Row],[COSTO TOTAL ALOJAMIENTO]]+Tabla1[[#This Row],[COSTO TOTAL COCHE]]</f>
        <v>0</v>
      </c>
      <c r="S2372" s="2"/>
      <c r="T2372" s="2" t="s">
        <v>35</v>
      </c>
      <c r="U2372" s="14">
        <v>45438</v>
      </c>
      <c r="V2372" s="14"/>
      <c r="W2372" s="26"/>
      <c r="X2372" s="2">
        <v>25</v>
      </c>
      <c r="Y2372" s="18" t="s">
        <v>3908</v>
      </c>
      <c r="Z2372" s="2" t="s">
        <v>36</v>
      </c>
      <c r="AA2372" s="13">
        <v>-0.87734000000000001</v>
      </c>
      <c r="AB2372" s="13" t="s">
        <v>10359</v>
      </c>
    </row>
    <row r="2373" spans="1:28" ht="15" customHeight="1">
      <c r="A2373" s="2" t="s">
        <v>9067</v>
      </c>
      <c r="B2373" s="2" t="s">
        <v>28</v>
      </c>
      <c r="C2373" s="11" t="s">
        <v>1860</v>
      </c>
      <c r="D2373" s="2" t="s">
        <v>30</v>
      </c>
      <c r="E2373" s="2" t="s">
        <v>626</v>
      </c>
      <c r="F2373" s="11" t="s">
        <v>627</v>
      </c>
      <c r="G2373" s="11" t="s">
        <v>628</v>
      </c>
      <c r="H2373" s="2" t="s">
        <v>868</v>
      </c>
      <c r="I2373" s="12" t="s">
        <v>570</v>
      </c>
      <c r="J2373" s="8">
        <f>+Tabla1[[#This Row],[FECHA ENTRADA]]</f>
        <v>45500</v>
      </c>
      <c r="K2373" s="22">
        <v>45821</v>
      </c>
      <c r="L2373" s="13">
        <f>_xlfn.DAYS(Tabla1[[#This Row],[FECHA FIN ]],Tabla1[[#This Row],[FECHA INICIO]])</f>
        <v>321</v>
      </c>
      <c r="M2373" s="12"/>
      <c r="N2373" s="12"/>
      <c r="O2373" s="12">
        <f>(Tabla1[[#This Row],[COSTO FIJO ]]/30)*Tabla1[[#This Row],[TOTAL DIAS PROYECTO]]+(Tabla1[[#This Row],[COSTO TEMPORAL]])</f>
        <v>0</v>
      </c>
      <c r="P2373" s="12"/>
      <c r="Q2373" s="12">
        <f>+(Tabla1[[#This Row],[COSTO COCHE]]/30)*Tabla1[[#This Row],[TOTAL DIAS PROYECTO]]</f>
        <v>0</v>
      </c>
      <c r="R2373" s="12">
        <f>+Tabla1[[#This Row],[COSTO TOTAL ALOJAMIENTO]]+Tabla1[[#This Row],[COSTO TOTAL COCHE]]</f>
        <v>0</v>
      </c>
      <c r="S2373" s="2"/>
      <c r="T2373" s="2" t="s">
        <v>35</v>
      </c>
      <c r="U2373" s="14">
        <v>45500</v>
      </c>
      <c r="V2373" s="14"/>
      <c r="W2373" s="26"/>
      <c r="X2373" s="2">
        <v>26</v>
      </c>
      <c r="Y2373" s="11" t="s">
        <v>3909</v>
      </c>
      <c r="Z2373" s="2" t="s">
        <v>36</v>
      </c>
      <c r="AA2373" s="13" t="s">
        <v>10385</v>
      </c>
      <c r="AB2373" s="13" t="s">
        <v>10386</v>
      </c>
    </row>
    <row r="2374" spans="1:28" ht="15" customHeight="1">
      <c r="A2374" s="2" t="s">
        <v>8891</v>
      </c>
      <c r="B2374" s="2" t="s">
        <v>28</v>
      </c>
      <c r="C2374" s="11" t="s">
        <v>1173</v>
      </c>
      <c r="D2374" s="2" t="s">
        <v>30</v>
      </c>
      <c r="E2374" s="2" t="s">
        <v>626</v>
      </c>
      <c r="F2374" s="11" t="s">
        <v>627</v>
      </c>
      <c r="G2374" s="11" t="s">
        <v>628</v>
      </c>
      <c r="H2374" s="2" t="s">
        <v>1768</v>
      </c>
      <c r="I2374" s="2" t="s">
        <v>570</v>
      </c>
      <c r="J2374" s="22">
        <v>45578</v>
      </c>
      <c r="K2374" s="22">
        <v>45821</v>
      </c>
      <c r="L2374" s="23">
        <f>_xlfn.DAYS(Tabla1[[#This Row],[FECHA FIN ]],Tabla1[[#This Row],[FECHA INICIO]])</f>
        <v>243</v>
      </c>
      <c r="M2374" s="12"/>
      <c r="N2374" s="12"/>
      <c r="O2374" s="24">
        <f>(Tabla1[[#This Row],[COSTO FIJO ]]/30)*Tabla1[[#This Row],[TOTAL DIAS PROYECTO]]+(Tabla1[[#This Row],[COSTO TEMPORAL]])</f>
        <v>0</v>
      </c>
      <c r="P2374" s="12"/>
      <c r="Q2374" s="12">
        <f>+(Tabla1[[#This Row],[COSTO COCHE]]/30)*Tabla1[[#This Row],[TOTAL DIAS PROYECTO]]</f>
        <v>0</v>
      </c>
      <c r="R2374" s="12">
        <f>+Tabla1[[#This Row],[COSTO TOTAL ALOJAMIENTO]]+Tabla1[[#This Row],[COSTO TOTAL COCHE]]</f>
        <v>0</v>
      </c>
      <c r="S2374" s="2"/>
      <c r="T2374" s="2" t="s">
        <v>35</v>
      </c>
      <c r="U2374" s="14">
        <v>45578</v>
      </c>
      <c r="V2374" s="79"/>
      <c r="W2374" s="26"/>
      <c r="X2374" s="2">
        <v>26</v>
      </c>
      <c r="Y2374" s="11" t="s">
        <v>3910</v>
      </c>
      <c r="Z2374" s="2" t="s">
        <v>36</v>
      </c>
      <c r="AA2374" s="13" t="s">
        <v>10385</v>
      </c>
      <c r="AB2374" s="13" t="s">
        <v>10386</v>
      </c>
    </row>
    <row r="2375" spans="1:28" ht="15" customHeight="1">
      <c r="A2375" s="2" t="s">
        <v>9507</v>
      </c>
      <c r="B2375" s="2" t="s">
        <v>28</v>
      </c>
      <c r="C2375" s="11" t="s">
        <v>3457</v>
      </c>
      <c r="D2375" s="2" t="s">
        <v>30</v>
      </c>
      <c r="E2375" s="2" t="s">
        <v>626</v>
      </c>
      <c r="F2375" s="11" t="s">
        <v>627</v>
      </c>
      <c r="G2375" s="11" t="s">
        <v>628</v>
      </c>
      <c r="H2375" s="2" t="s">
        <v>3458</v>
      </c>
      <c r="I2375" s="12" t="s">
        <v>570</v>
      </c>
      <c r="J2375" s="41">
        <f>+Tabla1[[#This Row],[FECHA ENTRADA]]</f>
        <v>45565</v>
      </c>
      <c r="K2375" s="22">
        <v>45821</v>
      </c>
      <c r="L2375" s="42">
        <f>_xlfn.DAYS(Tabla1[[#This Row],[FECHA FIN ]],Tabla1[[#This Row],[FECHA INICIO]])</f>
        <v>256</v>
      </c>
      <c r="M2375" s="12"/>
      <c r="N2375" s="12"/>
      <c r="O2375" s="28">
        <f>(Tabla1[[#This Row],[COSTO FIJO ]]/30)*Tabla1[[#This Row],[TOTAL DIAS PROYECTO]]+(Tabla1[[#This Row],[COSTO TEMPORAL]])</f>
        <v>0</v>
      </c>
      <c r="P2375" s="12"/>
      <c r="Q2375" s="12">
        <f>+(Tabla1[[#This Row],[COSTO COCHE]]/30)*Tabla1[[#This Row],[TOTAL DIAS PROYECTO]]</f>
        <v>0</v>
      </c>
      <c r="R2375" s="12">
        <f>+Tabla1[[#This Row],[COSTO TOTAL ALOJAMIENTO]]+Tabla1[[#This Row],[COSTO TOTAL COCHE]]</f>
        <v>0</v>
      </c>
      <c r="S2375" s="2"/>
      <c r="T2375" s="2" t="s">
        <v>35</v>
      </c>
      <c r="U2375" s="14">
        <v>45565</v>
      </c>
      <c r="V2375" s="79"/>
      <c r="W2375" s="26"/>
      <c r="X2375" s="2">
        <v>26</v>
      </c>
      <c r="Y2375" s="11" t="s">
        <v>1361</v>
      </c>
      <c r="Z2375" s="2" t="s">
        <v>36</v>
      </c>
      <c r="AA2375" s="13" t="s">
        <v>10385</v>
      </c>
      <c r="AB2375" s="13" t="s">
        <v>10386</v>
      </c>
    </row>
    <row r="2376" spans="1:28" ht="15" customHeight="1">
      <c r="A2376" s="2" t="s">
        <v>9496</v>
      </c>
      <c r="B2376" s="2" t="s">
        <v>28</v>
      </c>
      <c r="C2376" s="11" t="s">
        <v>3385</v>
      </c>
      <c r="D2376" s="2" t="s">
        <v>30</v>
      </c>
      <c r="E2376" s="2" t="s">
        <v>626</v>
      </c>
      <c r="F2376" s="11" t="s">
        <v>627</v>
      </c>
      <c r="G2376" s="11" t="s">
        <v>628</v>
      </c>
      <c r="H2376" s="2" t="s">
        <v>3458</v>
      </c>
      <c r="I2376" s="12" t="s">
        <v>570</v>
      </c>
      <c r="J2376" s="41">
        <f>+Tabla1[[#This Row],[FECHA ENTRADA]]</f>
        <v>45565</v>
      </c>
      <c r="K2376" s="22">
        <v>45821</v>
      </c>
      <c r="L2376" s="42">
        <f>_xlfn.DAYS(Tabla1[[#This Row],[FECHA FIN ]],Tabla1[[#This Row],[FECHA INICIO]])</f>
        <v>256</v>
      </c>
      <c r="M2376" s="12"/>
      <c r="N2376" s="12"/>
      <c r="O2376" s="28">
        <f>(Tabla1[[#This Row],[COSTO FIJO ]]/30)*Tabla1[[#This Row],[TOTAL DIAS PROYECTO]]+(Tabla1[[#This Row],[COSTO TEMPORAL]])</f>
        <v>0</v>
      </c>
      <c r="P2376" s="12"/>
      <c r="Q2376" s="12">
        <f>+(Tabla1[[#This Row],[COSTO COCHE]]/30)*Tabla1[[#This Row],[TOTAL DIAS PROYECTO]]</f>
        <v>0</v>
      </c>
      <c r="R2376" s="12">
        <f>+Tabla1[[#This Row],[COSTO TOTAL ALOJAMIENTO]]+Tabla1[[#This Row],[COSTO TOTAL COCHE]]</f>
        <v>0</v>
      </c>
      <c r="S2376" s="2"/>
      <c r="T2376" s="2" t="s">
        <v>35</v>
      </c>
      <c r="U2376" s="14">
        <v>45565</v>
      </c>
      <c r="V2376" s="79"/>
      <c r="W2376" s="26"/>
      <c r="X2376" s="2">
        <v>26</v>
      </c>
      <c r="Y2376" s="11" t="s">
        <v>1361</v>
      </c>
      <c r="Z2376" s="2" t="s">
        <v>36</v>
      </c>
      <c r="AA2376" s="13" t="s">
        <v>10385</v>
      </c>
      <c r="AB2376" s="13" t="s">
        <v>10386</v>
      </c>
    </row>
    <row r="2377" spans="1:28">
      <c r="A2377" s="2" t="s">
        <v>8817</v>
      </c>
      <c r="B2377" s="2" t="s">
        <v>28</v>
      </c>
      <c r="C2377" s="11" t="s">
        <v>881</v>
      </c>
      <c r="D2377" s="2" t="s">
        <v>30</v>
      </c>
      <c r="E2377" s="2" t="s">
        <v>31</v>
      </c>
      <c r="F2377" s="11" t="s">
        <v>3911</v>
      </c>
      <c r="G2377" s="49" t="s">
        <v>3912</v>
      </c>
      <c r="H2377" s="2" t="s">
        <v>1479</v>
      </c>
      <c r="I2377" s="12" t="s">
        <v>1480</v>
      </c>
      <c r="J2377" s="8">
        <f>+Tabla1[[#This Row],[FECHA ENTRADA]]</f>
        <v>45716</v>
      </c>
      <c r="K2377" s="22">
        <v>45821</v>
      </c>
      <c r="L2377" s="13">
        <f>_xlfn.DAYS(Tabla1[[#This Row],[FECHA FIN ]],Tabla1[[#This Row],[FECHA INICIO]])</f>
        <v>105</v>
      </c>
      <c r="M2377" s="12"/>
      <c r="N2377" s="12"/>
      <c r="O2377" s="12">
        <f>(Tabla1[[#This Row],[COSTO FIJO ]]/30)*Tabla1[[#This Row],[TOTAL DIAS PROYECTO]]+(Tabla1[[#This Row],[COSTO TEMPORAL]])</f>
        <v>0</v>
      </c>
      <c r="P2377" s="12"/>
      <c r="Q2377" s="12">
        <f>+(Tabla1[[#This Row],[COSTO COCHE]]/30)*Tabla1[[#This Row],[TOTAL DIAS PROYECTO]]</f>
        <v>0</v>
      </c>
      <c r="R2377" s="12">
        <f>+Tabla1[[#This Row],[COSTO TOTAL ALOJAMIENTO]]+Tabla1[[#This Row],[COSTO TOTAL COCHE]]</f>
        <v>0</v>
      </c>
      <c r="S2377" s="2"/>
      <c r="T2377" s="2" t="s">
        <v>35</v>
      </c>
      <c r="U2377" s="14">
        <v>45716</v>
      </c>
      <c r="V2377" s="14"/>
      <c r="W2377" s="26">
        <v>150</v>
      </c>
      <c r="X2377" s="2">
        <v>26</v>
      </c>
      <c r="Y2377" s="11"/>
      <c r="Z2377" s="2" t="s">
        <v>36</v>
      </c>
      <c r="AA2377" s="13" t="s">
        <v>10323</v>
      </c>
      <c r="AB2377" s="13" t="s">
        <v>10324</v>
      </c>
    </row>
    <row r="2378" spans="1:28" ht="15" customHeight="1">
      <c r="A2378" s="2" t="s">
        <v>8642</v>
      </c>
      <c r="B2378" s="2" t="s">
        <v>606</v>
      </c>
      <c r="C2378" s="31" t="s">
        <v>3913</v>
      </c>
      <c r="D2378" s="2" t="s">
        <v>99</v>
      </c>
      <c r="E2378" s="2" t="s">
        <v>31</v>
      </c>
      <c r="F2378" s="11" t="s">
        <v>3914</v>
      </c>
      <c r="G2378" s="128" t="s">
        <v>3915</v>
      </c>
      <c r="H2378" s="2" t="s">
        <v>3916</v>
      </c>
      <c r="I2378" s="12" t="s">
        <v>3917</v>
      </c>
      <c r="J2378" s="22">
        <f>+Tabla1[[#This Row],[FECHA ENTRADA]]</f>
        <v>46208</v>
      </c>
      <c r="K2378" s="22">
        <v>46223</v>
      </c>
      <c r="L2378" s="23">
        <f>_xlfn.DAYS(Tabla1[[#This Row],[FECHA FIN ]],Tabla1[[#This Row],[FECHA INICIO]])</f>
        <v>15</v>
      </c>
      <c r="M2378" s="12"/>
      <c r="N2378" s="20">
        <v>500</v>
      </c>
      <c r="O2378" s="24">
        <f>(Tabla1[[#This Row],[COSTO FIJO ]]/30)*Tabla1[[#This Row],[TOTAL DIAS PROYECTO]]+(Tabla1[[#This Row],[COSTO TEMPORAL]])</f>
        <v>250.00000000000003</v>
      </c>
      <c r="P2378" s="12"/>
      <c r="Q2378" s="12">
        <f>+(Tabla1[[#This Row],[COSTO COCHE]]/30)*Tabla1[[#This Row],[TOTAL DIAS PROYECTO]]</f>
        <v>0</v>
      </c>
      <c r="R2378" s="12">
        <f>+Tabla1[[#This Row],[COSTO TOTAL ALOJAMIENTO]]+Tabla1[[#This Row],[COSTO TOTAL COCHE]]</f>
        <v>250.00000000000003</v>
      </c>
      <c r="S2378" s="2"/>
      <c r="T2378" s="14" t="s">
        <v>35</v>
      </c>
      <c r="U2378" s="14">
        <v>46208</v>
      </c>
      <c r="V2378" s="79"/>
      <c r="W2378" s="12"/>
      <c r="X2378" s="2">
        <v>1</v>
      </c>
      <c r="Y2378" s="11" t="s">
        <v>3918</v>
      </c>
      <c r="Z2378" s="2" t="s">
        <v>36</v>
      </c>
      <c r="AA2378" s="13" t="s">
        <v>10323</v>
      </c>
      <c r="AB2378" s="13" t="s">
        <v>10324</v>
      </c>
    </row>
    <row r="2379" spans="1:28">
      <c r="A2379" s="2" t="s">
        <v>9623</v>
      </c>
      <c r="B2379" s="2" t="s">
        <v>28</v>
      </c>
      <c r="C2379" s="11" t="s">
        <v>3919</v>
      </c>
      <c r="D2379" s="2" t="s">
        <v>99</v>
      </c>
      <c r="E2379" s="2" t="s">
        <v>127</v>
      </c>
      <c r="F2379" s="11" t="s">
        <v>820</v>
      </c>
      <c r="G2379" s="21" t="s">
        <v>1234</v>
      </c>
      <c r="H2379" s="2" t="s">
        <v>3920</v>
      </c>
      <c r="I2379" s="12" t="s">
        <v>96</v>
      </c>
      <c r="J2379" s="22">
        <f>+Tabla1[[#This Row],[FECHA ENTRADA]]</f>
        <v>45726</v>
      </c>
      <c r="K2379" s="22">
        <v>45731</v>
      </c>
      <c r="L2379" s="23">
        <f>_xlfn.DAYS(Tabla1[[#This Row],[FECHA FIN ]],Tabla1[[#This Row],[FECHA INICIO]])</f>
        <v>5</v>
      </c>
      <c r="M2379" s="12"/>
      <c r="N2379" s="12">
        <v>132</v>
      </c>
      <c r="O2379" s="24">
        <f>(Tabla1[[#This Row],[COSTO FIJO ]]/30)*Tabla1[[#This Row],[TOTAL DIAS PROYECTO]]+(Tabla1[[#This Row],[COSTO TEMPORAL]])</f>
        <v>22</v>
      </c>
      <c r="P2379" s="12"/>
      <c r="Q2379" s="12">
        <f>+(Tabla1[[#This Row],[COSTO COCHE]]/30)*Tabla1[[#This Row],[TOTAL DIAS PROYECTO]]</f>
        <v>0</v>
      </c>
      <c r="R2379" s="12">
        <f>+Tabla1[[#This Row],[COSTO TOTAL ALOJAMIENTO]]+Tabla1[[#This Row],[COSTO TOTAL COCHE]]</f>
        <v>22</v>
      </c>
      <c r="S2379" s="2"/>
      <c r="T2379" s="2" t="s">
        <v>44</v>
      </c>
      <c r="U2379" s="14">
        <v>45726</v>
      </c>
      <c r="V2379" s="79">
        <v>45731</v>
      </c>
      <c r="W2379" s="26"/>
      <c r="X2379" s="2"/>
      <c r="Y2379" s="11" t="s">
        <v>1166</v>
      </c>
      <c r="Z2379" s="2" t="s">
        <v>36</v>
      </c>
      <c r="AA2379" s="13" t="s">
        <v>10342</v>
      </c>
      <c r="AB2379" s="13" t="s">
        <v>10343</v>
      </c>
    </row>
    <row r="2380" spans="1:28" ht="15" customHeight="1">
      <c r="A2380" s="2" t="s">
        <v>9059</v>
      </c>
      <c r="B2380" s="2" t="s">
        <v>368</v>
      </c>
      <c r="C2380" s="11" t="s">
        <v>1827</v>
      </c>
      <c r="D2380" s="2" t="s">
        <v>30</v>
      </c>
      <c r="E2380" s="2" t="s">
        <v>109</v>
      </c>
      <c r="F2380" s="11" t="s">
        <v>1793</v>
      </c>
      <c r="G2380" s="21">
        <v>973266788</v>
      </c>
      <c r="H2380" s="2" t="s">
        <v>1829</v>
      </c>
      <c r="I2380" s="12" t="s">
        <v>1830</v>
      </c>
      <c r="J2380" s="41">
        <f>+Tabla1[[#This Row],[FECHA ENTRADA]]</f>
        <v>45774</v>
      </c>
      <c r="K2380" s="22">
        <v>45798</v>
      </c>
      <c r="L2380" s="23">
        <f>_xlfn.DAYS(Tabla1[[#This Row],[FECHA FIN ]],Tabla1[[#This Row],[FECHA INICIO]])</f>
        <v>24</v>
      </c>
      <c r="M2380" s="12"/>
      <c r="N2380" s="12"/>
      <c r="O2380" s="24">
        <f>(Tabla1[[#This Row],[COSTO FIJO ]]/30)*Tabla1[[#This Row],[TOTAL DIAS PROYECTO]]+(Tabla1[[#This Row],[COSTO TEMPORAL]])</f>
        <v>0</v>
      </c>
      <c r="P2380" s="12"/>
      <c r="Q2380" s="12">
        <f>+(Tabla1[[#This Row],[COSTO COCHE]]/30)*Tabla1[[#This Row],[TOTAL DIAS PROYECTO]]</f>
        <v>0</v>
      </c>
      <c r="R2380" s="12">
        <f>+Tabla1[[#This Row],[COSTO TOTAL ALOJAMIENTO]]+Tabla1[[#This Row],[COSTO TOTAL COCHE]]</f>
        <v>0</v>
      </c>
      <c r="S2380" s="2"/>
      <c r="T2380" s="2" t="s">
        <v>44</v>
      </c>
      <c r="U2380" s="14">
        <v>45774</v>
      </c>
      <c r="V2380" s="25">
        <v>45799</v>
      </c>
      <c r="W2380" s="26"/>
      <c r="X2380" s="2"/>
      <c r="Y2380" s="11"/>
      <c r="Z2380" s="2" t="s">
        <v>36</v>
      </c>
      <c r="AA2380" s="13">
        <v>0.62217999999999996</v>
      </c>
      <c r="AB2380" s="13" t="s">
        <v>10339</v>
      </c>
    </row>
    <row r="2381" spans="1:28" ht="15" customHeight="1">
      <c r="A2381" s="2" t="s">
        <v>9123</v>
      </c>
      <c r="B2381" s="2" t="s">
        <v>368</v>
      </c>
      <c r="C2381" s="11" t="s">
        <v>2094</v>
      </c>
      <c r="D2381" s="2" t="s">
        <v>30</v>
      </c>
      <c r="E2381" s="2" t="s">
        <v>109</v>
      </c>
      <c r="F2381" s="11" t="s">
        <v>1793</v>
      </c>
      <c r="G2381" s="21">
        <v>973266788</v>
      </c>
      <c r="H2381" s="2" t="s">
        <v>2095</v>
      </c>
      <c r="I2381" s="12" t="s">
        <v>1830</v>
      </c>
      <c r="J2381" s="41">
        <f>+Tabla1[[#This Row],[FECHA ENTRADA]]</f>
        <v>45774</v>
      </c>
      <c r="K2381" s="22">
        <v>45798</v>
      </c>
      <c r="L2381" s="23">
        <f>_xlfn.DAYS(Tabla1[[#This Row],[FECHA FIN ]],Tabla1[[#This Row],[FECHA INICIO]])</f>
        <v>24</v>
      </c>
      <c r="M2381" s="12"/>
      <c r="N2381" s="12"/>
      <c r="O2381" s="24">
        <f>(Tabla1[[#This Row],[COSTO FIJO ]]/30)*Tabla1[[#This Row],[TOTAL DIAS PROYECTO]]+(Tabla1[[#This Row],[COSTO TEMPORAL]])</f>
        <v>0</v>
      </c>
      <c r="P2381" s="12"/>
      <c r="Q2381" s="12">
        <f>+(Tabla1[[#This Row],[COSTO COCHE]]/30)*Tabla1[[#This Row],[TOTAL DIAS PROYECTO]]</f>
        <v>0</v>
      </c>
      <c r="R2381" s="12">
        <f>+Tabla1[[#This Row],[COSTO TOTAL ALOJAMIENTO]]+Tabla1[[#This Row],[COSTO TOTAL COCHE]]</f>
        <v>0</v>
      </c>
      <c r="S2381" s="2"/>
      <c r="T2381" s="2" t="s">
        <v>44</v>
      </c>
      <c r="U2381" s="14">
        <v>45774</v>
      </c>
      <c r="V2381" s="25">
        <v>45799</v>
      </c>
      <c r="W2381" s="26"/>
      <c r="X2381" s="2"/>
      <c r="Y2381" s="11"/>
      <c r="Z2381" s="2" t="s">
        <v>36</v>
      </c>
      <c r="AA2381" s="13">
        <v>0.62217999999999996</v>
      </c>
      <c r="AB2381" s="13" t="s">
        <v>10339</v>
      </c>
    </row>
    <row r="2382" spans="1:28">
      <c r="A2382" s="2" t="s">
        <v>9623</v>
      </c>
      <c r="B2382" s="2" t="s">
        <v>28</v>
      </c>
      <c r="C2382" s="11" t="s">
        <v>3919</v>
      </c>
      <c r="D2382" s="2" t="s">
        <v>99</v>
      </c>
      <c r="E2382" s="2" t="s">
        <v>127</v>
      </c>
      <c r="F2382" s="11" t="s">
        <v>820</v>
      </c>
      <c r="G2382" s="21" t="s">
        <v>1234</v>
      </c>
      <c r="H2382" s="2" t="s">
        <v>3920</v>
      </c>
      <c r="I2382" s="12" t="s">
        <v>96</v>
      </c>
      <c r="J2382" s="22">
        <f>+Tabla1[[#This Row],[FECHA ENTRADA]]</f>
        <v>45732</v>
      </c>
      <c r="K2382" s="22">
        <v>45755</v>
      </c>
      <c r="L2382" s="23">
        <f>_xlfn.DAYS(Tabla1[[#This Row],[FECHA FIN ]],Tabla1[[#This Row],[FECHA INICIO]])</f>
        <v>23</v>
      </c>
      <c r="M2382" s="12"/>
      <c r="N2382" s="12"/>
      <c r="O2382" s="24">
        <f>(Tabla1[[#This Row],[COSTO FIJO ]]/30)*Tabla1[[#This Row],[TOTAL DIAS PROYECTO]]+(Tabla1[[#This Row],[COSTO TEMPORAL]])</f>
        <v>0</v>
      </c>
      <c r="P2382" s="12"/>
      <c r="Q2382" s="12">
        <f>+(Tabla1[[#This Row],[COSTO COCHE]]/30)*Tabla1[[#This Row],[TOTAL DIAS PROYECTO]]</f>
        <v>0</v>
      </c>
      <c r="R2382" s="12">
        <f>+Tabla1[[#This Row],[COSTO TOTAL ALOJAMIENTO]]+Tabla1[[#This Row],[COSTO TOTAL COCHE]]</f>
        <v>0</v>
      </c>
      <c r="S2382" s="2"/>
      <c r="T2382" s="2" t="s">
        <v>44</v>
      </c>
      <c r="U2382" s="14">
        <v>45732</v>
      </c>
      <c r="V2382" s="25">
        <v>45768</v>
      </c>
      <c r="W2382" s="26"/>
      <c r="X2382" s="2"/>
      <c r="Y2382" s="11"/>
      <c r="Z2382" s="2" t="s">
        <v>36</v>
      </c>
      <c r="AA2382" s="13" t="s">
        <v>10342</v>
      </c>
      <c r="AB2382" s="13" t="s">
        <v>10343</v>
      </c>
    </row>
    <row r="2383" spans="1:28" ht="15" customHeight="1">
      <c r="A2383" s="2" t="s">
        <v>9174</v>
      </c>
      <c r="B2383" s="2" t="s">
        <v>368</v>
      </c>
      <c r="C2383" s="11" t="s">
        <v>2319</v>
      </c>
      <c r="D2383" s="2" t="s">
        <v>99</v>
      </c>
      <c r="E2383" s="2" t="s">
        <v>109</v>
      </c>
      <c r="F2383" s="11" t="s">
        <v>898</v>
      </c>
      <c r="G2383" s="21" t="s">
        <v>899</v>
      </c>
      <c r="H2383" s="2" t="s">
        <v>3921</v>
      </c>
      <c r="I2383" s="12" t="s">
        <v>1830</v>
      </c>
      <c r="J2383" s="41">
        <f>+Tabla1[[#This Row],[FECHA ENTRADA]]</f>
        <v>45834</v>
      </c>
      <c r="K2383" s="22">
        <v>45925</v>
      </c>
      <c r="L2383" s="42">
        <f>_xlfn.DAYS(Tabla1[[#This Row],[FECHA FIN ]],Tabla1[[#This Row],[FECHA INICIO]])</f>
        <v>91</v>
      </c>
      <c r="M2383" s="12"/>
      <c r="N2383" s="12">
        <v>200</v>
      </c>
      <c r="O2383" s="28">
        <f>(Tabla1[[#This Row],[COSTO FIJO ]]/30)*Tabla1[[#This Row],[TOTAL DIAS PROYECTO]]+(Tabla1[[#This Row],[COSTO TEMPORAL]])</f>
        <v>606.66666666666674</v>
      </c>
      <c r="P2383" s="12"/>
      <c r="Q2383" s="12">
        <f>+(Tabla1[[#This Row],[COSTO COCHE]]/30)*Tabla1[[#This Row],[TOTAL DIAS PROYECTO]]</f>
        <v>0</v>
      </c>
      <c r="R2383" s="12">
        <f>+Tabla1[[#This Row],[COSTO TOTAL ALOJAMIENTO]]+Tabla1[[#This Row],[COSTO TOTAL COCHE]]</f>
        <v>606.66666666666674</v>
      </c>
      <c r="S2383" s="2"/>
      <c r="T2383" s="14" t="s">
        <v>35</v>
      </c>
      <c r="U2383" s="14">
        <v>45834</v>
      </c>
      <c r="V2383" s="43"/>
      <c r="W2383" s="2"/>
      <c r="X2383" s="2">
        <v>1</v>
      </c>
      <c r="Y2383" s="11" t="s">
        <v>1166</v>
      </c>
      <c r="Z2383" s="2" t="s">
        <v>36</v>
      </c>
      <c r="AA2383" s="13">
        <v>0.62217999999999996</v>
      </c>
      <c r="AB2383" s="13" t="s">
        <v>10339</v>
      </c>
    </row>
    <row r="2384" spans="1:28">
      <c r="A2384" s="2" t="s">
        <v>8880</v>
      </c>
      <c r="B2384" s="2" t="s">
        <v>28</v>
      </c>
      <c r="C2384" s="11" t="s">
        <v>1146</v>
      </c>
      <c r="D2384" s="2" t="s">
        <v>30</v>
      </c>
      <c r="E2384" s="2" t="s">
        <v>31</v>
      </c>
      <c r="F2384" s="11" t="s">
        <v>1206</v>
      </c>
      <c r="G2384" s="49" t="s">
        <v>1005</v>
      </c>
      <c r="H2384" s="2" t="s">
        <v>1207</v>
      </c>
      <c r="I2384" s="12" t="s">
        <v>1208</v>
      </c>
      <c r="J2384" s="22">
        <f>+Tabla1[[#This Row],[FECHA ENTRADA]]</f>
        <v>45622</v>
      </c>
      <c r="K2384" s="22">
        <v>45821</v>
      </c>
      <c r="L2384" s="23">
        <f>_xlfn.DAYS(Tabla1[[#This Row],[FECHA FIN ]],Tabla1[[#This Row],[FECHA INICIO]])</f>
        <v>199</v>
      </c>
      <c r="M2384" s="12"/>
      <c r="N2384" s="12"/>
      <c r="O2384" s="24">
        <f>(Tabla1[[#This Row],[COSTO FIJO ]]/30)*Tabla1[[#This Row],[TOTAL DIAS PROYECTO]]+(Tabla1[[#This Row],[COSTO TEMPORAL]])</f>
        <v>0</v>
      </c>
      <c r="P2384" s="12"/>
      <c r="Q2384" s="12">
        <f>+(Tabla1[[#This Row],[COSTO COCHE]]/30)*Tabla1[[#This Row],[TOTAL DIAS PROYECTO]]</f>
        <v>0</v>
      </c>
      <c r="R2384" s="12">
        <f>+Tabla1[[#This Row],[COSTO TOTAL ALOJAMIENTO]]+Tabla1[[#This Row],[COSTO TOTAL COCHE]]</f>
        <v>0</v>
      </c>
      <c r="S2384" s="2"/>
      <c r="T2384" s="2" t="s">
        <v>35</v>
      </c>
      <c r="U2384" s="14">
        <v>45622</v>
      </c>
      <c r="V2384" s="25"/>
      <c r="W2384" s="26">
        <v>2500</v>
      </c>
      <c r="X2384" s="2">
        <v>27</v>
      </c>
      <c r="Y2384" s="11" t="s">
        <v>1166</v>
      </c>
      <c r="Z2384" s="2" t="s">
        <v>36</v>
      </c>
      <c r="AA2384" s="13" t="s">
        <v>10323</v>
      </c>
      <c r="AB2384" s="13" t="s">
        <v>10324</v>
      </c>
    </row>
    <row r="2385" spans="1:28" ht="15" customHeight="1">
      <c r="A2385" s="2" t="s">
        <v>8861</v>
      </c>
      <c r="B2385" s="2" t="s">
        <v>28</v>
      </c>
      <c r="C2385" s="11" t="s">
        <v>1057</v>
      </c>
      <c r="D2385" s="2" t="s">
        <v>30</v>
      </c>
      <c r="E2385" s="2" t="s">
        <v>31</v>
      </c>
      <c r="F2385" s="11" t="s">
        <v>409</v>
      </c>
      <c r="G2385" s="46" t="s">
        <v>410</v>
      </c>
      <c r="H2385" s="2" t="s">
        <v>3922</v>
      </c>
      <c r="I2385" s="12" t="s">
        <v>1101</v>
      </c>
      <c r="J2385" s="41">
        <f>+Tabla1[[#This Row],[FECHA ENTRADA]]</f>
        <v>45634</v>
      </c>
      <c r="K2385" s="22">
        <v>45821</v>
      </c>
      <c r="L2385" s="42">
        <f>_xlfn.DAYS(Tabla1[[#This Row],[FECHA FIN ]],Tabla1[[#This Row],[FECHA INICIO]])</f>
        <v>187</v>
      </c>
      <c r="M2385" s="12"/>
      <c r="N2385" s="12"/>
      <c r="O2385" s="28">
        <f>(Tabla1[[#This Row],[COSTO FIJO ]]/30)*Tabla1[[#This Row],[TOTAL DIAS PROYECTO]]+(Tabla1[[#This Row],[COSTO TEMPORAL]])</f>
        <v>0</v>
      </c>
      <c r="P2385" s="12"/>
      <c r="Q2385" s="12">
        <f>+(Tabla1[[#This Row],[COSTO COCHE]]/30)*Tabla1[[#This Row],[TOTAL DIAS PROYECTO]]</f>
        <v>0</v>
      </c>
      <c r="R2385" s="12">
        <f>+Tabla1[[#This Row],[COSTO TOTAL ALOJAMIENTO]]+Tabla1[[#This Row],[COSTO TOTAL COCHE]]</f>
        <v>0</v>
      </c>
      <c r="S2385" s="2"/>
      <c r="T2385" s="2" t="s">
        <v>35</v>
      </c>
      <c r="U2385" s="14">
        <v>45634</v>
      </c>
      <c r="V2385" s="43"/>
      <c r="W2385" s="26"/>
      <c r="X2385" s="2">
        <v>27</v>
      </c>
      <c r="Y2385" s="11" t="s">
        <v>3923</v>
      </c>
      <c r="Z2385" s="2" t="s">
        <v>36</v>
      </c>
      <c r="AA2385" s="13" t="s">
        <v>10323</v>
      </c>
      <c r="AB2385" s="13" t="s">
        <v>10324</v>
      </c>
    </row>
    <row r="2386" spans="1:28" ht="15" customHeight="1">
      <c r="A2386" s="2" t="s">
        <v>9152</v>
      </c>
      <c r="B2386" s="2" t="s">
        <v>978</v>
      </c>
      <c r="C2386" s="11" t="s">
        <v>2243</v>
      </c>
      <c r="D2386" s="2" t="s">
        <v>30</v>
      </c>
      <c r="E2386" s="2" t="s">
        <v>31</v>
      </c>
      <c r="F2386" s="11" t="s">
        <v>1206</v>
      </c>
      <c r="G2386" t="s">
        <v>1005</v>
      </c>
      <c r="H2386" s="2" t="s">
        <v>1539</v>
      </c>
      <c r="I2386" s="12" t="s">
        <v>1540</v>
      </c>
      <c r="J2386" s="41">
        <f>+Tabla1[[#This Row],[FECHA ENTRADA]]</f>
        <v>45641</v>
      </c>
      <c r="K2386" s="22">
        <v>45821</v>
      </c>
      <c r="L2386" s="42">
        <f>_xlfn.DAYS(Tabla1[[#This Row],[FECHA FIN ]],Tabla1[[#This Row],[FECHA INICIO]])</f>
        <v>180</v>
      </c>
      <c r="M2386" s="12"/>
      <c r="N2386" s="12"/>
      <c r="O2386" s="28">
        <f>(Tabla1[[#This Row],[COSTO FIJO ]]/30)*Tabla1[[#This Row],[TOTAL DIAS PROYECTO]]+(Tabla1[[#This Row],[COSTO TEMPORAL]])</f>
        <v>0</v>
      </c>
      <c r="P2386" s="12"/>
      <c r="Q2386" s="12">
        <f>+(Tabla1[[#This Row],[COSTO COCHE]]/30)*Tabla1[[#This Row],[TOTAL DIAS PROYECTO]]</f>
        <v>0</v>
      </c>
      <c r="R2386" s="12">
        <f>+Tabla1[[#This Row],[COSTO TOTAL ALOJAMIENTO]]+Tabla1[[#This Row],[COSTO TOTAL COCHE]]</f>
        <v>0</v>
      </c>
      <c r="S2386" s="2"/>
      <c r="T2386" s="2" t="s">
        <v>35</v>
      </c>
      <c r="U2386" s="14">
        <v>45641</v>
      </c>
      <c r="V2386" s="43">
        <v>45695</v>
      </c>
      <c r="W2386" s="26"/>
      <c r="X2386" s="2">
        <v>27</v>
      </c>
      <c r="Y2386" s="11" t="s">
        <v>1541</v>
      </c>
      <c r="Z2386" s="2" t="s">
        <v>36</v>
      </c>
      <c r="AA2386" s="13" t="s">
        <v>10323</v>
      </c>
      <c r="AB2386" s="13" t="s">
        <v>10324</v>
      </c>
    </row>
    <row r="2387" spans="1:28" ht="15" customHeight="1">
      <c r="A2387" s="2" t="s">
        <v>8671</v>
      </c>
      <c r="B2387" s="2" t="s">
        <v>1542</v>
      </c>
      <c r="C2387" s="11" t="s">
        <v>224</v>
      </c>
      <c r="D2387" s="2" t="s">
        <v>30</v>
      </c>
      <c r="E2387" s="2" t="s">
        <v>31</v>
      </c>
      <c r="F2387" s="11" t="s">
        <v>1206</v>
      </c>
      <c r="G2387" t="s">
        <v>1005</v>
      </c>
      <c r="H2387" s="2" t="s">
        <v>2721</v>
      </c>
      <c r="I2387" s="12" t="s">
        <v>1540</v>
      </c>
      <c r="J2387" s="41">
        <f>+Tabla1[[#This Row],[FECHA ENTRADA]]</f>
        <v>45626</v>
      </c>
      <c r="K2387" s="22">
        <v>45821</v>
      </c>
      <c r="L2387" s="42">
        <f>_xlfn.DAYS(Tabla1[[#This Row],[FECHA FIN ]],Tabla1[[#This Row],[FECHA INICIO]])</f>
        <v>195</v>
      </c>
      <c r="M2387" s="12"/>
      <c r="N2387" s="12"/>
      <c r="O2387" s="28">
        <f>(Tabla1[[#This Row],[COSTO FIJO ]]/30)*Tabla1[[#This Row],[TOTAL DIAS PROYECTO]]+(Tabla1[[#This Row],[COSTO TEMPORAL]])</f>
        <v>0</v>
      </c>
      <c r="P2387" s="12">
        <f>800/4</f>
        <v>200</v>
      </c>
      <c r="Q2387" s="12">
        <f>+(Tabla1[[#This Row],[COSTO COCHE]]/30)*Tabla1[[#This Row],[TOTAL DIAS PROYECTO]]</f>
        <v>1300</v>
      </c>
      <c r="R2387" s="12">
        <f>+Tabla1[[#This Row],[COSTO TOTAL ALOJAMIENTO]]+Tabla1[[#This Row],[COSTO TOTAL COCHE]]</f>
        <v>1300</v>
      </c>
      <c r="S2387" s="2"/>
      <c r="T2387" s="2" t="s">
        <v>35</v>
      </c>
      <c r="U2387" s="14">
        <v>45626</v>
      </c>
      <c r="V2387" s="43"/>
      <c r="W2387" s="26"/>
      <c r="X2387" s="2">
        <v>27</v>
      </c>
      <c r="Y2387" s="11" t="s">
        <v>1120</v>
      </c>
      <c r="Z2387" s="2" t="s">
        <v>36</v>
      </c>
      <c r="AA2387" s="13" t="s">
        <v>10323</v>
      </c>
      <c r="AB2387" s="13" t="s">
        <v>10324</v>
      </c>
    </row>
    <row r="2388" spans="1:28" ht="15" customHeight="1">
      <c r="A2388" s="2" t="s">
        <v>9180</v>
      </c>
      <c r="B2388" s="2" t="s">
        <v>978</v>
      </c>
      <c r="C2388" s="11" t="s">
        <v>2337</v>
      </c>
      <c r="D2388" s="1" t="s">
        <v>30</v>
      </c>
      <c r="E2388" s="2" t="s">
        <v>31</v>
      </c>
      <c r="F2388" s="11" t="s">
        <v>1206</v>
      </c>
      <c r="G2388" t="s">
        <v>1005</v>
      </c>
      <c r="H2388" s="2" t="s">
        <v>2909</v>
      </c>
      <c r="I2388" s="12" t="s">
        <v>1540</v>
      </c>
      <c r="J2388" s="41">
        <f>+Tabla1[[#This Row],[FECHA ENTRADA]]</f>
        <v>45626</v>
      </c>
      <c r="K2388" s="22">
        <v>45821</v>
      </c>
      <c r="L2388" s="42">
        <f>_xlfn.DAYS(Tabla1[[#This Row],[FECHA FIN ]],Tabla1[[#This Row],[FECHA INICIO]])</f>
        <v>195</v>
      </c>
      <c r="M2388" s="12"/>
      <c r="N2388" s="12"/>
      <c r="O2388" s="28">
        <f>(Tabla1[[#This Row],[COSTO FIJO ]]/30)*Tabla1[[#This Row],[TOTAL DIAS PROYECTO]]+(Tabla1[[#This Row],[COSTO TEMPORAL]])</f>
        <v>0</v>
      </c>
      <c r="P2388" s="12">
        <f>800/4</f>
        <v>200</v>
      </c>
      <c r="Q2388" s="12">
        <f>+(Tabla1[[#This Row],[COSTO COCHE]]/30)*Tabla1[[#This Row],[TOTAL DIAS PROYECTO]]</f>
        <v>1300</v>
      </c>
      <c r="R2388" s="12">
        <f>+Tabla1[[#This Row],[COSTO TOTAL ALOJAMIENTO]]+Tabla1[[#This Row],[COSTO TOTAL COCHE]]</f>
        <v>1300</v>
      </c>
      <c r="S2388" s="2"/>
      <c r="T2388" s="2" t="s">
        <v>35</v>
      </c>
      <c r="U2388" s="14">
        <v>45626</v>
      </c>
      <c r="V2388" s="25"/>
      <c r="W2388" s="26"/>
      <c r="X2388" s="2">
        <v>27</v>
      </c>
      <c r="Y2388" s="11" t="s">
        <v>1120</v>
      </c>
      <c r="Z2388" s="2" t="s">
        <v>36</v>
      </c>
      <c r="AA2388" s="13" t="s">
        <v>10323</v>
      </c>
      <c r="AB2388" s="13" t="s">
        <v>10324</v>
      </c>
    </row>
    <row r="2389" spans="1:28">
      <c r="A2389" s="2" t="s">
        <v>9425</v>
      </c>
      <c r="B2389" s="2" t="s">
        <v>978</v>
      </c>
      <c r="C2389" s="11" t="s">
        <v>3127</v>
      </c>
      <c r="D2389" s="2" t="s">
        <v>30</v>
      </c>
      <c r="E2389" s="2" t="s">
        <v>31</v>
      </c>
      <c r="F2389" s="11" t="s">
        <v>1206</v>
      </c>
      <c r="G2389" t="s">
        <v>1005</v>
      </c>
      <c r="H2389" s="2" t="s">
        <v>1539</v>
      </c>
      <c r="I2389" s="12" t="s">
        <v>1540</v>
      </c>
      <c r="J2389" s="41">
        <f>+Tabla1[[#This Row],[FECHA ENTRADA]]</f>
        <v>45641</v>
      </c>
      <c r="K2389" s="22">
        <v>45821</v>
      </c>
      <c r="L2389" s="42">
        <f>_xlfn.DAYS(Tabla1[[#This Row],[FECHA FIN ]],Tabla1[[#This Row],[FECHA INICIO]])</f>
        <v>180</v>
      </c>
      <c r="M2389" s="12"/>
      <c r="N2389" s="12"/>
      <c r="O2389" s="28">
        <f>(Tabla1[[#This Row],[COSTO FIJO ]]/30)*Tabla1[[#This Row],[TOTAL DIAS PROYECTO]]+(Tabla1[[#This Row],[COSTO TEMPORAL]])</f>
        <v>0</v>
      </c>
      <c r="P2389" s="12">
        <f>800/4</f>
        <v>200</v>
      </c>
      <c r="Q2389" s="12">
        <f>+(Tabla1[[#This Row],[COSTO COCHE]]/30)*Tabla1[[#This Row],[TOTAL DIAS PROYECTO]]</f>
        <v>1200</v>
      </c>
      <c r="R2389" s="12">
        <f>+Tabla1[[#This Row],[COSTO TOTAL ALOJAMIENTO]]+Tabla1[[#This Row],[COSTO TOTAL COCHE]]</f>
        <v>1200</v>
      </c>
      <c r="S2389" s="2"/>
      <c r="T2389" s="2" t="s">
        <v>35</v>
      </c>
      <c r="U2389" s="14">
        <v>45641</v>
      </c>
      <c r="V2389" s="43"/>
      <c r="W2389" s="26"/>
      <c r="X2389" s="2">
        <v>27</v>
      </c>
      <c r="Y2389" s="11" t="s">
        <v>1120</v>
      </c>
      <c r="Z2389" s="2" t="s">
        <v>36</v>
      </c>
      <c r="AA2389" s="13" t="s">
        <v>10323</v>
      </c>
      <c r="AB2389" s="13" t="s">
        <v>10324</v>
      </c>
    </row>
    <row r="2390" spans="1:28" ht="15" customHeight="1">
      <c r="A2390" s="2" t="s">
        <v>8903</v>
      </c>
      <c r="B2390" s="2" t="s">
        <v>978</v>
      </c>
      <c r="C2390" s="11" t="s">
        <v>1213</v>
      </c>
      <c r="D2390" s="2" t="s">
        <v>30</v>
      </c>
      <c r="E2390" s="2" t="s">
        <v>31</v>
      </c>
      <c r="F2390" s="11" t="s">
        <v>1206</v>
      </c>
      <c r="G2390" t="s">
        <v>1005</v>
      </c>
      <c r="H2390" s="2" t="s">
        <v>2909</v>
      </c>
      <c r="I2390" s="12" t="s">
        <v>1540</v>
      </c>
      <c r="J2390" s="41">
        <f>+Tabla1[[#This Row],[FECHA ENTRADA]]</f>
        <v>45626</v>
      </c>
      <c r="K2390" s="22">
        <v>45821</v>
      </c>
      <c r="L2390" s="42">
        <f>_xlfn.DAYS(Tabla1[[#This Row],[FECHA FIN ]],Tabla1[[#This Row],[FECHA INICIO]])</f>
        <v>195</v>
      </c>
      <c r="M2390" s="12"/>
      <c r="N2390" s="12"/>
      <c r="O2390" s="28">
        <f>(Tabla1[[#This Row],[COSTO FIJO ]]/30)*Tabla1[[#This Row],[TOTAL DIAS PROYECTO]]+(Tabla1[[#This Row],[COSTO TEMPORAL]])</f>
        <v>0</v>
      </c>
      <c r="P2390" s="12"/>
      <c r="Q2390" s="12">
        <f>+(Tabla1[[#This Row],[COSTO COCHE]]/30)*Tabla1[[#This Row],[TOTAL DIAS PROYECTO]]</f>
        <v>0</v>
      </c>
      <c r="R2390" s="12">
        <f>+Tabla1[[#This Row],[COSTO TOTAL ALOJAMIENTO]]+Tabla1[[#This Row],[COSTO TOTAL COCHE]]</f>
        <v>0</v>
      </c>
      <c r="S2390" s="2"/>
      <c r="T2390" s="2" t="s">
        <v>35</v>
      </c>
      <c r="U2390" s="14">
        <v>45626</v>
      </c>
      <c r="V2390" s="25">
        <v>45695</v>
      </c>
      <c r="W2390" s="26"/>
      <c r="X2390" s="2">
        <v>27</v>
      </c>
      <c r="Y2390" s="11" t="s">
        <v>1541</v>
      </c>
      <c r="Z2390" s="2" t="s">
        <v>36</v>
      </c>
      <c r="AA2390" s="13" t="s">
        <v>10323</v>
      </c>
      <c r="AB2390" s="13" t="s">
        <v>10324</v>
      </c>
    </row>
    <row r="2391" spans="1:28" ht="15" customHeight="1">
      <c r="A2391" s="2" t="s">
        <v>8706</v>
      </c>
      <c r="B2391" s="2" t="s">
        <v>28</v>
      </c>
      <c r="C2391" s="11" t="s">
        <v>379</v>
      </c>
      <c r="D2391" s="2" t="s">
        <v>30</v>
      </c>
      <c r="E2391" s="2" t="s">
        <v>1719</v>
      </c>
      <c r="F2391" s="11" t="s">
        <v>3712</v>
      </c>
      <c r="G2391" s="21" t="s">
        <v>3709</v>
      </c>
      <c r="H2391" s="2" t="s">
        <v>3710</v>
      </c>
      <c r="I2391" s="12" t="s">
        <v>152</v>
      </c>
      <c r="J2391" s="8">
        <f>+Tabla1[[#This Row],[FECHA ENTRADA]]</f>
        <v>45559</v>
      </c>
      <c r="K2391" s="8">
        <v>45653</v>
      </c>
      <c r="L2391" s="42">
        <f>_xlfn.DAYS(Tabla1[[#This Row],[FECHA FIN ]],Tabla1[[#This Row],[FECHA INICIO]])</f>
        <v>94</v>
      </c>
      <c r="M2391" s="12"/>
      <c r="N2391" s="12">
        <v>240</v>
      </c>
      <c r="O2391" s="28">
        <f>(Tabla1[[#This Row],[COSTO FIJO ]]/30)*Tabla1[[#This Row],[TOTAL DIAS PROYECTO]]+(Tabla1[[#This Row],[COSTO TEMPORAL]])</f>
        <v>752</v>
      </c>
      <c r="P2391" s="12"/>
      <c r="Q2391" s="12">
        <f>+(Tabla1[[#This Row],[COSTO COCHE]]/30)*Tabla1[[#This Row],[TOTAL DIAS PROYECTO]]</f>
        <v>0</v>
      </c>
      <c r="R2391" s="12">
        <f>+Tabla1[[#This Row],[COSTO TOTAL ALOJAMIENTO]]+Tabla1[[#This Row],[COSTO TOTAL COCHE]]</f>
        <v>752</v>
      </c>
      <c r="S2391" s="2"/>
      <c r="T2391" s="2" t="s">
        <v>35</v>
      </c>
      <c r="U2391" s="14">
        <v>45559</v>
      </c>
      <c r="V2391" s="79"/>
      <c r="W2391" s="26"/>
      <c r="X2391" s="2">
        <v>28</v>
      </c>
      <c r="Y2391" s="11" t="s">
        <v>3837</v>
      </c>
      <c r="Z2391" s="2" t="s">
        <v>36</v>
      </c>
      <c r="AA2391" s="13" t="s">
        <v>10427</v>
      </c>
      <c r="AB2391" s="13">
        <v>4260003</v>
      </c>
    </row>
    <row r="2392" spans="1:28" ht="15" customHeight="1">
      <c r="A2392" s="2" t="s">
        <v>9624</v>
      </c>
      <c r="B2392" s="2" t="s">
        <v>28</v>
      </c>
      <c r="C2392" s="11" t="s">
        <v>3924</v>
      </c>
      <c r="D2392" s="2" t="s">
        <v>30</v>
      </c>
      <c r="E2392" s="2" t="s">
        <v>3400</v>
      </c>
      <c r="F2392" s="11" t="s">
        <v>3925</v>
      </c>
      <c r="G2392" s="11" t="s">
        <v>3874</v>
      </c>
      <c r="H2392" s="2" t="s">
        <v>3403</v>
      </c>
      <c r="I2392" s="2" t="s">
        <v>3404</v>
      </c>
      <c r="J2392" s="8">
        <f>+Tabla1[[#This Row],[FECHA ENTRADA]]</f>
        <v>45350</v>
      </c>
      <c r="K2392" s="22">
        <v>45821</v>
      </c>
      <c r="L2392" s="13">
        <f>_xlfn.DAYS(Tabla1[[#This Row],[FECHA FIN ]],Tabla1[[#This Row],[FECHA INICIO]])</f>
        <v>471</v>
      </c>
      <c r="M2392" s="12"/>
      <c r="N2392" s="12">
        <v>280</v>
      </c>
      <c r="O2392" s="12">
        <f>(Tabla1[[#This Row],[COSTO FIJO ]]/30)*Tabla1[[#This Row],[TOTAL DIAS PROYECTO]]+(Tabla1[[#This Row],[COSTO TEMPORAL]])</f>
        <v>4396</v>
      </c>
      <c r="P2392" s="12"/>
      <c r="Q2392" s="12">
        <f>+(Tabla1[[#This Row],[COSTO COCHE]]/30)*Tabla1[[#This Row],[TOTAL DIAS PROYECTO]]</f>
        <v>0</v>
      </c>
      <c r="R2392" s="12">
        <f>+Tabla1[[#This Row],[COSTO TOTAL ALOJAMIENTO]]+Tabla1[[#This Row],[COSTO TOTAL COCHE]]</f>
        <v>4396</v>
      </c>
      <c r="S2392" s="2"/>
      <c r="T2392" s="2" t="s">
        <v>35</v>
      </c>
      <c r="U2392" s="14">
        <v>45350</v>
      </c>
      <c r="V2392" s="14"/>
      <c r="W2392" s="55">
        <v>350</v>
      </c>
      <c r="X2392" s="16">
        <v>28</v>
      </c>
      <c r="Y2392" s="18" t="s">
        <v>3926</v>
      </c>
      <c r="Z2392" s="2" t="s">
        <v>36</v>
      </c>
      <c r="AA2392" s="13" t="e">
        <v>#N/A</v>
      </c>
      <c r="AB2392" s="13" t="e">
        <v>#N/A</v>
      </c>
    </row>
    <row r="2393" spans="1:28" ht="15" customHeight="1">
      <c r="A2393" s="2" t="s">
        <v>9533</v>
      </c>
      <c r="B2393" s="2" t="s">
        <v>368</v>
      </c>
      <c r="C2393" s="11" t="s">
        <v>3563</v>
      </c>
      <c r="D2393" s="2" t="s">
        <v>99</v>
      </c>
      <c r="E2393" s="2" t="s">
        <v>422</v>
      </c>
      <c r="F2393" s="11" t="s">
        <v>1983</v>
      </c>
      <c r="G2393" s="11" t="s">
        <v>2067</v>
      </c>
      <c r="H2393" s="2" t="s">
        <v>3540</v>
      </c>
      <c r="I2393" s="12" t="s">
        <v>1435</v>
      </c>
      <c r="J2393" s="22">
        <f>+Tabla1[[#This Row],[FECHA ENTRADA]]</f>
        <v>45805</v>
      </c>
      <c r="K2393" s="22">
        <v>45812</v>
      </c>
      <c r="L2393" s="23">
        <f>_xlfn.DAYS(Tabla1[[#This Row],[FECHA FIN ]],Tabla1[[#This Row],[FECHA INICIO]])</f>
        <v>7</v>
      </c>
      <c r="M2393" s="12"/>
      <c r="N2393" s="12">
        <v>105.55555555555556</v>
      </c>
      <c r="O2393" s="24">
        <f>(Tabla1[[#This Row],[COSTO FIJO ]]/30)*Tabla1[[#This Row],[TOTAL DIAS PROYECTO]]+(Tabla1[[#This Row],[COSTO TEMPORAL]])</f>
        <v>24.62962962962963</v>
      </c>
      <c r="P2393" s="12"/>
      <c r="Q2393" s="12">
        <f>+(Tabla1[[#This Row],[COSTO COCHE]]/30)*Tabla1[[#This Row],[TOTAL DIAS PROYECTO]]</f>
        <v>0</v>
      </c>
      <c r="R2393" s="12">
        <f>+Tabla1[[#This Row],[COSTO TOTAL ALOJAMIENTO]]+Tabla1[[#This Row],[COSTO TOTAL COCHE]]</f>
        <v>24.62962962962963</v>
      </c>
      <c r="S2393" s="2"/>
      <c r="T2393" s="14" t="s">
        <v>44</v>
      </c>
      <c r="U2393" s="22">
        <v>45805</v>
      </c>
      <c r="V2393" s="79">
        <v>45812</v>
      </c>
      <c r="W2393" s="2"/>
      <c r="X2393" s="2"/>
      <c r="Y2393" s="11" t="s">
        <v>3626</v>
      </c>
      <c r="Z2393" s="2" t="s">
        <v>36</v>
      </c>
      <c r="AA2393" s="13">
        <v>-326.69799999999998</v>
      </c>
      <c r="AB2393" s="13" t="s">
        <v>10373</v>
      </c>
    </row>
    <row r="2394" spans="1:28" ht="15" customHeight="1">
      <c r="A2394" s="2" t="s">
        <v>8932</v>
      </c>
      <c r="B2394" s="2" t="s">
        <v>28</v>
      </c>
      <c r="C2394" s="11" t="s">
        <v>1331</v>
      </c>
      <c r="D2394" s="2" t="s">
        <v>30</v>
      </c>
      <c r="E2394" s="2" t="s">
        <v>151</v>
      </c>
      <c r="F2394" s="11" t="s">
        <v>1499</v>
      </c>
      <c r="G2394" s="11" t="s">
        <v>1500</v>
      </c>
      <c r="H2394" s="2" t="s">
        <v>3927</v>
      </c>
      <c r="I2394" s="12" t="s">
        <v>228</v>
      </c>
      <c r="J2394" s="22">
        <f>+Tabla1[[#This Row],[FECHA ENTRADA]]</f>
        <v>45809</v>
      </c>
      <c r="K2394" s="22">
        <v>45821</v>
      </c>
      <c r="L2394" s="42">
        <f>_xlfn.DAYS(Tabla1[[#This Row],[FECHA FIN ]],Tabla1[[#This Row],[FECHA INICIO]])</f>
        <v>12</v>
      </c>
      <c r="M2394" s="12"/>
      <c r="N2394" s="12"/>
      <c r="O2394" s="28">
        <f>(Tabla1[[#This Row],[COSTO FIJO ]]/30)*Tabla1[[#This Row],[TOTAL DIAS PROYECTO]]+(Tabla1[[#This Row],[COSTO TEMPORAL]])</f>
        <v>0</v>
      </c>
      <c r="P2394" s="12"/>
      <c r="Q2394" s="12">
        <f>+(Tabla1[[#This Row],[COSTO COCHE]]/30)*Tabla1[[#This Row],[TOTAL DIAS PROYECTO]]</f>
        <v>0</v>
      </c>
      <c r="R2394" s="12">
        <f>+Tabla1[[#This Row],[COSTO TOTAL ALOJAMIENTO]]+Tabla1[[#This Row],[COSTO TOTAL COCHE]]</f>
        <v>0</v>
      </c>
      <c r="S2394" s="2"/>
      <c r="T2394" s="2" t="s">
        <v>35</v>
      </c>
      <c r="U2394" s="14">
        <v>45809</v>
      </c>
      <c r="V2394" s="43"/>
      <c r="W2394" s="26"/>
      <c r="X2394" s="2">
        <v>28</v>
      </c>
      <c r="Y2394" s="11"/>
      <c r="Z2394" s="2" t="s">
        <v>36</v>
      </c>
      <c r="AA2394" s="13" t="s">
        <v>10345</v>
      </c>
      <c r="AB2394" s="13" t="s">
        <v>10346</v>
      </c>
    </row>
    <row r="2395" spans="1:28" ht="15" customHeight="1">
      <c r="A2395" s="2" t="s">
        <v>9542</v>
      </c>
      <c r="B2395" s="2" t="s">
        <v>368</v>
      </c>
      <c r="C2395" s="11" t="s">
        <v>3582</v>
      </c>
      <c r="D2395" s="2" t="s">
        <v>99</v>
      </c>
      <c r="E2395" s="2" t="s">
        <v>422</v>
      </c>
      <c r="F2395" s="11" t="s">
        <v>1983</v>
      </c>
      <c r="G2395" s="11" t="s">
        <v>2067</v>
      </c>
      <c r="H2395" s="2" t="s">
        <v>3540</v>
      </c>
      <c r="I2395" s="12" t="s">
        <v>1435</v>
      </c>
      <c r="J2395" s="22">
        <f>+Tabla1[[#This Row],[FECHA ENTRADA]]</f>
        <v>45805</v>
      </c>
      <c r="K2395" s="22">
        <v>45812</v>
      </c>
      <c r="L2395" s="23">
        <f>_xlfn.DAYS(Tabla1[[#This Row],[FECHA FIN ]],Tabla1[[#This Row],[FECHA INICIO]])</f>
        <v>7</v>
      </c>
      <c r="M2395" s="12"/>
      <c r="N2395" s="12">
        <v>105.55555555555556</v>
      </c>
      <c r="O2395" s="24">
        <f>(Tabla1[[#This Row],[COSTO FIJO ]]/30)*Tabla1[[#This Row],[TOTAL DIAS PROYECTO]]+(Tabla1[[#This Row],[COSTO TEMPORAL]])</f>
        <v>24.62962962962963</v>
      </c>
      <c r="P2395" s="12"/>
      <c r="Q2395" s="12">
        <f>+(Tabla1[[#This Row],[COSTO COCHE]]/30)*Tabla1[[#This Row],[TOTAL DIAS PROYECTO]]</f>
        <v>0</v>
      </c>
      <c r="R2395" s="12">
        <f>+Tabla1[[#This Row],[COSTO TOTAL ALOJAMIENTO]]+Tabla1[[#This Row],[COSTO TOTAL COCHE]]</f>
        <v>24.62962962962963</v>
      </c>
      <c r="S2395" s="2"/>
      <c r="T2395" s="14" t="s">
        <v>44</v>
      </c>
      <c r="U2395" s="22">
        <v>45805</v>
      </c>
      <c r="V2395" s="79">
        <v>45812</v>
      </c>
      <c r="W2395" s="2"/>
      <c r="X2395" s="2"/>
      <c r="Y2395" s="11" t="s">
        <v>3626</v>
      </c>
      <c r="Z2395" s="2" t="s">
        <v>36</v>
      </c>
      <c r="AA2395" s="13">
        <v>-326.69799999999998</v>
      </c>
      <c r="AB2395" s="13" t="s">
        <v>10373</v>
      </c>
    </row>
    <row r="2396" spans="1:28" ht="15" customHeight="1">
      <c r="A2396" s="2" t="s">
        <v>9396</v>
      </c>
      <c r="B2396" s="2" t="s">
        <v>28</v>
      </c>
      <c r="C2396" s="11" t="s">
        <v>3033</v>
      </c>
      <c r="D2396" s="2" t="s">
        <v>30</v>
      </c>
      <c r="E2396" s="2" t="s">
        <v>259</v>
      </c>
      <c r="F2396" s="11" t="s">
        <v>260</v>
      </c>
      <c r="G2396" s="11" t="s">
        <v>261</v>
      </c>
      <c r="H2396" s="2" t="s">
        <v>3928</v>
      </c>
      <c r="I2396" s="2" t="s">
        <v>57</v>
      </c>
      <c r="J2396" s="8">
        <f>+Tabla1[[#This Row],[FECHA ENTRADA]]</f>
        <v>45440</v>
      </c>
      <c r="K2396" s="22">
        <v>45821</v>
      </c>
      <c r="L2396" s="13">
        <f>_xlfn.DAYS(Tabla1[[#This Row],[FECHA FIN ]],Tabla1[[#This Row],[FECHA INICIO]])</f>
        <v>381</v>
      </c>
      <c r="M2396" s="12"/>
      <c r="N2396" s="12"/>
      <c r="O2396" s="12">
        <f>(Tabla1[[#This Row],[COSTO FIJO ]]/30)*Tabla1[[#This Row],[TOTAL DIAS PROYECTO]]+(Tabla1[[#This Row],[COSTO TEMPORAL]])</f>
        <v>0</v>
      </c>
      <c r="P2396" s="12"/>
      <c r="Q2396" s="12">
        <f>+(Tabla1[[#This Row],[COSTO COCHE]]/30)*Tabla1[[#This Row],[TOTAL DIAS PROYECTO]]</f>
        <v>0</v>
      </c>
      <c r="R2396" s="12">
        <f>+Tabla1[[#This Row],[COSTO TOTAL ALOJAMIENTO]]+Tabla1[[#This Row],[COSTO TOTAL COCHE]]</f>
        <v>0</v>
      </c>
      <c r="S2396" s="2"/>
      <c r="T2396" s="2" t="s">
        <v>35</v>
      </c>
      <c r="U2396" s="14">
        <v>45440</v>
      </c>
      <c r="V2396" s="14"/>
      <c r="W2396" s="26"/>
      <c r="X2396" s="2">
        <v>28</v>
      </c>
      <c r="Y2396" s="18" t="s">
        <v>3929</v>
      </c>
      <c r="Z2396" s="2" t="s">
        <v>36</v>
      </c>
      <c r="AA2396" s="13">
        <v>-0.87734000000000001</v>
      </c>
      <c r="AB2396" s="13" t="s">
        <v>10359</v>
      </c>
    </row>
    <row r="2397" spans="1:28" ht="15" customHeight="1">
      <c r="A2397" s="2" t="s">
        <v>8719</v>
      </c>
      <c r="B2397" s="2" t="s">
        <v>28</v>
      </c>
      <c r="C2397" s="11" t="s">
        <v>438</v>
      </c>
      <c r="D2397" s="2" t="s">
        <v>30</v>
      </c>
      <c r="E2397" s="2" t="s">
        <v>31</v>
      </c>
      <c r="F2397" s="11" t="s">
        <v>1222</v>
      </c>
      <c r="G2397" s="46" t="s">
        <v>1223</v>
      </c>
      <c r="H2397" s="2" t="s">
        <v>1207</v>
      </c>
      <c r="I2397" s="12" t="s">
        <v>1208</v>
      </c>
      <c r="J2397" s="41">
        <f>+Tabla1[[#This Row],[FECHA ENTRADA]]</f>
        <v>45641</v>
      </c>
      <c r="K2397" s="41">
        <v>45644</v>
      </c>
      <c r="L2397" s="42">
        <f>_xlfn.DAYS(Tabla1[[#This Row],[FECHA FIN ]],Tabla1[[#This Row],[FECHA INICIO]])</f>
        <v>3</v>
      </c>
      <c r="M2397" s="12"/>
      <c r="N2397" s="12"/>
      <c r="O2397" s="28">
        <f>(Tabla1[[#This Row],[COSTO FIJO ]]/30)*Tabla1[[#This Row],[TOTAL DIAS PROYECTO]]+(Tabla1[[#This Row],[COSTO TEMPORAL]])</f>
        <v>0</v>
      </c>
      <c r="P2397" s="12"/>
      <c r="Q2397" s="12">
        <f>+(Tabla1[[#This Row],[COSTO COCHE]]/30)*Tabla1[[#This Row],[TOTAL DIAS PROYECTO]]</f>
        <v>0</v>
      </c>
      <c r="R2397" s="12">
        <f>+Tabla1[[#This Row],[COSTO TOTAL ALOJAMIENTO]]+Tabla1[[#This Row],[COSTO TOTAL COCHE]]</f>
        <v>0</v>
      </c>
      <c r="S2397" s="2"/>
      <c r="T2397" s="2" t="s">
        <v>35</v>
      </c>
      <c r="U2397" s="14">
        <v>45641</v>
      </c>
      <c r="V2397" s="43"/>
      <c r="W2397" s="26"/>
      <c r="X2397" s="2">
        <v>28</v>
      </c>
      <c r="Y2397" s="11"/>
      <c r="Z2397" s="2" t="s">
        <v>36</v>
      </c>
      <c r="AA2397" s="13" t="s">
        <v>10323</v>
      </c>
      <c r="AB2397" s="13" t="s">
        <v>10324</v>
      </c>
    </row>
    <row r="2398" spans="1:28" ht="15" customHeight="1">
      <c r="A2398" s="2" t="s">
        <v>8880</v>
      </c>
      <c r="B2398" s="2" t="s">
        <v>28</v>
      </c>
      <c r="C2398" s="11" t="s">
        <v>1146</v>
      </c>
      <c r="D2398" s="2" t="s">
        <v>30</v>
      </c>
      <c r="E2398" s="2" t="s">
        <v>31</v>
      </c>
      <c r="F2398" s="11" t="s">
        <v>1222</v>
      </c>
      <c r="G2398" s="46" t="s">
        <v>1223</v>
      </c>
      <c r="H2398" s="2" t="s">
        <v>1207</v>
      </c>
      <c r="I2398" s="12" t="s">
        <v>1208</v>
      </c>
      <c r="J2398" s="41">
        <f>+Tabla1[[#This Row],[FECHA ENTRADA]]</f>
        <v>45641</v>
      </c>
      <c r="K2398" s="22">
        <v>45821</v>
      </c>
      <c r="L2398" s="42">
        <f>_xlfn.DAYS(Tabla1[[#This Row],[FECHA FIN ]],Tabla1[[#This Row],[FECHA INICIO]])</f>
        <v>180</v>
      </c>
      <c r="M2398" s="12"/>
      <c r="N2398" s="12"/>
      <c r="O2398" s="28">
        <f>(Tabla1[[#This Row],[COSTO FIJO ]]/30)*Tabla1[[#This Row],[TOTAL DIAS PROYECTO]]+(Tabla1[[#This Row],[COSTO TEMPORAL]])</f>
        <v>0</v>
      </c>
      <c r="P2398" s="12"/>
      <c r="Q2398" s="12">
        <f>+(Tabla1[[#This Row],[COSTO COCHE]]/30)*Tabla1[[#This Row],[TOTAL DIAS PROYECTO]]</f>
        <v>0</v>
      </c>
      <c r="R2398" s="12">
        <f>+Tabla1[[#This Row],[COSTO TOTAL ALOJAMIENTO]]+Tabla1[[#This Row],[COSTO TOTAL COCHE]]</f>
        <v>0</v>
      </c>
      <c r="S2398" s="2"/>
      <c r="T2398" s="2" t="s">
        <v>35</v>
      </c>
      <c r="U2398" s="14">
        <v>45641</v>
      </c>
      <c r="V2398" s="43"/>
      <c r="W2398" s="26"/>
      <c r="X2398" s="2">
        <v>28</v>
      </c>
      <c r="Y2398" s="11"/>
      <c r="Z2398" s="2" t="s">
        <v>36</v>
      </c>
      <c r="AA2398" s="13" t="s">
        <v>10323</v>
      </c>
      <c r="AB2398" s="13" t="s">
        <v>10324</v>
      </c>
    </row>
    <row r="2399" spans="1:28" ht="15" customHeight="1">
      <c r="A2399" s="2" t="s">
        <v>9625</v>
      </c>
      <c r="B2399" s="2" t="s">
        <v>368</v>
      </c>
      <c r="C2399" s="11" t="s">
        <v>3930</v>
      </c>
      <c r="D2399" s="2" t="s">
        <v>30</v>
      </c>
      <c r="E2399" s="2" t="s">
        <v>31</v>
      </c>
      <c r="F2399" s="11" t="s">
        <v>1222</v>
      </c>
      <c r="G2399" s="46" t="s">
        <v>1223</v>
      </c>
      <c r="H2399" s="2" t="s">
        <v>1293</v>
      </c>
      <c r="I2399" s="12" t="s">
        <v>637</v>
      </c>
      <c r="J2399" s="41">
        <f>+Tabla1[[#This Row],[FECHA ENTRADA]]</f>
        <v>45641</v>
      </c>
      <c r="K2399" s="22">
        <v>45821</v>
      </c>
      <c r="L2399" s="42">
        <f>_xlfn.DAYS(Tabla1[[#This Row],[FECHA FIN ]],Tabla1[[#This Row],[FECHA INICIO]])</f>
        <v>180</v>
      </c>
      <c r="M2399" s="12"/>
      <c r="N2399" s="12"/>
      <c r="O2399" s="28">
        <f>(Tabla1[[#This Row],[COSTO FIJO ]]/30)*Tabla1[[#This Row],[TOTAL DIAS PROYECTO]]+(Tabla1[[#This Row],[COSTO TEMPORAL]])</f>
        <v>0</v>
      </c>
      <c r="P2399" s="12"/>
      <c r="Q2399" s="12">
        <f>+(Tabla1[[#This Row],[COSTO COCHE]]/30)*Tabla1[[#This Row],[TOTAL DIAS PROYECTO]]</f>
        <v>0</v>
      </c>
      <c r="R2399" s="12">
        <f>+Tabla1[[#This Row],[COSTO TOTAL ALOJAMIENTO]]+Tabla1[[#This Row],[COSTO TOTAL COCHE]]</f>
        <v>0</v>
      </c>
      <c r="S2399" s="2"/>
      <c r="T2399" s="2" t="s">
        <v>35</v>
      </c>
      <c r="U2399" s="14">
        <v>45641</v>
      </c>
      <c r="V2399" s="43"/>
      <c r="W2399" s="26"/>
      <c r="X2399" s="2">
        <v>28</v>
      </c>
      <c r="Y2399" s="11"/>
      <c r="Z2399" s="2" t="s">
        <v>36</v>
      </c>
      <c r="AA2399" s="13" t="s">
        <v>10323</v>
      </c>
      <c r="AB2399" s="13" t="s">
        <v>10324</v>
      </c>
    </row>
    <row r="2400" spans="1:28" ht="15" customHeight="1">
      <c r="A2400" s="2" t="s">
        <v>9340</v>
      </c>
      <c r="B2400" s="2" t="s">
        <v>28</v>
      </c>
      <c r="C2400" s="11" t="s">
        <v>2864</v>
      </c>
      <c r="D2400" s="2" t="s">
        <v>30</v>
      </c>
      <c r="E2400" s="2" t="s">
        <v>213</v>
      </c>
      <c r="F2400" s="11" t="s">
        <v>1971</v>
      </c>
      <c r="G2400" s="11" t="s">
        <v>1972</v>
      </c>
      <c r="H2400" s="2" t="s">
        <v>1975</v>
      </c>
      <c r="I2400" s="2" t="s">
        <v>52</v>
      </c>
      <c r="J2400" s="8">
        <f>+Tabla1[[#This Row],[FECHA ENTRADA]]</f>
        <v>45473</v>
      </c>
      <c r="K2400" s="22">
        <v>45821</v>
      </c>
      <c r="L2400" s="13">
        <f>_xlfn.DAYS(Tabla1[[#This Row],[FECHA FIN ]],Tabla1[[#This Row],[FECHA INICIO]])</f>
        <v>348</v>
      </c>
      <c r="M2400" s="12"/>
      <c r="N2400" s="12"/>
      <c r="O2400" s="12">
        <f>(Tabla1[[#This Row],[COSTO FIJO ]]/30)*Tabla1[[#This Row],[TOTAL DIAS PROYECTO]]+(Tabla1[[#This Row],[COSTO TEMPORAL]])</f>
        <v>0</v>
      </c>
      <c r="P2400" s="12"/>
      <c r="Q2400" s="12">
        <f>+(Tabla1[[#This Row],[COSTO COCHE]]/30)*Tabla1[[#This Row],[TOTAL DIAS PROYECTO]]</f>
        <v>0</v>
      </c>
      <c r="R2400" s="12">
        <f>+Tabla1[[#This Row],[COSTO TOTAL ALOJAMIENTO]]+Tabla1[[#This Row],[COSTO TOTAL COCHE]]</f>
        <v>0</v>
      </c>
      <c r="S2400" s="2"/>
      <c r="T2400" s="2" t="s">
        <v>35</v>
      </c>
      <c r="U2400" s="14">
        <v>45473</v>
      </c>
      <c r="V2400" s="14"/>
      <c r="W2400" s="26"/>
      <c r="X2400" s="2">
        <v>29</v>
      </c>
      <c r="Y2400" s="18" t="s">
        <v>3931</v>
      </c>
      <c r="Z2400" s="2" t="s">
        <v>36</v>
      </c>
      <c r="AA2400" s="13" t="s">
        <v>10349</v>
      </c>
      <c r="AB2400" s="13" t="s">
        <v>10350</v>
      </c>
    </row>
    <row r="2401" spans="1:28" ht="15" customHeight="1">
      <c r="A2401" s="2" t="s">
        <v>9090</v>
      </c>
      <c r="B2401" s="2" t="s">
        <v>28</v>
      </c>
      <c r="C2401" s="11" t="s">
        <v>1970</v>
      </c>
      <c r="D2401" s="2" t="s">
        <v>30</v>
      </c>
      <c r="E2401" s="2" t="s">
        <v>213</v>
      </c>
      <c r="F2401" s="11" t="s">
        <v>1971</v>
      </c>
      <c r="G2401" s="11" t="s">
        <v>558</v>
      </c>
      <c r="H2401" s="2" t="s">
        <v>1975</v>
      </c>
      <c r="I2401" s="2" t="s">
        <v>52</v>
      </c>
      <c r="J2401" s="8">
        <f>+Tabla1[[#This Row],[FECHA ENTRADA]]</f>
        <v>45502</v>
      </c>
      <c r="K2401" s="22">
        <v>45821</v>
      </c>
      <c r="L2401" s="13">
        <f>_xlfn.DAYS(Tabla1[[#This Row],[FECHA FIN ]],Tabla1[[#This Row],[FECHA INICIO]])</f>
        <v>319</v>
      </c>
      <c r="M2401" s="12"/>
      <c r="N2401" s="12"/>
      <c r="O2401" s="12">
        <f>(Tabla1[[#This Row],[COSTO FIJO ]]/30)*Tabla1[[#This Row],[TOTAL DIAS PROYECTO]]+(Tabla1[[#This Row],[COSTO TEMPORAL]])</f>
        <v>0</v>
      </c>
      <c r="P2401" s="12"/>
      <c r="Q2401" s="12">
        <f>+(Tabla1[[#This Row],[COSTO COCHE]]/30)*Tabla1[[#This Row],[TOTAL DIAS PROYECTO]]</f>
        <v>0</v>
      </c>
      <c r="R2401" s="12">
        <f>+Tabla1[[#This Row],[COSTO TOTAL ALOJAMIENTO]]+Tabla1[[#This Row],[COSTO TOTAL COCHE]]</f>
        <v>0</v>
      </c>
      <c r="S2401" s="2"/>
      <c r="T2401" s="2" t="s">
        <v>35</v>
      </c>
      <c r="U2401" s="14">
        <v>45502</v>
      </c>
      <c r="V2401" s="14"/>
      <c r="W2401" s="26"/>
      <c r="X2401" s="2">
        <v>29</v>
      </c>
      <c r="Y2401" s="11" t="s">
        <v>3932</v>
      </c>
      <c r="Z2401" s="2" t="s">
        <v>36</v>
      </c>
      <c r="AA2401" s="13" t="s">
        <v>10349</v>
      </c>
      <c r="AB2401" s="13" t="s">
        <v>10350</v>
      </c>
    </row>
    <row r="2402" spans="1:28">
      <c r="A2402" s="2" t="s">
        <v>9483</v>
      </c>
      <c r="B2402" s="2" t="s">
        <v>28</v>
      </c>
      <c r="C2402" s="181" t="s">
        <v>3349</v>
      </c>
      <c r="D2402" s="2" t="s">
        <v>30</v>
      </c>
      <c r="E2402" s="2" t="s">
        <v>213</v>
      </c>
      <c r="F2402" s="11" t="s">
        <v>1971</v>
      </c>
      <c r="G2402" s="11" t="s">
        <v>558</v>
      </c>
      <c r="H2402" s="2" t="s">
        <v>3933</v>
      </c>
      <c r="I2402" s="12" t="s">
        <v>560</v>
      </c>
      <c r="J2402" s="41">
        <f>+Tabla1[[#This Row],[FECHA ENTRADA]]</f>
        <v>45644</v>
      </c>
      <c r="K2402" s="22">
        <v>45821</v>
      </c>
      <c r="L2402" s="42">
        <f>_xlfn.DAYS(Tabla1[[#This Row],[FECHA FIN ]],Tabla1[[#This Row],[FECHA INICIO]])</f>
        <v>177</v>
      </c>
      <c r="M2402" s="12"/>
      <c r="N2402" s="12"/>
      <c r="O2402" s="28">
        <f>(Tabla1[[#This Row],[COSTO FIJO ]]/30)*Tabla1[[#This Row],[TOTAL DIAS PROYECTO]]+(Tabla1[[#This Row],[COSTO TEMPORAL]])</f>
        <v>0</v>
      </c>
      <c r="P2402" s="12"/>
      <c r="Q2402" s="12">
        <f>+(Tabla1[[#This Row],[COSTO COCHE]]/30)*Tabla1[[#This Row],[TOTAL DIAS PROYECTO]]</f>
        <v>0</v>
      </c>
      <c r="R2402" s="12">
        <f>+Tabla1[[#This Row],[COSTO TOTAL ALOJAMIENTO]]+Tabla1[[#This Row],[COSTO TOTAL COCHE]]</f>
        <v>0</v>
      </c>
      <c r="S2402" s="2"/>
      <c r="T2402" s="2" t="s">
        <v>35</v>
      </c>
      <c r="U2402" s="14">
        <v>45644</v>
      </c>
      <c r="V2402" s="43"/>
      <c r="W2402" s="26"/>
      <c r="X2402" s="2">
        <v>29</v>
      </c>
      <c r="Y2402" s="11"/>
      <c r="Z2402" s="2" t="s">
        <v>36</v>
      </c>
      <c r="AA2402" s="13" t="s">
        <v>10349</v>
      </c>
      <c r="AB2402" s="13" t="s">
        <v>10350</v>
      </c>
    </row>
    <row r="2403" spans="1:28" ht="15" customHeight="1">
      <c r="A2403" s="2" t="s">
        <v>9319</v>
      </c>
      <c r="B2403" s="2" t="s">
        <v>28</v>
      </c>
      <c r="C2403" s="11" t="s">
        <v>2812</v>
      </c>
      <c r="D2403" s="2" t="s">
        <v>30</v>
      </c>
      <c r="E2403" s="2" t="s">
        <v>213</v>
      </c>
      <c r="F2403" s="11" t="s">
        <v>1971</v>
      </c>
      <c r="G2403" s="11" t="s">
        <v>558</v>
      </c>
      <c r="H2403" s="2" t="s">
        <v>3835</v>
      </c>
      <c r="I2403" s="2" t="s">
        <v>52</v>
      </c>
      <c r="J2403" s="22">
        <f>+Tabla1[[#This Row],[FECHA ENTRADA]]</f>
        <v>45685</v>
      </c>
      <c r="K2403" s="22">
        <v>45821</v>
      </c>
      <c r="L2403" s="23">
        <f>_xlfn.DAYS(Tabla1[[#This Row],[FECHA FIN ]],Tabla1[[#This Row],[FECHA INICIO]])</f>
        <v>136</v>
      </c>
      <c r="M2403" s="12"/>
      <c r="N2403" s="12"/>
      <c r="O2403" s="24">
        <f>(Tabla1[[#This Row],[COSTO FIJO ]]/30)*Tabla1[[#This Row],[TOTAL DIAS PROYECTO]]+(Tabla1[[#This Row],[COSTO TEMPORAL]])</f>
        <v>0</v>
      </c>
      <c r="P2403" s="12"/>
      <c r="Q2403" s="12">
        <f>+(Tabla1[[#This Row],[COSTO COCHE]]/30)*Tabla1[[#This Row],[TOTAL DIAS PROYECTO]]</f>
        <v>0</v>
      </c>
      <c r="R2403" s="12">
        <f>+Tabla1[[#This Row],[COSTO TOTAL ALOJAMIENTO]]+Tabla1[[#This Row],[COSTO TOTAL COCHE]]</f>
        <v>0</v>
      </c>
      <c r="S2403" s="2"/>
      <c r="T2403" s="2" t="s">
        <v>35</v>
      </c>
      <c r="U2403" s="14">
        <v>45685</v>
      </c>
      <c r="V2403" s="79"/>
      <c r="W2403" s="26"/>
      <c r="X2403" s="2">
        <v>20</v>
      </c>
      <c r="Y2403" s="11"/>
      <c r="Z2403" s="2" t="s">
        <v>36</v>
      </c>
      <c r="AA2403" s="13" t="s">
        <v>10349</v>
      </c>
      <c r="AB2403" s="13" t="s">
        <v>10350</v>
      </c>
    </row>
    <row r="2404" spans="1:28" ht="15" customHeight="1">
      <c r="A2404" s="2" t="s">
        <v>8835</v>
      </c>
      <c r="B2404" s="2" t="s">
        <v>28</v>
      </c>
      <c r="C2404" s="11" t="s">
        <v>954</v>
      </c>
      <c r="D2404" s="2" t="s">
        <v>99</v>
      </c>
      <c r="E2404" s="2" t="s">
        <v>213</v>
      </c>
      <c r="F2404" s="11" t="s">
        <v>1971</v>
      </c>
      <c r="G2404" s="11" t="s">
        <v>558</v>
      </c>
      <c r="H2404" s="2" t="s">
        <v>3934</v>
      </c>
      <c r="I2404" s="12" t="s">
        <v>52</v>
      </c>
      <c r="J2404" s="22">
        <f>+Tabla1[[#This Row],[FECHA ENTRADA]]</f>
        <v>45692</v>
      </c>
      <c r="K2404" s="22">
        <v>45758</v>
      </c>
      <c r="L2404" s="23">
        <f>_xlfn.DAYS(Tabla1[[#This Row],[FECHA FIN ]],Tabla1[[#This Row],[FECHA INICIO]])</f>
        <v>66</v>
      </c>
      <c r="M2404" s="12"/>
      <c r="N2404" s="12"/>
      <c r="O2404" s="24">
        <f>(Tabla1[[#This Row],[COSTO FIJO ]]/30)*Tabla1[[#This Row],[TOTAL DIAS PROYECTO]]+(Tabla1[[#This Row],[COSTO TEMPORAL]])</f>
        <v>0</v>
      </c>
      <c r="P2404" s="12"/>
      <c r="Q2404" s="12">
        <f>+(Tabla1[[#This Row],[COSTO COCHE]]/30)*Tabla1[[#This Row],[TOTAL DIAS PROYECTO]]</f>
        <v>0</v>
      </c>
      <c r="R2404" s="12">
        <f>+Tabla1[[#This Row],[COSTO TOTAL ALOJAMIENTO]]+Tabla1[[#This Row],[COSTO TOTAL COCHE]]</f>
        <v>0</v>
      </c>
      <c r="S2404" s="2"/>
      <c r="T2404" s="2" t="s">
        <v>35</v>
      </c>
      <c r="U2404" s="14">
        <v>45692</v>
      </c>
      <c r="V2404" s="25"/>
      <c r="W2404" s="26"/>
      <c r="X2404" s="2">
        <v>29</v>
      </c>
      <c r="Y2404" t="s">
        <v>1976</v>
      </c>
      <c r="Z2404" s="2" t="s">
        <v>36</v>
      </c>
      <c r="AA2404" s="13" t="s">
        <v>10349</v>
      </c>
      <c r="AB2404" s="13" t="s">
        <v>10350</v>
      </c>
    </row>
    <row r="2405" spans="1:28" ht="15" customHeight="1">
      <c r="A2405" s="2" t="s">
        <v>9626</v>
      </c>
      <c r="B2405" s="2" t="s">
        <v>368</v>
      </c>
      <c r="C2405" s="11" t="s">
        <v>3935</v>
      </c>
      <c r="D2405" s="2" t="s">
        <v>30</v>
      </c>
      <c r="E2405" s="2" t="s">
        <v>985</v>
      </c>
      <c r="F2405" s="11" t="s">
        <v>986</v>
      </c>
      <c r="G2405" s="21" t="s">
        <v>987</v>
      </c>
      <c r="H2405" s="2" t="s">
        <v>1128</v>
      </c>
      <c r="I2405" s="12" t="s">
        <v>989</v>
      </c>
      <c r="J2405" s="41">
        <f>+Tabla1[[#This Row],[FECHA ENTRADA]]</f>
        <v>45599</v>
      </c>
      <c r="K2405" s="22">
        <v>45821</v>
      </c>
      <c r="L2405" s="42">
        <f>_xlfn.DAYS(Tabla1[[#This Row],[FECHA FIN ]],Tabla1[[#This Row],[FECHA INICIO]])</f>
        <v>222</v>
      </c>
      <c r="M2405" s="12"/>
      <c r="N2405" s="12"/>
      <c r="O2405" s="28">
        <f>(Tabla1[[#This Row],[COSTO FIJO ]]/30)*Tabla1[[#This Row],[TOTAL DIAS PROYECTO]]+(Tabla1[[#This Row],[COSTO TEMPORAL]])</f>
        <v>0</v>
      </c>
      <c r="P2405" s="12"/>
      <c r="Q2405" s="12">
        <f>+(Tabla1[[#This Row],[COSTO COCHE]]/30)*Tabla1[[#This Row],[TOTAL DIAS PROYECTO]]</f>
        <v>0</v>
      </c>
      <c r="R2405" s="12">
        <f>+Tabla1[[#This Row],[COSTO TOTAL ALOJAMIENTO]]+Tabla1[[#This Row],[COSTO TOTAL COCHE]]</f>
        <v>0</v>
      </c>
      <c r="S2405" s="2"/>
      <c r="T2405" s="2" t="s">
        <v>35</v>
      </c>
      <c r="U2405" s="14">
        <v>45599</v>
      </c>
      <c r="V2405" s="43"/>
      <c r="W2405" s="26"/>
      <c r="X2405" s="2">
        <v>30</v>
      </c>
      <c r="Y2405" s="11" t="s">
        <v>3936</v>
      </c>
      <c r="Z2405" s="2" t="s">
        <v>36</v>
      </c>
      <c r="AA2405" s="13" t="s">
        <v>10407</v>
      </c>
      <c r="AB2405" s="13" t="s">
        <v>10408</v>
      </c>
    </row>
    <row r="2406" spans="1:28" ht="15" customHeight="1">
      <c r="A2406" s="2" t="s">
        <v>9316</v>
      </c>
      <c r="B2406" s="2" t="s">
        <v>368</v>
      </c>
      <c r="C2406" s="227" t="s">
        <v>2805</v>
      </c>
      <c r="D2406" s="2" t="s">
        <v>30</v>
      </c>
      <c r="E2406" s="2" t="s">
        <v>985</v>
      </c>
      <c r="F2406" s="11" t="s">
        <v>2135</v>
      </c>
      <c r="G2406" s="21" t="s">
        <v>987</v>
      </c>
      <c r="H2406" s="2" t="s">
        <v>1683</v>
      </c>
      <c r="I2406" s="12" t="s">
        <v>989</v>
      </c>
      <c r="J2406" s="41">
        <f>+Tabla1[[#This Row],[FECHA ENTRADA]]</f>
        <v>45595</v>
      </c>
      <c r="K2406" s="22">
        <v>45821</v>
      </c>
      <c r="L2406" s="23">
        <f>_xlfn.DAYS(Tabla1[[#This Row],[FECHA FIN ]],Tabla1[[#This Row],[FECHA INICIO]])</f>
        <v>226</v>
      </c>
      <c r="M2406" s="12"/>
      <c r="N2406" s="12"/>
      <c r="O2406" s="28">
        <f>(Tabla1[[#This Row],[COSTO FIJO ]]/30)*Tabla1[[#This Row],[TOTAL DIAS PROYECTO]]+(Tabla1[[#This Row],[COSTO TEMPORAL]])</f>
        <v>0</v>
      </c>
      <c r="P2406" s="12"/>
      <c r="Q2406" s="12">
        <f>+(Tabla1[[#This Row],[COSTO COCHE]]/30)*Tabla1[[#This Row],[TOTAL DIAS PROYECTO]]</f>
        <v>0</v>
      </c>
      <c r="R2406" s="12">
        <f>+Tabla1[[#This Row],[COSTO TOTAL ALOJAMIENTO]]+Tabla1[[#This Row],[COSTO TOTAL COCHE]]</f>
        <v>0</v>
      </c>
      <c r="S2406" s="2"/>
      <c r="T2406" s="2" t="s">
        <v>613</v>
      </c>
      <c r="U2406" s="14">
        <v>45595</v>
      </c>
      <c r="V2406" s="43"/>
      <c r="W2406" s="26"/>
      <c r="X2406" s="2">
        <v>30</v>
      </c>
      <c r="Y2406" s="67" t="s">
        <v>3937</v>
      </c>
      <c r="Z2406" s="2" t="s">
        <v>36</v>
      </c>
      <c r="AA2406" s="13" t="s">
        <v>10407</v>
      </c>
      <c r="AB2406" s="13" t="s">
        <v>10408</v>
      </c>
    </row>
    <row r="2407" spans="1:28" ht="15" customHeight="1">
      <c r="A2407" s="2" t="s">
        <v>9599</v>
      </c>
      <c r="B2407" s="2" t="s">
        <v>28</v>
      </c>
      <c r="C2407" s="227" t="s">
        <v>3821</v>
      </c>
      <c r="D2407" s="2" t="s">
        <v>30</v>
      </c>
      <c r="E2407" s="2" t="s">
        <v>55</v>
      </c>
      <c r="F2407" s="11"/>
      <c r="G2407" s="11" t="s">
        <v>498</v>
      </c>
      <c r="H2407" s="2" t="s">
        <v>499</v>
      </c>
      <c r="I2407" s="12" t="s">
        <v>165</v>
      </c>
      <c r="J2407" s="8">
        <f>+Tabla1[[#This Row],[FECHA ENTRADA]]</f>
        <v>45483</v>
      </c>
      <c r="K2407" s="22">
        <v>45821</v>
      </c>
      <c r="L2407" s="13">
        <f>_xlfn.DAYS(Tabla1[[#This Row],[FECHA FIN ]],Tabla1[[#This Row],[FECHA INICIO]])</f>
        <v>338</v>
      </c>
      <c r="M2407" s="12"/>
      <c r="N2407" s="12"/>
      <c r="O2407" s="12">
        <f>(Tabla1[[#This Row],[COSTO FIJO ]]/30)*Tabla1[[#This Row],[TOTAL DIAS PROYECTO]]+(Tabla1[[#This Row],[COSTO TEMPORAL]])</f>
        <v>0</v>
      </c>
      <c r="P2407" s="12"/>
      <c r="Q2407" s="12">
        <f>+(Tabla1[[#This Row],[COSTO COCHE]]/30)*Tabla1[[#This Row],[TOTAL DIAS PROYECTO]]</f>
        <v>0</v>
      </c>
      <c r="R2407" s="12">
        <f>+Tabla1[[#This Row],[COSTO TOTAL ALOJAMIENTO]]+Tabla1[[#This Row],[COSTO TOTAL COCHE]]</f>
        <v>0</v>
      </c>
      <c r="S2407" s="2"/>
      <c r="T2407" s="2" t="s">
        <v>35</v>
      </c>
      <c r="U2407" s="14">
        <v>45483</v>
      </c>
      <c r="V2407" s="14"/>
      <c r="W2407" s="26"/>
      <c r="X2407" s="2"/>
      <c r="Y2407" s="18" t="s">
        <v>550</v>
      </c>
      <c r="Z2407" s="2" t="s">
        <v>36</v>
      </c>
      <c r="AA2407" s="13" t="s">
        <v>10327</v>
      </c>
      <c r="AB2407" s="13" t="s">
        <v>10328</v>
      </c>
    </row>
    <row r="2408" spans="1:28">
      <c r="A2408" s="2" t="s">
        <v>9394</v>
      </c>
      <c r="B2408" s="2" t="s">
        <v>28</v>
      </c>
      <c r="C2408" s="227" t="s">
        <v>3029</v>
      </c>
      <c r="D2408" s="2" t="s">
        <v>30</v>
      </c>
      <c r="E2408" s="2" t="s">
        <v>55</v>
      </c>
      <c r="F2408" s="11"/>
      <c r="G2408" s="11" t="s">
        <v>498</v>
      </c>
      <c r="H2408" s="2" t="s">
        <v>499</v>
      </c>
      <c r="I2408" s="12" t="s">
        <v>165</v>
      </c>
      <c r="J2408" s="8">
        <f>+Tabla1[[#This Row],[FECHA ENTRADA]]</f>
        <v>45483</v>
      </c>
      <c r="K2408" s="22">
        <v>45821</v>
      </c>
      <c r="L2408" s="13">
        <f>_xlfn.DAYS(Tabla1[[#This Row],[FECHA FIN ]],Tabla1[[#This Row],[FECHA INICIO]])</f>
        <v>338</v>
      </c>
      <c r="M2408" s="12"/>
      <c r="N2408" s="12"/>
      <c r="O2408" s="12">
        <f>(Tabla1[[#This Row],[COSTO FIJO ]]/30)*Tabla1[[#This Row],[TOTAL DIAS PROYECTO]]+(Tabla1[[#This Row],[COSTO TEMPORAL]])</f>
        <v>0</v>
      </c>
      <c r="P2408" s="12"/>
      <c r="Q2408" s="12">
        <f>+(Tabla1[[#This Row],[COSTO COCHE]]/30)*Tabla1[[#This Row],[TOTAL DIAS PROYECTO]]</f>
        <v>0</v>
      </c>
      <c r="R2408" s="12">
        <f>+Tabla1[[#This Row],[COSTO TOTAL ALOJAMIENTO]]+Tabla1[[#This Row],[COSTO TOTAL COCHE]]</f>
        <v>0</v>
      </c>
      <c r="S2408" s="2"/>
      <c r="T2408" s="2" t="s">
        <v>35</v>
      </c>
      <c r="U2408" s="14">
        <v>45483</v>
      </c>
      <c r="V2408" s="14"/>
      <c r="W2408" s="26"/>
      <c r="X2408" s="2"/>
      <c r="Y2408" s="18" t="s">
        <v>550</v>
      </c>
      <c r="Z2408" s="2" t="s">
        <v>36</v>
      </c>
      <c r="AA2408" s="13" t="s">
        <v>10327</v>
      </c>
      <c r="AB2408" s="13" t="s">
        <v>10328</v>
      </c>
    </row>
    <row r="2409" spans="1:28" ht="15" customHeight="1">
      <c r="A2409" s="2" t="s">
        <v>9627</v>
      </c>
      <c r="B2409" s="2" t="s">
        <v>28</v>
      </c>
      <c r="C2409" s="227" t="s">
        <v>3938</v>
      </c>
      <c r="D2409" s="2" t="s">
        <v>30</v>
      </c>
      <c r="E2409" s="2" t="s">
        <v>55</v>
      </c>
      <c r="F2409" s="11"/>
      <c r="G2409" s="11" t="s">
        <v>498</v>
      </c>
      <c r="H2409" s="2" t="s">
        <v>499</v>
      </c>
      <c r="I2409" s="12" t="s">
        <v>165</v>
      </c>
      <c r="J2409" s="8">
        <f>+Tabla1[[#This Row],[FECHA ENTRADA]]</f>
        <v>45483</v>
      </c>
      <c r="K2409" s="22">
        <v>45821</v>
      </c>
      <c r="L2409" s="13">
        <f>_xlfn.DAYS(Tabla1[[#This Row],[FECHA FIN ]],Tabla1[[#This Row],[FECHA INICIO]])</f>
        <v>338</v>
      </c>
      <c r="M2409" s="12"/>
      <c r="N2409" s="12"/>
      <c r="O2409" s="12">
        <f>(Tabla1[[#This Row],[COSTO FIJO ]]/30)*Tabla1[[#This Row],[TOTAL DIAS PROYECTO]]+(Tabla1[[#This Row],[COSTO TEMPORAL]])</f>
        <v>0</v>
      </c>
      <c r="P2409" s="12"/>
      <c r="Q2409" s="12">
        <f>+(Tabla1[[#This Row],[COSTO COCHE]]/30)*Tabla1[[#This Row],[TOTAL DIAS PROYECTO]]</f>
        <v>0</v>
      </c>
      <c r="R2409" s="12">
        <f>+Tabla1[[#This Row],[COSTO TOTAL ALOJAMIENTO]]+Tabla1[[#This Row],[COSTO TOTAL COCHE]]</f>
        <v>0</v>
      </c>
      <c r="S2409" s="2"/>
      <c r="T2409" s="2" t="s">
        <v>35</v>
      </c>
      <c r="U2409" s="14">
        <v>45483</v>
      </c>
      <c r="V2409" s="14"/>
      <c r="W2409" s="26"/>
      <c r="X2409" s="2"/>
      <c r="Y2409" s="18" t="s">
        <v>550</v>
      </c>
      <c r="Z2409" s="2" t="s">
        <v>36</v>
      </c>
      <c r="AA2409" s="13" t="s">
        <v>10327</v>
      </c>
      <c r="AB2409" s="13" t="s">
        <v>10328</v>
      </c>
    </row>
    <row r="2410" spans="1:28">
      <c r="A2410" s="2" t="s">
        <v>9628</v>
      </c>
      <c r="B2410" s="2" t="s">
        <v>28</v>
      </c>
      <c r="C2410" s="227" t="s">
        <v>3939</v>
      </c>
      <c r="D2410" s="2" t="s">
        <v>30</v>
      </c>
      <c r="E2410" s="2" t="s">
        <v>626</v>
      </c>
      <c r="F2410" s="11" t="s">
        <v>3940</v>
      </c>
      <c r="G2410" s="11" t="s">
        <v>3941</v>
      </c>
      <c r="H2410" s="2" t="s">
        <v>868</v>
      </c>
      <c r="I2410" s="12" t="s">
        <v>570</v>
      </c>
      <c r="J2410" s="8">
        <f>+Tabla1[[#This Row],[FECHA ENTRADA]]</f>
        <v>45490</v>
      </c>
      <c r="K2410" s="22">
        <v>45821</v>
      </c>
      <c r="L2410" s="13">
        <f>_xlfn.DAYS(Tabla1[[#This Row],[FECHA FIN ]],Tabla1[[#This Row],[FECHA INICIO]])</f>
        <v>331</v>
      </c>
      <c r="M2410" s="12"/>
      <c r="N2410" s="12"/>
      <c r="O2410" s="12">
        <f>(Tabla1[[#This Row],[COSTO FIJO ]]/30)*Tabla1[[#This Row],[TOTAL DIAS PROYECTO]]+(Tabla1[[#This Row],[COSTO TEMPORAL]])</f>
        <v>0</v>
      </c>
      <c r="P2410" s="12"/>
      <c r="Q2410" s="12">
        <f>+(Tabla1[[#This Row],[COSTO COCHE]]/30)*Tabla1[[#This Row],[TOTAL DIAS PROYECTO]]</f>
        <v>0</v>
      </c>
      <c r="R2410" s="12">
        <f>+Tabla1[[#This Row],[COSTO TOTAL ALOJAMIENTO]]+Tabla1[[#This Row],[COSTO TOTAL COCHE]]</f>
        <v>0</v>
      </c>
      <c r="S2410" s="2"/>
      <c r="T2410" s="2" t="s">
        <v>35</v>
      </c>
      <c r="U2410" s="14">
        <v>45490</v>
      </c>
      <c r="V2410" s="14">
        <v>45521</v>
      </c>
      <c r="W2410" s="26"/>
      <c r="X2410" s="2"/>
      <c r="Y2410" s="18" t="s">
        <v>3942</v>
      </c>
      <c r="Z2410" s="2" t="s">
        <v>36</v>
      </c>
      <c r="AA2410" s="13" t="s">
        <v>10385</v>
      </c>
      <c r="AB2410" s="13" t="s">
        <v>10386</v>
      </c>
    </row>
    <row r="2411" spans="1:28" ht="15" customHeight="1">
      <c r="A2411" s="2" t="s">
        <v>8642</v>
      </c>
      <c r="B2411" s="2" t="s">
        <v>368</v>
      </c>
      <c r="C2411" s="233" t="s">
        <v>2950</v>
      </c>
      <c r="D2411" s="2" t="s">
        <v>30</v>
      </c>
      <c r="E2411" s="2" t="s">
        <v>380</v>
      </c>
      <c r="F2411" s="11" t="s">
        <v>3857</v>
      </c>
      <c r="G2411" s="46" t="s">
        <v>3858</v>
      </c>
      <c r="H2411" s="2" t="s">
        <v>3859</v>
      </c>
      <c r="I2411" s="12" t="s">
        <v>1208</v>
      </c>
      <c r="J2411" s="22">
        <f>+Tabla1[[#This Row],[FECHA ENTRADA]]</f>
        <v>45644</v>
      </c>
      <c r="K2411" s="22">
        <v>45821</v>
      </c>
      <c r="L2411" s="23">
        <f>_xlfn.DAYS(Tabla1[[#This Row],[FECHA FIN ]],Tabla1[[#This Row],[FECHA INICIO]])</f>
        <v>177</v>
      </c>
      <c r="M2411" s="12"/>
      <c r="N2411" s="24"/>
      <c r="O2411" s="24">
        <f>(Tabla1[[#This Row],[COSTO FIJO ]]/30)*Tabla1[[#This Row],[TOTAL DIAS PROYECTO]]+(Tabla1[[#This Row],[COSTO TEMPORAL]])</f>
        <v>0</v>
      </c>
      <c r="P2411" s="12"/>
      <c r="Q2411" s="12">
        <f>+(Tabla1[[#This Row],[COSTO COCHE]]/30)*Tabla1[[#This Row],[TOTAL DIAS PROYECTO]]</f>
        <v>0</v>
      </c>
      <c r="R2411" s="12">
        <f>+Tabla1[[#This Row],[COSTO TOTAL ALOJAMIENTO]]+Tabla1[[#This Row],[COSTO TOTAL COCHE]]</f>
        <v>0</v>
      </c>
      <c r="S2411" s="2"/>
      <c r="T2411" s="2" t="s">
        <v>44</v>
      </c>
      <c r="U2411" s="14">
        <v>45644</v>
      </c>
      <c r="V2411" s="25">
        <v>45675</v>
      </c>
      <c r="W2411" s="26"/>
      <c r="X2411" s="2"/>
      <c r="Y2411" s="11" t="s">
        <v>3860</v>
      </c>
      <c r="Z2411" s="2" t="s">
        <v>36</v>
      </c>
      <c r="AA2411" s="13" t="s">
        <v>10370</v>
      </c>
      <c r="AB2411" s="13" t="s">
        <v>10371</v>
      </c>
    </row>
    <row r="2412" spans="1:28">
      <c r="A2412" s="2" t="s">
        <v>8706</v>
      </c>
      <c r="B2412" s="2" t="s">
        <v>28</v>
      </c>
      <c r="C2412" s="227" t="s">
        <v>379</v>
      </c>
      <c r="D2412" s="2" t="s">
        <v>30</v>
      </c>
      <c r="E2412" s="2" t="s">
        <v>151</v>
      </c>
      <c r="F2412" s="11" t="s">
        <v>1499</v>
      </c>
      <c r="G2412" s="11" t="s">
        <v>1500</v>
      </c>
      <c r="H2412" s="2" t="s">
        <v>3710</v>
      </c>
      <c r="I2412" s="12" t="s">
        <v>152</v>
      </c>
      <c r="J2412" s="41">
        <f>+Tabla1[[#This Row],[FECHA ENTRADA]]</f>
        <v>45572</v>
      </c>
      <c r="K2412" s="22">
        <v>45821</v>
      </c>
      <c r="L2412" s="42">
        <f>_xlfn.DAYS(Tabla1[[#This Row],[FECHA FIN ]],Tabla1[[#This Row],[FECHA INICIO]])</f>
        <v>249</v>
      </c>
      <c r="M2412" s="12"/>
      <c r="N2412" s="12"/>
      <c r="O2412" s="28">
        <f>(Tabla1[[#This Row],[COSTO FIJO ]]/30)*Tabla1[[#This Row],[TOTAL DIAS PROYECTO]]+(Tabla1[[#This Row],[COSTO TEMPORAL]])</f>
        <v>0</v>
      </c>
      <c r="P2412" s="12"/>
      <c r="Q2412" s="12">
        <f>+(Tabla1[[#This Row],[COSTO COCHE]]/30)*Tabla1[[#This Row],[TOTAL DIAS PROYECTO]]</f>
        <v>0</v>
      </c>
      <c r="R2412" s="12">
        <f>+Tabla1[[#This Row],[COSTO TOTAL ALOJAMIENTO]]+Tabla1[[#This Row],[COSTO TOTAL COCHE]]</f>
        <v>0</v>
      </c>
      <c r="S2412" s="2"/>
      <c r="T2412" s="2" t="s">
        <v>35</v>
      </c>
      <c r="U2412" s="14">
        <v>45572</v>
      </c>
      <c r="V2412" s="43"/>
      <c r="W2412" s="26"/>
      <c r="X2412" s="2"/>
      <c r="Y2412" s="11"/>
      <c r="Z2412" s="2" t="s">
        <v>36</v>
      </c>
      <c r="AA2412" s="13" t="s">
        <v>10345</v>
      </c>
      <c r="AB2412" s="13" t="s">
        <v>10346</v>
      </c>
    </row>
    <row r="2413" spans="1:28" ht="15" customHeight="1">
      <c r="A2413" s="2" t="s">
        <v>9206</v>
      </c>
      <c r="B2413" s="2" t="s">
        <v>28</v>
      </c>
      <c r="C2413" s="227" t="s">
        <v>2428</v>
      </c>
      <c r="D2413" s="2" t="s">
        <v>30</v>
      </c>
      <c r="E2413" s="2" t="s">
        <v>734</v>
      </c>
      <c r="F2413" s="11" t="s">
        <v>2468</v>
      </c>
      <c r="G2413" s="11"/>
      <c r="H2413" s="2" t="s">
        <v>2413</v>
      </c>
      <c r="I2413" s="12" t="s">
        <v>152</v>
      </c>
      <c r="J2413" s="8">
        <f>+Tabla1[[#This Row],[FECHA ENTRADA]]</f>
        <v>45410</v>
      </c>
      <c r="K2413" s="22">
        <v>45821</v>
      </c>
      <c r="L2413" s="13">
        <f>_xlfn.DAYS(Tabla1[[#This Row],[FECHA FIN ]],Tabla1[[#This Row],[FECHA INICIO]])</f>
        <v>411</v>
      </c>
      <c r="M2413" s="12"/>
      <c r="N2413" s="12"/>
      <c r="O2413" s="12">
        <f>(Tabla1[[#This Row],[COSTO FIJO ]]/30)*Tabla1[[#This Row],[TOTAL DIAS PROYECTO]]+(Tabla1[[#This Row],[COSTO TEMPORAL]])</f>
        <v>0</v>
      </c>
      <c r="P2413" s="12"/>
      <c r="Q2413" s="12">
        <f>+(Tabla1[[#This Row],[COSTO COCHE]]/30)*Tabla1[[#This Row],[TOTAL DIAS PROYECTO]]</f>
        <v>0</v>
      </c>
      <c r="R2413" s="12">
        <f>+Tabla1[[#This Row],[COSTO TOTAL ALOJAMIENTO]]+Tabla1[[#This Row],[COSTO TOTAL COCHE]]</f>
        <v>0</v>
      </c>
      <c r="S2413" s="2"/>
      <c r="T2413" s="2" t="s">
        <v>35</v>
      </c>
      <c r="U2413" s="14">
        <v>45410</v>
      </c>
      <c r="V2413" s="14"/>
      <c r="W2413" s="2"/>
      <c r="X2413" s="2"/>
      <c r="Y2413" s="11" t="s">
        <v>3943</v>
      </c>
      <c r="Z2413" s="2" t="s">
        <v>36</v>
      </c>
      <c r="AA2413" s="13" t="s">
        <v>10396</v>
      </c>
      <c r="AB2413" s="13" t="s">
        <v>10397</v>
      </c>
    </row>
    <row r="2414" spans="1:28" ht="15" customHeight="1">
      <c r="A2414" s="2" t="s">
        <v>9238</v>
      </c>
      <c r="B2414" s="2" t="s">
        <v>28</v>
      </c>
      <c r="C2414" s="227" t="s">
        <v>2551</v>
      </c>
      <c r="D2414" s="2" t="s">
        <v>72</v>
      </c>
      <c r="E2414" s="2" t="s">
        <v>73</v>
      </c>
      <c r="F2414" s="11" t="s">
        <v>241</v>
      </c>
      <c r="G2414" s="11" t="s">
        <v>242</v>
      </c>
      <c r="H2414" s="2" t="s">
        <v>331</v>
      </c>
      <c r="I2414" s="12" t="s">
        <v>332</v>
      </c>
      <c r="J2414" s="8">
        <f>+Tabla1[[#This Row],[FECHA ENTRADA]]</f>
        <v>45440</v>
      </c>
      <c r="K2414" s="22">
        <v>45821</v>
      </c>
      <c r="L2414" s="13">
        <f>_xlfn.DAYS(Tabla1[[#This Row],[FECHA FIN ]],Tabla1[[#This Row],[FECHA INICIO]])</f>
        <v>381</v>
      </c>
      <c r="M2414" s="12"/>
      <c r="N2414" s="12"/>
      <c r="O2414" s="12">
        <f>(Tabla1[[#This Row],[COSTO FIJO ]]/30)*Tabla1[[#This Row],[TOTAL DIAS PROYECTO]]+(Tabla1[[#This Row],[COSTO TEMPORAL]])</f>
        <v>0</v>
      </c>
      <c r="P2414" s="12"/>
      <c r="Q2414" s="12">
        <f>+(Tabla1[[#This Row],[COSTO COCHE]]/30)*Tabla1[[#This Row],[TOTAL DIAS PROYECTO]]</f>
        <v>0</v>
      </c>
      <c r="R2414" s="12">
        <f>+Tabla1[[#This Row],[COSTO TOTAL ALOJAMIENTO]]+Tabla1[[#This Row],[COSTO TOTAL COCHE]]</f>
        <v>0</v>
      </c>
      <c r="S2414" s="2"/>
      <c r="T2414" s="2" t="s">
        <v>35</v>
      </c>
      <c r="U2414" s="14">
        <v>45440</v>
      </c>
      <c r="V2414" s="14"/>
      <c r="W2414" s="26"/>
      <c r="X2414" s="2"/>
      <c r="Y2414" s="11" t="s">
        <v>3944</v>
      </c>
      <c r="Z2414" s="2" t="s">
        <v>36</v>
      </c>
      <c r="AA2414" s="13" t="s">
        <v>10331</v>
      </c>
      <c r="AB2414" s="13" t="s">
        <v>10332</v>
      </c>
    </row>
    <row r="2415" spans="1:28" ht="15" customHeight="1">
      <c r="A2415" s="2" t="s">
        <v>9269</v>
      </c>
      <c r="B2415" s="2" t="s">
        <v>28</v>
      </c>
      <c r="C2415" s="11" t="s">
        <v>2660</v>
      </c>
      <c r="D2415" s="2" t="s">
        <v>30</v>
      </c>
      <c r="E2415" s="2" t="s">
        <v>213</v>
      </c>
      <c r="F2415" s="11" t="s">
        <v>871</v>
      </c>
      <c r="G2415" s="11" t="s">
        <v>872</v>
      </c>
      <c r="H2415" s="2" t="s">
        <v>215</v>
      </c>
      <c r="I2415" s="2" t="s">
        <v>52</v>
      </c>
      <c r="J2415" s="8">
        <f>+Tabla1[[#This Row],[FECHA ENTRADA]]</f>
        <v>45394</v>
      </c>
      <c r="K2415" s="22">
        <v>45821</v>
      </c>
      <c r="L2415" s="13">
        <f>_xlfn.DAYS(Tabla1[[#This Row],[FECHA FIN ]],Tabla1[[#This Row],[FECHA INICIO]])</f>
        <v>427</v>
      </c>
      <c r="M2415" s="12"/>
      <c r="N2415" s="12"/>
      <c r="O2415" s="12">
        <f>(Tabla1[[#This Row],[COSTO FIJO ]]/30)*Tabla1[[#This Row],[TOTAL DIAS PROYECTO]]+(Tabla1[[#This Row],[COSTO TEMPORAL]])</f>
        <v>0</v>
      </c>
      <c r="P2415" s="12"/>
      <c r="Q2415" s="12">
        <f>+(Tabla1[[#This Row],[COSTO COCHE]]/30)*Tabla1[[#This Row],[TOTAL DIAS PROYECTO]]</f>
        <v>0</v>
      </c>
      <c r="R2415" s="12">
        <f>+Tabla1[[#This Row],[COSTO TOTAL ALOJAMIENTO]]+Tabla1[[#This Row],[COSTO TOTAL COCHE]]</f>
        <v>0</v>
      </c>
      <c r="S2415" s="2"/>
      <c r="T2415" s="2" t="s">
        <v>35</v>
      </c>
      <c r="U2415" s="14">
        <v>45394</v>
      </c>
      <c r="V2415" s="14">
        <v>45402</v>
      </c>
      <c r="W2415" s="15"/>
      <c r="X2415" s="16"/>
      <c r="Y2415" s="18" t="s">
        <v>3945</v>
      </c>
      <c r="Z2415" s="2" t="s">
        <v>36</v>
      </c>
      <c r="AA2415" s="13" t="s">
        <v>10349</v>
      </c>
      <c r="AB2415" s="13" t="s">
        <v>10350</v>
      </c>
    </row>
    <row r="2416" spans="1:28" ht="15" customHeight="1">
      <c r="A2416" s="2" t="s">
        <v>9561</v>
      </c>
      <c r="B2416" s="2" t="s">
        <v>368</v>
      </c>
      <c r="C2416" s="11" t="s">
        <v>3650</v>
      </c>
      <c r="D2416" s="2" t="s">
        <v>30</v>
      </c>
      <c r="E2416" s="2" t="s">
        <v>415</v>
      </c>
      <c r="F2416" s="11" t="s">
        <v>2173</v>
      </c>
      <c r="G2416" s="46" t="s">
        <v>2174</v>
      </c>
      <c r="H2416" s="2" t="s">
        <v>2203</v>
      </c>
      <c r="I2416" s="12" t="s">
        <v>2200</v>
      </c>
      <c r="J2416" s="41">
        <f>+Tabla1[[#This Row],[FECHA ENTRADA]]</f>
        <v>45783</v>
      </c>
      <c r="K2416" s="22">
        <v>45821</v>
      </c>
      <c r="L2416" s="42">
        <f>_xlfn.DAYS(Tabla1[[#This Row],[FECHA FIN ]],Tabla1[[#This Row],[FECHA INICIO]])</f>
        <v>38</v>
      </c>
      <c r="M2416" s="12"/>
      <c r="N2416" s="12"/>
      <c r="O2416" s="28">
        <f>(Tabla1[[#This Row],[COSTO FIJO ]]/30)*Tabla1[[#This Row],[TOTAL DIAS PROYECTO]]+(Tabla1[[#This Row],[COSTO TEMPORAL]])</f>
        <v>0</v>
      </c>
      <c r="P2416" s="12">
        <f>666.59/4</f>
        <v>166.64750000000001</v>
      </c>
      <c r="Q2416" s="12">
        <f>+(Tabla1[[#This Row],[COSTO COCHE]]/30)*Tabla1[[#This Row],[TOTAL DIAS PROYECTO]]</f>
        <v>211.08683333333335</v>
      </c>
      <c r="R2416" s="12">
        <f>+Tabla1[[#This Row],[COSTO TOTAL ALOJAMIENTO]]+Tabla1[[#This Row],[COSTO TOTAL COCHE]]</f>
        <v>211.08683333333335</v>
      </c>
      <c r="S2416" s="2"/>
      <c r="T2416" s="2" t="s">
        <v>35</v>
      </c>
      <c r="U2416" s="14">
        <v>45783</v>
      </c>
      <c r="V2416" s="43">
        <v>45817</v>
      </c>
      <c r="W2416" s="2"/>
      <c r="X2416" s="2"/>
      <c r="Y2416" t="s">
        <v>2582</v>
      </c>
      <c r="Z2416" s="2" t="s">
        <v>36</v>
      </c>
      <c r="AA2416" s="13">
        <v>-0.37739</v>
      </c>
      <c r="AB2416" s="13" t="s">
        <v>10372</v>
      </c>
    </row>
    <row r="2417" spans="1:28" ht="15" customHeight="1">
      <c r="A2417" s="2" t="s">
        <v>9152</v>
      </c>
      <c r="B2417" s="2" t="s">
        <v>28</v>
      </c>
      <c r="C2417" s="11" t="s">
        <v>2243</v>
      </c>
      <c r="D2417" s="2" t="s">
        <v>30</v>
      </c>
      <c r="E2417" s="2" t="s">
        <v>253</v>
      </c>
      <c r="F2417" s="11" t="s">
        <v>254</v>
      </c>
      <c r="G2417" s="11" t="s">
        <v>255</v>
      </c>
      <c r="H2417" s="2" t="s">
        <v>2371</v>
      </c>
      <c r="I2417" s="12" t="s">
        <v>582</v>
      </c>
      <c r="J2417" s="8">
        <f>+Tabla1[[#This Row],[FECHA ENTRADA]]</f>
        <v>45496</v>
      </c>
      <c r="K2417" s="22">
        <v>45821</v>
      </c>
      <c r="L2417" s="13">
        <f>_xlfn.DAYS(Tabla1[[#This Row],[FECHA FIN ]],Tabla1[[#This Row],[FECHA INICIO]])</f>
        <v>325</v>
      </c>
      <c r="M2417" s="12"/>
      <c r="N2417" s="12"/>
      <c r="O2417" s="12">
        <f>(Tabla1[[#This Row],[COSTO FIJO ]]/30)*Tabla1[[#This Row],[TOTAL DIAS PROYECTO]]+(Tabla1[[#This Row],[COSTO TEMPORAL]])</f>
        <v>0</v>
      </c>
      <c r="P2417" s="12"/>
      <c r="Q2417" s="12">
        <f>+(Tabla1[[#This Row],[COSTO COCHE]]/30)*Tabla1[[#This Row],[TOTAL DIAS PROYECTO]]</f>
        <v>0</v>
      </c>
      <c r="R2417" s="12">
        <f>+Tabla1[[#This Row],[COSTO TOTAL ALOJAMIENTO]]+Tabla1[[#This Row],[COSTO TOTAL COCHE]]</f>
        <v>0</v>
      </c>
      <c r="S2417" s="2"/>
      <c r="T2417" s="2" t="s">
        <v>35</v>
      </c>
      <c r="U2417" s="14">
        <v>45496</v>
      </c>
      <c r="V2417" s="14"/>
      <c r="W2417" s="26"/>
      <c r="X2417" s="2"/>
      <c r="Y2417" s="18" t="s">
        <v>3946</v>
      </c>
      <c r="Z2417" s="2" t="s">
        <v>36</v>
      </c>
      <c r="AA2417" s="13" t="s">
        <v>10357</v>
      </c>
      <c r="AB2417" s="13" t="s">
        <v>10358</v>
      </c>
    </row>
    <row r="2418" spans="1:28" ht="15" customHeight="1">
      <c r="A2418" s="2" t="s">
        <v>9580</v>
      </c>
      <c r="B2418" s="2" t="s">
        <v>28</v>
      </c>
      <c r="C2418" s="11" t="s">
        <v>3742</v>
      </c>
      <c r="D2418" s="2" t="s">
        <v>72</v>
      </c>
      <c r="E2418" s="2" t="s">
        <v>73</v>
      </c>
      <c r="F2418" s="11" t="s">
        <v>241</v>
      </c>
      <c r="G2418" s="11" t="s">
        <v>242</v>
      </c>
      <c r="H2418" s="2" t="s">
        <v>3947</v>
      </c>
      <c r="I2418" s="2" t="s">
        <v>189</v>
      </c>
      <c r="J2418" s="8">
        <f>+Tabla1[[#This Row],[FECHA ENTRADA]]</f>
        <v>45383</v>
      </c>
      <c r="K2418" s="22">
        <v>45821</v>
      </c>
      <c r="L2418" s="13">
        <f>_xlfn.DAYS(Tabla1[[#This Row],[FECHA FIN ]],Tabla1[[#This Row],[FECHA INICIO]])</f>
        <v>438</v>
      </c>
      <c r="M2418" s="12"/>
      <c r="N2418" s="12"/>
      <c r="O2418" s="12">
        <f>(Tabla1[[#This Row],[COSTO FIJO ]]/30)*Tabla1[[#This Row],[TOTAL DIAS PROYECTO]]+(Tabla1[[#This Row],[COSTO TEMPORAL]])</f>
        <v>0</v>
      </c>
      <c r="P2418" s="12"/>
      <c r="Q2418" s="12">
        <f>+(Tabla1[[#This Row],[COSTO COCHE]]/30)*Tabla1[[#This Row],[TOTAL DIAS PROYECTO]]</f>
        <v>0</v>
      </c>
      <c r="R2418" s="12">
        <f>+Tabla1[[#This Row],[COSTO TOTAL ALOJAMIENTO]]+Tabla1[[#This Row],[COSTO TOTAL COCHE]]</f>
        <v>0</v>
      </c>
      <c r="S2418" s="2"/>
      <c r="T2418" s="2" t="s">
        <v>35</v>
      </c>
      <c r="U2418" s="14">
        <v>45383</v>
      </c>
      <c r="V2418" s="14"/>
      <c r="W2418" s="26"/>
      <c r="X2418" s="16"/>
      <c r="Y2418" s="18" t="s">
        <v>243</v>
      </c>
      <c r="Z2418" s="2" t="s">
        <v>36</v>
      </c>
      <c r="AA2418" s="13" t="s">
        <v>10331</v>
      </c>
      <c r="AB2418" s="13" t="s">
        <v>10332</v>
      </c>
    </row>
    <row r="2419" spans="1:28" ht="15" customHeight="1">
      <c r="A2419" s="2" t="s">
        <v>8696</v>
      </c>
      <c r="B2419" s="2" t="s">
        <v>28</v>
      </c>
      <c r="C2419" s="11" t="s">
        <v>326</v>
      </c>
      <c r="D2419" s="2" t="s">
        <v>30</v>
      </c>
      <c r="E2419" s="2" t="s">
        <v>415</v>
      </c>
      <c r="F2419" s="11" t="s">
        <v>3948</v>
      </c>
      <c r="G2419" s="11" t="s">
        <v>3949</v>
      </c>
      <c r="H2419" s="2" t="s">
        <v>3950</v>
      </c>
      <c r="I2419" s="2" t="s">
        <v>787</v>
      </c>
      <c r="J2419" s="8">
        <f>+Tabla1[[#This Row],[FECHA ENTRADA]]</f>
        <v>45339</v>
      </c>
      <c r="K2419" s="22">
        <v>45821</v>
      </c>
      <c r="L2419" s="13">
        <f>_xlfn.DAYS(Tabla1[[#This Row],[FECHA FIN ]],Tabla1[[#This Row],[FECHA INICIO]])</f>
        <v>482</v>
      </c>
      <c r="M2419" s="12"/>
      <c r="N2419" s="12"/>
      <c r="O2419" s="12">
        <f>(Tabla1[[#This Row],[COSTO FIJO ]]/30)*Tabla1[[#This Row],[TOTAL DIAS PROYECTO]]+(Tabla1[[#This Row],[COSTO TEMPORAL]])</f>
        <v>0</v>
      </c>
      <c r="P2419" s="12"/>
      <c r="Q2419" s="12">
        <f>+(Tabla1[[#This Row],[COSTO COCHE]]/30)*Tabla1[[#This Row],[TOTAL DIAS PROYECTO]]</f>
        <v>0</v>
      </c>
      <c r="R2419" s="12">
        <f>+Tabla1[[#This Row],[COSTO TOTAL ALOJAMIENTO]]+Tabla1[[#This Row],[COSTO TOTAL COCHE]]</f>
        <v>0</v>
      </c>
      <c r="S2419" s="2"/>
      <c r="T2419" s="2" t="s">
        <v>35</v>
      </c>
      <c r="U2419" s="14">
        <v>45339</v>
      </c>
      <c r="V2419" s="14">
        <v>45360</v>
      </c>
      <c r="W2419" s="15"/>
      <c r="X2419" s="16"/>
      <c r="Y2419" s="18" t="s">
        <v>3951</v>
      </c>
      <c r="Z2419" s="2" t="s">
        <v>36</v>
      </c>
      <c r="AA2419" s="13">
        <v>-0.37739</v>
      </c>
      <c r="AB2419" s="13" t="s">
        <v>10372</v>
      </c>
    </row>
    <row r="2420" spans="1:28" ht="15" customHeight="1">
      <c r="A2420" s="2" t="s">
        <v>8686</v>
      </c>
      <c r="B2420" s="2" t="s">
        <v>28</v>
      </c>
      <c r="C2420" s="11" t="s">
        <v>284</v>
      </c>
      <c r="D2420" s="2" t="s">
        <v>30</v>
      </c>
      <c r="E2420" s="2" t="s">
        <v>415</v>
      </c>
      <c r="F2420" s="11" t="s">
        <v>3948</v>
      </c>
      <c r="G2420" s="11" t="s">
        <v>3949</v>
      </c>
      <c r="H2420" s="2" t="s">
        <v>3950</v>
      </c>
      <c r="I2420" s="2" t="s">
        <v>787</v>
      </c>
      <c r="J2420" s="8">
        <f>+Tabla1[[#This Row],[FECHA ENTRADA]]</f>
        <v>45339</v>
      </c>
      <c r="K2420" s="22">
        <v>45821</v>
      </c>
      <c r="L2420" s="13">
        <f>_xlfn.DAYS(Tabla1[[#This Row],[FECHA FIN ]],Tabla1[[#This Row],[FECHA INICIO]])</f>
        <v>482</v>
      </c>
      <c r="M2420" s="12"/>
      <c r="N2420" s="12"/>
      <c r="O2420" s="12">
        <f>(Tabla1[[#This Row],[COSTO FIJO ]]/30)*Tabla1[[#This Row],[TOTAL DIAS PROYECTO]]+(Tabla1[[#This Row],[COSTO TEMPORAL]])</f>
        <v>0</v>
      </c>
      <c r="P2420" s="12"/>
      <c r="Q2420" s="12">
        <f>+(Tabla1[[#This Row],[COSTO COCHE]]/30)*Tabla1[[#This Row],[TOTAL DIAS PROYECTO]]</f>
        <v>0</v>
      </c>
      <c r="R2420" s="12">
        <f>+Tabla1[[#This Row],[COSTO TOTAL ALOJAMIENTO]]+Tabla1[[#This Row],[COSTO TOTAL COCHE]]</f>
        <v>0</v>
      </c>
      <c r="S2420" s="2"/>
      <c r="T2420" s="2" t="s">
        <v>35</v>
      </c>
      <c r="U2420" s="14">
        <v>45339</v>
      </c>
      <c r="V2420" s="14">
        <v>45360</v>
      </c>
      <c r="W2420" s="15"/>
      <c r="X2420" s="16"/>
      <c r="Y2420" s="18" t="s">
        <v>3951</v>
      </c>
      <c r="Z2420" s="2" t="s">
        <v>36</v>
      </c>
      <c r="AA2420" s="13">
        <v>-0.37739</v>
      </c>
      <c r="AB2420" s="13" t="s">
        <v>10372</v>
      </c>
    </row>
    <row r="2421" spans="1:28" ht="15" customHeight="1">
      <c r="A2421" s="2" t="s">
        <v>9165</v>
      </c>
      <c r="B2421" s="2" t="s">
        <v>28</v>
      </c>
      <c r="C2421" s="11" t="s">
        <v>2289</v>
      </c>
      <c r="D2421" s="2" t="s">
        <v>72</v>
      </c>
      <c r="E2421" s="2" t="s">
        <v>73</v>
      </c>
      <c r="F2421" s="11" t="s">
        <v>241</v>
      </c>
      <c r="G2421" s="11" t="s">
        <v>242</v>
      </c>
      <c r="H2421" s="2" t="s">
        <v>188</v>
      </c>
      <c r="I2421" s="2" t="s">
        <v>189</v>
      </c>
      <c r="J2421" s="8">
        <f>+Tabla1[[#This Row],[FECHA ENTRADA]]</f>
        <v>45383</v>
      </c>
      <c r="K2421" s="22">
        <v>45821</v>
      </c>
      <c r="L2421" s="13">
        <f>_xlfn.DAYS(Tabla1[[#This Row],[FECHA FIN ]],Tabla1[[#This Row],[FECHA INICIO]])</f>
        <v>438</v>
      </c>
      <c r="M2421" s="12"/>
      <c r="N2421" s="12"/>
      <c r="O2421" s="12">
        <f>(Tabla1[[#This Row],[COSTO FIJO ]]/30)*Tabla1[[#This Row],[TOTAL DIAS PROYECTO]]+(Tabla1[[#This Row],[COSTO TEMPORAL]])</f>
        <v>0</v>
      </c>
      <c r="P2421" s="12"/>
      <c r="Q2421" s="12">
        <f>+(Tabla1[[#This Row],[COSTO COCHE]]/30)*Tabla1[[#This Row],[TOTAL DIAS PROYECTO]]</f>
        <v>0</v>
      </c>
      <c r="R2421" s="12">
        <f>+Tabla1[[#This Row],[COSTO TOTAL ALOJAMIENTO]]+Tabla1[[#This Row],[COSTO TOTAL COCHE]]</f>
        <v>0</v>
      </c>
      <c r="S2421" s="2"/>
      <c r="T2421" s="2" t="s">
        <v>35</v>
      </c>
      <c r="U2421" s="14">
        <v>45383</v>
      </c>
      <c r="V2421" s="14"/>
      <c r="W2421" s="26"/>
      <c r="X2421" s="16"/>
      <c r="Y2421" s="18" t="s">
        <v>243</v>
      </c>
      <c r="Z2421" s="2" t="s">
        <v>36</v>
      </c>
      <c r="AA2421" s="13" t="s">
        <v>10331</v>
      </c>
      <c r="AB2421" s="13" t="s">
        <v>10332</v>
      </c>
    </row>
    <row r="2422" spans="1:28" ht="15" customHeight="1">
      <c r="A2422" s="2" t="s">
        <v>9321</v>
      </c>
      <c r="B2422" s="2" t="s">
        <v>28</v>
      </c>
      <c r="C2422" s="11" t="s">
        <v>2816</v>
      </c>
      <c r="D2422" s="2" t="s">
        <v>30</v>
      </c>
      <c r="E2422" s="2" t="s">
        <v>213</v>
      </c>
      <c r="F2422" s="11" t="s">
        <v>871</v>
      </c>
      <c r="G2422" s="11" t="s">
        <v>872</v>
      </c>
      <c r="H2422" s="2" t="s">
        <v>873</v>
      </c>
      <c r="I2422" s="12" t="s">
        <v>52</v>
      </c>
      <c r="J2422" s="8">
        <f>+Tabla1[[#This Row],[FECHA ENTRADA]]</f>
        <v>45550</v>
      </c>
      <c r="K2422" s="22">
        <v>45821</v>
      </c>
      <c r="L2422" s="13">
        <f>_xlfn.DAYS(Tabla1[[#This Row],[FECHA FIN ]],Tabla1[[#This Row],[FECHA INICIO]])</f>
        <v>271</v>
      </c>
      <c r="M2422" s="12"/>
      <c r="N2422" s="12"/>
      <c r="O2422" s="12">
        <f>(Tabla1[[#This Row],[COSTO FIJO ]]/30)*Tabla1[[#This Row],[TOTAL DIAS PROYECTO]]+(Tabla1[[#This Row],[COSTO TEMPORAL]])</f>
        <v>0</v>
      </c>
      <c r="P2422" s="12"/>
      <c r="Q2422" s="12">
        <f>+(Tabla1[[#This Row],[COSTO COCHE]]/30)*Tabla1[[#This Row],[TOTAL DIAS PROYECTO]]</f>
        <v>0</v>
      </c>
      <c r="R2422" s="12">
        <f>+Tabla1[[#This Row],[COSTO TOTAL ALOJAMIENTO]]+Tabla1[[#This Row],[COSTO TOTAL COCHE]]</f>
        <v>0</v>
      </c>
      <c r="S2422" s="2"/>
      <c r="T2422" s="2" t="s">
        <v>35</v>
      </c>
      <c r="U2422" s="14">
        <v>45550</v>
      </c>
      <c r="V2422" s="14"/>
      <c r="W2422" s="26"/>
      <c r="X2422" s="2"/>
      <c r="Y2422" s="11"/>
      <c r="Z2422" s="64" t="s">
        <v>36</v>
      </c>
      <c r="AA2422" s="13" t="s">
        <v>10349</v>
      </c>
      <c r="AB2422" s="13" t="s">
        <v>10350</v>
      </c>
    </row>
    <row r="2423" spans="1:28" ht="15" customHeight="1">
      <c r="A2423" s="2" t="s">
        <v>9321</v>
      </c>
      <c r="B2423" s="2" t="s">
        <v>28</v>
      </c>
      <c r="C2423" s="11" t="s">
        <v>2816</v>
      </c>
      <c r="D2423" s="2" t="s">
        <v>30</v>
      </c>
      <c r="E2423" s="2" t="s">
        <v>213</v>
      </c>
      <c r="F2423" s="11" t="s">
        <v>871</v>
      </c>
      <c r="G2423" s="11" t="s">
        <v>872</v>
      </c>
      <c r="H2423" s="2" t="s">
        <v>873</v>
      </c>
      <c r="I2423" s="12" t="s">
        <v>52</v>
      </c>
      <c r="J2423" s="41">
        <v>45550</v>
      </c>
      <c r="K2423" s="22">
        <v>45821</v>
      </c>
      <c r="L2423" s="42">
        <f>_xlfn.DAYS(Tabla1[[#This Row],[FECHA FIN ]],Tabla1[[#This Row],[FECHA INICIO]])</f>
        <v>271</v>
      </c>
      <c r="M2423" s="12"/>
      <c r="N2423" s="12"/>
      <c r="O2423" s="28">
        <f>(Tabla1[[#This Row],[COSTO FIJO ]]/30)*Tabla1[[#This Row],[TOTAL DIAS PROYECTO]]+(Tabla1[[#This Row],[COSTO TEMPORAL]])</f>
        <v>0</v>
      </c>
      <c r="P2423" s="12"/>
      <c r="Q2423" s="12">
        <f>+(Tabla1[[#This Row],[COSTO COCHE]]/30)*Tabla1[[#This Row],[TOTAL DIAS PROYECTO]]</f>
        <v>0</v>
      </c>
      <c r="R2423" s="12">
        <f>+Tabla1[[#This Row],[COSTO TOTAL ALOJAMIENTO]]+Tabla1[[#This Row],[COSTO TOTAL COCHE]]</f>
        <v>0</v>
      </c>
      <c r="S2423" s="2"/>
      <c r="T2423" s="2" t="s">
        <v>35</v>
      </c>
      <c r="U2423" s="14"/>
      <c r="V2423" s="43"/>
      <c r="W2423" s="26"/>
      <c r="X2423" s="2"/>
      <c r="Y2423" s="11" t="s">
        <v>874</v>
      </c>
      <c r="Z2423" s="2" t="s">
        <v>36</v>
      </c>
      <c r="AA2423" s="13" t="s">
        <v>10349</v>
      </c>
      <c r="AB2423" s="13" t="s">
        <v>10350</v>
      </c>
    </row>
    <row r="2424" spans="1:28" ht="15" customHeight="1">
      <c r="A2424" s="2" t="s">
        <v>9090</v>
      </c>
      <c r="B2424" s="2" t="s">
        <v>28</v>
      </c>
      <c r="C2424" s="11" t="s">
        <v>1970</v>
      </c>
      <c r="D2424" s="2" t="s">
        <v>99</v>
      </c>
      <c r="E2424" s="2" t="s">
        <v>213</v>
      </c>
      <c r="F2424" s="11" t="s">
        <v>1971</v>
      </c>
      <c r="G2424" s="11" t="s">
        <v>1972</v>
      </c>
      <c r="H2424" s="2" t="s">
        <v>3952</v>
      </c>
      <c r="I2424" s="12" t="s">
        <v>52</v>
      </c>
      <c r="J2424" s="41">
        <f>+Tabla1[[#This Row],[FECHA ENTRADA]]</f>
        <v>45694</v>
      </c>
      <c r="K2424" s="22">
        <v>45821</v>
      </c>
      <c r="L2424" s="42">
        <f>_xlfn.DAYS(Tabla1[[#This Row],[FECHA FIN ]],Tabla1[[#This Row],[FECHA INICIO]])</f>
        <v>127</v>
      </c>
      <c r="M2424" s="12"/>
      <c r="N2424" s="12"/>
      <c r="O2424" s="28">
        <f>(Tabla1[[#This Row],[COSTO FIJO ]]/30)*Tabla1[[#This Row],[TOTAL DIAS PROYECTO]]+(Tabla1[[#This Row],[COSTO TEMPORAL]])</f>
        <v>0</v>
      </c>
      <c r="P2424" s="12"/>
      <c r="Q2424" s="12">
        <f>+(Tabla1[[#This Row],[COSTO COCHE]]/30)*Tabla1[[#This Row],[TOTAL DIAS PROYECTO]]</f>
        <v>0</v>
      </c>
      <c r="R2424" s="12">
        <f>+Tabla1[[#This Row],[COSTO TOTAL ALOJAMIENTO]]+Tabla1[[#This Row],[COSTO TOTAL COCHE]]</f>
        <v>0</v>
      </c>
      <c r="S2424" s="2"/>
      <c r="T2424" s="2" t="s">
        <v>35</v>
      </c>
      <c r="U2424" s="14">
        <v>45694</v>
      </c>
      <c r="V2424" s="43"/>
      <c r="W2424" s="26"/>
      <c r="X2424" s="2">
        <v>29</v>
      </c>
      <c r="Y2424" t="s">
        <v>1976</v>
      </c>
      <c r="Z2424" s="2" t="s">
        <v>36</v>
      </c>
      <c r="AA2424" s="13" t="s">
        <v>10349</v>
      </c>
      <c r="AB2424" s="13" t="s">
        <v>10350</v>
      </c>
    </row>
    <row r="2425" spans="1:28" ht="15" customHeight="1">
      <c r="A2425" s="2" t="s">
        <v>9161</v>
      </c>
      <c r="B2425" s="2" t="s">
        <v>28</v>
      </c>
      <c r="C2425" s="11" t="s">
        <v>2281</v>
      </c>
      <c r="D2425" s="2" t="s">
        <v>30</v>
      </c>
      <c r="E2425" s="2" t="s">
        <v>648</v>
      </c>
      <c r="F2425" s="11" t="s">
        <v>1106</v>
      </c>
      <c r="G2425" s="46"/>
      <c r="H2425" s="2" t="s">
        <v>3953</v>
      </c>
      <c r="I2425" s="12" t="s">
        <v>883</v>
      </c>
      <c r="J2425" s="41">
        <v>45571</v>
      </c>
      <c r="K2425" s="22">
        <v>45821</v>
      </c>
      <c r="L2425" s="42">
        <f>_xlfn.DAYS(Tabla1[[#This Row],[FECHA FIN ]],Tabla1[[#This Row],[FECHA INICIO]])</f>
        <v>250</v>
      </c>
      <c r="M2425" s="12"/>
      <c r="N2425" s="12"/>
      <c r="O2425" s="28">
        <f>(Tabla1[[#This Row],[COSTO FIJO ]]/30)*Tabla1[[#This Row],[TOTAL DIAS PROYECTO]]+(Tabla1[[#This Row],[COSTO TEMPORAL]])</f>
        <v>0</v>
      </c>
      <c r="P2425" s="12"/>
      <c r="Q2425" s="12">
        <f>+(Tabla1[[#This Row],[COSTO COCHE]]/30)*Tabla1[[#This Row],[TOTAL DIAS PROYECTO]]</f>
        <v>0</v>
      </c>
      <c r="R2425" s="12">
        <f>+Tabla1[[#This Row],[COSTO TOTAL ALOJAMIENTO]]+Tabla1[[#This Row],[COSTO TOTAL COCHE]]</f>
        <v>0</v>
      </c>
      <c r="S2425" s="2"/>
      <c r="T2425" s="2" t="s">
        <v>8</v>
      </c>
      <c r="U2425" s="14">
        <v>45571</v>
      </c>
      <c r="V2425" s="43"/>
      <c r="W2425" s="26"/>
      <c r="X2425" s="2"/>
      <c r="Y2425" s="11" t="s">
        <v>3954</v>
      </c>
      <c r="Z2425" s="2" t="s">
        <v>36</v>
      </c>
      <c r="AA2425" s="13" t="s">
        <v>10387</v>
      </c>
      <c r="AB2425" s="13" t="s">
        <v>10388</v>
      </c>
    </row>
    <row r="2426" spans="1:28" ht="15" customHeight="1">
      <c r="A2426" s="2" t="s">
        <v>8987</v>
      </c>
      <c r="B2426" s="2" t="s">
        <v>28</v>
      </c>
      <c r="C2426" s="11" t="s">
        <v>1601</v>
      </c>
      <c r="D2426" s="2" t="s">
        <v>30</v>
      </c>
      <c r="E2426" s="2" t="s">
        <v>213</v>
      </c>
      <c r="F2426" s="11" t="s">
        <v>871</v>
      </c>
      <c r="G2426" s="11" t="s">
        <v>872</v>
      </c>
      <c r="H2426" s="2" t="s">
        <v>215</v>
      </c>
      <c r="I2426" s="2" t="s">
        <v>52</v>
      </c>
      <c r="J2426" s="8">
        <f>+Tabla1[[#This Row],[FECHA ENTRADA]]</f>
        <v>45396</v>
      </c>
      <c r="K2426" s="22">
        <v>45821</v>
      </c>
      <c r="L2426" s="13">
        <f>_xlfn.DAYS(Tabla1[[#This Row],[FECHA FIN ]],Tabla1[[#This Row],[FECHA INICIO]])</f>
        <v>425</v>
      </c>
      <c r="M2426" s="12"/>
      <c r="N2426" s="12"/>
      <c r="O2426" s="12">
        <f>(Tabla1[[#This Row],[COSTO FIJO ]]/30)*Tabla1[[#This Row],[TOTAL DIAS PROYECTO]]+(Tabla1[[#This Row],[COSTO TEMPORAL]])</f>
        <v>0</v>
      </c>
      <c r="P2426" s="12"/>
      <c r="Q2426" s="12">
        <f>+(Tabla1[[#This Row],[COSTO COCHE]]/30)*Tabla1[[#This Row],[TOTAL DIAS PROYECTO]]</f>
        <v>0</v>
      </c>
      <c r="R2426" s="12">
        <f>+Tabla1[[#This Row],[COSTO TOTAL ALOJAMIENTO]]+Tabla1[[#This Row],[COSTO TOTAL COCHE]]</f>
        <v>0</v>
      </c>
      <c r="S2426" s="2"/>
      <c r="T2426" s="2" t="s">
        <v>35</v>
      </c>
      <c r="U2426" s="14">
        <v>45396</v>
      </c>
      <c r="V2426" s="14">
        <v>45402</v>
      </c>
      <c r="W2426" s="15"/>
      <c r="X2426" s="16"/>
      <c r="Y2426" s="18" t="s">
        <v>3955</v>
      </c>
      <c r="Z2426" s="2" t="s">
        <v>36</v>
      </c>
      <c r="AA2426" s="13" t="s">
        <v>10349</v>
      </c>
      <c r="AB2426" s="13" t="s">
        <v>10350</v>
      </c>
    </row>
    <row r="2427" spans="1:28" ht="15" customHeight="1">
      <c r="A2427" s="2" t="s">
        <v>9629</v>
      </c>
      <c r="B2427" s="2" t="s">
        <v>28</v>
      </c>
      <c r="C2427" s="11" t="s">
        <v>3956</v>
      </c>
      <c r="D2427" s="2" t="s">
        <v>30</v>
      </c>
      <c r="E2427" s="2" t="s">
        <v>734</v>
      </c>
      <c r="F2427" s="11" t="s">
        <v>2468</v>
      </c>
      <c r="G2427" s="11"/>
      <c r="H2427" s="2" t="s">
        <v>3957</v>
      </c>
      <c r="I2427" s="12" t="s">
        <v>152</v>
      </c>
      <c r="J2427" s="8">
        <f>+Tabla1[[#This Row],[FECHA ENTRADA]]</f>
        <v>45354</v>
      </c>
      <c r="K2427" s="22">
        <v>45821</v>
      </c>
      <c r="L2427" s="13">
        <f>_xlfn.DAYS(Tabla1[[#This Row],[FECHA FIN ]],Tabla1[[#This Row],[FECHA INICIO]])</f>
        <v>467</v>
      </c>
      <c r="M2427" s="12"/>
      <c r="N2427" s="12"/>
      <c r="O2427" s="12">
        <f>(Tabla1[[#This Row],[COSTO FIJO ]]/30)*Tabla1[[#This Row],[TOTAL DIAS PROYECTO]]+(Tabla1[[#This Row],[COSTO TEMPORAL]])</f>
        <v>0</v>
      </c>
      <c r="P2427" s="12"/>
      <c r="Q2427" s="12">
        <f>+(Tabla1[[#This Row],[COSTO COCHE]]/30)*Tabla1[[#This Row],[TOTAL DIAS PROYECTO]]</f>
        <v>0</v>
      </c>
      <c r="R2427" s="12">
        <f>+Tabla1[[#This Row],[COSTO TOTAL ALOJAMIENTO]]+Tabla1[[#This Row],[COSTO TOTAL COCHE]]</f>
        <v>0</v>
      </c>
      <c r="S2427" s="2"/>
      <c r="T2427" s="2" t="s">
        <v>35</v>
      </c>
      <c r="U2427" s="14">
        <v>45354</v>
      </c>
      <c r="V2427" s="14"/>
      <c r="W2427" s="15"/>
      <c r="X2427" s="16"/>
      <c r="Y2427" s="18" t="s">
        <v>3958</v>
      </c>
      <c r="Z2427" s="2" t="s">
        <v>36</v>
      </c>
      <c r="AA2427" s="13" t="s">
        <v>10396</v>
      </c>
      <c r="AB2427" s="13" t="s">
        <v>10397</v>
      </c>
    </row>
    <row r="2428" spans="1:28">
      <c r="A2428" s="2" t="s">
        <v>9599</v>
      </c>
      <c r="B2428" s="2" t="s">
        <v>28</v>
      </c>
      <c r="C2428" s="11" t="s">
        <v>3821</v>
      </c>
      <c r="D2428" s="2" t="s">
        <v>30</v>
      </c>
      <c r="E2428" s="2" t="s">
        <v>626</v>
      </c>
      <c r="F2428" s="11" t="s">
        <v>627</v>
      </c>
      <c r="G2428" s="11" t="s">
        <v>628</v>
      </c>
      <c r="H2428" s="2" t="s">
        <v>780</v>
      </c>
      <c r="I2428" s="12" t="s">
        <v>570</v>
      </c>
      <c r="J2428" s="41">
        <v>45547</v>
      </c>
      <c r="K2428" s="22">
        <v>45821</v>
      </c>
      <c r="L2428" s="42">
        <f>_xlfn.DAYS(Tabla1[[#This Row],[FECHA FIN ]],Tabla1[[#This Row],[FECHA INICIO]])</f>
        <v>274</v>
      </c>
      <c r="M2428" s="12"/>
      <c r="N2428" s="12"/>
      <c r="O2428" s="28">
        <f>(Tabla1[[#This Row],[COSTO FIJO ]]/30)*Tabla1[[#This Row],[TOTAL DIAS PROYECTO]]+(Tabla1[[#This Row],[COSTO TEMPORAL]])</f>
        <v>0</v>
      </c>
      <c r="P2428" s="12"/>
      <c r="Q2428" s="12">
        <f>+(Tabla1[[#This Row],[COSTO COCHE]]/30)*Tabla1[[#This Row],[TOTAL DIAS PROYECTO]]</f>
        <v>0</v>
      </c>
      <c r="R2428" s="12">
        <f>+Tabla1[[#This Row],[COSTO TOTAL ALOJAMIENTO]]+Tabla1[[#This Row],[COSTO TOTAL COCHE]]</f>
        <v>0</v>
      </c>
      <c r="S2428" s="2"/>
      <c r="T2428" s="2" t="s">
        <v>35</v>
      </c>
      <c r="U2428" s="14">
        <v>45484</v>
      </c>
      <c r="V2428" s="75"/>
      <c r="W2428" s="26"/>
      <c r="X2428" s="2"/>
      <c r="Y2428" s="31" t="s">
        <v>781</v>
      </c>
      <c r="Z2428" s="2" t="s">
        <v>36</v>
      </c>
      <c r="AA2428" s="13" t="s">
        <v>10385</v>
      </c>
      <c r="AB2428" s="13" t="s">
        <v>10386</v>
      </c>
    </row>
    <row r="2429" spans="1:28" ht="15" customHeight="1">
      <c r="A2429" s="2" t="s">
        <v>8642</v>
      </c>
      <c r="B2429" s="2" t="s">
        <v>1457</v>
      </c>
      <c r="C2429" s="11" t="s">
        <v>3959</v>
      </c>
      <c r="D2429" s="2" t="s">
        <v>72</v>
      </c>
      <c r="E2429" s="2" t="s">
        <v>73</v>
      </c>
      <c r="F2429" s="11" t="s">
        <v>74</v>
      </c>
      <c r="G2429" s="11" t="s">
        <v>75</v>
      </c>
      <c r="H2429" s="2" t="s">
        <v>464</v>
      </c>
      <c r="I2429" s="12" t="s">
        <v>332</v>
      </c>
      <c r="J2429" s="8">
        <f>+Tabla1[[#This Row],[FECHA ENTRADA]]</f>
        <v>45416</v>
      </c>
      <c r="K2429" s="22">
        <v>45821</v>
      </c>
      <c r="L2429" s="13">
        <f>_xlfn.DAYS(Tabla1[[#This Row],[FECHA FIN ]],Tabla1[[#This Row],[FECHA INICIO]])</f>
        <v>405</v>
      </c>
      <c r="M2429" s="12"/>
      <c r="N2429" s="12"/>
      <c r="O2429" s="12">
        <f>(Tabla1[[#This Row],[COSTO FIJO ]]/30)*Tabla1[[#This Row],[TOTAL DIAS PROYECTO]]+(Tabla1[[#This Row],[COSTO TEMPORAL]])</f>
        <v>0</v>
      </c>
      <c r="P2429" s="12"/>
      <c r="Q2429" s="12">
        <f>+(Tabla1[[#This Row],[COSTO COCHE]]/30)*Tabla1[[#This Row],[TOTAL DIAS PROYECTO]]</f>
        <v>0</v>
      </c>
      <c r="R2429" s="12">
        <f>+Tabla1[[#This Row],[COSTO TOTAL ALOJAMIENTO]]+Tabla1[[#This Row],[COSTO TOTAL COCHE]]</f>
        <v>0</v>
      </c>
      <c r="S2429" s="2"/>
      <c r="T2429" s="2" t="s">
        <v>35</v>
      </c>
      <c r="U2429" s="14">
        <v>45416</v>
      </c>
      <c r="V2429" s="14"/>
      <c r="W2429" s="2"/>
      <c r="X2429" s="2"/>
      <c r="Y2429" s="11" t="s">
        <v>3960</v>
      </c>
      <c r="Z2429" s="2" t="s">
        <v>36</v>
      </c>
      <c r="AA2429" s="13" t="s">
        <v>10331</v>
      </c>
      <c r="AB2429" s="13" t="s">
        <v>10332</v>
      </c>
    </row>
    <row r="2430" spans="1:28" ht="15" customHeight="1">
      <c r="A2430" s="2" t="s">
        <v>8828</v>
      </c>
      <c r="B2430" s="2" t="s">
        <v>28</v>
      </c>
      <c r="C2430" s="11" t="s">
        <v>923</v>
      </c>
      <c r="D2430" s="2" t="s">
        <v>72</v>
      </c>
      <c r="E2430" s="2" t="s">
        <v>73</v>
      </c>
      <c r="F2430" s="11" t="s">
        <v>74</v>
      </c>
      <c r="G2430" s="11" t="s">
        <v>75</v>
      </c>
      <c r="H2430" s="2" t="s">
        <v>464</v>
      </c>
      <c r="I2430" s="2" t="s">
        <v>332</v>
      </c>
      <c r="J2430" s="8">
        <f>+Tabla1[[#This Row],[FECHA ENTRADA]]</f>
        <v>45403</v>
      </c>
      <c r="K2430" s="22">
        <v>45821</v>
      </c>
      <c r="L2430" s="13">
        <f>_xlfn.DAYS(Tabla1[[#This Row],[FECHA FIN ]],Tabla1[[#This Row],[FECHA INICIO]])</f>
        <v>418</v>
      </c>
      <c r="M2430" s="12"/>
      <c r="N2430" s="12"/>
      <c r="O2430" s="12">
        <f>(Tabla1[[#This Row],[COSTO FIJO ]]/30)*Tabla1[[#This Row],[TOTAL DIAS PROYECTO]]+(Tabla1[[#This Row],[COSTO TEMPORAL]])</f>
        <v>0</v>
      </c>
      <c r="P2430" s="12"/>
      <c r="Q2430" s="12">
        <f>+(Tabla1[[#This Row],[COSTO COCHE]]/30)*Tabla1[[#This Row],[TOTAL DIAS PROYECTO]]</f>
        <v>0</v>
      </c>
      <c r="R2430" s="12">
        <f>+Tabla1[[#This Row],[COSTO TOTAL ALOJAMIENTO]]+Tabla1[[#This Row],[COSTO TOTAL COCHE]]</f>
        <v>0</v>
      </c>
      <c r="S2430" s="2"/>
      <c r="T2430" s="2" t="s">
        <v>35</v>
      </c>
      <c r="U2430" s="14">
        <v>45403</v>
      </c>
      <c r="V2430" s="14"/>
      <c r="W2430" s="2"/>
      <c r="X2430" s="2"/>
      <c r="Y2430" s="18" t="s">
        <v>3961</v>
      </c>
      <c r="Z2430" s="2" t="s">
        <v>36</v>
      </c>
      <c r="AA2430" s="13" t="s">
        <v>10331</v>
      </c>
      <c r="AB2430" s="13" t="s">
        <v>10332</v>
      </c>
    </row>
    <row r="2431" spans="1:28" ht="15" customHeight="1">
      <c r="A2431" s="2" t="s">
        <v>9630</v>
      </c>
      <c r="B2431" s="2" t="s">
        <v>28</v>
      </c>
      <c r="C2431" s="11" t="s">
        <v>3962</v>
      </c>
      <c r="D2431" s="2" t="s">
        <v>30</v>
      </c>
      <c r="E2431" s="2" t="s">
        <v>734</v>
      </c>
      <c r="F2431" s="11" t="s">
        <v>2468</v>
      </c>
      <c r="G2431" s="11"/>
      <c r="H2431" s="2" t="s">
        <v>3963</v>
      </c>
      <c r="I2431" s="12" t="s">
        <v>152</v>
      </c>
      <c r="J2431" s="8">
        <f>+Tabla1[[#This Row],[FECHA ENTRADA]]</f>
        <v>45383</v>
      </c>
      <c r="K2431" s="22">
        <v>45821</v>
      </c>
      <c r="L2431" s="13">
        <f>_xlfn.DAYS(Tabla1[[#This Row],[FECHA FIN ]],Tabla1[[#This Row],[FECHA INICIO]])</f>
        <v>438</v>
      </c>
      <c r="M2431" s="12"/>
      <c r="N2431" s="12"/>
      <c r="O2431" s="12">
        <f>(Tabla1[[#This Row],[COSTO FIJO ]]/30)*Tabla1[[#This Row],[TOTAL DIAS PROYECTO]]+(Tabla1[[#This Row],[COSTO TEMPORAL]])</f>
        <v>0</v>
      </c>
      <c r="P2431" s="12"/>
      <c r="Q2431" s="12">
        <f>+(Tabla1[[#This Row],[COSTO COCHE]]/30)*Tabla1[[#This Row],[TOTAL DIAS PROYECTO]]</f>
        <v>0</v>
      </c>
      <c r="R2431" s="12">
        <f>+Tabla1[[#This Row],[COSTO TOTAL ALOJAMIENTO]]+Tabla1[[#This Row],[COSTO TOTAL COCHE]]</f>
        <v>0</v>
      </c>
      <c r="S2431" s="2"/>
      <c r="T2431" s="2" t="s">
        <v>35</v>
      </c>
      <c r="U2431" s="14">
        <v>45383</v>
      </c>
      <c r="V2431" s="14"/>
      <c r="W2431" s="15"/>
      <c r="X2431" s="16"/>
      <c r="Y2431" s="18" t="s">
        <v>119</v>
      </c>
      <c r="Z2431" s="2" t="s">
        <v>36</v>
      </c>
      <c r="AA2431" s="13" t="s">
        <v>10396</v>
      </c>
      <c r="AB2431" s="13" t="s">
        <v>10397</v>
      </c>
    </row>
    <row r="2432" spans="1:28" ht="15" customHeight="1">
      <c r="A2432" s="2" t="s">
        <v>8642</v>
      </c>
      <c r="B2432" s="2" t="s">
        <v>28</v>
      </c>
      <c r="C2432" s="11" t="s">
        <v>3964</v>
      </c>
      <c r="D2432" s="2" t="s">
        <v>30</v>
      </c>
      <c r="E2432" s="2" t="s">
        <v>213</v>
      </c>
      <c r="F2432" s="11"/>
      <c r="G2432" s="11"/>
      <c r="H2432" s="2">
        <v>2023</v>
      </c>
      <c r="I2432" s="2" t="s">
        <v>918</v>
      </c>
      <c r="J2432" s="8">
        <v>45122</v>
      </c>
      <c r="K2432" s="8">
        <v>45596</v>
      </c>
      <c r="L2432" s="13">
        <f>_xlfn.DAYS(Tabla1[[#This Row],[FECHA FIN ]],Tabla1[[#This Row],[FECHA INICIO]])</f>
        <v>474</v>
      </c>
      <c r="M2432" s="12"/>
      <c r="N2432" s="12"/>
      <c r="O2432" s="12">
        <f>(Tabla1[[#This Row],[COSTO FIJO ]]/30)*Tabla1[[#This Row],[TOTAL DIAS PROYECTO]]+(Tabla1[[#This Row],[COSTO TEMPORAL]])</f>
        <v>0</v>
      </c>
      <c r="P2432" s="12"/>
      <c r="Q2432" s="12">
        <f>+(Tabla1[[#This Row],[COSTO COCHE]]/30)*Tabla1[[#This Row],[TOTAL DIAS PROYECTO]]</f>
        <v>0</v>
      </c>
      <c r="R2432" s="12">
        <f>+Tabla1[[#This Row],[COSTO TOTAL ALOJAMIENTO]]+Tabla1[[#This Row],[COSTO TOTAL COCHE]]</f>
        <v>0</v>
      </c>
      <c r="S2432" s="2"/>
      <c r="T2432" s="2" t="s">
        <v>58</v>
      </c>
      <c r="U2432" s="14"/>
      <c r="V2432" s="14"/>
      <c r="W2432" s="2"/>
      <c r="X2432" s="2"/>
      <c r="Y2432" s="11" t="s">
        <v>3965</v>
      </c>
      <c r="Z2432" s="2" t="s">
        <v>36</v>
      </c>
      <c r="AA2432" s="13" t="s">
        <v>10349</v>
      </c>
      <c r="AB2432" s="13" t="s">
        <v>10350</v>
      </c>
    </row>
    <row r="2433" spans="1:28" ht="15" customHeight="1">
      <c r="A2433" s="2" t="s">
        <v>8875</v>
      </c>
      <c r="B2433" s="2" t="s">
        <v>28</v>
      </c>
      <c r="C2433" s="11" t="s">
        <v>1125</v>
      </c>
      <c r="D2433" s="2" t="s">
        <v>30</v>
      </c>
      <c r="E2433" s="2" t="s">
        <v>225</v>
      </c>
      <c r="F2433" s="11" t="s">
        <v>3112</v>
      </c>
      <c r="G2433" s="46" t="s">
        <v>3113</v>
      </c>
      <c r="H2433" s="2" t="s">
        <v>3114</v>
      </c>
      <c r="I2433" s="12" t="s">
        <v>228</v>
      </c>
      <c r="J2433" s="41">
        <f>+Tabla1[[#This Row],[FECHA ENTRADA]]</f>
        <v>45671</v>
      </c>
      <c r="K2433" s="41">
        <f ca="1">TODAY()</f>
        <v>46260</v>
      </c>
      <c r="L2433" s="42">
        <f ca="1">_xlfn.DAYS(Tabla1[[#This Row],[FECHA FIN ]],Tabla1[[#This Row],[FECHA INICIO]])</f>
        <v>589</v>
      </c>
      <c r="M2433" s="12"/>
      <c r="N2433" s="12">
        <f>27.8+27.8</f>
        <v>55.6</v>
      </c>
      <c r="O2433" s="28">
        <f ca="1">(Tabla1[[#This Row],[COSTO FIJO ]]/30)*Tabla1[[#This Row],[TOTAL DIAS PROYECTO]]+(Tabla1[[#This Row],[COSTO TEMPORAL]])</f>
        <v>1091.6133333333332</v>
      </c>
      <c r="P2433" s="12"/>
      <c r="Q2433" s="12">
        <f ca="1">+(Tabla1[[#This Row],[COSTO COCHE]]/30)*Tabla1[[#This Row],[TOTAL DIAS PROYECTO]]</f>
        <v>0</v>
      </c>
      <c r="R2433" s="12">
        <f ca="1">+Tabla1[[#This Row],[COSTO TOTAL ALOJAMIENTO]]+Tabla1[[#This Row],[COSTO TOTAL COCHE]]</f>
        <v>1091.6133333333332</v>
      </c>
      <c r="S2433" s="2"/>
      <c r="T2433" s="2" t="s">
        <v>44</v>
      </c>
      <c r="U2433" s="14">
        <v>45671</v>
      </c>
      <c r="V2433" s="43">
        <v>45673</v>
      </c>
      <c r="W2433" s="26"/>
      <c r="X2433" s="2"/>
      <c r="Y2433" s="11"/>
      <c r="Z2433" s="2" t="s">
        <v>36</v>
      </c>
      <c r="AA2433" s="13" t="s">
        <v>10353</v>
      </c>
      <c r="AB2433" s="13" t="s">
        <v>10354</v>
      </c>
    </row>
    <row r="2434" spans="1:28" ht="15" customHeight="1">
      <c r="A2434" s="2" t="s">
        <v>9631</v>
      </c>
      <c r="B2434" s="2" t="s">
        <v>1457</v>
      </c>
      <c r="C2434" s="11" t="s">
        <v>3966</v>
      </c>
      <c r="D2434" s="2" t="s">
        <v>72</v>
      </c>
      <c r="E2434" s="2" t="s">
        <v>73</v>
      </c>
      <c r="F2434" s="11" t="s">
        <v>74</v>
      </c>
      <c r="G2434" s="11" t="s">
        <v>75</v>
      </c>
      <c r="H2434" s="2">
        <v>2023</v>
      </c>
      <c r="I2434" s="2" t="s">
        <v>317</v>
      </c>
      <c r="J2434" s="8">
        <v>45257</v>
      </c>
      <c r="K2434" s="22">
        <v>45821</v>
      </c>
      <c r="L2434" s="13">
        <f>_xlfn.DAYS(Tabla1[[#This Row],[FECHA FIN ]],Tabla1[[#This Row],[FECHA INICIO]])</f>
        <v>564</v>
      </c>
      <c r="M2434" s="12"/>
      <c r="N2434" s="12"/>
      <c r="O2434" s="12">
        <f>(Tabla1[[#This Row],[COSTO FIJO ]]/30)*Tabla1[[#This Row],[TOTAL DIAS PROYECTO]]+(Tabla1[[#This Row],[COSTO TEMPORAL]])</f>
        <v>0</v>
      </c>
      <c r="P2434" s="12">
        <f>600/2</f>
        <v>300</v>
      </c>
      <c r="Q2434" s="12">
        <f>+(Tabla1[[#This Row],[COSTO COCHE]]/30)*Tabla1[[#This Row],[TOTAL DIAS PROYECTO]]</f>
        <v>5640</v>
      </c>
      <c r="R2434" s="12">
        <f>+Tabla1[[#This Row],[COSTO TOTAL ALOJAMIENTO]]+Tabla1[[#This Row],[COSTO TOTAL COCHE]]</f>
        <v>5640</v>
      </c>
      <c r="S2434" s="2"/>
      <c r="T2434" s="2" t="s">
        <v>35</v>
      </c>
      <c r="U2434" s="14"/>
      <c r="V2434" s="14"/>
      <c r="W2434" s="15"/>
      <c r="X2434" s="16"/>
      <c r="Y2434" s="11" t="s">
        <v>318</v>
      </c>
      <c r="Z2434" s="2" t="s">
        <v>36</v>
      </c>
      <c r="AA2434" s="13" t="s">
        <v>10331</v>
      </c>
      <c r="AB2434" s="13" t="s">
        <v>10332</v>
      </c>
    </row>
    <row r="2435" spans="1:28" ht="15" customHeight="1">
      <c r="A2435" s="2" t="s">
        <v>9495</v>
      </c>
      <c r="B2435" s="2" t="s">
        <v>28</v>
      </c>
      <c r="C2435" s="11" t="s">
        <v>3382</v>
      </c>
      <c r="D2435" s="2" t="s">
        <v>30</v>
      </c>
      <c r="E2435" s="2" t="s">
        <v>734</v>
      </c>
      <c r="F2435" s="11" t="s">
        <v>2468</v>
      </c>
      <c r="G2435" s="11"/>
      <c r="H2435" s="2" t="s">
        <v>3963</v>
      </c>
      <c r="I2435" s="12" t="s">
        <v>152</v>
      </c>
      <c r="J2435" s="8">
        <f>+Tabla1[[#This Row],[FECHA ENTRADA]]</f>
        <v>45389</v>
      </c>
      <c r="K2435" s="22">
        <v>45821</v>
      </c>
      <c r="L2435" s="13">
        <f>_xlfn.DAYS(Tabla1[[#This Row],[FECHA FIN ]],Tabla1[[#This Row],[FECHA INICIO]])</f>
        <v>432</v>
      </c>
      <c r="M2435" s="12"/>
      <c r="N2435" s="12"/>
      <c r="O2435" s="12">
        <f>(Tabla1[[#This Row],[COSTO FIJO ]]/30)*Tabla1[[#This Row],[TOTAL DIAS PROYECTO]]+(Tabla1[[#This Row],[COSTO TEMPORAL]])</f>
        <v>0</v>
      </c>
      <c r="P2435" s="12"/>
      <c r="Q2435" s="12">
        <f>+(Tabla1[[#This Row],[COSTO COCHE]]/30)*Tabla1[[#This Row],[TOTAL DIAS PROYECTO]]</f>
        <v>0</v>
      </c>
      <c r="R2435" s="12">
        <f>+Tabla1[[#This Row],[COSTO TOTAL ALOJAMIENTO]]+Tabla1[[#This Row],[COSTO TOTAL COCHE]]</f>
        <v>0</v>
      </c>
      <c r="S2435" s="2"/>
      <c r="T2435" s="2" t="s">
        <v>35</v>
      </c>
      <c r="U2435" s="14">
        <v>45389</v>
      </c>
      <c r="V2435" s="14"/>
      <c r="W2435" s="15"/>
      <c r="X2435" s="16"/>
      <c r="Y2435" s="11" t="s">
        <v>2470</v>
      </c>
      <c r="Z2435" s="2" t="s">
        <v>36</v>
      </c>
      <c r="AA2435" s="13" t="s">
        <v>10396</v>
      </c>
      <c r="AB2435" s="13" t="s">
        <v>10397</v>
      </c>
    </row>
    <row r="2436" spans="1:28" ht="15" customHeight="1">
      <c r="A2436" s="2" t="s">
        <v>9137</v>
      </c>
      <c r="B2436" s="2" t="s">
        <v>368</v>
      </c>
      <c r="C2436" s="11" t="s">
        <v>2157</v>
      </c>
      <c r="D2436" s="2" t="s">
        <v>30</v>
      </c>
      <c r="E2436" s="2" t="s">
        <v>109</v>
      </c>
      <c r="F2436" s="11" t="s">
        <v>1793</v>
      </c>
      <c r="G2436" s="21">
        <v>973266788</v>
      </c>
      <c r="H2436" s="2" t="s">
        <v>2095</v>
      </c>
      <c r="I2436" s="12" t="s">
        <v>1830</v>
      </c>
      <c r="J2436" s="41">
        <f>+Tabla1[[#This Row],[FECHA ENTRADA]]</f>
        <v>45774</v>
      </c>
      <c r="K2436" s="22">
        <v>45798</v>
      </c>
      <c r="L2436" s="23">
        <f>_xlfn.DAYS(Tabla1[[#This Row],[FECHA FIN ]],Tabla1[[#This Row],[FECHA INICIO]])</f>
        <v>24</v>
      </c>
      <c r="M2436" s="12"/>
      <c r="N2436" s="12"/>
      <c r="O2436" s="24">
        <f>(Tabla1[[#This Row],[COSTO FIJO ]]/30)*Tabla1[[#This Row],[TOTAL DIAS PROYECTO]]+(Tabla1[[#This Row],[COSTO TEMPORAL]])</f>
        <v>0</v>
      </c>
      <c r="P2436" s="12"/>
      <c r="Q2436" s="12">
        <f>+(Tabla1[[#This Row],[COSTO COCHE]]/30)*Tabla1[[#This Row],[TOTAL DIAS PROYECTO]]</f>
        <v>0</v>
      </c>
      <c r="R2436" s="12">
        <f>+Tabla1[[#This Row],[COSTO TOTAL ALOJAMIENTO]]+Tabla1[[#This Row],[COSTO TOTAL COCHE]]</f>
        <v>0</v>
      </c>
      <c r="S2436" s="2"/>
      <c r="T2436" s="2" t="s">
        <v>44</v>
      </c>
      <c r="U2436" s="14">
        <v>45774</v>
      </c>
      <c r="V2436" s="25">
        <v>45799</v>
      </c>
      <c r="W2436" s="26"/>
      <c r="X2436" s="2"/>
      <c r="Y2436" s="11"/>
      <c r="Z2436" s="2" t="s">
        <v>36</v>
      </c>
      <c r="AA2436" s="13">
        <v>0.62217999999999996</v>
      </c>
      <c r="AB2436" s="13" t="s">
        <v>10339</v>
      </c>
    </row>
    <row r="2437" spans="1:28">
      <c r="A2437" s="2" t="s">
        <v>9616</v>
      </c>
      <c r="B2437" s="2" t="s">
        <v>28</v>
      </c>
      <c r="C2437" s="11" t="s">
        <v>3884</v>
      </c>
      <c r="D2437" s="2" t="s">
        <v>30</v>
      </c>
      <c r="E2437" s="2" t="s">
        <v>734</v>
      </c>
      <c r="F2437" s="11" t="s">
        <v>2468</v>
      </c>
      <c r="G2437" s="11"/>
      <c r="H2437" s="2" t="s">
        <v>2413</v>
      </c>
      <c r="I2437" s="12" t="s">
        <v>152</v>
      </c>
      <c r="J2437" s="8">
        <f>+Tabla1[[#This Row],[FECHA ENTRADA]]</f>
        <v>45410</v>
      </c>
      <c r="K2437" s="22">
        <v>45821</v>
      </c>
      <c r="L2437" s="13">
        <f>_xlfn.DAYS(Tabla1[[#This Row],[FECHA FIN ]],Tabla1[[#This Row],[FECHA INICIO]])</f>
        <v>411</v>
      </c>
      <c r="M2437" s="12"/>
      <c r="N2437" s="12"/>
      <c r="O2437" s="12">
        <f>(Tabla1[[#This Row],[COSTO FIJO ]]/30)*Tabla1[[#This Row],[TOTAL DIAS PROYECTO]]+(Tabla1[[#This Row],[COSTO TEMPORAL]])</f>
        <v>0</v>
      </c>
      <c r="P2437" s="12"/>
      <c r="Q2437" s="12">
        <f>+(Tabla1[[#This Row],[COSTO COCHE]]/30)*Tabla1[[#This Row],[TOTAL DIAS PROYECTO]]</f>
        <v>0</v>
      </c>
      <c r="R2437" s="12">
        <f>+Tabla1[[#This Row],[COSTO TOTAL ALOJAMIENTO]]+Tabla1[[#This Row],[COSTO TOTAL COCHE]]</f>
        <v>0</v>
      </c>
      <c r="S2437" s="2"/>
      <c r="T2437" s="2" t="s">
        <v>35</v>
      </c>
      <c r="U2437" s="14">
        <v>45410</v>
      </c>
      <c r="V2437" s="14"/>
      <c r="W2437" s="2"/>
      <c r="X2437" s="2"/>
      <c r="Y2437" s="18" t="s">
        <v>2470</v>
      </c>
      <c r="Z2437" s="2" t="s">
        <v>36</v>
      </c>
      <c r="AA2437" s="13" t="s">
        <v>10396</v>
      </c>
      <c r="AB2437" s="13" t="s">
        <v>10397</v>
      </c>
    </row>
    <row r="2438" spans="1:28" ht="15" customHeight="1">
      <c r="A2438" s="2" t="s">
        <v>9562</v>
      </c>
      <c r="B2438" s="2" t="s">
        <v>368</v>
      </c>
      <c r="C2438" s="11" t="s">
        <v>3652</v>
      </c>
      <c r="D2438" s="2" t="s">
        <v>30</v>
      </c>
      <c r="E2438" s="2" t="s">
        <v>415</v>
      </c>
      <c r="F2438" s="11" t="s">
        <v>2173</v>
      </c>
      <c r="G2438" s="46" t="s">
        <v>2174</v>
      </c>
      <c r="H2438" s="2" t="s">
        <v>2199</v>
      </c>
      <c r="I2438" s="12" t="s">
        <v>2200</v>
      </c>
      <c r="J2438" s="41">
        <f>+Tabla1[[#This Row],[FECHA ENTRADA]]</f>
        <v>45783</v>
      </c>
      <c r="K2438" s="22">
        <v>45821</v>
      </c>
      <c r="L2438" s="42">
        <f>_xlfn.DAYS(Tabla1[[#This Row],[FECHA FIN ]],Tabla1[[#This Row],[FECHA INICIO]])</f>
        <v>38</v>
      </c>
      <c r="M2438" s="12"/>
      <c r="N2438" s="12"/>
      <c r="O2438" s="28">
        <f>(Tabla1[[#This Row],[COSTO FIJO ]]/30)*Tabla1[[#This Row],[TOTAL DIAS PROYECTO]]+(Tabla1[[#This Row],[COSTO TEMPORAL]])</f>
        <v>0</v>
      </c>
      <c r="P2438" s="12">
        <f>666.59/4</f>
        <v>166.64750000000001</v>
      </c>
      <c r="Q2438" s="12">
        <f>+(Tabla1[[#This Row],[COSTO COCHE]]/30)*Tabla1[[#This Row],[TOTAL DIAS PROYECTO]]</f>
        <v>211.08683333333335</v>
      </c>
      <c r="R2438" s="12">
        <f>+Tabla1[[#This Row],[COSTO TOTAL ALOJAMIENTO]]+Tabla1[[#This Row],[COSTO TOTAL COCHE]]</f>
        <v>211.08683333333335</v>
      </c>
      <c r="S2438" s="2"/>
      <c r="T2438" s="2" t="s">
        <v>35</v>
      </c>
      <c r="U2438" s="14">
        <v>45783</v>
      </c>
      <c r="V2438" s="43">
        <v>45817</v>
      </c>
      <c r="W2438" s="2"/>
      <c r="X2438" s="2"/>
      <c r="Y2438" t="s">
        <v>2582</v>
      </c>
      <c r="Z2438" s="2" t="s">
        <v>36</v>
      </c>
      <c r="AA2438" s="13">
        <v>-0.37739</v>
      </c>
      <c r="AB2438" s="13" t="s">
        <v>10372</v>
      </c>
    </row>
    <row r="2439" spans="1:28" ht="15" customHeight="1">
      <c r="A2439" s="2" t="s">
        <v>9268</v>
      </c>
      <c r="B2439" s="2" t="s">
        <v>28</v>
      </c>
      <c r="C2439" s="11" t="s">
        <v>2657</v>
      </c>
      <c r="D2439" s="2" t="s">
        <v>30</v>
      </c>
      <c r="E2439" s="2" t="s">
        <v>213</v>
      </c>
      <c r="F2439" s="11" t="s">
        <v>871</v>
      </c>
      <c r="G2439" s="11" t="s">
        <v>872</v>
      </c>
      <c r="H2439" s="2" t="s">
        <v>215</v>
      </c>
      <c r="I2439" s="2" t="s">
        <v>52</v>
      </c>
      <c r="J2439" s="8">
        <f>+Tabla1[[#This Row],[FECHA ENTRADA]]</f>
        <v>45402</v>
      </c>
      <c r="K2439" s="22">
        <v>45821</v>
      </c>
      <c r="L2439" s="13">
        <f>_xlfn.DAYS(Tabla1[[#This Row],[FECHA FIN ]],Tabla1[[#This Row],[FECHA INICIO]])</f>
        <v>419</v>
      </c>
      <c r="M2439" s="12"/>
      <c r="N2439" s="12"/>
      <c r="O2439" s="12">
        <f>(Tabla1[[#This Row],[COSTO FIJO ]]/30)*Tabla1[[#This Row],[TOTAL DIAS PROYECTO]]+(Tabla1[[#This Row],[COSTO TEMPORAL]])</f>
        <v>0</v>
      </c>
      <c r="P2439" s="12"/>
      <c r="Q2439" s="12">
        <f>+(Tabla1[[#This Row],[COSTO COCHE]]/30)*Tabla1[[#This Row],[TOTAL DIAS PROYECTO]]</f>
        <v>0</v>
      </c>
      <c r="R2439" s="12">
        <f>+Tabla1[[#This Row],[COSTO TOTAL ALOJAMIENTO]]+Tabla1[[#This Row],[COSTO TOTAL COCHE]]</f>
        <v>0</v>
      </c>
      <c r="S2439" s="2"/>
      <c r="T2439" s="2" t="s">
        <v>35</v>
      </c>
      <c r="U2439" s="14">
        <v>45402</v>
      </c>
      <c r="V2439" s="14"/>
      <c r="W2439" s="2"/>
      <c r="X2439" s="2"/>
      <c r="Y2439" s="18" t="s">
        <v>3967</v>
      </c>
      <c r="Z2439" s="2" t="s">
        <v>36</v>
      </c>
      <c r="AA2439" s="13" t="s">
        <v>10349</v>
      </c>
      <c r="AB2439" s="13" t="s">
        <v>10350</v>
      </c>
    </row>
    <row r="2440" spans="1:28" ht="15" customHeight="1">
      <c r="A2440" s="2" t="s">
        <v>8846</v>
      </c>
      <c r="B2440" s="2" t="s">
        <v>28</v>
      </c>
      <c r="C2440" s="11" t="s">
        <v>1000</v>
      </c>
      <c r="D2440" s="2" t="s">
        <v>30</v>
      </c>
      <c r="E2440" s="2" t="s">
        <v>225</v>
      </c>
      <c r="F2440" s="11" t="s">
        <v>3968</v>
      </c>
      <c r="G2440" s="46" t="s">
        <v>3969</v>
      </c>
      <c r="H2440" s="2" t="s">
        <v>3970</v>
      </c>
      <c r="I2440" s="12" t="s">
        <v>228</v>
      </c>
      <c r="J2440" s="41">
        <f>+Tabla1[[#This Row],[FECHA ENTRADA]]</f>
        <v>45675</v>
      </c>
      <c r="K2440" s="41">
        <v>45688</v>
      </c>
      <c r="L2440" s="42">
        <f>_xlfn.DAYS(Tabla1[[#This Row],[FECHA FIN ]],Tabla1[[#This Row],[FECHA INICIO]])</f>
        <v>13</v>
      </c>
      <c r="M2440" s="12"/>
      <c r="N2440" s="12"/>
      <c r="O2440" s="28">
        <f>(Tabla1[[#This Row],[COSTO FIJO ]]/30)*Tabla1[[#This Row],[TOTAL DIAS PROYECTO]]+(Tabla1[[#This Row],[COSTO TEMPORAL]])</f>
        <v>0</v>
      </c>
      <c r="P2440" s="12"/>
      <c r="Q2440" s="12">
        <f>+(Tabla1[[#This Row],[COSTO COCHE]]/30)*Tabla1[[#This Row],[TOTAL DIAS PROYECTO]]</f>
        <v>0</v>
      </c>
      <c r="R2440" s="12">
        <f>+Tabla1[[#This Row],[COSTO TOTAL ALOJAMIENTO]]+Tabla1[[#This Row],[COSTO TOTAL COCHE]]</f>
        <v>0</v>
      </c>
      <c r="S2440" s="2"/>
      <c r="T2440" s="2" t="s">
        <v>35</v>
      </c>
      <c r="U2440" s="14">
        <v>45675</v>
      </c>
      <c r="V2440" s="43"/>
      <c r="W2440" s="26"/>
      <c r="X2440" s="2"/>
      <c r="Y2440" s="11" t="s">
        <v>3971</v>
      </c>
      <c r="Z2440" s="2" t="s">
        <v>36</v>
      </c>
      <c r="AA2440" s="13" t="s">
        <v>10353</v>
      </c>
      <c r="AB2440" s="13" t="s">
        <v>10354</v>
      </c>
    </row>
    <row r="2441" spans="1:28" ht="15" customHeight="1">
      <c r="A2441" s="2" t="s">
        <v>9169</v>
      </c>
      <c r="B2441" s="2" t="s">
        <v>368</v>
      </c>
      <c r="C2441" s="11" t="s">
        <v>2303</v>
      </c>
      <c r="D2441" s="2" t="s">
        <v>30</v>
      </c>
      <c r="E2441" s="2" t="s">
        <v>826</v>
      </c>
      <c r="F2441" s="11" t="s">
        <v>827</v>
      </c>
      <c r="G2441" s="11" t="s">
        <v>828</v>
      </c>
      <c r="H2441" s="2" t="s">
        <v>3972</v>
      </c>
      <c r="I2441" s="12" t="s">
        <v>152</v>
      </c>
      <c r="J2441" s="8">
        <f>+Tabla1[[#This Row],[FECHA ENTRADA]]</f>
        <v>45533</v>
      </c>
      <c r="K2441" s="22">
        <v>45821</v>
      </c>
      <c r="L2441" s="13">
        <f>_xlfn.DAYS(Tabla1[[#This Row],[FECHA FIN ]],Tabla1[[#This Row],[FECHA INICIO]])</f>
        <v>288</v>
      </c>
      <c r="M2441" s="12"/>
      <c r="N2441" s="12"/>
      <c r="O2441" s="12">
        <f>(Tabla1[[#This Row],[COSTO FIJO ]]/30)*Tabla1[[#This Row],[TOTAL DIAS PROYECTO]]+(Tabla1[[#This Row],[COSTO TEMPORAL]])</f>
        <v>0</v>
      </c>
      <c r="P2441" s="12">
        <f>(601.49*50%)/5</f>
        <v>60.149000000000001</v>
      </c>
      <c r="Q2441" s="12">
        <f>+(Tabla1[[#This Row],[COSTO COCHE]]/30)*Tabla1[[#This Row],[TOTAL DIAS PROYECTO]]</f>
        <v>577.43040000000008</v>
      </c>
      <c r="R2441" s="12">
        <f>+Tabla1[[#This Row],[COSTO TOTAL ALOJAMIENTO]]+Tabla1[[#This Row],[COSTO TOTAL COCHE]]</f>
        <v>577.43040000000008</v>
      </c>
      <c r="S2441" s="2"/>
      <c r="T2441" s="2" t="s">
        <v>35</v>
      </c>
      <c r="U2441" s="14">
        <v>45533</v>
      </c>
      <c r="V2441" s="14">
        <v>45565</v>
      </c>
      <c r="W2441" s="26"/>
      <c r="X2441" s="2"/>
      <c r="Y2441" s="11" t="s">
        <v>3973</v>
      </c>
      <c r="Z2441" s="2" t="s">
        <v>36</v>
      </c>
      <c r="AA2441" s="13" t="s">
        <v>10399</v>
      </c>
      <c r="AB2441" s="13" t="s">
        <v>10400</v>
      </c>
    </row>
    <row r="2442" spans="1:28" ht="15" customHeight="1">
      <c r="A2442" s="2" t="s">
        <v>8714</v>
      </c>
      <c r="B2442" s="2" t="s">
        <v>28</v>
      </c>
      <c r="C2442" s="11" t="s">
        <v>414</v>
      </c>
      <c r="D2442" s="2" t="s">
        <v>30</v>
      </c>
      <c r="E2442" s="2" t="s">
        <v>648</v>
      </c>
      <c r="F2442" s="11" t="s">
        <v>888</v>
      </c>
      <c r="G2442" s="46">
        <v>957852665</v>
      </c>
      <c r="H2442" s="2" t="s">
        <v>889</v>
      </c>
      <c r="I2442" s="12" t="s">
        <v>883</v>
      </c>
      <c r="J2442" s="41">
        <f>+Tabla1[[#This Row],[FECHA ENTRADA]]</f>
        <v>45559</v>
      </c>
      <c r="K2442" s="22">
        <v>45821</v>
      </c>
      <c r="L2442" s="42">
        <f>_xlfn.DAYS(Tabla1[[#This Row],[FECHA FIN ]],Tabla1[[#This Row],[FECHA INICIO]])</f>
        <v>262</v>
      </c>
      <c r="M2442" s="12"/>
      <c r="N2442" s="12"/>
      <c r="O2442" s="28">
        <f>(Tabla1[[#This Row],[COSTO FIJO ]]/30)*Tabla1[[#This Row],[TOTAL DIAS PROYECTO]]+(Tabla1[[#This Row],[COSTO TEMPORAL]])</f>
        <v>0</v>
      </c>
      <c r="P2442" s="12"/>
      <c r="Q2442" s="12">
        <f>+(Tabla1[[#This Row],[COSTO COCHE]]/30)*Tabla1[[#This Row],[TOTAL DIAS PROYECTO]]</f>
        <v>0</v>
      </c>
      <c r="R2442" s="12">
        <f>+Tabla1[[#This Row],[COSTO TOTAL ALOJAMIENTO]]+Tabla1[[#This Row],[COSTO TOTAL COCHE]]</f>
        <v>0</v>
      </c>
      <c r="S2442" s="2"/>
      <c r="T2442" s="2" t="s">
        <v>35</v>
      </c>
      <c r="U2442" s="14">
        <v>45559</v>
      </c>
      <c r="V2442" s="43"/>
      <c r="W2442" s="26"/>
      <c r="X2442" s="2"/>
      <c r="Y2442" s="11" t="s">
        <v>3974</v>
      </c>
      <c r="Z2442" s="2" t="s">
        <v>36</v>
      </c>
      <c r="AA2442" s="13" t="s">
        <v>10387</v>
      </c>
      <c r="AB2442" s="13" t="s">
        <v>10388</v>
      </c>
    </row>
    <row r="2443" spans="1:28" ht="15" customHeight="1">
      <c r="A2443" s="2" t="s">
        <v>9461</v>
      </c>
      <c r="B2443" s="2" t="s">
        <v>28</v>
      </c>
      <c r="C2443" s="11" t="s">
        <v>3262</v>
      </c>
      <c r="D2443" s="2" t="s">
        <v>30</v>
      </c>
      <c r="E2443" s="2" t="s">
        <v>225</v>
      </c>
      <c r="F2443" s="11" t="s">
        <v>3968</v>
      </c>
      <c r="G2443" s="46" t="s">
        <v>3969</v>
      </c>
      <c r="H2443" s="2" t="s">
        <v>3970</v>
      </c>
      <c r="I2443" s="12" t="s">
        <v>228</v>
      </c>
      <c r="J2443" s="41">
        <f>+Tabla1[[#This Row],[FECHA ENTRADA]]</f>
        <v>45675</v>
      </c>
      <c r="K2443" s="22">
        <v>45821</v>
      </c>
      <c r="L2443" s="42">
        <f>_xlfn.DAYS(Tabla1[[#This Row],[FECHA FIN ]],Tabla1[[#This Row],[FECHA INICIO]])</f>
        <v>146</v>
      </c>
      <c r="M2443" s="12"/>
      <c r="N2443" s="12"/>
      <c r="O2443" s="28">
        <f>(Tabla1[[#This Row],[COSTO FIJO ]]/30)*Tabla1[[#This Row],[TOTAL DIAS PROYECTO]]+(Tabla1[[#This Row],[COSTO TEMPORAL]])</f>
        <v>0</v>
      </c>
      <c r="P2443" s="12"/>
      <c r="Q2443" s="12">
        <f>+(Tabla1[[#This Row],[COSTO COCHE]]/30)*Tabla1[[#This Row],[TOTAL DIAS PROYECTO]]</f>
        <v>0</v>
      </c>
      <c r="R2443" s="12">
        <f>+Tabla1[[#This Row],[COSTO TOTAL ALOJAMIENTO]]+Tabla1[[#This Row],[COSTO TOTAL COCHE]]</f>
        <v>0</v>
      </c>
      <c r="S2443" s="2"/>
      <c r="T2443" s="2" t="s">
        <v>35</v>
      </c>
      <c r="U2443" s="14">
        <v>45675</v>
      </c>
      <c r="V2443" s="43"/>
      <c r="W2443" s="26"/>
      <c r="X2443" s="2"/>
      <c r="Y2443" s="11" t="s">
        <v>3971</v>
      </c>
      <c r="Z2443" s="2" t="s">
        <v>36</v>
      </c>
      <c r="AA2443" s="13" t="s">
        <v>10353</v>
      </c>
      <c r="AB2443" s="13" t="s">
        <v>10354</v>
      </c>
    </row>
    <row r="2444" spans="1:28" ht="15" customHeight="1">
      <c r="A2444" s="2" t="s">
        <v>9396</v>
      </c>
      <c r="B2444" s="2" t="s">
        <v>28</v>
      </c>
      <c r="C2444" s="11" t="s">
        <v>3033</v>
      </c>
      <c r="D2444" s="2" t="s">
        <v>30</v>
      </c>
      <c r="E2444" s="2" t="s">
        <v>213</v>
      </c>
      <c r="F2444" s="11" t="s">
        <v>871</v>
      </c>
      <c r="G2444" s="11" t="s">
        <v>872</v>
      </c>
      <c r="H2444" s="2" t="s">
        <v>215</v>
      </c>
      <c r="I2444" s="2" t="s">
        <v>52</v>
      </c>
      <c r="J2444" s="8">
        <f>+Tabla1[[#This Row],[FECHA ENTRADA]]</f>
        <v>45396</v>
      </c>
      <c r="K2444" s="22">
        <v>45821</v>
      </c>
      <c r="L2444" s="13">
        <f>_xlfn.DAYS(Tabla1[[#This Row],[FECHA FIN ]],Tabla1[[#This Row],[FECHA INICIO]])</f>
        <v>425</v>
      </c>
      <c r="M2444" s="12"/>
      <c r="N2444" s="12"/>
      <c r="O2444" s="12">
        <f>(Tabla1[[#This Row],[COSTO FIJO ]]/30)*Tabla1[[#This Row],[TOTAL DIAS PROYECTO]]+(Tabla1[[#This Row],[COSTO TEMPORAL]])</f>
        <v>0</v>
      </c>
      <c r="P2444" s="12"/>
      <c r="Q2444" s="12">
        <f>+(Tabla1[[#This Row],[COSTO COCHE]]/30)*Tabla1[[#This Row],[TOTAL DIAS PROYECTO]]</f>
        <v>0</v>
      </c>
      <c r="R2444" s="12">
        <f>+Tabla1[[#This Row],[COSTO TOTAL ALOJAMIENTO]]+Tabla1[[#This Row],[COSTO TOTAL COCHE]]</f>
        <v>0</v>
      </c>
      <c r="S2444" s="2"/>
      <c r="T2444" s="2" t="s">
        <v>35</v>
      </c>
      <c r="U2444" s="14">
        <v>45396</v>
      </c>
      <c r="V2444" s="14">
        <v>45402</v>
      </c>
      <c r="W2444" s="15"/>
      <c r="X2444" s="16"/>
      <c r="Y2444" s="18" t="s">
        <v>3945</v>
      </c>
      <c r="Z2444" s="2" t="s">
        <v>36</v>
      </c>
      <c r="AA2444" s="13" t="s">
        <v>10349</v>
      </c>
      <c r="AB2444" s="13" t="s">
        <v>10350</v>
      </c>
    </row>
    <row r="2445" spans="1:28" ht="15" customHeight="1">
      <c r="A2445" s="2" t="s">
        <v>8642</v>
      </c>
      <c r="B2445" s="2" t="s">
        <v>28</v>
      </c>
      <c r="C2445" s="11" t="s">
        <v>2950</v>
      </c>
      <c r="D2445" s="2" t="s">
        <v>30</v>
      </c>
      <c r="E2445" s="2" t="s">
        <v>3975</v>
      </c>
      <c r="F2445" s="11" t="s">
        <v>3976</v>
      </c>
      <c r="G2445" s="11" t="s">
        <v>3977</v>
      </c>
      <c r="H2445" s="2" t="s">
        <v>3978</v>
      </c>
      <c r="I2445" s="12" t="s">
        <v>883</v>
      </c>
      <c r="J2445" s="8">
        <f>+Tabla1[[#This Row],[FECHA ENTRADA]]</f>
        <v>45447</v>
      </c>
      <c r="K2445" s="22">
        <v>45821</v>
      </c>
      <c r="L2445" s="13">
        <f>_xlfn.DAYS(Tabla1[[#This Row],[FECHA FIN ]],Tabla1[[#This Row],[FECHA INICIO]])</f>
        <v>374</v>
      </c>
      <c r="M2445" s="12"/>
      <c r="N2445" s="12"/>
      <c r="O2445" s="12">
        <f>(Tabla1[[#This Row],[COSTO FIJO ]]/30)*Tabla1[[#This Row],[TOTAL DIAS PROYECTO]]+(Tabla1[[#This Row],[COSTO TEMPORAL]])</f>
        <v>0</v>
      </c>
      <c r="P2445" s="12"/>
      <c r="Q2445" s="12">
        <f>+(Tabla1[[#This Row],[COSTO COCHE]]/30)*Tabla1[[#This Row],[TOTAL DIAS PROYECTO]]</f>
        <v>0</v>
      </c>
      <c r="R2445" s="12">
        <f>+Tabla1[[#This Row],[COSTO TOTAL ALOJAMIENTO]]+Tabla1[[#This Row],[COSTO TOTAL COCHE]]</f>
        <v>0</v>
      </c>
      <c r="S2445" s="2"/>
      <c r="T2445" s="2" t="s">
        <v>35</v>
      </c>
      <c r="U2445" s="14">
        <v>45447</v>
      </c>
      <c r="V2445" s="14"/>
      <c r="W2445" s="26"/>
      <c r="X2445" s="2"/>
      <c r="Y2445" s="18" t="s">
        <v>3979</v>
      </c>
      <c r="Z2445" s="2" t="s">
        <v>36</v>
      </c>
      <c r="AA2445" s="13" t="s">
        <v>10445</v>
      </c>
      <c r="AB2445" s="13" t="s">
        <v>10446</v>
      </c>
    </row>
    <row r="2446" spans="1:28" ht="15" customHeight="1">
      <c r="A2446" s="2" t="s">
        <v>9632</v>
      </c>
      <c r="B2446" s="2" t="s">
        <v>368</v>
      </c>
      <c r="C2446" s="11" t="s">
        <v>3980</v>
      </c>
      <c r="D2446" s="2" t="s">
        <v>30</v>
      </c>
      <c r="E2446" s="2" t="s">
        <v>447</v>
      </c>
      <c r="F2446" s="11" t="s">
        <v>840</v>
      </c>
      <c r="G2446" s="46" t="s">
        <v>841</v>
      </c>
      <c r="H2446" s="2" t="s">
        <v>842</v>
      </c>
      <c r="I2446" s="12" t="s">
        <v>843</v>
      </c>
      <c r="J2446" s="41">
        <v>45566</v>
      </c>
      <c r="K2446" s="22">
        <v>45821</v>
      </c>
      <c r="L2446" s="42">
        <f>_xlfn.DAYS(Tabla1[[#This Row],[FECHA FIN ]],Tabla1[[#This Row],[FECHA INICIO]])</f>
        <v>255</v>
      </c>
      <c r="M2446" s="12"/>
      <c r="N2446" s="12"/>
      <c r="O2446" s="28">
        <f>(Tabla1[[#This Row],[COSTO FIJO ]]/30)*Tabla1[[#This Row],[TOTAL DIAS PROYECTO]]+(Tabla1[[#This Row],[COSTO TEMPORAL]])</f>
        <v>0</v>
      </c>
      <c r="P2446" s="12"/>
      <c r="Q2446" s="12">
        <f>+(Tabla1[[#This Row],[COSTO COCHE]]/30)*Tabla1[[#This Row],[TOTAL DIAS PROYECTO]]</f>
        <v>0</v>
      </c>
      <c r="R2446" s="12">
        <f>+Tabla1[[#This Row],[COSTO TOTAL ALOJAMIENTO]]+Tabla1[[#This Row],[COSTO TOTAL COCHE]]</f>
        <v>0</v>
      </c>
      <c r="S2446" s="2"/>
      <c r="T2446" s="2" t="s">
        <v>35</v>
      </c>
      <c r="U2446" s="14"/>
      <c r="V2446" s="43"/>
      <c r="W2446" s="26"/>
      <c r="X2446" s="2"/>
      <c r="Y2446" s="11"/>
      <c r="Z2446" s="2" t="s">
        <v>36</v>
      </c>
      <c r="AA2446" s="13">
        <v>-697.06100000000004</v>
      </c>
      <c r="AB2446" s="13" t="s">
        <v>10377</v>
      </c>
    </row>
    <row r="2447" spans="1:28">
      <c r="A2447" s="2" t="s">
        <v>8944</v>
      </c>
      <c r="B2447" s="2" t="s">
        <v>28</v>
      </c>
      <c r="C2447" s="11" t="s">
        <v>1382</v>
      </c>
      <c r="D2447" s="2" t="s">
        <v>30</v>
      </c>
      <c r="E2447" s="2" t="s">
        <v>213</v>
      </c>
      <c r="F2447" s="11" t="s">
        <v>871</v>
      </c>
      <c r="G2447" s="11" t="s">
        <v>872</v>
      </c>
      <c r="H2447" s="2" t="s">
        <v>1136</v>
      </c>
      <c r="I2447" s="12" t="s">
        <v>52</v>
      </c>
      <c r="J2447" s="41">
        <f>+Tabla1[[#This Row],[FECHA ENTRADA]]</f>
        <v>45606</v>
      </c>
      <c r="K2447" s="22">
        <v>45821</v>
      </c>
      <c r="L2447" s="42">
        <f>_xlfn.DAYS(Tabla1[[#This Row],[FECHA FIN ]],Tabla1[[#This Row],[FECHA INICIO]])</f>
        <v>215</v>
      </c>
      <c r="M2447" s="12"/>
      <c r="N2447" s="12"/>
      <c r="O2447" s="28">
        <f>(Tabla1[[#This Row],[COSTO FIJO ]]/30)*Tabla1[[#This Row],[TOTAL DIAS PROYECTO]]+(Tabla1[[#This Row],[COSTO TEMPORAL]])</f>
        <v>0</v>
      </c>
      <c r="P2447" s="12"/>
      <c r="Q2447" s="12">
        <f>+(Tabla1[[#This Row],[COSTO COCHE]]/30)*Tabla1[[#This Row],[TOTAL DIAS PROYECTO]]</f>
        <v>0</v>
      </c>
      <c r="R2447" s="12">
        <f>+Tabla1[[#This Row],[COSTO TOTAL ALOJAMIENTO]]+Tabla1[[#This Row],[COSTO TOTAL COCHE]]</f>
        <v>0</v>
      </c>
      <c r="S2447" s="2"/>
      <c r="T2447" s="2" t="s">
        <v>35</v>
      </c>
      <c r="U2447" s="14">
        <v>45606</v>
      </c>
      <c r="V2447" s="43"/>
      <c r="W2447" s="26"/>
      <c r="X2447" s="2"/>
      <c r="Y2447" s="11"/>
      <c r="Z2447" s="2" t="s">
        <v>36</v>
      </c>
      <c r="AA2447" s="13" t="s">
        <v>10349</v>
      </c>
      <c r="AB2447" s="13" t="s">
        <v>10350</v>
      </c>
    </row>
    <row r="2448" spans="1:28">
      <c r="A2448" s="2" t="s">
        <v>8642</v>
      </c>
      <c r="B2448" s="2" t="s">
        <v>28</v>
      </c>
      <c r="C2448" s="11" t="s">
        <v>2665</v>
      </c>
      <c r="D2448" s="2" t="s">
        <v>30</v>
      </c>
      <c r="E2448" s="2" t="s">
        <v>213</v>
      </c>
      <c r="F2448" s="11" t="s">
        <v>871</v>
      </c>
      <c r="G2448" s="11" t="s">
        <v>872</v>
      </c>
      <c r="H2448" s="2" t="s">
        <v>215</v>
      </c>
      <c r="I2448" s="2" t="s">
        <v>52</v>
      </c>
      <c r="J2448" s="8">
        <f>+Tabla1[[#This Row],[FECHA ENTRADA]]</f>
        <v>45394</v>
      </c>
      <c r="K2448" s="22">
        <v>45821</v>
      </c>
      <c r="L2448" s="13">
        <f>_xlfn.DAYS(Tabla1[[#This Row],[FECHA FIN ]],Tabla1[[#This Row],[FECHA INICIO]])</f>
        <v>427</v>
      </c>
      <c r="M2448" s="12"/>
      <c r="N2448" s="12"/>
      <c r="O2448" s="12">
        <f>(Tabla1[[#This Row],[COSTO FIJO ]]/30)*Tabla1[[#This Row],[TOTAL DIAS PROYECTO]]+(Tabla1[[#This Row],[COSTO TEMPORAL]])</f>
        <v>0</v>
      </c>
      <c r="P2448" s="12"/>
      <c r="Q2448" s="12">
        <f>+(Tabla1[[#This Row],[COSTO COCHE]]/30)*Tabla1[[#This Row],[TOTAL DIAS PROYECTO]]</f>
        <v>0</v>
      </c>
      <c r="R2448" s="12">
        <f>+Tabla1[[#This Row],[COSTO TOTAL ALOJAMIENTO]]+Tabla1[[#This Row],[COSTO TOTAL COCHE]]</f>
        <v>0</v>
      </c>
      <c r="S2448" s="2"/>
      <c r="T2448" s="2" t="s">
        <v>35</v>
      </c>
      <c r="U2448" s="14">
        <v>45394</v>
      </c>
      <c r="V2448" s="14">
        <v>45402</v>
      </c>
      <c r="W2448" s="15"/>
      <c r="X2448" s="16"/>
      <c r="Y2448" s="18" t="s">
        <v>3945</v>
      </c>
      <c r="Z2448" s="2" t="s">
        <v>36</v>
      </c>
      <c r="AA2448" s="13" t="s">
        <v>10349</v>
      </c>
      <c r="AB2448" s="13" t="s">
        <v>10350</v>
      </c>
    </row>
    <row r="2449" spans="1:29" ht="15" customHeight="1">
      <c r="A2449" s="2" t="s">
        <v>9263</v>
      </c>
      <c r="B2449" s="2" t="s">
        <v>28</v>
      </c>
      <c r="C2449" s="11" t="s">
        <v>2640</v>
      </c>
      <c r="D2449" s="2" t="s">
        <v>30</v>
      </c>
      <c r="E2449" s="2" t="s">
        <v>213</v>
      </c>
      <c r="F2449" s="11" t="s">
        <v>871</v>
      </c>
      <c r="G2449" s="11" t="s">
        <v>872</v>
      </c>
      <c r="H2449" s="2" t="s">
        <v>215</v>
      </c>
      <c r="I2449" s="2" t="s">
        <v>52</v>
      </c>
      <c r="J2449" s="8">
        <f>+Tabla1[[#This Row],[FECHA ENTRADA]]</f>
        <v>45394</v>
      </c>
      <c r="K2449" s="22">
        <v>45821</v>
      </c>
      <c r="L2449" s="13">
        <f>_xlfn.DAYS(Tabla1[[#This Row],[FECHA FIN ]],Tabla1[[#This Row],[FECHA INICIO]])</f>
        <v>427</v>
      </c>
      <c r="M2449" s="12"/>
      <c r="N2449" s="12"/>
      <c r="O2449" s="12">
        <f>(Tabla1[[#This Row],[COSTO FIJO ]]/30)*Tabla1[[#This Row],[TOTAL DIAS PROYECTO]]+(Tabla1[[#This Row],[COSTO TEMPORAL]])</f>
        <v>0</v>
      </c>
      <c r="P2449" s="12"/>
      <c r="Q2449" s="12">
        <f>+(Tabla1[[#This Row],[COSTO COCHE]]/30)*Tabla1[[#This Row],[TOTAL DIAS PROYECTO]]</f>
        <v>0</v>
      </c>
      <c r="R2449" s="12">
        <f>+Tabla1[[#This Row],[COSTO TOTAL ALOJAMIENTO]]+Tabla1[[#This Row],[COSTO TOTAL COCHE]]</f>
        <v>0</v>
      </c>
      <c r="S2449" s="2"/>
      <c r="T2449" s="2" t="s">
        <v>35</v>
      </c>
      <c r="U2449" s="14">
        <v>45394</v>
      </c>
      <c r="V2449" s="14">
        <v>45402</v>
      </c>
      <c r="W2449" s="15"/>
      <c r="X2449" s="16"/>
      <c r="Y2449" s="18" t="s">
        <v>3981</v>
      </c>
      <c r="Z2449" s="2" t="s">
        <v>36</v>
      </c>
      <c r="AA2449" s="13" t="s">
        <v>10349</v>
      </c>
      <c r="AB2449" s="13" t="s">
        <v>10350</v>
      </c>
    </row>
    <row r="2450" spans="1:29" ht="15" customHeight="1">
      <c r="A2450" s="2" t="s">
        <v>9068</v>
      </c>
      <c r="B2450" s="2" t="s">
        <v>28</v>
      </c>
      <c r="C2450" s="11" t="s">
        <v>1868</v>
      </c>
      <c r="D2450" s="2" t="s">
        <v>30</v>
      </c>
      <c r="E2450" s="2" t="s">
        <v>538</v>
      </c>
      <c r="F2450" s="11" t="s">
        <v>1106</v>
      </c>
      <c r="G2450" s="46"/>
      <c r="H2450" s="2" t="s">
        <v>1423</v>
      </c>
      <c r="I2450" s="12" t="s">
        <v>883</v>
      </c>
      <c r="J2450" s="41">
        <f>+Tabla1[[#This Row],[FECHA ENTRADA]]</f>
        <v>45622</v>
      </c>
      <c r="K2450" s="22">
        <v>45677</v>
      </c>
      <c r="L2450" s="42">
        <f>_xlfn.DAYS(Tabla1[[#This Row],[FECHA FIN ]],Tabla1[[#This Row],[FECHA INICIO]])</f>
        <v>55</v>
      </c>
      <c r="M2450" s="12"/>
      <c r="N2450" s="12"/>
      <c r="O2450" s="28">
        <f>(Tabla1[[#This Row],[COSTO FIJO ]]/30)*Tabla1[[#This Row],[TOTAL DIAS PROYECTO]]+(Tabla1[[#This Row],[COSTO TEMPORAL]])</f>
        <v>0</v>
      </c>
      <c r="P2450" s="12"/>
      <c r="Q2450" s="12">
        <f>+(Tabla1[[#This Row],[COSTO COCHE]]/30)*Tabla1[[#This Row],[TOTAL DIAS PROYECTO]]</f>
        <v>0</v>
      </c>
      <c r="R2450" s="12">
        <f>+Tabla1[[#This Row],[COSTO TOTAL ALOJAMIENTO]]+Tabla1[[#This Row],[COSTO TOTAL COCHE]]</f>
        <v>0</v>
      </c>
      <c r="S2450" s="2"/>
      <c r="T2450" s="2" t="s">
        <v>8</v>
      </c>
      <c r="U2450" s="14">
        <v>45622</v>
      </c>
      <c r="V2450" s="43"/>
      <c r="W2450" s="26"/>
      <c r="X2450" s="2"/>
      <c r="Y2450" s="11"/>
      <c r="Z2450" s="2" t="s">
        <v>36</v>
      </c>
      <c r="AA2450" s="13">
        <v>-378939</v>
      </c>
      <c r="AB2450" s="13">
        <v>3776578</v>
      </c>
    </row>
    <row r="2451" spans="1:29">
      <c r="A2451" s="2" t="s">
        <v>9075</v>
      </c>
      <c r="B2451" s="2" t="s">
        <v>368</v>
      </c>
      <c r="C2451" s="11" t="s">
        <v>1901</v>
      </c>
      <c r="D2451" s="2" t="s">
        <v>30</v>
      </c>
      <c r="E2451" s="2" t="s">
        <v>380</v>
      </c>
      <c r="F2451" s="11"/>
      <c r="G2451" s="46"/>
      <c r="H2451" s="2" t="s">
        <v>3575</v>
      </c>
      <c r="I2451" s="12" t="s">
        <v>3086</v>
      </c>
      <c r="J2451" s="41">
        <v>45658</v>
      </c>
      <c r="K2451" s="22">
        <v>45669</v>
      </c>
      <c r="L2451" s="42">
        <f>_xlfn.DAYS(Tabla1[[#This Row],[FECHA FIN ]],Tabla1[[#This Row],[FECHA INICIO]])</f>
        <v>11</v>
      </c>
      <c r="M2451" s="12"/>
      <c r="N2451" s="12">
        <v>300</v>
      </c>
      <c r="O2451" s="28">
        <f>(Tabla1[[#This Row],[COSTO FIJO ]]/30)*Tabla1[[#This Row],[TOTAL DIAS PROYECTO]]+(Tabla1[[#This Row],[COSTO TEMPORAL]])</f>
        <v>110</v>
      </c>
      <c r="P2451" s="12"/>
      <c r="Q2451" s="12">
        <f>+(Tabla1[[#This Row],[COSTO COCHE]]/30)*Tabla1[[#This Row],[TOTAL DIAS PROYECTO]]</f>
        <v>0</v>
      </c>
      <c r="R2451" s="12">
        <f>+Tabla1[[#This Row],[COSTO TOTAL ALOJAMIENTO]]+Tabla1[[#This Row],[COSTO TOTAL COCHE]]</f>
        <v>110</v>
      </c>
      <c r="S2451" s="2"/>
      <c r="T2451" s="2" t="s">
        <v>58</v>
      </c>
      <c r="U2451" s="14">
        <v>45658</v>
      </c>
      <c r="V2451" s="43"/>
      <c r="W2451" s="26"/>
      <c r="X2451" s="2"/>
      <c r="Y2451" s="11"/>
      <c r="Z2451" s="2" t="s">
        <v>36</v>
      </c>
      <c r="AA2451" s="13" t="s">
        <v>10370</v>
      </c>
      <c r="AB2451" s="13" t="s">
        <v>10371</v>
      </c>
    </row>
    <row r="2452" spans="1:29">
      <c r="A2452" s="2" t="s">
        <v>9205</v>
      </c>
      <c r="B2452" s="2" t="s">
        <v>28</v>
      </c>
      <c r="C2452" s="11" t="s">
        <v>2425</v>
      </c>
      <c r="D2452" s="2" t="s">
        <v>72</v>
      </c>
      <c r="E2452" s="2" t="s">
        <v>73</v>
      </c>
      <c r="F2452" s="11" t="s">
        <v>74</v>
      </c>
      <c r="G2452" s="11" t="s">
        <v>75</v>
      </c>
      <c r="H2452" s="2" t="s">
        <v>76</v>
      </c>
      <c r="I2452" s="2" t="s">
        <v>3982</v>
      </c>
      <c r="J2452" s="8">
        <f>+Tabla1[[#This Row],[FECHA ENTRADA]]</f>
        <v>45313</v>
      </c>
      <c r="K2452" s="22">
        <v>45821</v>
      </c>
      <c r="L2452" s="13">
        <f>_xlfn.DAYS(Tabla1[[#This Row],[FECHA FIN ]],Tabla1[[#This Row],[FECHA INICIO]])</f>
        <v>508</v>
      </c>
      <c r="M2452" s="12"/>
      <c r="N2452" s="12"/>
      <c r="O2452" s="12">
        <f>(Tabla1[[#This Row],[COSTO FIJO ]]/30)*Tabla1[[#This Row],[TOTAL DIAS PROYECTO]]+(Tabla1[[#This Row],[COSTO TEMPORAL]])</f>
        <v>0</v>
      </c>
      <c r="P2452" s="12"/>
      <c r="Q2452" s="12">
        <f>+(Tabla1[[#This Row],[COSTO COCHE]]/30)*Tabla1[[#This Row],[TOTAL DIAS PROYECTO]]</f>
        <v>0</v>
      </c>
      <c r="R2452" s="12">
        <f>+Tabla1[[#This Row],[COSTO TOTAL ALOJAMIENTO]]+Tabla1[[#This Row],[COSTO TOTAL COCHE]]</f>
        <v>0</v>
      </c>
      <c r="S2452" s="2"/>
      <c r="T2452" s="2" t="s">
        <v>35</v>
      </c>
      <c r="U2452" s="14">
        <v>45313</v>
      </c>
      <c r="V2452" s="14">
        <v>45359</v>
      </c>
      <c r="W2452" s="15"/>
      <c r="X2452" s="16"/>
      <c r="Y2452" s="18" t="s">
        <v>77</v>
      </c>
      <c r="Z2452" s="2" t="s">
        <v>36</v>
      </c>
      <c r="AA2452" s="13" t="s">
        <v>10331</v>
      </c>
      <c r="AB2452" s="13" t="s">
        <v>10332</v>
      </c>
    </row>
    <row r="2453" spans="1:29" ht="15" customHeight="1">
      <c r="A2453" s="2" t="s">
        <v>9015</v>
      </c>
      <c r="B2453" s="2" t="s">
        <v>28</v>
      </c>
      <c r="C2453" s="11" t="s">
        <v>1703</v>
      </c>
      <c r="D2453" s="2" t="s">
        <v>99</v>
      </c>
      <c r="E2453" s="2" t="s">
        <v>259</v>
      </c>
      <c r="F2453" s="11" t="s">
        <v>2117</v>
      </c>
      <c r="G2453" s="21">
        <v>976109595</v>
      </c>
      <c r="H2453" s="2" t="s">
        <v>2118</v>
      </c>
      <c r="I2453" t="s">
        <v>2119</v>
      </c>
      <c r="J2453" s="22">
        <f>+Tabla1[[#This Row],[FECHA ENTRADA]]</f>
        <v>45756</v>
      </c>
      <c r="K2453" s="22">
        <v>45821</v>
      </c>
      <c r="L2453" s="23">
        <f>_xlfn.DAYS(Tabla1[[#This Row],[FECHA FIN ]],Tabla1[[#This Row],[FECHA INICIO]])</f>
        <v>65</v>
      </c>
      <c r="M2453" s="12"/>
      <c r="N2453" s="12"/>
      <c r="O2453" s="24">
        <f>(Tabla1[[#This Row],[COSTO FIJO ]]/30)*Tabla1[[#This Row],[TOTAL DIAS PROYECTO]]+(Tabla1[[#This Row],[COSTO TEMPORAL]])</f>
        <v>0</v>
      </c>
      <c r="P2453" s="12"/>
      <c r="Q2453" s="12">
        <f>+(Tabla1[[#This Row],[COSTO COCHE]]/30)*Tabla1[[#This Row],[TOTAL DIAS PROYECTO]]</f>
        <v>0</v>
      </c>
      <c r="R2453" s="12">
        <f>+Tabla1[[#This Row],[COSTO TOTAL ALOJAMIENTO]]+Tabla1[[#This Row],[COSTO TOTAL COCHE]]</f>
        <v>0</v>
      </c>
      <c r="S2453" s="2"/>
      <c r="T2453" s="2" t="s">
        <v>35</v>
      </c>
      <c r="U2453" s="14">
        <v>45756</v>
      </c>
      <c r="V2453" s="25"/>
      <c r="W2453" s="26"/>
      <c r="X2453" s="2"/>
      <c r="Y2453" s="11" t="s">
        <v>2120</v>
      </c>
      <c r="Z2453" s="2" t="s">
        <v>36</v>
      </c>
      <c r="AA2453" s="13">
        <v>-0.87734000000000001</v>
      </c>
      <c r="AB2453" s="13" t="s">
        <v>10359</v>
      </c>
    </row>
    <row r="2454" spans="1:29">
      <c r="A2454" s="2" t="s">
        <v>9419</v>
      </c>
      <c r="B2454" s="2" t="s">
        <v>368</v>
      </c>
      <c r="C2454" s="11" t="s">
        <v>3107</v>
      </c>
      <c r="D2454" s="2" t="s">
        <v>30</v>
      </c>
      <c r="E2454" s="2" t="s">
        <v>213</v>
      </c>
      <c r="F2454" s="11" t="s">
        <v>996</v>
      </c>
      <c r="G2454" s="11" t="s">
        <v>997</v>
      </c>
      <c r="H2454" s="2" t="s">
        <v>998</v>
      </c>
      <c r="I2454" s="12" t="s">
        <v>514</v>
      </c>
      <c r="J2454" s="8">
        <f>+Tabla1[[#This Row],[FECHA ENTRADA]]</f>
        <v>45529</v>
      </c>
      <c r="K2454" s="22">
        <v>45821</v>
      </c>
      <c r="L2454" s="13">
        <f>_xlfn.DAYS(Tabla1[[#This Row],[FECHA FIN ]],Tabla1[[#This Row],[FECHA INICIO]])</f>
        <v>292</v>
      </c>
      <c r="M2454" s="12"/>
      <c r="N2454" s="12"/>
      <c r="O2454" s="12">
        <f>(Tabla1[[#This Row],[COSTO FIJO ]]/30)*Tabla1[[#This Row],[TOTAL DIAS PROYECTO]]+(Tabla1[[#This Row],[COSTO TEMPORAL]])</f>
        <v>0</v>
      </c>
      <c r="P2454" s="12"/>
      <c r="Q2454" s="12">
        <f>+(Tabla1[[#This Row],[COSTO COCHE]]/30)*Tabla1[[#This Row],[TOTAL DIAS PROYECTO]]</f>
        <v>0</v>
      </c>
      <c r="R2454" s="12">
        <f>+Tabla1[[#This Row],[COSTO TOTAL ALOJAMIENTO]]+Tabla1[[#This Row],[COSTO TOTAL COCHE]]</f>
        <v>0</v>
      </c>
      <c r="S2454" s="2"/>
      <c r="T2454" s="2" t="s">
        <v>35</v>
      </c>
      <c r="U2454" s="14">
        <v>45529</v>
      </c>
      <c r="V2454" s="8"/>
      <c r="W2454" s="26"/>
      <c r="X2454" s="2"/>
      <c r="Y2454" s="11" t="s">
        <v>3983</v>
      </c>
      <c r="Z2454" s="2" t="s">
        <v>36</v>
      </c>
      <c r="AA2454" s="13" t="s">
        <v>10349</v>
      </c>
      <c r="AB2454" s="13" t="s">
        <v>10350</v>
      </c>
    </row>
    <row r="2455" spans="1:29">
      <c r="A2455" s="2" t="s">
        <v>9420</v>
      </c>
      <c r="B2455" s="2" t="s">
        <v>28</v>
      </c>
      <c r="C2455" s="11" t="s">
        <v>3109</v>
      </c>
      <c r="D2455" s="2" t="s">
        <v>161</v>
      </c>
      <c r="E2455" s="2" t="s">
        <v>162</v>
      </c>
      <c r="F2455" s="11" t="s">
        <v>334</v>
      </c>
      <c r="G2455" s="11" t="s">
        <v>335</v>
      </c>
      <c r="H2455" s="2" t="s">
        <v>336</v>
      </c>
      <c r="I2455" s="12" t="s">
        <v>165</v>
      </c>
      <c r="J2455" s="8">
        <f>+Tabla1[[#This Row],[FECHA ENTRADA]]</f>
        <v>45424</v>
      </c>
      <c r="K2455" s="22">
        <v>45821</v>
      </c>
      <c r="L2455" s="13">
        <f>_xlfn.DAYS(Tabla1[[#This Row],[FECHA FIN ]],Tabla1[[#This Row],[FECHA INICIO]])</f>
        <v>397</v>
      </c>
      <c r="M2455" s="12"/>
      <c r="N2455" s="12"/>
      <c r="O2455" s="12">
        <f>(Tabla1[[#This Row],[COSTO FIJO ]]/30)*Tabla1[[#This Row],[TOTAL DIAS PROYECTO]]+(Tabla1[[#This Row],[COSTO TEMPORAL]])</f>
        <v>0</v>
      </c>
      <c r="P2455" s="12"/>
      <c r="Q2455" s="12">
        <f>+(Tabla1[[#This Row],[COSTO COCHE]]/30)*Tabla1[[#This Row],[TOTAL DIAS PROYECTO]]</f>
        <v>0</v>
      </c>
      <c r="R2455" s="12">
        <f>+Tabla1[[#This Row],[COSTO TOTAL ALOJAMIENTO]]+Tabla1[[#This Row],[COSTO TOTAL COCHE]]</f>
        <v>0</v>
      </c>
      <c r="S2455" s="2" t="s">
        <v>84</v>
      </c>
      <c r="T2455" s="2" t="s">
        <v>35</v>
      </c>
      <c r="U2455" s="14">
        <v>45424</v>
      </c>
      <c r="V2455" s="14">
        <v>45469</v>
      </c>
      <c r="W2455" s="26"/>
      <c r="X2455" s="2"/>
      <c r="Y2455" s="18"/>
      <c r="Z2455" s="2" t="s">
        <v>36</v>
      </c>
      <c r="AA2455" s="13" t="s">
        <v>10347</v>
      </c>
      <c r="AB2455" s="13" t="s">
        <v>10348</v>
      </c>
    </row>
    <row r="2456" spans="1:29" ht="15" customHeight="1">
      <c r="A2456" s="2" t="s">
        <v>9394</v>
      </c>
      <c r="B2456" s="2" t="s">
        <v>28</v>
      </c>
      <c r="C2456" s="11" t="s">
        <v>3029</v>
      </c>
      <c r="D2456" s="2" t="s">
        <v>30</v>
      </c>
      <c r="E2456" s="2" t="s">
        <v>288</v>
      </c>
      <c r="F2456" s="11" t="s">
        <v>344</v>
      </c>
      <c r="G2456" s="11"/>
      <c r="H2456" s="2" t="s">
        <v>356</v>
      </c>
      <c r="I2456" s="12" t="s">
        <v>357</v>
      </c>
      <c r="J2456" s="8">
        <f>+Tabla1[[#This Row],[FECHA ENTRADA]]</f>
        <v>45438</v>
      </c>
      <c r="K2456" s="22">
        <v>45821</v>
      </c>
      <c r="L2456" s="13">
        <f>_xlfn.DAYS(Tabla1[[#This Row],[FECHA FIN ]],Tabla1[[#This Row],[FECHA INICIO]])</f>
        <v>383</v>
      </c>
      <c r="M2456" s="12"/>
      <c r="N2456" s="12"/>
      <c r="O2456" s="12">
        <f>(Tabla1[[#This Row],[COSTO FIJO ]]/30)*Tabla1[[#This Row],[TOTAL DIAS PROYECTO]]+(Tabla1[[#This Row],[COSTO TEMPORAL]])</f>
        <v>0</v>
      </c>
      <c r="P2456" s="12"/>
      <c r="Q2456" s="12">
        <f>+(Tabla1[[#This Row],[COSTO COCHE]]/30)*Tabla1[[#This Row],[TOTAL DIAS PROYECTO]]</f>
        <v>0</v>
      </c>
      <c r="R2456" s="12">
        <f>+Tabla1[[#This Row],[COSTO TOTAL ALOJAMIENTO]]+Tabla1[[#This Row],[COSTO TOTAL COCHE]]</f>
        <v>0</v>
      </c>
      <c r="S2456" s="2"/>
      <c r="T2456" s="2" t="s">
        <v>35</v>
      </c>
      <c r="U2456" s="14">
        <v>45438</v>
      </c>
      <c r="V2456" s="14">
        <v>45447</v>
      </c>
      <c r="W2456" s="26"/>
      <c r="X2456" s="2"/>
      <c r="Y2456" s="18" t="s">
        <v>3984</v>
      </c>
      <c r="Z2456" s="2" t="s">
        <v>36</v>
      </c>
      <c r="AA2456" s="13" t="s">
        <v>10362</v>
      </c>
      <c r="AB2456" s="13" t="s">
        <v>10363</v>
      </c>
    </row>
    <row r="2457" spans="1:29" ht="15" customHeight="1">
      <c r="A2457" s="2" t="s">
        <v>9311</v>
      </c>
      <c r="B2457" s="2" t="s">
        <v>28</v>
      </c>
      <c r="C2457" s="11" t="s">
        <v>2783</v>
      </c>
      <c r="D2457" s="2" t="s">
        <v>72</v>
      </c>
      <c r="E2457" s="2" t="s">
        <v>73</v>
      </c>
      <c r="F2457" s="11" t="s">
        <v>74</v>
      </c>
      <c r="G2457" s="11" t="s">
        <v>75</v>
      </c>
      <c r="H2457" s="2" t="s">
        <v>464</v>
      </c>
      <c r="I2457" s="12" t="s">
        <v>332</v>
      </c>
      <c r="J2457" s="8">
        <f>+Tabla1[[#This Row],[FECHA ENTRADA]]</f>
        <v>45410</v>
      </c>
      <c r="K2457" s="22">
        <v>45821</v>
      </c>
      <c r="L2457" s="13">
        <f>_xlfn.DAYS(Tabla1[[#This Row],[FECHA FIN ]],Tabla1[[#This Row],[FECHA INICIO]])</f>
        <v>411</v>
      </c>
      <c r="M2457" s="12"/>
      <c r="N2457" s="12"/>
      <c r="O2457" s="12">
        <f>(Tabla1[[#This Row],[COSTO FIJO ]]/30)*Tabla1[[#This Row],[TOTAL DIAS PROYECTO]]+(Tabla1[[#This Row],[COSTO TEMPORAL]])</f>
        <v>0</v>
      </c>
      <c r="P2457" s="12"/>
      <c r="Q2457" s="12">
        <f>+(Tabla1[[#This Row],[COSTO COCHE]]/30)*Tabla1[[#This Row],[TOTAL DIAS PROYECTO]]</f>
        <v>0</v>
      </c>
      <c r="R2457" s="12">
        <f>+Tabla1[[#This Row],[COSTO TOTAL ALOJAMIENTO]]+Tabla1[[#This Row],[COSTO TOTAL COCHE]]</f>
        <v>0</v>
      </c>
      <c r="S2457" s="2"/>
      <c r="T2457" s="2" t="s">
        <v>35</v>
      </c>
      <c r="U2457" s="14">
        <v>45410</v>
      </c>
      <c r="V2457" s="14"/>
      <c r="W2457" s="2"/>
      <c r="X2457" s="2"/>
      <c r="Y2457" s="18" t="s">
        <v>3985</v>
      </c>
      <c r="Z2457" s="2" t="s">
        <v>36</v>
      </c>
      <c r="AA2457" s="13" t="s">
        <v>10331</v>
      </c>
      <c r="AB2457" s="13" t="s">
        <v>10332</v>
      </c>
      <c r="AC2457" s="234"/>
    </row>
    <row r="2458" spans="1:29" ht="15" customHeight="1">
      <c r="A2458" s="2" t="s">
        <v>8969</v>
      </c>
      <c r="B2458" s="2" t="s">
        <v>368</v>
      </c>
      <c r="C2458" s="11" t="s">
        <v>1533</v>
      </c>
      <c r="D2458" s="2" t="s">
        <v>99</v>
      </c>
      <c r="E2458" s="2" t="s">
        <v>109</v>
      </c>
      <c r="F2458" s="11" t="s">
        <v>2161</v>
      </c>
      <c r="G2458" s="46" t="s">
        <v>2162</v>
      </c>
      <c r="H2458" s="2" t="s">
        <v>2007</v>
      </c>
      <c r="I2458" s="12" t="s">
        <v>42</v>
      </c>
      <c r="J2458" s="22">
        <f>+Tabla1[[#This Row],[FECHA ENTRADA]]</f>
        <v>45777</v>
      </c>
      <c r="K2458" s="8">
        <v>45778</v>
      </c>
      <c r="L2458" s="23">
        <f>_xlfn.DAYS(Tabla1[[#This Row],[FECHA FIN ]],Tabla1[[#This Row],[FECHA INICIO]])</f>
        <v>1</v>
      </c>
      <c r="M2458" s="12">
        <f>1811.6/17</f>
        <v>106.56470588235294</v>
      </c>
      <c r="N2458" s="12"/>
      <c r="O2458" s="24">
        <f>(Tabla1[[#This Row],[COSTO FIJO ]]/30)*Tabla1[[#This Row],[TOTAL DIAS PROYECTO]]+(Tabla1[[#This Row],[COSTO TEMPORAL]])</f>
        <v>106.56470588235294</v>
      </c>
      <c r="P2458" s="12">
        <f>613.83/2</f>
        <v>306.91500000000002</v>
      </c>
      <c r="Q2458" s="12">
        <f>+(Tabla1[[#This Row],[COSTO COCHE]]/30)*Tabla1[[#This Row],[TOTAL DIAS PROYECTO]]</f>
        <v>10.230500000000001</v>
      </c>
      <c r="R2458" s="12">
        <f>+Tabla1[[#This Row],[COSTO TOTAL ALOJAMIENTO]]+Tabla1[[#This Row],[COSTO TOTAL COCHE]]</f>
        <v>116.79520588235295</v>
      </c>
      <c r="S2458" s="2"/>
      <c r="T2458" s="2" t="s">
        <v>35</v>
      </c>
      <c r="U2458" s="14">
        <v>45777</v>
      </c>
      <c r="V2458" s="25">
        <v>45788</v>
      </c>
      <c r="W2458" s="26"/>
      <c r="X2458" s="2">
        <v>10</v>
      </c>
      <c r="Y2458" s="11"/>
      <c r="Z2458" s="2" t="s">
        <v>36</v>
      </c>
      <c r="AA2458" s="13">
        <v>0.62217999999999996</v>
      </c>
      <c r="AB2458" s="13" t="s">
        <v>10339</v>
      </c>
    </row>
    <row r="2459" spans="1:29" ht="15" customHeight="1">
      <c r="A2459" s="2" t="s">
        <v>9007</v>
      </c>
      <c r="B2459" s="2" t="s">
        <v>28</v>
      </c>
      <c r="C2459" s="11" t="s">
        <v>1680</v>
      </c>
      <c r="D2459" s="2" t="s">
        <v>30</v>
      </c>
      <c r="E2459" s="2" t="s">
        <v>626</v>
      </c>
      <c r="F2459" s="11" t="s">
        <v>3986</v>
      </c>
      <c r="G2459" s="11" t="s">
        <v>3987</v>
      </c>
      <c r="H2459" s="2" t="s">
        <v>3988</v>
      </c>
      <c r="I2459" s="12" t="s">
        <v>3989</v>
      </c>
      <c r="J2459" s="8">
        <f>+Tabla1[[#This Row],[FECHA ENTRADA]]</f>
        <v>45462</v>
      </c>
      <c r="K2459" s="22">
        <v>45821</v>
      </c>
      <c r="L2459" s="13">
        <f>_xlfn.DAYS(Tabla1[[#This Row],[FECHA FIN ]],Tabla1[[#This Row],[FECHA INICIO]])</f>
        <v>359</v>
      </c>
      <c r="M2459" s="12"/>
      <c r="N2459" s="12"/>
      <c r="O2459" s="12">
        <f>(Tabla1[[#This Row],[COSTO FIJO ]]/30)*Tabla1[[#This Row],[TOTAL DIAS PROYECTO]]+(Tabla1[[#This Row],[COSTO TEMPORAL]])</f>
        <v>0</v>
      </c>
      <c r="P2459" s="12"/>
      <c r="Q2459" s="12">
        <f>+(Tabla1[[#This Row],[COSTO COCHE]]/30)*Tabla1[[#This Row],[TOTAL DIAS PROYECTO]]</f>
        <v>0</v>
      </c>
      <c r="R2459" s="12">
        <f>+Tabla1[[#This Row],[COSTO TOTAL ALOJAMIENTO]]+Tabla1[[#This Row],[COSTO TOTAL COCHE]]</f>
        <v>0</v>
      </c>
      <c r="S2459" s="2"/>
      <c r="T2459" s="2" t="s">
        <v>35</v>
      </c>
      <c r="U2459" s="14">
        <v>45462</v>
      </c>
      <c r="V2459" s="14"/>
      <c r="W2459" s="235">
        <v>380</v>
      </c>
      <c r="X2459" s="2">
        <v>1</v>
      </c>
      <c r="Y2459" s="18" t="s">
        <v>3990</v>
      </c>
      <c r="Z2459" s="2" t="s">
        <v>36</v>
      </c>
      <c r="AA2459" s="13" t="s">
        <v>10385</v>
      </c>
      <c r="AB2459" s="13" t="s">
        <v>10386</v>
      </c>
    </row>
    <row r="2460" spans="1:29">
      <c r="A2460" s="2" t="s">
        <v>9633</v>
      </c>
      <c r="B2460" s="2" t="s">
        <v>28</v>
      </c>
      <c r="C2460" s="11" t="s">
        <v>3991</v>
      </c>
      <c r="D2460" s="2" t="s">
        <v>72</v>
      </c>
      <c r="E2460" s="2" t="s">
        <v>73</v>
      </c>
      <c r="F2460" s="11" t="s">
        <v>74</v>
      </c>
      <c r="G2460" s="11" t="s">
        <v>75</v>
      </c>
      <c r="H2460" s="2" t="s">
        <v>464</v>
      </c>
      <c r="I2460" s="2" t="s">
        <v>332</v>
      </c>
      <c r="J2460" s="8">
        <f>+Tabla1[[#This Row],[FECHA ENTRADA]]</f>
        <v>45403</v>
      </c>
      <c r="K2460" s="22">
        <v>45821</v>
      </c>
      <c r="L2460" s="13">
        <f>_xlfn.DAYS(Tabla1[[#This Row],[FECHA FIN ]],Tabla1[[#This Row],[FECHA INICIO]])</f>
        <v>418</v>
      </c>
      <c r="M2460" s="12"/>
      <c r="N2460" s="12"/>
      <c r="O2460" s="12">
        <f>(Tabla1[[#This Row],[COSTO FIJO ]]/30)*Tabla1[[#This Row],[TOTAL DIAS PROYECTO]]+(Tabla1[[#This Row],[COSTO TEMPORAL]])</f>
        <v>0</v>
      </c>
      <c r="P2460" s="12"/>
      <c r="Q2460" s="12">
        <f>+(Tabla1[[#This Row],[COSTO COCHE]]/30)*Tabla1[[#This Row],[TOTAL DIAS PROYECTO]]</f>
        <v>0</v>
      </c>
      <c r="R2460" s="12">
        <f>+Tabla1[[#This Row],[COSTO TOTAL ALOJAMIENTO]]+Tabla1[[#This Row],[COSTO TOTAL COCHE]]</f>
        <v>0</v>
      </c>
      <c r="S2460" s="2"/>
      <c r="T2460" s="2" t="s">
        <v>35</v>
      </c>
      <c r="U2460" s="14">
        <v>45403</v>
      </c>
      <c r="V2460" s="14">
        <v>45404</v>
      </c>
      <c r="W2460" s="2"/>
      <c r="X2460" s="2"/>
      <c r="Y2460" s="18" t="s">
        <v>3992</v>
      </c>
      <c r="Z2460" s="2" t="s">
        <v>36</v>
      </c>
      <c r="AA2460" s="13" t="s">
        <v>10331</v>
      </c>
      <c r="AB2460" s="13" t="s">
        <v>10332</v>
      </c>
    </row>
    <row r="2461" spans="1:29" ht="15" customHeight="1">
      <c r="A2461" s="2" t="s">
        <v>9633</v>
      </c>
      <c r="B2461" s="2" t="s">
        <v>28</v>
      </c>
      <c r="C2461" s="11" t="s">
        <v>3991</v>
      </c>
      <c r="D2461" s="2" t="s">
        <v>72</v>
      </c>
      <c r="E2461" s="64" t="s">
        <v>73</v>
      </c>
      <c r="F2461" s="11" t="s">
        <v>74</v>
      </c>
      <c r="G2461" s="21" t="s">
        <v>75</v>
      </c>
      <c r="H2461" s="64" t="s">
        <v>3993</v>
      </c>
      <c r="I2461" s="20" t="s">
        <v>3994</v>
      </c>
      <c r="J2461" s="8">
        <f>+Tabla1[[#This Row],[FECHA ENTRADA]]</f>
        <v>45406</v>
      </c>
      <c r="K2461" s="22">
        <v>45821</v>
      </c>
      <c r="L2461" s="13">
        <f>_xlfn.DAYS(Tabla1[[#This Row],[FECHA FIN ]],Tabla1[[#This Row],[FECHA INICIO]])</f>
        <v>415</v>
      </c>
      <c r="M2461" s="12"/>
      <c r="N2461" s="12"/>
      <c r="O2461" s="12">
        <f>(Tabla1[[#This Row],[COSTO FIJO ]]/30)*Tabla1[[#This Row],[TOTAL DIAS PROYECTO]]+(Tabla1[[#This Row],[COSTO TEMPORAL]])</f>
        <v>0</v>
      </c>
      <c r="P2461" s="12"/>
      <c r="Q2461" s="12">
        <f>+(Tabla1[[#This Row],[COSTO COCHE]]/30)*Tabla1[[#This Row],[TOTAL DIAS PROYECTO]]</f>
        <v>0</v>
      </c>
      <c r="R2461" s="12">
        <f>+Tabla1[[#This Row],[COSTO TOTAL ALOJAMIENTO]]+Tabla1[[#This Row],[COSTO TOTAL COCHE]]</f>
        <v>0</v>
      </c>
      <c r="S2461" s="2"/>
      <c r="T2461" s="2" t="s">
        <v>35</v>
      </c>
      <c r="U2461" s="14">
        <v>45406</v>
      </c>
      <c r="V2461" s="14"/>
      <c r="W2461" s="2"/>
      <c r="X2461" s="2"/>
      <c r="Y2461" s="18" t="s">
        <v>318</v>
      </c>
      <c r="Z2461" s="2" t="s">
        <v>36</v>
      </c>
      <c r="AA2461" s="13" t="s">
        <v>10331</v>
      </c>
      <c r="AB2461" s="13" t="s">
        <v>10332</v>
      </c>
    </row>
    <row r="2462" spans="1:29">
      <c r="A2462" s="2" t="s">
        <v>8868</v>
      </c>
      <c r="B2462" s="2" t="s">
        <v>368</v>
      </c>
      <c r="C2462" s="11" t="s">
        <v>1093</v>
      </c>
      <c r="D2462" s="2" t="s">
        <v>30</v>
      </c>
      <c r="E2462" s="2" t="s">
        <v>31</v>
      </c>
      <c r="F2462" s="11" t="s">
        <v>562</v>
      </c>
      <c r="G2462" s="11" t="s">
        <v>563</v>
      </c>
      <c r="H2462" s="2" t="s">
        <v>564</v>
      </c>
      <c r="I2462" s="12" t="s">
        <v>514</v>
      </c>
      <c r="J2462" s="8">
        <f>+Tabla1[[#This Row],[FECHA ENTRADA]]</f>
        <v>45501</v>
      </c>
      <c r="K2462" s="22">
        <v>45821</v>
      </c>
      <c r="L2462" s="13">
        <f>_xlfn.DAYS(Tabla1[[#This Row],[FECHA FIN ]],Tabla1[[#This Row],[FECHA INICIO]])</f>
        <v>320</v>
      </c>
      <c r="M2462" s="12"/>
      <c r="N2462" s="12"/>
      <c r="O2462" s="12">
        <f>(Tabla1[[#This Row],[COSTO FIJO ]]/30)*Tabla1[[#This Row],[TOTAL DIAS PROYECTO]]+(Tabla1[[#This Row],[COSTO TEMPORAL]])</f>
        <v>0</v>
      </c>
      <c r="P2462" s="12"/>
      <c r="Q2462" s="12">
        <f>+(Tabla1[[#This Row],[COSTO COCHE]]/30)*Tabla1[[#This Row],[TOTAL DIAS PROYECTO]]</f>
        <v>0</v>
      </c>
      <c r="R2462" s="12">
        <f>+Tabla1[[#This Row],[COSTO TOTAL ALOJAMIENTO]]+Tabla1[[#This Row],[COSTO TOTAL COCHE]]</f>
        <v>0</v>
      </c>
      <c r="S2462" s="2"/>
      <c r="T2462" s="2" t="s">
        <v>35</v>
      </c>
      <c r="U2462" s="14">
        <v>45501</v>
      </c>
      <c r="V2462" s="14"/>
      <c r="W2462" s="26"/>
      <c r="X2462" s="2"/>
      <c r="Y2462" s="18" t="s">
        <v>565</v>
      </c>
      <c r="Z2462" s="2" t="s">
        <v>36</v>
      </c>
      <c r="AA2462" s="13" t="s">
        <v>10323</v>
      </c>
      <c r="AB2462" s="13" t="s">
        <v>10324</v>
      </c>
      <c r="AC2462" s="236"/>
    </row>
    <row r="2463" spans="1:29">
      <c r="A2463" s="2" t="s">
        <v>9634</v>
      </c>
      <c r="B2463" s="2" t="s">
        <v>28</v>
      </c>
      <c r="C2463" s="11" t="s">
        <v>3995</v>
      </c>
      <c r="D2463" s="2" t="s">
        <v>30</v>
      </c>
      <c r="E2463" s="2" t="s">
        <v>31</v>
      </c>
      <c r="F2463" s="11" t="s">
        <v>1450</v>
      </c>
      <c r="G2463" s="11" t="s">
        <v>1451</v>
      </c>
      <c r="H2463" s="2">
        <v>2023</v>
      </c>
      <c r="I2463" s="2" t="s">
        <v>385</v>
      </c>
      <c r="J2463" s="8">
        <v>44933</v>
      </c>
      <c r="K2463" s="22">
        <v>45821</v>
      </c>
      <c r="L2463" s="13">
        <f>_xlfn.DAYS(Tabla1[[#This Row],[FECHA FIN ]],Tabla1[[#This Row],[FECHA INICIO]])</f>
        <v>888</v>
      </c>
      <c r="M2463" s="12"/>
      <c r="N2463" s="20">
        <f>978.63/4</f>
        <v>244.6575</v>
      </c>
      <c r="O2463" s="12">
        <f>(Tabla1[[#This Row],[COSTO FIJO ]]/30)*Tabla1[[#This Row],[TOTAL DIAS PROYECTO]]+(Tabla1[[#This Row],[COSTO TEMPORAL]])</f>
        <v>7241.8620000000001</v>
      </c>
      <c r="P2463" s="12"/>
      <c r="Q2463" s="12">
        <f>+(Tabla1[[#This Row],[COSTO COCHE]]/30)*Tabla1[[#This Row],[TOTAL DIAS PROYECTO]]</f>
        <v>0</v>
      </c>
      <c r="R2463" s="12">
        <f>+Tabla1[[#This Row],[COSTO TOTAL ALOJAMIENTO]]+Tabla1[[#This Row],[COSTO TOTAL COCHE]]</f>
        <v>7241.8620000000001</v>
      </c>
      <c r="S2463" s="2"/>
      <c r="T2463" s="2" t="s">
        <v>35</v>
      </c>
      <c r="U2463" s="14"/>
      <c r="V2463" s="14"/>
      <c r="W2463" s="15"/>
      <c r="X2463" s="16"/>
      <c r="Y2463" s="110" t="s">
        <v>3996</v>
      </c>
      <c r="Z2463" s="2" t="s">
        <v>36</v>
      </c>
      <c r="AA2463" s="13" t="s">
        <v>10323</v>
      </c>
      <c r="AB2463" s="13" t="s">
        <v>10324</v>
      </c>
      <c r="AC2463" s="236"/>
    </row>
    <row r="2464" spans="1:29">
      <c r="A2464" s="2" t="s">
        <v>9606</v>
      </c>
      <c r="B2464" s="2" t="s">
        <v>28</v>
      </c>
      <c r="C2464" s="11" t="s">
        <v>3846</v>
      </c>
      <c r="D2464" s="2" t="s">
        <v>30</v>
      </c>
      <c r="E2464" s="2" t="s">
        <v>31</v>
      </c>
      <c r="F2464" s="11" t="s">
        <v>344</v>
      </c>
      <c r="G2464" s="11" t="s">
        <v>345</v>
      </c>
      <c r="H2464" s="2" t="s">
        <v>3997</v>
      </c>
      <c r="I2464" s="12" t="s">
        <v>347</v>
      </c>
      <c r="J2464" s="8">
        <f>+Tabla1[[#This Row],[FECHA ENTRADA]]</f>
        <v>45487</v>
      </c>
      <c r="K2464" s="22">
        <v>45821</v>
      </c>
      <c r="L2464" s="13">
        <f>_xlfn.DAYS(Tabla1[[#This Row],[FECHA FIN ]],Tabla1[[#This Row],[FECHA INICIO]])</f>
        <v>334</v>
      </c>
      <c r="M2464" s="12"/>
      <c r="N2464" s="12"/>
      <c r="O2464" s="12">
        <f>(Tabla1[[#This Row],[COSTO FIJO ]]/30)*Tabla1[[#This Row],[TOTAL DIAS PROYECTO]]+(Tabla1[[#This Row],[COSTO TEMPORAL]])</f>
        <v>0</v>
      </c>
      <c r="P2464" s="12"/>
      <c r="Q2464" s="12">
        <f>+(Tabla1[[#This Row],[COSTO COCHE]]/30)*Tabla1[[#This Row],[TOTAL DIAS PROYECTO]]</f>
        <v>0</v>
      </c>
      <c r="R2464" s="12">
        <f>+Tabla1[[#This Row],[COSTO TOTAL ALOJAMIENTO]]+Tabla1[[#This Row],[COSTO TOTAL COCHE]]</f>
        <v>0</v>
      </c>
      <c r="S2464" s="2"/>
      <c r="T2464" s="2" t="s">
        <v>35</v>
      </c>
      <c r="U2464" s="14">
        <v>45487</v>
      </c>
      <c r="V2464" s="14"/>
      <c r="W2464" s="26"/>
      <c r="X2464" s="2"/>
      <c r="Y2464" s="31" t="s">
        <v>348</v>
      </c>
      <c r="Z2464" s="2" t="s">
        <v>36</v>
      </c>
      <c r="AA2464" s="13" t="s">
        <v>10323</v>
      </c>
      <c r="AB2464" s="13" t="s">
        <v>10324</v>
      </c>
    </row>
    <row r="2465" spans="1:28">
      <c r="A2465" s="2" t="s">
        <v>9246</v>
      </c>
      <c r="B2465" s="2" t="s">
        <v>28</v>
      </c>
      <c r="C2465" s="11" t="s">
        <v>2578</v>
      </c>
      <c r="D2465" s="2" t="s">
        <v>99</v>
      </c>
      <c r="E2465" s="2" t="s">
        <v>31</v>
      </c>
      <c r="F2465" s="11" t="s">
        <v>1325</v>
      </c>
      <c r="G2465" s="49" t="s">
        <v>1326</v>
      </c>
      <c r="H2465" s="2" t="s">
        <v>3998</v>
      </c>
      <c r="I2465" s="10" t="s">
        <v>1101</v>
      </c>
      <c r="J2465" s="22">
        <f>+Tabla1[[#This Row],[FECHA ENTRADA]]</f>
        <v>45692</v>
      </c>
      <c r="K2465" s="22">
        <v>45693</v>
      </c>
      <c r="L2465" s="23">
        <f>_xlfn.DAYS(Tabla1[[#This Row],[FECHA FIN ]],Tabla1[[#This Row],[FECHA INICIO]])</f>
        <v>1</v>
      </c>
      <c r="M2465" s="12"/>
      <c r="N2465" s="12"/>
      <c r="O2465" s="24">
        <f>(Tabla1[[#This Row],[COSTO FIJO ]]/30)*Tabla1[[#This Row],[TOTAL DIAS PROYECTO]]+(Tabla1[[#This Row],[COSTO TEMPORAL]])</f>
        <v>0</v>
      </c>
      <c r="P2465" s="12"/>
      <c r="Q2465" s="12">
        <f>+(Tabla1[[#This Row],[COSTO COCHE]]/30)*Tabla1[[#This Row],[TOTAL DIAS PROYECTO]]</f>
        <v>0</v>
      </c>
      <c r="R2465" s="12">
        <f>+Tabla1[[#This Row],[COSTO TOTAL ALOJAMIENTO]]+Tabla1[[#This Row],[COSTO TOTAL COCHE]]</f>
        <v>0</v>
      </c>
      <c r="S2465" s="2"/>
      <c r="T2465" s="2" t="s">
        <v>613</v>
      </c>
      <c r="U2465" s="14">
        <v>45692</v>
      </c>
      <c r="V2465" s="25"/>
      <c r="W2465" s="26"/>
      <c r="X2465" s="2"/>
      <c r="Y2465" s="11"/>
      <c r="Z2465" s="2" t="s">
        <v>36</v>
      </c>
      <c r="AA2465" s="13" t="s">
        <v>10323</v>
      </c>
      <c r="AB2465" s="13" t="s">
        <v>10324</v>
      </c>
    </row>
    <row r="2466" spans="1:28">
      <c r="A2466" s="2" t="s">
        <v>8642</v>
      </c>
      <c r="B2466" s="2" t="s">
        <v>978</v>
      </c>
      <c r="C2466" s="11" t="s">
        <v>3999</v>
      </c>
      <c r="D2466" s="2" t="s">
        <v>30</v>
      </c>
      <c r="E2466" s="2" t="s">
        <v>31</v>
      </c>
      <c r="F2466" s="11" t="s">
        <v>715</v>
      </c>
      <c r="G2466" s="11" t="s">
        <v>716</v>
      </c>
      <c r="H2466" s="2"/>
      <c r="I2466" s="2" t="s">
        <v>978</v>
      </c>
      <c r="J2466" s="41">
        <f>+Tabla1[[#This Row],[FECHA ENTRADA]]</f>
        <v>45744</v>
      </c>
      <c r="K2466" s="22">
        <v>45821</v>
      </c>
      <c r="L2466" s="42">
        <f>_xlfn.DAYS(Tabla1[[#This Row],[FECHA FIN ]],Tabla1[[#This Row],[FECHA INICIO]])</f>
        <v>77</v>
      </c>
      <c r="M2466" s="12"/>
      <c r="N2466" s="12">
        <v>160</v>
      </c>
      <c r="O2466" s="28">
        <f>(Tabla1[[#This Row],[COSTO FIJO ]]/30)*Tabla1[[#This Row],[TOTAL DIAS PROYECTO]]+(Tabla1[[#This Row],[COSTO TEMPORAL]])</f>
        <v>410.66666666666663</v>
      </c>
      <c r="P2466" s="12"/>
      <c r="Q2466" s="12">
        <f>+(Tabla1[[#This Row],[COSTO COCHE]]/30)*Tabla1[[#This Row],[TOTAL DIAS PROYECTO]]</f>
        <v>0</v>
      </c>
      <c r="R2466" s="12">
        <f>+Tabla1[[#This Row],[COSTO TOTAL ALOJAMIENTO]]+Tabla1[[#This Row],[COSTO TOTAL COCHE]]</f>
        <v>410.66666666666663</v>
      </c>
      <c r="S2466" s="2"/>
      <c r="T2466" s="2" t="s">
        <v>613</v>
      </c>
      <c r="U2466" s="14">
        <v>45744</v>
      </c>
      <c r="V2466" s="43"/>
      <c r="W2466" s="26"/>
      <c r="X2466" s="2">
        <v>1</v>
      </c>
      <c r="Y2466" s="11"/>
      <c r="Z2466" s="2" t="s">
        <v>36</v>
      </c>
      <c r="AA2466" s="13" t="s">
        <v>10323</v>
      </c>
      <c r="AB2466" s="13" t="s">
        <v>10324</v>
      </c>
    </row>
    <row r="2467" spans="1:28">
      <c r="A2467" s="2" t="s">
        <v>8642</v>
      </c>
      <c r="B2467" s="2" t="s">
        <v>28</v>
      </c>
      <c r="C2467" s="31" t="s">
        <v>1917</v>
      </c>
      <c r="D2467" s="2" t="s">
        <v>99</v>
      </c>
      <c r="E2467" s="2" t="s">
        <v>31</v>
      </c>
      <c r="F2467" s="11" t="s">
        <v>715</v>
      </c>
      <c r="G2467" s="11" t="s">
        <v>716</v>
      </c>
      <c r="H2467" s="2" t="s">
        <v>4000</v>
      </c>
      <c r="I2467" s="12" t="s">
        <v>34</v>
      </c>
      <c r="J2467" s="22">
        <f>+Tabla1[[#This Row],[FECHA ENTRADA]]</f>
        <v>45755</v>
      </c>
      <c r="K2467" s="22">
        <v>45821</v>
      </c>
      <c r="L2467" s="23">
        <f>_xlfn.DAYS(Tabla1[[#This Row],[FECHA FIN ]],Tabla1[[#This Row],[FECHA INICIO]])</f>
        <v>66</v>
      </c>
      <c r="M2467" s="12"/>
      <c r="N2467" s="12">
        <v>160</v>
      </c>
      <c r="O2467" s="24">
        <f>(Tabla1[[#This Row],[COSTO FIJO ]]/30)*Tabla1[[#This Row],[TOTAL DIAS PROYECTO]]+(Tabla1[[#This Row],[COSTO TEMPORAL]])</f>
        <v>352</v>
      </c>
      <c r="P2467" s="12"/>
      <c r="Q2467" s="12">
        <f>+(Tabla1[[#This Row],[COSTO COCHE]]/30)*Tabla1[[#This Row],[TOTAL DIAS PROYECTO]]</f>
        <v>0</v>
      </c>
      <c r="R2467" s="12">
        <f>+Tabla1[[#This Row],[COSTO TOTAL ALOJAMIENTO]]+Tabla1[[#This Row],[COSTO TOTAL COCHE]]</f>
        <v>352</v>
      </c>
      <c r="S2467" s="2"/>
      <c r="T2467" s="2" t="s">
        <v>613</v>
      </c>
      <c r="U2467" s="14">
        <v>45755</v>
      </c>
      <c r="V2467" s="79"/>
      <c r="W2467" s="26"/>
      <c r="X2467" s="2">
        <v>1</v>
      </c>
      <c r="Y2467" s="11"/>
      <c r="Z2467" s="2" t="s">
        <v>36</v>
      </c>
      <c r="AA2467" s="13" t="s">
        <v>10323</v>
      </c>
      <c r="AB2467" s="13" t="s">
        <v>10324</v>
      </c>
    </row>
    <row r="2468" spans="1:28" ht="15" customHeight="1">
      <c r="A2468" s="2" t="s">
        <v>9179</v>
      </c>
      <c r="B2468" s="2" t="s">
        <v>28</v>
      </c>
      <c r="C2468" s="11" t="s">
        <v>2336</v>
      </c>
      <c r="D2468" s="2" t="s">
        <v>749</v>
      </c>
      <c r="E2468" s="2" t="s">
        <v>288</v>
      </c>
      <c r="F2468" s="11" t="s">
        <v>928</v>
      </c>
      <c r="G2468" t="s">
        <v>1031</v>
      </c>
      <c r="H2468" s="2" t="s">
        <v>3675</v>
      </c>
      <c r="I2468" s="10" t="s">
        <v>753</v>
      </c>
      <c r="J2468" s="22">
        <f>+Tabla1[[#This Row],[FECHA ENTRADA]]</f>
        <v>45755</v>
      </c>
      <c r="K2468" s="8">
        <v>45877</v>
      </c>
      <c r="L2468" s="13">
        <f>_xlfn.DAYS(Tabla1[[#This Row],[FECHA FIN ]],Tabla1[[#This Row],[FECHA INICIO]])</f>
        <v>122</v>
      </c>
      <c r="M2468" s="12"/>
      <c r="N2468" s="12">
        <v>730</v>
      </c>
      <c r="O2468" s="12">
        <f>(Tabla1[[#This Row],[COSTO FIJO ]]/30)*Tabla1[[#This Row],[TOTAL DIAS PROYECTO]]+(Tabla1[[#This Row],[COSTO TEMPORAL]])</f>
        <v>2968.6666666666665</v>
      </c>
      <c r="P2468" s="12"/>
      <c r="Q2468" s="12">
        <f>+(Tabla1[[#This Row],[COSTO COCHE]]/30)*Tabla1[[#This Row],[TOTAL DIAS PROYECTO]]</f>
        <v>0</v>
      </c>
      <c r="R2468" s="12">
        <f>+Tabla1[[#This Row],[COSTO TOTAL ALOJAMIENTO]]+Tabla1[[#This Row],[COSTO TOTAL COCHE]]</f>
        <v>2968.6666666666665</v>
      </c>
      <c r="S2468" s="2"/>
      <c r="T2468" s="2" t="s">
        <v>44</v>
      </c>
      <c r="U2468" s="14">
        <v>45755</v>
      </c>
      <c r="V2468" s="14">
        <v>45785</v>
      </c>
      <c r="W2468" s="26"/>
      <c r="X2468" s="2"/>
      <c r="Y2468" s="11" t="s">
        <v>3875</v>
      </c>
      <c r="Z2468" s="2" t="s">
        <v>36</v>
      </c>
      <c r="AA2468" s="13" t="s">
        <v>10362</v>
      </c>
      <c r="AB2468" s="13" t="s">
        <v>10363</v>
      </c>
    </row>
    <row r="2469" spans="1:28" ht="15" customHeight="1">
      <c r="A2469" s="2" t="s">
        <v>9399</v>
      </c>
      <c r="B2469" s="2" t="s">
        <v>28</v>
      </c>
      <c r="C2469" s="11" t="s">
        <v>3049</v>
      </c>
      <c r="D2469" s="2" t="s">
        <v>30</v>
      </c>
      <c r="E2469" s="2" t="s">
        <v>31</v>
      </c>
      <c r="F2469" s="11" t="s">
        <v>344</v>
      </c>
      <c r="G2469" s="11" t="s">
        <v>345</v>
      </c>
      <c r="H2469" s="2" t="s">
        <v>4001</v>
      </c>
      <c r="I2469" s="12" t="s">
        <v>181</v>
      </c>
      <c r="J2469" s="41">
        <v>45558</v>
      </c>
      <c r="K2469" s="22">
        <v>45821</v>
      </c>
      <c r="L2469" s="42">
        <f>_xlfn.DAYS(Tabla1[[#This Row],[FECHA FIN ]],Tabla1[[#This Row],[FECHA INICIO]])</f>
        <v>263</v>
      </c>
      <c r="M2469" s="12"/>
      <c r="N2469" s="12"/>
      <c r="O2469" s="28">
        <f>(Tabla1[[#This Row],[COSTO FIJO ]]/30)*Tabla1[[#This Row],[TOTAL DIAS PROYECTO]]+(Tabla1[[#This Row],[COSTO TEMPORAL]])</f>
        <v>0</v>
      </c>
      <c r="P2469" s="12"/>
      <c r="Q2469" s="12">
        <f>+(Tabla1[[#This Row],[COSTO COCHE]]/30)*Tabla1[[#This Row],[TOTAL DIAS PROYECTO]]</f>
        <v>0</v>
      </c>
      <c r="R2469" s="12">
        <f>+Tabla1[[#This Row],[COSTO TOTAL ALOJAMIENTO]]+Tabla1[[#This Row],[COSTO TOTAL COCHE]]</f>
        <v>0</v>
      </c>
      <c r="S2469" s="2"/>
      <c r="T2469" s="2" t="s">
        <v>35</v>
      </c>
      <c r="U2469" s="14">
        <v>45558</v>
      </c>
      <c r="V2469" s="75"/>
      <c r="W2469" s="26"/>
      <c r="X2469" s="2"/>
      <c r="Y2469" s="11"/>
      <c r="Z2469" s="2" t="s">
        <v>36</v>
      </c>
      <c r="AA2469" s="13" t="s">
        <v>10323</v>
      </c>
      <c r="AB2469" s="13" t="s">
        <v>10324</v>
      </c>
    </row>
    <row r="2470" spans="1:28" ht="15" customHeight="1">
      <c r="A2470" s="2" t="s">
        <v>9549</v>
      </c>
      <c r="B2470" s="2" t="s">
        <v>368</v>
      </c>
      <c r="C2470" s="11" t="s">
        <v>3594</v>
      </c>
      <c r="D2470" s="2" t="s">
        <v>30</v>
      </c>
      <c r="E2470" s="2" t="s">
        <v>259</v>
      </c>
      <c r="F2470" s="11" t="s">
        <v>260</v>
      </c>
      <c r="G2470" s="11" t="s">
        <v>261</v>
      </c>
      <c r="H2470" s="2" t="s">
        <v>4002</v>
      </c>
      <c r="I2470" s="12" t="s">
        <v>4003</v>
      </c>
      <c r="J2470" s="22">
        <f>+Tabla1[[#This Row],[FECHA ENTRADA]]</f>
        <v>45811</v>
      </c>
      <c r="K2470" s="22">
        <v>45821</v>
      </c>
      <c r="L2470" s="23">
        <f>_xlfn.DAYS(Tabla1[[#This Row],[FECHA FIN ]],Tabla1[[#This Row],[FECHA INICIO]])</f>
        <v>10</v>
      </c>
      <c r="M2470" s="12"/>
      <c r="N2470" s="12"/>
      <c r="O2470" s="24">
        <f>(Tabla1[[#This Row],[COSTO FIJO ]]/30)*Tabla1[[#This Row],[TOTAL DIAS PROYECTO]]+(Tabla1[[#This Row],[COSTO TEMPORAL]])</f>
        <v>0</v>
      </c>
      <c r="P2470" s="12"/>
      <c r="Q2470" s="12">
        <f>+(Tabla1[[#This Row],[COSTO COCHE]]/30)*Tabla1[[#This Row],[TOTAL DIAS PROYECTO]]</f>
        <v>0</v>
      </c>
      <c r="R2470" s="12">
        <f>+Tabla1[[#This Row],[COSTO TOTAL ALOJAMIENTO]]+Tabla1[[#This Row],[COSTO TOTAL COCHE]]</f>
        <v>0</v>
      </c>
      <c r="S2470" s="2"/>
      <c r="T2470" s="14" t="s">
        <v>613</v>
      </c>
      <c r="U2470" s="14">
        <v>45811</v>
      </c>
      <c r="V2470" s="180"/>
      <c r="W2470" s="2"/>
      <c r="X2470" s="2"/>
      <c r="Y2470" s="11"/>
      <c r="Z2470" s="2" t="s">
        <v>36</v>
      </c>
      <c r="AA2470" s="13">
        <v>-0.87734000000000001</v>
      </c>
      <c r="AB2470" s="13" t="s">
        <v>10359</v>
      </c>
    </row>
    <row r="2471" spans="1:28" ht="15" customHeight="1">
      <c r="A2471" s="2" t="s">
        <v>9225</v>
      </c>
      <c r="B2471" s="2" t="s">
        <v>368</v>
      </c>
      <c r="C2471" s="11" t="s">
        <v>2502</v>
      </c>
      <c r="D2471" s="2" t="s">
        <v>30</v>
      </c>
      <c r="E2471" s="2" t="s">
        <v>259</v>
      </c>
      <c r="F2471" s="11" t="s">
        <v>260</v>
      </c>
      <c r="G2471" s="11" t="s">
        <v>261</v>
      </c>
      <c r="H2471" s="2" t="s">
        <v>4002</v>
      </c>
      <c r="I2471" s="12" t="s">
        <v>4003</v>
      </c>
      <c r="J2471" s="22">
        <f>+Tabla1[[#This Row],[FECHA ENTRADA]]</f>
        <v>45811</v>
      </c>
      <c r="K2471" s="22">
        <v>45821</v>
      </c>
      <c r="L2471" s="23">
        <f>_xlfn.DAYS(Tabla1[[#This Row],[FECHA FIN ]],Tabla1[[#This Row],[FECHA INICIO]])</f>
        <v>10</v>
      </c>
      <c r="M2471" s="12"/>
      <c r="N2471" s="12"/>
      <c r="O2471" s="24">
        <f>(Tabla1[[#This Row],[COSTO FIJO ]]/30)*Tabla1[[#This Row],[TOTAL DIAS PROYECTO]]+(Tabla1[[#This Row],[COSTO TEMPORAL]])</f>
        <v>0</v>
      </c>
      <c r="P2471" s="12"/>
      <c r="Q2471" s="12">
        <f>+(Tabla1[[#This Row],[COSTO COCHE]]/30)*Tabla1[[#This Row],[TOTAL DIAS PROYECTO]]</f>
        <v>0</v>
      </c>
      <c r="R2471" s="12">
        <f>+Tabla1[[#This Row],[COSTO TOTAL ALOJAMIENTO]]+Tabla1[[#This Row],[COSTO TOTAL COCHE]]</f>
        <v>0</v>
      </c>
      <c r="S2471" s="2"/>
      <c r="T2471" s="14" t="s">
        <v>613</v>
      </c>
      <c r="U2471" s="14">
        <v>45811</v>
      </c>
      <c r="V2471" s="180"/>
      <c r="W2471" s="2"/>
      <c r="X2471" s="2"/>
      <c r="Y2471" s="11"/>
      <c r="Z2471" s="2" t="s">
        <v>36</v>
      </c>
      <c r="AA2471" s="13">
        <v>-0.87734000000000001</v>
      </c>
      <c r="AB2471" s="13" t="s">
        <v>10359</v>
      </c>
    </row>
    <row r="2472" spans="1:28" ht="15" customHeight="1">
      <c r="A2472" s="2" t="s">
        <v>9445</v>
      </c>
      <c r="B2472" s="2" t="s">
        <v>368</v>
      </c>
      <c r="C2472" s="11" t="s">
        <v>3209</v>
      </c>
      <c r="D2472" s="2" t="s">
        <v>99</v>
      </c>
      <c r="E2472" s="2" t="s">
        <v>31</v>
      </c>
      <c r="F2472" s="11" t="s">
        <v>715</v>
      </c>
      <c r="G2472" s="11" t="s">
        <v>716</v>
      </c>
      <c r="H2472" s="2" t="s">
        <v>4004</v>
      </c>
      <c r="I2472" s="10" t="s">
        <v>4005</v>
      </c>
      <c r="J2472" s="22">
        <f>+Tabla1[[#This Row],[FECHA ENTRADA]]</f>
        <v>45783</v>
      </c>
      <c r="K2472" s="22">
        <v>45821</v>
      </c>
      <c r="L2472" s="23">
        <f>_xlfn.DAYS(Tabla1[[#This Row],[FECHA FIN ]],Tabla1[[#This Row],[FECHA INICIO]])</f>
        <v>38</v>
      </c>
      <c r="M2472" s="12"/>
      <c r="N2472" s="12">
        <v>160</v>
      </c>
      <c r="O2472" s="24">
        <f>(Tabla1[[#This Row],[COSTO FIJO ]]/30)*Tabla1[[#This Row],[TOTAL DIAS PROYECTO]]+(Tabla1[[#This Row],[COSTO TEMPORAL]])</f>
        <v>202.66666666666666</v>
      </c>
      <c r="P2472" s="12"/>
      <c r="Q2472" s="12">
        <f>+(Tabla1[[#This Row],[COSTO COCHE]]/30)*Tabla1[[#This Row],[TOTAL DIAS PROYECTO]]</f>
        <v>0</v>
      </c>
      <c r="R2472" s="12">
        <f>+Tabla1[[#This Row],[COSTO TOTAL ALOJAMIENTO]]+Tabla1[[#This Row],[COSTO TOTAL COCHE]]</f>
        <v>202.66666666666666</v>
      </c>
      <c r="S2472" s="2"/>
      <c r="T2472" s="2" t="s">
        <v>35</v>
      </c>
      <c r="U2472" s="14">
        <v>45783</v>
      </c>
      <c r="V2472" s="79"/>
      <c r="W2472" s="26"/>
      <c r="X2472" s="2">
        <v>1</v>
      </c>
      <c r="Y2472" s="11"/>
      <c r="Z2472" s="2" t="s">
        <v>36</v>
      </c>
      <c r="AA2472" s="13" t="s">
        <v>10323</v>
      </c>
      <c r="AB2472" s="13" t="s">
        <v>10324</v>
      </c>
    </row>
    <row r="2473" spans="1:28">
      <c r="A2473" s="2" t="s">
        <v>8672</v>
      </c>
      <c r="B2473" s="2" t="s">
        <v>368</v>
      </c>
      <c r="C2473" s="11" t="s">
        <v>230</v>
      </c>
      <c r="D2473" s="2" t="s">
        <v>30</v>
      </c>
      <c r="E2473" s="2" t="s">
        <v>31</v>
      </c>
      <c r="F2473" s="11" t="s">
        <v>562</v>
      </c>
      <c r="G2473" s="11" t="s">
        <v>563</v>
      </c>
      <c r="H2473" s="2" t="s">
        <v>564</v>
      </c>
      <c r="I2473" s="12" t="s">
        <v>514</v>
      </c>
      <c r="J2473" s="8">
        <f>+Tabla1[[#This Row],[FECHA ENTRADA]]</f>
        <v>45501</v>
      </c>
      <c r="K2473" s="22">
        <v>45821</v>
      </c>
      <c r="L2473" s="13">
        <f>_xlfn.DAYS(Tabla1[[#This Row],[FECHA FIN ]],Tabla1[[#This Row],[FECHA INICIO]])</f>
        <v>320</v>
      </c>
      <c r="M2473" s="12"/>
      <c r="N2473" s="12"/>
      <c r="O2473" s="12">
        <f>(Tabla1[[#This Row],[COSTO FIJO ]]/30)*Tabla1[[#This Row],[TOTAL DIAS PROYECTO]]+(Tabla1[[#This Row],[COSTO TEMPORAL]])</f>
        <v>0</v>
      </c>
      <c r="P2473" s="12"/>
      <c r="Q2473" s="12">
        <f>+(Tabla1[[#This Row],[COSTO COCHE]]/30)*Tabla1[[#This Row],[TOTAL DIAS PROYECTO]]</f>
        <v>0</v>
      </c>
      <c r="R2473" s="12">
        <f>+Tabla1[[#This Row],[COSTO TOTAL ALOJAMIENTO]]+Tabla1[[#This Row],[COSTO TOTAL COCHE]]</f>
        <v>0</v>
      </c>
      <c r="S2473" s="2"/>
      <c r="T2473" s="2" t="s">
        <v>35</v>
      </c>
      <c r="U2473" s="14">
        <v>45501</v>
      </c>
      <c r="V2473" s="14"/>
      <c r="W2473" s="26"/>
      <c r="X2473" s="2"/>
      <c r="Y2473" s="18" t="s">
        <v>565</v>
      </c>
      <c r="Z2473" s="2" t="s">
        <v>36</v>
      </c>
      <c r="AA2473" s="13" t="s">
        <v>10323</v>
      </c>
      <c r="AB2473" s="13" t="s">
        <v>10324</v>
      </c>
    </row>
    <row r="2474" spans="1:28" ht="15" customHeight="1">
      <c r="A2474" s="2" t="s">
        <v>9577</v>
      </c>
      <c r="B2474" s="2" t="s">
        <v>368</v>
      </c>
      <c r="C2474" s="11" t="s">
        <v>3732</v>
      </c>
      <c r="D2474" s="2" t="s">
        <v>30</v>
      </c>
      <c r="E2474" s="2" t="s">
        <v>31</v>
      </c>
      <c r="F2474" s="11" t="s">
        <v>344</v>
      </c>
      <c r="G2474" s="11" t="s">
        <v>345</v>
      </c>
      <c r="H2474" s="2" t="s">
        <v>4006</v>
      </c>
      <c r="I2474" s="12" t="s">
        <v>1104</v>
      </c>
      <c r="J2474" s="41">
        <f>+Tabla1[[#This Row],[FECHA ENTRADA]]</f>
        <v>45629</v>
      </c>
      <c r="K2474" s="22">
        <v>45821</v>
      </c>
      <c r="L2474" s="42">
        <f>_xlfn.DAYS(Tabla1[[#This Row],[FECHA FIN ]],Tabla1[[#This Row],[FECHA INICIO]])</f>
        <v>192</v>
      </c>
      <c r="M2474" s="12"/>
      <c r="N2474" s="12"/>
      <c r="O2474" s="28">
        <f>(Tabla1[[#This Row],[COSTO FIJO ]]/30)*Tabla1[[#This Row],[TOTAL DIAS PROYECTO]]+(Tabla1[[#This Row],[COSTO TEMPORAL]])</f>
        <v>0</v>
      </c>
      <c r="P2474" s="12"/>
      <c r="Q2474" s="12">
        <f>+(Tabla1[[#This Row],[COSTO COCHE]]/30)*Tabla1[[#This Row],[TOTAL DIAS PROYECTO]]</f>
        <v>0</v>
      </c>
      <c r="R2474" s="12">
        <f>+Tabla1[[#This Row],[COSTO TOTAL ALOJAMIENTO]]+Tabla1[[#This Row],[COSTO TOTAL COCHE]]</f>
        <v>0</v>
      </c>
      <c r="S2474" s="2"/>
      <c r="T2474" s="2" t="s">
        <v>35</v>
      </c>
      <c r="U2474" s="14">
        <v>45629</v>
      </c>
      <c r="V2474" s="43"/>
      <c r="W2474" s="26"/>
      <c r="X2474" s="2"/>
      <c r="Y2474" s="11"/>
      <c r="Z2474" s="2" t="s">
        <v>36</v>
      </c>
      <c r="AA2474" s="13" t="s">
        <v>10323</v>
      </c>
      <c r="AB2474" s="13" t="s">
        <v>10324</v>
      </c>
    </row>
    <row r="2475" spans="1:28" ht="15" customHeight="1">
      <c r="A2475" s="2" t="s">
        <v>9068</v>
      </c>
      <c r="B2475" s="2" t="s">
        <v>28</v>
      </c>
      <c r="C2475" s="11" t="s">
        <v>1868</v>
      </c>
      <c r="D2475" s="2" t="s">
        <v>749</v>
      </c>
      <c r="E2475" s="2" t="s">
        <v>288</v>
      </c>
      <c r="F2475" s="11" t="s">
        <v>928</v>
      </c>
      <c r="G2475" t="s">
        <v>1031</v>
      </c>
      <c r="H2475" s="2" t="s">
        <v>3675</v>
      </c>
      <c r="I2475" s="10" t="s">
        <v>753</v>
      </c>
      <c r="J2475" s="22">
        <f>+Tabla1[[#This Row],[FECHA ENTRADA]]</f>
        <v>45755</v>
      </c>
      <c r="K2475" s="8">
        <v>45877</v>
      </c>
      <c r="L2475" s="13">
        <f>_xlfn.DAYS(Tabla1[[#This Row],[FECHA FIN ]],Tabla1[[#This Row],[FECHA INICIO]])</f>
        <v>122</v>
      </c>
      <c r="M2475" s="12"/>
      <c r="N2475" s="12">
        <v>730</v>
      </c>
      <c r="O2475" s="12">
        <f>(Tabla1[[#This Row],[COSTO FIJO ]]/30)*Tabla1[[#This Row],[TOTAL DIAS PROYECTO]]+(Tabla1[[#This Row],[COSTO TEMPORAL]])</f>
        <v>2968.6666666666665</v>
      </c>
      <c r="P2475" s="12"/>
      <c r="Q2475" s="12">
        <f>+(Tabla1[[#This Row],[COSTO COCHE]]/30)*Tabla1[[#This Row],[TOTAL DIAS PROYECTO]]</f>
        <v>0</v>
      </c>
      <c r="R2475" s="12">
        <f>+Tabla1[[#This Row],[COSTO TOTAL ALOJAMIENTO]]+Tabla1[[#This Row],[COSTO TOTAL COCHE]]</f>
        <v>2968.6666666666665</v>
      </c>
      <c r="S2475" s="2"/>
      <c r="T2475" s="2" t="s">
        <v>44</v>
      </c>
      <c r="U2475" s="14">
        <v>45755</v>
      </c>
      <c r="V2475" s="14">
        <v>45785</v>
      </c>
      <c r="W2475" s="26"/>
      <c r="X2475" s="2"/>
      <c r="Y2475" s="11" t="s">
        <v>3839</v>
      </c>
      <c r="Z2475" s="2" t="s">
        <v>36</v>
      </c>
      <c r="AA2475" s="13" t="s">
        <v>10362</v>
      </c>
      <c r="AB2475" s="13" t="s">
        <v>10363</v>
      </c>
    </row>
    <row r="2476" spans="1:28" ht="15" customHeight="1">
      <c r="A2476" s="2" t="s">
        <v>9122</v>
      </c>
      <c r="B2476" s="2" t="s">
        <v>368</v>
      </c>
      <c r="C2476" s="11" t="s">
        <v>2093</v>
      </c>
      <c r="D2476" s="2" t="s">
        <v>99</v>
      </c>
      <c r="E2476" s="2" t="s">
        <v>109</v>
      </c>
      <c r="F2476" s="11" t="s">
        <v>2161</v>
      </c>
      <c r="G2476" s="46" t="s">
        <v>2162</v>
      </c>
      <c r="H2476" s="2" t="s">
        <v>2007</v>
      </c>
      <c r="I2476" s="12" t="s">
        <v>42</v>
      </c>
      <c r="J2476" s="22">
        <f>+Tabla1[[#This Row],[FECHA ENTRADA]]</f>
        <v>45777</v>
      </c>
      <c r="K2476" s="22">
        <v>45810</v>
      </c>
      <c r="L2476" s="23">
        <f>_xlfn.DAYS(Tabla1[[#This Row],[FECHA FIN ]],Tabla1[[#This Row],[FECHA INICIO]])</f>
        <v>33</v>
      </c>
      <c r="M2476" s="12"/>
      <c r="N2476" s="12"/>
      <c r="O2476" s="24">
        <f>(Tabla1[[#This Row],[COSTO FIJO ]]/30)*Tabla1[[#This Row],[TOTAL DIAS PROYECTO]]+(Tabla1[[#This Row],[COSTO TEMPORAL]])</f>
        <v>0</v>
      </c>
      <c r="P2476" s="12">
        <f>613.83/2</f>
        <v>306.91500000000002</v>
      </c>
      <c r="Q2476" s="12">
        <f>+(Tabla1[[#This Row],[COSTO COCHE]]/30)*Tabla1[[#This Row],[TOTAL DIAS PROYECTO]]</f>
        <v>337.60650000000004</v>
      </c>
      <c r="R2476" s="12">
        <f>+Tabla1[[#This Row],[COSTO TOTAL ALOJAMIENTO]]+Tabla1[[#This Row],[COSTO TOTAL COCHE]]</f>
        <v>337.60650000000004</v>
      </c>
      <c r="S2476" s="2"/>
      <c r="T2476" s="2" t="s">
        <v>35</v>
      </c>
      <c r="U2476" s="14">
        <v>45777</v>
      </c>
      <c r="V2476" s="25">
        <v>45788</v>
      </c>
      <c r="W2476" s="26"/>
      <c r="X2476" s="2">
        <v>10</v>
      </c>
      <c r="Y2476" s="11"/>
      <c r="Z2476" s="2" t="s">
        <v>36</v>
      </c>
      <c r="AA2476" s="13">
        <v>0.62217999999999996</v>
      </c>
      <c r="AB2476" s="13" t="s">
        <v>10339</v>
      </c>
    </row>
    <row r="2477" spans="1:28">
      <c r="A2477" s="2" t="s">
        <v>9077</v>
      </c>
      <c r="B2477" s="2" t="s">
        <v>28</v>
      </c>
      <c r="C2477" s="11" t="s">
        <v>1914</v>
      </c>
      <c r="D2477" s="2" t="s">
        <v>30</v>
      </c>
      <c r="E2477" s="2" t="s">
        <v>380</v>
      </c>
      <c r="F2477" s="11" t="s">
        <v>383</v>
      </c>
      <c r="G2477" s="46" t="s">
        <v>381</v>
      </c>
      <c r="H2477" s="2" t="s">
        <v>4007</v>
      </c>
      <c r="I2477" s="12" t="s">
        <v>382</v>
      </c>
      <c r="J2477" s="41">
        <f>+Tabla1[[#This Row],[FECHA ENTRADA]]</f>
        <v>45663</v>
      </c>
      <c r="K2477" s="8">
        <v>45744</v>
      </c>
      <c r="L2477" s="42">
        <f>_xlfn.DAYS(Tabla1[[#This Row],[FECHA FIN ]],Tabla1[[#This Row],[FECHA INICIO]])</f>
        <v>81</v>
      </c>
      <c r="M2477" s="12"/>
      <c r="N2477" s="12"/>
      <c r="O2477" s="28">
        <f>(Tabla1[[#This Row],[COSTO FIJO ]]/30)*Tabla1[[#This Row],[TOTAL DIAS PROYECTO]]+(Tabla1[[#This Row],[COSTO TEMPORAL]])</f>
        <v>0</v>
      </c>
      <c r="P2477" s="12"/>
      <c r="Q2477" s="12">
        <f>+(Tabla1[[#This Row],[COSTO COCHE]]/30)*Tabla1[[#This Row],[TOTAL DIAS PROYECTO]]</f>
        <v>0</v>
      </c>
      <c r="R2477" s="12">
        <f>+Tabla1[[#This Row],[COSTO TOTAL ALOJAMIENTO]]+Tabla1[[#This Row],[COSTO TOTAL COCHE]]</f>
        <v>0</v>
      </c>
      <c r="S2477" s="2"/>
      <c r="T2477" s="2" t="s">
        <v>35</v>
      </c>
      <c r="U2477" s="14">
        <v>45663</v>
      </c>
      <c r="V2477" s="43"/>
      <c r="W2477" s="26"/>
      <c r="X2477" s="2">
        <v>5</v>
      </c>
      <c r="Y2477" s="11"/>
      <c r="Z2477" s="2" t="s">
        <v>36</v>
      </c>
      <c r="AA2477" s="13" t="s">
        <v>10370</v>
      </c>
      <c r="AB2477" s="13" t="s">
        <v>10371</v>
      </c>
    </row>
    <row r="2478" spans="1:28">
      <c r="A2478" s="2" t="s">
        <v>8737</v>
      </c>
      <c r="B2478" s="2" t="s">
        <v>978</v>
      </c>
      <c r="C2478" s="86" t="s">
        <v>510</v>
      </c>
      <c r="D2478" s="2" t="s">
        <v>30</v>
      </c>
      <c r="E2478" s="2" t="s">
        <v>253</v>
      </c>
      <c r="F2478" s="11" t="s">
        <v>4008</v>
      </c>
      <c r="G2478" s="46" t="s">
        <v>3578</v>
      </c>
      <c r="H2478" s="2" t="s">
        <v>1530</v>
      </c>
      <c r="I2478" s="12" t="s">
        <v>1155</v>
      </c>
      <c r="J2478" s="22">
        <f>+Tabla1[[#This Row],[FECHA ENTRADA]]</f>
        <v>45574</v>
      </c>
      <c r="K2478" s="8">
        <v>45822</v>
      </c>
      <c r="L2478" s="42">
        <f>_xlfn.DAYS(Tabla1[[#This Row],[FECHA FIN ]],Tabla1[[#This Row],[FECHA INICIO]])</f>
        <v>248</v>
      </c>
      <c r="M2478" s="12"/>
      <c r="N2478" s="12">
        <v>480</v>
      </c>
      <c r="O2478" s="28">
        <f>(Tabla1[[#This Row],[COSTO FIJO ]]/30)*Tabla1[[#This Row],[TOTAL DIAS PROYECTO]]+(Tabla1[[#This Row],[COSTO TEMPORAL]])</f>
        <v>3968</v>
      </c>
      <c r="P2478" s="12"/>
      <c r="Q2478" s="12">
        <f>+(Tabla1[[#This Row],[COSTO COCHE]]/30)*Tabla1[[#This Row],[TOTAL DIAS PROYECTO]]</f>
        <v>0</v>
      </c>
      <c r="R2478" s="12">
        <f>+Tabla1[[#This Row],[COSTO TOTAL ALOJAMIENTO]]+Tabla1[[#This Row],[COSTO TOTAL COCHE]]</f>
        <v>3968</v>
      </c>
      <c r="S2478" s="2"/>
      <c r="T2478" s="2" t="s">
        <v>35</v>
      </c>
      <c r="U2478" s="14">
        <v>45574</v>
      </c>
      <c r="V2478" s="43"/>
      <c r="W2478" s="26"/>
      <c r="X2478" s="2">
        <v>5</v>
      </c>
      <c r="Y2478" s="11" t="s">
        <v>4009</v>
      </c>
      <c r="Z2478" s="2" t="s">
        <v>36</v>
      </c>
      <c r="AA2478" s="13" t="s">
        <v>10357</v>
      </c>
      <c r="AB2478" s="13" t="s">
        <v>10358</v>
      </c>
    </row>
    <row r="2479" spans="1:28" ht="15" customHeight="1">
      <c r="A2479" s="2" t="s">
        <v>8923</v>
      </c>
      <c r="B2479" s="2" t="s">
        <v>368</v>
      </c>
      <c r="C2479" s="11" t="s">
        <v>1289</v>
      </c>
      <c r="D2479" s="2" t="s">
        <v>30</v>
      </c>
      <c r="E2479" s="2" t="s">
        <v>855</v>
      </c>
      <c r="F2479" s="11" t="s">
        <v>4010</v>
      </c>
      <c r="G2479" t="s">
        <v>4011</v>
      </c>
      <c r="H2479" s="2" t="s">
        <v>1898</v>
      </c>
      <c r="I2479" s="2" t="s">
        <v>1288</v>
      </c>
      <c r="J2479" s="22">
        <f>+Tabla1[[#This Row],[FECHA ENTRADA]]</f>
        <v>45750</v>
      </c>
      <c r="K2479" s="8">
        <v>45822</v>
      </c>
      <c r="L2479" s="42">
        <f>_xlfn.DAYS(Tabla1[[#This Row],[FECHA FIN ]],Tabla1[[#This Row],[FECHA INICIO]])</f>
        <v>72</v>
      </c>
      <c r="M2479" s="12"/>
      <c r="N2479" s="12"/>
      <c r="O2479" s="28">
        <f>(Tabla1[[#This Row],[COSTO FIJO ]]/30)*Tabla1[[#This Row],[TOTAL DIAS PROYECTO]]+(Tabla1[[#This Row],[COSTO TEMPORAL]])</f>
        <v>0</v>
      </c>
      <c r="P2479" s="12">
        <v>83.333333333333329</v>
      </c>
      <c r="Q2479" s="12">
        <f>+(Tabla1[[#This Row],[COSTO COCHE]]/30)*Tabla1[[#This Row],[TOTAL DIAS PROYECTO]]</f>
        <v>200</v>
      </c>
      <c r="R2479" s="12">
        <f>+Tabla1[[#This Row],[COSTO TOTAL ALOJAMIENTO]]+Tabla1[[#This Row],[COSTO TOTAL COCHE]]</f>
        <v>200</v>
      </c>
      <c r="S2479" s="2"/>
      <c r="T2479" s="2" t="s">
        <v>44</v>
      </c>
      <c r="U2479" s="14">
        <v>45750</v>
      </c>
      <c r="V2479" s="43">
        <v>45838</v>
      </c>
      <c r="W2479" s="26"/>
      <c r="X2479" s="2">
        <v>2</v>
      </c>
      <c r="Y2479" s="11"/>
      <c r="Z2479" s="2" t="s">
        <v>36</v>
      </c>
      <c r="AA2479" s="13" t="s">
        <v>10401</v>
      </c>
      <c r="AB2479" s="13" t="s">
        <v>10402</v>
      </c>
    </row>
    <row r="2480" spans="1:28" ht="15" customHeight="1">
      <c r="A2480" s="2" t="s">
        <v>9623</v>
      </c>
      <c r="B2480" s="2" t="s">
        <v>28</v>
      </c>
      <c r="C2480" s="11" t="s">
        <v>3919</v>
      </c>
      <c r="D2480" s="2" t="s">
        <v>99</v>
      </c>
      <c r="E2480" s="2" t="s">
        <v>127</v>
      </c>
      <c r="F2480" s="11" t="s">
        <v>1643</v>
      </c>
      <c r="G2480" s="49" t="s">
        <v>1644</v>
      </c>
      <c r="H2480" s="2" t="s">
        <v>3920</v>
      </c>
      <c r="I2480" s="12" t="s">
        <v>96</v>
      </c>
      <c r="J2480" s="22">
        <f>+Tabla1[[#This Row],[FECHA ENTRADA]]</f>
        <v>45731</v>
      </c>
      <c r="K2480" s="22">
        <f ca="1">TODAY()</f>
        <v>46260</v>
      </c>
      <c r="L2480" s="23">
        <f ca="1">_xlfn.DAYS(Tabla1[[#This Row],[FECHA FIN ]],Tabla1[[#This Row],[FECHA INICIO]])</f>
        <v>529</v>
      </c>
      <c r="M2480" s="12"/>
      <c r="N2480" s="12">
        <f>168.32/5</f>
        <v>33.664000000000001</v>
      </c>
      <c r="O2480" s="24">
        <f ca="1">(Tabla1[[#This Row],[COSTO FIJO ]]/30)*Tabla1[[#This Row],[TOTAL DIAS PROYECTO]]+(Tabla1[[#This Row],[COSTO TEMPORAL]])</f>
        <v>593.60853333333341</v>
      </c>
      <c r="P2480" s="12"/>
      <c r="Q2480" s="12">
        <f ca="1">+(Tabla1[[#This Row],[COSTO COCHE]]/30)*Tabla1[[#This Row],[TOTAL DIAS PROYECTO]]</f>
        <v>0</v>
      </c>
      <c r="R2480" s="12">
        <f ca="1">+Tabla1[[#This Row],[COSTO TOTAL ALOJAMIENTO]]+Tabla1[[#This Row],[COSTO TOTAL COCHE]]</f>
        <v>593.60853333333341</v>
      </c>
      <c r="S2480" s="2" t="s">
        <v>403</v>
      </c>
      <c r="T2480" s="2" t="s">
        <v>44</v>
      </c>
      <c r="U2480" s="14">
        <v>45731</v>
      </c>
      <c r="V2480" s="25">
        <v>45732</v>
      </c>
      <c r="W2480" s="26"/>
      <c r="X2480" s="2"/>
      <c r="Y2480" s="11" t="s">
        <v>1166</v>
      </c>
      <c r="Z2480" s="2" t="s">
        <v>36</v>
      </c>
      <c r="AA2480" s="13" t="s">
        <v>10342</v>
      </c>
      <c r="AB2480" s="13" t="s">
        <v>10343</v>
      </c>
    </row>
    <row r="2481" spans="1:28" ht="15" customHeight="1">
      <c r="A2481" s="2" t="s">
        <v>9635</v>
      </c>
      <c r="B2481" s="2" t="s">
        <v>28</v>
      </c>
      <c r="C2481" s="11" t="s">
        <v>4012</v>
      </c>
      <c r="D2481" s="2" t="s">
        <v>99</v>
      </c>
      <c r="E2481" s="2" t="s">
        <v>3684</v>
      </c>
      <c r="F2481" s="11" t="s">
        <v>4013</v>
      </c>
      <c r="G2481" s="49" t="s">
        <v>4014</v>
      </c>
      <c r="H2481" s="2" t="s">
        <v>4015</v>
      </c>
      <c r="I2481" s="12" t="s">
        <v>96</v>
      </c>
      <c r="J2481" s="22">
        <f>+Tabla1[[#This Row],[FECHA ENTRADA]]</f>
        <v>45692</v>
      </c>
      <c r="K2481" s="8">
        <v>45696</v>
      </c>
      <c r="L2481" s="23">
        <f>_xlfn.DAYS(Tabla1[[#This Row],[FECHA FIN ]],Tabla1[[#This Row],[FECHA INICIO]])</f>
        <v>4</v>
      </c>
      <c r="M2481" s="12"/>
      <c r="N2481" s="24"/>
      <c r="O2481" s="24">
        <f>(Tabla1[[#This Row],[COSTO FIJO ]]/30)*Tabla1[[#This Row],[TOTAL DIAS PROYECTO]]+(Tabla1[[#This Row],[COSTO TEMPORAL]])</f>
        <v>0</v>
      </c>
      <c r="P2481" s="12">
        <f>1714.47/34</f>
        <v>50.425588235294121</v>
      </c>
      <c r="Q2481" s="12">
        <f>+(Tabla1[[#This Row],[COSTO COCHE]]/30)*Tabla1[[#This Row],[TOTAL DIAS PROYECTO]]</f>
        <v>6.7234117647058831</v>
      </c>
      <c r="R2481" s="12">
        <f>+Tabla1[[#This Row],[COSTO TOTAL ALOJAMIENTO]]+Tabla1[[#This Row],[COSTO TOTAL COCHE]]</f>
        <v>6.7234117647058831</v>
      </c>
      <c r="S2481" s="2"/>
      <c r="T2481" s="2" t="s">
        <v>44</v>
      </c>
      <c r="U2481" s="14">
        <v>45692</v>
      </c>
      <c r="V2481" s="25">
        <v>45696</v>
      </c>
      <c r="W2481" s="26"/>
      <c r="X2481" s="2"/>
      <c r="Y2481" s="11"/>
      <c r="Z2481" s="2" t="s">
        <v>36</v>
      </c>
      <c r="AA2481" s="13" t="s">
        <v>10442</v>
      </c>
      <c r="AB2481" s="13">
        <v>3588919</v>
      </c>
    </row>
    <row r="2482" spans="1:28">
      <c r="A2482" s="2" t="s">
        <v>8963</v>
      </c>
      <c r="B2482" s="2" t="s">
        <v>28</v>
      </c>
      <c r="C2482" s="11" t="s">
        <v>1508</v>
      </c>
      <c r="D2482" s="2" t="s">
        <v>30</v>
      </c>
      <c r="E2482" s="2" t="s">
        <v>151</v>
      </c>
      <c r="F2482" s="11" t="s">
        <v>1499</v>
      </c>
      <c r="G2482" s="11" t="s">
        <v>1500</v>
      </c>
      <c r="H2482" s="2" t="s">
        <v>3927</v>
      </c>
      <c r="I2482" s="12" t="s">
        <v>228</v>
      </c>
      <c r="J2482" s="22">
        <f>+Tabla1[[#This Row],[FECHA ENTRADA]]</f>
        <v>45809</v>
      </c>
      <c r="K2482" s="22">
        <v>45824</v>
      </c>
      <c r="L2482" s="42">
        <f>_xlfn.DAYS(Tabla1[[#This Row],[FECHA FIN ]],Tabla1[[#This Row],[FECHA INICIO]])</f>
        <v>15</v>
      </c>
      <c r="M2482" s="12"/>
      <c r="N2482" s="12"/>
      <c r="O2482" s="28">
        <f>(Tabla1[[#This Row],[COSTO FIJO ]]/30)*Tabla1[[#This Row],[TOTAL DIAS PROYECTO]]+(Tabla1[[#This Row],[COSTO TEMPORAL]])</f>
        <v>0</v>
      </c>
      <c r="P2482" s="12"/>
      <c r="Q2482" s="12">
        <f>+(Tabla1[[#This Row],[COSTO COCHE]]/30)*Tabla1[[#This Row],[TOTAL DIAS PROYECTO]]</f>
        <v>0</v>
      </c>
      <c r="R2482" s="12">
        <f>+Tabla1[[#This Row],[COSTO TOTAL ALOJAMIENTO]]+Tabla1[[#This Row],[COSTO TOTAL COCHE]]</f>
        <v>0</v>
      </c>
      <c r="S2482" s="2"/>
      <c r="T2482" s="2" t="s">
        <v>35</v>
      </c>
      <c r="U2482" s="14">
        <v>45809</v>
      </c>
      <c r="V2482" s="43"/>
      <c r="W2482" s="26"/>
      <c r="X2482" s="2">
        <v>28</v>
      </c>
      <c r="Y2482" s="11" t="s">
        <v>4016</v>
      </c>
      <c r="Z2482" s="2" t="s">
        <v>36</v>
      </c>
      <c r="AA2482" s="13" t="s">
        <v>10345</v>
      </c>
      <c r="AB2482" s="13" t="s">
        <v>10346</v>
      </c>
    </row>
    <row r="2483" spans="1:28" ht="15" customHeight="1">
      <c r="A2483" s="2" t="s">
        <v>9461</v>
      </c>
      <c r="B2483" s="2" t="s">
        <v>368</v>
      </c>
      <c r="C2483" s="11" t="s">
        <v>3262</v>
      </c>
      <c r="D2483" s="2" t="s">
        <v>99</v>
      </c>
      <c r="E2483" s="2" t="s">
        <v>109</v>
      </c>
      <c r="F2483" s="11" t="s">
        <v>3066</v>
      </c>
      <c r="G2483" s="100" t="s">
        <v>3067</v>
      </c>
      <c r="H2483" s="2" t="s">
        <v>3298</v>
      </c>
      <c r="I2483" s="12" t="s">
        <v>42</v>
      </c>
      <c r="J2483" s="22">
        <f>+Tabla1[[#This Row],[FECHA ENTRADA]]</f>
        <v>45760</v>
      </c>
      <c r="K2483" s="22">
        <v>45821</v>
      </c>
      <c r="L2483" s="42">
        <f>_xlfn.DAYS(Tabla1[[#This Row],[FECHA FIN ]],Tabla1[[#This Row],[FECHA INICIO]])</f>
        <v>61</v>
      </c>
      <c r="M2483" s="12"/>
      <c r="N2483" s="12"/>
      <c r="O2483" s="28">
        <f>(Tabla1[[#This Row],[COSTO FIJO ]]/30)*Tabla1[[#This Row],[TOTAL DIAS PROYECTO]]+(Tabla1[[#This Row],[COSTO TEMPORAL]])</f>
        <v>0</v>
      </c>
      <c r="P2483" s="12"/>
      <c r="Q2483" s="12">
        <f>+(Tabla1[[#This Row],[COSTO COCHE]]/30)*Tabla1[[#This Row],[TOTAL DIAS PROYECTO]]</f>
        <v>0</v>
      </c>
      <c r="R2483" s="12">
        <f>+Tabla1[[#This Row],[COSTO TOTAL ALOJAMIENTO]]+Tabla1[[#This Row],[COSTO TOTAL COCHE]]</f>
        <v>0</v>
      </c>
      <c r="S2483" s="2"/>
      <c r="T2483" s="2" t="s">
        <v>35</v>
      </c>
      <c r="U2483" s="14">
        <v>45760</v>
      </c>
      <c r="V2483" s="43"/>
      <c r="W2483" s="26"/>
      <c r="X2483" s="2">
        <v>4</v>
      </c>
      <c r="Y2483" s="11"/>
      <c r="Z2483" s="2" t="s">
        <v>36</v>
      </c>
      <c r="AA2483" s="13">
        <v>0.62217999999999996</v>
      </c>
      <c r="AB2483" s="13" t="s">
        <v>10339</v>
      </c>
    </row>
    <row r="2484" spans="1:28" ht="15" customHeight="1">
      <c r="A2484" s="2" t="s">
        <v>8692</v>
      </c>
      <c r="B2484" s="2" t="s">
        <v>368</v>
      </c>
      <c r="C2484" s="31" t="s">
        <v>309</v>
      </c>
      <c r="D2484" s="2" t="s">
        <v>30</v>
      </c>
      <c r="E2484" s="2" t="s">
        <v>109</v>
      </c>
      <c r="F2484" s="11" t="s">
        <v>2161</v>
      </c>
      <c r="G2484" s="49" t="s">
        <v>2162</v>
      </c>
      <c r="H2484" s="2" t="s">
        <v>1990</v>
      </c>
      <c r="I2484" s="12" t="s">
        <v>42</v>
      </c>
      <c r="J2484" s="41">
        <f>+Tabla1[[#This Row],[FECHA ENTRADA]]</f>
        <v>45783</v>
      </c>
      <c r="K2484" s="8">
        <v>45793</v>
      </c>
      <c r="L2484" s="23">
        <f>_xlfn.DAYS(Tabla1[[#This Row],[FECHA FIN ]],Tabla1[[#This Row],[FECHA INICIO]])</f>
        <v>10</v>
      </c>
      <c r="M2484" s="12"/>
      <c r="N2484" s="12"/>
      <c r="O2484" s="24">
        <f>(Tabla1[[#This Row],[COSTO FIJO ]]/30)*Tabla1[[#This Row],[TOTAL DIAS PROYECTO]]+(Tabla1[[#This Row],[COSTO TEMPORAL]])</f>
        <v>0</v>
      </c>
      <c r="P2484" s="12"/>
      <c r="Q2484" s="12">
        <f>+(Tabla1[[#This Row],[COSTO COCHE]]/30)*Tabla1[[#This Row],[TOTAL DIAS PROYECTO]]</f>
        <v>0</v>
      </c>
      <c r="R2484" s="12">
        <f>+Tabla1[[#This Row],[COSTO TOTAL ALOJAMIENTO]]+Tabla1[[#This Row],[COSTO TOTAL COCHE]]</f>
        <v>0</v>
      </c>
      <c r="S2484" s="2"/>
      <c r="T2484" s="2" t="s">
        <v>35</v>
      </c>
      <c r="U2484" s="14">
        <v>45783</v>
      </c>
      <c r="V2484" s="25"/>
      <c r="W2484" s="26"/>
      <c r="X2484" s="2">
        <v>10</v>
      </c>
      <c r="Y2484" s="11"/>
      <c r="Z2484" s="2" t="s">
        <v>36</v>
      </c>
      <c r="AA2484" s="13">
        <v>0.62217999999999996</v>
      </c>
      <c r="AB2484" s="13" t="s">
        <v>10339</v>
      </c>
    </row>
    <row r="2485" spans="1:28" ht="15" customHeight="1">
      <c r="A2485" s="2" t="s">
        <v>9239</v>
      </c>
      <c r="B2485" s="2" t="s">
        <v>28</v>
      </c>
      <c r="C2485" s="11" t="s">
        <v>2553</v>
      </c>
      <c r="D2485" s="2" t="s">
        <v>30</v>
      </c>
      <c r="E2485" s="2" t="s">
        <v>87</v>
      </c>
      <c r="F2485" s="11" t="s">
        <v>1864</v>
      </c>
      <c r="G2485" s="11" t="s">
        <v>2195</v>
      </c>
      <c r="H2485" s="2" t="s">
        <v>4017</v>
      </c>
      <c r="I2485" s="12" t="s">
        <v>34</v>
      </c>
      <c r="J2485" s="41">
        <f>+Tabla1[[#This Row],[FECHA ENTRADA]]</f>
        <v>45817</v>
      </c>
      <c r="K2485" s="22">
        <v>45825</v>
      </c>
      <c r="L2485" s="42">
        <f>_xlfn.DAYS(Tabla1[[#This Row],[FECHA FIN ]],Tabla1[[#This Row],[FECHA INICIO]])</f>
        <v>8</v>
      </c>
      <c r="M2485" s="12"/>
      <c r="N2485" s="20">
        <v>350.4</v>
      </c>
      <c r="O2485" s="28">
        <f>(Tabla1[[#This Row],[COSTO FIJO ]]/30)*Tabla1[[#This Row],[TOTAL DIAS PROYECTO]]+(Tabla1[[#This Row],[COSTO TEMPORAL]])</f>
        <v>93.44</v>
      </c>
      <c r="P2485" s="12"/>
      <c r="Q2485" s="12">
        <f>+(Tabla1[[#This Row],[COSTO COCHE]]/30)*Tabla1[[#This Row],[TOTAL DIAS PROYECTO]]</f>
        <v>0</v>
      </c>
      <c r="R2485" s="12">
        <f>+Tabla1[[#This Row],[COSTO TOTAL ALOJAMIENTO]]+Tabla1[[#This Row],[COSTO TOTAL COCHE]]</f>
        <v>93.44</v>
      </c>
      <c r="S2485" s="2"/>
      <c r="T2485" s="2" t="s">
        <v>35</v>
      </c>
      <c r="U2485" s="14">
        <v>45817</v>
      </c>
      <c r="V2485" s="43"/>
      <c r="W2485" s="2"/>
      <c r="X2485" s="2">
        <v>5</v>
      </c>
      <c r="Y2485" s="11"/>
      <c r="Z2485" s="2" t="s">
        <v>36</v>
      </c>
      <c r="AA2485" s="13" t="s">
        <v>10335</v>
      </c>
      <c r="AB2485" s="13">
        <v>404.16500000000002</v>
      </c>
    </row>
    <row r="2486" spans="1:28" ht="15" customHeight="1">
      <c r="A2486" s="2" t="s">
        <v>9636</v>
      </c>
      <c r="B2486" s="2" t="s">
        <v>28</v>
      </c>
      <c r="C2486" s="87" t="s">
        <v>4018</v>
      </c>
      <c r="D2486" s="2" t="s">
        <v>30</v>
      </c>
      <c r="E2486" s="2" t="s">
        <v>259</v>
      </c>
      <c r="F2486" s="11" t="s">
        <v>260</v>
      </c>
      <c r="G2486" s="11" t="s">
        <v>261</v>
      </c>
      <c r="H2486" s="2" t="s">
        <v>4019</v>
      </c>
      <c r="I2486" s="12" t="s">
        <v>263</v>
      </c>
      <c r="J2486" s="41">
        <f>+Tabla1[[#This Row],[FECHA ENTRADA]]</f>
        <v>45635</v>
      </c>
      <c r="K2486" s="41">
        <v>45825</v>
      </c>
      <c r="L2486" s="42">
        <f>_xlfn.DAYS(Tabla1[[#This Row],[FECHA FIN ]],Tabla1[[#This Row],[FECHA INICIO]])</f>
        <v>190</v>
      </c>
      <c r="M2486" s="12"/>
      <c r="N2486" s="28">
        <v>450</v>
      </c>
      <c r="O2486" s="28">
        <f>(Tabla1[[#This Row],[COSTO FIJO ]]/30)*Tabla1[[#This Row],[TOTAL DIAS PROYECTO]]+(Tabla1[[#This Row],[COSTO TEMPORAL]])</f>
        <v>2850</v>
      </c>
      <c r="P2486" s="12"/>
      <c r="Q2486" s="12">
        <f>+(Tabla1[[#This Row],[COSTO COCHE]]/30)*Tabla1[[#This Row],[TOTAL DIAS PROYECTO]]</f>
        <v>0</v>
      </c>
      <c r="R2486" s="12">
        <f>+Tabla1[[#This Row],[COSTO TOTAL ALOJAMIENTO]]+Tabla1[[#This Row],[COSTO TOTAL COCHE]]</f>
        <v>2850</v>
      </c>
      <c r="S2486" s="2"/>
      <c r="T2486" s="2" t="s">
        <v>35</v>
      </c>
      <c r="U2486" s="14">
        <v>45635</v>
      </c>
      <c r="V2486" s="43"/>
      <c r="W2486" s="26"/>
      <c r="X2486" s="2">
        <v>8</v>
      </c>
      <c r="Y2486" s="11" t="s">
        <v>4020</v>
      </c>
      <c r="Z2486" s="2" t="s">
        <v>36</v>
      </c>
      <c r="AA2486" s="13">
        <v>-0.87734000000000001</v>
      </c>
      <c r="AB2486" s="13" t="s">
        <v>10359</v>
      </c>
    </row>
    <row r="2487" spans="1:28" ht="15" customHeight="1">
      <c r="A2487" s="2" t="s">
        <v>9603</v>
      </c>
      <c r="B2487" s="2" t="s">
        <v>28</v>
      </c>
      <c r="C2487" s="11" t="s">
        <v>3830</v>
      </c>
      <c r="D2487" s="2" t="s">
        <v>30</v>
      </c>
      <c r="E2487" s="2" t="s">
        <v>225</v>
      </c>
      <c r="F2487" s="11" t="s">
        <v>4021</v>
      </c>
      <c r="G2487" s="46" t="s">
        <v>3969</v>
      </c>
      <c r="H2487" s="2" t="s">
        <v>3114</v>
      </c>
      <c r="I2487" s="12" t="s">
        <v>228</v>
      </c>
      <c r="J2487" s="41">
        <f>+Tabla1[[#This Row],[FECHA ENTRADA]]</f>
        <v>45675</v>
      </c>
      <c r="K2487" s="22">
        <v>45821</v>
      </c>
      <c r="L2487" s="42">
        <f>_xlfn.DAYS(Tabla1[[#This Row],[FECHA FIN ]],Tabla1[[#This Row],[FECHA INICIO]])</f>
        <v>146</v>
      </c>
      <c r="M2487" s="12"/>
      <c r="N2487" s="12"/>
      <c r="O2487" s="28">
        <f>(Tabla1[[#This Row],[COSTO FIJO ]]/30)*Tabla1[[#This Row],[TOTAL DIAS PROYECTO]]+(Tabla1[[#This Row],[COSTO TEMPORAL]])</f>
        <v>0</v>
      </c>
      <c r="P2487" s="12"/>
      <c r="Q2487" s="12">
        <f>+(Tabla1[[#This Row],[COSTO COCHE]]/30)*Tabla1[[#This Row],[TOTAL DIAS PROYECTO]]</f>
        <v>0</v>
      </c>
      <c r="R2487" s="12">
        <f>+Tabla1[[#This Row],[COSTO TOTAL ALOJAMIENTO]]+Tabla1[[#This Row],[COSTO TOTAL COCHE]]</f>
        <v>0</v>
      </c>
      <c r="S2487" s="2"/>
      <c r="T2487" s="2" t="s">
        <v>35</v>
      </c>
      <c r="U2487" s="14">
        <v>45675</v>
      </c>
      <c r="V2487" s="43"/>
      <c r="W2487" s="26"/>
      <c r="X2487" s="2"/>
      <c r="Y2487" s="11" t="s">
        <v>3971</v>
      </c>
      <c r="Z2487" s="2" t="s">
        <v>36</v>
      </c>
      <c r="AA2487" s="13" t="s">
        <v>10353</v>
      </c>
      <c r="AB2487" s="13" t="s">
        <v>10354</v>
      </c>
    </row>
    <row r="2488" spans="1:28" ht="15" customHeight="1">
      <c r="A2488" s="2" t="s">
        <v>9363</v>
      </c>
      <c r="B2488" s="2" t="s">
        <v>368</v>
      </c>
      <c r="C2488" s="11" t="s">
        <v>2939</v>
      </c>
      <c r="D2488" s="2" t="s">
        <v>30</v>
      </c>
      <c r="E2488" s="2" t="s">
        <v>151</v>
      </c>
      <c r="F2488" s="11" t="s">
        <v>4022</v>
      </c>
      <c r="G2488" s="46" t="s">
        <v>2557</v>
      </c>
      <c r="H2488" s="2" t="s">
        <v>1260</v>
      </c>
      <c r="I2488" s="12" t="s">
        <v>152</v>
      </c>
      <c r="J2488" s="41">
        <f>+Tabla1[[#This Row],[FECHA ENTRADA]]</f>
        <v>45664</v>
      </c>
      <c r="K2488" s="22">
        <v>45825</v>
      </c>
      <c r="L2488" s="42">
        <f>_xlfn.DAYS(Tabla1[[#This Row],[FECHA FIN ]],Tabla1[[#This Row],[FECHA INICIO]])</f>
        <v>161</v>
      </c>
      <c r="M2488" s="12"/>
      <c r="N2488" s="12"/>
      <c r="O2488" s="28">
        <f>(Tabla1[[#This Row],[COSTO FIJO ]]/30)*Tabla1[[#This Row],[TOTAL DIAS PROYECTO]]+(Tabla1[[#This Row],[COSTO TEMPORAL]])</f>
        <v>0</v>
      </c>
      <c r="P2488" s="12"/>
      <c r="Q2488" s="12">
        <f>+(Tabla1[[#This Row],[COSTO COCHE]]/30)*Tabla1[[#This Row],[TOTAL DIAS PROYECTO]]</f>
        <v>0</v>
      </c>
      <c r="R2488" s="12">
        <f>+Tabla1[[#This Row],[COSTO TOTAL ALOJAMIENTO]]+Tabla1[[#This Row],[COSTO TOTAL COCHE]]</f>
        <v>0</v>
      </c>
      <c r="S2488" s="2"/>
      <c r="T2488" s="2" t="s">
        <v>35</v>
      </c>
      <c r="U2488" s="14">
        <v>45664</v>
      </c>
      <c r="V2488" s="43"/>
      <c r="W2488" s="26"/>
      <c r="X2488" s="2">
        <v>15</v>
      </c>
      <c r="Y2488" s="11"/>
      <c r="Z2488" s="2" t="s">
        <v>36</v>
      </c>
      <c r="AA2488" s="13" t="s">
        <v>10345</v>
      </c>
      <c r="AB2488" s="13" t="s">
        <v>10346</v>
      </c>
    </row>
    <row r="2489" spans="1:28" ht="15" customHeight="1">
      <c r="A2489" s="2" t="s">
        <v>9306</v>
      </c>
      <c r="B2489" s="2" t="s">
        <v>28</v>
      </c>
      <c r="C2489" s="11" t="s">
        <v>2762</v>
      </c>
      <c r="D2489" s="2" t="s">
        <v>99</v>
      </c>
      <c r="E2489" s="2" t="s">
        <v>31</v>
      </c>
      <c r="F2489" s="11" t="s">
        <v>344</v>
      </c>
      <c r="G2489" s="11" t="s">
        <v>345</v>
      </c>
      <c r="H2489" s="2" t="s">
        <v>4023</v>
      </c>
      <c r="I2489" s="12" t="s">
        <v>34</v>
      </c>
      <c r="J2489" s="22">
        <f>+Tabla1[[#This Row],[FECHA ENTRADA]]</f>
        <v>45737</v>
      </c>
      <c r="K2489" s="22">
        <v>45825</v>
      </c>
      <c r="L2489" s="23">
        <f>_xlfn.DAYS(Tabla1[[#This Row],[FECHA FIN ]],Tabla1[[#This Row],[FECHA INICIO]])</f>
        <v>88</v>
      </c>
      <c r="M2489" s="12"/>
      <c r="N2489" s="12"/>
      <c r="O2489" s="24">
        <f>(Tabla1[[#This Row],[COSTO FIJO ]]/30)*Tabla1[[#This Row],[TOTAL DIAS PROYECTO]]+(Tabla1[[#This Row],[COSTO TEMPORAL]])</f>
        <v>0</v>
      </c>
      <c r="P2489" s="12"/>
      <c r="Q2489" s="12">
        <f>+(Tabla1[[#This Row],[COSTO COCHE]]/30)*Tabla1[[#This Row],[TOTAL DIAS PROYECTO]]</f>
        <v>0</v>
      </c>
      <c r="R2489" s="12">
        <f>+Tabla1[[#This Row],[COSTO TOTAL ALOJAMIENTO]]+Tabla1[[#This Row],[COSTO TOTAL COCHE]]</f>
        <v>0</v>
      </c>
      <c r="S2489" s="2"/>
      <c r="T2489" s="2" t="s">
        <v>35</v>
      </c>
      <c r="U2489" s="14">
        <v>45737</v>
      </c>
      <c r="V2489" s="79"/>
      <c r="W2489" s="26"/>
      <c r="X2489" s="2"/>
      <c r="Y2489" s="11"/>
      <c r="Z2489" s="2" t="s">
        <v>36</v>
      </c>
      <c r="AA2489" s="13" t="s">
        <v>10323</v>
      </c>
      <c r="AB2489" s="13" t="s">
        <v>10324</v>
      </c>
    </row>
    <row r="2490" spans="1:28" ht="15" customHeight="1">
      <c r="A2490" s="2" t="s">
        <v>8974</v>
      </c>
      <c r="B2490" s="2" t="s">
        <v>28</v>
      </c>
      <c r="C2490" s="11" t="s">
        <v>1564</v>
      </c>
      <c r="D2490" s="2" t="s">
        <v>99</v>
      </c>
      <c r="E2490" s="2" t="s">
        <v>213</v>
      </c>
      <c r="F2490" s="11" t="s">
        <v>1728</v>
      </c>
      <c r="G2490" s="11" t="s">
        <v>1729</v>
      </c>
      <c r="H2490" s="2" t="s">
        <v>4024</v>
      </c>
      <c r="I2490" s="10" t="s">
        <v>560</v>
      </c>
      <c r="J2490" s="41">
        <f>+Tabla1[[#This Row],[FECHA ENTRADA]]</f>
        <v>45781</v>
      </c>
      <c r="K2490" s="8">
        <v>45825</v>
      </c>
      <c r="L2490" s="23">
        <f>_xlfn.DAYS(Tabla1[[#This Row],[FECHA FIN ]],Tabla1[[#This Row],[FECHA INICIO]])</f>
        <v>44</v>
      </c>
      <c r="M2490" s="12"/>
      <c r="N2490" s="12"/>
      <c r="O2490" s="24">
        <f>(Tabla1[[#This Row],[COSTO FIJO ]]/30)*Tabla1[[#This Row],[TOTAL DIAS PROYECTO]]+(Tabla1[[#This Row],[COSTO TEMPORAL]])</f>
        <v>0</v>
      </c>
      <c r="P2490" s="12"/>
      <c r="Q2490" s="12">
        <f>+(Tabla1[[#This Row],[COSTO COCHE]]/30)*Tabla1[[#This Row],[TOTAL DIAS PROYECTO]]</f>
        <v>0</v>
      </c>
      <c r="R2490" s="12">
        <f>+Tabla1[[#This Row],[COSTO TOTAL ALOJAMIENTO]]+Tabla1[[#This Row],[COSTO TOTAL COCHE]]</f>
        <v>0</v>
      </c>
      <c r="S2490" s="2"/>
      <c r="T2490" s="2" t="s">
        <v>35</v>
      </c>
      <c r="U2490" s="14">
        <v>45781</v>
      </c>
      <c r="V2490" s="25"/>
      <c r="W2490" s="26"/>
      <c r="X2490" s="2"/>
      <c r="Y2490" s="11" t="s">
        <v>1731</v>
      </c>
      <c r="Z2490" s="2" t="s">
        <v>36</v>
      </c>
      <c r="AA2490" s="13" t="s">
        <v>10349</v>
      </c>
      <c r="AB2490" s="13" t="s">
        <v>10350</v>
      </c>
    </row>
    <row r="2491" spans="1:28" ht="15" customHeight="1">
      <c r="A2491" s="2" t="s">
        <v>9637</v>
      </c>
      <c r="B2491" s="2" t="s">
        <v>28</v>
      </c>
      <c r="C2491" s="31" t="s">
        <v>4025</v>
      </c>
      <c r="D2491" s="2" t="s">
        <v>30</v>
      </c>
      <c r="E2491" s="2" t="s">
        <v>151</v>
      </c>
      <c r="F2491" s="11" t="s">
        <v>1259</v>
      </c>
      <c r="G2491" s="46" t="s">
        <v>2557</v>
      </c>
      <c r="H2491" s="2" t="s">
        <v>4026</v>
      </c>
      <c r="I2491" s="12" t="s">
        <v>228</v>
      </c>
      <c r="J2491" s="41">
        <f>+Tabla1[[#This Row],[FECHA ENTRADA]]</f>
        <v>45820</v>
      </c>
      <c r="K2491" s="22">
        <v>45826</v>
      </c>
      <c r="L2491" s="42">
        <f>_xlfn.DAYS(Tabla1[[#This Row],[FECHA FIN ]],Tabla1[[#This Row],[FECHA INICIO]])</f>
        <v>6</v>
      </c>
      <c r="M2491" s="12"/>
      <c r="N2491" s="12"/>
      <c r="O2491" s="28">
        <f>(Tabla1[[#This Row],[COSTO FIJO ]]/30)*Tabla1[[#This Row],[TOTAL DIAS PROYECTO]]+(Tabla1[[#This Row],[COSTO TEMPORAL]])</f>
        <v>0</v>
      </c>
      <c r="P2491" s="12"/>
      <c r="Q2491" s="12">
        <f>+(Tabla1[[#This Row],[COSTO COCHE]]/30)*Tabla1[[#This Row],[TOTAL DIAS PROYECTO]]</f>
        <v>0</v>
      </c>
      <c r="R2491" s="12">
        <f>+Tabla1[[#This Row],[COSTO TOTAL ALOJAMIENTO]]+Tabla1[[#This Row],[COSTO TOTAL COCHE]]</f>
        <v>0</v>
      </c>
      <c r="S2491" s="2"/>
      <c r="T2491" s="14" t="s">
        <v>44</v>
      </c>
      <c r="U2491" s="14">
        <v>45820</v>
      </c>
      <c r="V2491" s="79">
        <v>45825</v>
      </c>
      <c r="W2491" s="2"/>
      <c r="X2491" s="2"/>
      <c r="Y2491" s="11"/>
      <c r="Z2491" s="2" t="s">
        <v>36</v>
      </c>
      <c r="AA2491" s="13" t="s">
        <v>10345</v>
      </c>
      <c r="AB2491" s="13" t="s">
        <v>10346</v>
      </c>
    </row>
    <row r="2492" spans="1:28" ht="15" customHeight="1">
      <c r="A2492" s="2" t="s">
        <v>9484</v>
      </c>
      <c r="B2492" s="2" t="s">
        <v>711</v>
      </c>
      <c r="C2492" s="11" t="s">
        <v>3351</v>
      </c>
      <c r="D2492" s="2" t="s">
        <v>78</v>
      </c>
      <c r="E2492" s="2" t="s">
        <v>4027</v>
      </c>
      <c r="F2492" s="11" t="s">
        <v>4028</v>
      </c>
      <c r="G2492" s="46" t="s">
        <v>4029</v>
      </c>
      <c r="H2492" s="2" t="s">
        <v>1360</v>
      </c>
      <c r="I2492" s="29" t="s">
        <v>4030</v>
      </c>
      <c r="J2492" s="41">
        <f>+Tabla1[[#This Row],[FECHA ENTRADA]]</f>
        <v>45829</v>
      </c>
      <c r="K2492" s="8">
        <v>45826</v>
      </c>
      <c r="L2492" s="42">
        <f>_xlfn.DAYS(Tabla1[[#This Row],[FECHA FIN ]],Tabla1[[#This Row],[FECHA INICIO]])</f>
        <v>-3</v>
      </c>
      <c r="M2492" s="12"/>
      <c r="N2492" s="12"/>
      <c r="O2492" s="28">
        <f>(Tabla1[[#This Row],[COSTO FIJO ]]/30)*Tabla1[[#This Row],[TOTAL DIAS PROYECTO]]+(Tabla1[[#This Row],[COSTO TEMPORAL]])</f>
        <v>0</v>
      </c>
      <c r="P2492" s="12"/>
      <c r="Q2492" s="12">
        <f>+(Tabla1[[#This Row],[COSTO COCHE]]/30)*Tabla1[[#This Row],[TOTAL DIAS PROYECTO]]</f>
        <v>0</v>
      </c>
      <c r="R2492" s="12">
        <f>+Tabla1[[#This Row],[COSTO TOTAL ALOJAMIENTO]]+Tabla1[[#This Row],[COSTO TOTAL COCHE]]</f>
        <v>0</v>
      </c>
      <c r="S2492" s="2" t="s">
        <v>84</v>
      </c>
      <c r="T2492" s="2" t="s">
        <v>44</v>
      </c>
      <c r="U2492" s="14">
        <v>45829</v>
      </c>
      <c r="V2492" s="43">
        <v>45860</v>
      </c>
      <c r="W2492" s="2"/>
      <c r="X2492" s="2"/>
      <c r="Y2492" s="11"/>
      <c r="Z2492" s="2" t="s">
        <v>36</v>
      </c>
      <c r="AA2492" s="13" t="e">
        <v>#N/A</v>
      </c>
      <c r="AB2492" s="13" t="e">
        <v>#N/A</v>
      </c>
    </row>
    <row r="2493" spans="1:28">
      <c r="A2493" s="2" t="s">
        <v>8850</v>
      </c>
      <c r="B2493" s="2" t="s">
        <v>28</v>
      </c>
      <c r="C2493" s="11" t="s">
        <v>1012</v>
      </c>
      <c r="D2493" s="2" t="s">
        <v>30</v>
      </c>
      <c r="E2493" s="2" t="s">
        <v>790</v>
      </c>
      <c r="F2493" s="11" t="s">
        <v>791</v>
      </c>
      <c r="G2493" s="11" t="s">
        <v>792</v>
      </c>
      <c r="H2493" s="2" t="s">
        <v>1109</v>
      </c>
      <c r="I2493" s="12" t="s">
        <v>794</v>
      </c>
      <c r="J2493" s="8">
        <f>+Tabla1[[#This Row],[FECHA ENTRADA]]</f>
        <v>45427</v>
      </c>
      <c r="K2493" s="8">
        <v>45827</v>
      </c>
      <c r="L2493" s="13">
        <f>_xlfn.DAYS(Tabla1[[#This Row],[FECHA FIN ]],Tabla1[[#This Row],[FECHA INICIO]])</f>
        <v>400</v>
      </c>
      <c r="M2493" s="12"/>
      <c r="N2493" s="12"/>
      <c r="O2493" s="12">
        <f>(Tabla1[[#This Row],[COSTO FIJO ]]/30)*Tabla1[[#This Row],[TOTAL DIAS PROYECTO]]+(Tabla1[[#This Row],[COSTO TEMPORAL]])</f>
        <v>0</v>
      </c>
      <c r="P2493" s="12"/>
      <c r="Q2493" s="12">
        <f>+(Tabla1[[#This Row],[COSTO COCHE]]/30)*Tabla1[[#This Row],[TOTAL DIAS PROYECTO]]</f>
        <v>0</v>
      </c>
      <c r="R2493" s="12">
        <f>+Tabla1[[#This Row],[COSTO TOTAL ALOJAMIENTO]]+Tabla1[[#This Row],[COSTO TOTAL COCHE]]</f>
        <v>0</v>
      </c>
      <c r="S2493" s="2"/>
      <c r="T2493" s="2" t="s">
        <v>35</v>
      </c>
      <c r="U2493" s="14">
        <v>45427</v>
      </c>
      <c r="V2493" s="14">
        <v>45447</v>
      </c>
      <c r="W2493" s="26"/>
      <c r="X2493" s="2">
        <v>1</v>
      </c>
      <c r="Y2493" s="11" t="s">
        <v>4031</v>
      </c>
      <c r="Z2493" s="2" t="s">
        <v>36</v>
      </c>
      <c r="AA2493" s="13">
        <v>-574377</v>
      </c>
      <c r="AB2493" s="13">
        <v>4150368</v>
      </c>
    </row>
    <row r="2494" spans="1:28" ht="15" customHeight="1">
      <c r="A2494" s="2" t="s">
        <v>9561</v>
      </c>
      <c r="B2494" s="2" t="s">
        <v>28</v>
      </c>
      <c r="C2494" s="31" t="s">
        <v>3650</v>
      </c>
      <c r="D2494" s="2" t="s">
        <v>30</v>
      </c>
      <c r="E2494" s="2" t="s">
        <v>151</v>
      </c>
      <c r="F2494" s="11" t="s">
        <v>1259</v>
      </c>
      <c r="G2494" s="21" t="s">
        <v>2557</v>
      </c>
      <c r="H2494" s="2" t="s">
        <v>2199</v>
      </c>
      <c r="I2494" s="12" t="s">
        <v>2473</v>
      </c>
      <c r="J2494" s="22">
        <f>+Tabla1[[#This Row],[FECHA ENTRADA]]</f>
        <v>45817</v>
      </c>
      <c r="K2494" s="22">
        <v>45827</v>
      </c>
      <c r="L2494" s="23">
        <f>_xlfn.DAYS(Tabla1[[#This Row],[FECHA FIN ]],Tabla1[[#This Row],[FECHA INICIO]])</f>
        <v>10</v>
      </c>
      <c r="M2494" s="12"/>
      <c r="N2494" s="12"/>
      <c r="O2494" s="24">
        <f>(Tabla1[[#This Row],[COSTO FIJO ]]/30)*Tabla1[[#This Row],[TOTAL DIAS PROYECTO]]+(Tabla1[[#This Row],[COSTO TEMPORAL]])</f>
        <v>0</v>
      </c>
      <c r="P2494" s="12"/>
      <c r="Q2494" s="12">
        <f>+(Tabla1[[#This Row],[COSTO COCHE]]/30)*Tabla1[[#This Row],[TOTAL DIAS PROYECTO]]</f>
        <v>0</v>
      </c>
      <c r="R2494" s="12">
        <f>+Tabla1[[#This Row],[COSTO TOTAL ALOJAMIENTO]]+Tabla1[[#This Row],[COSTO TOTAL COCHE]]</f>
        <v>0</v>
      </c>
      <c r="S2494" s="2"/>
      <c r="T2494" s="14" t="s">
        <v>44</v>
      </c>
      <c r="U2494" s="14">
        <v>45817</v>
      </c>
      <c r="V2494" s="79">
        <v>45825</v>
      </c>
      <c r="W2494" s="2"/>
      <c r="X2494" s="2"/>
      <c r="Y2494" s="11"/>
      <c r="Z2494" s="2" t="s">
        <v>36</v>
      </c>
      <c r="AA2494" s="13" t="s">
        <v>10345</v>
      </c>
      <c r="AB2494" s="13" t="s">
        <v>10346</v>
      </c>
    </row>
    <row r="2495" spans="1:28" ht="15" customHeight="1">
      <c r="A2495" s="2" t="s">
        <v>9562</v>
      </c>
      <c r="B2495" s="2" t="s">
        <v>28</v>
      </c>
      <c r="C2495" s="31" t="s">
        <v>3652</v>
      </c>
      <c r="D2495" s="2" t="s">
        <v>30</v>
      </c>
      <c r="E2495" s="2" t="s">
        <v>151</v>
      </c>
      <c r="F2495" s="11" t="s">
        <v>1259</v>
      </c>
      <c r="G2495" s="21" t="s">
        <v>2557</v>
      </c>
      <c r="H2495" s="2" t="s">
        <v>2591</v>
      </c>
      <c r="I2495" s="12" t="s">
        <v>228</v>
      </c>
      <c r="J2495" s="22">
        <f>+Tabla1[[#This Row],[FECHA ENTRADA]]</f>
        <v>45817</v>
      </c>
      <c r="K2495" s="22">
        <v>45827</v>
      </c>
      <c r="L2495" s="23">
        <f>_xlfn.DAYS(Tabla1[[#This Row],[FECHA FIN ]],Tabla1[[#This Row],[FECHA INICIO]])</f>
        <v>10</v>
      </c>
      <c r="M2495" s="12"/>
      <c r="N2495" s="12"/>
      <c r="O2495" s="24">
        <f>(Tabla1[[#This Row],[COSTO FIJO ]]/30)*Tabla1[[#This Row],[TOTAL DIAS PROYECTO]]+(Tabla1[[#This Row],[COSTO TEMPORAL]])</f>
        <v>0</v>
      </c>
      <c r="P2495" s="12"/>
      <c r="Q2495" s="12">
        <f>+(Tabla1[[#This Row],[COSTO COCHE]]/30)*Tabla1[[#This Row],[TOTAL DIAS PROYECTO]]</f>
        <v>0</v>
      </c>
      <c r="R2495" s="12">
        <f>+Tabla1[[#This Row],[COSTO TOTAL ALOJAMIENTO]]+Tabla1[[#This Row],[COSTO TOTAL COCHE]]</f>
        <v>0</v>
      </c>
      <c r="S2495" s="2"/>
      <c r="T2495" s="14" t="s">
        <v>44</v>
      </c>
      <c r="U2495" s="14">
        <v>45817</v>
      </c>
      <c r="V2495" s="79">
        <v>45825</v>
      </c>
      <c r="W2495" s="2"/>
      <c r="X2495" s="2"/>
      <c r="Y2495" s="11"/>
      <c r="Z2495" s="2" t="s">
        <v>36</v>
      </c>
      <c r="AA2495" s="13" t="s">
        <v>10345</v>
      </c>
      <c r="AB2495" s="13" t="s">
        <v>10346</v>
      </c>
    </row>
    <row r="2496" spans="1:28" ht="15" customHeight="1">
      <c r="A2496" s="2" t="s">
        <v>9144</v>
      </c>
      <c r="B2496" s="2" t="s">
        <v>28</v>
      </c>
      <c r="C2496" s="31" t="s">
        <v>2197</v>
      </c>
      <c r="D2496" s="2" t="s">
        <v>30</v>
      </c>
      <c r="E2496" s="2" t="s">
        <v>151</v>
      </c>
      <c r="F2496" s="11" t="s">
        <v>1259</v>
      </c>
      <c r="G2496" s="21" t="s">
        <v>2557</v>
      </c>
      <c r="H2496" s="2" t="s">
        <v>2591</v>
      </c>
      <c r="I2496" s="12" t="s">
        <v>228</v>
      </c>
      <c r="J2496" s="22">
        <f>+Tabla1[[#This Row],[FECHA ENTRADA]]</f>
        <v>45817</v>
      </c>
      <c r="K2496" s="22">
        <v>45827</v>
      </c>
      <c r="L2496" s="23">
        <f>_xlfn.DAYS(Tabla1[[#This Row],[FECHA FIN ]],Tabla1[[#This Row],[FECHA INICIO]])</f>
        <v>10</v>
      </c>
      <c r="M2496" s="12"/>
      <c r="N2496" s="12"/>
      <c r="O2496" s="24">
        <f>(Tabla1[[#This Row],[COSTO FIJO ]]/30)*Tabla1[[#This Row],[TOTAL DIAS PROYECTO]]+(Tabla1[[#This Row],[COSTO TEMPORAL]])</f>
        <v>0</v>
      </c>
      <c r="P2496" s="12"/>
      <c r="Q2496" s="12">
        <f>+(Tabla1[[#This Row],[COSTO COCHE]]/30)*Tabla1[[#This Row],[TOTAL DIAS PROYECTO]]</f>
        <v>0</v>
      </c>
      <c r="R2496" s="12">
        <f>+Tabla1[[#This Row],[COSTO TOTAL ALOJAMIENTO]]+Tabla1[[#This Row],[COSTO TOTAL COCHE]]</f>
        <v>0</v>
      </c>
      <c r="S2496" s="2"/>
      <c r="T2496" s="14" t="s">
        <v>44</v>
      </c>
      <c r="U2496" s="14">
        <v>45817</v>
      </c>
      <c r="V2496" s="79">
        <v>45825</v>
      </c>
      <c r="W2496" s="2"/>
      <c r="X2496" s="2"/>
      <c r="Y2496" s="11"/>
      <c r="Z2496" s="2" t="s">
        <v>36</v>
      </c>
      <c r="AA2496" s="13" t="s">
        <v>10345</v>
      </c>
      <c r="AB2496" s="13" t="s">
        <v>10346</v>
      </c>
    </row>
    <row r="2497" spans="1:28" ht="15" customHeight="1">
      <c r="A2497" s="2" t="s">
        <v>9381</v>
      </c>
      <c r="B2497" s="2" t="s">
        <v>368</v>
      </c>
      <c r="C2497" s="99" t="s">
        <v>2987</v>
      </c>
      <c r="D2497" s="2" t="s">
        <v>30</v>
      </c>
      <c r="E2497" s="2" t="s">
        <v>855</v>
      </c>
      <c r="F2497" s="11" t="s">
        <v>1285</v>
      </c>
      <c r="G2497" s="46" t="s">
        <v>1286</v>
      </c>
      <c r="H2497" s="2" t="s">
        <v>2988</v>
      </c>
      <c r="I2497" s="91" t="s">
        <v>1288</v>
      </c>
      <c r="J2497" s="41">
        <f>+Tabla1[[#This Row],[FECHA ENTRADA]]</f>
        <v>45664</v>
      </c>
      <c r="K2497" s="22">
        <v>45827</v>
      </c>
      <c r="L2497" s="42">
        <f>_xlfn.DAYS(Tabla1[[#This Row],[FECHA FIN ]],Tabla1[[#This Row],[FECHA INICIO]])</f>
        <v>163</v>
      </c>
      <c r="M2497" s="12"/>
      <c r="N2497" s="12"/>
      <c r="O2497" s="28">
        <f>(Tabla1[[#This Row],[COSTO FIJO ]]/30)*Tabla1[[#This Row],[TOTAL DIAS PROYECTO]]+(Tabla1[[#This Row],[COSTO TEMPORAL]])</f>
        <v>0</v>
      </c>
      <c r="P2497" s="12">
        <v>83.333333333333329</v>
      </c>
      <c r="Q2497" s="12">
        <f>+(Tabla1[[#This Row],[COSTO COCHE]]/30)*Tabla1[[#This Row],[TOTAL DIAS PROYECTO]]</f>
        <v>452.77777777777777</v>
      </c>
      <c r="R2497" s="12">
        <f>+Tabla1[[#This Row],[COSTO TOTAL ALOJAMIENTO]]+Tabla1[[#This Row],[COSTO TOTAL COCHE]]</f>
        <v>452.77777777777777</v>
      </c>
      <c r="S2497" s="2"/>
      <c r="T2497" s="2" t="s">
        <v>44</v>
      </c>
      <c r="U2497" s="14">
        <v>45664</v>
      </c>
      <c r="V2497" s="43">
        <v>45831</v>
      </c>
      <c r="W2497" s="26"/>
      <c r="X2497" s="2"/>
      <c r="Y2497" s="11" t="s">
        <v>4032</v>
      </c>
      <c r="Z2497" s="2" t="s">
        <v>36</v>
      </c>
      <c r="AA2497" s="13" t="s">
        <v>10401</v>
      </c>
      <c r="AB2497" s="13" t="s">
        <v>10402</v>
      </c>
    </row>
    <row r="2498" spans="1:28" ht="15" customHeight="1">
      <c r="A2498" s="2" t="s">
        <v>9365</v>
      </c>
      <c r="B2498" s="2" t="s">
        <v>368</v>
      </c>
      <c r="C2498" s="11" t="s">
        <v>2942</v>
      </c>
      <c r="D2498" s="2" t="s">
        <v>78</v>
      </c>
      <c r="E2498" s="2" t="s">
        <v>1297</v>
      </c>
      <c r="F2498" s="11" t="s">
        <v>2166</v>
      </c>
      <c r="G2498" s="46" t="s">
        <v>2167</v>
      </c>
      <c r="H2498" s="2" t="s">
        <v>2168</v>
      </c>
      <c r="I2498" s="10" t="s">
        <v>1301</v>
      </c>
      <c r="J2498" s="41">
        <f>+Tabla1[[#This Row],[FECHA ENTRADA]]</f>
        <v>45770</v>
      </c>
      <c r="K2498" s="22">
        <v>45827</v>
      </c>
      <c r="L2498" s="13">
        <f>_xlfn.DAYS(Tabla1[[#This Row],[FECHA FIN ]],Tabla1[[#This Row],[FECHA INICIO]])</f>
        <v>57</v>
      </c>
      <c r="M2498" s="12"/>
      <c r="N2498" s="12"/>
      <c r="O2498" s="12">
        <f>(Tabla1[[#This Row],[COSTO FIJO ]]/30)*Tabla1[[#This Row],[TOTAL DIAS PROYECTO]]+(Tabla1[[#This Row],[COSTO TEMPORAL]])</f>
        <v>0</v>
      </c>
      <c r="P2498" s="12"/>
      <c r="Q2498" s="12">
        <f>+(Tabla1[[#This Row],[COSTO COCHE]]/30)*Tabla1[[#This Row],[TOTAL DIAS PROYECTO]]</f>
        <v>0</v>
      </c>
      <c r="R2498" s="12">
        <f>+Tabla1[[#This Row],[COSTO TOTAL ALOJAMIENTO]]+Tabla1[[#This Row],[COSTO TOTAL COCHE]]</f>
        <v>0</v>
      </c>
      <c r="S2498" s="2" t="s">
        <v>84</v>
      </c>
      <c r="T2498" s="2" t="s">
        <v>528</v>
      </c>
      <c r="U2498" s="14">
        <v>45770</v>
      </c>
      <c r="V2498" s="14">
        <v>45832</v>
      </c>
      <c r="W2498" s="26"/>
      <c r="X2498" s="2"/>
      <c r="Y2498" t="s">
        <v>4033</v>
      </c>
      <c r="Z2498" s="2" t="s">
        <v>36</v>
      </c>
      <c r="AA2498" s="13" t="s">
        <v>10414</v>
      </c>
      <c r="AB2498" s="13">
        <v>5094783</v>
      </c>
    </row>
    <row r="2499" spans="1:28" ht="15" customHeight="1">
      <c r="A2499" s="2" t="s">
        <v>9638</v>
      </c>
      <c r="B2499" s="2" t="s">
        <v>368</v>
      </c>
      <c r="C2499" s="11" t="s">
        <v>4034</v>
      </c>
      <c r="D2499" s="2" t="s">
        <v>30</v>
      </c>
      <c r="E2499" s="2" t="s">
        <v>380</v>
      </c>
      <c r="F2499" s="11" t="s">
        <v>4035</v>
      </c>
      <c r="G2499" s="46" t="s">
        <v>4036</v>
      </c>
      <c r="H2499" s="2" t="s">
        <v>4037</v>
      </c>
      <c r="I2499" s="12" t="s">
        <v>1288</v>
      </c>
      <c r="J2499" s="22">
        <f>+Tabla1[[#This Row],[FECHA ENTRADA]]</f>
        <v>45672</v>
      </c>
      <c r="K2499" s="8">
        <v>45700</v>
      </c>
      <c r="L2499" s="23">
        <f>_xlfn.DAYS(Tabla1[[#This Row],[FECHA FIN ]],Tabla1[[#This Row],[FECHA INICIO]])</f>
        <v>28</v>
      </c>
      <c r="M2499" s="12"/>
      <c r="N2499" s="12"/>
      <c r="O2499" s="24">
        <f>(Tabla1[[#This Row],[COSTO FIJO ]]/30)*Tabla1[[#This Row],[TOTAL DIAS PROYECTO]]+(Tabla1[[#This Row],[COSTO TEMPORAL]])</f>
        <v>0</v>
      </c>
      <c r="P2499" s="12">
        <f>1600/17</f>
        <v>94.117647058823536</v>
      </c>
      <c r="Q2499" s="12">
        <f>+(Tabla1[[#This Row],[COSTO COCHE]]/30)*Tabla1[[#This Row],[TOTAL DIAS PROYECTO]]</f>
        <v>87.843137254901976</v>
      </c>
      <c r="R2499" s="12">
        <f>+Tabla1[[#This Row],[COSTO TOTAL ALOJAMIENTO]]+Tabla1[[#This Row],[COSTO TOTAL COCHE]]</f>
        <v>87.843137254901976</v>
      </c>
      <c r="S2499" s="2"/>
      <c r="T2499" s="2" t="s">
        <v>35</v>
      </c>
      <c r="U2499" s="14">
        <v>45672</v>
      </c>
      <c r="V2499" s="79"/>
      <c r="W2499" s="26"/>
      <c r="X2499" s="2">
        <v>15</v>
      </c>
      <c r="Y2499" s="11"/>
      <c r="Z2499" s="2" t="s">
        <v>36</v>
      </c>
      <c r="AA2499" s="13" t="s">
        <v>10370</v>
      </c>
      <c r="AB2499" s="13" t="s">
        <v>10371</v>
      </c>
    </row>
    <row r="2500" spans="1:28">
      <c r="A2500" s="2" t="s">
        <v>9639</v>
      </c>
      <c r="B2500" s="10" t="s">
        <v>711</v>
      </c>
      <c r="C2500" s="11" t="s">
        <v>4038</v>
      </c>
      <c r="D2500" s="2" t="s">
        <v>78</v>
      </c>
      <c r="E2500" s="2"/>
      <c r="F2500" s="11" t="s">
        <v>1106</v>
      </c>
      <c r="G2500" s="21"/>
      <c r="H2500" s="2" t="s">
        <v>1753</v>
      </c>
      <c r="I2500" s="12" t="s">
        <v>1392</v>
      </c>
      <c r="J2500" s="22">
        <f>+Tabla1[[#This Row],[FECHA ENTRADA]]</f>
        <v>45809</v>
      </c>
      <c r="K2500" s="22">
        <v>45827</v>
      </c>
      <c r="L2500" s="23">
        <f>_xlfn.DAYS(Tabla1[[#This Row],[FECHA FIN ]],Tabla1[[#This Row],[FECHA INICIO]])</f>
        <v>18</v>
      </c>
      <c r="M2500" s="12"/>
      <c r="N2500" s="12"/>
      <c r="O2500" s="24">
        <f>(Tabla1[[#This Row],[COSTO FIJO ]]/30)*Tabla1[[#This Row],[TOTAL DIAS PROYECTO]]+(Tabla1[[#This Row],[COSTO TEMPORAL]])</f>
        <v>0</v>
      </c>
      <c r="P2500" s="12"/>
      <c r="Q2500" s="12">
        <f>+(Tabla1[[#This Row],[COSTO COCHE]]/30)*Tabla1[[#This Row],[TOTAL DIAS PROYECTO]]</f>
        <v>0</v>
      </c>
      <c r="R2500" s="12">
        <f>+Tabla1[[#This Row],[COSTO TOTAL ALOJAMIENTO]]+Tabla1[[#This Row],[COSTO TOTAL COCHE]]</f>
        <v>0</v>
      </c>
      <c r="S2500" s="2"/>
      <c r="T2500" s="2" t="s">
        <v>8</v>
      </c>
      <c r="U2500" s="14">
        <v>45809</v>
      </c>
      <c r="V2500" s="180"/>
      <c r="W2500" s="2"/>
      <c r="X2500" s="2"/>
      <c r="Y2500" s="11" t="s">
        <v>4039</v>
      </c>
      <c r="Z2500" s="2" t="s">
        <v>36</v>
      </c>
      <c r="AA2500" s="13" t="e">
        <v>#N/A</v>
      </c>
      <c r="AB2500" s="13" t="e">
        <v>#N/A</v>
      </c>
    </row>
    <row r="2501" spans="1:28" ht="15" customHeight="1">
      <c r="A2501" s="2" t="s">
        <v>9640</v>
      </c>
      <c r="B2501" s="2" t="s">
        <v>368</v>
      </c>
      <c r="C2501" s="11" t="s">
        <v>4040</v>
      </c>
      <c r="D2501" s="2" t="s">
        <v>30</v>
      </c>
      <c r="E2501" s="2" t="s">
        <v>31</v>
      </c>
      <c r="F2501" s="11" t="s">
        <v>451</v>
      </c>
      <c r="G2501" s="50" t="s">
        <v>452</v>
      </c>
      <c r="H2501" s="2" t="s">
        <v>4041</v>
      </c>
      <c r="I2501" s="12" t="s">
        <v>1104</v>
      </c>
      <c r="J2501" s="41">
        <f>+Tabla1[[#This Row],[FECHA ENTRADA]]</f>
        <v>45599</v>
      </c>
      <c r="K2501" s="8">
        <v>45828</v>
      </c>
      <c r="L2501" s="42">
        <f>_xlfn.DAYS(Tabla1[[#This Row],[FECHA FIN ]],Tabla1[[#This Row],[FECHA INICIO]])</f>
        <v>229</v>
      </c>
      <c r="M2501" s="12"/>
      <c r="N2501" s="12">
        <v>340</v>
      </c>
      <c r="O2501" s="28">
        <f>(Tabla1[[#This Row],[COSTO FIJO ]]/30)*Tabla1[[#This Row],[TOTAL DIAS PROYECTO]]+(Tabla1[[#This Row],[COSTO TEMPORAL]])</f>
        <v>2595.3333333333335</v>
      </c>
      <c r="P2501" s="12"/>
      <c r="Q2501" s="12">
        <f>+(Tabla1[[#This Row],[COSTO COCHE]]/30)*Tabla1[[#This Row],[TOTAL DIAS PROYECTO]]</f>
        <v>0</v>
      </c>
      <c r="R2501" s="12">
        <f>+Tabla1[[#This Row],[COSTO TOTAL ALOJAMIENTO]]+Tabla1[[#This Row],[COSTO TOTAL COCHE]]</f>
        <v>2595.3333333333335</v>
      </c>
      <c r="S2501" s="2"/>
      <c r="T2501" s="2" t="s">
        <v>35</v>
      </c>
      <c r="U2501" s="14">
        <v>45599</v>
      </c>
      <c r="V2501" s="43"/>
      <c r="W2501" s="26"/>
      <c r="X2501" s="2">
        <v>1</v>
      </c>
      <c r="Y2501" s="11" t="s">
        <v>4042</v>
      </c>
      <c r="Z2501" s="2" t="s">
        <v>36</v>
      </c>
      <c r="AA2501" s="13" t="s">
        <v>10323</v>
      </c>
      <c r="AB2501" s="13" t="s">
        <v>10324</v>
      </c>
    </row>
    <row r="2502" spans="1:28" ht="15" customHeight="1">
      <c r="A2502" s="2" t="s">
        <v>9641</v>
      </c>
      <c r="B2502" s="2" t="s">
        <v>368</v>
      </c>
      <c r="C2502" s="11" t="s">
        <v>4043</v>
      </c>
      <c r="D2502" s="2" t="s">
        <v>30</v>
      </c>
      <c r="E2502" s="2" t="s">
        <v>31</v>
      </c>
      <c r="F2502" s="11" t="s">
        <v>530</v>
      </c>
      <c r="G2502" s="46" t="s">
        <v>531</v>
      </c>
      <c r="H2502" s="2" t="s">
        <v>1633</v>
      </c>
      <c r="I2502" s="12" t="s">
        <v>1104</v>
      </c>
      <c r="J2502" s="41">
        <f>+Tabla1[[#This Row],[FECHA ENTRADA]]</f>
        <v>45630</v>
      </c>
      <c r="K2502" s="22">
        <v>45828</v>
      </c>
      <c r="L2502" s="42">
        <f>_xlfn.DAYS(Tabla1[[#This Row],[FECHA FIN ]],Tabla1[[#This Row],[FECHA INICIO]])</f>
        <v>198</v>
      </c>
      <c r="M2502" s="12"/>
      <c r="N2502" s="12"/>
      <c r="O2502" s="28">
        <f>(Tabla1[[#This Row],[COSTO FIJO ]]/30)*Tabla1[[#This Row],[TOTAL DIAS PROYECTO]]+(Tabla1[[#This Row],[COSTO TEMPORAL]])</f>
        <v>0</v>
      </c>
      <c r="P2502" s="12"/>
      <c r="Q2502" s="12">
        <f>+(Tabla1[[#This Row],[COSTO COCHE]]/30)*Tabla1[[#This Row],[TOTAL DIAS PROYECTO]]</f>
        <v>0</v>
      </c>
      <c r="R2502" s="12">
        <f>+Tabla1[[#This Row],[COSTO TOTAL ALOJAMIENTO]]+Tabla1[[#This Row],[COSTO TOTAL COCHE]]</f>
        <v>0</v>
      </c>
      <c r="S2502" s="2"/>
      <c r="T2502" s="2" t="s">
        <v>35</v>
      </c>
      <c r="U2502" s="14">
        <v>45630</v>
      </c>
      <c r="V2502" s="43"/>
      <c r="W2502" s="26"/>
      <c r="X2502" s="2">
        <v>1</v>
      </c>
      <c r="Y2502" s="11" t="s">
        <v>4042</v>
      </c>
      <c r="Z2502" s="2" t="s">
        <v>36</v>
      </c>
      <c r="AA2502" s="13" t="s">
        <v>10323</v>
      </c>
      <c r="AB2502" s="13" t="s">
        <v>10324</v>
      </c>
    </row>
    <row r="2503" spans="1:28" ht="15" customHeight="1">
      <c r="A2503" s="2" t="s">
        <v>9642</v>
      </c>
      <c r="B2503" s="2" t="s">
        <v>368</v>
      </c>
      <c r="C2503" s="11" t="s">
        <v>4044</v>
      </c>
      <c r="D2503" s="2" t="s">
        <v>30</v>
      </c>
      <c r="E2503" s="2" t="s">
        <v>31</v>
      </c>
      <c r="F2503" s="11" t="s">
        <v>758</v>
      </c>
      <c r="G2503" s="11" t="s">
        <v>759</v>
      </c>
      <c r="H2503" s="2" t="s">
        <v>2893</v>
      </c>
      <c r="I2503" s="12" t="s">
        <v>1104</v>
      </c>
      <c r="J2503" s="22">
        <f>+Tabla1[[#This Row],[FECHA ENTRADA]]</f>
        <v>45628</v>
      </c>
      <c r="K2503" s="22">
        <v>45828</v>
      </c>
      <c r="L2503" s="23">
        <f>_xlfn.DAYS(Tabla1[[#This Row],[FECHA FIN ]],Tabla1[[#This Row],[FECHA INICIO]])</f>
        <v>200</v>
      </c>
      <c r="M2503" s="12"/>
      <c r="N2503" s="12"/>
      <c r="O2503" s="24">
        <f>(Tabla1[[#This Row],[COSTO FIJO ]]/30)*Tabla1[[#This Row],[TOTAL DIAS PROYECTO]]+(Tabla1[[#This Row],[COSTO TEMPORAL]])</f>
        <v>0</v>
      </c>
      <c r="P2503" s="12"/>
      <c r="Q2503" s="12">
        <f>+(Tabla1[[#This Row],[COSTO COCHE]]/30)*Tabla1[[#This Row],[TOTAL DIAS PROYECTO]]</f>
        <v>0</v>
      </c>
      <c r="R2503" s="12">
        <f>+Tabla1[[#This Row],[COSTO TOTAL ALOJAMIENTO]]+Tabla1[[#This Row],[COSTO TOTAL COCHE]]</f>
        <v>0</v>
      </c>
      <c r="S2503" s="2"/>
      <c r="T2503" s="2" t="s">
        <v>35</v>
      </c>
      <c r="U2503" s="14">
        <v>45628</v>
      </c>
      <c r="V2503" s="25"/>
      <c r="W2503" s="26"/>
      <c r="X2503" s="2">
        <v>1</v>
      </c>
      <c r="Y2503" s="11" t="s">
        <v>4042</v>
      </c>
      <c r="Z2503" s="2" t="s">
        <v>36</v>
      </c>
      <c r="AA2503" s="13" t="s">
        <v>10323</v>
      </c>
      <c r="AB2503" s="13" t="s">
        <v>10324</v>
      </c>
    </row>
    <row r="2504" spans="1:28" ht="15" customHeight="1">
      <c r="A2504" s="2" t="s">
        <v>9643</v>
      </c>
      <c r="B2504" s="2" t="s">
        <v>368</v>
      </c>
      <c r="C2504" s="11" t="s">
        <v>4045</v>
      </c>
      <c r="D2504" s="2" t="s">
        <v>30</v>
      </c>
      <c r="E2504" s="2" t="s">
        <v>31</v>
      </c>
      <c r="F2504" s="11" t="s">
        <v>715</v>
      </c>
      <c r="G2504" s="11" t="s">
        <v>716</v>
      </c>
      <c r="H2504" s="2" t="s">
        <v>1103</v>
      </c>
      <c r="I2504" s="12" t="s">
        <v>1104</v>
      </c>
      <c r="J2504" s="41">
        <f>+Tabla1[[#This Row],[FECHA ENTRADA]]</f>
        <v>45587</v>
      </c>
      <c r="K2504" s="22">
        <v>45828</v>
      </c>
      <c r="L2504" s="42">
        <f>_xlfn.DAYS(Tabla1[[#This Row],[FECHA FIN ]],Tabla1[[#This Row],[FECHA INICIO]])</f>
        <v>241</v>
      </c>
      <c r="M2504" s="12"/>
      <c r="N2504" s="12">
        <v>160</v>
      </c>
      <c r="O2504" s="28">
        <f>(Tabla1[[#This Row],[COSTO FIJO ]]/30)*Tabla1[[#This Row],[TOTAL DIAS PROYECTO]]+(Tabla1[[#This Row],[COSTO TEMPORAL]])</f>
        <v>1285.3333333333333</v>
      </c>
      <c r="P2504" s="12"/>
      <c r="Q2504" s="12">
        <f>+(Tabla1[[#This Row],[COSTO COCHE]]/30)*Tabla1[[#This Row],[TOTAL DIAS PROYECTO]]</f>
        <v>0</v>
      </c>
      <c r="R2504" s="12">
        <f>+Tabla1[[#This Row],[COSTO TOTAL ALOJAMIENTO]]+Tabla1[[#This Row],[COSTO TOTAL COCHE]]</f>
        <v>1285.3333333333333</v>
      </c>
      <c r="S2504" s="2"/>
      <c r="T2504" s="2" t="s">
        <v>35</v>
      </c>
      <c r="U2504" s="14">
        <v>45587</v>
      </c>
      <c r="V2504" s="43"/>
      <c r="W2504" s="26"/>
      <c r="X2504" s="2">
        <v>1</v>
      </c>
      <c r="Y2504" s="11" t="s">
        <v>4046</v>
      </c>
      <c r="Z2504" s="2" t="s">
        <v>36</v>
      </c>
      <c r="AA2504" s="13" t="s">
        <v>10323</v>
      </c>
      <c r="AB2504" s="13" t="s">
        <v>10324</v>
      </c>
    </row>
    <row r="2505" spans="1:28" ht="15" customHeight="1">
      <c r="A2505" s="2" t="s">
        <v>9644</v>
      </c>
      <c r="B2505" s="2" t="s">
        <v>368</v>
      </c>
      <c r="C2505" s="11" t="s">
        <v>4047</v>
      </c>
      <c r="D2505" s="2" t="s">
        <v>30</v>
      </c>
      <c r="E2505" s="2" t="s">
        <v>31</v>
      </c>
      <c r="F2505" s="11" t="s">
        <v>715</v>
      </c>
      <c r="G2505" s="11" t="s">
        <v>716</v>
      </c>
      <c r="H2505" s="2" t="s">
        <v>1103</v>
      </c>
      <c r="I2505" s="12" t="s">
        <v>1104</v>
      </c>
      <c r="J2505" s="41">
        <f>+Tabla1[[#This Row],[FECHA ENTRADA]]</f>
        <v>45587</v>
      </c>
      <c r="K2505" s="22">
        <v>45828</v>
      </c>
      <c r="L2505" s="42">
        <f>_xlfn.DAYS(Tabla1[[#This Row],[FECHA FIN ]],Tabla1[[#This Row],[FECHA INICIO]])</f>
        <v>241</v>
      </c>
      <c r="M2505" s="12"/>
      <c r="N2505" s="12">
        <v>160</v>
      </c>
      <c r="O2505" s="28">
        <f>(Tabla1[[#This Row],[COSTO FIJO ]]/30)*Tabla1[[#This Row],[TOTAL DIAS PROYECTO]]+(Tabla1[[#This Row],[COSTO TEMPORAL]])</f>
        <v>1285.3333333333333</v>
      </c>
      <c r="P2505" s="12"/>
      <c r="Q2505" s="12">
        <f>+(Tabla1[[#This Row],[COSTO COCHE]]/30)*Tabla1[[#This Row],[TOTAL DIAS PROYECTO]]</f>
        <v>0</v>
      </c>
      <c r="R2505" s="12">
        <f>+Tabla1[[#This Row],[COSTO TOTAL ALOJAMIENTO]]+Tabla1[[#This Row],[COSTO TOTAL COCHE]]</f>
        <v>1285.3333333333333</v>
      </c>
      <c r="S2505" s="2"/>
      <c r="T2505" s="2" t="s">
        <v>35</v>
      </c>
      <c r="U2505" s="14">
        <v>45587</v>
      </c>
      <c r="V2505" s="43"/>
      <c r="W2505" s="26"/>
      <c r="X2505" s="2">
        <v>1</v>
      </c>
      <c r="Y2505" s="11" t="s">
        <v>4042</v>
      </c>
      <c r="Z2505" s="2" t="s">
        <v>36</v>
      </c>
      <c r="AA2505" s="13" t="s">
        <v>10323</v>
      </c>
      <c r="AB2505" s="13" t="s">
        <v>10324</v>
      </c>
    </row>
    <row r="2506" spans="1:28" ht="15" customHeight="1">
      <c r="A2506" s="2" t="s">
        <v>9645</v>
      </c>
      <c r="B2506" s="2" t="s">
        <v>368</v>
      </c>
      <c r="C2506" s="11" t="s">
        <v>4048</v>
      </c>
      <c r="D2506" s="2" t="s">
        <v>30</v>
      </c>
      <c r="E2506" s="2" t="s">
        <v>31</v>
      </c>
      <c r="F2506" s="11" t="s">
        <v>530</v>
      </c>
      <c r="G2506" s="46" t="s">
        <v>531</v>
      </c>
      <c r="H2506" s="2" t="s">
        <v>1633</v>
      </c>
      <c r="I2506" s="12" t="s">
        <v>1104</v>
      </c>
      <c r="J2506" s="41">
        <f>+Tabla1[[#This Row],[FECHA ENTRADA]]</f>
        <v>45630</v>
      </c>
      <c r="K2506" s="22">
        <v>45828</v>
      </c>
      <c r="L2506" s="42">
        <f>_xlfn.DAYS(Tabla1[[#This Row],[FECHA FIN ]],Tabla1[[#This Row],[FECHA INICIO]])</f>
        <v>198</v>
      </c>
      <c r="M2506" s="12"/>
      <c r="N2506" s="12"/>
      <c r="O2506" s="28">
        <f>(Tabla1[[#This Row],[COSTO FIJO ]]/30)*Tabla1[[#This Row],[TOTAL DIAS PROYECTO]]+(Tabla1[[#This Row],[COSTO TEMPORAL]])</f>
        <v>0</v>
      </c>
      <c r="P2506" s="12"/>
      <c r="Q2506" s="12">
        <f>+(Tabla1[[#This Row],[COSTO COCHE]]/30)*Tabla1[[#This Row],[TOTAL DIAS PROYECTO]]</f>
        <v>0</v>
      </c>
      <c r="R2506" s="12">
        <f>+Tabla1[[#This Row],[COSTO TOTAL ALOJAMIENTO]]+Tabla1[[#This Row],[COSTO TOTAL COCHE]]</f>
        <v>0</v>
      </c>
      <c r="S2506" s="2"/>
      <c r="T2506" s="2" t="s">
        <v>35</v>
      </c>
      <c r="U2506" s="14">
        <v>45630</v>
      </c>
      <c r="V2506" s="43"/>
      <c r="W2506" s="26"/>
      <c r="X2506" s="2">
        <v>1</v>
      </c>
      <c r="Y2506" s="11" t="s">
        <v>4042</v>
      </c>
      <c r="Z2506" s="2" t="s">
        <v>36</v>
      </c>
      <c r="AA2506" s="13" t="s">
        <v>10323</v>
      </c>
      <c r="AB2506" s="13" t="s">
        <v>10324</v>
      </c>
    </row>
    <row r="2507" spans="1:28">
      <c r="A2507" s="2" t="s">
        <v>9646</v>
      </c>
      <c r="B2507" s="2" t="s">
        <v>368</v>
      </c>
      <c r="C2507" s="11" t="s">
        <v>4049</v>
      </c>
      <c r="D2507" s="2" t="s">
        <v>30</v>
      </c>
      <c r="E2507" s="2" t="s">
        <v>31</v>
      </c>
      <c r="F2507" s="11"/>
      <c r="G2507" s="46"/>
      <c r="H2507" s="2" t="s">
        <v>2503</v>
      </c>
      <c r="I2507" s="12" t="s">
        <v>1104</v>
      </c>
      <c r="J2507" s="41">
        <f>+Tabla1[[#This Row],[FECHA ENTRADA]]</f>
        <v>45602</v>
      </c>
      <c r="K2507" s="8">
        <v>45828</v>
      </c>
      <c r="L2507" s="42">
        <f>_xlfn.DAYS(Tabla1[[#This Row],[FECHA FIN ]],Tabla1[[#This Row],[FECHA INICIO]])</f>
        <v>226</v>
      </c>
      <c r="M2507" s="12"/>
      <c r="N2507" s="12">
        <v>300</v>
      </c>
      <c r="O2507" s="28">
        <f>(Tabla1[[#This Row],[COSTO FIJO ]]/30)*Tabla1[[#This Row],[TOTAL DIAS PROYECTO]]+(Tabla1[[#This Row],[COSTO TEMPORAL]])</f>
        <v>2260</v>
      </c>
      <c r="P2507" s="12"/>
      <c r="Q2507" s="12">
        <f>+(Tabla1[[#This Row],[COSTO COCHE]]/30)*Tabla1[[#This Row],[TOTAL DIAS PROYECTO]]</f>
        <v>0</v>
      </c>
      <c r="R2507" s="12">
        <f>+Tabla1[[#This Row],[COSTO TOTAL ALOJAMIENTO]]+Tabla1[[#This Row],[COSTO TOTAL COCHE]]</f>
        <v>2260</v>
      </c>
      <c r="S2507" s="2"/>
      <c r="T2507" s="2" t="s">
        <v>58</v>
      </c>
      <c r="U2507" s="14">
        <v>45602</v>
      </c>
      <c r="V2507" s="43"/>
      <c r="W2507" s="26"/>
      <c r="X2507" s="2"/>
      <c r="Y2507" s="11" t="s">
        <v>4042</v>
      </c>
      <c r="Z2507" s="2" t="s">
        <v>36</v>
      </c>
      <c r="AA2507" s="13" t="s">
        <v>10323</v>
      </c>
      <c r="AB2507" s="13" t="s">
        <v>10324</v>
      </c>
    </row>
    <row r="2508" spans="1:28" ht="15" customHeight="1">
      <c r="A2508" s="2" t="s">
        <v>9315</v>
      </c>
      <c r="B2508" s="2" t="s">
        <v>368</v>
      </c>
      <c r="C2508" s="11" t="s">
        <v>2801</v>
      </c>
      <c r="D2508" s="2" t="s">
        <v>30</v>
      </c>
      <c r="E2508" s="2" t="s">
        <v>31</v>
      </c>
      <c r="F2508" s="11"/>
      <c r="G2508" s="49"/>
      <c r="H2508" s="2" t="s">
        <v>2802</v>
      </c>
      <c r="I2508" s="12" t="s">
        <v>1104</v>
      </c>
      <c r="J2508" s="22">
        <f>+Tabla1[[#This Row],[FECHA ENTRADA]]</f>
        <v>45704</v>
      </c>
      <c r="K2508" s="8">
        <v>45828</v>
      </c>
      <c r="L2508" s="23">
        <f>_xlfn.DAYS(Tabla1[[#This Row],[FECHA FIN ]],Tabla1[[#This Row],[FECHA INICIO]])</f>
        <v>124</v>
      </c>
      <c r="M2508" s="12"/>
      <c r="N2508" s="12">
        <v>300</v>
      </c>
      <c r="O2508" s="24">
        <f>(Tabla1[[#This Row],[COSTO FIJO ]]/30)*Tabla1[[#This Row],[TOTAL DIAS PROYECTO]]+(Tabla1[[#This Row],[COSTO TEMPORAL]])</f>
        <v>1240</v>
      </c>
      <c r="P2508" s="12"/>
      <c r="Q2508" s="12">
        <f>+(Tabla1[[#This Row],[COSTO COCHE]]/30)*Tabla1[[#This Row],[TOTAL DIAS PROYECTO]]</f>
        <v>0</v>
      </c>
      <c r="R2508" s="12">
        <f>+Tabla1[[#This Row],[COSTO TOTAL ALOJAMIENTO]]+Tabla1[[#This Row],[COSTO TOTAL COCHE]]</f>
        <v>1240</v>
      </c>
      <c r="S2508" s="2"/>
      <c r="T2508" s="2" t="s">
        <v>58</v>
      </c>
      <c r="U2508" s="14">
        <v>45704</v>
      </c>
      <c r="V2508" s="25"/>
      <c r="W2508" s="26"/>
      <c r="X2508" s="2"/>
      <c r="Y2508" s="11" t="s">
        <v>4042</v>
      </c>
      <c r="Z2508" s="2" t="s">
        <v>36</v>
      </c>
      <c r="AA2508" s="13" t="s">
        <v>10323</v>
      </c>
      <c r="AB2508" s="13" t="s">
        <v>10324</v>
      </c>
    </row>
    <row r="2509" spans="1:28" ht="15" customHeight="1">
      <c r="A2509" s="2" t="s">
        <v>9647</v>
      </c>
      <c r="B2509" s="2" t="s">
        <v>368</v>
      </c>
      <c r="C2509" s="86" t="s">
        <v>4050</v>
      </c>
      <c r="D2509" s="2" t="s">
        <v>30</v>
      </c>
      <c r="E2509" s="2" t="s">
        <v>31</v>
      </c>
      <c r="F2509" s="11"/>
      <c r="G2509" s="11"/>
      <c r="H2509" s="2" t="s">
        <v>1103</v>
      </c>
      <c r="I2509" s="12" t="s">
        <v>1104</v>
      </c>
      <c r="J2509" s="41">
        <f>+Tabla1[[#This Row],[FECHA ENTRADA]]</f>
        <v>45587</v>
      </c>
      <c r="K2509" s="8">
        <v>45828</v>
      </c>
      <c r="L2509" s="42">
        <f>_xlfn.DAYS(Tabla1[[#This Row],[FECHA FIN ]],Tabla1[[#This Row],[FECHA INICIO]])</f>
        <v>241</v>
      </c>
      <c r="M2509" s="12"/>
      <c r="N2509" s="12">
        <v>300</v>
      </c>
      <c r="O2509" s="28">
        <f>(Tabla1[[#This Row],[COSTO FIJO ]]/30)*Tabla1[[#This Row],[TOTAL DIAS PROYECTO]]+(Tabla1[[#This Row],[COSTO TEMPORAL]])</f>
        <v>2410</v>
      </c>
      <c r="P2509" s="12"/>
      <c r="Q2509" s="12">
        <f>+(Tabla1[[#This Row],[COSTO COCHE]]/30)*Tabla1[[#This Row],[TOTAL DIAS PROYECTO]]</f>
        <v>0</v>
      </c>
      <c r="R2509" s="12">
        <f>+Tabla1[[#This Row],[COSTO TOTAL ALOJAMIENTO]]+Tabla1[[#This Row],[COSTO TOTAL COCHE]]</f>
        <v>2410</v>
      </c>
      <c r="S2509" s="2"/>
      <c r="T2509" s="2" t="s">
        <v>58</v>
      </c>
      <c r="U2509" s="14">
        <v>45587</v>
      </c>
      <c r="V2509" s="43"/>
      <c r="W2509" s="26"/>
      <c r="X2509" s="2"/>
      <c r="Y2509" s="11" t="s">
        <v>4042</v>
      </c>
      <c r="Z2509" s="2" t="s">
        <v>36</v>
      </c>
      <c r="AA2509" s="13" t="s">
        <v>10323</v>
      </c>
      <c r="AB2509" s="13" t="s">
        <v>10324</v>
      </c>
    </row>
    <row r="2510" spans="1:28">
      <c r="A2510" s="2" t="s">
        <v>9648</v>
      </c>
      <c r="B2510" s="2" t="s">
        <v>368</v>
      </c>
      <c r="C2510" s="87" t="s">
        <v>4051</v>
      </c>
      <c r="D2510" s="2" t="s">
        <v>30</v>
      </c>
      <c r="E2510" s="2" t="s">
        <v>31</v>
      </c>
      <c r="F2510" s="11"/>
      <c r="G2510" s="46"/>
      <c r="H2510" s="2" t="s">
        <v>1633</v>
      </c>
      <c r="I2510" s="12" t="s">
        <v>1104</v>
      </c>
      <c r="J2510" s="41">
        <f>+Tabla1[[#This Row],[FECHA ENTRADA]]</f>
        <v>45630</v>
      </c>
      <c r="K2510" s="22">
        <v>45828</v>
      </c>
      <c r="L2510" s="42">
        <f>_xlfn.DAYS(Tabla1[[#This Row],[FECHA FIN ]],Tabla1[[#This Row],[FECHA INICIO]])</f>
        <v>198</v>
      </c>
      <c r="M2510" s="12"/>
      <c r="N2510" s="12">
        <v>300</v>
      </c>
      <c r="O2510" s="28">
        <f>(Tabla1[[#This Row],[COSTO FIJO ]]/30)*Tabla1[[#This Row],[TOTAL DIAS PROYECTO]]+(Tabla1[[#This Row],[COSTO TEMPORAL]])</f>
        <v>1980</v>
      </c>
      <c r="P2510" s="12"/>
      <c r="Q2510" s="12">
        <f>+(Tabla1[[#This Row],[COSTO COCHE]]/30)*Tabla1[[#This Row],[TOTAL DIAS PROYECTO]]</f>
        <v>0</v>
      </c>
      <c r="R2510" s="12">
        <f>+Tabla1[[#This Row],[COSTO TOTAL ALOJAMIENTO]]+Tabla1[[#This Row],[COSTO TOTAL COCHE]]</f>
        <v>1980</v>
      </c>
      <c r="S2510" s="2"/>
      <c r="T2510" s="2" t="s">
        <v>58</v>
      </c>
      <c r="U2510" s="14">
        <v>45630</v>
      </c>
      <c r="V2510" s="43"/>
      <c r="W2510" s="26"/>
      <c r="X2510" s="2"/>
      <c r="Y2510" s="11" t="s">
        <v>4042</v>
      </c>
      <c r="Z2510" s="2" t="s">
        <v>36</v>
      </c>
      <c r="AA2510" s="13" t="s">
        <v>10323</v>
      </c>
      <c r="AB2510" s="13" t="s">
        <v>10324</v>
      </c>
    </row>
    <row r="2511" spans="1:28" ht="15" customHeight="1">
      <c r="A2511" s="2" t="s">
        <v>9348</v>
      </c>
      <c r="B2511" s="2" t="s">
        <v>368</v>
      </c>
      <c r="C2511" s="18" t="s">
        <v>2892</v>
      </c>
      <c r="D2511" s="2" t="s">
        <v>30</v>
      </c>
      <c r="E2511" s="2" t="s">
        <v>31</v>
      </c>
      <c r="F2511" s="11"/>
      <c r="G2511" s="46"/>
      <c r="H2511" s="2" t="s">
        <v>2893</v>
      </c>
      <c r="I2511" s="12" t="s">
        <v>1104</v>
      </c>
      <c r="J2511" s="41">
        <f>+Tabla1[[#This Row],[FECHA ENTRADA]]</f>
        <v>45809</v>
      </c>
      <c r="K2511" s="22">
        <v>45828</v>
      </c>
      <c r="L2511" s="42">
        <f>_xlfn.DAYS(Tabla1[[#This Row],[FECHA FIN ]],Tabla1[[#This Row],[FECHA INICIO]])</f>
        <v>19</v>
      </c>
      <c r="M2511" s="12"/>
      <c r="N2511" s="12">
        <v>300</v>
      </c>
      <c r="O2511" s="28">
        <f>(Tabla1[[#This Row],[COSTO FIJO ]]/30)*Tabla1[[#This Row],[TOTAL DIAS PROYECTO]]+(Tabla1[[#This Row],[COSTO TEMPORAL]])</f>
        <v>190</v>
      </c>
      <c r="P2511" s="12"/>
      <c r="Q2511" s="12">
        <f>+(Tabla1[[#This Row],[COSTO COCHE]]/30)*Tabla1[[#This Row],[TOTAL DIAS PROYECTO]]</f>
        <v>0</v>
      </c>
      <c r="R2511" s="12">
        <f>+Tabla1[[#This Row],[COSTO TOTAL ALOJAMIENTO]]+Tabla1[[#This Row],[COSTO TOTAL COCHE]]</f>
        <v>190</v>
      </c>
      <c r="S2511" s="2"/>
      <c r="T2511" s="14" t="s">
        <v>58</v>
      </c>
      <c r="U2511" s="14">
        <v>45809</v>
      </c>
      <c r="V2511" s="75"/>
      <c r="W2511" s="2"/>
      <c r="X2511" s="2"/>
      <c r="Y2511" s="11" t="s">
        <v>4042</v>
      </c>
      <c r="Z2511" s="2" t="s">
        <v>36</v>
      </c>
      <c r="AA2511" s="13" t="s">
        <v>10323</v>
      </c>
      <c r="AB2511" s="13" t="s">
        <v>10324</v>
      </c>
    </row>
    <row r="2512" spans="1:28" ht="15" customHeight="1">
      <c r="A2512" s="2" t="s">
        <v>8970</v>
      </c>
      <c r="B2512" s="2" t="s">
        <v>28</v>
      </c>
      <c r="C2512" s="31" t="s">
        <v>1543</v>
      </c>
      <c r="D2512" s="2" t="s">
        <v>30</v>
      </c>
      <c r="E2512" s="2" t="s">
        <v>151</v>
      </c>
      <c r="F2512" s="11" t="s">
        <v>1259</v>
      </c>
      <c r="G2512" s="46" t="s">
        <v>2557</v>
      </c>
      <c r="H2512" s="2" t="s">
        <v>4052</v>
      </c>
      <c r="I2512" s="12" t="s">
        <v>228</v>
      </c>
      <c r="J2512" s="41">
        <f>+Tabla1[[#This Row],[FECHA ENTRADA]]</f>
        <v>45818</v>
      </c>
      <c r="K2512" s="22">
        <v>45828</v>
      </c>
      <c r="L2512" s="42">
        <f>_xlfn.DAYS(Tabla1[[#This Row],[FECHA FIN ]],Tabla1[[#This Row],[FECHA INICIO]])</f>
        <v>10</v>
      </c>
      <c r="M2512" s="12"/>
      <c r="N2512" s="12"/>
      <c r="O2512" s="28">
        <f>(Tabla1[[#This Row],[COSTO FIJO ]]/30)*Tabla1[[#This Row],[TOTAL DIAS PROYECTO]]+(Tabla1[[#This Row],[COSTO TEMPORAL]])</f>
        <v>0</v>
      </c>
      <c r="P2512" s="12"/>
      <c r="Q2512" s="12">
        <f>+(Tabla1[[#This Row],[COSTO COCHE]]/30)*Tabla1[[#This Row],[TOTAL DIAS PROYECTO]]</f>
        <v>0</v>
      </c>
      <c r="R2512" s="12">
        <f>+Tabla1[[#This Row],[COSTO TOTAL ALOJAMIENTO]]+Tabla1[[#This Row],[COSTO TOTAL COCHE]]</f>
        <v>0</v>
      </c>
      <c r="S2512" s="2"/>
      <c r="T2512" s="14" t="s">
        <v>44</v>
      </c>
      <c r="U2512" s="14">
        <v>45818</v>
      </c>
      <c r="V2512" s="79">
        <v>45825</v>
      </c>
      <c r="W2512" s="2"/>
      <c r="X2512" s="2"/>
      <c r="Y2512" s="11"/>
      <c r="Z2512" s="2" t="s">
        <v>36</v>
      </c>
      <c r="AA2512" s="13" t="s">
        <v>10345</v>
      </c>
      <c r="AB2512" s="13" t="s">
        <v>10346</v>
      </c>
    </row>
    <row r="2513" spans="1:28" ht="15" customHeight="1">
      <c r="A2513" s="2" t="s">
        <v>9523</v>
      </c>
      <c r="B2513" s="2" t="s">
        <v>28</v>
      </c>
      <c r="C2513" s="11" t="s">
        <v>3526</v>
      </c>
      <c r="D2513" s="2" t="s">
        <v>30</v>
      </c>
      <c r="E2513" s="2" t="s">
        <v>1393</v>
      </c>
      <c r="F2513" s="11" t="s">
        <v>4053</v>
      </c>
      <c r="G2513" s="46" t="s">
        <v>4054</v>
      </c>
      <c r="H2513" s="2" t="s">
        <v>3527</v>
      </c>
      <c r="I2513" s="12" t="s">
        <v>1067</v>
      </c>
      <c r="J2513" s="41">
        <f>+Tabla1[[#This Row],[FECHA ENTRADA]]</f>
        <v>45821</v>
      </c>
      <c r="K2513" s="22">
        <v>45828</v>
      </c>
      <c r="L2513" s="42">
        <f>_xlfn.DAYS(Tabla1[[#This Row],[FECHA FIN ]],Tabla1[[#This Row],[FECHA INICIO]])</f>
        <v>7</v>
      </c>
      <c r="M2513" s="12"/>
      <c r="N2513" s="12"/>
      <c r="O2513" s="28">
        <f>(Tabla1[[#This Row],[COSTO FIJO ]]/30)*Tabla1[[#This Row],[TOTAL DIAS PROYECTO]]+(Tabla1[[#This Row],[COSTO TEMPORAL]])</f>
        <v>0</v>
      </c>
      <c r="P2513" s="12"/>
      <c r="Q2513" s="12">
        <f>+(Tabla1[[#This Row],[COSTO COCHE]]/30)*Tabla1[[#This Row],[TOTAL DIAS PROYECTO]]</f>
        <v>0</v>
      </c>
      <c r="R2513" s="12">
        <f>+Tabla1[[#This Row],[COSTO TOTAL ALOJAMIENTO]]+Tabla1[[#This Row],[COSTO TOTAL COCHE]]</f>
        <v>0</v>
      </c>
      <c r="S2513" s="2"/>
      <c r="T2513" s="2" t="s">
        <v>44</v>
      </c>
      <c r="U2513" s="14">
        <v>45821</v>
      </c>
      <c r="V2513" s="43">
        <v>45828</v>
      </c>
      <c r="W2513" s="2"/>
      <c r="X2513" s="2"/>
      <c r="Y2513" s="11"/>
      <c r="Z2513" s="2" t="s">
        <v>36</v>
      </c>
      <c r="AA2513" s="13" t="s">
        <v>10416</v>
      </c>
      <c r="AB2513" s="13" t="s">
        <v>10417</v>
      </c>
    </row>
    <row r="2514" spans="1:28" ht="15" customHeight="1">
      <c r="A2514" s="2" t="s">
        <v>8887</v>
      </c>
      <c r="B2514" s="2" t="s">
        <v>28</v>
      </c>
      <c r="C2514" s="11" t="s">
        <v>1169</v>
      </c>
      <c r="D2514" s="2" t="s">
        <v>30</v>
      </c>
      <c r="E2514" s="2" t="s">
        <v>1393</v>
      </c>
      <c r="F2514" s="11" t="s">
        <v>4053</v>
      </c>
      <c r="G2514" s="46" t="s">
        <v>4054</v>
      </c>
      <c r="H2514" s="2" t="s">
        <v>1396</v>
      </c>
      <c r="I2514" s="12" t="s">
        <v>1067</v>
      </c>
      <c r="J2514" s="41">
        <f>+Tabla1[[#This Row],[FECHA ENTRADA]]</f>
        <v>45821</v>
      </c>
      <c r="K2514" s="22">
        <v>45828</v>
      </c>
      <c r="L2514" s="42">
        <f>_xlfn.DAYS(Tabla1[[#This Row],[FECHA FIN ]],Tabla1[[#This Row],[FECHA INICIO]])</f>
        <v>7</v>
      </c>
      <c r="M2514" s="12"/>
      <c r="N2514" s="12"/>
      <c r="O2514" s="28">
        <f>(Tabla1[[#This Row],[COSTO FIJO ]]/30)*Tabla1[[#This Row],[TOTAL DIAS PROYECTO]]+(Tabla1[[#This Row],[COSTO TEMPORAL]])</f>
        <v>0</v>
      </c>
      <c r="P2514" s="12"/>
      <c r="Q2514" s="12">
        <f>+(Tabla1[[#This Row],[COSTO COCHE]]/30)*Tabla1[[#This Row],[TOTAL DIAS PROYECTO]]</f>
        <v>0</v>
      </c>
      <c r="R2514" s="12">
        <f>+Tabla1[[#This Row],[COSTO TOTAL ALOJAMIENTO]]+Tabla1[[#This Row],[COSTO TOTAL COCHE]]</f>
        <v>0</v>
      </c>
      <c r="S2514" s="2"/>
      <c r="T2514" s="2" t="s">
        <v>44</v>
      </c>
      <c r="U2514" s="14">
        <v>45821</v>
      </c>
      <c r="V2514" s="43">
        <v>45828</v>
      </c>
      <c r="W2514" s="2"/>
      <c r="X2514" s="2"/>
      <c r="Y2514" s="11"/>
      <c r="Z2514" s="2" t="s">
        <v>36</v>
      </c>
      <c r="AA2514" s="13" t="s">
        <v>10416</v>
      </c>
      <c r="AB2514" s="13" t="s">
        <v>10417</v>
      </c>
    </row>
    <row r="2515" spans="1:28" ht="15" customHeight="1">
      <c r="A2515" s="2" t="s">
        <v>8889</v>
      </c>
      <c r="B2515" s="2" t="s">
        <v>28</v>
      </c>
      <c r="C2515" s="11" t="s">
        <v>1171</v>
      </c>
      <c r="D2515" s="2" t="s">
        <v>30</v>
      </c>
      <c r="E2515" s="2" t="s">
        <v>1393</v>
      </c>
      <c r="F2515" s="11" t="s">
        <v>4053</v>
      </c>
      <c r="G2515" s="46" t="s">
        <v>4054</v>
      </c>
      <c r="H2515" s="2" t="s">
        <v>1396</v>
      </c>
      <c r="I2515" s="12" t="s">
        <v>1067</v>
      </c>
      <c r="J2515" s="41">
        <f>+Tabla1[[#This Row],[FECHA ENTRADA]]</f>
        <v>45821</v>
      </c>
      <c r="K2515" s="22">
        <v>45828</v>
      </c>
      <c r="L2515" s="42">
        <f>_xlfn.DAYS(Tabla1[[#This Row],[FECHA FIN ]],Tabla1[[#This Row],[FECHA INICIO]])</f>
        <v>7</v>
      </c>
      <c r="M2515" s="12"/>
      <c r="N2515" s="12"/>
      <c r="O2515" s="28">
        <f>(Tabla1[[#This Row],[COSTO FIJO ]]/30)*Tabla1[[#This Row],[TOTAL DIAS PROYECTO]]+(Tabla1[[#This Row],[COSTO TEMPORAL]])</f>
        <v>0</v>
      </c>
      <c r="P2515" s="12"/>
      <c r="Q2515" s="12">
        <f>+(Tabla1[[#This Row],[COSTO COCHE]]/30)*Tabla1[[#This Row],[TOTAL DIAS PROYECTO]]</f>
        <v>0</v>
      </c>
      <c r="R2515" s="12">
        <f>+Tabla1[[#This Row],[COSTO TOTAL ALOJAMIENTO]]+Tabla1[[#This Row],[COSTO TOTAL COCHE]]</f>
        <v>0</v>
      </c>
      <c r="S2515" s="2"/>
      <c r="T2515" s="2" t="s">
        <v>44</v>
      </c>
      <c r="U2515" s="14">
        <v>45821</v>
      </c>
      <c r="V2515" s="43">
        <v>45828</v>
      </c>
      <c r="W2515" s="2"/>
      <c r="X2515" s="2"/>
      <c r="Y2515" s="11"/>
      <c r="Z2515" s="2" t="s">
        <v>36</v>
      </c>
      <c r="AA2515" s="13" t="s">
        <v>10416</v>
      </c>
      <c r="AB2515" s="13" t="s">
        <v>10417</v>
      </c>
    </row>
    <row r="2516" spans="1:28" ht="15" customHeight="1">
      <c r="A2516" s="2" t="s">
        <v>9432</v>
      </c>
      <c r="B2516" s="2" t="s">
        <v>368</v>
      </c>
      <c r="C2516" s="11" t="s">
        <v>3169</v>
      </c>
      <c r="D2516" s="2" t="s">
        <v>30</v>
      </c>
      <c r="E2516" s="2" t="s">
        <v>1987</v>
      </c>
      <c r="F2516" s="11" t="s">
        <v>2561</v>
      </c>
      <c r="G2516" s="49" t="s">
        <v>2562</v>
      </c>
      <c r="H2516" s="2" t="s">
        <v>2351</v>
      </c>
      <c r="I2516" s="12" t="s">
        <v>2073</v>
      </c>
      <c r="J2516" s="22">
        <f>+Tabla1[[#This Row],[FECHA ENTRADA]]</f>
        <v>45800</v>
      </c>
      <c r="K2516" s="22">
        <v>45828</v>
      </c>
      <c r="L2516" s="23">
        <f>_xlfn.DAYS(Tabla1[[#This Row],[FECHA FIN ]],Tabla1[[#This Row],[FECHA INICIO]])</f>
        <v>28</v>
      </c>
      <c r="M2516" s="12"/>
      <c r="N2516" s="12"/>
      <c r="O2516" s="24">
        <f>(Tabla1[[#This Row],[COSTO FIJO ]]/30)*Tabla1[[#This Row],[TOTAL DIAS PROYECTO]]+(Tabla1[[#This Row],[COSTO TEMPORAL]])</f>
        <v>0</v>
      </c>
      <c r="P2516" s="12"/>
      <c r="Q2516" s="12">
        <f>+(Tabla1[[#This Row],[COSTO COCHE]]/30)*Tabla1[[#This Row],[TOTAL DIAS PROYECTO]]</f>
        <v>0</v>
      </c>
      <c r="R2516" s="12">
        <f>+Tabla1[[#This Row],[COSTO TOTAL ALOJAMIENTO]]+Tabla1[[#This Row],[COSTO TOTAL COCHE]]</f>
        <v>0</v>
      </c>
      <c r="S2516" s="2"/>
      <c r="T2516" s="2" t="s">
        <v>528</v>
      </c>
      <c r="U2516" s="14">
        <v>45800</v>
      </c>
      <c r="V2516" s="25">
        <v>45828</v>
      </c>
      <c r="W2516" s="26"/>
      <c r="X2516" s="2"/>
      <c r="Y2516" s="11"/>
      <c r="Z2516" s="2" t="s">
        <v>36</v>
      </c>
      <c r="AA2516" s="13" t="s">
        <v>10435</v>
      </c>
      <c r="AB2516" s="13">
        <v>42.136150000000001</v>
      </c>
    </row>
    <row r="2517" spans="1:28" ht="15" customHeight="1">
      <c r="A2517" s="2" t="s">
        <v>8684</v>
      </c>
      <c r="B2517" s="2" t="s">
        <v>368</v>
      </c>
      <c r="C2517" s="11" t="s">
        <v>282</v>
      </c>
      <c r="D2517" s="2" t="s">
        <v>30</v>
      </c>
      <c r="E2517" s="2" t="s">
        <v>1987</v>
      </c>
      <c r="F2517" s="11" t="s">
        <v>2561</v>
      </c>
      <c r="G2517" s="46" t="s">
        <v>2562</v>
      </c>
      <c r="H2517" s="2" t="s">
        <v>2351</v>
      </c>
      <c r="I2517" s="12" t="s">
        <v>2073</v>
      </c>
      <c r="J2517" s="22">
        <f>+Tabla1[[#This Row],[FECHA ENTRADA]]</f>
        <v>45800</v>
      </c>
      <c r="K2517" s="22">
        <v>45828</v>
      </c>
      <c r="L2517" s="23">
        <f>_xlfn.DAYS(Tabla1[[#This Row],[FECHA FIN ]],Tabla1[[#This Row],[FECHA INICIO]])</f>
        <v>28</v>
      </c>
      <c r="M2517" s="12"/>
      <c r="N2517" s="12"/>
      <c r="O2517" s="24">
        <f>(Tabla1[[#This Row],[COSTO FIJO ]]/30)*Tabla1[[#This Row],[TOTAL DIAS PROYECTO]]+(Tabla1[[#This Row],[COSTO TEMPORAL]])</f>
        <v>0</v>
      </c>
      <c r="P2517" s="12"/>
      <c r="Q2517" s="12">
        <f>+(Tabla1[[#This Row],[COSTO COCHE]]/30)*Tabla1[[#This Row],[TOTAL DIAS PROYECTO]]</f>
        <v>0</v>
      </c>
      <c r="R2517" s="12">
        <f>+Tabla1[[#This Row],[COSTO TOTAL ALOJAMIENTO]]+Tabla1[[#This Row],[COSTO TOTAL COCHE]]</f>
        <v>0</v>
      </c>
      <c r="S2517" s="2"/>
      <c r="T2517" s="2" t="s">
        <v>528</v>
      </c>
      <c r="U2517" s="14">
        <v>45800</v>
      </c>
      <c r="V2517" s="25">
        <v>45828</v>
      </c>
      <c r="W2517" s="26"/>
      <c r="X2517" s="2"/>
      <c r="Y2517" s="11"/>
      <c r="Z2517" s="2" t="s">
        <v>36</v>
      </c>
      <c r="AA2517" s="13" t="s">
        <v>10435</v>
      </c>
      <c r="AB2517" s="13">
        <v>42.136150000000001</v>
      </c>
    </row>
    <row r="2518" spans="1:28" ht="15" customHeight="1">
      <c r="A2518" s="2" t="s">
        <v>9120</v>
      </c>
      <c r="B2518" s="2" t="s">
        <v>368</v>
      </c>
      <c r="C2518" s="11" t="s">
        <v>2082</v>
      </c>
      <c r="D2518" s="2" t="s">
        <v>30</v>
      </c>
      <c r="E2518" s="2" t="s">
        <v>1987</v>
      </c>
      <c r="F2518" s="11" t="s">
        <v>2561</v>
      </c>
      <c r="G2518" s="49" t="s">
        <v>2562</v>
      </c>
      <c r="H2518" s="2" t="s">
        <v>2351</v>
      </c>
      <c r="I2518" s="12" t="s">
        <v>2073</v>
      </c>
      <c r="J2518" s="22">
        <f>+Tabla1[[#This Row],[FECHA ENTRADA]]</f>
        <v>45800</v>
      </c>
      <c r="K2518" s="22">
        <v>45828</v>
      </c>
      <c r="L2518" s="23">
        <f>_xlfn.DAYS(Tabla1[[#This Row],[FECHA FIN ]],Tabla1[[#This Row],[FECHA INICIO]])</f>
        <v>28</v>
      </c>
      <c r="M2518" s="12"/>
      <c r="N2518" s="12"/>
      <c r="O2518" s="24">
        <f>(Tabla1[[#This Row],[COSTO FIJO ]]/30)*Tabla1[[#This Row],[TOTAL DIAS PROYECTO]]+(Tabla1[[#This Row],[COSTO TEMPORAL]])</f>
        <v>0</v>
      </c>
      <c r="P2518" s="12"/>
      <c r="Q2518" s="12">
        <f>+(Tabla1[[#This Row],[COSTO COCHE]]/30)*Tabla1[[#This Row],[TOTAL DIAS PROYECTO]]</f>
        <v>0</v>
      </c>
      <c r="R2518" s="12">
        <f>+Tabla1[[#This Row],[COSTO TOTAL ALOJAMIENTO]]+Tabla1[[#This Row],[COSTO TOTAL COCHE]]</f>
        <v>0</v>
      </c>
      <c r="S2518" s="2"/>
      <c r="T2518" s="2" t="s">
        <v>528</v>
      </c>
      <c r="U2518" s="14">
        <v>45800</v>
      </c>
      <c r="V2518" s="25">
        <v>45828</v>
      </c>
      <c r="W2518" s="26"/>
      <c r="X2518" s="2"/>
      <c r="Y2518" s="11"/>
      <c r="Z2518" s="2" t="s">
        <v>36</v>
      </c>
      <c r="AA2518" s="13" t="s">
        <v>10435</v>
      </c>
      <c r="AB2518" s="13">
        <v>42.136150000000001</v>
      </c>
    </row>
    <row r="2519" spans="1:28" ht="15" customHeight="1">
      <c r="A2519" s="2" t="s">
        <v>9220</v>
      </c>
      <c r="B2519" s="2" t="s">
        <v>711</v>
      </c>
      <c r="C2519" s="11" t="s">
        <v>2489</v>
      </c>
      <c r="D2519" s="2" t="s">
        <v>78</v>
      </c>
      <c r="E2519" s="2" t="s">
        <v>4055</v>
      </c>
      <c r="F2519" s="11" t="s">
        <v>4056</v>
      </c>
      <c r="G2519" s="46" t="s">
        <v>4057</v>
      </c>
      <c r="H2519" s="2" t="s">
        <v>1391</v>
      </c>
      <c r="I2519" s="12" t="s">
        <v>800</v>
      </c>
      <c r="J2519" s="41">
        <f>+Tabla1[[#This Row],[FECHA ENTRADA]]</f>
        <v>45823</v>
      </c>
      <c r="K2519" s="22">
        <v>45828</v>
      </c>
      <c r="L2519" s="42">
        <f>_xlfn.DAYS(Tabla1[[#This Row],[FECHA FIN ]],Tabla1[[#This Row],[FECHA INICIO]])</f>
        <v>5</v>
      </c>
      <c r="M2519" s="12"/>
      <c r="N2519" s="12">
        <f>411.39/4</f>
        <v>102.8475</v>
      </c>
      <c r="O2519" s="28">
        <f>(Tabla1[[#This Row],[COSTO FIJO ]]/30)*Tabla1[[#This Row],[TOTAL DIAS PROYECTO]]+(Tabla1[[#This Row],[COSTO TEMPORAL]])</f>
        <v>17.141249999999999</v>
      </c>
      <c r="P2519" s="12"/>
      <c r="Q2519" s="12">
        <f>+(Tabla1[[#This Row],[COSTO COCHE]]/30)*Tabla1[[#This Row],[TOTAL DIAS PROYECTO]]</f>
        <v>0</v>
      </c>
      <c r="R2519" s="12">
        <f>+Tabla1[[#This Row],[COSTO TOTAL ALOJAMIENTO]]+Tabla1[[#This Row],[COSTO TOTAL COCHE]]</f>
        <v>17.141249999999999</v>
      </c>
      <c r="S2519" s="2"/>
      <c r="T2519" s="14" t="s">
        <v>44</v>
      </c>
      <c r="U2519" s="14">
        <v>45823</v>
      </c>
      <c r="V2519" s="43">
        <v>45828</v>
      </c>
      <c r="W2519" s="2"/>
      <c r="X2519" s="2"/>
      <c r="Y2519" s="11"/>
      <c r="Z2519" s="2" t="s">
        <v>36</v>
      </c>
      <c r="AA2519" s="13" t="e">
        <v>#N/A</v>
      </c>
      <c r="AB2519" s="13" t="e">
        <v>#N/A</v>
      </c>
    </row>
    <row r="2520" spans="1:28" ht="15" customHeight="1">
      <c r="A2520" s="2" t="s">
        <v>8869</v>
      </c>
      <c r="B2520" s="2" t="s">
        <v>711</v>
      </c>
      <c r="C2520" s="11" t="s">
        <v>1097</v>
      </c>
      <c r="D2520" s="2" t="s">
        <v>78</v>
      </c>
      <c r="E2520" s="2" t="s">
        <v>4055</v>
      </c>
      <c r="F2520" s="11" t="s">
        <v>4056</v>
      </c>
      <c r="G2520" s="46" t="s">
        <v>4057</v>
      </c>
      <c r="H2520" s="2" t="s">
        <v>1391</v>
      </c>
      <c r="I2520" s="12" t="s">
        <v>800</v>
      </c>
      <c r="J2520" s="41">
        <f>+Tabla1[[#This Row],[FECHA ENTRADA]]</f>
        <v>45823</v>
      </c>
      <c r="K2520" s="22">
        <v>45828</v>
      </c>
      <c r="L2520" s="42">
        <f>_xlfn.DAYS(Tabla1[[#This Row],[FECHA FIN ]],Tabla1[[#This Row],[FECHA INICIO]])</f>
        <v>5</v>
      </c>
      <c r="M2520" s="12"/>
      <c r="N2520" s="12">
        <f>411.39/4</f>
        <v>102.8475</v>
      </c>
      <c r="O2520" s="28">
        <f>(Tabla1[[#This Row],[COSTO FIJO ]]/30)*Tabla1[[#This Row],[TOTAL DIAS PROYECTO]]+(Tabla1[[#This Row],[COSTO TEMPORAL]])</f>
        <v>17.141249999999999</v>
      </c>
      <c r="P2520" s="12"/>
      <c r="Q2520" s="12">
        <f>+(Tabla1[[#This Row],[COSTO COCHE]]/30)*Tabla1[[#This Row],[TOTAL DIAS PROYECTO]]</f>
        <v>0</v>
      </c>
      <c r="R2520" s="12">
        <f>+Tabla1[[#This Row],[COSTO TOTAL ALOJAMIENTO]]+Tabla1[[#This Row],[COSTO TOTAL COCHE]]</f>
        <v>17.141249999999999</v>
      </c>
      <c r="S2520" s="2"/>
      <c r="T2520" s="14" t="s">
        <v>44</v>
      </c>
      <c r="U2520" s="14">
        <v>45823</v>
      </c>
      <c r="V2520" s="43">
        <v>45828</v>
      </c>
      <c r="W2520" s="2"/>
      <c r="X2520" s="2"/>
      <c r="Y2520" s="11"/>
      <c r="Z2520" s="2" t="s">
        <v>36</v>
      </c>
      <c r="AA2520" s="13" t="e">
        <v>#N/A</v>
      </c>
      <c r="AB2520" s="13" t="e">
        <v>#N/A</v>
      </c>
    </row>
    <row r="2521" spans="1:28" ht="15" customHeight="1">
      <c r="A2521" s="2" t="s">
        <v>9649</v>
      </c>
      <c r="B2521" s="2" t="s">
        <v>711</v>
      </c>
      <c r="C2521" s="11" t="s">
        <v>4058</v>
      </c>
      <c r="D2521" s="2" t="s">
        <v>78</v>
      </c>
      <c r="E2521" s="2" t="s">
        <v>4055</v>
      </c>
      <c r="F2521" s="11" t="s">
        <v>4056</v>
      </c>
      <c r="G2521" s="46" t="s">
        <v>4057</v>
      </c>
      <c r="H2521" s="2" t="s">
        <v>1391</v>
      </c>
      <c r="I2521" s="12" t="s">
        <v>800</v>
      </c>
      <c r="J2521" s="41">
        <f>+Tabla1[[#This Row],[FECHA ENTRADA]]</f>
        <v>45823</v>
      </c>
      <c r="K2521" s="22">
        <v>45828</v>
      </c>
      <c r="L2521" s="42">
        <f>_xlfn.DAYS(Tabla1[[#This Row],[FECHA FIN ]],Tabla1[[#This Row],[FECHA INICIO]])</f>
        <v>5</v>
      </c>
      <c r="M2521" s="12"/>
      <c r="N2521" s="12">
        <f>411.39/4</f>
        <v>102.8475</v>
      </c>
      <c r="O2521" s="28">
        <f>(Tabla1[[#This Row],[COSTO FIJO ]]/30)*Tabla1[[#This Row],[TOTAL DIAS PROYECTO]]+(Tabla1[[#This Row],[COSTO TEMPORAL]])</f>
        <v>17.141249999999999</v>
      </c>
      <c r="P2521" s="12"/>
      <c r="Q2521" s="12">
        <f>+(Tabla1[[#This Row],[COSTO COCHE]]/30)*Tabla1[[#This Row],[TOTAL DIAS PROYECTO]]</f>
        <v>0</v>
      </c>
      <c r="R2521" s="12">
        <f>+Tabla1[[#This Row],[COSTO TOTAL ALOJAMIENTO]]+Tabla1[[#This Row],[COSTO TOTAL COCHE]]</f>
        <v>17.141249999999999</v>
      </c>
      <c r="S2521" s="2"/>
      <c r="T2521" s="14" t="s">
        <v>44</v>
      </c>
      <c r="U2521" s="14">
        <v>45823</v>
      </c>
      <c r="V2521" s="43">
        <v>45828</v>
      </c>
      <c r="W2521" s="2"/>
      <c r="X2521" s="2"/>
      <c r="Y2521" s="11"/>
      <c r="Z2521" s="2" t="s">
        <v>36</v>
      </c>
      <c r="AA2521" s="13" t="e">
        <v>#N/A</v>
      </c>
      <c r="AB2521" s="13" t="e">
        <v>#N/A</v>
      </c>
    </row>
    <row r="2522" spans="1:28" ht="15" customHeight="1">
      <c r="A2522" s="2" t="s">
        <v>8742</v>
      </c>
      <c r="B2522" s="2" t="s">
        <v>711</v>
      </c>
      <c r="C2522" s="11" t="s">
        <v>535</v>
      </c>
      <c r="D2522" s="2" t="s">
        <v>78</v>
      </c>
      <c r="E2522" s="2" t="s">
        <v>4055</v>
      </c>
      <c r="F2522" s="11" t="s">
        <v>4056</v>
      </c>
      <c r="G2522" s="46" t="s">
        <v>4057</v>
      </c>
      <c r="H2522" s="2" t="s">
        <v>1391</v>
      </c>
      <c r="I2522" s="12" t="s">
        <v>800</v>
      </c>
      <c r="J2522" s="41">
        <f>+Tabla1[[#This Row],[FECHA ENTRADA]]</f>
        <v>45823</v>
      </c>
      <c r="K2522" s="22">
        <v>45828</v>
      </c>
      <c r="L2522" s="42">
        <f>_xlfn.DAYS(Tabla1[[#This Row],[FECHA FIN ]],Tabla1[[#This Row],[FECHA INICIO]])</f>
        <v>5</v>
      </c>
      <c r="M2522" s="12"/>
      <c r="N2522" s="12">
        <f>411.39/4</f>
        <v>102.8475</v>
      </c>
      <c r="O2522" s="28">
        <f>(Tabla1[[#This Row],[COSTO FIJO ]]/30)*Tabla1[[#This Row],[TOTAL DIAS PROYECTO]]+(Tabla1[[#This Row],[COSTO TEMPORAL]])</f>
        <v>17.141249999999999</v>
      </c>
      <c r="P2522" s="12"/>
      <c r="Q2522" s="12">
        <f>+(Tabla1[[#This Row],[COSTO COCHE]]/30)*Tabla1[[#This Row],[TOTAL DIAS PROYECTO]]</f>
        <v>0</v>
      </c>
      <c r="R2522" s="12">
        <f>+Tabla1[[#This Row],[COSTO TOTAL ALOJAMIENTO]]+Tabla1[[#This Row],[COSTO TOTAL COCHE]]</f>
        <v>17.141249999999999</v>
      </c>
      <c r="S2522" s="2"/>
      <c r="T2522" s="14" t="s">
        <v>44</v>
      </c>
      <c r="U2522" s="14">
        <v>45823</v>
      </c>
      <c r="V2522" s="43">
        <v>45828</v>
      </c>
      <c r="W2522" s="2"/>
      <c r="X2522" s="2"/>
      <c r="Y2522" s="11"/>
      <c r="Z2522" s="2" t="s">
        <v>36</v>
      </c>
      <c r="AA2522" s="13" t="e">
        <v>#N/A</v>
      </c>
      <c r="AB2522" s="13" t="e">
        <v>#N/A</v>
      </c>
    </row>
    <row r="2523" spans="1:28">
      <c r="A2523" s="2" t="s">
        <v>9535</v>
      </c>
      <c r="B2523" s="2" t="s">
        <v>28</v>
      </c>
      <c r="C2523" s="11" t="s">
        <v>3565</v>
      </c>
      <c r="D2523" s="2" t="s">
        <v>30</v>
      </c>
      <c r="E2523" s="2" t="s">
        <v>151</v>
      </c>
      <c r="F2523" s="11" t="s">
        <v>1499</v>
      </c>
      <c r="G2523" s="11" t="s">
        <v>1500</v>
      </c>
      <c r="H2523" s="2" t="s">
        <v>2525</v>
      </c>
      <c r="I2523" s="12" t="s">
        <v>228</v>
      </c>
      <c r="J2523" s="41">
        <f>+Tabla1[[#This Row],[FECHA ENTRADA]]</f>
        <v>45814</v>
      </c>
      <c r="K2523" s="22">
        <v>45828</v>
      </c>
      <c r="L2523" s="42">
        <f>_xlfn.DAYS(Tabla1[[#This Row],[FECHA FIN ]],Tabla1[[#This Row],[FECHA INICIO]])</f>
        <v>14</v>
      </c>
      <c r="M2523" s="12"/>
      <c r="N2523" s="12"/>
      <c r="O2523" s="28">
        <f>(Tabla1[[#This Row],[COSTO FIJO ]]/30)*Tabla1[[#This Row],[TOTAL DIAS PROYECTO]]+(Tabla1[[#This Row],[COSTO TEMPORAL]])</f>
        <v>0</v>
      </c>
      <c r="P2523" s="12"/>
      <c r="Q2523" s="12">
        <f>+(Tabla1[[#This Row],[COSTO COCHE]]/30)*Tabla1[[#This Row],[TOTAL DIAS PROYECTO]]</f>
        <v>0</v>
      </c>
      <c r="R2523" s="12">
        <f>+Tabla1[[#This Row],[COSTO TOTAL ALOJAMIENTO]]+Tabla1[[#This Row],[COSTO TOTAL COCHE]]</f>
        <v>0</v>
      </c>
      <c r="S2523" s="2"/>
      <c r="T2523" s="14" t="s">
        <v>35</v>
      </c>
      <c r="U2523" s="14">
        <v>45814</v>
      </c>
      <c r="V2523" s="43"/>
      <c r="W2523" s="2"/>
      <c r="X2523" s="2">
        <v>28</v>
      </c>
      <c r="Y2523" s="11"/>
      <c r="Z2523" s="2" t="s">
        <v>36</v>
      </c>
      <c r="AA2523" s="13" t="s">
        <v>10345</v>
      </c>
      <c r="AB2523" s="13" t="s">
        <v>10346</v>
      </c>
    </row>
    <row r="2524" spans="1:28" ht="15" customHeight="1">
      <c r="A2524" s="2" t="s">
        <v>8863</v>
      </c>
      <c r="B2524" s="2" t="s">
        <v>28</v>
      </c>
      <c r="C2524" s="34" t="s">
        <v>1062</v>
      </c>
      <c r="D2524" s="2" t="s">
        <v>30</v>
      </c>
      <c r="E2524" s="2" t="s">
        <v>415</v>
      </c>
      <c r="F2524" s="11" t="s">
        <v>4059</v>
      </c>
      <c r="G2524" s="46" t="s">
        <v>4060</v>
      </c>
      <c r="H2524" s="2" t="s">
        <v>4061</v>
      </c>
      <c r="I2524" s="12" t="s">
        <v>800</v>
      </c>
      <c r="J2524" s="41">
        <f>+Tabla1[[#This Row],[FECHA ENTRADA]]</f>
        <v>45802</v>
      </c>
      <c r="K2524" s="22">
        <v>45829</v>
      </c>
      <c r="L2524" s="23">
        <f>_xlfn.DAYS(Tabla1[[#This Row],[FECHA FIN ]],Tabla1[[#This Row],[FECHA INICIO]])</f>
        <v>27</v>
      </c>
      <c r="M2524" s="12"/>
      <c r="N2524" s="12"/>
      <c r="O2524" s="24">
        <f>(Tabla1[[#This Row],[COSTO FIJO ]]/30)*Tabla1[[#This Row],[TOTAL DIAS PROYECTO]]+(Tabla1[[#This Row],[COSTO TEMPORAL]])</f>
        <v>0</v>
      </c>
      <c r="P2524" s="12"/>
      <c r="Q2524" s="12">
        <f>+(Tabla1[[#This Row],[COSTO COCHE]]/30)*Tabla1[[#This Row],[TOTAL DIAS PROYECTO]]</f>
        <v>0</v>
      </c>
      <c r="R2524" s="12">
        <f>+Tabla1[[#This Row],[COSTO TOTAL ALOJAMIENTO]]+Tabla1[[#This Row],[COSTO TOTAL COCHE]]</f>
        <v>0</v>
      </c>
      <c r="S2524" s="2"/>
      <c r="T2524" s="2" t="s">
        <v>44</v>
      </c>
      <c r="U2524" s="14">
        <v>45802</v>
      </c>
      <c r="V2524" s="25">
        <v>45828</v>
      </c>
      <c r="W2524" s="2"/>
      <c r="X2524" s="2"/>
      <c r="Y2524" t="s">
        <v>4062</v>
      </c>
      <c r="Z2524" s="2" t="s">
        <v>36</v>
      </c>
      <c r="AA2524" s="13">
        <v>-0.37739</v>
      </c>
      <c r="AB2524" s="13" t="s">
        <v>10372</v>
      </c>
    </row>
    <row r="2525" spans="1:28" ht="15" customHeight="1">
      <c r="A2525" s="2" t="s">
        <v>8941</v>
      </c>
      <c r="B2525" s="2" t="s">
        <v>28</v>
      </c>
      <c r="C2525" s="34" t="s">
        <v>1372</v>
      </c>
      <c r="D2525" s="2" t="s">
        <v>30</v>
      </c>
      <c r="E2525" s="2" t="s">
        <v>415</v>
      </c>
      <c r="F2525" s="11" t="s">
        <v>4059</v>
      </c>
      <c r="G2525" s="46" t="s">
        <v>4060</v>
      </c>
      <c r="H2525" s="2" t="s">
        <v>4063</v>
      </c>
      <c r="I2525" s="12" t="s">
        <v>800</v>
      </c>
      <c r="J2525" s="41">
        <f>+Tabla1[[#This Row],[FECHA ENTRADA]]</f>
        <v>45802</v>
      </c>
      <c r="K2525" s="22">
        <v>45829</v>
      </c>
      <c r="L2525" s="23">
        <f>_xlfn.DAYS(Tabla1[[#This Row],[FECHA FIN ]],Tabla1[[#This Row],[FECHA INICIO]])</f>
        <v>27</v>
      </c>
      <c r="M2525" s="12"/>
      <c r="N2525" s="12"/>
      <c r="O2525" s="24">
        <f>(Tabla1[[#This Row],[COSTO FIJO ]]/30)*Tabla1[[#This Row],[TOTAL DIAS PROYECTO]]+(Tabla1[[#This Row],[COSTO TEMPORAL]])</f>
        <v>0</v>
      </c>
      <c r="P2525" s="12"/>
      <c r="Q2525" s="12">
        <f>+(Tabla1[[#This Row],[COSTO COCHE]]/30)*Tabla1[[#This Row],[TOTAL DIAS PROYECTO]]</f>
        <v>0</v>
      </c>
      <c r="R2525" s="12">
        <f>+Tabla1[[#This Row],[COSTO TOTAL ALOJAMIENTO]]+Tabla1[[#This Row],[COSTO TOTAL COCHE]]</f>
        <v>0</v>
      </c>
      <c r="S2525" s="2"/>
      <c r="T2525" s="2" t="s">
        <v>44</v>
      </c>
      <c r="U2525" s="14">
        <v>45802</v>
      </c>
      <c r="V2525" s="25">
        <v>45828</v>
      </c>
      <c r="W2525" s="2"/>
      <c r="X2525" s="2"/>
      <c r="Y2525" s="178" t="s">
        <v>4064</v>
      </c>
      <c r="Z2525" s="2" t="s">
        <v>36</v>
      </c>
      <c r="AA2525" s="13">
        <v>-0.37739</v>
      </c>
      <c r="AB2525" s="13" t="s">
        <v>10372</v>
      </c>
    </row>
    <row r="2526" spans="1:28" ht="15" customHeight="1">
      <c r="A2526" s="2" t="s">
        <v>9350</v>
      </c>
      <c r="B2526" s="2" t="s">
        <v>28</v>
      </c>
      <c r="C2526" s="11" t="s">
        <v>2907</v>
      </c>
      <c r="D2526" s="2" t="s">
        <v>99</v>
      </c>
      <c r="E2526" s="2" t="s">
        <v>415</v>
      </c>
      <c r="F2526" s="11" t="s">
        <v>4059</v>
      </c>
      <c r="G2526" s="46" t="s">
        <v>4060</v>
      </c>
      <c r="H2526" s="2" t="s">
        <v>4063</v>
      </c>
      <c r="I2526" s="12" t="s">
        <v>800</v>
      </c>
      <c r="J2526" s="22">
        <f>+Tabla1[[#This Row],[FECHA ENTRADA]]</f>
        <v>45802</v>
      </c>
      <c r="K2526" s="22">
        <v>45829</v>
      </c>
      <c r="L2526" s="23">
        <f>_xlfn.DAYS(Tabla1[[#This Row],[FECHA FIN ]],Tabla1[[#This Row],[FECHA INICIO]])</f>
        <v>27</v>
      </c>
      <c r="M2526" s="12"/>
      <c r="N2526" s="12"/>
      <c r="O2526" s="24">
        <f>(Tabla1[[#This Row],[COSTO FIJO ]]/30)*Tabla1[[#This Row],[TOTAL DIAS PROYECTO]]+(Tabla1[[#This Row],[COSTO TEMPORAL]])</f>
        <v>0</v>
      </c>
      <c r="P2526" s="12"/>
      <c r="Q2526" s="12">
        <f>+(Tabla1[[#This Row],[COSTO COCHE]]/30)*Tabla1[[#This Row],[TOTAL DIAS PROYECTO]]</f>
        <v>0</v>
      </c>
      <c r="R2526" s="12">
        <f>+Tabla1[[#This Row],[COSTO TOTAL ALOJAMIENTO]]+Tabla1[[#This Row],[COSTO TOTAL COCHE]]</f>
        <v>0</v>
      </c>
      <c r="S2526" s="2"/>
      <c r="T2526" s="14" t="s">
        <v>44</v>
      </c>
      <c r="U2526" s="14">
        <v>45802</v>
      </c>
      <c r="V2526" s="25">
        <v>45828</v>
      </c>
      <c r="W2526" s="2"/>
      <c r="X2526" s="2"/>
      <c r="Y2526" s="11"/>
      <c r="Z2526" s="2" t="s">
        <v>36</v>
      </c>
      <c r="AA2526" s="13">
        <v>-0.37739</v>
      </c>
      <c r="AB2526" s="13" t="s">
        <v>10372</v>
      </c>
    </row>
    <row r="2527" spans="1:28" ht="15" customHeight="1">
      <c r="A2527" s="2" t="s">
        <v>9650</v>
      </c>
      <c r="B2527" s="10" t="s">
        <v>711</v>
      </c>
      <c r="C2527" s="11" t="s">
        <v>4065</v>
      </c>
      <c r="D2527" s="2" t="s">
        <v>78</v>
      </c>
      <c r="E2527" s="10" t="s">
        <v>4027</v>
      </c>
      <c r="F2527" s="11" t="s">
        <v>4066</v>
      </c>
      <c r="G2527" s="21" t="s">
        <v>4067</v>
      </c>
      <c r="H2527" s="2" t="s">
        <v>1360</v>
      </c>
      <c r="I2527" s="10" t="s">
        <v>4030</v>
      </c>
      <c r="J2527" s="41">
        <f>+Tabla1[[#This Row],[FECHA ENTRADA]]</f>
        <v>45788</v>
      </c>
      <c r="K2527" s="22">
        <v>45829</v>
      </c>
      <c r="L2527" s="23">
        <f>_xlfn.DAYS(Tabla1[[#This Row],[FECHA FIN ]],Tabla1[[#This Row],[FECHA INICIO]])</f>
        <v>41</v>
      </c>
      <c r="M2527" s="12"/>
      <c r="N2527" s="12"/>
      <c r="O2527" s="24">
        <f>(Tabla1[[#This Row],[COSTO FIJO ]]/30)*Tabla1[[#This Row],[TOTAL DIAS PROYECTO]]+(Tabla1[[#This Row],[COSTO TEMPORAL]])</f>
        <v>0</v>
      </c>
      <c r="P2527" s="12"/>
      <c r="Q2527" s="12">
        <f>+(Tabla1[[#This Row],[COSTO COCHE]]/30)*Tabla1[[#This Row],[TOTAL DIAS PROYECTO]]</f>
        <v>0</v>
      </c>
      <c r="R2527" s="12">
        <f>+Tabla1[[#This Row],[COSTO TOTAL ALOJAMIENTO]]+Tabla1[[#This Row],[COSTO TOTAL COCHE]]</f>
        <v>0</v>
      </c>
      <c r="S2527" s="2" t="s">
        <v>84</v>
      </c>
      <c r="T2527" s="2" t="s">
        <v>44</v>
      </c>
      <c r="U2527" s="14">
        <v>45788</v>
      </c>
      <c r="V2527" s="25">
        <v>45829</v>
      </c>
      <c r="W2527" s="26"/>
      <c r="X2527" s="2"/>
      <c r="Y2527" s="31"/>
      <c r="Z2527" s="2" t="s">
        <v>36</v>
      </c>
      <c r="AA2527" s="13" t="e">
        <v>#N/A</v>
      </c>
      <c r="AB2527" s="13" t="e">
        <v>#N/A</v>
      </c>
    </row>
    <row r="2528" spans="1:28" ht="15" customHeight="1">
      <c r="A2528" s="2" t="s">
        <v>9484</v>
      </c>
      <c r="B2528" s="10" t="s">
        <v>711</v>
      </c>
      <c r="C2528" s="11" t="s">
        <v>3351</v>
      </c>
      <c r="D2528" s="2" t="s">
        <v>78</v>
      </c>
      <c r="E2528" s="10" t="s">
        <v>4027</v>
      </c>
      <c r="F2528" s="11" t="s">
        <v>4066</v>
      </c>
      <c r="G2528" s="21" t="s">
        <v>4067</v>
      </c>
      <c r="H2528" s="2" t="s">
        <v>1360</v>
      </c>
      <c r="I2528" s="29" t="s">
        <v>4030</v>
      </c>
      <c r="J2528" s="41">
        <f>+Tabla1[[#This Row],[FECHA ENTRADA]]</f>
        <v>45788</v>
      </c>
      <c r="K2528" s="22">
        <v>45829</v>
      </c>
      <c r="L2528" s="23">
        <f>_xlfn.DAYS(Tabla1[[#This Row],[FECHA FIN ]],Tabla1[[#This Row],[FECHA INICIO]])</f>
        <v>41</v>
      </c>
      <c r="M2528" s="12"/>
      <c r="N2528" s="12"/>
      <c r="O2528" s="24">
        <f>(Tabla1[[#This Row],[COSTO FIJO ]]/30)*Tabla1[[#This Row],[TOTAL DIAS PROYECTO]]+(Tabla1[[#This Row],[COSTO TEMPORAL]])</f>
        <v>0</v>
      </c>
      <c r="P2528" s="12"/>
      <c r="Q2528" s="12">
        <f>+(Tabla1[[#This Row],[COSTO COCHE]]/30)*Tabla1[[#This Row],[TOTAL DIAS PROYECTO]]</f>
        <v>0</v>
      </c>
      <c r="R2528" s="12">
        <f>+Tabla1[[#This Row],[COSTO TOTAL ALOJAMIENTO]]+Tabla1[[#This Row],[COSTO TOTAL COCHE]]</f>
        <v>0</v>
      </c>
      <c r="S2528" s="2" t="s">
        <v>84</v>
      </c>
      <c r="T2528" s="2" t="s">
        <v>44</v>
      </c>
      <c r="U2528" s="14">
        <v>45788</v>
      </c>
      <c r="V2528" s="25">
        <v>45829</v>
      </c>
      <c r="W2528" s="26"/>
      <c r="X2528" s="2"/>
      <c r="Y2528" s="31"/>
      <c r="Z2528" s="2" t="s">
        <v>36</v>
      </c>
      <c r="AA2528" s="13" t="e">
        <v>#N/A</v>
      </c>
      <c r="AB2528" s="13" t="e">
        <v>#N/A</v>
      </c>
    </row>
    <row r="2529" spans="1:28" ht="15" customHeight="1">
      <c r="A2529" s="2" t="s">
        <v>9432</v>
      </c>
      <c r="B2529" s="2" t="s">
        <v>368</v>
      </c>
      <c r="C2529" s="11" t="s">
        <v>3169</v>
      </c>
      <c r="D2529" s="2" t="s">
        <v>30</v>
      </c>
      <c r="E2529" s="2" t="s">
        <v>259</v>
      </c>
      <c r="F2529" s="11" t="s">
        <v>260</v>
      </c>
      <c r="G2529" t="s">
        <v>261</v>
      </c>
      <c r="H2529" s="2" t="s">
        <v>2351</v>
      </c>
      <c r="I2529" s="12" t="s">
        <v>2073</v>
      </c>
      <c r="J2529" s="41">
        <f>+Tabla1[[#This Row],[FECHA ENTRADA]]</f>
        <v>45828</v>
      </c>
      <c r="K2529" s="41">
        <v>45829</v>
      </c>
      <c r="L2529" s="42">
        <f>_xlfn.DAYS(Tabla1[[#This Row],[FECHA FIN ]],Tabla1[[#This Row],[FECHA INICIO]])</f>
        <v>1</v>
      </c>
      <c r="M2529" s="12"/>
      <c r="N2529" s="28">
        <v>15</v>
      </c>
      <c r="O2529" s="28">
        <f>(Tabla1[[#This Row],[COSTO FIJO ]]/30)*Tabla1[[#This Row],[TOTAL DIAS PROYECTO]]+(Tabla1[[#This Row],[COSTO TEMPORAL]])</f>
        <v>0.5</v>
      </c>
      <c r="P2529" s="12"/>
      <c r="Q2529" s="12">
        <f>+(Tabla1[[#This Row],[COSTO COCHE]]/30)*Tabla1[[#This Row],[TOTAL DIAS PROYECTO]]</f>
        <v>0</v>
      </c>
      <c r="R2529" s="12">
        <f>+Tabla1[[#This Row],[COSTO TOTAL ALOJAMIENTO]]+Tabla1[[#This Row],[COSTO TOTAL COCHE]]</f>
        <v>0.5</v>
      </c>
      <c r="S2529" s="2"/>
      <c r="T2529" s="2" t="s">
        <v>528</v>
      </c>
      <c r="U2529" s="14">
        <v>45828</v>
      </c>
      <c r="V2529" s="43">
        <v>45829</v>
      </c>
      <c r="W2529" s="2"/>
      <c r="X2529" s="2"/>
      <c r="Y2529" s="11"/>
      <c r="Z2529" s="2" t="s">
        <v>36</v>
      </c>
      <c r="AA2529" s="13">
        <v>-0.87734000000000001</v>
      </c>
      <c r="AB2529" s="13" t="s">
        <v>10359</v>
      </c>
    </row>
    <row r="2530" spans="1:28" ht="15" customHeight="1">
      <c r="A2530" s="2" t="s">
        <v>9432</v>
      </c>
      <c r="B2530" s="2" t="s">
        <v>368</v>
      </c>
      <c r="C2530" s="11" t="s">
        <v>3169</v>
      </c>
      <c r="D2530" s="2" t="s">
        <v>30</v>
      </c>
      <c r="E2530" s="2" t="s">
        <v>259</v>
      </c>
      <c r="F2530" s="11" t="s">
        <v>260</v>
      </c>
      <c r="G2530" t="s">
        <v>261</v>
      </c>
      <c r="H2530" s="2" t="s">
        <v>2351</v>
      </c>
      <c r="I2530" s="12" t="s">
        <v>2073</v>
      </c>
      <c r="J2530" s="41">
        <f>+Tabla1[[#This Row],[FECHA ENTRADA]]</f>
        <v>45828</v>
      </c>
      <c r="K2530" s="41">
        <v>45829</v>
      </c>
      <c r="L2530" s="42">
        <f>_xlfn.DAYS(Tabla1[[#This Row],[FECHA FIN ]],Tabla1[[#This Row],[FECHA INICIO]])</f>
        <v>1</v>
      </c>
      <c r="M2530" s="12"/>
      <c r="N2530" s="28">
        <v>15</v>
      </c>
      <c r="O2530" s="28">
        <f>(Tabla1[[#This Row],[COSTO FIJO ]]/30)*Tabla1[[#This Row],[TOTAL DIAS PROYECTO]]+(Tabla1[[#This Row],[COSTO TEMPORAL]])</f>
        <v>0.5</v>
      </c>
      <c r="P2530" s="12"/>
      <c r="Q2530" s="12">
        <f>+(Tabla1[[#This Row],[COSTO COCHE]]/30)*Tabla1[[#This Row],[TOTAL DIAS PROYECTO]]</f>
        <v>0</v>
      </c>
      <c r="R2530" s="12">
        <f>+Tabla1[[#This Row],[COSTO TOTAL ALOJAMIENTO]]+Tabla1[[#This Row],[COSTO TOTAL COCHE]]</f>
        <v>0.5</v>
      </c>
      <c r="S2530" s="2"/>
      <c r="T2530" s="2" t="s">
        <v>528</v>
      </c>
      <c r="U2530" s="14">
        <v>45828</v>
      </c>
      <c r="V2530" s="43">
        <v>45829</v>
      </c>
      <c r="W2530" s="2"/>
      <c r="X2530" s="2"/>
      <c r="Y2530" s="11"/>
      <c r="Z2530" s="2" t="s">
        <v>36</v>
      </c>
      <c r="AA2530" s="13">
        <v>-0.87734000000000001</v>
      </c>
      <c r="AB2530" s="13" t="s">
        <v>10359</v>
      </c>
    </row>
    <row r="2531" spans="1:28" ht="15" customHeight="1">
      <c r="A2531" s="2" t="s">
        <v>9432</v>
      </c>
      <c r="B2531" s="2" t="s">
        <v>368</v>
      </c>
      <c r="C2531" s="11" t="s">
        <v>3169</v>
      </c>
      <c r="D2531" s="2" t="s">
        <v>30</v>
      </c>
      <c r="E2531" s="2" t="s">
        <v>259</v>
      </c>
      <c r="F2531" s="11" t="s">
        <v>260</v>
      </c>
      <c r="G2531" t="s">
        <v>261</v>
      </c>
      <c r="H2531" s="2" t="s">
        <v>2351</v>
      </c>
      <c r="I2531" s="12" t="s">
        <v>2073</v>
      </c>
      <c r="J2531" s="41">
        <f>+Tabla1[[#This Row],[FECHA ENTRADA]]</f>
        <v>45828</v>
      </c>
      <c r="K2531" s="41">
        <v>45829</v>
      </c>
      <c r="L2531" s="42">
        <f>_xlfn.DAYS(Tabla1[[#This Row],[FECHA FIN ]],Tabla1[[#This Row],[FECHA INICIO]])</f>
        <v>1</v>
      </c>
      <c r="M2531" s="12"/>
      <c r="N2531" s="28">
        <v>15</v>
      </c>
      <c r="O2531" s="28">
        <f>(Tabla1[[#This Row],[COSTO FIJO ]]/30)*Tabla1[[#This Row],[TOTAL DIAS PROYECTO]]+(Tabla1[[#This Row],[COSTO TEMPORAL]])</f>
        <v>0.5</v>
      </c>
      <c r="P2531" s="12"/>
      <c r="Q2531" s="12">
        <f>+(Tabla1[[#This Row],[COSTO COCHE]]/30)*Tabla1[[#This Row],[TOTAL DIAS PROYECTO]]</f>
        <v>0</v>
      </c>
      <c r="R2531" s="12">
        <f>+Tabla1[[#This Row],[COSTO TOTAL ALOJAMIENTO]]+Tabla1[[#This Row],[COSTO TOTAL COCHE]]</f>
        <v>0.5</v>
      </c>
      <c r="S2531" s="2"/>
      <c r="T2531" s="2" t="s">
        <v>528</v>
      </c>
      <c r="U2531" s="14">
        <v>45828</v>
      </c>
      <c r="V2531" s="43">
        <v>45829</v>
      </c>
      <c r="W2531" s="2"/>
      <c r="X2531" s="2"/>
      <c r="Y2531" s="11"/>
      <c r="Z2531" s="2" t="s">
        <v>36</v>
      </c>
      <c r="AA2531" s="13">
        <v>-0.87734000000000001</v>
      </c>
      <c r="AB2531" s="13" t="s">
        <v>10359</v>
      </c>
    </row>
    <row r="2532" spans="1:28">
      <c r="A2532" s="2" t="s">
        <v>8972</v>
      </c>
      <c r="B2532" s="2" t="s">
        <v>28</v>
      </c>
      <c r="C2532" s="11" t="s">
        <v>1555</v>
      </c>
      <c r="D2532" s="2" t="s">
        <v>99</v>
      </c>
      <c r="E2532" s="2" t="s">
        <v>1130</v>
      </c>
      <c r="F2532" s="11" t="s">
        <v>2012</v>
      </c>
      <c r="G2532" s="21" t="s">
        <v>2013</v>
      </c>
      <c r="H2532" s="2" t="s">
        <v>3452</v>
      </c>
      <c r="I2532" s="12" t="s">
        <v>794</v>
      </c>
      <c r="J2532" s="22">
        <f>+Tabla1[[#This Row],[FECHA ENTRADA]]</f>
        <v>45800</v>
      </c>
      <c r="K2532" s="22">
        <v>45829</v>
      </c>
      <c r="L2532" s="23">
        <f>_xlfn.DAYS(Tabla1[[#This Row],[FECHA FIN ]],Tabla1[[#This Row],[FECHA INICIO]])</f>
        <v>29</v>
      </c>
      <c r="M2532" s="12"/>
      <c r="N2532" s="12"/>
      <c r="O2532" s="24">
        <f>(Tabla1[[#This Row],[COSTO FIJO ]]/30)*Tabla1[[#This Row],[TOTAL DIAS PROYECTO]]+(Tabla1[[#This Row],[COSTO TEMPORAL]])</f>
        <v>0</v>
      </c>
      <c r="P2532" s="12"/>
      <c r="Q2532" s="12">
        <f>+(Tabla1[[#This Row],[COSTO COCHE]]/30)*Tabla1[[#This Row],[TOTAL DIAS PROYECTO]]</f>
        <v>0</v>
      </c>
      <c r="R2532" s="12">
        <f>+Tabla1[[#This Row],[COSTO TOTAL ALOJAMIENTO]]+Tabla1[[#This Row],[COSTO TOTAL COCHE]]</f>
        <v>0</v>
      </c>
      <c r="S2532" s="2"/>
      <c r="T2532" s="2" t="s">
        <v>35</v>
      </c>
      <c r="U2532" s="14">
        <v>45800</v>
      </c>
      <c r="V2532" s="25"/>
      <c r="W2532" s="26">
        <v>350</v>
      </c>
      <c r="X2532" s="2">
        <v>20</v>
      </c>
      <c r="Y2532" s="11" t="s">
        <v>4068</v>
      </c>
      <c r="Z2532" s="2" t="s">
        <v>36</v>
      </c>
      <c r="AA2532" s="13" t="s">
        <v>10412</v>
      </c>
      <c r="AB2532" s="13">
        <v>4200955</v>
      </c>
    </row>
    <row r="2533" spans="1:28" ht="15" customHeight="1">
      <c r="A2533" s="2" t="s">
        <v>8642</v>
      </c>
      <c r="B2533" s="2" t="s">
        <v>368</v>
      </c>
      <c r="C2533" s="11" t="s">
        <v>3660</v>
      </c>
      <c r="D2533" s="2" t="s">
        <v>99</v>
      </c>
      <c r="E2533" s="2" t="s">
        <v>855</v>
      </c>
      <c r="F2533" s="11" t="s">
        <v>1285</v>
      </c>
      <c r="G2533" s="46" t="s">
        <v>1286</v>
      </c>
      <c r="H2533" s="2" t="s">
        <v>2187</v>
      </c>
      <c r="I2533" s="91" t="s">
        <v>1288</v>
      </c>
      <c r="J2533" s="41">
        <f>+Tabla1[[#This Row],[FECHA ENTRADA]]</f>
        <v>45782</v>
      </c>
      <c r="K2533" s="8">
        <v>45830</v>
      </c>
      <c r="L2533" s="42">
        <f>_xlfn.DAYS(Tabla1[[#This Row],[FECHA FIN ]],Tabla1[[#This Row],[FECHA INICIO]])</f>
        <v>48</v>
      </c>
      <c r="M2533" s="12"/>
      <c r="N2533" s="12"/>
      <c r="O2533" s="28">
        <f>(Tabla1[[#This Row],[COSTO FIJO ]]/30)*Tabla1[[#This Row],[TOTAL DIAS PROYECTO]]+(Tabla1[[#This Row],[COSTO TEMPORAL]])</f>
        <v>0</v>
      </c>
      <c r="P2533" s="12"/>
      <c r="Q2533" s="12">
        <f>+(Tabla1[[#This Row],[COSTO COCHE]]/30)*Tabla1[[#This Row],[TOTAL DIAS PROYECTO]]</f>
        <v>0</v>
      </c>
      <c r="R2533" s="12">
        <f>+Tabla1[[#This Row],[COSTO TOTAL ALOJAMIENTO]]+Tabla1[[#This Row],[COSTO TOTAL COCHE]]</f>
        <v>0</v>
      </c>
      <c r="S2533" s="2"/>
      <c r="T2533" s="14" t="s">
        <v>44</v>
      </c>
      <c r="U2533" s="14">
        <v>45782</v>
      </c>
      <c r="V2533" s="43">
        <v>45831</v>
      </c>
      <c r="W2533" s="2"/>
      <c r="X2533" s="2"/>
      <c r="Y2533" s="11" t="s">
        <v>4032</v>
      </c>
      <c r="Z2533" s="2" t="s">
        <v>36</v>
      </c>
      <c r="AA2533" s="13" t="s">
        <v>10401</v>
      </c>
      <c r="AB2533" s="13" t="s">
        <v>10402</v>
      </c>
    </row>
    <row r="2534" spans="1:28" ht="15" customHeight="1">
      <c r="A2534" s="2" t="s">
        <v>9651</v>
      </c>
      <c r="B2534" s="2" t="s">
        <v>368</v>
      </c>
      <c r="C2534" s="11" t="s">
        <v>4069</v>
      </c>
      <c r="D2534" s="2" t="s">
        <v>30</v>
      </c>
      <c r="E2534" s="2" t="s">
        <v>855</v>
      </c>
      <c r="F2534" s="11" t="s">
        <v>1285</v>
      </c>
      <c r="G2534" s="49" t="s">
        <v>1286</v>
      </c>
      <c r="H2534" s="2" t="s">
        <v>1898</v>
      </c>
      <c r="I2534" s="91" t="s">
        <v>1288</v>
      </c>
      <c r="J2534" s="41">
        <f>+Tabla1[[#This Row],[FECHA ENTRADA]]</f>
        <v>45664</v>
      </c>
      <c r="K2534" s="8">
        <v>45830</v>
      </c>
      <c r="L2534" s="42">
        <f>_xlfn.DAYS(Tabla1[[#This Row],[FECHA FIN ]],Tabla1[[#This Row],[FECHA INICIO]])</f>
        <v>166</v>
      </c>
      <c r="M2534" s="12"/>
      <c r="N2534" s="12"/>
      <c r="O2534" s="28">
        <f>(Tabla1[[#This Row],[COSTO FIJO ]]/30)*Tabla1[[#This Row],[TOTAL DIAS PROYECTO]]+(Tabla1[[#This Row],[COSTO TEMPORAL]])</f>
        <v>0</v>
      </c>
      <c r="P2534" s="12">
        <v>83.333333333333329</v>
      </c>
      <c r="Q2534" s="12">
        <f>+(Tabla1[[#This Row],[COSTO COCHE]]/30)*Tabla1[[#This Row],[TOTAL DIAS PROYECTO]]</f>
        <v>461.11111111111109</v>
      </c>
      <c r="R2534" s="12">
        <f>+Tabla1[[#This Row],[COSTO TOTAL ALOJAMIENTO]]+Tabla1[[#This Row],[COSTO TOTAL COCHE]]</f>
        <v>461.11111111111109</v>
      </c>
      <c r="S2534" s="2"/>
      <c r="T2534" s="2" t="s">
        <v>528</v>
      </c>
      <c r="U2534" s="14">
        <v>45664</v>
      </c>
      <c r="V2534" s="43">
        <v>45831</v>
      </c>
      <c r="W2534" s="26"/>
      <c r="X2534" s="2"/>
      <c r="Y2534" s="11" t="s">
        <v>4032</v>
      </c>
      <c r="Z2534" s="2" t="s">
        <v>36</v>
      </c>
      <c r="AA2534" s="13" t="s">
        <v>10401</v>
      </c>
      <c r="AB2534" s="13" t="s">
        <v>10402</v>
      </c>
    </row>
    <row r="2535" spans="1:28" ht="15" customHeight="1">
      <c r="A2535" s="2" t="s">
        <v>9652</v>
      </c>
      <c r="B2535" s="2" t="s">
        <v>368</v>
      </c>
      <c r="C2535" s="87" t="s">
        <v>4070</v>
      </c>
      <c r="D2535" s="2" t="s">
        <v>30</v>
      </c>
      <c r="E2535" s="2" t="s">
        <v>855</v>
      </c>
      <c r="F2535" s="11" t="s">
        <v>1285</v>
      </c>
      <c r="G2535" s="46" t="s">
        <v>1286</v>
      </c>
      <c r="H2535" s="2" t="s">
        <v>2988</v>
      </c>
      <c r="I2535" s="91" t="s">
        <v>1288</v>
      </c>
      <c r="J2535" s="41">
        <f>+Tabla1[[#This Row],[FECHA ENTRADA]]</f>
        <v>45664</v>
      </c>
      <c r="K2535" s="8">
        <v>45830</v>
      </c>
      <c r="L2535" s="42">
        <f>_xlfn.DAYS(Tabla1[[#This Row],[FECHA FIN ]],Tabla1[[#This Row],[FECHA INICIO]])</f>
        <v>166</v>
      </c>
      <c r="M2535" s="12"/>
      <c r="N2535" s="12"/>
      <c r="O2535" s="28">
        <f>(Tabla1[[#This Row],[COSTO FIJO ]]/30)*Tabla1[[#This Row],[TOTAL DIAS PROYECTO]]+(Tabla1[[#This Row],[COSTO TEMPORAL]])</f>
        <v>0</v>
      </c>
      <c r="P2535" s="12">
        <v>83.333333333333329</v>
      </c>
      <c r="Q2535" s="12">
        <f>+(Tabla1[[#This Row],[COSTO COCHE]]/30)*Tabla1[[#This Row],[TOTAL DIAS PROYECTO]]</f>
        <v>461.11111111111109</v>
      </c>
      <c r="R2535" s="12">
        <f>+Tabla1[[#This Row],[COSTO TOTAL ALOJAMIENTO]]+Tabla1[[#This Row],[COSTO TOTAL COCHE]]</f>
        <v>461.11111111111109</v>
      </c>
      <c r="S2535" s="2"/>
      <c r="T2535" s="2" t="s">
        <v>44</v>
      </c>
      <c r="U2535" s="14">
        <v>45664</v>
      </c>
      <c r="V2535" s="43">
        <v>45831</v>
      </c>
      <c r="W2535" s="26"/>
      <c r="X2535" s="2"/>
      <c r="Y2535" s="11" t="s">
        <v>4032</v>
      </c>
      <c r="Z2535" s="2" t="s">
        <v>36</v>
      </c>
      <c r="AA2535" s="13" t="s">
        <v>10401</v>
      </c>
      <c r="AB2535" s="13" t="s">
        <v>10402</v>
      </c>
    </row>
    <row r="2536" spans="1:28" ht="15" customHeight="1">
      <c r="A2536" s="2" t="s">
        <v>9617</v>
      </c>
      <c r="B2536" s="2" t="s">
        <v>368</v>
      </c>
      <c r="C2536" s="11" t="s">
        <v>3888</v>
      </c>
      <c r="D2536" s="2" t="s">
        <v>30</v>
      </c>
      <c r="E2536" s="2" t="s">
        <v>1130</v>
      </c>
      <c r="F2536" s="11" t="s">
        <v>1131</v>
      </c>
      <c r="G2536" t="s">
        <v>1132</v>
      </c>
      <c r="H2536" s="2" t="s">
        <v>4071</v>
      </c>
      <c r="I2536" s="12" t="s">
        <v>1134</v>
      </c>
      <c r="J2536" s="22">
        <f>+Tabla1[[#This Row],[FECHA ENTRADA]]</f>
        <v>45687</v>
      </c>
      <c r="K2536" s="22">
        <v>45830</v>
      </c>
      <c r="L2536" s="23">
        <f>_xlfn.DAYS(Tabla1[[#This Row],[FECHA FIN ]],Tabla1[[#This Row],[FECHA INICIO]])</f>
        <v>143</v>
      </c>
      <c r="M2536" s="12"/>
      <c r="N2536" s="24">
        <v>250</v>
      </c>
      <c r="O2536" s="24">
        <f>(Tabla1[[#This Row],[COSTO FIJO ]]/30)*Tabla1[[#This Row],[TOTAL DIAS PROYECTO]]+(Tabla1[[#This Row],[COSTO TEMPORAL]])</f>
        <v>1191.6666666666667</v>
      </c>
      <c r="P2536" s="12"/>
      <c r="Q2536" s="12">
        <f>+(Tabla1[[#This Row],[COSTO COCHE]]/30)*Tabla1[[#This Row],[TOTAL DIAS PROYECTO]]</f>
        <v>0</v>
      </c>
      <c r="R2536" s="12">
        <f>+Tabla1[[#This Row],[COSTO TOTAL ALOJAMIENTO]]+Tabla1[[#This Row],[COSTO TOTAL COCHE]]</f>
        <v>1191.6666666666667</v>
      </c>
      <c r="S2536" s="2"/>
      <c r="T2536" s="2" t="s">
        <v>35</v>
      </c>
      <c r="U2536" s="14">
        <v>45687</v>
      </c>
      <c r="V2536" s="25"/>
      <c r="W2536" s="26"/>
      <c r="X2536" s="2">
        <v>14</v>
      </c>
      <c r="Y2536" s="11"/>
      <c r="Z2536" s="2" t="s">
        <v>36</v>
      </c>
      <c r="AA2536" s="13" t="s">
        <v>10412</v>
      </c>
      <c r="AB2536" s="13">
        <v>4200955</v>
      </c>
    </row>
    <row r="2537" spans="1:28" ht="15" customHeight="1">
      <c r="A2537" s="2" t="s">
        <v>9154</v>
      </c>
      <c r="B2537" s="2" t="s">
        <v>28</v>
      </c>
      <c r="C2537" s="31" t="s">
        <v>2247</v>
      </c>
      <c r="D2537" s="2" t="s">
        <v>30</v>
      </c>
      <c r="E2537" s="2" t="s">
        <v>253</v>
      </c>
      <c r="F2537" s="11" t="s">
        <v>4021</v>
      </c>
      <c r="G2537" t="s">
        <v>4072</v>
      </c>
      <c r="H2537" s="2" t="s">
        <v>1753</v>
      </c>
      <c r="I2537" s="12" t="s">
        <v>1232</v>
      </c>
      <c r="J2537" s="22">
        <f>+Tabla1[[#This Row],[FECHA ENTRADA]]</f>
        <v>45791</v>
      </c>
      <c r="K2537" s="22">
        <v>45825</v>
      </c>
      <c r="L2537" s="23">
        <f>_xlfn.DAYS(Tabla1[[#This Row],[FECHA FIN ]],Tabla1[[#This Row],[FECHA INICIO]])</f>
        <v>34</v>
      </c>
      <c r="M2537" s="12"/>
      <c r="N2537" s="24">
        <v>300</v>
      </c>
      <c r="O2537" s="24">
        <f>(Tabla1[[#This Row],[COSTO FIJO ]]/30)*Tabla1[[#This Row],[TOTAL DIAS PROYECTO]]+(Tabla1[[#This Row],[COSTO TEMPORAL]])</f>
        <v>340</v>
      </c>
      <c r="P2537" s="12"/>
      <c r="Q2537" s="12">
        <f>+(Tabla1[[#This Row],[COSTO COCHE]]/30)*Tabla1[[#This Row],[TOTAL DIAS PROYECTO]]</f>
        <v>0</v>
      </c>
      <c r="R2537" s="12">
        <f>+Tabla1[[#This Row],[COSTO TOTAL ALOJAMIENTO]]+Tabla1[[#This Row],[COSTO TOTAL COCHE]]</f>
        <v>340</v>
      </c>
      <c r="S2537" s="2"/>
      <c r="T2537" s="2" t="s">
        <v>35</v>
      </c>
      <c r="U2537" s="14">
        <v>45791</v>
      </c>
      <c r="V2537" s="43" t="s">
        <v>4073</v>
      </c>
      <c r="W2537" s="26"/>
      <c r="X2537" s="2">
        <v>10</v>
      </c>
      <c r="Y2537" s="11"/>
      <c r="Z2537" s="2" t="s">
        <v>36</v>
      </c>
      <c r="AA2537" s="13" t="s">
        <v>10357</v>
      </c>
      <c r="AB2537" s="13" t="s">
        <v>10358</v>
      </c>
    </row>
    <row r="2538" spans="1:28" ht="15" customHeight="1">
      <c r="A2538" s="2" t="s">
        <v>8638</v>
      </c>
      <c r="B2538" s="2" t="s">
        <v>28</v>
      </c>
      <c r="C2538" s="86" t="s">
        <v>4074</v>
      </c>
      <c r="D2538" s="2" t="s">
        <v>30</v>
      </c>
      <c r="E2538" s="2" t="s">
        <v>55</v>
      </c>
      <c r="F2538" s="11"/>
      <c r="G2538" s="11"/>
      <c r="H2538" s="2">
        <v>2023</v>
      </c>
      <c r="I2538" s="2" t="s">
        <v>236</v>
      </c>
      <c r="J2538" s="8">
        <v>45220</v>
      </c>
      <c r="K2538" s="8">
        <v>45831</v>
      </c>
      <c r="L2538" s="13">
        <f>_xlfn.DAYS(Tabla1[[#This Row],[FECHA FIN ]],Tabla1[[#This Row],[FECHA INICIO]])</f>
        <v>611</v>
      </c>
      <c r="M2538" s="2"/>
      <c r="N2538" s="12">
        <v>300</v>
      </c>
      <c r="O2538" s="12">
        <f>(Tabla1[[#This Row],[COSTO FIJO ]]/30)*Tabla1[[#This Row],[TOTAL DIAS PROYECTO]]+(Tabla1[[#This Row],[COSTO TEMPORAL]])</f>
        <v>6110</v>
      </c>
      <c r="P2538" s="12"/>
      <c r="Q2538" s="12">
        <f>+(Tabla1[[#This Row],[COSTO COCHE]]/30)*Tabla1[[#This Row],[TOTAL DIAS PROYECTO]]</f>
        <v>0</v>
      </c>
      <c r="R2538" s="12">
        <f>+Tabla1[[#This Row],[COSTO TOTAL ALOJAMIENTO]]+Tabla1[[#This Row],[COSTO TOTAL COCHE]]</f>
        <v>6110</v>
      </c>
      <c r="S2538" s="2"/>
      <c r="T2538" s="2" t="s">
        <v>58</v>
      </c>
      <c r="U2538" s="14"/>
      <c r="V2538" s="14">
        <v>45339</v>
      </c>
      <c r="W2538" s="15"/>
      <c r="X2538" s="16"/>
      <c r="Y2538" s="85" t="s">
        <v>4075</v>
      </c>
      <c r="Z2538" s="2" t="s">
        <v>36</v>
      </c>
      <c r="AA2538" s="13" t="s">
        <v>10327</v>
      </c>
      <c r="AB2538" s="13" t="s">
        <v>10328</v>
      </c>
    </row>
    <row r="2539" spans="1:28" ht="15" customHeight="1">
      <c r="A2539" s="2" t="s">
        <v>9653</v>
      </c>
      <c r="B2539" s="2" t="s">
        <v>28</v>
      </c>
      <c r="C2539" s="86" t="s">
        <v>4076</v>
      </c>
      <c r="D2539" s="2" t="s">
        <v>30</v>
      </c>
      <c r="E2539" s="2" t="s">
        <v>55</v>
      </c>
      <c r="F2539" s="11"/>
      <c r="G2539" s="11"/>
      <c r="H2539" s="2">
        <v>2023</v>
      </c>
      <c r="I2539" s="2" t="s">
        <v>236</v>
      </c>
      <c r="J2539" s="8">
        <v>45250</v>
      </c>
      <c r="K2539" s="8">
        <v>45831</v>
      </c>
      <c r="L2539" s="13">
        <f>_xlfn.DAYS(Tabla1[[#This Row],[FECHA FIN ]],Tabla1[[#This Row],[FECHA INICIO]])</f>
        <v>581</v>
      </c>
      <c r="M2539" s="2"/>
      <c r="N2539" s="12">
        <v>300</v>
      </c>
      <c r="O2539" s="12">
        <f>(Tabla1[[#This Row],[COSTO FIJO ]]/30)*Tabla1[[#This Row],[TOTAL DIAS PROYECTO]]+(Tabla1[[#This Row],[COSTO TEMPORAL]])</f>
        <v>5810</v>
      </c>
      <c r="P2539" s="12"/>
      <c r="Q2539" s="12">
        <f>+(Tabla1[[#This Row],[COSTO COCHE]]/30)*Tabla1[[#This Row],[TOTAL DIAS PROYECTO]]</f>
        <v>0</v>
      </c>
      <c r="R2539" s="12">
        <f>+Tabla1[[#This Row],[COSTO TOTAL ALOJAMIENTO]]+Tabla1[[#This Row],[COSTO TOTAL COCHE]]</f>
        <v>5810</v>
      </c>
      <c r="S2539" s="2"/>
      <c r="T2539" s="2" t="s">
        <v>58</v>
      </c>
      <c r="U2539" s="14"/>
      <c r="V2539" s="14"/>
      <c r="W2539" s="15"/>
      <c r="X2539" s="16"/>
      <c r="Y2539" s="31" t="s">
        <v>4077</v>
      </c>
      <c r="Z2539" s="2" t="s">
        <v>36</v>
      </c>
      <c r="AA2539" s="13" t="s">
        <v>10327</v>
      </c>
      <c r="AB2539" s="13" t="s">
        <v>10328</v>
      </c>
    </row>
    <row r="2540" spans="1:28" ht="15" customHeight="1">
      <c r="A2540" s="2" t="s">
        <v>9490</v>
      </c>
      <c r="B2540" s="2" t="s">
        <v>28</v>
      </c>
      <c r="C2540" s="11" t="s">
        <v>3369</v>
      </c>
      <c r="D2540" s="2" t="s">
        <v>30</v>
      </c>
      <c r="E2540" s="2" t="s">
        <v>225</v>
      </c>
      <c r="F2540" s="11" t="s">
        <v>3968</v>
      </c>
      <c r="G2540" s="46" t="s">
        <v>3969</v>
      </c>
      <c r="H2540" s="2" t="s">
        <v>3970</v>
      </c>
      <c r="I2540" s="12" t="s">
        <v>228</v>
      </c>
      <c r="J2540" s="41">
        <f>+Tabla1[[#This Row],[FECHA ENTRADA]]</f>
        <v>45675</v>
      </c>
      <c r="K2540" s="22">
        <v>45821</v>
      </c>
      <c r="L2540" s="42">
        <f>_xlfn.DAYS(Tabla1[[#This Row],[FECHA FIN ]],Tabla1[[#This Row],[FECHA INICIO]])</f>
        <v>146</v>
      </c>
      <c r="M2540" s="12"/>
      <c r="N2540" s="12"/>
      <c r="O2540" s="28">
        <f>(Tabla1[[#This Row],[COSTO FIJO ]]/30)*Tabla1[[#This Row],[TOTAL DIAS PROYECTO]]+(Tabla1[[#This Row],[COSTO TEMPORAL]])</f>
        <v>0</v>
      </c>
      <c r="P2540" s="12"/>
      <c r="Q2540" s="12">
        <f>+(Tabla1[[#This Row],[COSTO COCHE]]/30)*Tabla1[[#This Row],[TOTAL DIAS PROYECTO]]</f>
        <v>0</v>
      </c>
      <c r="R2540" s="12">
        <f>+Tabla1[[#This Row],[COSTO TOTAL ALOJAMIENTO]]+Tabla1[[#This Row],[COSTO TOTAL COCHE]]</f>
        <v>0</v>
      </c>
      <c r="S2540" s="2"/>
      <c r="T2540" s="2" t="s">
        <v>35</v>
      </c>
      <c r="U2540" s="14">
        <v>45675</v>
      </c>
      <c r="V2540" s="43"/>
      <c r="W2540" s="26"/>
      <c r="X2540" s="2"/>
      <c r="Y2540" s="11" t="s">
        <v>3971</v>
      </c>
      <c r="Z2540" s="2" t="s">
        <v>36</v>
      </c>
      <c r="AA2540" s="13" t="s">
        <v>10353</v>
      </c>
      <c r="AB2540" s="13" t="s">
        <v>10354</v>
      </c>
    </row>
    <row r="2541" spans="1:28" ht="15" customHeight="1">
      <c r="A2541" s="2" t="s">
        <v>9453</v>
      </c>
      <c r="B2541" s="2" t="s">
        <v>711</v>
      </c>
      <c r="C2541" s="11" t="s">
        <v>3228</v>
      </c>
      <c r="D2541" s="2" t="s">
        <v>99</v>
      </c>
      <c r="E2541" s="2" t="s">
        <v>1514</v>
      </c>
      <c r="F2541" s="11" t="s">
        <v>4078</v>
      </c>
      <c r="G2541" s="46" t="s">
        <v>4079</v>
      </c>
      <c r="H2541" s="2" t="s">
        <v>3693</v>
      </c>
      <c r="I2541" s="12" t="s">
        <v>506</v>
      </c>
      <c r="J2541" s="41">
        <f>+Tabla1[[#This Row],[FECHA ENTRADA]]</f>
        <v>45830</v>
      </c>
      <c r="K2541" s="8">
        <v>45831</v>
      </c>
      <c r="L2541" s="42">
        <f>_xlfn.DAYS(Tabla1[[#This Row],[FECHA FIN ]],Tabla1[[#This Row],[FECHA INICIO]])</f>
        <v>1</v>
      </c>
      <c r="M2541" s="12"/>
      <c r="N2541" s="12"/>
      <c r="O2541" s="28">
        <f>(Tabla1[[#This Row],[COSTO FIJO ]]/30)*Tabla1[[#This Row],[TOTAL DIAS PROYECTO]]+(Tabla1[[#This Row],[COSTO TEMPORAL]])</f>
        <v>0</v>
      </c>
      <c r="P2541" s="12"/>
      <c r="Q2541" s="12">
        <f>+(Tabla1[[#This Row],[COSTO COCHE]]/30)*Tabla1[[#This Row],[TOTAL DIAS PROYECTO]]</f>
        <v>0</v>
      </c>
      <c r="R2541" s="12">
        <f>+Tabla1[[#This Row],[COSTO TOTAL ALOJAMIENTO]]+Tabla1[[#This Row],[COSTO TOTAL COCHE]]</f>
        <v>0</v>
      </c>
      <c r="S2541" s="2" t="s">
        <v>84</v>
      </c>
      <c r="T2541" s="2" t="s">
        <v>528</v>
      </c>
      <c r="U2541" s="14">
        <v>45830</v>
      </c>
      <c r="V2541" s="43">
        <v>45831</v>
      </c>
      <c r="W2541" s="2"/>
      <c r="X2541" s="2"/>
      <c r="Y2541" s="11"/>
      <c r="Z2541" s="2" t="s">
        <v>36</v>
      </c>
      <c r="AA2541" s="13" t="s">
        <v>10424</v>
      </c>
      <c r="AB2541" s="13">
        <v>398581</v>
      </c>
    </row>
    <row r="2542" spans="1:28" ht="15" customHeight="1">
      <c r="A2542" s="2" t="s">
        <v>9443</v>
      </c>
      <c r="B2542" s="2" t="s">
        <v>711</v>
      </c>
      <c r="C2542" s="11" t="s">
        <v>3196</v>
      </c>
      <c r="D2542" s="2" t="s">
        <v>99</v>
      </c>
      <c r="E2542" s="2" t="s">
        <v>1514</v>
      </c>
      <c r="F2542" s="11" t="s">
        <v>4078</v>
      </c>
      <c r="G2542" s="46" t="s">
        <v>4079</v>
      </c>
      <c r="H2542" s="2" t="s">
        <v>3693</v>
      </c>
      <c r="I2542" s="12" t="s">
        <v>506</v>
      </c>
      <c r="J2542" s="41">
        <f>+Tabla1[[#This Row],[FECHA ENTRADA]]</f>
        <v>45830</v>
      </c>
      <c r="K2542" s="8">
        <v>45831</v>
      </c>
      <c r="L2542" s="42">
        <f>_xlfn.DAYS(Tabla1[[#This Row],[FECHA FIN ]],Tabla1[[#This Row],[FECHA INICIO]])</f>
        <v>1</v>
      </c>
      <c r="M2542" s="12"/>
      <c r="N2542" s="12"/>
      <c r="O2542" s="28">
        <f>(Tabla1[[#This Row],[COSTO FIJO ]]/30)*Tabla1[[#This Row],[TOTAL DIAS PROYECTO]]+(Tabla1[[#This Row],[COSTO TEMPORAL]])</f>
        <v>0</v>
      </c>
      <c r="P2542" s="12"/>
      <c r="Q2542" s="12">
        <f>+(Tabla1[[#This Row],[COSTO COCHE]]/30)*Tabla1[[#This Row],[TOTAL DIAS PROYECTO]]</f>
        <v>0</v>
      </c>
      <c r="R2542" s="12">
        <f>+Tabla1[[#This Row],[COSTO TOTAL ALOJAMIENTO]]+Tabla1[[#This Row],[COSTO TOTAL COCHE]]</f>
        <v>0</v>
      </c>
      <c r="S2542" s="2" t="s">
        <v>84</v>
      </c>
      <c r="T2542" s="2" t="s">
        <v>528</v>
      </c>
      <c r="U2542" s="14">
        <v>45830</v>
      </c>
      <c r="V2542" s="43">
        <v>45831</v>
      </c>
      <c r="W2542" s="2"/>
      <c r="X2542" s="2"/>
      <c r="Y2542" s="11"/>
      <c r="Z2542" s="2" t="s">
        <v>36</v>
      </c>
      <c r="AA2542" s="13" t="s">
        <v>10424</v>
      </c>
      <c r="AB2542" s="13">
        <v>398581</v>
      </c>
    </row>
    <row r="2543" spans="1:28" ht="15" customHeight="1">
      <c r="A2543" s="2" t="s">
        <v>9085</v>
      </c>
      <c r="B2543" s="2" t="s">
        <v>711</v>
      </c>
      <c r="C2543" s="11" t="s">
        <v>1954</v>
      </c>
      <c r="D2543" s="2" t="s">
        <v>72</v>
      </c>
      <c r="E2543" s="2" t="s">
        <v>1955</v>
      </c>
      <c r="F2543" s="11" t="s">
        <v>4080</v>
      </c>
      <c r="G2543" s="46" t="s">
        <v>4081</v>
      </c>
      <c r="H2543" s="2" t="s">
        <v>1958</v>
      </c>
      <c r="I2543" s="12" t="s">
        <v>1959</v>
      </c>
      <c r="J2543" s="41">
        <f>+Tabla1[[#This Row],[FECHA ENTRADA]]</f>
        <v>45830</v>
      </c>
      <c r="K2543" s="41">
        <v>45831</v>
      </c>
      <c r="L2543" s="42">
        <f>_xlfn.DAYS(Tabla1[[#This Row],[FECHA FIN ]],Tabla1[[#This Row],[FECHA INICIO]])</f>
        <v>1</v>
      </c>
      <c r="M2543" s="12"/>
      <c r="N2543" s="12">
        <f>82.91/2</f>
        <v>41.454999999999998</v>
      </c>
      <c r="O2543" s="28">
        <f>(Tabla1[[#This Row],[COSTO FIJO ]]/30)*Tabla1[[#This Row],[TOTAL DIAS PROYECTO]]+(Tabla1[[#This Row],[COSTO TEMPORAL]])</f>
        <v>1.3818333333333332</v>
      </c>
      <c r="P2543" s="12"/>
      <c r="Q2543" s="12">
        <f>+(Tabla1[[#This Row],[COSTO COCHE]]/30)*Tabla1[[#This Row],[TOTAL DIAS PROYECTO]]</f>
        <v>0</v>
      </c>
      <c r="R2543" s="12">
        <f>+Tabla1[[#This Row],[COSTO TOTAL ALOJAMIENTO]]+Tabla1[[#This Row],[COSTO TOTAL COCHE]]</f>
        <v>1.3818333333333332</v>
      </c>
      <c r="S2543" s="2" t="s">
        <v>84</v>
      </c>
      <c r="T2543" s="2" t="s">
        <v>528</v>
      </c>
      <c r="U2543" s="14">
        <v>45830</v>
      </c>
      <c r="V2543" s="43">
        <v>45831</v>
      </c>
      <c r="W2543" s="2"/>
      <c r="X2543" s="2"/>
      <c r="Y2543" s="11"/>
      <c r="Z2543" s="2" t="s">
        <v>36</v>
      </c>
      <c r="AA2543" s="13" t="s">
        <v>10433</v>
      </c>
      <c r="AB2543" s="13" t="s">
        <v>10434</v>
      </c>
    </row>
    <row r="2544" spans="1:28" ht="15" customHeight="1">
      <c r="A2544" s="2" t="s">
        <v>9086</v>
      </c>
      <c r="B2544" s="2" t="s">
        <v>711</v>
      </c>
      <c r="C2544" s="11" t="s">
        <v>1960</v>
      </c>
      <c r="D2544" s="2" t="s">
        <v>72</v>
      </c>
      <c r="E2544" s="2" t="s">
        <v>1955</v>
      </c>
      <c r="F2544" s="11" t="s">
        <v>4080</v>
      </c>
      <c r="G2544" s="46" t="s">
        <v>4081</v>
      </c>
      <c r="H2544" s="2" t="s">
        <v>1958</v>
      </c>
      <c r="I2544" s="12" t="s">
        <v>1959</v>
      </c>
      <c r="J2544" s="41">
        <f>+Tabla1[[#This Row],[FECHA ENTRADA]]</f>
        <v>45830</v>
      </c>
      <c r="K2544" s="41">
        <v>45831</v>
      </c>
      <c r="L2544" s="42">
        <f>_xlfn.DAYS(Tabla1[[#This Row],[FECHA FIN ]],Tabla1[[#This Row],[FECHA INICIO]])</f>
        <v>1</v>
      </c>
      <c r="M2544" s="12"/>
      <c r="N2544" s="12">
        <f>82.91/2</f>
        <v>41.454999999999998</v>
      </c>
      <c r="O2544" s="28">
        <f>(Tabla1[[#This Row],[COSTO FIJO ]]/30)*Tabla1[[#This Row],[TOTAL DIAS PROYECTO]]+(Tabla1[[#This Row],[COSTO TEMPORAL]])</f>
        <v>1.3818333333333332</v>
      </c>
      <c r="P2544" s="12"/>
      <c r="Q2544" s="12">
        <f>+(Tabla1[[#This Row],[COSTO COCHE]]/30)*Tabla1[[#This Row],[TOTAL DIAS PROYECTO]]</f>
        <v>0</v>
      </c>
      <c r="R2544" s="12">
        <f>+Tabla1[[#This Row],[COSTO TOTAL ALOJAMIENTO]]+Tabla1[[#This Row],[COSTO TOTAL COCHE]]</f>
        <v>1.3818333333333332</v>
      </c>
      <c r="S2544" s="2" t="s">
        <v>84</v>
      </c>
      <c r="T2544" s="2" t="s">
        <v>528</v>
      </c>
      <c r="U2544" s="14">
        <v>45830</v>
      </c>
      <c r="V2544" s="43">
        <v>45831</v>
      </c>
      <c r="W2544" s="2"/>
      <c r="X2544" s="2"/>
      <c r="Y2544" s="11"/>
      <c r="Z2544" s="2" t="s">
        <v>36</v>
      </c>
      <c r="AA2544" s="13" t="s">
        <v>10433</v>
      </c>
      <c r="AB2544" s="13" t="s">
        <v>10434</v>
      </c>
    </row>
    <row r="2545" spans="1:28" ht="15" customHeight="1">
      <c r="A2545" s="2" t="s">
        <v>9518</v>
      </c>
      <c r="B2545" s="2" t="s">
        <v>368</v>
      </c>
      <c r="C2545" s="31" t="s">
        <v>3500</v>
      </c>
      <c r="D2545" s="2" t="s">
        <v>72</v>
      </c>
      <c r="E2545" s="2" t="s">
        <v>1458</v>
      </c>
      <c r="F2545" s="11" t="s">
        <v>3636</v>
      </c>
      <c r="G2545" s="49" t="s">
        <v>2053</v>
      </c>
      <c r="H2545" s="2" t="s">
        <v>3470</v>
      </c>
      <c r="I2545" s="12" t="s">
        <v>1288</v>
      </c>
      <c r="J2545" s="22">
        <f>+Tabla1[[#This Row],[FECHA ENTRADA]]</f>
        <v>45805</v>
      </c>
      <c r="K2545" s="22">
        <v>45831</v>
      </c>
      <c r="L2545" s="23">
        <f>_xlfn.DAYS(Tabla1[[#This Row],[FECHA FIN ]],Tabla1[[#This Row],[FECHA INICIO]])</f>
        <v>26</v>
      </c>
      <c r="M2545" s="12"/>
      <c r="N2545" s="12">
        <v>570</v>
      </c>
      <c r="O2545" s="24">
        <f>(Tabla1[[#This Row],[COSTO FIJO ]]/30)*Tabla1[[#This Row],[TOTAL DIAS PROYECTO]]+(Tabla1[[#This Row],[COSTO TEMPORAL]])</f>
        <v>494</v>
      </c>
      <c r="P2545" s="12"/>
      <c r="Q2545" s="12">
        <f>+(Tabla1[[#This Row],[COSTO COCHE]]/30)*Tabla1[[#This Row],[TOTAL DIAS PROYECTO]]</f>
        <v>0</v>
      </c>
      <c r="R2545" s="12">
        <f>+Tabla1[[#This Row],[COSTO TOTAL ALOJAMIENTO]]+Tabla1[[#This Row],[COSTO TOTAL COCHE]]</f>
        <v>494</v>
      </c>
      <c r="S2545" s="2"/>
      <c r="T2545" s="2" t="s">
        <v>44</v>
      </c>
      <c r="U2545" s="14">
        <v>45805</v>
      </c>
      <c r="V2545" s="25">
        <v>45836</v>
      </c>
      <c r="W2545" s="2"/>
      <c r="X2545" s="2"/>
      <c r="Y2545" s="150"/>
      <c r="Z2545" s="2" t="s">
        <v>36</v>
      </c>
      <c r="AA2545" s="13" t="s">
        <v>10421</v>
      </c>
      <c r="AB2545" s="13">
        <v>5113412</v>
      </c>
    </row>
    <row r="2546" spans="1:28" ht="15" customHeight="1">
      <c r="A2546" s="2" t="s">
        <v>9222</v>
      </c>
      <c r="B2546" s="2" t="s">
        <v>28</v>
      </c>
      <c r="C2546" s="18" t="s">
        <v>2493</v>
      </c>
      <c r="D2546" s="2" t="s">
        <v>30</v>
      </c>
      <c r="E2546" s="2" t="s">
        <v>55</v>
      </c>
      <c r="F2546" s="11"/>
      <c r="G2546" s="49"/>
      <c r="H2546" s="2" t="s">
        <v>1799</v>
      </c>
      <c r="I2546" s="12" t="s">
        <v>236</v>
      </c>
      <c r="J2546" s="41">
        <f>+Tabla1[[#This Row],[FECHA ENTRADA]]</f>
        <v>45809</v>
      </c>
      <c r="K2546" s="8">
        <v>45831</v>
      </c>
      <c r="L2546" s="42">
        <f>_xlfn.DAYS(Tabla1[[#This Row],[FECHA FIN ]],Tabla1[[#This Row],[FECHA INICIO]])</f>
        <v>22</v>
      </c>
      <c r="M2546" s="12"/>
      <c r="N2546" s="12">
        <v>300</v>
      </c>
      <c r="O2546" s="28">
        <f>(Tabla1[[#This Row],[COSTO FIJO ]]/30)*Tabla1[[#This Row],[TOTAL DIAS PROYECTO]]+(Tabla1[[#This Row],[COSTO TEMPORAL]])</f>
        <v>220</v>
      </c>
      <c r="P2546" s="12"/>
      <c r="Q2546" s="12">
        <f>+(Tabla1[[#This Row],[COSTO COCHE]]/30)*Tabla1[[#This Row],[TOTAL DIAS PROYECTO]]</f>
        <v>0</v>
      </c>
      <c r="R2546" s="12">
        <f>+Tabla1[[#This Row],[COSTO TOTAL ALOJAMIENTO]]+Tabla1[[#This Row],[COSTO TOTAL COCHE]]</f>
        <v>220</v>
      </c>
      <c r="S2546" s="2"/>
      <c r="T2546" s="14" t="s">
        <v>58</v>
      </c>
      <c r="U2546" s="14">
        <v>45809</v>
      </c>
      <c r="V2546" s="75"/>
      <c r="W2546" s="2"/>
      <c r="X2546" s="2"/>
      <c r="Y2546" s="11"/>
      <c r="Z2546" s="2" t="s">
        <v>36</v>
      </c>
      <c r="AA2546" s="13" t="s">
        <v>10327</v>
      </c>
      <c r="AB2546" s="13" t="s">
        <v>10328</v>
      </c>
    </row>
    <row r="2547" spans="1:28" ht="15" customHeight="1">
      <c r="A2547" s="2" t="s">
        <v>8848</v>
      </c>
      <c r="B2547" s="2" t="s">
        <v>711</v>
      </c>
      <c r="C2547" s="11" t="s">
        <v>1003</v>
      </c>
      <c r="D2547" s="2" t="s">
        <v>99</v>
      </c>
      <c r="E2547" s="2" t="s">
        <v>1514</v>
      </c>
      <c r="F2547" s="11" t="s">
        <v>4078</v>
      </c>
      <c r="G2547" s="46" t="s">
        <v>4079</v>
      </c>
      <c r="H2547" s="2" t="s">
        <v>3693</v>
      </c>
      <c r="I2547" s="12" t="s">
        <v>506</v>
      </c>
      <c r="J2547" s="41">
        <f>+Tabla1[[#This Row],[FECHA ENTRADA]]</f>
        <v>45830</v>
      </c>
      <c r="K2547" s="8">
        <v>45831</v>
      </c>
      <c r="L2547" s="42">
        <f>_xlfn.DAYS(Tabla1[[#This Row],[FECHA FIN ]],Tabla1[[#This Row],[FECHA INICIO]])</f>
        <v>1</v>
      </c>
      <c r="M2547" s="12"/>
      <c r="N2547" s="12"/>
      <c r="O2547" s="28">
        <f>(Tabla1[[#This Row],[COSTO FIJO ]]/30)*Tabla1[[#This Row],[TOTAL DIAS PROYECTO]]+(Tabla1[[#This Row],[COSTO TEMPORAL]])</f>
        <v>0</v>
      </c>
      <c r="P2547" s="12"/>
      <c r="Q2547" s="12">
        <f>+(Tabla1[[#This Row],[COSTO COCHE]]/30)*Tabla1[[#This Row],[TOTAL DIAS PROYECTO]]</f>
        <v>0</v>
      </c>
      <c r="R2547" s="12">
        <f>+Tabla1[[#This Row],[COSTO TOTAL ALOJAMIENTO]]+Tabla1[[#This Row],[COSTO TOTAL COCHE]]</f>
        <v>0</v>
      </c>
      <c r="S2547" s="2" t="s">
        <v>84</v>
      </c>
      <c r="T2547" s="2" t="s">
        <v>528</v>
      </c>
      <c r="U2547" s="14">
        <v>45830</v>
      </c>
      <c r="V2547" s="43">
        <v>45831</v>
      </c>
      <c r="W2547" s="2"/>
      <c r="X2547" s="2"/>
      <c r="Y2547" s="11"/>
      <c r="Z2547" s="2" t="s">
        <v>36</v>
      </c>
      <c r="AA2547" s="13" t="s">
        <v>10424</v>
      </c>
      <c r="AB2547" s="13">
        <v>398581</v>
      </c>
    </row>
    <row r="2548" spans="1:28" ht="15" customHeight="1">
      <c r="A2548" s="2" t="s">
        <v>9319</v>
      </c>
      <c r="B2548" s="2" t="s">
        <v>711</v>
      </c>
      <c r="C2548" s="11" t="s">
        <v>2812</v>
      </c>
      <c r="D2548" s="2" t="s">
        <v>99</v>
      </c>
      <c r="E2548" s="2" t="s">
        <v>1514</v>
      </c>
      <c r="F2548" s="11" t="s">
        <v>4082</v>
      </c>
      <c r="G2548" s="46" t="s">
        <v>4083</v>
      </c>
      <c r="H2548" s="2" t="s">
        <v>4084</v>
      </c>
      <c r="I2548" s="12" t="s">
        <v>506</v>
      </c>
      <c r="J2548" s="41">
        <f>+Tabla1[[#This Row],[FECHA ENTRADA]]</f>
        <v>45830</v>
      </c>
      <c r="K2548" s="8">
        <v>45831</v>
      </c>
      <c r="L2548" s="42">
        <f>_xlfn.DAYS(Tabla1[[#This Row],[FECHA FIN ]],Tabla1[[#This Row],[FECHA INICIO]])</f>
        <v>1</v>
      </c>
      <c r="M2548" s="12"/>
      <c r="N2548" s="12"/>
      <c r="O2548" s="28">
        <f>(Tabla1[[#This Row],[COSTO FIJO ]]/30)*Tabla1[[#This Row],[TOTAL DIAS PROYECTO]]+(Tabla1[[#This Row],[COSTO TEMPORAL]])</f>
        <v>0</v>
      </c>
      <c r="P2548" s="12"/>
      <c r="Q2548" s="12">
        <f>+(Tabla1[[#This Row],[COSTO COCHE]]/30)*Tabla1[[#This Row],[TOTAL DIAS PROYECTO]]</f>
        <v>0</v>
      </c>
      <c r="R2548" s="12">
        <f>+Tabla1[[#This Row],[COSTO TOTAL ALOJAMIENTO]]+Tabla1[[#This Row],[COSTO TOTAL COCHE]]</f>
        <v>0</v>
      </c>
      <c r="S2548" s="2" t="s">
        <v>84</v>
      </c>
      <c r="T2548" s="2" t="s">
        <v>528</v>
      </c>
      <c r="U2548" s="14">
        <v>45830</v>
      </c>
      <c r="V2548" s="43">
        <v>45831</v>
      </c>
      <c r="W2548" s="2"/>
      <c r="X2548" s="2"/>
      <c r="Y2548" s="11"/>
      <c r="Z2548" s="2" t="s">
        <v>36</v>
      </c>
      <c r="AA2548" s="13" t="s">
        <v>10424</v>
      </c>
      <c r="AB2548" s="13">
        <v>398581</v>
      </c>
    </row>
    <row r="2549" spans="1:28" ht="15" customHeight="1">
      <c r="A2549" s="2" t="s">
        <v>9129</v>
      </c>
      <c r="B2549" s="2" t="s">
        <v>711</v>
      </c>
      <c r="C2549" s="11" t="s">
        <v>2121</v>
      </c>
      <c r="D2549" s="2" t="s">
        <v>99</v>
      </c>
      <c r="E2549" s="2" t="s">
        <v>1514</v>
      </c>
      <c r="F2549" s="11" t="s">
        <v>4082</v>
      </c>
      <c r="G2549" s="46" t="s">
        <v>4083</v>
      </c>
      <c r="H2549" s="2" t="s">
        <v>4084</v>
      </c>
      <c r="I2549" s="12" t="s">
        <v>506</v>
      </c>
      <c r="J2549" s="41">
        <f>+Tabla1[[#This Row],[FECHA ENTRADA]]</f>
        <v>45830</v>
      </c>
      <c r="K2549" s="8">
        <v>45831</v>
      </c>
      <c r="L2549" s="42">
        <f>_xlfn.DAYS(Tabla1[[#This Row],[FECHA FIN ]],Tabla1[[#This Row],[FECHA INICIO]])</f>
        <v>1</v>
      </c>
      <c r="M2549" s="12"/>
      <c r="N2549" s="12"/>
      <c r="O2549" s="28">
        <f>(Tabla1[[#This Row],[COSTO FIJO ]]/30)*Tabla1[[#This Row],[TOTAL DIAS PROYECTO]]+(Tabla1[[#This Row],[COSTO TEMPORAL]])</f>
        <v>0</v>
      </c>
      <c r="P2549" s="12"/>
      <c r="Q2549" s="12">
        <f>+(Tabla1[[#This Row],[COSTO COCHE]]/30)*Tabla1[[#This Row],[TOTAL DIAS PROYECTO]]</f>
        <v>0</v>
      </c>
      <c r="R2549" s="12">
        <f>+Tabla1[[#This Row],[COSTO TOTAL ALOJAMIENTO]]+Tabla1[[#This Row],[COSTO TOTAL COCHE]]</f>
        <v>0</v>
      </c>
      <c r="S2549" s="2" t="s">
        <v>84</v>
      </c>
      <c r="T2549" s="2" t="s">
        <v>528</v>
      </c>
      <c r="U2549" s="14">
        <v>45830</v>
      </c>
      <c r="V2549" s="43">
        <v>45831</v>
      </c>
      <c r="W2549" s="2"/>
      <c r="X2549" s="2"/>
      <c r="Y2549" s="11"/>
      <c r="Z2549" s="2" t="s">
        <v>36</v>
      </c>
      <c r="AA2549" s="13" t="s">
        <v>10424</v>
      </c>
      <c r="AB2549" s="13">
        <v>398581</v>
      </c>
    </row>
    <row r="2550" spans="1:28" ht="15" customHeight="1">
      <c r="A2550" s="2" t="s">
        <v>9549</v>
      </c>
      <c r="B2550" s="2" t="s">
        <v>368</v>
      </c>
      <c r="C2550" s="11" t="s">
        <v>3594</v>
      </c>
      <c r="D2550" s="2" t="s">
        <v>99</v>
      </c>
      <c r="E2550" s="2" t="s">
        <v>422</v>
      </c>
      <c r="F2550" s="11" t="s">
        <v>1983</v>
      </c>
      <c r="G2550" s="11" t="s">
        <v>2067</v>
      </c>
      <c r="H2550" s="2" t="s">
        <v>3540</v>
      </c>
      <c r="I2550" s="12" t="s">
        <v>1435</v>
      </c>
      <c r="J2550" s="22">
        <f>+Tabla1[[#This Row],[FECHA ENTRADA]]</f>
        <v>45805</v>
      </c>
      <c r="K2550" s="22">
        <v>45812</v>
      </c>
      <c r="L2550" s="23">
        <f>_xlfn.DAYS(Tabla1[[#This Row],[FECHA FIN ]],Tabla1[[#This Row],[FECHA INICIO]])</f>
        <v>7</v>
      </c>
      <c r="M2550" s="12"/>
      <c r="N2550" s="12">
        <v>105.55555555555556</v>
      </c>
      <c r="O2550" s="24">
        <f>(Tabla1[[#This Row],[COSTO FIJO ]]/30)*Tabla1[[#This Row],[TOTAL DIAS PROYECTO]]+(Tabla1[[#This Row],[COSTO TEMPORAL]])</f>
        <v>24.62962962962963</v>
      </c>
      <c r="P2550" s="12"/>
      <c r="Q2550" s="12">
        <f>+(Tabla1[[#This Row],[COSTO COCHE]]/30)*Tabla1[[#This Row],[TOTAL DIAS PROYECTO]]</f>
        <v>0</v>
      </c>
      <c r="R2550" s="12">
        <f>+Tabla1[[#This Row],[COSTO TOTAL ALOJAMIENTO]]+Tabla1[[#This Row],[COSTO TOTAL COCHE]]</f>
        <v>24.62962962962963</v>
      </c>
      <c r="S2550" s="2"/>
      <c r="T2550" s="14" t="s">
        <v>44</v>
      </c>
      <c r="U2550" s="22">
        <v>45805</v>
      </c>
      <c r="V2550" s="79">
        <v>45812</v>
      </c>
      <c r="W2550" s="2"/>
      <c r="X2550" s="2"/>
      <c r="Y2550" s="11" t="s">
        <v>3626</v>
      </c>
      <c r="Z2550" s="2" t="s">
        <v>36</v>
      </c>
      <c r="AA2550" s="13">
        <v>-326.69799999999998</v>
      </c>
      <c r="AB2550" s="13" t="s">
        <v>10373</v>
      </c>
    </row>
    <row r="2551" spans="1:28" ht="15" customHeight="1">
      <c r="A2551" s="2" t="s">
        <v>9654</v>
      </c>
      <c r="B2551" s="2" t="s">
        <v>368</v>
      </c>
      <c r="C2551" s="11" t="s">
        <v>4085</v>
      </c>
      <c r="D2551" s="2" t="s">
        <v>30</v>
      </c>
      <c r="E2551" s="2" t="s">
        <v>31</v>
      </c>
      <c r="F2551" s="11" t="s">
        <v>451</v>
      </c>
      <c r="G2551" s="50" t="s">
        <v>452</v>
      </c>
      <c r="H2551" s="2" t="s">
        <v>2901</v>
      </c>
      <c r="I2551" s="29" t="s">
        <v>4086</v>
      </c>
      <c r="J2551" s="41">
        <f>+Tabla1[[#This Row],[FECHA ENTRADA]]</f>
        <v>45663</v>
      </c>
      <c r="K2551" s="22">
        <v>45833</v>
      </c>
      <c r="L2551" s="42">
        <f>_xlfn.DAYS(Tabla1[[#This Row],[FECHA FIN ]],Tabla1[[#This Row],[FECHA INICIO]])</f>
        <v>170</v>
      </c>
      <c r="M2551" s="12"/>
      <c r="N2551" s="12">
        <v>283.33333333333331</v>
      </c>
      <c r="O2551" s="28">
        <f>(Tabla1[[#This Row],[COSTO FIJO ]]/30)*Tabla1[[#This Row],[TOTAL DIAS PROYECTO]]+(Tabla1[[#This Row],[COSTO TEMPORAL]])</f>
        <v>1605.5555555555557</v>
      </c>
      <c r="P2551" s="12"/>
      <c r="Q2551" s="12">
        <f>+(Tabla1[[#This Row],[COSTO COCHE]]/30)*Tabla1[[#This Row],[TOTAL DIAS PROYECTO]]</f>
        <v>0</v>
      </c>
      <c r="R2551" s="12">
        <f>+Tabla1[[#This Row],[COSTO TOTAL ALOJAMIENTO]]+Tabla1[[#This Row],[COSTO TOTAL COCHE]]</f>
        <v>1605.5555555555557</v>
      </c>
      <c r="S2551" s="2"/>
      <c r="T2551" s="2" t="s">
        <v>35</v>
      </c>
      <c r="U2551" s="14">
        <v>45663</v>
      </c>
      <c r="V2551" s="43"/>
      <c r="W2551" s="26">
        <v>1700</v>
      </c>
      <c r="X2551" s="2">
        <v>1</v>
      </c>
      <c r="Y2551" s="11"/>
      <c r="Z2551" s="2" t="s">
        <v>36</v>
      </c>
      <c r="AA2551" s="13" t="s">
        <v>10323</v>
      </c>
      <c r="AB2551" s="13" t="s">
        <v>10324</v>
      </c>
    </row>
    <row r="2552" spans="1:28" ht="15" customHeight="1">
      <c r="A2552" s="2" t="s">
        <v>9617</v>
      </c>
      <c r="B2552" s="2" t="s">
        <v>28</v>
      </c>
      <c r="C2552" s="11" t="s">
        <v>3888</v>
      </c>
      <c r="D2552" s="2" t="s">
        <v>30</v>
      </c>
      <c r="E2552" s="2" t="s">
        <v>127</v>
      </c>
      <c r="F2552" s="11" t="s">
        <v>820</v>
      </c>
      <c r="G2552" s="21" t="s">
        <v>1234</v>
      </c>
      <c r="H2552" s="2" t="s">
        <v>2568</v>
      </c>
      <c r="I2552" s="12" t="s">
        <v>1201</v>
      </c>
      <c r="J2552" s="41">
        <f>+Tabla1[[#This Row],[FECHA ENTRADA]]</f>
        <v>45830</v>
      </c>
      <c r="K2552" s="41">
        <v>45833</v>
      </c>
      <c r="L2552" s="42">
        <f>_xlfn.DAYS(Tabla1[[#This Row],[FECHA FIN ]],Tabla1[[#This Row],[FECHA INICIO]])</f>
        <v>3</v>
      </c>
      <c r="M2552" s="12"/>
      <c r="N2552" s="12"/>
      <c r="O2552" s="28">
        <f>(Tabla1[[#This Row],[COSTO FIJO ]]/30)*Tabla1[[#This Row],[TOTAL DIAS PROYECTO]]+(Tabla1[[#This Row],[COSTO TEMPORAL]])</f>
        <v>0</v>
      </c>
      <c r="P2552" s="12"/>
      <c r="Q2552" s="12">
        <f>+(Tabla1[[#This Row],[COSTO COCHE]]/30)*Tabla1[[#This Row],[TOTAL DIAS PROYECTO]]</f>
        <v>0</v>
      </c>
      <c r="R2552" s="12">
        <f>+Tabla1[[#This Row],[COSTO TOTAL ALOJAMIENTO]]+Tabla1[[#This Row],[COSTO TOTAL COCHE]]</f>
        <v>0</v>
      </c>
      <c r="S2552" s="2"/>
      <c r="T2552" s="14" t="s">
        <v>44</v>
      </c>
      <c r="U2552" s="14">
        <v>45830</v>
      </c>
      <c r="V2552" s="43">
        <v>45833</v>
      </c>
      <c r="W2552" s="2"/>
      <c r="X2552" s="2"/>
      <c r="Y2552" s="11"/>
      <c r="Z2552" s="2" t="s">
        <v>36</v>
      </c>
      <c r="AA2552" s="13" t="s">
        <v>10342</v>
      </c>
      <c r="AB2552" s="13" t="s">
        <v>10343</v>
      </c>
    </row>
    <row r="2553" spans="1:28" ht="15" customHeight="1">
      <c r="A2553" s="2" t="s">
        <v>9655</v>
      </c>
      <c r="B2553" s="2" t="s">
        <v>28</v>
      </c>
      <c r="C2553" s="11" t="s">
        <v>4087</v>
      </c>
      <c r="D2553" s="2" t="s">
        <v>30</v>
      </c>
      <c r="E2553" s="2" t="s">
        <v>127</v>
      </c>
      <c r="F2553" s="11" t="s">
        <v>820</v>
      </c>
      <c r="G2553" s="21" t="s">
        <v>1234</v>
      </c>
      <c r="H2553" s="2" t="s">
        <v>2568</v>
      </c>
      <c r="I2553" s="12" t="s">
        <v>1201</v>
      </c>
      <c r="J2553" s="41">
        <f>+Tabla1[[#This Row],[FECHA ENTRADA]]</f>
        <v>45830</v>
      </c>
      <c r="K2553" s="41">
        <v>45833</v>
      </c>
      <c r="L2553" s="42">
        <f>_xlfn.DAYS(Tabla1[[#This Row],[FECHA FIN ]],Tabla1[[#This Row],[FECHA INICIO]])</f>
        <v>3</v>
      </c>
      <c r="M2553" s="12"/>
      <c r="N2553" s="12"/>
      <c r="O2553" s="28">
        <f>(Tabla1[[#This Row],[COSTO FIJO ]]/30)*Tabla1[[#This Row],[TOTAL DIAS PROYECTO]]+(Tabla1[[#This Row],[COSTO TEMPORAL]])</f>
        <v>0</v>
      </c>
      <c r="P2553" s="12"/>
      <c r="Q2553" s="12">
        <f>+(Tabla1[[#This Row],[COSTO COCHE]]/30)*Tabla1[[#This Row],[TOTAL DIAS PROYECTO]]</f>
        <v>0</v>
      </c>
      <c r="R2553" s="12">
        <f>+Tabla1[[#This Row],[COSTO TOTAL ALOJAMIENTO]]+Tabla1[[#This Row],[COSTO TOTAL COCHE]]</f>
        <v>0</v>
      </c>
      <c r="S2553" s="2"/>
      <c r="T2553" s="14" t="s">
        <v>44</v>
      </c>
      <c r="U2553" s="14">
        <v>45830</v>
      </c>
      <c r="V2553" s="43">
        <v>45833</v>
      </c>
      <c r="W2553" s="2"/>
      <c r="X2553" s="2"/>
      <c r="Y2553" s="11"/>
      <c r="Z2553" s="2" t="s">
        <v>36</v>
      </c>
      <c r="AA2553" s="13" t="s">
        <v>10342</v>
      </c>
      <c r="AB2553" s="13" t="s">
        <v>10343</v>
      </c>
    </row>
    <row r="2554" spans="1:28" ht="15" customHeight="1">
      <c r="A2554" s="2" t="s">
        <v>9656</v>
      </c>
      <c r="B2554" s="2" t="s">
        <v>28</v>
      </c>
      <c r="C2554" s="11" t="s">
        <v>4088</v>
      </c>
      <c r="D2554" s="2" t="s">
        <v>749</v>
      </c>
      <c r="E2554" s="2" t="s">
        <v>288</v>
      </c>
      <c r="F2554" s="11" t="s">
        <v>928</v>
      </c>
      <c r="G2554" t="s">
        <v>1031</v>
      </c>
      <c r="H2554" s="2" t="s">
        <v>3675</v>
      </c>
      <c r="I2554" s="10" t="s">
        <v>753</v>
      </c>
      <c r="J2554" s="22">
        <f>+Tabla1[[#This Row],[FECHA ENTRADA]]</f>
        <v>45755</v>
      </c>
      <c r="K2554" s="8">
        <v>45877</v>
      </c>
      <c r="L2554" s="13">
        <f>_xlfn.DAYS(Tabla1[[#This Row],[FECHA FIN ]],Tabla1[[#This Row],[FECHA INICIO]])</f>
        <v>122</v>
      </c>
      <c r="M2554" s="12"/>
      <c r="N2554" s="12">
        <v>730</v>
      </c>
      <c r="O2554" s="12">
        <f>(Tabla1[[#This Row],[COSTO FIJO ]]/30)*Tabla1[[#This Row],[TOTAL DIAS PROYECTO]]+(Tabla1[[#This Row],[COSTO TEMPORAL]])</f>
        <v>2968.6666666666665</v>
      </c>
      <c r="P2554" s="12"/>
      <c r="Q2554" s="12">
        <f>+(Tabla1[[#This Row],[COSTO COCHE]]/30)*Tabla1[[#This Row],[TOTAL DIAS PROYECTO]]</f>
        <v>0</v>
      </c>
      <c r="R2554" s="12">
        <f>+Tabla1[[#This Row],[COSTO TOTAL ALOJAMIENTO]]+Tabla1[[#This Row],[COSTO TOTAL COCHE]]</f>
        <v>2968.6666666666665</v>
      </c>
      <c r="S2554" s="2"/>
      <c r="T2554" s="2" t="s">
        <v>44</v>
      </c>
      <c r="U2554" s="14">
        <v>45755</v>
      </c>
      <c r="V2554" s="14">
        <v>45785</v>
      </c>
      <c r="W2554" s="26"/>
      <c r="X2554" s="2"/>
      <c r="Y2554" s="11" t="s">
        <v>4089</v>
      </c>
      <c r="Z2554" s="2" t="s">
        <v>36</v>
      </c>
      <c r="AA2554" s="13" t="s">
        <v>10362</v>
      </c>
      <c r="AB2554" s="13" t="s">
        <v>10363</v>
      </c>
    </row>
    <row r="2555" spans="1:28" ht="15" customHeight="1">
      <c r="A2555" s="2" t="s">
        <v>8949</v>
      </c>
      <c r="B2555" s="2" t="s">
        <v>368</v>
      </c>
      <c r="C2555" s="11" t="s">
        <v>1426</v>
      </c>
      <c r="D2555" s="2" t="s">
        <v>30</v>
      </c>
      <c r="E2555" s="2" t="s">
        <v>109</v>
      </c>
      <c r="F2555" s="11" t="s">
        <v>2161</v>
      </c>
      <c r="G2555" s="49" t="s">
        <v>2162</v>
      </c>
      <c r="H2555" s="2" t="s">
        <v>1990</v>
      </c>
      <c r="I2555" s="12" t="s">
        <v>42</v>
      </c>
      <c r="J2555" s="41">
        <f>+Tabla1[[#This Row],[FECHA ENTRADA]]</f>
        <v>45783</v>
      </c>
      <c r="K2555" s="22">
        <v>45794</v>
      </c>
      <c r="L2555" s="23">
        <f>_xlfn.DAYS(Tabla1[[#This Row],[FECHA FIN ]],Tabla1[[#This Row],[FECHA INICIO]])</f>
        <v>11</v>
      </c>
      <c r="M2555" s="12"/>
      <c r="N2555" s="12"/>
      <c r="O2555" s="24">
        <f>(Tabla1[[#This Row],[COSTO FIJO ]]/30)*Tabla1[[#This Row],[TOTAL DIAS PROYECTO]]+(Tabla1[[#This Row],[COSTO TEMPORAL]])</f>
        <v>0</v>
      </c>
      <c r="P2555" s="12"/>
      <c r="Q2555" s="12">
        <f>+(Tabla1[[#This Row],[COSTO COCHE]]/30)*Tabla1[[#This Row],[TOTAL DIAS PROYECTO]]</f>
        <v>0</v>
      </c>
      <c r="R2555" s="12">
        <f>+Tabla1[[#This Row],[COSTO TOTAL ALOJAMIENTO]]+Tabla1[[#This Row],[COSTO TOTAL COCHE]]</f>
        <v>0</v>
      </c>
      <c r="S2555" s="2"/>
      <c r="T2555" s="2" t="s">
        <v>35</v>
      </c>
      <c r="U2555" s="14">
        <v>45783</v>
      </c>
      <c r="V2555" s="25"/>
      <c r="W2555" s="26"/>
      <c r="X2555" s="2">
        <v>10</v>
      </c>
      <c r="Y2555" s="11"/>
      <c r="Z2555" s="2" t="s">
        <v>36</v>
      </c>
      <c r="AA2555" s="13">
        <v>0.62217999999999996</v>
      </c>
      <c r="AB2555" s="13" t="s">
        <v>10339</v>
      </c>
    </row>
    <row r="2556" spans="1:28" ht="15" customHeight="1">
      <c r="A2556" s="2" t="s">
        <v>9065</v>
      </c>
      <c r="B2556" s="2" t="s">
        <v>368</v>
      </c>
      <c r="C2556" s="11" t="s">
        <v>1850</v>
      </c>
      <c r="D2556" s="2" t="s">
        <v>99</v>
      </c>
      <c r="E2556" s="2" t="s">
        <v>109</v>
      </c>
      <c r="F2556" s="11" t="s">
        <v>1793</v>
      </c>
      <c r="G2556" s="21">
        <v>973266788</v>
      </c>
      <c r="H2556" s="2" t="s">
        <v>4090</v>
      </c>
      <c r="I2556" s="12" t="s">
        <v>1830</v>
      </c>
      <c r="J2556" s="22">
        <f>+Tabla1[[#This Row],[FECHA ENTRADA]]</f>
        <v>45785</v>
      </c>
      <c r="K2556" s="22">
        <v>45796</v>
      </c>
      <c r="L2556" s="23">
        <f>_xlfn.DAYS(Tabla1[[#This Row],[FECHA FIN ]],Tabla1[[#This Row],[FECHA INICIO]])</f>
        <v>11</v>
      </c>
      <c r="M2556" s="12"/>
      <c r="N2556" s="20"/>
      <c r="O2556" s="24">
        <f>(Tabla1[[#This Row],[COSTO FIJO ]]/30)*Tabla1[[#This Row],[TOTAL DIAS PROYECTO]]+(Tabla1[[#This Row],[COSTO TEMPORAL]])</f>
        <v>0</v>
      </c>
      <c r="P2556" s="12"/>
      <c r="Q2556" s="12">
        <f>+(Tabla1[[#This Row],[COSTO COCHE]]/30)*Tabla1[[#This Row],[TOTAL DIAS PROYECTO]]</f>
        <v>0</v>
      </c>
      <c r="R2556" s="12">
        <f>+Tabla1[[#This Row],[COSTO TOTAL ALOJAMIENTO]]+Tabla1[[#This Row],[COSTO TOTAL COCHE]]</f>
        <v>0</v>
      </c>
      <c r="S2556" s="2"/>
      <c r="T2556" s="2" t="s">
        <v>44</v>
      </c>
      <c r="U2556" s="14">
        <v>45785</v>
      </c>
      <c r="V2556" s="79">
        <v>45799</v>
      </c>
      <c r="W2556" s="2"/>
      <c r="X2556" s="2"/>
      <c r="Y2556" s="11" t="s">
        <v>4091</v>
      </c>
      <c r="Z2556" s="2" t="s">
        <v>36</v>
      </c>
      <c r="AA2556" s="13">
        <v>0.62217999999999996</v>
      </c>
      <c r="AB2556" s="13" t="s">
        <v>10339</v>
      </c>
    </row>
    <row r="2557" spans="1:28" ht="15" customHeight="1">
      <c r="A2557" s="2" t="s">
        <v>9615</v>
      </c>
      <c r="B2557" s="2" t="s">
        <v>368</v>
      </c>
      <c r="C2557" s="86" t="s">
        <v>3880</v>
      </c>
      <c r="D2557" s="2" t="s">
        <v>30</v>
      </c>
      <c r="E2557" s="2" t="s">
        <v>31</v>
      </c>
      <c r="F2557" s="11" t="s">
        <v>2284</v>
      </c>
      <c r="G2557" s="30" t="s">
        <v>2285</v>
      </c>
      <c r="H2557" s="2" t="s">
        <v>3106</v>
      </c>
      <c r="I2557" s="10" t="s">
        <v>835</v>
      </c>
      <c r="J2557" s="41">
        <f>+Tabla1[[#This Row],[FECHA ENTRADA]]</f>
        <v>45663</v>
      </c>
      <c r="K2557" s="41">
        <v>45834</v>
      </c>
      <c r="L2557" s="42">
        <f>_xlfn.DAYS(Tabla1[[#This Row],[FECHA FIN ]],Tabla1[[#This Row],[FECHA INICIO]])</f>
        <v>171</v>
      </c>
      <c r="M2557" s="12"/>
      <c r="N2557" s="12">
        <v>400</v>
      </c>
      <c r="O2557" s="28">
        <f>(Tabla1[[#This Row],[COSTO FIJO ]]/30)*Tabla1[[#This Row],[TOTAL DIAS PROYECTO]]+(Tabla1[[#This Row],[COSTO TEMPORAL]])</f>
        <v>2280</v>
      </c>
      <c r="P2557" s="12"/>
      <c r="Q2557" s="12">
        <f>+(Tabla1[[#This Row],[COSTO COCHE]]/30)*Tabla1[[#This Row],[TOTAL DIAS PROYECTO]]</f>
        <v>0</v>
      </c>
      <c r="R2557" s="12">
        <f>+Tabla1[[#This Row],[COSTO TOTAL ALOJAMIENTO]]+Tabla1[[#This Row],[COSTO TOTAL COCHE]]</f>
        <v>2280</v>
      </c>
      <c r="S2557" s="2"/>
      <c r="T2557" s="2" t="s">
        <v>35</v>
      </c>
      <c r="U2557" s="14">
        <v>45663</v>
      </c>
      <c r="V2557" s="43"/>
      <c r="W2557" s="26"/>
      <c r="X2557" s="2">
        <v>5</v>
      </c>
      <c r="Y2557" s="11"/>
      <c r="Z2557" s="2" t="s">
        <v>36</v>
      </c>
      <c r="AA2557" s="13" t="s">
        <v>10323</v>
      </c>
      <c r="AB2557" s="13" t="s">
        <v>10324</v>
      </c>
    </row>
    <row r="2558" spans="1:28" ht="15" customHeight="1">
      <c r="A2558" s="2" t="s">
        <v>8742</v>
      </c>
      <c r="B2558" s="2" t="s">
        <v>711</v>
      </c>
      <c r="C2558" s="11" t="s">
        <v>535</v>
      </c>
      <c r="D2558" s="2" t="s">
        <v>78</v>
      </c>
      <c r="E2558" s="2" t="s">
        <v>4055</v>
      </c>
      <c r="F2558" s="11" t="s">
        <v>4092</v>
      </c>
      <c r="G2558" s="46" t="s">
        <v>4093</v>
      </c>
      <c r="H2558" s="2" t="s">
        <v>1391</v>
      </c>
      <c r="I2558" s="12" t="s">
        <v>800</v>
      </c>
      <c r="J2558" s="41">
        <f>+Tabla1[[#This Row],[FECHA ENTRADA]]</f>
        <v>45828</v>
      </c>
      <c r="K2558" s="41">
        <v>45834</v>
      </c>
      <c r="L2558" s="42">
        <f>_xlfn.DAYS(Tabla1[[#This Row],[FECHA FIN ]],Tabla1[[#This Row],[FECHA INICIO]])</f>
        <v>6</v>
      </c>
      <c r="M2558" s="12"/>
      <c r="N2558" s="12">
        <f>1528.42/5</f>
        <v>305.68400000000003</v>
      </c>
      <c r="O2558" s="28">
        <f>(Tabla1[[#This Row],[COSTO FIJO ]]/30)*Tabla1[[#This Row],[TOTAL DIAS PROYECTO]]+(Tabla1[[#This Row],[COSTO TEMPORAL]])</f>
        <v>61.136800000000008</v>
      </c>
      <c r="P2558" s="12"/>
      <c r="Q2558" s="12">
        <f>+(Tabla1[[#This Row],[COSTO COCHE]]/30)*Tabla1[[#This Row],[TOTAL DIAS PROYECTO]]</f>
        <v>0</v>
      </c>
      <c r="R2558" s="12">
        <f>+Tabla1[[#This Row],[COSTO TOTAL ALOJAMIENTO]]+Tabla1[[#This Row],[COSTO TOTAL COCHE]]</f>
        <v>61.136800000000008</v>
      </c>
      <c r="S2558" s="2"/>
      <c r="T2558" s="14" t="s">
        <v>44</v>
      </c>
      <c r="U2558" s="14">
        <v>45828</v>
      </c>
      <c r="V2558" s="43">
        <v>45853</v>
      </c>
      <c r="W2558" s="2"/>
      <c r="X2558" s="2"/>
      <c r="Y2558" s="96">
        <v>45834</v>
      </c>
      <c r="Z2558" s="2" t="s">
        <v>36</v>
      </c>
      <c r="AA2558" s="13" t="e">
        <v>#N/A</v>
      </c>
      <c r="AB2558" s="13" t="e">
        <v>#N/A</v>
      </c>
    </row>
    <row r="2559" spans="1:28" ht="15" customHeight="1">
      <c r="A2559" s="2" t="s">
        <v>9657</v>
      </c>
      <c r="B2559" s="2" t="s">
        <v>28</v>
      </c>
      <c r="C2559" s="11" t="s">
        <v>4094</v>
      </c>
      <c r="D2559" s="2" t="s">
        <v>99</v>
      </c>
      <c r="E2559" s="2" t="s">
        <v>127</v>
      </c>
      <c r="F2559" s="11" t="s">
        <v>128</v>
      </c>
      <c r="G2559" s="11" t="s">
        <v>1900</v>
      </c>
      <c r="H2559" s="2" t="s">
        <v>3817</v>
      </c>
      <c r="I2559" s="12" t="s">
        <v>3818</v>
      </c>
      <c r="J2559" s="22">
        <f>+Tabla1[[#This Row],[FECHA ENTRADA]]</f>
        <v>45783</v>
      </c>
      <c r="K2559" s="22">
        <v>45835</v>
      </c>
      <c r="L2559" s="23">
        <f>_xlfn.DAYS(Tabla1[[#This Row],[FECHA FIN ]],Tabla1[[#This Row],[FECHA INICIO]])</f>
        <v>52</v>
      </c>
      <c r="M2559" s="12"/>
      <c r="N2559" s="12"/>
      <c r="O2559" s="24">
        <f>(Tabla1[[#This Row],[COSTO FIJO ]]/30)*Tabla1[[#This Row],[TOTAL DIAS PROYECTO]]+(Tabla1[[#This Row],[COSTO TEMPORAL]])</f>
        <v>0</v>
      </c>
      <c r="P2559" s="12"/>
      <c r="Q2559" s="12">
        <f>+(Tabla1[[#This Row],[COSTO COCHE]]/30)*Tabla1[[#This Row],[TOTAL DIAS PROYECTO]]</f>
        <v>0</v>
      </c>
      <c r="R2559" s="12">
        <f>+Tabla1[[#This Row],[COSTO TOTAL ALOJAMIENTO]]+Tabla1[[#This Row],[COSTO TOTAL COCHE]]</f>
        <v>0</v>
      </c>
      <c r="S2559" s="2"/>
      <c r="T2559" s="2" t="s">
        <v>35</v>
      </c>
      <c r="U2559" s="14">
        <v>45783</v>
      </c>
      <c r="V2559" s="79"/>
      <c r="W2559" s="2"/>
      <c r="X2559" s="2">
        <v>1</v>
      </c>
      <c r="Y2559" s="11"/>
      <c r="Z2559" s="2" t="s">
        <v>36</v>
      </c>
      <c r="AA2559" s="13" t="s">
        <v>10342</v>
      </c>
      <c r="AB2559" s="13" t="s">
        <v>10343</v>
      </c>
    </row>
    <row r="2560" spans="1:28" ht="15" customHeight="1">
      <c r="A2560" s="2" t="s">
        <v>9508</v>
      </c>
      <c r="B2560" s="2" t="s">
        <v>28</v>
      </c>
      <c r="C2560" s="11" t="s">
        <v>3466</v>
      </c>
      <c r="D2560" s="2" t="s">
        <v>99</v>
      </c>
      <c r="E2560" s="2" t="s">
        <v>127</v>
      </c>
      <c r="F2560" s="11" t="s">
        <v>128</v>
      </c>
      <c r="G2560" s="11" t="s">
        <v>1900</v>
      </c>
      <c r="H2560" s="2" t="s">
        <v>4095</v>
      </c>
      <c r="I2560" s="12" t="s">
        <v>3818</v>
      </c>
      <c r="J2560" s="41">
        <f>+Tabla1[[#This Row],[FECHA ENTRADA]]</f>
        <v>45810</v>
      </c>
      <c r="K2560" s="22">
        <v>45821</v>
      </c>
      <c r="L2560" s="23">
        <f>_xlfn.DAYS(Tabla1[[#This Row],[FECHA FIN ]],Tabla1[[#This Row],[FECHA INICIO]])</f>
        <v>11</v>
      </c>
      <c r="M2560" s="12"/>
      <c r="N2560" s="12">
        <v>312.5</v>
      </c>
      <c r="O2560" s="24">
        <f>(Tabla1[[#This Row],[COSTO FIJO ]]/30)*Tabla1[[#This Row],[TOTAL DIAS PROYECTO]]+(Tabla1[[#This Row],[COSTO TEMPORAL]])</f>
        <v>114.58333333333333</v>
      </c>
      <c r="P2560" s="12"/>
      <c r="Q2560" s="12">
        <f>+(Tabla1[[#This Row],[COSTO COCHE]]/30)*Tabla1[[#This Row],[TOTAL DIAS PROYECTO]]</f>
        <v>0</v>
      </c>
      <c r="R2560" s="12">
        <f>+Tabla1[[#This Row],[COSTO TOTAL ALOJAMIENTO]]+Tabla1[[#This Row],[COSTO TOTAL COCHE]]</f>
        <v>114.58333333333333</v>
      </c>
      <c r="S2560" s="2"/>
      <c r="T2560" s="2" t="s">
        <v>35</v>
      </c>
      <c r="U2560" s="14">
        <v>45810</v>
      </c>
      <c r="V2560" s="79"/>
      <c r="W2560" s="2"/>
      <c r="X2560" s="2">
        <v>1</v>
      </c>
      <c r="Y2560" s="11" t="s">
        <v>4096</v>
      </c>
      <c r="Z2560" s="2" t="s">
        <v>36</v>
      </c>
      <c r="AA2560" s="13" t="s">
        <v>10342</v>
      </c>
      <c r="AB2560" s="13" t="s">
        <v>10343</v>
      </c>
    </row>
    <row r="2561" spans="1:28" ht="15" customHeight="1">
      <c r="A2561" s="2" t="s">
        <v>8919</v>
      </c>
      <c r="B2561" s="2" t="s">
        <v>28</v>
      </c>
      <c r="C2561" s="11" t="s">
        <v>1276</v>
      </c>
      <c r="D2561" s="2" t="s">
        <v>741</v>
      </c>
      <c r="E2561" s="2" t="s">
        <v>266</v>
      </c>
      <c r="F2561" s="11" t="s">
        <v>2779</v>
      </c>
      <c r="G2561" s="21" t="s">
        <v>1512</v>
      </c>
      <c r="H2561" s="2" t="s">
        <v>2780</v>
      </c>
      <c r="I2561" s="12" t="s">
        <v>270</v>
      </c>
      <c r="J2561" s="22">
        <f>+Tabla1[[#This Row],[FECHA ENTRADA]]</f>
        <v>45718</v>
      </c>
      <c r="K2561" s="22">
        <v>45835</v>
      </c>
      <c r="L2561" s="23">
        <f>_xlfn.DAYS(Tabla1[[#This Row],[FECHA FIN ]],Tabla1[[#This Row],[FECHA INICIO]])</f>
        <v>117</v>
      </c>
      <c r="M2561" s="12"/>
      <c r="N2561" s="12"/>
      <c r="O2561" s="24">
        <f>(Tabla1[[#This Row],[COSTO FIJO ]]/30)*Tabla1[[#This Row],[TOTAL DIAS PROYECTO]]+(Tabla1[[#This Row],[COSTO TEMPORAL]])</f>
        <v>0</v>
      </c>
      <c r="P2561" s="12"/>
      <c r="Q2561" s="12">
        <f>+(Tabla1[[#This Row],[COSTO COCHE]]/30)*Tabla1[[#This Row],[TOTAL DIAS PROYECTO]]</f>
        <v>0</v>
      </c>
      <c r="R2561" s="12">
        <f>+Tabla1[[#This Row],[COSTO TOTAL ALOJAMIENTO]]+Tabla1[[#This Row],[COSTO TOTAL COCHE]]</f>
        <v>0</v>
      </c>
      <c r="S2561" s="2"/>
      <c r="T2561" s="2" t="s">
        <v>613</v>
      </c>
      <c r="U2561" s="14">
        <v>45718</v>
      </c>
      <c r="V2561" s="79"/>
      <c r="W2561" s="26"/>
      <c r="X2561" s="2">
        <v>1</v>
      </c>
      <c r="Y2561" s="11"/>
      <c r="Z2561" s="2" t="s">
        <v>36</v>
      </c>
      <c r="AA2561" s="13" t="s">
        <v>10360</v>
      </c>
      <c r="AB2561" s="13" t="s">
        <v>10361</v>
      </c>
    </row>
    <row r="2562" spans="1:28">
      <c r="A2562" s="2" t="s">
        <v>8890</v>
      </c>
      <c r="B2562" s="2" t="s">
        <v>28</v>
      </c>
      <c r="C2562" s="118" t="s">
        <v>1172</v>
      </c>
      <c r="D2562" s="2" t="s">
        <v>749</v>
      </c>
      <c r="E2562" s="2" t="s">
        <v>288</v>
      </c>
      <c r="F2562" s="11" t="s">
        <v>3464</v>
      </c>
      <c r="G2562" s="30" t="s">
        <v>1142</v>
      </c>
      <c r="H2562" s="2" t="s">
        <v>3333</v>
      </c>
      <c r="I2562" s="29" t="s">
        <v>753</v>
      </c>
      <c r="J2562" s="41">
        <f>+Tabla1[[#This Row],[FECHA ENTRADA]]</f>
        <v>45752</v>
      </c>
      <c r="K2562" s="41">
        <v>46191</v>
      </c>
      <c r="L2562" s="42">
        <f>_xlfn.DAYS(Tabla1[[#This Row],[FECHA FIN ]],Tabla1[[#This Row],[FECHA INICIO]])</f>
        <v>439</v>
      </c>
      <c r="M2562" s="12"/>
      <c r="N2562" s="28">
        <v>500</v>
      </c>
      <c r="O2562" s="28">
        <f>(Tabla1[[#This Row],[COSTO FIJO ]]/30)*Tabla1[[#This Row],[TOTAL DIAS PROYECTO]]+(Tabla1[[#This Row],[COSTO TEMPORAL]])</f>
        <v>7316.666666666667</v>
      </c>
      <c r="P2562" s="12"/>
      <c r="Q2562" s="12">
        <f>+(Tabla1[[#This Row],[COSTO COCHE]]/30)*Tabla1[[#This Row],[TOTAL DIAS PROYECTO]]</f>
        <v>0</v>
      </c>
      <c r="R2562" s="12">
        <f>+Tabla1[[#This Row],[COSTO TOTAL ALOJAMIENTO]]+Tabla1[[#This Row],[COSTO TOTAL COCHE]]</f>
        <v>7316.666666666667</v>
      </c>
      <c r="S2562" s="2"/>
      <c r="T2562" s="2" t="s">
        <v>35</v>
      </c>
      <c r="U2562" s="14">
        <v>45752</v>
      </c>
      <c r="V2562" s="43"/>
      <c r="W2562" s="12"/>
      <c r="X2562" s="2">
        <v>1</v>
      </c>
      <c r="Y2562" s="11"/>
      <c r="Z2562" s="2" t="s">
        <v>36</v>
      </c>
      <c r="AA2562" s="13" t="s">
        <v>10362</v>
      </c>
      <c r="AB2562" s="13" t="s">
        <v>10363</v>
      </c>
    </row>
    <row r="2563" spans="1:28" ht="15" customHeight="1">
      <c r="A2563" s="2" t="s">
        <v>9594</v>
      </c>
      <c r="B2563" s="2" t="s">
        <v>368</v>
      </c>
      <c r="C2563" s="86" t="s">
        <v>3796</v>
      </c>
      <c r="D2563" s="2" t="s">
        <v>30</v>
      </c>
      <c r="E2563" s="2" t="s">
        <v>87</v>
      </c>
      <c r="F2563" s="11"/>
      <c r="G2563" s="11"/>
      <c r="H2563" s="2" t="s">
        <v>1880</v>
      </c>
      <c r="I2563" s="12" t="s">
        <v>1288</v>
      </c>
      <c r="J2563" s="8">
        <f>+Tabla1[[#This Row],[FECHA ENTRADA]]</f>
        <v>45504</v>
      </c>
      <c r="K2563" s="22">
        <v>45835</v>
      </c>
      <c r="L2563" s="13">
        <f>_xlfn.DAYS(Tabla1[[#This Row],[FECHA FIN ]],Tabla1[[#This Row],[FECHA INICIO]])</f>
        <v>331</v>
      </c>
      <c r="M2563" s="12"/>
      <c r="N2563" s="12">
        <v>300</v>
      </c>
      <c r="O2563" s="12">
        <f>(Tabla1[[#This Row],[COSTO FIJO ]]/30)*Tabla1[[#This Row],[TOTAL DIAS PROYECTO]]+(Tabla1[[#This Row],[COSTO TEMPORAL]])</f>
        <v>3310</v>
      </c>
      <c r="P2563" s="12"/>
      <c r="Q2563" s="12">
        <f>+(Tabla1[[#This Row],[COSTO COCHE]]/30)*Tabla1[[#This Row],[TOTAL DIAS PROYECTO]]</f>
        <v>0</v>
      </c>
      <c r="R2563" s="12">
        <f>+Tabla1[[#This Row],[COSTO TOTAL ALOJAMIENTO]]+Tabla1[[#This Row],[COSTO TOTAL COCHE]]</f>
        <v>3310</v>
      </c>
      <c r="S2563" s="2"/>
      <c r="T2563" s="2" t="s">
        <v>58</v>
      </c>
      <c r="U2563" s="14">
        <v>45504</v>
      </c>
      <c r="V2563" s="14"/>
      <c r="W2563" s="26"/>
      <c r="X2563" s="2">
        <v>12</v>
      </c>
      <c r="Y2563" s="11" t="s">
        <v>4097</v>
      </c>
      <c r="Z2563" s="2" t="s">
        <v>36</v>
      </c>
      <c r="AA2563" s="13" t="s">
        <v>10335</v>
      </c>
      <c r="AB2563" s="13">
        <v>404.16500000000002</v>
      </c>
    </row>
    <row r="2564" spans="1:28" ht="15" customHeight="1">
      <c r="A2564" s="2" t="s">
        <v>9159</v>
      </c>
      <c r="B2564" s="2" t="s">
        <v>28</v>
      </c>
      <c r="C2564" s="31" t="s">
        <v>2273</v>
      </c>
      <c r="D2564" s="2" t="s">
        <v>99</v>
      </c>
      <c r="E2564" s="2" t="s">
        <v>55</v>
      </c>
      <c r="F2564" s="11" t="s">
        <v>231</v>
      </c>
      <c r="G2564" s="11" t="s">
        <v>106</v>
      </c>
      <c r="H2564" s="2" t="s">
        <v>4098</v>
      </c>
      <c r="I2564" s="12" t="s">
        <v>1968</v>
      </c>
      <c r="J2564" s="22">
        <f>+Tabla1[[#This Row],[FECHA ENTRADA]]</f>
        <v>45796</v>
      </c>
      <c r="K2564" s="8">
        <v>45835</v>
      </c>
      <c r="L2564" s="13">
        <f>_xlfn.DAYS(Tabla1[[#This Row],[FECHA FIN ]],Tabla1[[#This Row],[FECHA INICIO]])</f>
        <v>39</v>
      </c>
      <c r="M2564" s="12"/>
      <c r="N2564" s="12">
        <v>500</v>
      </c>
      <c r="O2564" s="12">
        <f>(Tabla1[[#This Row],[COSTO FIJO ]]/30)*Tabla1[[#This Row],[TOTAL DIAS PROYECTO]]+(Tabla1[[#This Row],[COSTO TEMPORAL]])</f>
        <v>650</v>
      </c>
      <c r="P2564" s="12"/>
      <c r="Q2564" s="12">
        <f>+(Tabla1[[#This Row],[COSTO COCHE]]/30)*Tabla1[[#This Row],[TOTAL DIAS PROYECTO]]</f>
        <v>0</v>
      </c>
      <c r="R2564" s="12">
        <f>+Tabla1[[#This Row],[COSTO TOTAL ALOJAMIENTO]]+Tabla1[[#This Row],[COSTO TOTAL COCHE]]</f>
        <v>650</v>
      </c>
      <c r="S2564" s="2"/>
      <c r="T2564" s="2" t="s">
        <v>35</v>
      </c>
      <c r="U2564" s="14">
        <v>45796</v>
      </c>
      <c r="V2564" s="14"/>
      <c r="W2564" s="26"/>
      <c r="X2564" s="2">
        <v>5</v>
      </c>
      <c r="Y2564" s="31"/>
      <c r="Z2564" s="2" t="s">
        <v>36</v>
      </c>
      <c r="AA2564" s="13" t="s">
        <v>10327</v>
      </c>
      <c r="AB2564" s="13" t="s">
        <v>10328</v>
      </c>
    </row>
    <row r="2565" spans="1:28" ht="15" customHeight="1">
      <c r="A2565" s="2" t="s">
        <v>9547</v>
      </c>
      <c r="B2565" s="2" t="s">
        <v>28</v>
      </c>
      <c r="C2565" s="11" t="s">
        <v>3591</v>
      </c>
      <c r="D2565" s="2" t="s">
        <v>30</v>
      </c>
      <c r="E2565" s="2" t="s">
        <v>127</v>
      </c>
      <c r="F2565" s="11" t="s">
        <v>820</v>
      </c>
      <c r="G2565" s="21" t="s">
        <v>1234</v>
      </c>
      <c r="H2565" s="2" t="s">
        <v>2568</v>
      </c>
      <c r="I2565" s="12" t="s">
        <v>1201</v>
      </c>
      <c r="J2565" s="22">
        <f>+Tabla1[[#This Row],[FECHA ENTRADA]]</f>
        <v>45816</v>
      </c>
      <c r="K2565" s="22">
        <v>45835</v>
      </c>
      <c r="L2565" s="23">
        <f>_xlfn.DAYS(Tabla1[[#This Row],[FECHA FIN ]],Tabla1[[#This Row],[FECHA INICIO]])</f>
        <v>19</v>
      </c>
      <c r="M2565" s="12"/>
      <c r="N2565" s="20">
        <v>350</v>
      </c>
      <c r="O2565" s="24">
        <f>(Tabla1[[#This Row],[COSTO FIJO ]]/30)*Tabla1[[#This Row],[TOTAL DIAS PROYECTO]]+(Tabla1[[#This Row],[COSTO TEMPORAL]])</f>
        <v>221.66666666666666</v>
      </c>
      <c r="P2565" s="12"/>
      <c r="Q2565" s="12">
        <f>+(Tabla1[[#This Row],[COSTO COCHE]]/30)*Tabla1[[#This Row],[TOTAL DIAS PROYECTO]]</f>
        <v>0</v>
      </c>
      <c r="R2565" s="12">
        <f>+Tabla1[[#This Row],[COSTO TOTAL ALOJAMIENTO]]+Tabla1[[#This Row],[COSTO TOTAL COCHE]]</f>
        <v>221.66666666666666</v>
      </c>
      <c r="S2565" s="2"/>
      <c r="T2565" s="14" t="s">
        <v>44</v>
      </c>
      <c r="U2565" s="14">
        <v>45816</v>
      </c>
      <c r="V2565" s="25">
        <v>45835</v>
      </c>
      <c r="W2565" s="2"/>
      <c r="X2565" s="2"/>
      <c r="Y2565" s="11"/>
      <c r="Z2565" s="2" t="s">
        <v>36</v>
      </c>
      <c r="AA2565" s="13" t="s">
        <v>10342</v>
      </c>
      <c r="AB2565" s="13" t="s">
        <v>10343</v>
      </c>
    </row>
    <row r="2566" spans="1:28" ht="15" customHeight="1">
      <c r="A2566" s="2" t="s">
        <v>9245</v>
      </c>
      <c r="B2566" s="2" t="s">
        <v>28</v>
      </c>
      <c r="C2566" s="11" t="s">
        <v>2569</v>
      </c>
      <c r="D2566" s="2" t="s">
        <v>30</v>
      </c>
      <c r="E2566" s="2" t="s">
        <v>127</v>
      </c>
      <c r="F2566" s="11" t="s">
        <v>820</v>
      </c>
      <c r="G2566" s="21" t="s">
        <v>1234</v>
      </c>
      <c r="H2566" s="2" t="s">
        <v>2568</v>
      </c>
      <c r="I2566" s="12" t="s">
        <v>1201</v>
      </c>
      <c r="J2566" s="22">
        <f>+Tabla1[[#This Row],[FECHA ENTRADA]]</f>
        <v>45816</v>
      </c>
      <c r="K2566" s="22">
        <v>45835</v>
      </c>
      <c r="L2566" s="23">
        <f>_xlfn.DAYS(Tabla1[[#This Row],[FECHA FIN ]],Tabla1[[#This Row],[FECHA INICIO]])</f>
        <v>19</v>
      </c>
      <c r="M2566" s="12"/>
      <c r="N2566" s="12"/>
      <c r="O2566" s="24">
        <f>(Tabla1[[#This Row],[COSTO FIJO ]]/30)*Tabla1[[#This Row],[TOTAL DIAS PROYECTO]]+(Tabla1[[#This Row],[COSTO TEMPORAL]])</f>
        <v>0</v>
      </c>
      <c r="P2566" s="12"/>
      <c r="Q2566" s="12">
        <f>+(Tabla1[[#This Row],[COSTO COCHE]]/30)*Tabla1[[#This Row],[TOTAL DIAS PROYECTO]]</f>
        <v>0</v>
      </c>
      <c r="R2566" s="12">
        <f>+Tabla1[[#This Row],[COSTO TOTAL ALOJAMIENTO]]+Tabla1[[#This Row],[COSTO TOTAL COCHE]]</f>
        <v>0</v>
      </c>
      <c r="S2566" s="2"/>
      <c r="T2566" s="14" t="s">
        <v>44</v>
      </c>
      <c r="U2566" s="14">
        <v>45816</v>
      </c>
      <c r="V2566" s="25">
        <v>45835</v>
      </c>
      <c r="W2566" s="2"/>
      <c r="X2566" s="2"/>
      <c r="Y2566" s="11"/>
      <c r="Z2566" s="2" t="s">
        <v>36</v>
      </c>
      <c r="AA2566" s="13" t="s">
        <v>10342</v>
      </c>
      <c r="AB2566" s="13" t="s">
        <v>10343</v>
      </c>
    </row>
    <row r="2567" spans="1:28" ht="15" customHeight="1">
      <c r="A2567" s="2" t="s">
        <v>8761</v>
      </c>
      <c r="B2567" s="2" t="s">
        <v>28</v>
      </c>
      <c r="C2567" s="11" t="s">
        <v>633</v>
      </c>
      <c r="D2567" s="2" t="s">
        <v>30</v>
      </c>
      <c r="E2567" s="2" t="s">
        <v>127</v>
      </c>
      <c r="F2567" s="11" t="s">
        <v>820</v>
      </c>
      <c r="G2567" s="21" t="s">
        <v>1234</v>
      </c>
      <c r="H2567" s="2" t="s">
        <v>2568</v>
      </c>
      <c r="I2567" s="12" t="s">
        <v>1201</v>
      </c>
      <c r="J2567" s="22">
        <f>+Tabla1[[#This Row],[FECHA ENTRADA]]</f>
        <v>45816</v>
      </c>
      <c r="K2567" s="22">
        <v>45835</v>
      </c>
      <c r="L2567" s="23">
        <f>_xlfn.DAYS(Tabla1[[#This Row],[FECHA FIN ]],Tabla1[[#This Row],[FECHA INICIO]])</f>
        <v>19</v>
      </c>
      <c r="M2567" s="12"/>
      <c r="N2567" s="12"/>
      <c r="O2567" s="24">
        <f>(Tabla1[[#This Row],[COSTO FIJO ]]/30)*Tabla1[[#This Row],[TOTAL DIAS PROYECTO]]+(Tabla1[[#This Row],[COSTO TEMPORAL]])</f>
        <v>0</v>
      </c>
      <c r="P2567" s="12"/>
      <c r="Q2567" s="12">
        <f>+(Tabla1[[#This Row],[COSTO COCHE]]/30)*Tabla1[[#This Row],[TOTAL DIAS PROYECTO]]</f>
        <v>0</v>
      </c>
      <c r="R2567" s="12">
        <f>+Tabla1[[#This Row],[COSTO TOTAL ALOJAMIENTO]]+Tabla1[[#This Row],[COSTO TOTAL COCHE]]</f>
        <v>0</v>
      </c>
      <c r="S2567" s="2"/>
      <c r="T2567" s="14" t="s">
        <v>44</v>
      </c>
      <c r="U2567" s="14">
        <v>45816</v>
      </c>
      <c r="V2567" s="25">
        <v>45835</v>
      </c>
      <c r="W2567" s="2"/>
      <c r="X2567" s="2"/>
      <c r="Y2567" s="11"/>
      <c r="Z2567" s="2" t="s">
        <v>36</v>
      </c>
      <c r="AA2567" s="13" t="s">
        <v>10342</v>
      </c>
      <c r="AB2567" s="13" t="s">
        <v>10343</v>
      </c>
    </row>
    <row r="2568" spans="1:28" ht="15" customHeight="1">
      <c r="A2568" s="2" t="s">
        <v>9658</v>
      </c>
      <c r="B2568" s="2" t="s">
        <v>368</v>
      </c>
      <c r="C2568" s="11" t="s">
        <v>4099</v>
      </c>
      <c r="D2568" s="2" t="s">
        <v>99</v>
      </c>
      <c r="E2568" s="2" t="s">
        <v>127</v>
      </c>
      <c r="F2568" s="11" t="s">
        <v>820</v>
      </c>
      <c r="G2568" s="21" t="s">
        <v>1234</v>
      </c>
      <c r="H2568" s="2" t="s">
        <v>2593</v>
      </c>
      <c r="I2568" s="12" t="s">
        <v>2594</v>
      </c>
      <c r="J2568" s="41">
        <f>+Tabla1[[#This Row],[FECHA ENTRADA]]</f>
        <v>45819</v>
      </c>
      <c r="K2568" s="22">
        <v>45835</v>
      </c>
      <c r="L2568" s="42">
        <f>_xlfn.DAYS(Tabla1[[#This Row],[FECHA FIN ]],Tabla1[[#This Row],[FECHA INICIO]])</f>
        <v>16</v>
      </c>
      <c r="M2568" s="12"/>
      <c r="N2568" s="12"/>
      <c r="O2568" s="28">
        <f>(Tabla1[[#This Row],[COSTO FIJO ]]/30)*Tabla1[[#This Row],[TOTAL DIAS PROYECTO]]+(Tabla1[[#This Row],[COSTO TEMPORAL]])</f>
        <v>0</v>
      </c>
      <c r="P2568" s="12"/>
      <c r="Q2568" s="12">
        <f>+(Tabla1[[#This Row],[COSTO COCHE]]/30)*Tabla1[[#This Row],[TOTAL DIAS PROYECTO]]</f>
        <v>0</v>
      </c>
      <c r="R2568" s="12">
        <f>+Tabla1[[#This Row],[COSTO TOTAL ALOJAMIENTO]]+Tabla1[[#This Row],[COSTO TOTAL COCHE]]</f>
        <v>0</v>
      </c>
      <c r="S2568" s="2"/>
      <c r="T2568" s="2" t="s">
        <v>44</v>
      </c>
      <c r="U2568" s="14">
        <v>45819</v>
      </c>
      <c r="V2568" s="43">
        <v>45835</v>
      </c>
      <c r="W2568" s="2"/>
      <c r="X2568" s="2"/>
      <c r="Y2568" s="11"/>
      <c r="Z2568" s="2" t="s">
        <v>36</v>
      </c>
      <c r="AA2568" s="13" t="s">
        <v>10342</v>
      </c>
      <c r="AB2568" s="13" t="s">
        <v>10343</v>
      </c>
    </row>
    <row r="2569" spans="1:28" ht="15" customHeight="1">
      <c r="A2569" s="2" t="s">
        <v>9083</v>
      </c>
      <c r="B2569" s="2" t="s">
        <v>368</v>
      </c>
      <c r="C2569" s="11" t="s">
        <v>1941</v>
      </c>
      <c r="D2569" s="2" t="s">
        <v>99</v>
      </c>
      <c r="E2569" s="2" t="s">
        <v>127</v>
      </c>
      <c r="F2569" s="11" t="s">
        <v>820</v>
      </c>
      <c r="G2569" s="21" t="s">
        <v>1234</v>
      </c>
      <c r="H2569" s="2" t="s">
        <v>2593</v>
      </c>
      <c r="I2569" s="12" t="s">
        <v>2594</v>
      </c>
      <c r="J2569" s="41">
        <f>+Tabla1[[#This Row],[FECHA ENTRADA]]</f>
        <v>45819</v>
      </c>
      <c r="K2569" s="22">
        <v>45835</v>
      </c>
      <c r="L2569" s="42">
        <f>_xlfn.DAYS(Tabla1[[#This Row],[FECHA FIN ]],Tabla1[[#This Row],[FECHA INICIO]])</f>
        <v>16</v>
      </c>
      <c r="M2569" s="12"/>
      <c r="N2569" s="12"/>
      <c r="O2569" s="28">
        <f>(Tabla1[[#This Row],[COSTO FIJO ]]/30)*Tabla1[[#This Row],[TOTAL DIAS PROYECTO]]+(Tabla1[[#This Row],[COSTO TEMPORAL]])</f>
        <v>0</v>
      </c>
      <c r="P2569" s="12"/>
      <c r="Q2569" s="12">
        <f>+(Tabla1[[#This Row],[COSTO COCHE]]/30)*Tabla1[[#This Row],[TOTAL DIAS PROYECTO]]</f>
        <v>0</v>
      </c>
      <c r="R2569" s="12">
        <f>+Tabla1[[#This Row],[COSTO TOTAL ALOJAMIENTO]]+Tabla1[[#This Row],[COSTO TOTAL COCHE]]</f>
        <v>0</v>
      </c>
      <c r="S2569" s="2"/>
      <c r="T2569" s="2" t="s">
        <v>44</v>
      </c>
      <c r="U2569" s="14">
        <v>45819</v>
      </c>
      <c r="V2569" s="43">
        <v>45835</v>
      </c>
      <c r="W2569" s="2"/>
      <c r="X2569" s="2"/>
      <c r="Y2569" s="11"/>
      <c r="Z2569" s="2" t="s">
        <v>36</v>
      </c>
      <c r="AA2569" s="13" t="s">
        <v>10342</v>
      </c>
      <c r="AB2569" s="13" t="s">
        <v>10343</v>
      </c>
    </row>
    <row r="2570" spans="1:28" ht="15" customHeight="1">
      <c r="A2570" s="2" t="s">
        <v>9258</v>
      </c>
      <c r="B2570" s="2" t="s">
        <v>368</v>
      </c>
      <c r="C2570" s="11" t="s">
        <v>2625</v>
      </c>
      <c r="D2570" s="2" t="s">
        <v>99</v>
      </c>
      <c r="E2570" s="2" t="s">
        <v>127</v>
      </c>
      <c r="F2570" s="11" t="s">
        <v>820</v>
      </c>
      <c r="G2570" s="21" t="s">
        <v>1234</v>
      </c>
      <c r="H2570" s="2" t="s">
        <v>2593</v>
      </c>
      <c r="I2570" s="12" t="s">
        <v>2594</v>
      </c>
      <c r="J2570" s="41">
        <f>+Tabla1[[#This Row],[FECHA ENTRADA]]</f>
        <v>45819</v>
      </c>
      <c r="K2570" s="22">
        <v>45835</v>
      </c>
      <c r="L2570" s="42">
        <f>_xlfn.DAYS(Tabla1[[#This Row],[FECHA FIN ]],Tabla1[[#This Row],[FECHA INICIO]])</f>
        <v>16</v>
      </c>
      <c r="M2570" s="12"/>
      <c r="N2570" s="12"/>
      <c r="O2570" s="28">
        <f>(Tabla1[[#This Row],[COSTO FIJO ]]/30)*Tabla1[[#This Row],[TOTAL DIAS PROYECTO]]+(Tabla1[[#This Row],[COSTO TEMPORAL]])</f>
        <v>0</v>
      </c>
      <c r="P2570" s="12"/>
      <c r="Q2570" s="12">
        <f>+(Tabla1[[#This Row],[COSTO COCHE]]/30)*Tabla1[[#This Row],[TOTAL DIAS PROYECTO]]</f>
        <v>0</v>
      </c>
      <c r="R2570" s="12">
        <f>+Tabla1[[#This Row],[COSTO TOTAL ALOJAMIENTO]]+Tabla1[[#This Row],[COSTO TOTAL COCHE]]</f>
        <v>0</v>
      </c>
      <c r="S2570" s="2"/>
      <c r="T2570" s="2" t="s">
        <v>44</v>
      </c>
      <c r="U2570" s="14">
        <v>45819</v>
      </c>
      <c r="V2570" s="43">
        <v>45835</v>
      </c>
      <c r="W2570" s="2"/>
      <c r="X2570" s="2"/>
      <c r="Y2570" s="11"/>
      <c r="Z2570" s="2" t="s">
        <v>36</v>
      </c>
      <c r="AA2570" s="13" t="s">
        <v>10342</v>
      </c>
      <c r="AB2570" s="13" t="s">
        <v>10343</v>
      </c>
    </row>
    <row r="2571" spans="1:28" ht="15" customHeight="1">
      <c r="A2571" s="2" t="s">
        <v>8691</v>
      </c>
      <c r="B2571" s="2" t="s">
        <v>368</v>
      </c>
      <c r="C2571" s="11" t="s">
        <v>307</v>
      </c>
      <c r="D2571" s="2" t="s">
        <v>99</v>
      </c>
      <c r="E2571" s="2" t="s">
        <v>127</v>
      </c>
      <c r="F2571" s="11" t="s">
        <v>820</v>
      </c>
      <c r="G2571" s="21" t="s">
        <v>1234</v>
      </c>
      <c r="H2571" s="2" t="s">
        <v>4100</v>
      </c>
      <c r="I2571" s="12" t="s">
        <v>2594</v>
      </c>
      <c r="J2571" s="41">
        <f>+Tabla1[[#This Row],[FECHA ENTRADA]]</f>
        <v>45823</v>
      </c>
      <c r="K2571" s="22">
        <v>45835</v>
      </c>
      <c r="L2571" s="42">
        <f>_xlfn.DAYS(Tabla1[[#This Row],[FECHA FIN ]],Tabla1[[#This Row],[FECHA INICIO]])</f>
        <v>12</v>
      </c>
      <c r="M2571" s="12"/>
      <c r="N2571" s="12"/>
      <c r="O2571" s="28">
        <f>(Tabla1[[#This Row],[COSTO FIJO ]]/30)*Tabla1[[#This Row],[TOTAL DIAS PROYECTO]]+(Tabla1[[#This Row],[COSTO TEMPORAL]])</f>
        <v>0</v>
      </c>
      <c r="P2571" s="12"/>
      <c r="Q2571" s="12">
        <f>+(Tabla1[[#This Row],[COSTO COCHE]]/30)*Tabla1[[#This Row],[TOTAL DIAS PROYECTO]]</f>
        <v>0</v>
      </c>
      <c r="R2571" s="12">
        <f>+Tabla1[[#This Row],[COSTO TOTAL ALOJAMIENTO]]+Tabla1[[#This Row],[COSTO TOTAL COCHE]]</f>
        <v>0</v>
      </c>
      <c r="S2571" s="2"/>
      <c r="T2571" s="2" t="s">
        <v>44</v>
      </c>
      <c r="U2571" s="14">
        <v>45823</v>
      </c>
      <c r="V2571" s="43">
        <v>45835</v>
      </c>
      <c r="W2571" s="2"/>
      <c r="X2571" s="2"/>
      <c r="Y2571" s="11"/>
      <c r="Z2571" s="2" t="s">
        <v>36</v>
      </c>
      <c r="AA2571" s="13" t="s">
        <v>10342</v>
      </c>
      <c r="AB2571" s="13" t="s">
        <v>10343</v>
      </c>
    </row>
    <row r="2572" spans="1:28" ht="15" customHeight="1">
      <c r="A2572" s="2" t="s">
        <v>9244</v>
      </c>
      <c r="B2572" s="2" t="s">
        <v>28</v>
      </c>
      <c r="C2572" s="11" t="s">
        <v>2566</v>
      </c>
      <c r="D2572" s="2" t="s">
        <v>30</v>
      </c>
      <c r="E2572" s="2" t="s">
        <v>127</v>
      </c>
      <c r="F2572" s="11" t="s">
        <v>820</v>
      </c>
      <c r="G2572" s="21" t="s">
        <v>1234</v>
      </c>
      <c r="H2572" s="2" t="s">
        <v>2568</v>
      </c>
      <c r="I2572" s="12" t="s">
        <v>1201</v>
      </c>
      <c r="J2572" s="22">
        <f>+Tabla1[[#This Row],[FECHA ENTRADA]]</f>
        <v>45816</v>
      </c>
      <c r="K2572" s="22">
        <v>45835</v>
      </c>
      <c r="L2572" s="23">
        <f>_xlfn.DAYS(Tabla1[[#This Row],[FECHA FIN ]],Tabla1[[#This Row],[FECHA INICIO]])</f>
        <v>19</v>
      </c>
      <c r="M2572" s="12"/>
      <c r="N2572" s="12"/>
      <c r="O2572" s="24">
        <f>(Tabla1[[#This Row],[COSTO FIJO ]]/30)*Tabla1[[#This Row],[TOTAL DIAS PROYECTO]]+(Tabla1[[#This Row],[COSTO TEMPORAL]])</f>
        <v>0</v>
      </c>
      <c r="P2572" s="12"/>
      <c r="Q2572" s="12">
        <f>+(Tabla1[[#This Row],[COSTO COCHE]]/30)*Tabla1[[#This Row],[TOTAL DIAS PROYECTO]]</f>
        <v>0</v>
      </c>
      <c r="R2572" s="12">
        <f>+Tabla1[[#This Row],[COSTO TOTAL ALOJAMIENTO]]+Tabla1[[#This Row],[COSTO TOTAL COCHE]]</f>
        <v>0</v>
      </c>
      <c r="S2572" s="2"/>
      <c r="T2572" s="14" t="s">
        <v>44</v>
      </c>
      <c r="U2572" s="14">
        <v>45816</v>
      </c>
      <c r="V2572" s="25">
        <v>45835</v>
      </c>
      <c r="W2572" s="2"/>
      <c r="X2572" s="2"/>
      <c r="Y2572" s="11"/>
      <c r="Z2572" s="2" t="s">
        <v>36</v>
      </c>
      <c r="AA2572" s="13" t="s">
        <v>10342</v>
      </c>
      <c r="AB2572" s="13" t="s">
        <v>10343</v>
      </c>
    </row>
    <row r="2573" spans="1:28" ht="15" customHeight="1">
      <c r="A2573" s="2" t="s">
        <v>9545</v>
      </c>
      <c r="B2573" s="2" t="s">
        <v>28</v>
      </c>
      <c r="C2573" s="11" t="s">
        <v>3589</v>
      </c>
      <c r="D2573" s="2" t="s">
        <v>30</v>
      </c>
      <c r="E2573" s="2" t="s">
        <v>127</v>
      </c>
      <c r="F2573" s="11" t="s">
        <v>820</v>
      </c>
      <c r="G2573" s="21" t="s">
        <v>1234</v>
      </c>
      <c r="H2573" s="2" t="s">
        <v>2568</v>
      </c>
      <c r="I2573" s="12" t="s">
        <v>1201</v>
      </c>
      <c r="J2573" s="22">
        <f>+Tabla1[[#This Row],[FECHA ENTRADA]]</f>
        <v>45816</v>
      </c>
      <c r="K2573" s="22">
        <v>45835</v>
      </c>
      <c r="L2573" s="23">
        <f>_xlfn.DAYS(Tabla1[[#This Row],[FECHA FIN ]],Tabla1[[#This Row],[FECHA INICIO]])</f>
        <v>19</v>
      </c>
      <c r="M2573" s="12"/>
      <c r="N2573" s="12"/>
      <c r="O2573" s="24">
        <f>(Tabla1[[#This Row],[COSTO FIJO ]]/30)*Tabla1[[#This Row],[TOTAL DIAS PROYECTO]]+(Tabla1[[#This Row],[COSTO TEMPORAL]])</f>
        <v>0</v>
      </c>
      <c r="P2573" s="12"/>
      <c r="Q2573" s="12">
        <f>+(Tabla1[[#This Row],[COSTO COCHE]]/30)*Tabla1[[#This Row],[TOTAL DIAS PROYECTO]]</f>
        <v>0</v>
      </c>
      <c r="R2573" s="12">
        <f>+Tabla1[[#This Row],[COSTO TOTAL ALOJAMIENTO]]+Tabla1[[#This Row],[COSTO TOTAL COCHE]]</f>
        <v>0</v>
      </c>
      <c r="S2573" s="2"/>
      <c r="T2573" s="14" t="s">
        <v>44</v>
      </c>
      <c r="U2573" s="14">
        <v>45816</v>
      </c>
      <c r="V2573" s="25">
        <v>45835</v>
      </c>
      <c r="W2573" s="2"/>
      <c r="X2573" s="2"/>
      <c r="Y2573" s="11"/>
      <c r="Z2573" s="2" t="s">
        <v>36</v>
      </c>
      <c r="AA2573" s="13" t="s">
        <v>10342</v>
      </c>
      <c r="AB2573" s="13" t="s">
        <v>10343</v>
      </c>
    </row>
    <row r="2574" spans="1:28" ht="15" customHeight="1">
      <c r="A2574" s="2" t="s">
        <v>9546</v>
      </c>
      <c r="B2574" s="2" t="s">
        <v>28</v>
      </c>
      <c r="C2574" s="11" t="s">
        <v>3590</v>
      </c>
      <c r="D2574" s="2" t="s">
        <v>30</v>
      </c>
      <c r="E2574" s="2" t="s">
        <v>127</v>
      </c>
      <c r="F2574" s="11" t="s">
        <v>820</v>
      </c>
      <c r="G2574" s="21" t="s">
        <v>1234</v>
      </c>
      <c r="H2574" s="2" t="s">
        <v>2568</v>
      </c>
      <c r="I2574" s="12" t="s">
        <v>1201</v>
      </c>
      <c r="J2574" s="22">
        <f>+Tabla1[[#This Row],[FECHA ENTRADA]]</f>
        <v>45816</v>
      </c>
      <c r="K2574" s="22">
        <v>45835</v>
      </c>
      <c r="L2574" s="23">
        <f>_xlfn.DAYS(Tabla1[[#This Row],[FECHA FIN ]],Tabla1[[#This Row],[FECHA INICIO]])</f>
        <v>19</v>
      </c>
      <c r="M2574" s="12"/>
      <c r="N2574" s="20">
        <v>350</v>
      </c>
      <c r="O2574" s="24">
        <f>(Tabla1[[#This Row],[COSTO FIJO ]]/30)*Tabla1[[#This Row],[TOTAL DIAS PROYECTO]]+(Tabla1[[#This Row],[COSTO TEMPORAL]])</f>
        <v>221.66666666666666</v>
      </c>
      <c r="P2574" s="12"/>
      <c r="Q2574" s="12">
        <f>+(Tabla1[[#This Row],[COSTO COCHE]]/30)*Tabla1[[#This Row],[TOTAL DIAS PROYECTO]]</f>
        <v>0</v>
      </c>
      <c r="R2574" s="12">
        <f>+Tabla1[[#This Row],[COSTO TOTAL ALOJAMIENTO]]+Tabla1[[#This Row],[COSTO TOTAL COCHE]]</f>
        <v>221.66666666666666</v>
      </c>
      <c r="S2574" s="2"/>
      <c r="T2574" s="14" t="s">
        <v>44</v>
      </c>
      <c r="U2574" s="14">
        <v>45816</v>
      </c>
      <c r="V2574" s="25">
        <v>45835</v>
      </c>
      <c r="W2574" s="2"/>
      <c r="X2574" s="2"/>
      <c r="Y2574" s="11"/>
      <c r="Z2574" s="2" t="s">
        <v>36</v>
      </c>
      <c r="AA2574" s="13" t="s">
        <v>10342</v>
      </c>
      <c r="AB2574" s="13" t="s">
        <v>10343</v>
      </c>
    </row>
    <row r="2575" spans="1:28" ht="15" customHeight="1">
      <c r="A2575" s="2" t="s">
        <v>9277</v>
      </c>
      <c r="B2575" s="2" t="s">
        <v>368</v>
      </c>
      <c r="C2575" s="11" t="s">
        <v>2683</v>
      </c>
      <c r="D2575" s="2" t="s">
        <v>99</v>
      </c>
      <c r="E2575" s="2" t="s">
        <v>127</v>
      </c>
      <c r="F2575" s="11" t="s">
        <v>820</v>
      </c>
      <c r="G2575" s="21" t="s">
        <v>1234</v>
      </c>
      <c r="H2575" s="2" t="s">
        <v>4100</v>
      </c>
      <c r="I2575" s="12" t="s">
        <v>2594</v>
      </c>
      <c r="J2575" s="41">
        <f>+Tabla1[[#This Row],[FECHA ENTRADA]]</f>
        <v>45823</v>
      </c>
      <c r="K2575" s="22">
        <v>45835</v>
      </c>
      <c r="L2575" s="42">
        <f>_xlfn.DAYS(Tabla1[[#This Row],[FECHA FIN ]],Tabla1[[#This Row],[FECHA INICIO]])</f>
        <v>12</v>
      </c>
      <c r="M2575" s="12"/>
      <c r="N2575" s="12"/>
      <c r="O2575" s="28">
        <f>(Tabla1[[#This Row],[COSTO FIJO ]]/30)*Tabla1[[#This Row],[TOTAL DIAS PROYECTO]]+(Tabla1[[#This Row],[COSTO TEMPORAL]])</f>
        <v>0</v>
      </c>
      <c r="P2575" s="12"/>
      <c r="Q2575" s="12">
        <f>+(Tabla1[[#This Row],[COSTO COCHE]]/30)*Tabla1[[#This Row],[TOTAL DIAS PROYECTO]]</f>
        <v>0</v>
      </c>
      <c r="R2575" s="12">
        <f>+Tabla1[[#This Row],[COSTO TOTAL ALOJAMIENTO]]+Tabla1[[#This Row],[COSTO TOTAL COCHE]]</f>
        <v>0</v>
      </c>
      <c r="S2575" s="2"/>
      <c r="T2575" s="2" t="s">
        <v>44</v>
      </c>
      <c r="U2575" s="14">
        <v>45823</v>
      </c>
      <c r="V2575" s="43">
        <v>45835</v>
      </c>
      <c r="W2575" s="2"/>
      <c r="X2575" s="2"/>
      <c r="Y2575" s="11"/>
      <c r="Z2575" s="2" t="s">
        <v>36</v>
      </c>
      <c r="AA2575" s="13" t="s">
        <v>10342</v>
      </c>
      <c r="AB2575" s="13" t="s">
        <v>10343</v>
      </c>
    </row>
    <row r="2576" spans="1:28" ht="15" customHeight="1">
      <c r="A2576" s="2" t="s">
        <v>9333</v>
      </c>
      <c r="B2576" s="2" t="s">
        <v>368</v>
      </c>
      <c r="C2576" s="11" t="s">
        <v>2845</v>
      </c>
      <c r="D2576" s="2" t="s">
        <v>30</v>
      </c>
      <c r="E2576" s="2" t="s">
        <v>127</v>
      </c>
      <c r="F2576" s="11" t="s">
        <v>820</v>
      </c>
      <c r="G2576" s="21" t="s">
        <v>1234</v>
      </c>
      <c r="H2576" s="2" t="s">
        <v>4101</v>
      </c>
      <c r="I2576" s="12" t="s">
        <v>1193</v>
      </c>
      <c r="J2576" s="22">
        <f>+Tabla1[[#This Row],[FECHA ENTRADA]]</f>
        <v>45813</v>
      </c>
      <c r="K2576" s="22">
        <v>45835</v>
      </c>
      <c r="L2576" s="23">
        <f>_xlfn.DAYS(Tabla1[[#This Row],[FECHA FIN ]],Tabla1[[#This Row],[FECHA INICIO]])</f>
        <v>22</v>
      </c>
      <c r="M2576" s="12"/>
      <c r="N2576" s="12">
        <v>210</v>
      </c>
      <c r="O2576" s="24">
        <f>(Tabla1[[#This Row],[COSTO FIJO ]]/30)*Tabla1[[#This Row],[TOTAL DIAS PROYECTO]]+(Tabla1[[#This Row],[COSTO TEMPORAL]])</f>
        <v>154</v>
      </c>
      <c r="P2576" s="12"/>
      <c r="Q2576" s="12">
        <f>+(Tabla1[[#This Row],[COSTO COCHE]]/30)*Tabla1[[#This Row],[TOTAL DIAS PROYECTO]]</f>
        <v>0</v>
      </c>
      <c r="R2576" s="12">
        <f>+Tabla1[[#This Row],[COSTO TOTAL ALOJAMIENTO]]+Tabla1[[#This Row],[COSTO TOTAL COCHE]]</f>
        <v>154</v>
      </c>
      <c r="S2576" s="2"/>
      <c r="T2576" s="2" t="s">
        <v>44</v>
      </c>
      <c r="U2576" s="14">
        <v>45813</v>
      </c>
      <c r="V2576" s="25">
        <v>45835</v>
      </c>
      <c r="W2576" s="26"/>
      <c r="X2576" s="2"/>
      <c r="Y2576" s="11" t="s">
        <v>4102</v>
      </c>
      <c r="Z2576" s="2" t="s">
        <v>36</v>
      </c>
      <c r="AA2576" s="13" t="s">
        <v>10342</v>
      </c>
      <c r="AB2576" s="13" t="s">
        <v>10343</v>
      </c>
    </row>
    <row r="2577" spans="1:28" ht="15" customHeight="1">
      <c r="A2577" s="2" t="s">
        <v>9659</v>
      </c>
      <c r="B2577" s="2" t="s">
        <v>368</v>
      </c>
      <c r="C2577" s="11" t="s">
        <v>4103</v>
      </c>
      <c r="D2577" s="2" t="s">
        <v>30</v>
      </c>
      <c r="E2577" s="2" t="s">
        <v>127</v>
      </c>
      <c r="F2577" s="11" t="s">
        <v>820</v>
      </c>
      <c r="G2577" s="21" t="s">
        <v>1234</v>
      </c>
      <c r="H2577" s="2" t="s">
        <v>3622</v>
      </c>
      <c r="I2577" s="12" t="s">
        <v>1193</v>
      </c>
      <c r="J2577" s="22">
        <f>+Tabla1[[#This Row],[FECHA ENTRADA]]</f>
        <v>45798</v>
      </c>
      <c r="K2577" s="22">
        <v>45835</v>
      </c>
      <c r="L2577" s="23">
        <f>_xlfn.DAYS(Tabla1[[#This Row],[FECHA FIN ]],Tabla1[[#This Row],[FECHA INICIO]])</f>
        <v>37</v>
      </c>
      <c r="M2577" s="12"/>
      <c r="N2577" s="12">
        <f>3150/9</f>
        <v>350</v>
      </c>
      <c r="O2577" s="24">
        <f>(Tabla1[[#This Row],[COSTO FIJO ]]/30)*Tabla1[[#This Row],[TOTAL DIAS PROYECTO]]+(Tabla1[[#This Row],[COSTO TEMPORAL]])</f>
        <v>431.66666666666663</v>
      </c>
      <c r="P2577" s="12"/>
      <c r="Q2577" s="12">
        <f>+(Tabla1[[#This Row],[COSTO COCHE]]/30)*Tabla1[[#This Row],[TOTAL DIAS PROYECTO]]</f>
        <v>0</v>
      </c>
      <c r="R2577" s="12">
        <f>+Tabla1[[#This Row],[COSTO TOTAL ALOJAMIENTO]]+Tabla1[[#This Row],[COSTO TOTAL COCHE]]</f>
        <v>431.66666666666663</v>
      </c>
      <c r="S2577" s="2"/>
      <c r="T2577" s="2" t="s">
        <v>44</v>
      </c>
      <c r="U2577" s="14">
        <v>45798</v>
      </c>
      <c r="V2577" s="25">
        <v>45835</v>
      </c>
      <c r="W2577" s="26"/>
      <c r="X2577" s="2"/>
      <c r="Y2577" s="11"/>
      <c r="Z2577" s="2" t="s">
        <v>36</v>
      </c>
      <c r="AA2577" s="13" t="s">
        <v>10342</v>
      </c>
      <c r="AB2577" s="13" t="s">
        <v>10343</v>
      </c>
    </row>
    <row r="2578" spans="1:28" ht="15" customHeight="1">
      <c r="A2578" s="2" t="s">
        <v>9660</v>
      </c>
      <c r="B2578" s="2" t="s">
        <v>28</v>
      </c>
      <c r="C2578" s="11" t="s">
        <v>4104</v>
      </c>
      <c r="D2578" s="2" t="s">
        <v>99</v>
      </c>
      <c r="E2578" s="2" t="s">
        <v>127</v>
      </c>
      <c r="F2578" s="11" t="s">
        <v>820</v>
      </c>
      <c r="G2578" s="21" t="s">
        <v>1234</v>
      </c>
      <c r="H2578" s="2" t="s">
        <v>4105</v>
      </c>
      <c r="I2578" s="10" t="s">
        <v>3818</v>
      </c>
      <c r="J2578" s="22">
        <f>+Tabla1[[#This Row],[FECHA ENTRADA]]</f>
        <v>45798</v>
      </c>
      <c r="K2578" s="22">
        <v>45835</v>
      </c>
      <c r="L2578" s="23">
        <f>_xlfn.DAYS(Tabla1[[#This Row],[FECHA FIN ]],Tabla1[[#This Row],[FECHA INICIO]])</f>
        <v>37</v>
      </c>
      <c r="M2578" s="12"/>
      <c r="N2578" s="12">
        <v>210</v>
      </c>
      <c r="O2578" s="24">
        <f>(Tabla1[[#This Row],[COSTO FIJO ]]/30)*Tabla1[[#This Row],[TOTAL DIAS PROYECTO]]+(Tabla1[[#This Row],[COSTO TEMPORAL]])</f>
        <v>259</v>
      </c>
      <c r="P2578" s="12"/>
      <c r="Q2578" s="12">
        <f>+(Tabla1[[#This Row],[COSTO COCHE]]/30)*Tabla1[[#This Row],[TOTAL DIAS PROYECTO]]</f>
        <v>0</v>
      </c>
      <c r="R2578" s="12">
        <f>+Tabla1[[#This Row],[COSTO TOTAL ALOJAMIENTO]]+Tabla1[[#This Row],[COSTO TOTAL COCHE]]</f>
        <v>259</v>
      </c>
      <c r="S2578" s="2"/>
      <c r="T2578" s="2" t="s">
        <v>44</v>
      </c>
      <c r="U2578" s="14">
        <v>45798</v>
      </c>
      <c r="V2578" s="25">
        <v>45835</v>
      </c>
      <c r="W2578" s="2"/>
      <c r="X2578" s="2"/>
      <c r="Y2578" s="11"/>
      <c r="Z2578" s="2" t="s">
        <v>36</v>
      </c>
      <c r="AA2578" s="13" t="s">
        <v>10342</v>
      </c>
      <c r="AB2578" s="13" t="s">
        <v>10343</v>
      </c>
    </row>
    <row r="2579" spans="1:28" ht="15" customHeight="1">
      <c r="A2579" s="2" t="s">
        <v>9661</v>
      </c>
      <c r="B2579" s="2" t="s">
        <v>28</v>
      </c>
      <c r="C2579" s="11" t="s">
        <v>4106</v>
      </c>
      <c r="D2579" s="2" t="s">
        <v>99</v>
      </c>
      <c r="E2579" s="2" t="s">
        <v>127</v>
      </c>
      <c r="F2579" s="11" t="s">
        <v>820</v>
      </c>
      <c r="G2579" s="21" t="s">
        <v>1234</v>
      </c>
      <c r="H2579" s="2" t="s">
        <v>4105</v>
      </c>
      <c r="I2579" s="10" t="s">
        <v>3818</v>
      </c>
      <c r="J2579" s="22">
        <f>+Tabla1[[#This Row],[FECHA ENTRADA]]</f>
        <v>45798</v>
      </c>
      <c r="K2579" s="22">
        <v>45835</v>
      </c>
      <c r="L2579" s="23">
        <f>_xlfn.DAYS(Tabla1[[#This Row],[FECHA FIN ]],Tabla1[[#This Row],[FECHA INICIO]])</f>
        <v>37</v>
      </c>
      <c r="M2579" s="12"/>
      <c r="N2579" s="12">
        <v>210</v>
      </c>
      <c r="O2579" s="24">
        <f>(Tabla1[[#This Row],[COSTO FIJO ]]/30)*Tabla1[[#This Row],[TOTAL DIAS PROYECTO]]+(Tabla1[[#This Row],[COSTO TEMPORAL]])</f>
        <v>259</v>
      </c>
      <c r="P2579" s="12"/>
      <c r="Q2579" s="12">
        <f>+(Tabla1[[#This Row],[COSTO COCHE]]/30)*Tabla1[[#This Row],[TOTAL DIAS PROYECTO]]</f>
        <v>0</v>
      </c>
      <c r="R2579" s="12">
        <f>+Tabla1[[#This Row],[COSTO TOTAL ALOJAMIENTO]]+Tabla1[[#This Row],[COSTO TOTAL COCHE]]</f>
        <v>259</v>
      </c>
      <c r="S2579" s="2"/>
      <c r="T2579" s="2" t="s">
        <v>44</v>
      </c>
      <c r="U2579" s="14">
        <v>45798</v>
      </c>
      <c r="V2579" s="25">
        <v>45835</v>
      </c>
      <c r="W2579" s="2"/>
      <c r="X2579" s="2"/>
      <c r="Y2579" s="11"/>
      <c r="Z2579" s="2" t="s">
        <v>36</v>
      </c>
      <c r="AA2579" s="13" t="s">
        <v>10342</v>
      </c>
      <c r="AB2579" s="13" t="s">
        <v>10343</v>
      </c>
    </row>
    <row r="2580" spans="1:28" ht="15" customHeight="1">
      <c r="A2580" s="2" t="s">
        <v>9662</v>
      </c>
      <c r="B2580" s="2" t="s">
        <v>28</v>
      </c>
      <c r="C2580" s="11" t="s">
        <v>4107</v>
      </c>
      <c r="D2580" s="2" t="s">
        <v>99</v>
      </c>
      <c r="E2580" s="2" t="s">
        <v>127</v>
      </c>
      <c r="F2580" s="11" t="s">
        <v>820</v>
      </c>
      <c r="G2580" s="21" t="s">
        <v>1234</v>
      </c>
      <c r="H2580" s="2" t="s">
        <v>4105</v>
      </c>
      <c r="I2580" s="10" t="s">
        <v>3818</v>
      </c>
      <c r="J2580" s="22">
        <f>+Tabla1[[#This Row],[FECHA ENTRADA]]</f>
        <v>45798</v>
      </c>
      <c r="K2580" s="22">
        <v>45835</v>
      </c>
      <c r="L2580" s="23">
        <f>_xlfn.DAYS(Tabla1[[#This Row],[FECHA FIN ]],Tabla1[[#This Row],[FECHA INICIO]])</f>
        <v>37</v>
      </c>
      <c r="M2580" s="12"/>
      <c r="N2580" s="12">
        <v>210</v>
      </c>
      <c r="O2580" s="24">
        <f>(Tabla1[[#This Row],[COSTO FIJO ]]/30)*Tabla1[[#This Row],[TOTAL DIAS PROYECTO]]+(Tabla1[[#This Row],[COSTO TEMPORAL]])</f>
        <v>259</v>
      </c>
      <c r="P2580" s="12"/>
      <c r="Q2580" s="12">
        <f>+(Tabla1[[#This Row],[COSTO COCHE]]/30)*Tabla1[[#This Row],[TOTAL DIAS PROYECTO]]</f>
        <v>0</v>
      </c>
      <c r="R2580" s="12">
        <f>+Tabla1[[#This Row],[COSTO TOTAL ALOJAMIENTO]]+Tabla1[[#This Row],[COSTO TOTAL COCHE]]</f>
        <v>259</v>
      </c>
      <c r="S2580" s="2"/>
      <c r="T2580" s="2" t="s">
        <v>44</v>
      </c>
      <c r="U2580" s="14">
        <v>45798</v>
      </c>
      <c r="V2580" s="25">
        <v>45835</v>
      </c>
      <c r="W2580" s="2"/>
      <c r="X2580" s="2"/>
      <c r="Y2580" s="11"/>
      <c r="Z2580" s="2" t="s">
        <v>36</v>
      </c>
      <c r="AA2580" s="13" t="s">
        <v>10342</v>
      </c>
      <c r="AB2580" s="13" t="s">
        <v>10343</v>
      </c>
    </row>
    <row r="2581" spans="1:28" ht="15" customHeight="1">
      <c r="A2581" s="2" t="s">
        <v>9182</v>
      </c>
      <c r="B2581" s="2" t="s">
        <v>368</v>
      </c>
      <c r="C2581" s="11" t="s">
        <v>2343</v>
      </c>
      <c r="D2581" s="2" t="s">
        <v>99</v>
      </c>
      <c r="E2581" s="2" t="s">
        <v>109</v>
      </c>
      <c r="F2581" s="11" t="s">
        <v>1793</v>
      </c>
      <c r="G2581" s="21">
        <v>973266788</v>
      </c>
      <c r="H2581" s="2" t="s">
        <v>4090</v>
      </c>
      <c r="I2581" s="12" t="s">
        <v>1830</v>
      </c>
      <c r="J2581" s="22">
        <f>+Tabla1[[#This Row],[FECHA ENTRADA]]</f>
        <v>45785</v>
      </c>
      <c r="K2581" s="22">
        <v>45803</v>
      </c>
      <c r="L2581" s="23">
        <f>_xlfn.DAYS(Tabla1[[#This Row],[FECHA FIN ]],Tabla1[[#This Row],[FECHA INICIO]])</f>
        <v>18</v>
      </c>
      <c r="M2581" s="12"/>
      <c r="N2581" s="20"/>
      <c r="O2581" s="24">
        <f>(Tabla1[[#This Row],[COSTO FIJO ]]/30)*Tabla1[[#This Row],[TOTAL DIAS PROYECTO]]+(Tabla1[[#This Row],[COSTO TEMPORAL]])</f>
        <v>0</v>
      </c>
      <c r="P2581" s="12"/>
      <c r="Q2581" s="12">
        <f>+(Tabla1[[#This Row],[COSTO COCHE]]/30)*Tabla1[[#This Row],[TOTAL DIAS PROYECTO]]</f>
        <v>0</v>
      </c>
      <c r="R2581" s="12">
        <f>+Tabla1[[#This Row],[COSTO TOTAL ALOJAMIENTO]]+Tabla1[[#This Row],[COSTO TOTAL COCHE]]</f>
        <v>0</v>
      </c>
      <c r="S2581" s="2"/>
      <c r="T2581" s="2" t="s">
        <v>44</v>
      </c>
      <c r="U2581" s="14">
        <v>45785</v>
      </c>
      <c r="V2581" s="25">
        <v>45804</v>
      </c>
      <c r="W2581" s="2"/>
      <c r="X2581" s="2"/>
      <c r="Y2581" s="11" t="s">
        <v>4108</v>
      </c>
      <c r="Z2581" s="2" t="s">
        <v>36</v>
      </c>
      <c r="AA2581" s="13">
        <v>0.62217999999999996</v>
      </c>
      <c r="AB2581" s="13" t="s">
        <v>10339</v>
      </c>
    </row>
    <row r="2582" spans="1:28" ht="15" customHeight="1">
      <c r="A2582" s="2" t="s">
        <v>9166</v>
      </c>
      <c r="B2582" s="2" t="s">
        <v>28</v>
      </c>
      <c r="C2582" s="11" t="s">
        <v>2291</v>
      </c>
      <c r="D2582" s="2" t="s">
        <v>99</v>
      </c>
      <c r="E2582" s="2" t="s">
        <v>127</v>
      </c>
      <c r="F2582" s="11" t="s">
        <v>820</v>
      </c>
      <c r="G2582" s="21" t="s">
        <v>1234</v>
      </c>
      <c r="H2582" s="2" t="s">
        <v>4105</v>
      </c>
      <c r="I2582" s="10" t="s">
        <v>3818</v>
      </c>
      <c r="J2582" s="22">
        <f>+Tabla1[[#This Row],[FECHA ENTRADA]]</f>
        <v>45798</v>
      </c>
      <c r="K2582" s="22">
        <v>45835</v>
      </c>
      <c r="L2582" s="23">
        <f>_xlfn.DAYS(Tabla1[[#This Row],[FECHA FIN ]],Tabla1[[#This Row],[FECHA INICIO]])</f>
        <v>37</v>
      </c>
      <c r="M2582" s="12"/>
      <c r="N2582" s="12">
        <v>210</v>
      </c>
      <c r="O2582" s="24">
        <f>(Tabla1[[#This Row],[COSTO FIJO ]]/30)*Tabla1[[#This Row],[TOTAL DIAS PROYECTO]]+(Tabla1[[#This Row],[COSTO TEMPORAL]])</f>
        <v>259</v>
      </c>
      <c r="P2582" s="12"/>
      <c r="Q2582" s="12">
        <f>+(Tabla1[[#This Row],[COSTO COCHE]]/30)*Tabla1[[#This Row],[TOTAL DIAS PROYECTO]]</f>
        <v>0</v>
      </c>
      <c r="R2582" s="12">
        <f>+Tabla1[[#This Row],[COSTO TOTAL ALOJAMIENTO]]+Tabla1[[#This Row],[COSTO TOTAL COCHE]]</f>
        <v>259</v>
      </c>
      <c r="S2582" s="2"/>
      <c r="T2582" s="2" t="s">
        <v>44</v>
      </c>
      <c r="U2582" s="14">
        <v>45798</v>
      </c>
      <c r="V2582" s="25">
        <v>45835</v>
      </c>
      <c r="W2582" s="2"/>
      <c r="X2582" s="2"/>
      <c r="Y2582" s="11"/>
      <c r="Z2582" s="2" t="s">
        <v>36</v>
      </c>
      <c r="AA2582" s="13" t="s">
        <v>10342</v>
      </c>
      <c r="AB2582" s="13" t="s">
        <v>10343</v>
      </c>
    </row>
    <row r="2583" spans="1:28" ht="15" customHeight="1">
      <c r="A2583" s="2" t="s">
        <v>8642</v>
      </c>
      <c r="B2583" s="2" t="s">
        <v>368</v>
      </c>
      <c r="C2583" s="11" t="s">
        <v>3595</v>
      </c>
      <c r="D2583" s="2" t="s">
        <v>99</v>
      </c>
      <c r="E2583" s="2" t="s">
        <v>422</v>
      </c>
      <c r="F2583" s="11" t="s">
        <v>1983</v>
      </c>
      <c r="G2583" s="11" t="s">
        <v>2067</v>
      </c>
      <c r="H2583" s="2" t="s">
        <v>3540</v>
      </c>
      <c r="I2583" s="12" t="s">
        <v>1435</v>
      </c>
      <c r="J2583" s="22">
        <f>+Tabla1[[#This Row],[FECHA ENTRADA]]</f>
        <v>45805</v>
      </c>
      <c r="K2583" s="22">
        <v>45812</v>
      </c>
      <c r="L2583" s="23">
        <f>_xlfn.DAYS(Tabla1[[#This Row],[FECHA FIN ]],Tabla1[[#This Row],[FECHA INICIO]])</f>
        <v>7</v>
      </c>
      <c r="M2583" s="12"/>
      <c r="N2583" s="12">
        <v>105.55555555555556</v>
      </c>
      <c r="O2583" s="24">
        <f>(Tabla1[[#This Row],[COSTO FIJO ]]/30)*Tabla1[[#This Row],[TOTAL DIAS PROYECTO]]+(Tabla1[[#This Row],[COSTO TEMPORAL]])</f>
        <v>24.62962962962963</v>
      </c>
      <c r="P2583" s="12"/>
      <c r="Q2583" s="12">
        <f>+(Tabla1[[#This Row],[COSTO COCHE]]/30)*Tabla1[[#This Row],[TOTAL DIAS PROYECTO]]</f>
        <v>0</v>
      </c>
      <c r="R2583" s="12">
        <f>+Tabla1[[#This Row],[COSTO TOTAL ALOJAMIENTO]]+Tabla1[[#This Row],[COSTO TOTAL COCHE]]</f>
        <v>24.62962962962963</v>
      </c>
      <c r="S2583" s="2"/>
      <c r="T2583" s="14" t="s">
        <v>44</v>
      </c>
      <c r="U2583" s="22">
        <v>45805</v>
      </c>
      <c r="V2583" s="79">
        <v>45812</v>
      </c>
      <c r="W2583" s="2"/>
      <c r="X2583" s="2"/>
      <c r="Y2583" s="11" t="s">
        <v>3626</v>
      </c>
      <c r="Z2583" s="2" t="s">
        <v>36</v>
      </c>
      <c r="AA2583" s="13">
        <v>-326.69799999999998</v>
      </c>
      <c r="AB2583" s="13" t="s">
        <v>10373</v>
      </c>
    </row>
    <row r="2584" spans="1:28" ht="15" customHeight="1">
      <c r="A2584" s="2" t="s">
        <v>9535</v>
      </c>
      <c r="B2584" s="2" t="s">
        <v>368</v>
      </c>
      <c r="C2584" s="11" t="s">
        <v>3565</v>
      </c>
      <c r="D2584" s="2" t="s">
        <v>99</v>
      </c>
      <c r="E2584" s="2" t="s">
        <v>422</v>
      </c>
      <c r="F2584" s="11" t="s">
        <v>1983</v>
      </c>
      <c r="G2584" s="11" t="s">
        <v>2067</v>
      </c>
      <c r="H2584" s="2" t="s">
        <v>3540</v>
      </c>
      <c r="I2584" s="12" t="s">
        <v>1435</v>
      </c>
      <c r="J2584" s="22">
        <f>+Tabla1[[#This Row],[FECHA ENTRADA]]</f>
        <v>45805</v>
      </c>
      <c r="K2584" s="22">
        <v>45812</v>
      </c>
      <c r="L2584" s="23">
        <f>_xlfn.DAYS(Tabla1[[#This Row],[FECHA FIN ]],Tabla1[[#This Row],[FECHA INICIO]])</f>
        <v>7</v>
      </c>
      <c r="M2584" s="12"/>
      <c r="N2584" s="20"/>
      <c r="O2584" s="24">
        <f>(Tabla1[[#This Row],[COSTO FIJO ]]/30)*Tabla1[[#This Row],[TOTAL DIAS PROYECTO]]+(Tabla1[[#This Row],[COSTO TEMPORAL]])</f>
        <v>0</v>
      </c>
      <c r="P2584" s="12"/>
      <c r="Q2584" s="12">
        <f>+(Tabla1[[#This Row],[COSTO COCHE]]/30)*Tabla1[[#This Row],[TOTAL DIAS PROYECTO]]</f>
        <v>0</v>
      </c>
      <c r="R2584" s="12">
        <f>+Tabla1[[#This Row],[COSTO TOTAL ALOJAMIENTO]]+Tabla1[[#This Row],[COSTO TOTAL COCHE]]</f>
        <v>0</v>
      </c>
      <c r="S2584" s="2"/>
      <c r="T2584" s="14" t="s">
        <v>44</v>
      </c>
      <c r="U2584" s="22">
        <v>45805</v>
      </c>
      <c r="V2584" s="79">
        <v>45812</v>
      </c>
      <c r="W2584" s="2"/>
      <c r="X2584" s="2"/>
      <c r="Y2584" s="11" t="s">
        <v>3626</v>
      </c>
      <c r="Z2584" s="2" t="s">
        <v>36</v>
      </c>
      <c r="AA2584" s="13">
        <v>-326.69799999999998</v>
      </c>
      <c r="AB2584" s="13" t="s">
        <v>10373</v>
      </c>
    </row>
    <row r="2585" spans="1:28" ht="15" customHeight="1">
      <c r="A2585" s="2" t="s">
        <v>9238</v>
      </c>
      <c r="B2585" s="2" t="s">
        <v>368</v>
      </c>
      <c r="C2585" s="11" t="s">
        <v>2551</v>
      </c>
      <c r="D2585" s="2" t="s">
        <v>72</v>
      </c>
      <c r="E2585" s="2" t="s">
        <v>1458</v>
      </c>
      <c r="F2585" s="11" t="s">
        <v>3636</v>
      </c>
      <c r="G2585" t="s">
        <v>2053</v>
      </c>
      <c r="H2585" s="2" t="s">
        <v>2552</v>
      </c>
      <c r="I2585" s="12" t="s">
        <v>1288</v>
      </c>
      <c r="J2585" s="22">
        <f>+Tabla1[[#This Row],[FECHA ENTRADA]]</f>
        <v>45805</v>
      </c>
      <c r="K2585" s="22">
        <v>45836</v>
      </c>
      <c r="L2585" s="23">
        <f>_xlfn.DAYS(Tabla1[[#This Row],[FECHA FIN ]],Tabla1[[#This Row],[FECHA INICIO]])</f>
        <v>31</v>
      </c>
      <c r="M2585" s="12"/>
      <c r="N2585" s="12">
        <v>570</v>
      </c>
      <c r="O2585" s="24">
        <f>(Tabla1[[#This Row],[COSTO FIJO ]]/30)*Tabla1[[#This Row],[TOTAL DIAS PROYECTO]]+(Tabla1[[#This Row],[COSTO TEMPORAL]])</f>
        <v>589</v>
      </c>
      <c r="P2585" s="12"/>
      <c r="Q2585" s="12">
        <f>+(Tabla1[[#This Row],[COSTO COCHE]]/30)*Tabla1[[#This Row],[TOTAL DIAS PROYECTO]]</f>
        <v>0</v>
      </c>
      <c r="R2585" s="12">
        <f>+Tabla1[[#This Row],[COSTO TOTAL ALOJAMIENTO]]+Tabla1[[#This Row],[COSTO TOTAL COCHE]]</f>
        <v>589</v>
      </c>
      <c r="S2585" s="2"/>
      <c r="T2585" s="2" t="s">
        <v>44</v>
      </c>
      <c r="U2585" s="14">
        <v>45805</v>
      </c>
      <c r="V2585" s="25">
        <v>45836</v>
      </c>
      <c r="W2585" s="2"/>
      <c r="X2585" s="2"/>
      <c r="Y2585" s="150"/>
      <c r="Z2585" s="2" t="s">
        <v>36</v>
      </c>
      <c r="AA2585" s="13" t="s">
        <v>10421</v>
      </c>
      <c r="AB2585" s="13">
        <v>5113412</v>
      </c>
    </row>
    <row r="2586" spans="1:28" ht="15" customHeight="1">
      <c r="A2586" s="2" t="s">
        <v>8638</v>
      </c>
      <c r="B2586" s="2" t="s">
        <v>28</v>
      </c>
      <c r="C2586" s="11" t="s">
        <v>4109</v>
      </c>
      <c r="D2586" s="2" t="s">
        <v>749</v>
      </c>
      <c r="E2586" s="2" t="s">
        <v>288</v>
      </c>
      <c r="F2586" s="11" t="s">
        <v>3464</v>
      </c>
      <c r="G2586" t="s">
        <v>1142</v>
      </c>
      <c r="H2586" s="2" t="s">
        <v>3675</v>
      </c>
      <c r="I2586" s="10" t="s">
        <v>753</v>
      </c>
      <c r="J2586" s="22">
        <f>+Tabla1[[#This Row],[FECHA ENTRADA]]</f>
        <v>45755</v>
      </c>
      <c r="K2586" s="8">
        <v>45877</v>
      </c>
      <c r="L2586" s="13">
        <f>_xlfn.DAYS(Tabla1[[#This Row],[FECHA FIN ]],Tabla1[[#This Row],[FECHA INICIO]])</f>
        <v>122</v>
      </c>
      <c r="M2586" s="12"/>
      <c r="N2586" s="12">
        <v>625</v>
      </c>
      <c r="O2586" s="12">
        <f>(Tabla1[[#This Row],[COSTO FIJO ]]/30)*Tabla1[[#This Row],[TOTAL DIAS PROYECTO]]+(Tabla1[[#This Row],[COSTO TEMPORAL]])</f>
        <v>2541.6666666666665</v>
      </c>
      <c r="P2586" s="12"/>
      <c r="Q2586" s="12">
        <f>+(Tabla1[[#This Row],[COSTO COCHE]]/30)*Tabla1[[#This Row],[TOTAL DIAS PROYECTO]]</f>
        <v>0</v>
      </c>
      <c r="R2586" s="12">
        <f>+Tabla1[[#This Row],[COSTO TOTAL ALOJAMIENTO]]+Tabla1[[#This Row],[COSTO TOTAL COCHE]]</f>
        <v>2541.6666666666665</v>
      </c>
      <c r="S2586" s="2"/>
      <c r="T2586" s="2" t="s">
        <v>35</v>
      </c>
      <c r="U2586" s="14">
        <v>45755</v>
      </c>
      <c r="V2586" s="14">
        <v>45785</v>
      </c>
      <c r="W2586" s="26"/>
      <c r="X2586" s="2">
        <v>2</v>
      </c>
      <c r="Y2586" s="11" t="s">
        <v>1166</v>
      </c>
      <c r="Z2586" s="2" t="s">
        <v>36</v>
      </c>
      <c r="AA2586" s="13" t="s">
        <v>10362</v>
      </c>
      <c r="AB2586" s="13" t="s">
        <v>10363</v>
      </c>
    </row>
    <row r="2587" spans="1:28" ht="15" customHeight="1">
      <c r="A2587" s="2" t="s">
        <v>9663</v>
      </c>
      <c r="B2587" s="2" t="s">
        <v>28</v>
      </c>
      <c r="C2587" s="11" t="s">
        <v>4110</v>
      </c>
      <c r="D2587" s="2" t="s">
        <v>30</v>
      </c>
      <c r="E2587" s="2" t="s">
        <v>415</v>
      </c>
      <c r="F2587" s="11" t="s">
        <v>2773</v>
      </c>
      <c r="G2587" t="s">
        <v>1413</v>
      </c>
      <c r="H2587" s="2" t="s">
        <v>4111</v>
      </c>
      <c r="I2587" s="12" t="s">
        <v>800</v>
      </c>
      <c r="J2587" s="41">
        <f>+Tabla1[[#This Row],[FECHA ENTRADA]]</f>
        <v>45679</v>
      </c>
      <c r="K2587" s="8">
        <v>45837</v>
      </c>
      <c r="L2587" s="42">
        <f>_xlfn.DAYS(Tabla1[[#This Row],[FECHA FIN ]],Tabla1[[#This Row],[FECHA INICIO]])</f>
        <v>158</v>
      </c>
      <c r="M2587" s="12"/>
      <c r="N2587" s="12"/>
      <c r="O2587" s="28">
        <f>(Tabla1[[#This Row],[COSTO FIJO ]]/30)*Tabla1[[#This Row],[TOTAL DIAS PROYECTO]]+(Tabla1[[#This Row],[COSTO TEMPORAL]])</f>
        <v>0</v>
      </c>
      <c r="P2587" s="12"/>
      <c r="Q2587" s="12">
        <f>+(Tabla1[[#This Row],[COSTO COCHE]]/30)*Tabla1[[#This Row],[TOTAL DIAS PROYECTO]]</f>
        <v>0</v>
      </c>
      <c r="R2587" s="12">
        <f>+Tabla1[[#This Row],[COSTO TOTAL ALOJAMIENTO]]+Tabla1[[#This Row],[COSTO TOTAL COCHE]]</f>
        <v>0</v>
      </c>
      <c r="S2587" s="2"/>
      <c r="T2587" s="2" t="s">
        <v>35</v>
      </c>
      <c r="U2587" s="14">
        <v>45679</v>
      </c>
      <c r="V2587" s="79"/>
      <c r="W2587" s="26"/>
      <c r="X2587" s="2">
        <v>1</v>
      </c>
      <c r="Y2587" s="96">
        <v>45835</v>
      </c>
      <c r="Z2587" s="2" t="s">
        <v>36</v>
      </c>
      <c r="AA2587" s="13">
        <v>-0.37739</v>
      </c>
      <c r="AB2587" s="13" t="s">
        <v>10372</v>
      </c>
    </row>
    <row r="2588" spans="1:28" ht="15" customHeight="1">
      <c r="A2588" s="2" t="s">
        <v>9200</v>
      </c>
      <c r="B2588" s="2" t="s">
        <v>28</v>
      </c>
      <c r="C2588" s="11" t="s">
        <v>2415</v>
      </c>
      <c r="D2588" s="2" t="s">
        <v>99</v>
      </c>
      <c r="E2588" s="2" t="s">
        <v>253</v>
      </c>
      <c r="F2588" s="11" t="s">
        <v>4112</v>
      </c>
      <c r="G2588" s="21" t="s">
        <v>4113</v>
      </c>
      <c r="H2588" s="2" t="s">
        <v>1820</v>
      </c>
      <c r="I2588" s="12" t="s">
        <v>256</v>
      </c>
      <c r="J2588" s="22">
        <f>+Tabla1[[#This Row],[FECHA ENTRADA]]</f>
        <v>45760</v>
      </c>
      <c r="K2588" s="8">
        <v>45837</v>
      </c>
      <c r="L2588" s="42">
        <f>_xlfn.DAYS(Tabla1[[#This Row],[FECHA FIN ]],Tabla1[[#This Row],[FECHA INICIO]])</f>
        <v>77</v>
      </c>
      <c r="M2588" s="12"/>
      <c r="N2588" s="12"/>
      <c r="O2588" s="28">
        <f>(Tabla1[[#This Row],[COSTO FIJO ]]/30)*Tabla1[[#This Row],[TOTAL DIAS PROYECTO]]+(Tabla1[[#This Row],[COSTO TEMPORAL]])</f>
        <v>0</v>
      </c>
      <c r="P2588" s="12"/>
      <c r="Q2588" s="12">
        <f>+(Tabla1[[#This Row],[COSTO COCHE]]/30)*Tabla1[[#This Row],[TOTAL DIAS PROYECTO]]</f>
        <v>0</v>
      </c>
      <c r="R2588" s="12">
        <f>+Tabla1[[#This Row],[COSTO TOTAL ALOJAMIENTO]]+Tabla1[[#This Row],[COSTO TOTAL COCHE]]</f>
        <v>0</v>
      </c>
      <c r="S2588" s="2"/>
      <c r="T2588" s="2" t="s">
        <v>44</v>
      </c>
      <c r="U2588" s="14">
        <v>45760</v>
      </c>
      <c r="V2588" s="43">
        <v>45838</v>
      </c>
      <c r="W2588" s="26"/>
      <c r="X2588" s="2">
        <v>1</v>
      </c>
      <c r="Y2588" s="11"/>
      <c r="Z2588" s="2" t="s">
        <v>36</v>
      </c>
      <c r="AA2588" s="13" t="s">
        <v>10357</v>
      </c>
      <c r="AB2588" s="13" t="s">
        <v>10358</v>
      </c>
    </row>
    <row r="2589" spans="1:28" ht="15" customHeight="1">
      <c r="A2589" s="2" t="s">
        <v>9458</v>
      </c>
      <c r="B2589" s="2" t="s">
        <v>28</v>
      </c>
      <c r="C2589" s="11" t="s">
        <v>3247</v>
      </c>
      <c r="D2589" s="2" t="s">
        <v>30</v>
      </c>
      <c r="E2589" s="2" t="s">
        <v>253</v>
      </c>
      <c r="F2589" s="11" t="s">
        <v>4112</v>
      </c>
      <c r="G2589" s="21" t="s">
        <v>4113</v>
      </c>
      <c r="H2589" s="184" t="s">
        <v>3248</v>
      </c>
      <c r="I2589" s="47" t="s">
        <v>256</v>
      </c>
      <c r="J2589" s="22">
        <f>+Tabla1[[#This Row],[FECHA ENTRADA]]</f>
        <v>45760</v>
      </c>
      <c r="K2589" s="8">
        <v>45837</v>
      </c>
      <c r="L2589" s="42">
        <f>_xlfn.DAYS(Tabla1[[#This Row],[FECHA FIN ]],Tabla1[[#This Row],[FECHA INICIO]])</f>
        <v>77</v>
      </c>
      <c r="M2589" s="12"/>
      <c r="N2589" s="12"/>
      <c r="O2589" s="28">
        <f>(Tabla1[[#This Row],[COSTO FIJO ]]/30)*Tabla1[[#This Row],[TOTAL DIAS PROYECTO]]+(Tabla1[[#This Row],[COSTO TEMPORAL]])</f>
        <v>0</v>
      </c>
      <c r="P2589" s="12"/>
      <c r="Q2589" s="12">
        <f>+(Tabla1[[#This Row],[COSTO COCHE]]/30)*Tabla1[[#This Row],[TOTAL DIAS PROYECTO]]</f>
        <v>0</v>
      </c>
      <c r="R2589" s="12">
        <f>+Tabla1[[#This Row],[COSTO TOTAL ALOJAMIENTO]]+Tabla1[[#This Row],[COSTO TOTAL COCHE]]</f>
        <v>0</v>
      </c>
      <c r="S2589" s="2"/>
      <c r="T2589" s="2" t="s">
        <v>44</v>
      </c>
      <c r="U2589" s="14">
        <v>45760</v>
      </c>
      <c r="V2589" s="43">
        <v>45838</v>
      </c>
      <c r="W2589" s="26"/>
      <c r="X2589" s="2">
        <v>1</v>
      </c>
      <c r="Y2589" s="11"/>
      <c r="Z2589" s="2" t="s">
        <v>36</v>
      </c>
      <c r="AA2589" s="13" t="s">
        <v>10357</v>
      </c>
      <c r="AB2589" s="13" t="s">
        <v>10358</v>
      </c>
    </row>
    <row r="2590" spans="1:28" ht="15" customHeight="1">
      <c r="A2590" s="2" t="s">
        <v>9459</v>
      </c>
      <c r="B2590" s="2" t="s">
        <v>28</v>
      </c>
      <c r="C2590" s="11" t="s">
        <v>3249</v>
      </c>
      <c r="D2590" s="2" t="s">
        <v>30</v>
      </c>
      <c r="E2590" s="2" t="s">
        <v>253</v>
      </c>
      <c r="F2590" s="11" t="s">
        <v>4112</v>
      </c>
      <c r="G2590" s="21" t="s">
        <v>4113</v>
      </c>
      <c r="H2590" s="184" t="s">
        <v>3248</v>
      </c>
      <c r="I2590" s="47" t="s">
        <v>256</v>
      </c>
      <c r="J2590" s="22">
        <f>+Tabla1[[#This Row],[FECHA ENTRADA]]</f>
        <v>45760</v>
      </c>
      <c r="K2590" s="8">
        <v>45837</v>
      </c>
      <c r="L2590" s="42">
        <f>_xlfn.DAYS(Tabla1[[#This Row],[FECHA FIN ]],Tabla1[[#This Row],[FECHA INICIO]])</f>
        <v>77</v>
      </c>
      <c r="M2590" s="12"/>
      <c r="N2590" s="12"/>
      <c r="O2590" s="28">
        <f>(Tabla1[[#This Row],[COSTO FIJO ]]/30)*Tabla1[[#This Row],[TOTAL DIAS PROYECTO]]+(Tabla1[[#This Row],[COSTO TEMPORAL]])</f>
        <v>0</v>
      </c>
      <c r="P2590" s="12"/>
      <c r="Q2590" s="12">
        <f>+(Tabla1[[#This Row],[COSTO COCHE]]/30)*Tabla1[[#This Row],[TOTAL DIAS PROYECTO]]</f>
        <v>0</v>
      </c>
      <c r="R2590" s="12">
        <f>+Tabla1[[#This Row],[COSTO TOTAL ALOJAMIENTO]]+Tabla1[[#This Row],[COSTO TOTAL COCHE]]</f>
        <v>0</v>
      </c>
      <c r="S2590" s="2"/>
      <c r="T2590" s="2" t="s">
        <v>44</v>
      </c>
      <c r="U2590" s="14">
        <v>45760</v>
      </c>
      <c r="V2590" s="43">
        <v>45838</v>
      </c>
      <c r="W2590" s="26"/>
      <c r="X2590" s="2">
        <v>1</v>
      </c>
      <c r="Y2590" s="11"/>
      <c r="Z2590" s="2" t="s">
        <v>36</v>
      </c>
      <c r="AA2590" s="13" t="s">
        <v>10357</v>
      </c>
      <c r="AB2590" s="13" t="s">
        <v>10358</v>
      </c>
    </row>
    <row r="2591" spans="1:28" ht="15" customHeight="1">
      <c r="A2591" s="2" t="s">
        <v>9176</v>
      </c>
      <c r="B2591" s="2" t="s">
        <v>28</v>
      </c>
      <c r="C2591" s="11" t="s">
        <v>2326</v>
      </c>
      <c r="D2591" s="2" t="s">
        <v>99</v>
      </c>
      <c r="E2591" s="2" t="s">
        <v>253</v>
      </c>
      <c r="F2591" s="11" t="s">
        <v>1692</v>
      </c>
      <c r="G2591" s="11" t="s">
        <v>1693</v>
      </c>
      <c r="H2591" s="2" t="s">
        <v>2313</v>
      </c>
      <c r="I2591" s="12" t="s">
        <v>256</v>
      </c>
      <c r="J2591" s="22">
        <f>+Tabla1[[#This Row],[FECHA ENTRADA]]</f>
        <v>45798</v>
      </c>
      <c r="K2591" s="8">
        <v>45837</v>
      </c>
      <c r="L2591" s="23">
        <f>_xlfn.DAYS(Tabla1[[#This Row],[FECHA FIN ]],Tabla1[[#This Row],[FECHA INICIO]])</f>
        <v>39</v>
      </c>
      <c r="M2591" s="12"/>
      <c r="N2591" s="12">
        <v>438.5</v>
      </c>
      <c r="O2591" s="24">
        <f>(Tabla1[[#This Row],[COSTO FIJO ]]/30)*Tabla1[[#This Row],[TOTAL DIAS PROYECTO]]+(Tabla1[[#This Row],[COSTO TEMPORAL]])</f>
        <v>570.05000000000007</v>
      </c>
      <c r="P2591" s="12"/>
      <c r="Q2591" s="12">
        <f>+(Tabla1[[#This Row],[COSTO COCHE]]/30)*Tabla1[[#This Row],[TOTAL DIAS PROYECTO]]</f>
        <v>0</v>
      </c>
      <c r="R2591" s="12">
        <f>+Tabla1[[#This Row],[COSTO TOTAL ALOJAMIENTO]]+Tabla1[[#This Row],[COSTO TOTAL COCHE]]</f>
        <v>570.05000000000007</v>
      </c>
      <c r="S2591" s="2"/>
      <c r="T2591" s="2" t="s">
        <v>613</v>
      </c>
      <c r="U2591" s="14">
        <v>45798</v>
      </c>
      <c r="V2591" s="25"/>
      <c r="W2591" s="26"/>
      <c r="X2591" s="2">
        <v>10</v>
      </c>
      <c r="Y2591" s="11" t="s">
        <v>4114</v>
      </c>
      <c r="Z2591" s="2" t="s">
        <v>36</v>
      </c>
      <c r="AA2591" s="13" t="s">
        <v>10357</v>
      </c>
      <c r="AB2591" s="13" t="s">
        <v>10358</v>
      </c>
    </row>
    <row r="2592" spans="1:28" ht="15" customHeight="1">
      <c r="A2592" s="2" t="s">
        <v>9202</v>
      </c>
      <c r="B2592" s="2" t="s">
        <v>28</v>
      </c>
      <c r="C2592" s="11" t="s">
        <v>2419</v>
      </c>
      <c r="D2592" s="2" t="s">
        <v>30</v>
      </c>
      <c r="E2592" s="2" t="s">
        <v>151</v>
      </c>
      <c r="F2592" s="11" t="s">
        <v>4115</v>
      </c>
      <c r="G2592" s="46" t="s">
        <v>4116</v>
      </c>
      <c r="H2592" s="2" t="s">
        <v>1260</v>
      </c>
      <c r="I2592" s="12" t="s">
        <v>152</v>
      </c>
      <c r="J2592" s="41">
        <f>+Tabla1[[#This Row],[FECHA ENTRADA]]</f>
        <v>45719</v>
      </c>
      <c r="K2592" s="22">
        <v>45838</v>
      </c>
      <c r="L2592" s="42">
        <f>_xlfn.DAYS(Tabla1[[#This Row],[FECHA FIN ]],Tabla1[[#This Row],[FECHA INICIO]])</f>
        <v>119</v>
      </c>
      <c r="M2592" s="12"/>
      <c r="N2592" s="12">
        <v>330</v>
      </c>
      <c r="O2592" s="28">
        <f>(Tabla1[[#This Row],[COSTO FIJO ]]/30)*Tabla1[[#This Row],[TOTAL DIAS PROYECTO]]+(Tabla1[[#This Row],[COSTO TEMPORAL]])</f>
        <v>1309</v>
      </c>
      <c r="P2592" s="12"/>
      <c r="Q2592" s="12">
        <f>+(Tabla1[[#This Row],[COSTO COCHE]]/30)*Tabla1[[#This Row],[TOTAL DIAS PROYECTO]]</f>
        <v>0</v>
      </c>
      <c r="R2592" s="12">
        <f>+Tabla1[[#This Row],[COSTO TOTAL ALOJAMIENTO]]+Tabla1[[#This Row],[COSTO TOTAL COCHE]]</f>
        <v>1309</v>
      </c>
      <c r="S2592" s="2"/>
      <c r="T2592" s="2" t="s">
        <v>35</v>
      </c>
      <c r="U2592" s="14">
        <v>45719</v>
      </c>
      <c r="V2592" s="43"/>
      <c r="W2592" s="26"/>
      <c r="X2592" s="2">
        <v>1</v>
      </c>
      <c r="Y2592" s="11"/>
      <c r="Z2592" s="2" t="s">
        <v>36</v>
      </c>
      <c r="AA2592" s="13" t="s">
        <v>10345</v>
      </c>
      <c r="AB2592" s="13" t="s">
        <v>10346</v>
      </c>
    </row>
    <row r="2593" spans="1:28" ht="15" customHeight="1">
      <c r="A2593" s="2" t="s">
        <v>9528</v>
      </c>
      <c r="B2593" s="2" t="s">
        <v>28</v>
      </c>
      <c r="C2593" s="11" t="s">
        <v>3545</v>
      </c>
      <c r="D2593" s="2" t="s">
        <v>30</v>
      </c>
      <c r="E2593" s="2" t="s">
        <v>151</v>
      </c>
      <c r="F2593" s="11" t="s">
        <v>2962</v>
      </c>
      <c r="G2593" s="30" t="s">
        <v>2963</v>
      </c>
      <c r="H2593" s="2" t="s">
        <v>3546</v>
      </c>
      <c r="I2593" s="12" t="s">
        <v>152</v>
      </c>
      <c r="J2593" s="41">
        <f>+Tabla1[[#This Row],[FECHA ENTRADA]]</f>
        <v>45716</v>
      </c>
      <c r="K2593" s="22">
        <v>45838</v>
      </c>
      <c r="L2593" s="42">
        <f>_xlfn.DAYS(Tabla1[[#This Row],[FECHA FIN ]],Tabla1[[#This Row],[FECHA INICIO]])</f>
        <v>122</v>
      </c>
      <c r="M2593" s="12"/>
      <c r="N2593" s="12">
        <v>320</v>
      </c>
      <c r="O2593" s="28">
        <f>(Tabla1[[#This Row],[COSTO FIJO ]]/30)*Tabla1[[#This Row],[TOTAL DIAS PROYECTO]]+(Tabla1[[#This Row],[COSTO TEMPORAL]])</f>
        <v>1301.3333333333333</v>
      </c>
      <c r="P2593" s="12"/>
      <c r="Q2593" s="12">
        <f>+(Tabla1[[#This Row],[COSTO COCHE]]/30)*Tabla1[[#This Row],[TOTAL DIAS PROYECTO]]</f>
        <v>0</v>
      </c>
      <c r="R2593" s="12">
        <f>+Tabla1[[#This Row],[COSTO TOTAL ALOJAMIENTO]]+Tabla1[[#This Row],[COSTO TOTAL COCHE]]</f>
        <v>1301.3333333333333</v>
      </c>
      <c r="S2593" s="2"/>
      <c r="T2593" s="2" t="s">
        <v>35</v>
      </c>
      <c r="U2593" s="14">
        <v>45716</v>
      </c>
      <c r="V2593" s="43"/>
      <c r="W2593" s="26"/>
      <c r="X2593" s="2">
        <v>1</v>
      </c>
      <c r="Y2593" s="11"/>
      <c r="Z2593" s="2" t="s">
        <v>36</v>
      </c>
      <c r="AA2593" s="13" t="s">
        <v>10345</v>
      </c>
      <c r="AB2593" s="13" t="s">
        <v>10346</v>
      </c>
    </row>
    <row r="2594" spans="1:28" ht="15" customHeight="1">
      <c r="A2594" s="2" t="s">
        <v>9350</v>
      </c>
      <c r="B2594" s="2" t="s">
        <v>28</v>
      </c>
      <c r="C2594" s="31" t="s">
        <v>2907</v>
      </c>
      <c r="D2594" s="2" t="s">
        <v>99</v>
      </c>
      <c r="E2594" s="2" t="s">
        <v>415</v>
      </c>
      <c r="F2594" s="11" t="s">
        <v>2773</v>
      </c>
      <c r="G2594" s="49" t="s">
        <v>1413</v>
      </c>
      <c r="H2594" s="2" t="s">
        <v>4063</v>
      </c>
      <c r="I2594" s="12" t="s">
        <v>800</v>
      </c>
      <c r="J2594" s="22">
        <f>+Tabla1[[#This Row],[FECHA ENTRADA]]</f>
        <v>45829</v>
      </c>
      <c r="K2594" s="22">
        <v>45838</v>
      </c>
      <c r="L2594" s="23">
        <f>_xlfn.DAYS(Tabla1[[#This Row],[FECHA FIN ]],Tabla1[[#This Row],[FECHA INICIO]])</f>
        <v>9</v>
      </c>
      <c r="M2594" s="12"/>
      <c r="N2594" s="12">
        <v>412.5</v>
      </c>
      <c r="O2594" s="24">
        <f>(Tabla1[[#This Row],[COSTO FIJO ]]/30)*Tabla1[[#This Row],[TOTAL DIAS PROYECTO]]+(Tabla1[[#This Row],[COSTO TEMPORAL]])</f>
        <v>123.75</v>
      </c>
      <c r="P2594" s="12"/>
      <c r="Q2594" s="12">
        <f>+(Tabla1[[#This Row],[COSTO COCHE]]/30)*Tabla1[[#This Row],[TOTAL DIAS PROYECTO]]</f>
        <v>0</v>
      </c>
      <c r="R2594" s="12">
        <f>+Tabla1[[#This Row],[COSTO TOTAL ALOJAMIENTO]]+Tabla1[[#This Row],[COSTO TOTAL COCHE]]</f>
        <v>123.75</v>
      </c>
      <c r="S2594" s="2"/>
      <c r="T2594" s="14" t="s">
        <v>35</v>
      </c>
      <c r="U2594" s="14">
        <v>45829</v>
      </c>
      <c r="V2594" s="25"/>
      <c r="W2594" s="2"/>
      <c r="X2594" s="2">
        <v>1</v>
      </c>
      <c r="Y2594" s="11"/>
      <c r="Z2594" s="2" t="s">
        <v>36</v>
      </c>
      <c r="AA2594" s="13">
        <v>-0.37739</v>
      </c>
      <c r="AB2594" s="13" t="s">
        <v>10372</v>
      </c>
    </row>
    <row r="2595" spans="1:28" ht="15" customHeight="1">
      <c r="A2595" s="2" t="s">
        <v>9551</v>
      </c>
      <c r="B2595" s="2" t="s">
        <v>368</v>
      </c>
      <c r="C2595" s="11" t="s">
        <v>3598</v>
      </c>
      <c r="D2595" s="2" t="s">
        <v>99</v>
      </c>
      <c r="E2595" s="2" t="s">
        <v>422</v>
      </c>
      <c r="F2595" s="11" t="s">
        <v>1983</v>
      </c>
      <c r="G2595" s="11" t="s">
        <v>2067</v>
      </c>
      <c r="H2595" s="2" t="s">
        <v>3540</v>
      </c>
      <c r="I2595" s="12" t="s">
        <v>1435</v>
      </c>
      <c r="J2595" s="22">
        <f>+Tabla1[[#This Row],[FECHA ENTRADA]]</f>
        <v>45805</v>
      </c>
      <c r="K2595" s="22">
        <v>45812</v>
      </c>
      <c r="L2595" s="23">
        <f>_xlfn.DAYS(Tabla1[[#This Row],[FECHA FIN ]],Tabla1[[#This Row],[FECHA INICIO]])</f>
        <v>7</v>
      </c>
      <c r="M2595" s="12"/>
      <c r="N2595" s="20"/>
      <c r="O2595" s="24">
        <f>(Tabla1[[#This Row],[COSTO FIJO ]]/30)*Tabla1[[#This Row],[TOTAL DIAS PROYECTO]]+(Tabla1[[#This Row],[COSTO TEMPORAL]])</f>
        <v>0</v>
      </c>
      <c r="P2595" s="12"/>
      <c r="Q2595" s="12">
        <f>+(Tabla1[[#This Row],[COSTO COCHE]]/30)*Tabla1[[#This Row],[TOTAL DIAS PROYECTO]]</f>
        <v>0</v>
      </c>
      <c r="R2595" s="12">
        <f>+Tabla1[[#This Row],[COSTO TOTAL ALOJAMIENTO]]+Tabla1[[#This Row],[COSTO TOTAL COCHE]]</f>
        <v>0</v>
      </c>
      <c r="S2595" s="2"/>
      <c r="T2595" s="14" t="s">
        <v>44</v>
      </c>
      <c r="U2595" s="22">
        <v>45805</v>
      </c>
      <c r="V2595" s="79">
        <v>45812</v>
      </c>
      <c r="W2595" s="2"/>
      <c r="X2595" s="2"/>
      <c r="Y2595" s="11" t="s">
        <v>3626</v>
      </c>
      <c r="Z2595" s="2" t="s">
        <v>36</v>
      </c>
      <c r="AA2595" s="13">
        <v>-326.69799999999998</v>
      </c>
      <c r="AB2595" s="13" t="s">
        <v>10373</v>
      </c>
    </row>
    <row r="2596" spans="1:28" ht="15" customHeight="1">
      <c r="A2596" s="2" t="s">
        <v>9377</v>
      </c>
      <c r="B2596" s="2" t="s">
        <v>28</v>
      </c>
      <c r="C2596" s="11" t="s">
        <v>2977</v>
      </c>
      <c r="D2596" s="2" t="s">
        <v>99</v>
      </c>
      <c r="E2596" s="2" t="s">
        <v>55</v>
      </c>
      <c r="F2596" s="11" t="s">
        <v>1653</v>
      </c>
      <c r="G2596" s="11" t="s">
        <v>1440</v>
      </c>
      <c r="H2596" s="2" t="s">
        <v>1709</v>
      </c>
      <c r="I2596" s="12" t="s">
        <v>236</v>
      </c>
      <c r="J2596" s="41">
        <f>+Tabla1[[#This Row],[FECHA ENTRADA]]</f>
        <v>45724</v>
      </c>
      <c r="K2596" s="22">
        <v>45838</v>
      </c>
      <c r="L2596" s="42">
        <f>_xlfn.DAYS(Tabla1[[#This Row],[FECHA FIN ]],Tabla1[[#This Row],[FECHA INICIO]])</f>
        <v>114</v>
      </c>
      <c r="M2596" s="12"/>
      <c r="N2596" s="12">
        <v>500</v>
      </c>
      <c r="O2596" s="28">
        <f>(Tabla1[[#This Row],[COSTO FIJO ]]/30)*Tabla1[[#This Row],[TOTAL DIAS PROYECTO]]+(Tabla1[[#This Row],[COSTO TEMPORAL]])</f>
        <v>1900.0000000000002</v>
      </c>
      <c r="P2596" s="12"/>
      <c r="Q2596" s="12">
        <f>+(Tabla1[[#This Row],[COSTO COCHE]]/30)*Tabla1[[#This Row],[TOTAL DIAS PROYECTO]]</f>
        <v>0</v>
      </c>
      <c r="R2596" s="12">
        <f>+Tabla1[[#This Row],[COSTO TOTAL ALOJAMIENTO]]+Tabla1[[#This Row],[COSTO TOTAL COCHE]]</f>
        <v>1900.0000000000002</v>
      </c>
      <c r="S2596" s="2"/>
      <c r="T2596" s="2" t="s">
        <v>35</v>
      </c>
      <c r="U2596" s="14">
        <v>45724</v>
      </c>
      <c r="V2596" s="43"/>
      <c r="W2596" s="26"/>
      <c r="X2596" s="2">
        <v>1</v>
      </c>
      <c r="Y2596" s="11"/>
      <c r="Z2596" s="2" t="s">
        <v>36</v>
      </c>
      <c r="AA2596" s="13" t="s">
        <v>10327</v>
      </c>
      <c r="AB2596" s="13" t="s">
        <v>10328</v>
      </c>
    </row>
    <row r="2597" spans="1:28" ht="15" customHeight="1">
      <c r="A2597" s="2" t="s">
        <v>9664</v>
      </c>
      <c r="B2597" s="2" t="s">
        <v>28</v>
      </c>
      <c r="C2597" s="11" t="s">
        <v>4117</v>
      </c>
      <c r="D2597" s="2" t="s">
        <v>99</v>
      </c>
      <c r="E2597" s="2" t="s">
        <v>55</v>
      </c>
      <c r="F2597" s="11" t="s">
        <v>1653</v>
      </c>
      <c r="G2597" s="11" t="s">
        <v>1440</v>
      </c>
      <c r="H2597" s="2" t="s">
        <v>4118</v>
      </c>
      <c r="I2597" s="12" t="s">
        <v>236</v>
      </c>
      <c r="J2597" s="22">
        <f>+Tabla1[[#This Row],[FECHA ENTRADA]]</f>
        <v>45760</v>
      </c>
      <c r="K2597" s="22">
        <v>45838</v>
      </c>
      <c r="L2597" s="13">
        <f>_xlfn.DAYS(Tabla1[[#This Row],[FECHA FIN ]],Tabla1[[#This Row],[FECHA INICIO]])</f>
        <v>78</v>
      </c>
      <c r="M2597" s="12">
        <v>500</v>
      </c>
      <c r="N2597" s="28"/>
      <c r="O2597" s="12">
        <f>(Tabla1[[#This Row],[COSTO FIJO ]]/30)*Tabla1[[#This Row],[TOTAL DIAS PROYECTO]]+(Tabla1[[#This Row],[COSTO TEMPORAL]])</f>
        <v>500</v>
      </c>
      <c r="P2597" s="12"/>
      <c r="Q2597" s="12">
        <f>+(Tabla1[[#This Row],[COSTO COCHE]]/30)*Tabla1[[#This Row],[TOTAL DIAS PROYECTO]]</f>
        <v>0</v>
      </c>
      <c r="R2597" s="12">
        <f>+Tabla1[[#This Row],[COSTO TOTAL ALOJAMIENTO]]+Tabla1[[#This Row],[COSTO TOTAL COCHE]]</f>
        <v>500</v>
      </c>
      <c r="S2597" s="2"/>
      <c r="T2597" s="2" t="s">
        <v>35</v>
      </c>
      <c r="U2597" s="14">
        <v>45760</v>
      </c>
      <c r="V2597" s="14"/>
      <c r="W2597" s="15"/>
      <c r="X2597" s="16">
        <v>1</v>
      </c>
      <c r="Y2597" s="31"/>
      <c r="Z2597" s="2" t="s">
        <v>36</v>
      </c>
      <c r="AA2597" s="13" t="s">
        <v>10327</v>
      </c>
      <c r="AB2597" s="13" t="s">
        <v>10328</v>
      </c>
    </row>
    <row r="2598" spans="1:28" ht="15" customHeight="1">
      <c r="A2598" s="2" t="s">
        <v>8642</v>
      </c>
      <c r="B2598" s="2" t="s">
        <v>978</v>
      </c>
      <c r="C2598" s="11" t="s">
        <v>4119</v>
      </c>
      <c r="D2598" s="2" t="s">
        <v>99</v>
      </c>
      <c r="E2598" s="2" t="s">
        <v>55</v>
      </c>
      <c r="F2598" s="11" t="s">
        <v>2127</v>
      </c>
      <c r="G2598" s="46" t="s">
        <v>2128</v>
      </c>
      <c r="H2598" s="2" t="s">
        <v>2092</v>
      </c>
      <c r="I2598" s="12" t="s">
        <v>4120</v>
      </c>
      <c r="J2598" s="41">
        <f>+Tabla1[[#This Row],[FECHA ENTRADA]]</f>
        <v>45837</v>
      </c>
      <c r="K2598" s="41">
        <v>45838</v>
      </c>
      <c r="L2598" s="42">
        <f>_xlfn.DAYS(Tabla1[[#This Row],[FECHA FIN ]],Tabla1[[#This Row],[FECHA INICIO]])</f>
        <v>1</v>
      </c>
      <c r="M2598" s="12"/>
      <c r="N2598" s="28">
        <v>400</v>
      </c>
      <c r="O2598" s="28">
        <f>(Tabla1[[#This Row],[COSTO FIJO ]]/30)*Tabla1[[#This Row],[TOTAL DIAS PROYECTO]]+(Tabla1[[#This Row],[COSTO TEMPORAL]])</f>
        <v>13.333333333333334</v>
      </c>
      <c r="P2598" s="12"/>
      <c r="Q2598" s="12">
        <f>+(Tabla1[[#This Row],[COSTO COCHE]]/30)*Tabla1[[#This Row],[TOTAL DIAS PROYECTO]]</f>
        <v>0</v>
      </c>
      <c r="R2598" s="12">
        <f>+Tabla1[[#This Row],[COSTO TOTAL ALOJAMIENTO]]+Tabla1[[#This Row],[COSTO TOTAL COCHE]]</f>
        <v>13.333333333333334</v>
      </c>
      <c r="S2598" s="2"/>
      <c r="T2598" s="14" t="s">
        <v>35</v>
      </c>
      <c r="U2598" s="14">
        <v>45837</v>
      </c>
      <c r="V2598" s="43"/>
      <c r="W2598" s="2"/>
      <c r="X2598" s="2">
        <v>1</v>
      </c>
      <c r="Y2598" s="11" t="s">
        <v>4121</v>
      </c>
      <c r="Z2598" s="2" t="s">
        <v>36</v>
      </c>
      <c r="AA2598" s="13" t="s">
        <v>10327</v>
      </c>
      <c r="AB2598" s="13" t="s">
        <v>10328</v>
      </c>
    </row>
    <row r="2599" spans="1:28" ht="15" customHeight="1">
      <c r="A2599" s="2" t="s">
        <v>8638</v>
      </c>
      <c r="B2599" s="2" t="s">
        <v>28</v>
      </c>
      <c r="C2599" s="86" t="s">
        <v>4122</v>
      </c>
      <c r="D2599" s="2" t="s">
        <v>30</v>
      </c>
      <c r="E2599" s="2" t="s">
        <v>31</v>
      </c>
      <c r="F2599" s="11"/>
      <c r="G2599" s="11"/>
      <c r="H2599" s="2">
        <v>2023</v>
      </c>
      <c r="I2599" s="2" t="s">
        <v>718</v>
      </c>
      <c r="J2599" s="8">
        <v>45122</v>
      </c>
      <c r="K2599" s="8">
        <v>45838</v>
      </c>
      <c r="L2599" s="13">
        <f>_xlfn.DAYS(Tabla1[[#This Row],[FECHA FIN ]],Tabla1[[#This Row],[FECHA INICIO]])</f>
        <v>716</v>
      </c>
      <c r="M2599" s="2"/>
      <c r="N2599" s="12">
        <v>300</v>
      </c>
      <c r="O2599" s="12">
        <f>(Tabla1[[#This Row],[COSTO FIJO ]]/30)*Tabla1[[#This Row],[TOTAL DIAS PROYECTO]]+(Tabla1[[#This Row],[COSTO TEMPORAL]])</f>
        <v>7160</v>
      </c>
      <c r="P2599" s="12"/>
      <c r="Q2599" s="12">
        <f>+(Tabla1[[#This Row],[COSTO COCHE]]/30)*Tabla1[[#This Row],[TOTAL DIAS PROYECTO]]</f>
        <v>0</v>
      </c>
      <c r="R2599" s="12">
        <f>+Tabla1[[#This Row],[COSTO TOTAL ALOJAMIENTO]]+Tabla1[[#This Row],[COSTO TOTAL COCHE]]</f>
        <v>7160</v>
      </c>
      <c r="S2599" s="2"/>
      <c r="T2599" s="2" t="s">
        <v>58</v>
      </c>
      <c r="U2599" s="14"/>
      <c r="V2599" s="14"/>
      <c r="W2599" s="2"/>
      <c r="X2599" s="2"/>
      <c r="Y2599" s="11" t="s">
        <v>4123</v>
      </c>
      <c r="Z2599" s="2" t="s">
        <v>36</v>
      </c>
      <c r="AA2599" s="13" t="s">
        <v>10323</v>
      </c>
      <c r="AB2599" s="13" t="s">
        <v>10324</v>
      </c>
    </row>
    <row r="2600" spans="1:28" ht="15" customHeight="1">
      <c r="A2600" s="2" t="s">
        <v>8642</v>
      </c>
      <c r="B2600" s="2" t="s">
        <v>368</v>
      </c>
      <c r="C2600" s="11" t="s">
        <v>3469</v>
      </c>
      <c r="D2600" s="2" t="s">
        <v>72</v>
      </c>
      <c r="E2600" s="2" t="s">
        <v>1458</v>
      </c>
      <c r="F2600" s="11"/>
      <c r="G2600" s="46"/>
      <c r="H2600" s="2" t="s">
        <v>3470</v>
      </c>
      <c r="I2600" s="12" t="s">
        <v>1288</v>
      </c>
      <c r="J2600" s="41">
        <f>+Tabla1[[#This Row],[FECHA ENTRADA]]</f>
        <v>45780</v>
      </c>
      <c r="K2600" s="22">
        <v>45838</v>
      </c>
      <c r="L2600" s="42">
        <f>_xlfn.DAYS(Tabla1[[#This Row],[FECHA FIN ]],Tabla1[[#This Row],[FECHA INICIO]])</f>
        <v>58</v>
      </c>
      <c r="M2600" s="12"/>
      <c r="N2600" s="12">
        <v>300</v>
      </c>
      <c r="O2600" s="28">
        <f>(Tabla1[[#This Row],[COSTO FIJO ]]/30)*Tabla1[[#This Row],[TOTAL DIAS PROYECTO]]+(Tabla1[[#This Row],[COSTO TEMPORAL]])</f>
        <v>580</v>
      </c>
      <c r="P2600" s="12"/>
      <c r="Q2600" s="12">
        <f>+(Tabla1[[#This Row],[COSTO COCHE]]/30)*Tabla1[[#This Row],[TOTAL DIAS PROYECTO]]</f>
        <v>0</v>
      </c>
      <c r="R2600" s="12">
        <f>+Tabla1[[#This Row],[COSTO TOTAL ALOJAMIENTO]]+Tabla1[[#This Row],[COSTO TOTAL COCHE]]</f>
        <v>580</v>
      </c>
      <c r="S2600" s="2"/>
      <c r="T2600" s="14" t="s">
        <v>58</v>
      </c>
      <c r="U2600" s="14">
        <v>45780</v>
      </c>
      <c r="V2600" s="75"/>
      <c r="W2600" s="2"/>
      <c r="X2600" s="2"/>
      <c r="Y2600" s="11"/>
      <c r="Z2600" s="2" t="s">
        <v>36</v>
      </c>
      <c r="AA2600" s="13" t="s">
        <v>10421</v>
      </c>
      <c r="AB2600" s="13">
        <v>5113412</v>
      </c>
    </row>
    <row r="2601" spans="1:28" ht="15" customHeight="1">
      <c r="A2601" s="2" t="s">
        <v>8783</v>
      </c>
      <c r="B2601" s="2" t="s">
        <v>368</v>
      </c>
      <c r="C2601" s="11" t="s">
        <v>748</v>
      </c>
      <c r="D2601" s="2" t="s">
        <v>30</v>
      </c>
      <c r="E2601" s="2" t="s">
        <v>855</v>
      </c>
      <c r="F2601" s="11"/>
      <c r="G2601" s="49"/>
      <c r="H2601" s="2" t="s">
        <v>1287</v>
      </c>
      <c r="I2601" s="12" t="s">
        <v>1288</v>
      </c>
      <c r="J2601" s="22">
        <f>+Tabla1[[#This Row],[FECHA ENTRADA]]</f>
        <v>45778</v>
      </c>
      <c r="K2601" s="8">
        <v>45838</v>
      </c>
      <c r="L2601" s="23">
        <f>_xlfn.DAYS(Tabla1[[#This Row],[FECHA FIN ]],Tabla1[[#This Row],[FECHA INICIO]])</f>
        <v>60</v>
      </c>
      <c r="M2601" s="12"/>
      <c r="N2601" s="12">
        <v>300</v>
      </c>
      <c r="O2601" s="24">
        <f>(Tabla1[[#This Row],[COSTO FIJO ]]/30)*Tabla1[[#This Row],[TOTAL DIAS PROYECTO]]+(Tabla1[[#This Row],[COSTO TEMPORAL]])</f>
        <v>600</v>
      </c>
      <c r="P2601" s="12">
        <v>83.333333333333329</v>
      </c>
      <c r="Q2601" s="12">
        <f>+(Tabla1[[#This Row],[COSTO COCHE]]/30)*Tabla1[[#This Row],[TOTAL DIAS PROYECTO]]</f>
        <v>166.66666666666666</v>
      </c>
      <c r="R2601" s="12">
        <f>+Tabla1[[#This Row],[COSTO TOTAL ALOJAMIENTO]]+Tabla1[[#This Row],[COSTO TOTAL COCHE]]</f>
        <v>766.66666666666663</v>
      </c>
      <c r="S2601" s="2"/>
      <c r="T2601" s="2" t="s">
        <v>58</v>
      </c>
      <c r="U2601" s="14">
        <v>45778</v>
      </c>
      <c r="V2601" s="25"/>
      <c r="W2601" s="26"/>
      <c r="X2601" s="2"/>
      <c r="Y2601" s="11"/>
      <c r="Z2601" s="2" t="s">
        <v>36</v>
      </c>
      <c r="AA2601" s="13" t="s">
        <v>10401</v>
      </c>
      <c r="AB2601" s="13" t="s">
        <v>10402</v>
      </c>
    </row>
    <row r="2602" spans="1:28" ht="15" customHeight="1">
      <c r="A2602" s="2" t="s">
        <v>9287</v>
      </c>
      <c r="B2602" s="2" t="s">
        <v>28</v>
      </c>
      <c r="C2602" s="31" t="s">
        <v>2701</v>
      </c>
      <c r="D2602" s="2" t="s">
        <v>30</v>
      </c>
      <c r="E2602" s="2" t="s">
        <v>626</v>
      </c>
      <c r="F2602" s="11" t="s">
        <v>1408</v>
      </c>
      <c r="G2602" s="146" t="s">
        <v>1409</v>
      </c>
      <c r="H2602" s="2" t="s">
        <v>3456</v>
      </c>
      <c r="I2602" s="12" t="s">
        <v>570</v>
      </c>
      <c r="J2602" s="22">
        <f>+Tabla1[[#This Row],[FECHA ENTRADA]]</f>
        <v>45802</v>
      </c>
      <c r="K2602" s="22">
        <v>45838</v>
      </c>
      <c r="L2602" s="23">
        <f>_xlfn.DAYS(Tabla1[[#This Row],[FECHA FIN ]],Tabla1[[#This Row],[FECHA INICIO]])</f>
        <v>36</v>
      </c>
      <c r="M2602" s="12"/>
      <c r="N2602" s="12"/>
      <c r="O2602" s="24">
        <f>(Tabla1[[#This Row],[COSTO FIJO ]]/30)*Tabla1[[#This Row],[TOTAL DIAS PROYECTO]]+(Tabla1[[#This Row],[COSTO TEMPORAL]])</f>
        <v>0</v>
      </c>
      <c r="P2602" s="12"/>
      <c r="Q2602" s="12">
        <f>+(Tabla1[[#This Row],[COSTO COCHE]]/30)*Tabla1[[#This Row],[TOTAL DIAS PROYECTO]]</f>
        <v>0</v>
      </c>
      <c r="R2602" s="12">
        <f>+Tabla1[[#This Row],[COSTO TOTAL ALOJAMIENTO]]+Tabla1[[#This Row],[COSTO TOTAL COCHE]]</f>
        <v>0</v>
      </c>
      <c r="S2602" s="2"/>
      <c r="T2602" s="2" t="s">
        <v>35</v>
      </c>
      <c r="U2602" s="14">
        <v>45802</v>
      </c>
      <c r="V2602" s="25"/>
      <c r="W2602" s="26"/>
      <c r="X2602" s="2">
        <v>5</v>
      </c>
      <c r="Y2602" s="11" t="s">
        <v>4124</v>
      </c>
      <c r="Z2602" s="2" t="s">
        <v>36</v>
      </c>
      <c r="AA2602" s="13" t="s">
        <v>10385</v>
      </c>
      <c r="AB2602" s="13" t="s">
        <v>10386</v>
      </c>
    </row>
    <row r="2603" spans="1:28" ht="15" customHeight="1">
      <c r="A2603" s="2" t="s">
        <v>9555</v>
      </c>
      <c r="B2603" s="2" t="s">
        <v>368</v>
      </c>
      <c r="C2603" s="11" t="s">
        <v>3604</v>
      </c>
      <c r="D2603" s="2" t="s">
        <v>99</v>
      </c>
      <c r="E2603" s="2" t="s">
        <v>422</v>
      </c>
      <c r="F2603" s="11" t="s">
        <v>1983</v>
      </c>
      <c r="G2603" s="11" t="s">
        <v>2067</v>
      </c>
      <c r="H2603" s="2" t="s">
        <v>3540</v>
      </c>
      <c r="I2603" s="12" t="s">
        <v>1435</v>
      </c>
      <c r="J2603" s="22">
        <f>+Tabla1[[#This Row],[FECHA ENTRADA]]</f>
        <v>45805</v>
      </c>
      <c r="K2603" s="22">
        <v>45812</v>
      </c>
      <c r="L2603" s="23">
        <f>_xlfn.DAYS(Tabla1[[#This Row],[FECHA FIN ]],Tabla1[[#This Row],[FECHA INICIO]])</f>
        <v>7</v>
      </c>
      <c r="M2603" s="12"/>
      <c r="N2603" s="20"/>
      <c r="O2603" s="24">
        <f>(Tabla1[[#This Row],[COSTO FIJO ]]/30)*Tabla1[[#This Row],[TOTAL DIAS PROYECTO]]+(Tabla1[[#This Row],[COSTO TEMPORAL]])</f>
        <v>0</v>
      </c>
      <c r="P2603" s="12"/>
      <c r="Q2603" s="12">
        <f>+(Tabla1[[#This Row],[COSTO COCHE]]/30)*Tabla1[[#This Row],[TOTAL DIAS PROYECTO]]</f>
        <v>0</v>
      </c>
      <c r="R2603" s="12">
        <f>+Tabla1[[#This Row],[COSTO TOTAL ALOJAMIENTO]]+Tabla1[[#This Row],[COSTO TOTAL COCHE]]</f>
        <v>0</v>
      </c>
      <c r="S2603" s="2"/>
      <c r="T2603" s="14" t="s">
        <v>44</v>
      </c>
      <c r="U2603" s="22">
        <v>45805</v>
      </c>
      <c r="V2603" s="79">
        <v>45812</v>
      </c>
      <c r="W2603" s="2"/>
      <c r="X2603" s="2"/>
      <c r="Y2603" s="11" t="s">
        <v>3626</v>
      </c>
      <c r="Z2603" s="2" t="s">
        <v>36</v>
      </c>
      <c r="AA2603" s="13">
        <v>-326.69799999999998</v>
      </c>
      <c r="AB2603" s="13" t="s">
        <v>10373</v>
      </c>
    </row>
    <row r="2604" spans="1:28" ht="15" customHeight="1">
      <c r="A2604" s="2" t="s">
        <v>9665</v>
      </c>
      <c r="B2604" s="2" t="s">
        <v>368</v>
      </c>
      <c r="C2604" s="11" t="s">
        <v>4125</v>
      </c>
      <c r="D2604" s="2" t="s">
        <v>30</v>
      </c>
      <c r="E2604" s="2" t="s">
        <v>55</v>
      </c>
      <c r="F2604" s="11" t="s">
        <v>1439</v>
      </c>
      <c r="G2604" s="49" t="s">
        <v>1440</v>
      </c>
      <c r="H2604" s="2" t="s">
        <v>4126</v>
      </c>
      <c r="I2604" s="12" t="s">
        <v>4120</v>
      </c>
      <c r="J2604" s="22">
        <f>+Tabla1[[#This Row],[FECHA ENTRADA]]</f>
        <v>45811</v>
      </c>
      <c r="K2604" s="22">
        <v>45838</v>
      </c>
      <c r="L2604" s="23">
        <f>_xlfn.DAYS(Tabla1[[#This Row],[FECHA FIN ]],Tabla1[[#This Row],[FECHA INICIO]])</f>
        <v>27</v>
      </c>
      <c r="M2604" s="12"/>
      <c r="N2604" s="12"/>
      <c r="O2604" s="24">
        <f>(Tabla1[[#This Row],[COSTO FIJO ]]/30)*Tabla1[[#This Row],[TOTAL DIAS PROYECTO]]+(Tabla1[[#This Row],[COSTO TEMPORAL]])</f>
        <v>0</v>
      </c>
      <c r="P2604" s="12"/>
      <c r="Q2604" s="12">
        <f>+(Tabla1[[#This Row],[COSTO COCHE]]/30)*Tabla1[[#This Row],[TOTAL DIAS PROYECTO]]</f>
        <v>0</v>
      </c>
      <c r="R2604" s="12">
        <f>+Tabla1[[#This Row],[COSTO TOTAL ALOJAMIENTO]]+Tabla1[[#This Row],[COSTO TOTAL COCHE]]</f>
        <v>0</v>
      </c>
      <c r="S2604" s="2"/>
      <c r="T2604" s="14" t="s">
        <v>44</v>
      </c>
      <c r="U2604" s="14">
        <v>45811</v>
      </c>
      <c r="V2604" s="79">
        <v>45838</v>
      </c>
      <c r="W2604" s="2"/>
      <c r="X2604" s="2">
        <v>20</v>
      </c>
      <c r="Y2604" s="11" t="s">
        <v>4127</v>
      </c>
      <c r="Z2604" s="2" t="s">
        <v>36</v>
      </c>
      <c r="AA2604" s="13" t="s">
        <v>10327</v>
      </c>
      <c r="AB2604" s="13" t="s">
        <v>10328</v>
      </c>
    </row>
    <row r="2605" spans="1:28" ht="15" customHeight="1">
      <c r="A2605" s="2" t="s">
        <v>9542</v>
      </c>
      <c r="B2605" s="2" t="s">
        <v>368</v>
      </c>
      <c r="C2605" s="11" t="s">
        <v>3582</v>
      </c>
      <c r="D2605" s="2" t="s">
        <v>30</v>
      </c>
      <c r="E2605" s="2" t="s">
        <v>55</v>
      </c>
      <c r="F2605" s="11" t="s">
        <v>1439</v>
      </c>
      <c r="G2605" s="49" t="s">
        <v>1440</v>
      </c>
      <c r="H2605" s="2" t="s">
        <v>4126</v>
      </c>
      <c r="I2605" s="12" t="s">
        <v>4120</v>
      </c>
      <c r="J2605" s="22">
        <f>+Tabla1[[#This Row],[FECHA ENTRADA]]</f>
        <v>45811</v>
      </c>
      <c r="K2605" s="22">
        <v>45838</v>
      </c>
      <c r="L2605" s="23">
        <f>_xlfn.DAYS(Tabla1[[#This Row],[FECHA FIN ]],Tabla1[[#This Row],[FECHA INICIO]])</f>
        <v>27</v>
      </c>
      <c r="M2605" s="12"/>
      <c r="N2605" s="12"/>
      <c r="O2605" s="24">
        <f>(Tabla1[[#This Row],[COSTO FIJO ]]/30)*Tabla1[[#This Row],[TOTAL DIAS PROYECTO]]+(Tabla1[[#This Row],[COSTO TEMPORAL]])</f>
        <v>0</v>
      </c>
      <c r="P2605" s="12"/>
      <c r="Q2605" s="12">
        <f>+(Tabla1[[#This Row],[COSTO COCHE]]/30)*Tabla1[[#This Row],[TOTAL DIAS PROYECTO]]</f>
        <v>0</v>
      </c>
      <c r="R2605" s="12">
        <f>+Tabla1[[#This Row],[COSTO TOTAL ALOJAMIENTO]]+Tabla1[[#This Row],[COSTO TOTAL COCHE]]</f>
        <v>0</v>
      </c>
      <c r="S2605" s="2"/>
      <c r="T2605" s="14" t="s">
        <v>44</v>
      </c>
      <c r="U2605" s="14">
        <v>45811</v>
      </c>
      <c r="V2605" s="79">
        <v>45838</v>
      </c>
      <c r="W2605" s="2"/>
      <c r="X2605" s="2">
        <v>20</v>
      </c>
      <c r="Y2605" s="11" t="s">
        <v>4127</v>
      </c>
      <c r="Z2605" s="2" t="s">
        <v>36</v>
      </c>
      <c r="AA2605" s="13" t="s">
        <v>10327</v>
      </c>
      <c r="AB2605" s="13" t="s">
        <v>10328</v>
      </c>
    </row>
    <row r="2606" spans="1:28" ht="15" customHeight="1">
      <c r="A2606" s="2" t="s">
        <v>9551</v>
      </c>
      <c r="B2606" s="2" t="s">
        <v>368</v>
      </c>
      <c r="C2606" s="11" t="s">
        <v>3598</v>
      </c>
      <c r="D2606" s="2" t="s">
        <v>30</v>
      </c>
      <c r="E2606" s="2" t="s">
        <v>55</v>
      </c>
      <c r="F2606" s="11" t="s">
        <v>1439</v>
      </c>
      <c r="G2606" s="46" t="s">
        <v>1440</v>
      </c>
      <c r="H2606" s="2" t="s">
        <v>4126</v>
      </c>
      <c r="I2606" s="12" t="s">
        <v>4120</v>
      </c>
      <c r="J2606" s="22">
        <f>+Tabla1[[#This Row],[FECHA ENTRADA]]</f>
        <v>45811</v>
      </c>
      <c r="K2606" s="22">
        <v>45838</v>
      </c>
      <c r="L2606" s="23">
        <f>_xlfn.DAYS(Tabla1[[#This Row],[FECHA FIN ]],Tabla1[[#This Row],[FECHA INICIO]])</f>
        <v>27</v>
      </c>
      <c r="M2606" s="12"/>
      <c r="N2606" s="12"/>
      <c r="O2606" s="24">
        <f>(Tabla1[[#This Row],[COSTO FIJO ]]/30)*Tabla1[[#This Row],[TOTAL DIAS PROYECTO]]+(Tabla1[[#This Row],[COSTO TEMPORAL]])</f>
        <v>0</v>
      </c>
      <c r="P2606" s="12"/>
      <c r="Q2606" s="12">
        <f>+(Tabla1[[#This Row],[COSTO COCHE]]/30)*Tabla1[[#This Row],[TOTAL DIAS PROYECTO]]</f>
        <v>0</v>
      </c>
      <c r="R2606" s="12">
        <f>+Tabla1[[#This Row],[COSTO TOTAL ALOJAMIENTO]]+Tabla1[[#This Row],[COSTO TOTAL COCHE]]</f>
        <v>0</v>
      </c>
      <c r="S2606" s="2"/>
      <c r="T2606" s="14" t="s">
        <v>44</v>
      </c>
      <c r="U2606" s="14">
        <v>45811</v>
      </c>
      <c r="V2606" s="79">
        <v>45838</v>
      </c>
      <c r="W2606" s="2"/>
      <c r="X2606" s="2">
        <v>20</v>
      </c>
      <c r="Y2606" s="11" t="s">
        <v>4127</v>
      </c>
      <c r="Z2606" s="2" t="s">
        <v>36</v>
      </c>
      <c r="AA2606" s="13" t="s">
        <v>10327</v>
      </c>
      <c r="AB2606" s="13" t="s">
        <v>10328</v>
      </c>
    </row>
    <row r="2607" spans="1:28" ht="15" customHeight="1">
      <c r="A2607" s="2" t="s">
        <v>8807</v>
      </c>
      <c r="B2607" s="2" t="s">
        <v>28</v>
      </c>
      <c r="C2607" s="11" t="s">
        <v>848</v>
      </c>
      <c r="D2607" s="2" t="s">
        <v>78</v>
      </c>
      <c r="E2607" s="2" t="s">
        <v>266</v>
      </c>
      <c r="F2607" s="11" t="s">
        <v>962</v>
      </c>
      <c r="G2607" s="30" t="s">
        <v>963</v>
      </c>
      <c r="H2607" s="2" t="s">
        <v>1513</v>
      </c>
      <c r="I2607" s="12" t="s">
        <v>270</v>
      </c>
      <c r="J2607" s="41">
        <f>+Tabla1[[#This Row],[FECHA ENTRADA]]</f>
        <v>45689</v>
      </c>
      <c r="K2607" s="22">
        <v>45838</v>
      </c>
      <c r="L2607" s="42">
        <f>_xlfn.DAYS(Tabla1[[#This Row],[FECHA FIN ]],Tabla1[[#This Row],[FECHA INICIO]])</f>
        <v>149</v>
      </c>
      <c r="M2607" s="12"/>
      <c r="N2607" s="12"/>
      <c r="O2607" s="28">
        <f>(Tabla1[[#This Row],[COSTO FIJO ]]/30)*Tabla1[[#This Row],[TOTAL DIAS PROYECTO]]+(Tabla1[[#This Row],[COSTO TEMPORAL]])</f>
        <v>0</v>
      </c>
      <c r="P2607" s="12">
        <f>749.09/4</f>
        <v>187.27250000000001</v>
      </c>
      <c r="Q2607" s="12">
        <f>+(Tabla1[[#This Row],[COSTO COCHE]]/30)*Tabla1[[#This Row],[TOTAL DIAS PROYECTO]]</f>
        <v>930.12008333333335</v>
      </c>
      <c r="R2607" s="12">
        <f>+Tabla1[[#This Row],[COSTO TOTAL ALOJAMIENTO]]+Tabla1[[#This Row],[COSTO TOTAL COCHE]]</f>
        <v>930.12008333333335</v>
      </c>
      <c r="S2607" s="2"/>
      <c r="T2607" s="2" t="s">
        <v>44</v>
      </c>
      <c r="U2607" s="14">
        <v>45689</v>
      </c>
      <c r="V2607" s="43">
        <v>45838</v>
      </c>
      <c r="W2607" s="26"/>
      <c r="X2607" s="2">
        <v>1</v>
      </c>
      <c r="Y2607" s="11"/>
      <c r="Z2607" s="2" t="s">
        <v>36</v>
      </c>
      <c r="AA2607" s="13" t="s">
        <v>10360</v>
      </c>
      <c r="AB2607" s="13" t="s">
        <v>10361</v>
      </c>
    </row>
    <row r="2608" spans="1:28" ht="15" customHeight="1">
      <c r="A2608" s="2" t="s">
        <v>9056</v>
      </c>
      <c r="B2608" s="2" t="s">
        <v>28</v>
      </c>
      <c r="C2608" s="11" t="s">
        <v>1817</v>
      </c>
      <c r="D2608" s="2" t="s">
        <v>78</v>
      </c>
      <c r="E2608" s="2" t="s">
        <v>266</v>
      </c>
      <c r="F2608" s="11" t="s">
        <v>962</v>
      </c>
      <c r="G2608" s="30" t="s">
        <v>963</v>
      </c>
      <c r="H2608" s="2" t="s">
        <v>3398</v>
      </c>
      <c r="I2608" s="12" t="s">
        <v>270</v>
      </c>
      <c r="J2608" s="41">
        <f>+Tabla1[[#This Row],[FECHA ENTRADA]]</f>
        <v>45689</v>
      </c>
      <c r="K2608" s="22">
        <v>45838</v>
      </c>
      <c r="L2608" s="42">
        <f>_xlfn.DAYS(Tabla1[[#This Row],[FECHA FIN ]],Tabla1[[#This Row],[FECHA INICIO]])</f>
        <v>149</v>
      </c>
      <c r="M2608" s="12"/>
      <c r="N2608" s="12"/>
      <c r="O2608" s="28">
        <f>(Tabla1[[#This Row],[COSTO FIJO ]]/30)*Tabla1[[#This Row],[TOTAL DIAS PROYECTO]]+(Tabla1[[#This Row],[COSTO TEMPORAL]])</f>
        <v>0</v>
      </c>
      <c r="P2608" s="12">
        <f>749.09/4</f>
        <v>187.27250000000001</v>
      </c>
      <c r="Q2608" s="12">
        <f>+(Tabla1[[#This Row],[COSTO COCHE]]/30)*Tabla1[[#This Row],[TOTAL DIAS PROYECTO]]</f>
        <v>930.12008333333335</v>
      </c>
      <c r="R2608" s="12">
        <f>+Tabla1[[#This Row],[COSTO TOTAL ALOJAMIENTO]]+Tabla1[[#This Row],[COSTO TOTAL COCHE]]</f>
        <v>930.12008333333335</v>
      </c>
      <c r="S2608" s="2"/>
      <c r="T2608" s="2" t="s">
        <v>44</v>
      </c>
      <c r="U2608" s="14">
        <v>45689</v>
      </c>
      <c r="V2608" s="43">
        <v>45838</v>
      </c>
      <c r="W2608" s="26"/>
      <c r="X2608" s="2">
        <v>1</v>
      </c>
      <c r="Y2608" s="11"/>
      <c r="Z2608" s="2" t="s">
        <v>36</v>
      </c>
      <c r="AA2608" s="13" t="s">
        <v>10360</v>
      </c>
      <c r="AB2608" s="13" t="s">
        <v>10361</v>
      </c>
    </row>
    <row r="2609" spans="1:28" ht="15" customHeight="1">
      <c r="A2609" s="2" t="s">
        <v>9666</v>
      </c>
      <c r="B2609" s="2" t="s">
        <v>28</v>
      </c>
      <c r="C2609" s="11" t="s">
        <v>4128</v>
      </c>
      <c r="D2609" s="2" t="s">
        <v>749</v>
      </c>
      <c r="E2609" s="2" t="s">
        <v>288</v>
      </c>
      <c r="F2609" s="11" t="s">
        <v>3464</v>
      </c>
      <c r="G2609" t="s">
        <v>1142</v>
      </c>
      <c r="H2609" s="2" t="s">
        <v>3675</v>
      </c>
      <c r="I2609" s="10" t="s">
        <v>753</v>
      </c>
      <c r="J2609" s="22">
        <f>+Tabla1[[#This Row],[FECHA ENTRADA]]</f>
        <v>45755</v>
      </c>
      <c r="K2609" s="8">
        <v>45877</v>
      </c>
      <c r="L2609" s="13">
        <f>_xlfn.DAYS(Tabla1[[#This Row],[FECHA FIN ]],Tabla1[[#This Row],[FECHA INICIO]])</f>
        <v>122</v>
      </c>
      <c r="M2609" s="12"/>
      <c r="N2609" s="12">
        <v>625</v>
      </c>
      <c r="O2609" s="12">
        <f>(Tabla1[[#This Row],[COSTO FIJO ]]/30)*Tabla1[[#This Row],[TOTAL DIAS PROYECTO]]+(Tabla1[[#This Row],[COSTO TEMPORAL]])</f>
        <v>2541.6666666666665</v>
      </c>
      <c r="P2609" s="12"/>
      <c r="Q2609" s="12">
        <f>+(Tabla1[[#This Row],[COSTO COCHE]]/30)*Tabla1[[#This Row],[TOTAL DIAS PROYECTO]]</f>
        <v>0</v>
      </c>
      <c r="R2609" s="12">
        <f>+Tabla1[[#This Row],[COSTO TOTAL ALOJAMIENTO]]+Tabla1[[#This Row],[COSTO TOTAL COCHE]]</f>
        <v>2541.6666666666665</v>
      </c>
      <c r="S2609" s="2"/>
      <c r="T2609" s="2" t="s">
        <v>35</v>
      </c>
      <c r="U2609" s="14">
        <v>45755</v>
      </c>
      <c r="V2609" s="14">
        <v>45785</v>
      </c>
      <c r="W2609" s="26"/>
      <c r="X2609" s="2">
        <v>2</v>
      </c>
      <c r="Y2609" s="11" t="s">
        <v>4129</v>
      </c>
      <c r="Z2609" s="2" t="s">
        <v>36</v>
      </c>
      <c r="AA2609" s="13" t="s">
        <v>10362</v>
      </c>
      <c r="AB2609" s="13" t="s">
        <v>10363</v>
      </c>
    </row>
    <row r="2610" spans="1:28" ht="15" customHeight="1">
      <c r="A2610" s="2" t="s">
        <v>9667</v>
      </c>
      <c r="B2610" s="2" t="s">
        <v>28</v>
      </c>
      <c r="C2610" s="11" t="s">
        <v>4130</v>
      </c>
      <c r="D2610" s="2" t="s">
        <v>99</v>
      </c>
      <c r="E2610" s="2" t="s">
        <v>3335</v>
      </c>
      <c r="F2610" s="11" t="s">
        <v>3336</v>
      </c>
      <c r="G2610" s="21" t="s">
        <v>3337</v>
      </c>
      <c r="H2610" s="2" t="s">
        <v>4131</v>
      </c>
      <c r="I2610" s="12" t="s">
        <v>228</v>
      </c>
      <c r="J2610" s="41">
        <f>+Tabla1[[#This Row],[FECHA ENTRADA]]</f>
        <v>45769</v>
      </c>
      <c r="K2610" s="22">
        <v>45838</v>
      </c>
      <c r="L2610" s="23">
        <f>_xlfn.DAYS(Tabla1[[#This Row],[FECHA FIN ]],Tabla1[[#This Row],[FECHA INICIO]])</f>
        <v>69</v>
      </c>
      <c r="M2610" s="12"/>
      <c r="N2610" s="20"/>
      <c r="O2610" s="24">
        <f>(Tabla1[[#This Row],[COSTO FIJO ]]/30)*Tabla1[[#This Row],[TOTAL DIAS PROYECTO]]+(Tabla1[[#This Row],[COSTO TEMPORAL]])</f>
        <v>0</v>
      </c>
      <c r="P2610" s="12"/>
      <c r="Q2610" s="12">
        <f>+(Tabla1[[#This Row],[COSTO COCHE]]/30)*Tabla1[[#This Row],[TOTAL DIAS PROYECTO]]</f>
        <v>0</v>
      </c>
      <c r="R2610" s="12">
        <f>+Tabla1[[#This Row],[COSTO TOTAL ALOJAMIENTO]]+Tabla1[[#This Row],[COSTO TOTAL COCHE]]</f>
        <v>0</v>
      </c>
      <c r="S2610" s="2"/>
      <c r="T2610" s="14" t="s">
        <v>528</v>
      </c>
      <c r="U2610" s="14">
        <v>45769</v>
      </c>
      <c r="V2610" s="14">
        <v>45840</v>
      </c>
      <c r="W2610" s="2"/>
      <c r="X2610" s="2"/>
      <c r="Y2610" s="31" t="s">
        <v>4132</v>
      </c>
      <c r="Z2610" s="2" t="s">
        <v>36</v>
      </c>
      <c r="AA2610" s="13" t="e">
        <v>#N/A</v>
      </c>
      <c r="AB2610" s="13" t="e">
        <v>#N/A</v>
      </c>
    </row>
    <row r="2611" spans="1:28" ht="15" customHeight="1">
      <c r="A2611" s="2" t="s">
        <v>9658</v>
      </c>
      <c r="B2611" s="2" t="s">
        <v>368</v>
      </c>
      <c r="C2611" s="11" t="s">
        <v>4099</v>
      </c>
      <c r="D2611" s="2" t="s">
        <v>99</v>
      </c>
      <c r="E2611" s="2" t="s">
        <v>127</v>
      </c>
      <c r="F2611" s="11" t="s">
        <v>4133</v>
      </c>
      <c r="G2611" s="21" t="s">
        <v>4134</v>
      </c>
      <c r="H2611" s="2" t="s">
        <v>2593</v>
      </c>
      <c r="I2611" s="12" t="s">
        <v>2594</v>
      </c>
      <c r="J2611" s="41">
        <f>+Tabla1[[#This Row],[FECHA ENTRADA]]</f>
        <v>45835</v>
      </c>
      <c r="K2611" s="41">
        <v>45838</v>
      </c>
      <c r="L2611" s="42">
        <f>_xlfn.DAYS(Tabla1[[#This Row],[FECHA FIN ]],Tabla1[[#This Row],[FECHA INICIO]])</f>
        <v>3</v>
      </c>
      <c r="M2611" s="12"/>
      <c r="N2611" s="12">
        <v>146</v>
      </c>
      <c r="O2611" s="28">
        <f>(Tabla1[[#This Row],[COSTO FIJO ]]/30)*Tabla1[[#This Row],[TOTAL DIAS PROYECTO]]+(Tabla1[[#This Row],[COSTO TEMPORAL]])</f>
        <v>14.599999999999998</v>
      </c>
      <c r="P2611" s="12"/>
      <c r="Q2611" s="12">
        <f>+(Tabla1[[#This Row],[COSTO COCHE]]/30)*Tabla1[[#This Row],[TOTAL DIAS PROYECTO]]</f>
        <v>0</v>
      </c>
      <c r="R2611" s="12">
        <f>+Tabla1[[#This Row],[COSTO TOTAL ALOJAMIENTO]]+Tabla1[[#This Row],[COSTO TOTAL COCHE]]</f>
        <v>14.599999999999998</v>
      </c>
      <c r="S2611" s="2"/>
      <c r="T2611" s="2" t="s">
        <v>44</v>
      </c>
      <c r="U2611" s="14">
        <v>45835</v>
      </c>
      <c r="V2611" s="43">
        <v>45841</v>
      </c>
      <c r="W2611" s="2"/>
      <c r="X2611" s="2"/>
      <c r="Y2611" s="11"/>
      <c r="Z2611" s="2" t="s">
        <v>36</v>
      </c>
      <c r="AA2611" s="13" t="s">
        <v>10342</v>
      </c>
      <c r="AB2611" s="13" t="s">
        <v>10343</v>
      </c>
    </row>
    <row r="2612" spans="1:28" ht="15" customHeight="1">
      <c r="A2612" s="2" t="s">
        <v>9152</v>
      </c>
      <c r="B2612" s="2" t="s">
        <v>368</v>
      </c>
      <c r="C2612" s="11" t="s">
        <v>2243</v>
      </c>
      <c r="D2612" s="2" t="s">
        <v>78</v>
      </c>
      <c r="E2612" s="10" t="s">
        <v>4135</v>
      </c>
      <c r="F2612" s="11" t="s">
        <v>4136</v>
      </c>
      <c r="G2612" s="21" t="s">
        <v>4137</v>
      </c>
      <c r="H2612" s="2" t="s">
        <v>4138</v>
      </c>
      <c r="I2612" s="10" t="s">
        <v>4139</v>
      </c>
      <c r="J2612" s="22">
        <f>+Tabla1[[#This Row],[FECHA ENTRADA]]</f>
        <v>45767</v>
      </c>
      <c r="K2612" s="8">
        <v>45838</v>
      </c>
      <c r="L2612" s="23">
        <f>_xlfn.DAYS(Tabla1[[#This Row],[FECHA FIN ]],Tabla1[[#This Row],[FECHA INICIO]])</f>
        <v>71</v>
      </c>
      <c r="M2612" s="12"/>
      <c r="N2612" s="12"/>
      <c r="O2612" s="24">
        <f>(Tabla1[[#This Row],[COSTO FIJO ]]/30)*Tabla1[[#This Row],[TOTAL DIAS PROYECTO]]+(Tabla1[[#This Row],[COSTO TEMPORAL]])</f>
        <v>0</v>
      </c>
      <c r="P2612" s="12"/>
      <c r="Q2612" s="12">
        <f>+(Tabla1[[#This Row],[COSTO COCHE]]/30)*Tabla1[[#This Row],[TOTAL DIAS PROYECTO]]</f>
        <v>0</v>
      </c>
      <c r="R2612" s="12">
        <f>+Tabla1[[#This Row],[COSTO TOTAL ALOJAMIENTO]]+Tabla1[[#This Row],[COSTO TOTAL COCHE]]</f>
        <v>0</v>
      </c>
      <c r="S2612" s="2" t="s">
        <v>84</v>
      </c>
      <c r="T2612" s="2" t="s">
        <v>44</v>
      </c>
      <c r="U2612" s="14">
        <v>45767</v>
      </c>
      <c r="V2612" s="79">
        <v>45846</v>
      </c>
      <c r="W2612" s="26"/>
      <c r="X2612" s="2"/>
      <c r="Y2612" s="11" t="s">
        <v>4140</v>
      </c>
      <c r="Z2612" s="2" t="s">
        <v>36</v>
      </c>
      <c r="AA2612" s="13" t="e">
        <v>#N/A</v>
      </c>
      <c r="AB2612" s="13" t="e">
        <v>#N/A</v>
      </c>
    </row>
    <row r="2613" spans="1:28" ht="15" customHeight="1">
      <c r="A2613" s="2" t="s">
        <v>8885</v>
      </c>
      <c r="B2613" s="2" t="s">
        <v>368</v>
      </c>
      <c r="C2613" s="11" t="s">
        <v>1167</v>
      </c>
      <c r="D2613" s="2" t="s">
        <v>30</v>
      </c>
      <c r="E2613" s="2" t="s">
        <v>1393</v>
      </c>
      <c r="F2613" s="11" t="s">
        <v>4141</v>
      </c>
      <c r="G2613" s="30" t="s">
        <v>3474</v>
      </c>
      <c r="H2613" s="2" t="s">
        <v>4142</v>
      </c>
      <c r="I2613" s="29" t="s">
        <v>4143</v>
      </c>
      <c r="J2613" s="41">
        <f>+Tabla1[[#This Row],[FECHA ENTRADA]]</f>
        <v>45790</v>
      </c>
      <c r="K2613" s="22">
        <v>45838</v>
      </c>
      <c r="L2613" s="23">
        <f>_xlfn.DAYS(Tabla1[[#This Row],[FECHA FIN ]],Tabla1[[#This Row],[FECHA INICIO]])</f>
        <v>48</v>
      </c>
      <c r="M2613" s="12"/>
      <c r="N2613" s="24">
        <v>600</v>
      </c>
      <c r="O2613" s="24">
        <f>(Tabla1[[#This Row],[COSTO FIJO ]]/30)*Tabla1[[#This Row],[TOTAL DIAS PROYECTO]]+(Tabla1[[#This Row],[COSTO TEMPORAL]])</f>
        <v>960</v>
      </c>
      <c r="P2613" s="12"/>
      <c r="Q2613" s="12">
        <f>+(Tabla1[[#This Row],[COSTO COCHE]]/30)*Tabla1[[#This Row],[TOTAL DIAS PROYECTO]]</f>
        <v>0</v>
      </c>
      <c r="R2613" s="12">
        <f>+Tabla1[[#This Row],[COSTO TOTAL ALOJAMIENTO]]+Tabla1[[#This Row],[COSTO TOTAL COCHE]]</f>
        <v>960</v>
      </c>
      <c r="S2613" s="2"/>
      <c r="T2613" s="14" t="s">
        <v>35</v>
      </c>
      <c r="U2613" s="14">
        <v>45790</v>
      </c>
      <c r="V2613" s="25"/>
      <c r="W2613" s="237">
        <v>300</v>
      </c>
      <c r="X2613" s="2">
        <v>10</v>
      </c>
      <c r="Y2613" s="11"/>
      <c r="Z2613" s="2" t="s">
        <v>36</v>
      </c>
      <c r="AA2613" s="13" t="s">
        <v>10416</v>
      </c>
      <c r="AB2613" s="13" t="s">
        <v>10417</v>
      </c>
    </row>
    <row r="2614" spans="1:28" ht="15" customHeight="1">
      <c r="A2614" s="2" t="s">
        <v>8839</v>
      </c>
      <c r="B2614" s="2" t="s">
        <v>368</v>
      </c>
      <c r="C2614" s="11" t="s">
        <v>968</v>
      </c>
      <c r="D2614" s="2" t="s">
        <v>30</v>
      </c>
      <c r="E2614" s="2" t="s">
        <v>1393</v>
      </c>
      <c r="F2614" s="11" t="s">
        <v>4141</v>
      </c>
      <c r="G2614" s="30" t="s">
        <v>3474</v>
      </c>
      <c r="H2614" s="2" t="s">
        <v>4142</v>
      </c>
      <c r="I2614" s="10" t="s">
        <v>4143</v>
      </c>
      <c r="J2614" s="41">
        <f>+Tabla1[[#This Row],[FECHA ENTRADA]]</f>
        <v>45790</v>
      </c>
      <c r="K2614" s="22">
        <v>45838</v>
      </c>
      <c r="L2614" s="23">
        <f>_xlfn.DAYS(Tabla1[[#This Row],[FECHA FIN ]],Tabla1[[#This Row],[FECHA INICIO]])</f>
        <v>48</v>
      </c>
      <c r="M2614" s="12"/>
      <c r="N2614" s="24">
        <v>600</v>
      </c>
      <c r="O2614" s="24">
        <f>(Tabla1[[#This Row],[COSTO FIJO ]]/30)*Tabla1[[#This Row],[TOTAL DIAS PROYECTO]]+(Tabla1[[#This Row],[COSTO TEMPORAL]])</f>
        <v>960</v>
      </c>
      <c r="P2614" s="12"/>
      <c r="Q2614" s="12">
        <f>+(Tabla1[[#This Row],[COSTO COCHE]]/30)*Tabla1[[#This Row],[TOTAL DIAS PROYECTO]]</f>
        <v>0</v>
      </c>
      <c r="R2614" s="12">
        <f>+Tabla1[[#This Row],[COSTO TOTAL ALOJAMIENTO]]+Tabla1[[#This Row],[COSTO TOTAL COCHE]]</f>
        <v>960</v>
      </c>
      <c r="S2614" s="2"/>
      <c r="T2614" s="14" t="s">
        <v>35</v>
      </c>
      <c r="U2614" s="14">
        <v>45790</v>
      </c>
      <c r="V2614" s="25"/>
      <c r="W2614" s="237">
        <v>300</v>
      </c>
      <c r="X2614" s="2">
        <v>10</v>
      </c>
      <c r="Y2614" s="11"/>
      <c r="Z2614" s="2" t="s">
        <v>36</v>
      </c>
      <c r="AA2614" s="13" t="s">
        <v>10416</v>
      </c>
      <c r="AB2614" s="13" t="s">
        <v>10417</v>
      </c>
    </row>
    <row r="2615" spans="1:28" ht="15" customHeight="1">
      <c r="A2615" s="2" t="s">
        <v>9668</v>
      </c>
      <c r="B2615" s="2" t="s">
        <v>368</v>
      </c>
      <c r="C2615" s="11" t="s">
        <v>4144</v>
      </c>
      <c r="D2615" s="2" t="s">
        <v>30</v>
      </c>
      <c r="E2615" s="2" t="s">
        <v>985</v>
      </c>
      <c r="F2615" s="11" t="s">
        <v>4145</v>
      </c>
      <c r="G2615" t="s">
        <v>4146</v>
      </c>
      <c r="H2615" s="2" t="s">
        <v>988</v>
      </c>
      <c r="I2615" s="12" t="s">
        <v>989</v>
      </c>
      <c r="J2615" s="22">
        <f>+Tabla1[[#This Row],[FECHA ENTRADA]]</f>
        <v>45866</v>
      </c>
      <c r="K2615" s="22">
        <v>45838</v>
      </c>
      <c r="L2615" s="23">
        <f>_xlfn.DAYS(Tabla1[[#This Row],[FECHA FIN ]],Tabla1[[#This Row],[FECHA INICIO]])</f>
        <v>-28</v>
      </c>
      <c r="M2615" s="12"/>
      <c r="N2615" s="12">
        <v>363.66666666666669</v>
      </c>
      <c r="O2615" s="24">
        <f>(Tabla1[[#This Row],[COSTO FIJO ]]/30)*Tabla1[[#This Row],[TOTAL DIAS PROYECTO]]+(Tabla1[[#This Row],[COSTO TEMPORAL]])</f>
        <v>-339.42222222222227</v>
      </c>
      <c r="P2615" s="12"/>
      <c r="Q2615" s="12">
        <f>+(Tabla1[[#This Row],[COSTO COCHE]]/30)*Tabla1[[#This Row],[TOTAL DIAS PROYECTO]]</f>
        <v>0</v>
      </c>
      <c r="R2615" s="12">
        <f>+Tabla1[[#This Row],[COSTO TOTAL ALOJAMIENTO]]+Tabla1[[#This Row],[COSTO TOTAL COCHE]]</f>
        <v>-339.42222222222227</v>
      </c>
      <c r="S2615" s="2"/>
      <c r="T2615" s="14" t="s">
        <v>44</v>
      </c>
      <c r="U2615" s="14">
        <v>45866</v>
      </c>
      <c r="V2615" s="25">
        <v>45876</v>
      </c>
      <c r="W2615" s="12"/>
      <c r="X2615" s="2"/>
      <c r="Y2615" s="11" t="s">
        <v>4147</v>
      </c>
      <c r="Z2615" s="2" t="s">
        <v>36</v>
      </c>
      <c r="AA2615" s="13" t="s">
        <v>10407</v>
      </c>
      <c r="AB2615" s="13" t="s">
        <v>10408</v>
      </c>
    </row>
    <row r="2616" spans="1:28" ht="15" customHeight="1">
      <c r="A2616" s="2" t="s">
        <v>8986</v>
      </c>
      <c r="B2616" s="2" t="s">
        <v>28</v>
      </c>
      <c r="C2616" s="11" t="s">
        <v>1598</v>
      </c>
      <c r="D2616" s="2" t="s">
        <v>30</v>
      </c>
      <c r="E2616" s="2" t="s">
        <v>31</v>
      </c>
      <c r="F2616" s="11" t="s">
        <v>4148</v>
      </c>
      <c r="G2616" t="s">
        <v>3391</v>
      </c>
      <c r="H2616" s="2" t="s">
        <v>1600</v>
      </c>
      <c r="I2616" s="2" t="s">
        <v>718</v>
      </c>
      <c r="J2616" s="22">
        <f>+Tabla1[[#This Row],[FECHA ENTRADA]]</f>
        <v>45705</v>
      </c>
      <c r="K2616" s="22">
        <v>45838</v>
      </c>
      <c r="L2616" s="23">
        <f>_xlfn.DAYS(Tabla1[[#This Row],[FECHA FIN ]],Tabla1[[#This Row],[FECHA INICIO]])</f>
        <v>133</v>
      </c>
      <c r="M2616" s="12"/>
      <c r="N2616" s="12"/>
      <c r="O2616" s="24">
        <f>(Tabla1[[#This Row],[COSTO FIJO ]]/30)*Tabla1[[#This Row],[TOTAL DIAS PROYECTO]]+(Tabla1[[#This Row],[COSTO TEMPORAL]])</f>
        <v>0</v>
      </c>
      <c r="P2616" s="12"/>
      <c r="Q2616" s="12">
        <f>+(Tabla1[[#This Row],[COSTO COCHE]]/30)*Tabla1[[#This Row],[TOTAL DIAS PROYECTO]]</f>
        <v>0</v>
      </c>
      <c r="R2616" s="12">
        <f>+Tabla1[[#This Row],[COSTO TOTAL ALOJAMIENTO]]+Tabla1[[#This Row],[COSTO TOTAL COCHE]]</f>
        <v>0</v>
      </c>
      <c r="S2616" s="2"/>
      <c r="T2616" s="2" t="s">
        <v>35</v>
      </c>
      <c r="U2616" s="14">
        <v>45705</v>
      </c>
      <c r="V2616" s="25"/>
      <c r="W2616" s="26"/>
      <c r="X2616" s="2">
        <v>15</v>
      </c>
      <c r="Y2616" s="11"/>
      <c r="Z2616" s="2" t="s">
        <v>36</v>
      </c>
      <c r="AA2616" s="13" t="s">
        <v>10323</v>
      </c>
      <c r="AB2616" s="13" t="s">
        <v>10324</v>
      </c>
    </row>
    <row r="2617" spans="1:28" ht="15" customHeight="1">
      <c r="A2617" s="2" t="s">
        <v>9669</v>
      </c>
      <c r="B2617" s="2" t="s">
        <v>368</v>
      </c>
      <c r="C2617" s="11" t="s">
        <v>4149</v>
      </c>
      <c r="D2617" s="2" t="s">
        <v>30</v>
      </c>
      <c r="E2617" s="2" t="s">
        <v>31</v>
      </c>
      <c r="F2617" s="11" t="s">
        <v>2284</v>
      </c>
      <c r="G2617" s="11" t="s">
        <v>2285</v>
      </c>
      <c r="H2617" s="2" t="s">
        <v>834</v>
      </c>
      <c r="I2617" s="29" t="s">
        <v>835</v>
      </c>
      <c r="J2617" s="8">
        <f>+Tabla1[[#This Row],[FECHA ENTRADA]]</f>
        <v>45469</v>
      </c>
      <c r="K2617" s="8">
        <v>45838</v>
      </c>
      <c r="L2617" s="13">
        <f>_xlfn.DAYS(Tabla1[[#This Row],[FECHA FIN ]],Tabla1[[#This Row],[FECHA INICIO]])</f>
        <v>369</v>
      </c>
      <c r="M2617" s="12"/>
      <c r="N2617" s="12"/>
      <c r="O2617" s="12">
        <f>(Tabla1[[#This Row],[COSTO FIJO ]]/30)*Tabla1[[#This Row],[TOTAL DIAS PROYECTO]]+(Tabla1[[#This Row],[COSTO TEMPORAL]])</f>
        <v>0</v>
      </c>
      <c r="P2617" s="12"/>
      <c r="Q2617" s="12">
        <f>+(Tabla1[[#This Row],[COSTO COCHE]]/30)*Tabla1[[#This Row],[TOTAL DIAS PROYECTO]]</f>
        <v>0</v>
      </c>
      <c r="R2617" s="12">
        <f>+Tabla1[[#This Row],[COSTO TOTAL ALOJAMIENTO]]+Tabla1[[#This Row],[COSTO TOTAL COCHE]]</f>
        <v>0</v>
      </c>
      <c r="S2617" s="2"/>
      <c r="T2617" s="2" t="s">
        <v>35</v>
      </c>
      <c r="U2617" s="14">
        <v>45469</v>
      </c>
      <c r="V2617" s="14">
        <v>45479</v>
      </c>
      <c r="W2617" s="26"/>
      <c r="X2617" s="2">
        <v>15</v>
      </c>
      <c r="Y2617" s="11" t="s">
        <v>4150</v>
      </c>
      <c r="Z2617" s="2" t="s">
        <v>36</v>
      </c>
      <c r="AA2617" s="13" t="s">
        <v>10323</v>
      </c>
      <c r="AB2617" s="13" t="s">
        <v>10324</v>
      </c>
    </row>
    <row r="2618" spans="1:28" ht="15" customHeight="1">
      <c r="A2618" s="2" t="s">
        <v>9559</v>
      </c>
      <c r="B2618" s="2" t="s">
        <v>28</v>
      </c>
      <c r="C2618" s="11" t="s">
        <v>3618</v>
      </c>
      <c r="D2618" s="2" t="s">
        <v>30</v>
      </c>
      <c r="E2618" s="2" t="s">
        <v>151</v>
      </c>
      <c r="F2618" s="11" t="s">
        <v>1499</v>
      </c>
      <c r="G2618" s="49" t="s">
        <v>1500</v>
      </c>
      <c r="H2618" s="2" t="s">
        <v>3619</v>
      </c>
      <c r="I2618" s="12" t="s">
        <v>228</v>
      </c>
      <c r="J2618" s="22">
        <f>+Tabla1[[#This Row],[FECHA ENTRADA]]</f>
        <v>45823</v>
      </c>
      <c r="K2618" s="22">
        <v>45838</v>
      </c>
      <c r="L2618" s="23">
        <f>_xlfn.DAYS(Tabla1[[#This Row],[FECHA FIN ]],Tabla1[[#This Row],[FECHA INICIO]])</f>
        <v>15</v>
      </c>
      <c r="M2618" s="12"/>
      <c r="N2618" s="12"/>
      <c r="O2618" s="24">
        <f>(Tabla1[[#This Row],[COSTO FIJO ]]/30)*Tabla1[[#This Row],[TOTAL DIAS PROYECTO]]+(Tabla1[[#This Row],[COSTO TEMPORAL]])</f>
        <v>0</v>
      </c>
      <c r="P2618" s="12"/>
      <c r="Q2618" s="12">
        <f>+(Tabla1[[#This Row],[COSTO COCHE]]/30)*Tabla1[[#This Row],[TOTAL DIAS PROYECTO]]</f>
        <v>0</v>
      </c>
      <c r="R2618" s="12">
        <f>+Tabla1[[#This Row],[COSTO TOTAL ALOJAMIENTO]]+Tabla1[[#This Row],[COSTO TOTAL COCHE]]</f>
        <v>0</v>
      </c>
      <c r="S2618" s="2"/>
      <c r="T2618" s="14" t="s">
        <v>35</v>
      </c>
      <c r="U2618" s="14">
        <v>45823</v>
      </c>
      <c r="V2618" s="25"/>
      <c r="W2618" s="2"/>
      <c r="X2618" s="2">
        <v>28</v>
      </c>
      <c r="Y2618" s="11"/>
      <c r="Z2618" s="2" t="s">
        <v>36</v>
      </c>
      <c r="AA2618" s="13" t="s">
        <v>10345</v>
      </c>
      <c r="AB2618" s="13" t="s">
        <v>10346</v>
      </c>
    </row>
    <row r="2619" spans="1:28" ht="15" customHeight="1">
      <c r="A2619" s="2" t="s">
        <v>9561</v>
      </c>
      <c r="B2619" s="2" t="s">
        <v>28</v>
      </c>
      <c r="C2619" s="11" t="s">
        <v>3650</v>
      </c>
      <c r="D2619" s="2" t="s">
        <v>30</v>
      </c>
      <c r="E2619" s="2" t="s">
        <v>151</v>
      </c>
      <c r="F2619" s="11" t="s">
        <v>1499</v>
      </c>
      <c r="G2619" s="49" t="s">
        <v>1500</v>
      </c>
      <c r="H2619" s="2" t="s">
        <v>2591</v>
      </c>
      <c r="I2619" s="12" t="s">
        <v>228</v>
      </c>
      <c r="J2619" s="41">
        <f>+Tabla1[[#This Row],[FECHA ENTRADA]]</f>
        <v>45827</v>
      </c>
      <c r="K2619" s="41">
        <v>45838</v>
      </c>
      <c r="L2619" s="42">
        <f>_xlfn.DAYS(Tabla1[[#This Row],[FECHA FIN ]],Tabla1[[#This Row],[FECHA INICIO]])</f>
        <v>11</v>
      </c>
      <c r="M2619" s="12"/>
      <c r="N2619" s="12"/>
      <c r="O2619" s="28">
        <f>(Tabla1[[#This Row],[COSTO FIJO ]]/30)*Tabla1[[#This Row],[TOTAL DIAS PROYECTO]]+(Tabla1[[#This Row],[COSTO TEMPORAL]])</f>
        <v>0</v>
      </c>
      <c r="P2619" s="12"/>
      <c r="Q2619" s="12">
        <f>+(Tabla1[[#This Row],[COSTO COCHE]]/30)*Tabla1[[#This Row],[TOTAL DIAS PROYECTO]]</f>
        <v>0</v>
      </c>
      <c r="R2619" s="12">
        <f>+Tabla1[[#This Row],[COSTO TOTAL ALOJAMIENTO]]+Tabla1[[#This Row],[COSTO TOTAL COCHE]]</f>
        <v>0</v>
      </c>
      <c r="S2619" s="2"/>
      <c r="T2619" s="14" t="s">
        <v>35</v>
      </c>
      <c r="U2619" s="22">
        <v>45827</v>
      </c>
      <c r="V2619" s="43"/>
      <c r="W2619" s="2"/>
      <c r="X2619" s="2"/>
      <c r="Y2619" s="11"/>
      <c r="Z2619" s="2" t="s">
        <v>36</v>
      </c>
      <c r="AA2619" s="13" t="s">
        <v>10345</v>
      </c>
      <c r="AB2619" s="13" t="s">
        <v>10346</v>
      </c>
    </row>
    <row r="2620" spans="1:28" ht="15" customHeight="1">
      <c r="A2620" s="2" t="s">
        <v>9637</v>
      </c>
      <c r="B2620" s="2" t="s">
        <v>28</v>
      </c>
      <c r="C2620" s="11" t="s">
        <v>4025</v>
      </c>
      <c r="D2620" s="2" t="s">
        <v>30</v>
      </c>
      <c r="E2620" s="2" t="s">
        <v>151</v>
      </c>
      <c r="F2620" s="11" t="s">
        <v>1499</v>
      </c>
      <c r="G2620" s="49" t="s">
        <v>1500</v>
      </c>
      <c r="H2620" s="2" t="s">
        <v>4026</v>
      </c>
      <c r="I2620" s="12" t="s">
        <v>228</v>
      </c>
      <c r="J2620" s="41">
        <f>+Tabla1[[#This Row],[FECHA ENTRADA]]</f>
        <v>45826</v>
      </c>
      <c r="K2620" s="41">
        <v>45838</v>
      </c>
      <c r="L2620" s="42">
        <f>_xlfn.DAYS(Tabla1[[#This Row],[FECHA FIN ]],Tabla1[[#This Row],[FECHA INICIO]])</f>
        <v>12</v>
      </c>
      <c r="M2620" s="12"/>
      <c r="N2620" s="12"/>
      <c r="O2620" s="28">
        <f>(Tabla1[[#This Row],[COSTO FIJO ]]/30)*Tabla1[[#This Row],[TOTAL DIAS PROYECTO]]+(Tabla1[[#This Row],[COSTO TEMPORAL]])</f>
        <v>0</v>
      </c>
      <c r="P2620" s="12"/>
      <c r="Q2620" s="12">
        <f>+(Tabla1[[#This Row],[COSTO COCHE]]/30)*Tabla1[[#This Row],[TOTAL DIAS PROYECTO]]</f>
        <v>0</v>
      </c>
      <c r="R2620" s="12">
        <f>+Tabla1[[#This Row],[COSTO TOTAL ALOJAMIENTO]]+Tabla1[[#This Row],[COSTO TOTAL COCHE]]</f>
        <v>0</v>
      </c>
      <c r="S2620" s="2"/>
      <c r="T2620" s="14" t="s">
        <v>35</v>
      </c>
      <c r="U2620" s="22">
        <v>45826</v>
      </c>
      <c r="V2620" s="43"/>
      <c r="W2620" s="2"/>
      <c r="X2620" s="2"/>
      <c r="Y2620" s="11"/>
      <c r="Z2620" s="2" t="s">
        <v>36</v>
      </c>
      <c r="AA2620" s="13" t="s">
        <v>10345</v>
      </c>
      <c r="AB2620" s="13" t="s">
        <v>10346</v>
      </c>
    </row>
    <row r="2621" spans="1:28" ht="15" customHeight="1">
      <c r="A2621" s="2" t="s">
        <v>8691</v>
      </c>
      <c r="B2621" s="2" t="s">
        <v>368</v>
      </c>
      <c r="C2621" s="11" t="s">
        <v>307</v>
      </c>
      <c r="D2621" s="2" t="s">
        <v>30</v>
      </c>
      <c r="E2621" s="2" t="s">
        <v>213</v>
      </c>
      <c r="F2621" s="11" t="s">
        <v>1525</v>
      </c>
      <c r="G2621" t="s">
        <v>1197</v>
      </c>
      <c r="H2621" s="2" t="s">
        <v>1198</v>
      </c>
      <c r="I2621" s="12" t="s">
        <v>514</v>
      </c>
      <c r="J2621" s="22">
        <v>45593</v>
      </c>
      <c r="K2621" s="22">
        <v>45839</v>
      </c>
      <c r="L2621" s="23">
        <f>_xlfn.DAYS(Tabla1[[#This Row],[FECHA FIN ]],Tabla1[[#This Row],[FECHA INICIO]])</f>
        <v>246</v>
      </c>
      <c r="M2621" s="12"/>
      <c r="N2621" s="12"/>
      <c r="O2621" s="24">
        <f>(Tabla1[[#This Row],[COSTO FIJO ]]/30)*Tabla1[[#This Row],[TOTAL DIAS PROYECTO]]+(Tabla1[[#This Row],[COSTO TEMPORAL]])</f>
        <v>0</v>
      </c>
      <c r="P2621" s="12">
        <f t="shared" ref="P2621:P2630" si="2">2134.37/19</f>
        <v>112.33526315789473</v>
      </c>
      <c r="Q2621" s="12">
        <f>+(Tabla1[[#This Row],[COSTO COCHE]]/30)*Tabla1[[#This Row],[TOTAL DIAS PROYECTO]]</f>
        <v>921.14915789473673</v>
      </c>
      <c r="R2621" s="12">
        <f>+Tabla1[[#This Row],[COSTO TOTAL ALOJAMIENTO]]+Tabla1[[#This Row],[COSTO TOTAL COCHE]]</f>
        <v>921.14915789473673</v>
      </c>
      <c r="S2621" s="2"/>
      <c r="T2621" s="2" t="s">
        <v>35</v>
      </c>
      <c r="U2621" s="14">
        <v>45593</v>
      </c>
      <c r="V2621" s="25"/>
      <c r="W2621" s="26"/>
      <c r="X2621" s="2">
        <v>1</v>
      </c>
      <c r="Y2621" s="11" t="s">
        <v>1526</v>
      </c>
      <c r="Z2621" s="2" t="s">
        <v>36</v>
      </c>
      <c r="AA2621" s="13" t="s">
        <v>10349</v>
      </c>
      <c r="AB2621" s="13" t="s">
        <v>10350</v>
      </c>
    </row>
    <row r="2622" spans="1:28" ht="15" customHeight="1">
      <c r="A2622" s="2" t="s">
        <v>8638</v>
      </c>
      <c r="B2622" s="2" t="s">
        <v>368</v>
      </c>
      <c r="C2622" s="11" t="s">
        <v>2803</v>
      </c>
      <c r="D2622" s="2" t="s">
        <v>30</v>
      </c>
      <c r="E2622" s="2" t="s">
        <v>213</v>
      </c>
      <c r="F2622" s="11" t="s">
        <v>1525</v>
      </c>
      <c r="G2622" t="s">
        <v>1197</v>
      </c>
      <c r="H2622" s="2" t="s">
        <v>1198</v>
      </c>
      <c r="I2622" s="12" t="s">
        <v>514</v>
      </c>
      <c r="J2622" s="22">
        <v>45593</v>
      </c>
      <c r="K2622" s="22">
        <v>45839</v>
      </c>
      <c r="L2622" s="23">
        <f>_xlfn.DAYS(Tabla1[[#This Row],[FECHA FIN ]],Tabla1[[#This Row],[FECHA INICIO]])</f>
        <v>246</v>
      </c>
      <c r="M2622" s="12"/>
      <c r="N2622" s="12"/>
      <c r="O2622" s="24">
        <f>(Tabla1[[#This Row],[COSTO FIJO ]]/30)*Tabla1[[#This Row],[TOTAL DIAS PROYECTO]]+(Tabla1[[#This Row],[COSTO TEMPORAL]])</f>
        <v>0</v>
      </c>
      <c r="P2622" s="12">
        <f t="shared" si="2"/>
        <v>112.33526315789473</v>
      </c>
      <c r="Q2622" s="12">
        <f>+(Tabla1[[#This Row],[COSTO COCHE]]/30)*Tabla1[[#This Row],[TOTAL DIAS PROYECTO]]</f>
        <v>921.14915789473673</v>
      </c>
      <c r="R2622" s="12">
        <f>+Tabla1[[#This Row],[COSTO TOTAL ALOJAMIENTO]]+Tabla1[[#This Row],[COSTO TOTAL COCHE]]</f>
        <v>921.14915789473673</v>
      </c>
      <c r="S2622" s="2"/>
      <c r="T2622" s="2" t="s">
        <v>35</v>
      </c>
      <c r="U2622" s="14">
        <v>45593</v>
      </c>
      <c r="V2622" s="25"/>
      <c r="W2622" s="26">
        <v>2870</v>
      </c>
      <c r="X2622" s="2">
        <v>1</v>
      </c>
      <c r="Y2622" s="11" t="s">
        <v>1526</v>
      </c>
      <c r="Z2622" s="2" t="s">
        <v>36</v>
      </c>
      <c r="AA2622" s="13" t="s">
        <v>10349</v>
      </c>
      <c r="AB2622" s="13" t="s">
        <v>10350</v>
      </c>
    </row>
    <row r="2623" spans="1:28" ht="15" customHeight="1">
      <c r="A2623" s="2" t="s">
        <v>8638</v>
      </c>
      <c r="B2623" s="2" t="s">
        <v>368</v>
      </c>
      <c r="C2623" s="11" t="s">
        <v>4151</v>
      </c>
      <c r="D2623" s="2" t="s">
        <v>99</v>
      </c>
      <c r="E2623" s="2" t="s">
        <v>213</v>
      </c>
      <c r="F2623" s="11" t="s">
        <v>1525</v>
      </c>
      <c r="G2623" t="s">
        <v>1197</v>
      </c>
      <c r="H2623" s="2" t="s">
        <v>2813</v>
      </c>
      <c r="I2623" s="12" t="s">
        <v>514</v>
      </c>
      <c r="J2623" s="22">
        <f>+Tabla1[[#This Row],[FECHA ENTRADA]]</f>
        <v>45699</v>
      </c>
      <c r="K2623" s="22">
        <v>45839</v>
      </c>
      <c r="L2623" s="23">
        <f>_xlfn.DAYS(Tabla1[[#This Row],[FECHA FIN ]],Tabla1[[#This Row],[FECHA INICIO]])</f>
        <v>140</v>
      </c>
      <c r="M2623" s="12"/>
      <c r="N2623" s="12"/>
      <c r="O2623" s="24">
        <f>(Tabla1[[#This Row],[COSTO FIJO ]]/30)*Tabla1[[#This Row],[TOTAL DIAS PROYECTO]]+(Tabla1[[#This Row],[COSTO TEMPORAL]])</f>
        <v>0</v>
      </c>
      <c r="P2623" s="12">
        <f t="shared" si="2"/>
        <v>112.33526315789473</v>
      </c>
      <c r="Q2623" s="12">
        <f>+(Tabla1[[#This Row],[COSTO COCHE]]/30)*Tabla1[[#This Row],[TOTAL DIAS PROYECTO]]</f>
        <v>524.23122807017535</v>
      </c>
      <c r="R2623" s="12">
        <f>+Tabla1[[#This Row],[COSTO TOTAL ALOJAMIENTO]]+Tabla1[[#This Row],[COSTO TOTAL COCHE]]</f>
        <v>524.23122807017535</v>
      </c>
      <c r="S2623" s="2"/>
      <c r="T2623" s="2" t="s">
        <v>35</v>
      </c>
      <c r="U2623" s="14">
        <v>45699</v>
      </c>
      <c r="V2623" s="25"/>
      <c r="W2623" s="26"/>
      <c r="X2623" s="2">
        <v>1</v>
      </c>
      <c r="Y2623" s="11"/>
      <c r="Z2623" s="2" t="s">
        <v>36</v>
      </c>
      <c r="AA2623" s="13" t="s">
        <v>10349</v>
      </c>
      <c r="AB2623" s="13" t="s">
        <v>10350</v>
      </c>
    </row>
    <row r="2624" spans="1:28" ht="15" customHeight="1">
      <c r="A2624" s="2" t="s">
        <v>8638</v>
      </c>
      <c r="B2624" s="2" t="s">
        <v>368</v>
      </c>
      <c r="C2624" s="11" t="s">
        <v>2804</v>
      </c>
      <c r="D2624" s="2" t="s">
        <v>30</v>
      </c>
      <c r="E2624" s="2" t="s">
        <v>213</v>
      </c>
      <c r="F2624" s="11" t="s">
        <v>1525</v>
      </c>
      <c r="G2624" t="s">
        <v>1197</v>
      </c>
      <c r="H2624" s="2" t="s">
        <v>1198</v>
      </c>
      <c r="I2624" s="12" t="s">
        <v>514</v>
      </c>
      <c r="J2624" s="22">
        <v>45593</v>
      </c>
      <c r="K2624" s="22">
        <v>45839</v>
      </c>
      <c r="L2624" s="23">
        <f>_xlfn.DAYS(Tabla1[[#This Row],[FECHA FIN ]],Tabla1[[#This Row],[FECHA INICIO]])</f>
        <v>246</v>
      </c>
      <c r="M2624" s="12"/>
      <c r="N2624" s="12"/>
      <c r="O2624" s="24">
        <f>(Tabla1[[#This Row],[COSTO FIJO ]]/30)*Tabla1[[#This Row],[TOTAL DIAS PROYECTO]]+(Tabla1[[#This Row],[COSTO TEMPORAL]])</f>
        <v>0</v>
      </c>
      <c r="P2624" s="12">
        <f t="shared" si="2"/>
        <v>112.33526315789473</v>
      </c>
      <c r="Q2624" s="12">
        <f>+(Tabla1[[#This Row],[COSTO COCHE]]/30)*Tabla1[[#This Row],[TOTAL DIAS PROYECTO]]</f>
        <v>921.14915789473673</v>
      </c>
      <c r="R2624" s="12">
        <f>+Tabla1[[#This Row],[COSTO TOTAL ALOJAMIENTO]]+Tabla1[[#This Row],[COSTO TOTAL COCHE]]</f>
        <v>921.14915789473673</v>
      </c>
      <c r="S2624" s="2"/>
      <c r="T2624" s="2" t="s">
        <v>35</v>
      </c>
      <c r="U2624" s="14">
        <v>45593</v>
      </c>
      <c r="V2624" s="25"/>
      <c r="W2624" s="26"/>
      <c r="X2624" s="2">
        <v>1</v>
      </c>
      <c r="Y2624" s="11" t="s">
        <v>1526</v>
      </c>
      <c r="Z2624" s="2" t="s">
        <v>36</v>
      </c>
      <c r="AA2624" s="13" t="s">
        <v>10349</v>
      </c>
      <c r="AB2624" s="13" t="s">
        <v>10350</v>
      </c>
    </row>
    <row r="2625" spans="1:28" ht="15" customHeight="1">
      <c r="A2625" s="2" t="s">
        <v>8831</v>
      </c>
      <c r="B2625" s="2" t="s">
        <v>368</v>
      </c>
      <c r="C2625" s="11" t="s">
        <v>933</v>
      </c>
      <c r="D2625" s="2" t="s">
        <v>30</v>
      </c>
      <c r="E2625" s="2" t="s">
        <v>213</v>
      </c>
      <c r="F2625" s="11" t="s">
        <v>1525</v>
      </c>
      <c r="G2625" s="30" t="s">
        <v>1197</v>
      </c>
      <c r="H2625" s="2" t="s">
        <v>1122</v>
      </c>
      <c r="I2625" s="12" t="s">
        <v>514</v>
      </c>
      <c r="J2625" s="41">
        <f>+Tabla1[[#This Row],[FECHA ENTRADA]]</f>
        <v>45608</v>
      </c>
      <c r="K2625" s="22">
        <v>45839</v>
      </c>
      <c r="L2625" s="42">
        <f>_xlfn.DAYS(Tabla1[[#This Row],[FECHA FIN ]],Tabla1[[#This Row],[FECHA INICIO]])</f>
        <v>231</v>
      </c>
      <c r="M2625" s="12"/>
      <c r="N2625" s="12"/>
      <c r="O2625" s="28">
        <f>(Tabla1[[#This Row],[COSTO FIJO ]]/30)*Tabla1[[#This Row],[TOTAL DIAS PROYECTO]]+(Tabla1[[#This Row],[COSTO TEMPORAL]])</f>
        <v>0</v>
      </c>
      <c r="P2625" s="12">
        <f t="shared" si="2"/>
        <v>112.33526315789473</v>
      </c>
      <c r="Q2625" s="12">
        <f>+(Tabla1[[#This Row],[COSTO COCHE]]/30)*Tabla1[[#This Row],[TOTAL DIAS PROYECTO]]</f>
        <v>864.98152631578944</v>
      </c>
      <c r="R2625" s="12">
        <f>+Tabla1[[#This Row],[COSTO TOTAL ALOJAMIENTO]]+Tabla1[[#This Row],[COSTO TOTAL COCHE]]</f>
        <v>864.98152631578944</v>
      </c>
      <c r="S2625" s="2"/>
      <c r="T2625" s="2" t="s">
        <v>35</v>
      </c>
      <c r="U2625" s="14">
        <v>45608</v>
      </c>
      <c r="V2625" s="43"/>
      <c r="W2625" s="26"/>
      <c r="X2625" s="2">
        <v>1</v>
      </c>
      <c r="Y2625" s="11" t="s">
        <v>4152</v>
      </c>
      <c r="Z2625" s="2" t="s">
        <v>36</v>
      </c>
      <c r="AA2625" s="13" t="s">
        <v>10349</v>
      </c>
      <c r="AB2625" s="13" t="s">
        <v>10350</v>
      </c>
    </row>
    <row r="2626" spans="1:28" ht="15" customHeight="1">
      <c r="A2626" s="2" t="s">
        <v>8638</v>
      </c>
      <c r="B2626" s="2" t="s">
        <v>368</v>
      </c>
      <c r="C2626" s="11" t="s">
        <v>4153</v>
      </c>
      <c r="D2626" s="2" t="s">
        <v>99</v>
      </c>
      <c r="E2626" s="2" t="s">
        <v>213</v>
      </c>
      <c r="F2626" s="11" t="s">
        <v>1525</v>
      </c>
      <c r="G2626" t="s">
        <v>1197</v>
      </c>
      <c r="H2626" s="2" t="s">
        <v>2813</v>
      </c>
      <c r="I2626" s="12" t="s">
        <v>514</v>
      </c>
      <c r="J2626" s="22">
        <f>+Tabla1[[#This Row],[FECHA ENTRADA]]</f>
        <v>45699</v>
      </c>
      <c r="K2626" s="22">
        <v>45839</v>
      </c>
      <c r="L2626" s="23">
        <f>_xlfn.DAYS(Tabla1[[#This Row],[FECHA FIN ]],Tabla1[[#This Row],[FECHA INICIO]])</f>
        <v>140</v>
      </c>
      <c r="M2626" s="12"/>
      <c r="N2626" s="12"/>
      <c r="O2626" s="24">
        <f>(Tabla1[[#This Row],[COSTO FIJO ]]/30)*Tabla1[[#This Row],[TOTAL DIAS PROYECTO]]+(Tabla1[[#This Row],[COSTO TEMPORAL]])</f>
        <v>0</v>
      </c>
      <c r="P2626" s="12">
        <f t="shared" si="2"/>
        <v>112.33526315789473</v>
      </c>
      <c r="Q2626" s="12">
        <f>+(Tabla1[[#This Row],[COSTO COCHE]]/30)*Tabla1[[#This Row],[TOTAL DIAS PROYECTO]]</f>
        <v>524.23122807017535</v>
      </c>
      <c r="R2626" s="12">
        <f>+Tabla1[[#This Row],[COSTO TOTAL ALOJAMIENTO]]+Tabla1[[#This Row],[COSTO TOTAL COCHE]]</f>
        <v>524.23122807017535</v>
      </c>
      <c r="S2626" s="2"/>
      <c r="T2626" s="2" t="s">
        <v>35</v>
      </c>
      <c r="U2626" s="14">
        <v>45699</v>
      </c>
      <c r="V2626" s="25"/>
      <c r="W2626" s="26"/>
      <c r="X2626" s="2">
        <v>1</v>
      </c>
      <c r="Y2626" s="11"/>
      <c r="Z2626" s="2" t="s">
        <v>36</v>
      </c>
      <c r="AA2626" s="13" t="s">
        <v>10349</v>
      </c>
      <c r="AB2626" s="13" t="s">
        <v>10350</v>
      </c>
    </row>
    <row r="2627" spans="1:28" ht="15" customHeight="1">
      <c r="A2627" s="2" t="s">
        <v>8852</v>
      </c>
      <c r="B2627" s="2" t="s">
        <v>368</v>
      </c>
      <c r="C2627" s="11" t="s">
        <v>1030</v>
      </c>
      <c r="D2627" s="2" t="s">
        <v>99</v>
      </c>
      <c r="E2627" s="2" t="s">
        <v>213</v>
      </c>
      <c r="F2627" s="11" t="s">
        <v>1525</v>
      </c>
      <c r="G2627" t="s">
        <v>1197</v>
      </c>
      <c r="H2627" s="2" t="s">
        <v>2813</v>
      </c>
      <c r="I2627" s="12" t="s">
        <v>514</v>
      </c>
      <c r="J2627" s="22">
        <f>+Tabla1[[#This Row],[FECHA ENTRADA]]</f>
        <v>45699</v>
      </c>
      <c r="K2627" s="22">
        <v>45839</v>
      </c>
      <c r="L2627" s="23">
        <f>_xlfn.DAYS(Tabla1[[#This Row],[FECHA FIN ]],Tabla1[[#This Row],[FECHA INICIO]])</f>
        <v>140</v>
      </c>
      <c r="M2627" s="12"/>
      <c r="N2627" s="12">
        <v>410</v>
      </c>
      <c r="O2627" s="24">
        <f>(Tabla1[[#This Row],[COSTO FIJO ]]/30)*Tabla1[[#This Row],[TOTAL DIAS PROYECTO]]+(Tabla1[[#This Row],[COSTO TEMPORAL]])</f>
        <v>1913.3333333333333</v>
      </c>
      <c r="P2627" s="12">
        <f t="shared" si="2"/>
        <v>112.33526315789473</v>
      </c>
      <c r="Q2627" s="12">
        <f>+(Tabla1[[#This Row],[COSTO COCHE]]/30)*Tabla1[[#This Row],[TOTAL DIAS PROYECTO]]</f>
        <v>524.23122807017535</v>
      </c>
      <c r="R2627" s="12">
        <f>+Tabla1[[#This Row],[COSTO TOTAL ALOJAMIENTO]]+Tabla1[[#This Row],[COSTO TOTAL COCHE]]</f>
        <v>2437.5645614035084</v>
      </c>
      <c r="S2627" s="2"/>
      <c r="T2627" s="2" t="s">
        <v>35</v>
      </c>
      <c r="U2627" s="14">
        <v>45699</v>
      </c>
      <c r="V2627" s="25"/>
      <c r="W2627" s="26"/>
      <c r="X2627" s="2">
        <v>1</v>
      </c>
      <c r="Y2627" t="s">
        <v>4154</v>
      </c>
      <c r="Z2627" s="2" t="s">
        <v>36</v>
      </c>
      <c r="AA2627" s="13" t="s">
        <v>10349</v>
      </c>
      <c r="AB2627" s="13" t="s">
        <v>10350</v>
      </c>
    </row>
    <row r="2628" spans="1:28" ht="15" customHeight="1">
      <c r="A2628" s="2" t="s">
        <v>8951</v>
      </c>
      <c r="B2628" s="2" t="s">
        <v>368</v>
      </c>
      <c r="C2628" s="11" t="s">
        <v>1437</v>
      </c>
      <c r="D2628" s="2" t="s">
        <v>99</v>
      </c>
      <c r="E2628" s="2" t="s">
        <v>213</v>
      </c>
      <c r="F2628" s="11" t="s">
        <v>1492</v>
      </c>
      <c r="G2628" t="s">
        <v>1493</v>
      </c>
      <c r="H2628" s="2" t="s">
        <v>2813</v>
      </c>
      <c r="I2628" s="12" t="s">
        <v>514</v>
      </c>
      <c r="J2628" s="22">
        <f>+Tabla1[[#This Row],[FECHA ENTRADA]]</f>
        <v>45699</v>
      </c>
      <c r="K2628" s="22">
        <v>45839</v>
      </c>
      <c r="L2628" s="23">
        <f>_xlfn.DAYS(Tabla1[[#This Row],[FECHA FIN ]],Tabla1[[#This Row],[FECHA INICIO]])</f>
        <v>140</v>
      </c>
      <c r="M2628" s="12"/>
      <c r="N2628" s="12">
        <v>330</v>
      </c>
      <c r="O2628" s="24">
        <f>(Tabla1[[#This Row],[COSTO FIJO ]]/30)*Tabla1[[#This Row],[TOTAL DIAS PROYECTO]]+(Tabla1[[#This Row],[COSTO TEMPORAL]])</f>
        <v>1540</v>
      </c>
      <c r="P2628" s="12">
        <f t="shared" si="2"/>
        <v>112.33526315789473</v>
      </c>
      <c r="Q2628" s="12">
        <f>+(Tabla1[[#This Row],[COSTO COCHE]]/30)*Tabla1[[#This Row],[TOTAL DIAS PROYECTO]]</f>
        <v>524.23122807017535</v>
      </c>
      <c r="R2628" s="12">
        <f>+Tabla1[[#This Row],[COSTO TOTAL ALOJAMIENTO]]+Tabla1[[#This Row],[COSTO TOTAL COCHE]]</f>
        <v>2064.2312280701753</v>
      </c>
      <c r="S2628" s="2"/>
      <c r="T2628" s="2" t="s">
        <v>35</v>
      </c>
      <c r="U2628" s="14">
        <v>45699</v>
      </c>
      <c r="V2628" s="25"/>
      <c r="W2628" s="26"/>
      <c r="X2628" s="2">
        <v>5</v>
      </c>
      <c r="Y2628" s="11"/>
      <c r="Z2628" s="2" t="s">
        <v>36</v>
      </c>
      <c r="AA2628" s="13" t="s">
        <v>10349</v>
      </c>
      <c r="AB2628" s="13" t="s">
        <v>10350</v>
      </c>
    </row>
    <row r="2629" spans="1:28" ht="15" customHeight="1">
      <c r="A2629" s="2" t="s">
        <v>9670</v>
      </c>
      <c r="B2629" s="2" t="s">
        <v>368</v>
      </c>
      <c r="C2629" s="181" t="s">
        <v>4155</v>
      </c>
      <c r="D2629" s="2" t="s">
        <v>99</v>
      </c>
      <c r="E2629" s="2" t="s">
        <v>213</v>
      </c>
      <c r="F2629" s="11" t="s">
        <v>1492</v>
      </c>
      <c r="G2629" t="s">
        <v>1493</v>
      </c>
      <c r="H2629" s="2" t="s">
        <v>2813</v>
      </c>
      <c r="I2629" s="12" t="s">
        <v>514</v>
      </c>
      <c r="J2629" s="22">
        <f>+Tabla1[[#This Row],[FECHA ENTRADA]]</f>
        <v>45699</v>
      </c>
      <c r="K2629" s="22">
        <v>45839</v>
      </c>
      <c r="L2629" s="23">
        <f>_xlfn.DAYS(Tabla1[[#This Row],[FECHA FIN ]],Tabla1[[#This Row],[FECHA INICIO]])</f>
        <v>140</v>
      </c>
      <c r="M2629" s="12"/>
      <c r="N2629" s="12">
        <v>330</v>
      </c>
      <c r="O2629" s="24">
        <f>(Tabla1[[#This Row],[COSTO FIJO ]]/30)*Tabla1[[#This Row],[TOTAL DIAS PROYECTO]]+(Tabla1[[#This Row],[COSTO TEMPORAL]])</f>
        <v>1540</v>
      </c>
      <c r="P2629" s="12">
        <f t="shared" si="2"/>
        <v>112.33526315789473</v>
      </c>
      <c r="Q2629" s="12">
        <f>+(Tabla1[[#This Row],[COSTO COCHE]]/30)*Tabla1[[#This Row],[TOTAL DIAS PROYECTO]]</f>
        <v>524.23122807017535</v>
      </c>
      <c r="R2629" s="12">
        <f>+Tabla1[[#This Row],[COSTO TOTAL ALOJAMIENTO]]+Tabla1[[#This Row],[COSTO TOTAL COCHE]]</f>
        <v>2064.2312280701753</v>
      </c>
      <c r="S2629" s="2"/>
      <c r="T2629" s="2" t="s">
        <v>35</v>
      </c>
      <c r="U2629" s="14">
        <v>45699</v>
      </c>
      <c r="V2629" s="25"/>
      <c r="W2629" s="26"/>
      <c r="X2629" s="2">
        <v>5</v>
      </c>
      <c r="Y2629" s="11"/>
      <c r="Z2629" s="2" t="s">
        <v>36</v>
      </c>
      <c r="AA2629" s="13" t="s">
        <v>10349</v>
      </c>
      <c r="AB2629" s="13" t="s">
        <v>10350</v>
      </c>
    </row>
    <row r="2630" spans="1:28" ht="15" customHeight="1">
      <c r="A2630" s="2" t="s">
        <v>8868</v>
      </c>
      <c r="B2630" s="2" t="s">
        <v>368</v>
      </c>
      <c r="C2630" s="11" t="s">
        <v>1093</v>
      </c>
      <c r="D2630" s="2" t="s">
        <v>30</v>
      </c>
      <c r="E2630" s="2" t="s">
        <v>213</v>
      </c>
      <c r="F2630" s="11" t="s">
        <v>1492</v>
      </c>
      <c r="G2630" s="30" t="s">
        <v>1493</v>
      </c>
      <c r="H2630" s="2" t="s">
        <v>998</v>
      </c>
      <c r="I2630" s="12" t="s">
        <v>514</v>
      </c>
      <c r="J2630" s="41">
        <v>45631</v>
      </c>
      <c r="K2630" s="22">
        <v>45839</v>
      </c>
      <c r="L2630" s="42">
        <f>_xlfn.DAYS(Tabla1[[#This Row],[FECHA FIN ]],Tabla1[[#This Row],[FECHA INICIO]])</f>
        <v>208</v>
      </c>
      <c r="M2630" s="12"/>
      <c r="N2630" s="12">
        <v>330</v>
      </c>
      <c r="O2630" s="28">
        <f>(Tabla1[[#This Row],[COSTO FIJO ]]/30)*Tabla1[[#This Row],[TOTAL DIAS PROYECTO]]+(Tabla1[[#This Row],[COSTO TEMPORAL]])</f>
        <v>2288</v>
      </c>
      <c r="P2630" s="12">
        <f t="shared" si="2"/>
        <v>112.33526315789473</v>
      </c>
      <c r="Q2630" s="12">
        <f>+(Tabla1[[#This Row],[COSTO COCHE]]/30)*Tabla1[[#This Row],[TOTAL DIAS PROYECTO]]</f>
        <v>778.85782456140339</v>
      </c>
      <c r="R2630" s="12">
        <f>+Tabla1[[#This Row],[COSTO TOTAL ALOJAMIENTO]]+Tabla1[[#This Row],[COSTO TOTAL COCHE]]</f>
        <v>3066.8578245614035</v>
      </c>
      <c r="S2630" s="2"/>
      <c r="T2630" s="2" t="s">
        <v>35</v>
      </c>
      <c r="U2630" s="14"/>
      <c r="V2630" s="43"/>
      <c r="W2630" s="26"/>
      <c r="X2630" s="2">
        <v>5</v>
      </c>
      <c r="Y2630" t="s">
        <v>4156</v>
      </c>
      <c r="Z2630" s="2" t="s">
        <v>36</v>
      </c>
      <c r="AA2630" s="13" t="s">
        <v>10349</v>
      </c>
      <c r="AB2630" s="13" t="s">
        <v>10350</v>
      </c>
    </row>
    <row r="2631" spans="1:28" ht="15" customHeight="1">
      <c r="A2631" s="2" t="s">
        <v>9277</v>
      </c>
      <c r="B2631" s="2" t="s">
        <v>368</v>
      </c>
      <c r="C2631" s="11" t="s">
        <v>2683</v>
      </c>
      <c r="D2631" s="2" t="s">
        <v>30</v>
      </c>
      <c r="E2631" s="2" t="s">
        <v>213</v>
      </c>
      <c r="F2631" s="11" t="s">
        <v>1492</v>
      </c>
      <c r="G2631" t="s">
        <v>1493</v>
      </c>
      <c r="H2631" s="2" t="s">
        <v>1198</v>
      </c>
      <c r="I2631" s="12" t="s">
        <v>514</v>
      </c>
      <c r="J2631" s="22">
        <f>+Tabla1[[#This Row],[FECHA ENTRADA]]</f>
        <v>45801</v>
      </c>
      <c r="K2631" s="22">
        <v>45839</v>
      </c>
      <c r="L2631" s="23">
        <f>_xlfn.DAYS(Tabla1[[#This Row],[FECHA FIN ]],Tabla1[[#This Row],[FECHA INICIO]])</f>
        <v>38</v>
      </c>
      <c r="M2631" s="12"/>
      <c r="N2631" s="12">
        <v>330</v>
      </c>
      <c r="O2631" s="24">
        <f>(Tabla1[[#This Row],[COSTO FIJO ]]/30)*Tabla1[[#This Row],[TOTAL DIAS PROYECTO]]+(Tabla1[[#This Row],[COSTO TEMPORAL]])</f>
        <v>418</v>
      </c>
      <c r="P2631" s="12"/>
      <c r="Q2631" s="12">
        <f>+(Tabla1[[#This Row],[COSTO COCHE]]/30)*Tabla1[[#This Row],[TOTAL DIAS PROYECTO]]</f>
        <v>0</v>
      </c>
      <c r="R2631" s="12">
        <f>+Tabla1[[#This Row],[COSTO TOTAL ALOJAMIENTO]]+Tabla1[[#This Row],[COSTO TOTAL COCHE]]</f>
        <v>418</v>
      </c>
      <c r="S2631" s="2"/>
      <c r="T2631" s="2" t="s">
        <v>35</v>
      </c>
      <c r="U2631" s="14">
        <v>45801</v>
      </c>
      <c r="V2631" s="180"/>
      <c r="W2631" s="2"/>
      <c r="X2631" s="2">
        <v>5</v>
      </c>
      <c r="Y2631" s="11"/>
      <c r="Z2631" s="2" t="s">
        <v>36</v>
      </c>
      <c r="AA2631" s="13" t="s">
        <v>10349</v>
      </c>
      <c r="AB2631" s="13" t="s">
        <v>10350</v>
      </c>
    </row>
    <row r="2632" spans="1:28" ht="15" customHeight="1">
      <c r="A2632" s="2" t="s">
        <v>9319</v>
      </c>
      <c r="B2632" s="2" t="s">
        <v>368</v>
      </c>
      <c r="C2632" s="11" t="s">
        <v>2812</v>
      </c>
      <c r="D2632" s="2" t="s">
        <v>99</v>
      </c>
      <c r="E2632" s="2" t="s">
        <v>213</v>
      </c>
      <c r="F2632" s="11" t="s">
        <v>1492</v>
      </c>
      <c r="G2632" t="s">
        <v>1493</v>
      </c>
      <c r="H2632" s="2" t="s">
        <v>2813</v>
      </c>
      <c r="I2632" s="12" t="s">
        <v>514</v>
      </c>
      <c r="J2632" s="22">
        <f>+Tabla1[[#This Row],[FECHA ENTRADA]]</f>
        <v>45801</v>
      </c>
      <c r="K2632" s="22">
        <v>45839</v>
      </c>
      <c r="L2632" s="23">
        <f>_xlfn.DAYS(Tabla1[[#This Row],[FECHA FIN ]],Tabla1[[#This Row],[FECHA INICIO]])</f>
        <v>38</v>
      </c>
      <c r="M2632" s="12"/>
      <c r="N2632" s="12">
        <v>330</v>
      </c>
      <c r="O2632" s="24">
        <f>(Tabla1[[#This Row],[COSTO FIJO ]]/30)*Tabla1[[#This Row],[TOTAL DIAS PROYECTO]]+(Tabla1[[#This Row],[COSTO TEMPORAL]])</f>
        <v>418</v>
      </c>
      <c r="P2632" s="12"/>
      <c r="Q2632" s="12">
        <f>+(Tabla1[[#This Row],[COSTO COCHE]]/30)*Tabla1[[#This Row],[TOTAL DIAS PROYECTO]]</f>
        <v>0</v>
      </c>
      <c r="R2632" s="12">
        <f>+Tabla1[[#This Row],[COSTO TOTAL ALOJAMIENTO]]+Tabla1[[#This Row],[COSTO TOTAL COCHE]]</f>
        <v>418</v>
      </c>
      <c r="S2632" s="2"/>
      <c r="T2632" s="2" t="s">
        <v>35</v>
      </c>
      <c r="U2632" s="14">
        <v>45801</v>
      </c>
      <c r="V2632" s="180"/>
      <c r="W2632" s="2"/>
      <c r="X2632" s="2">
        <v>5</v>
      </c>
      <c r="Y2632" s="11"/>
      <c r="Z2632" s="2" t="s">
        <v>36</v>
      </c>
      <c r="AA2632" s="13" t="s">
        <v>10349</v>
      </c>
      <c r="AB2632" s="13" t="s">
        <v>10350</v>
      </c>
    </row>
    <row r="2633" spans="1:28" ht="15" customHeight="1">
      <c r="A2633" s="2" t="s">
        <v>8638</v>
      </c>
      <c r="B2633" s="2" t="s">
        <v>368</v>
      </c>
      <c r="C2633" s="11" t="s">
        <v>2815</v>
      </c>
      <c r="D2633" s="2" t="s">
        <v>30</v>
      </c>
      <c r="E2633" s="2" t="s">
        <v>213</v>
      </c>
      <c r="F2633" s="11" t="s">
        <v>1492</v>
      </c>
      <c r="G2633" s="30" t="s">
        <v>1493</v>
      </c>
      <c r="H2633" s="2" t="s">
        <v>1112</v>
      </c>
      <c r="I2633" s="12" t="s">
        <v>514</v>
      </c>
      <c r="J2633" s="41">
        <v>45631</v>
      </c>
      <c r="K2633" s="22">
        <v>45839</v>
      </c>
      <c r="L2633" s="42">
        <f>_xlfn.DAYS(Tabla1[[#This Row],[FECHA FIN ]],Tabla1[[#This Row],[FECHA INICIO]])</f>
        <v>208</v>
      </c>
      <c r="M2633" s="12"/>
      <c r="N2633" s="12">
        <v>330</v>
      </c>
      <c r="O2633" s="28">
        <f>(Tabla1[[#This Row],[COSTO FIJO ]]/30)*Tabla1[[#This Row],[TOTAL DIAS PROYECTO]]+(Tabla1[[#This Row],[COSTO TEMPORAL]])</f>
        <v>2288</v>
      </c>
      <c r="P2633" s="12">
        <f>2134.37/19</f>
        <v>112.33526315789473</v>
      </c>
      <c r="Q2633" s="12">
        <f>+(Tabla1[[#This Row],[COSTO COCHE]]/30)*Tabla1[[#This Row],[TOTAL DIAS PROYECTO]]</f>
        <v>778.85782456140339</v>
      </c>
      <c r="R2633" s="12">
        <f>+Tabla1[[#This Row],[COSTO TOTAL ALOJAMIENTO]]+Tabla1[[#This Row],[COSTO TOTAL COCHE]]</f>
        <v>3066.8578245614035</v>
      </c>
      <c r="S2633" s="2"/>
      <c r="T2633" s="2" t="s">
        <v>35</v>
      </c>
      <c r="U2633" s="14"/>
      <c r="V2633" s="43"/>
      <c r="W2633" s="26"/>
      <c r="X2633" s="2">
        <v>5</v>
      </c>
      <c r="Y2633" s="11"/>
      <c r="Z2633" s="2" t="s">
        <v>36</v>
      </c>
      <c r="AA2633" s="13" t="s">
        <v>10349</v>
      </c>
      <c r="AB2633" s="13" t="s">
        <v>10350</v>
      </c>
    </row>
    <row r="2634" spans="1:28">
      <c r="A2634" s="2" t="s">
        <v>9098</v>
      </c>
      <c r="B2634" s="2" t="s">
        <v>368</v>
      </c>
      <c r="C2634" s="11" t="s">
        <v>2018</v>
      </c>
      <c r="D2634" s="2" t="s">
        <v>30</v>
      </c>
      <c r="E2634" s="2" t="s">
        <v>213</v>
      </c>
      <c r="F2634" s="11" t="s">
        <v>1492</v>
      </c>
      <c r="G2634" t="s">
        <v>1493</v>
      </c>
      <c r="H2634" s="2" t="s">
        <v>1198</v>
      </c>
      <c r="I2634" s="12" t="s">
        <v>514</v>
      </c>
      <c r="J2634" s="22">
        <f>+Tabla1[[#This Row],[FECHA ENTRADA]]</f>
        <v>45801</v>
      </c>
      <c r="K2634" s="22">
        <v>45839</v>
      </c>
      <c r="L2634" s="23">
        <f>_xlfn.DAYS(Tabla1[[#This Row],[FECHA FIN ]],Tabla1[[#This Row],[FECHA INICIO]])</f>
        <v>38</v>
      </c>
      <c r="M2634" s="12"/>
      <c r="N2634" s="12">
        <v>330</v>
      </c>
      <c r="O2634" s="24">
        <f>(Tabla1[[#This Row],[COSTO FIJO ]]/30)*Tabla1[[#This Row],[TOTAL DIAS PROYECTO]]+(Tabla1[[#This Row],[COSTO TEMPORAL]])</f>
        <v>418</v>
      </c>
      <c r="P2634" s="12"/>
      <c r="Q2634" s="12">
        <f>+(Tabla1[[#This Row],[COSTO COCHE]]/30)*Tabla1[[#This Row],[TOTAL DIAS PROYECTO]]</f>
        <v>0</v>
      </c>
      <c r="R2634" s="12">
        <f>+Tabla1[[#This Row],[COSTO TOTAL ALOJAMIENTO]]+Tabla1[[#This Row],[COSTO TOTAL COCHE]]</f>
        <v>418</v>
      </c>
      <c r="S2634" s="2"/>
      <c r="T2634" s="2" t="s">
        <v>35</v>
      </c>
      <c r="U2634" s="14">
        <v>45801</v>
      </c>
      <c r="V2634" s="180"/>
      <c r="W2634" s="2"/>
      <c r="X2634" s="2">
        <v>5</v>
      </c>
      <c r="Y2634" s="11"/>
      <c r="Z2634" s="2" t="s">
        <v>36</v>
      </c>
      <c r="AA2634" s="13" t="s">
        <v>10349</v>
      </c>
      <c r="AB2634" s="13" t="s">
        <v>10350</v>
      </c>
    </row>
    <row r="2635" spans="1:28" ht="15" customHeight="1">
      <c r="A2635" s="2" t="s">
        <v>8841</v>
      </c>
      <c r="B2635" s="2" t="s">
        <v>368</v>
      </c>
      <c r="C2635" s="86" t="s">
        <v>975</v>
      </c>
      <c r="D2635" s="2" t="s">
        <v>30</v>
      </c>
      <c r="E2635" s="2" t="s">
        <v>213</v>
      </c>
      <c r="F2635" s="11" t="s">
        <v>1492</v>
      </c>
      <c r="G2635" s="30" t="s">
        <v>1493</v>
      </c>
      <c r="H2635" s="2" t="s">
        <v>1122</v>
      </c>
      <c r="I2635" s="12" t="s">
        <v>514</v>
      </c>
      <c r="J2635" s="41">
        <v>45631</v>
      </c>
      <c r="K2635" s="22">
        <v>45839</v>
      </c>
      <c r="L2635" s="42">
        <f>_xlfn.DAYS(Tabla1[[#This Row],[FECHA FIN ]],Tabla1[[#This Row],[FECHA INICIO]])</f>
        <v>208</v>
      </c>
      <c r="M2635" s="12"/>
      <c r="N2635" s="12">
        <v>330</v>
      </c>
      <c r="O2635" s="28">
        <f>(Tabla1[[#This Row],[COSTO FIJO ]]/30)*Tabla1[[#This Row],[TOTAL DIAS PROYECTO]]+(Tabla1[[#This Row],[COSTO TEMPORAL]])</f>
        <v>2288</v>
      </c>
      <c r="P2635" s="12">
        <f>2134.37/19</f>
        <v>112.33526315789473</v>
      </c>
      <c r="Q2635" s="12">
        <f>+(Tabla1[[#This Row],[COSTO COCHE]]/30)*Tabla1[[#This Row],[TOTAL DIAS PROYECTO]]</f>
        <v>778.85782456140339</v>
      </c>
      <c r="R2635" s="12">
        <f>+Tabla1[[#This Row],[COSTO TOTAL ALOJAMIENTO]]+Tabla1[[#This Row],[COSTO TOTAL COCHE]]</f>
        <v>3066.8578245614035</v>
      </c>
      <c r="S2635" s="2"/>
      <c r="T2635" s="2" t="s">
        <v>35</v>
      </c>
      <c r="U2635" s="14"/>
      <c r="V2635" s="43"/>
      <c r="W2635" s="26"/>
      <c r="X2635" s="2">
        <v>5</v>
      </c>
      <c r="Y2635" s="11"/>
      <c r="Z2635" s="2" t="s">
        <v>36</v>
      </c>
      <c r="AA2635" s="13" t="s">
        <v>10349</v>
      </c>
      <c r="AB2635" s="13" t="s">
        <v>10350</v>
      </c>
    </row>
    <row r="2636" spans="1:28" ht="15" customHeight="1">
      <c r="A2636" s="2" t="s">
        <v>8638</v>
      </c>
      <c r="B2636" s="2" t="s">
        <v>368</v>
      </c>
      <c r="C2636" s="11" t="s">
        <v>4157</v>
      </c>
      <c r="D2636" s="2" t="s">
        <v>30</v>
      </c>
      <c r="E2636" s="2" t="s">
        <v>213</v>
      </c>
      <c r="F2636" s="11" t="s">
        <v>1492</v>
      </c>
      <c r="G2636" t="s">
        <v>1493</v>
      </c>
      <c r="H2636" s="2" t="s">
        <v>1198</v>
      </c>
      <c r="I2636" s="12" t="s">
        <v>514</v>
      </c>
      <c r="J2636" s="22">
        <f>+Tabla1[[#This Row],[FECHA ENTRADA]]</f>
        <v>45801</v>
      </c>
      <c r="K2636" s="22">
        <v>45839</v>
      </c>
      <c r="L2636" s="23">
        <f>_xlfn.DAYS(Tabla1[[#This Row],[FECHA FIN ]],Tabla1[[#This Row],[FECHA INICIO]])</f>
        <v>38</v>
      </c>
      <c r="M2636" s="12"/>
      <c r="N2636" s="12">
        <v>330</v>
      </c>
      <c r="O2636" s="24">
        <f>(Tabla1[[#This Row],[COSTO FIJO ]]/30)*Tabla1[[#This Row],[TOTAL DIAS PROYECTO]]+(Tabla1[[#This Row],[COSTO TEMPORAL]])</f>
        <v>418</v>
      </c>
      <c r="P2636" s="12"/>
      <c r="Q2636" s="12">
        <f>+(Tabla1[[#This Row],[COSTO COCHE]]/30)*Tabla1[[#This Row],[TOTAL DIAS PROYECTO]]</f>
        <v>0</v>
      </c>
      <c r="R2636" s="12">
        <f>+Tabla1[[#This Row],[COSTO TOTAL ALOJAMIENTO]]+Tabla1[[#This Row],[COSTO TOTAL COCHE]]</f>
        <v>418</v>
      </c>
      <c r="S2636" s="2"/>
      <c r="T2636" s="2" t="s">
        <v>35</v>
      </c>
      <c r="U2636" s="14">
        <v>45801</v>
      </c>
      <c r="V2636" s="180"/>
      <c r="W2636" s="2"/>
      <c r="X2636" s="2">
        <v>5</v>
      </c>
      <c r="Y2636" s="11"/>
      <c r="Z2636" s="2" t="s">
        <v>36</v>
      </c>
      <c r="AA2636" s="13" t="s">
        <v>10349</v>
      </c>
      <c r="AB2636" s="13" t="s">
        <v>10350</v>
      </c>
    </row>
    <row r="2637" spans="1:28" ht="15" customHeight="1">
      <c r="A2637" s="2" t="s">
        <v>8814</v>
      </c>
      <c r="B2637" s="2" t="s">
        <v>368</v>
      </c>
      <c r="C2637" s="11" t="s">
        <v>870</v>
      </c>
      <c r="D2637" s="2" t="s">
        <v>30</v>
      </c>
      <c r="E2637" s="2" t="s">
        <v>213</v>
      </c>
      <c r="F2637" s="11" t="s">
        <v>1492</v>
      </c>
      <c r="G2637" t="s">
        <v>1493</v>
      </c>
      <c r="H2637" s="2" t="s">
        <v>1198</v>
      </c>
      <c r="I2637" s="12" t="s">
        <v>514</v>
      </c>
      <c r="J2637" s="22">
        <f>+Tabla1[[#This Row],[FECHA ENTRADA]]</f>
        <v>45801</v>
      </c>
      <c r="K2637" s="22">
        <v>45839</v>
      </c>
      <c r="L2637" s="23">
        <f>_xlfn.DAYS(Tabla1[[#This Row],[FECHA FIN ]],Tabla1[[#This Row],[FECHA INICIO]])</f>
        <v>38</v>
      </c>
      <c r="M2637" s="12"/>
      <c r="N2637" s="12">
        <v>330</v>
      </c>
      <c r="O2637" s="24">
        <f>(Tabla1[[#This Row],[COSTO FIJO ]]/30)*Tabla1[[#This Row],[TOTAL DIAS PROYECTO]]+(Tabla1[[#This Row],[COSTO TEMPORAL]])</f>
        <v>418</v>
      </c>
      <c r="P2637" s="12"/>
      <c r="Q2637" s="12">
        <f>+(Tabla1[[#This Row],[COSTO COCHE]]/30)*Tabla1[[#This Row],[TOTAL DIAS PROYECTO]]</f>
        <v>0</v>
      </c>
      <c r="R2637" s="12">
        <f>+Tabla1[[#This Row],[COSTO TOTAL ALOJAMIENTO]]+Tabla1[[#This Row],[COSTO TOTAL COCHE]]</f>
        <v>418</v>
      </c>
      <c r="S2637" s="2"/>
      <c r="T2637" s="2" t="s">
        <v>35</v>
      </c>
      <c r="U2637" s="14">
        <v>45801</v>
      </c>
      <c r="V2637" s="180"/>
      <c r="W2637" s="2"/>
      <c r="X2637" s="2">
        <v>5</v>
      </c>
      <c r="Y2637" s="11"/>
      <c r="Z2637" s="2" t="s">
        <v>36</v>
      </c>
      <c r="AA2637" s="13" t="s">
        <v>10349</v>
      </c>
      <c r="AB2637" s="13" t="s">
        <v>10350</v>
      </c>
    </row>
    <row r="2638" spans="1:28" ht="15" customHeight="1">
      <c r="A2638" s="2" t="s">
        <v>9427</v>
      </c>
      <c r="B2638" s="2" t="s">
        <v>28</v>
      </c>
      <c r="C2638" s="11" t="s">
        <v>3130</v>
      </c>
      <c r="D2638" s="2" t="s">
        <v>30</v>
      </c>
      <c r="E2638" s="2" t="s">
        <v>790</v>
      </c>
      <c r="F2638" s="11" t="s">
        <v>4158</v>
      </c>
      <c r="G2638" s="46" t="s">
        <v>4159</v>
      </c>
      <c r="H2638" s="2" t="s">
        <v>4160</v>
      </c>
      <c r="I2638" s="12" t="s">
        <v>292</v>
      </c>
      <c r="J2638" s="41">
        <f>+Tabla1[[#This Row],[FECHA ENTRADA]]</f>
        <v>45830</v>
      </c>
      <c r="K2638" s="41">
        <v>45839</v>
      </c>
      <c r="L2638" s="42">
        <f>_xlfn.DAYS(Tabla1[[#This Row],[FECHA FIN ]],Tabla1[[#This Row],[FECHA INICIO]])</f>
        <v>9</v>
      </c>
      <c r="M2638" s="12"/>
      <c r="N2638" s="12">
        <f>544.5/2</f>
        <v>272.25</v>
      </c>
      <c r="O2638" s="28">
        <f>(Tabla1[[#This Row],[COSTO FIJO ]]/30)*Tabla1[[#This Row],[TOTAL DIAS PROYECTO]]+(Tabla1[[#This Row],[COSTO TEMPORAL]])</f>
        <v>81.674999999999997</v>
      </c>
      <c r="P2638" s="12"/>
      <c r="Q2638" s="12">
        <f>+(Tabla1[[#This Row],[COSTO COCHE]]/30)*Tabla1[[#This Row],[TOTAL DIAS PROYECTO]]</f>
        <v>0</v>
      </c>
      <c r="R2638" s="12">
        <f>+Tabla1[[#This Row],[COSTO TOTAL ALOJAMIENTO]]+Tabla1[[#This Row],[COSTO TOTAL COCHE]]</f>
        <v>81.674999999999997</v>
      </c>
      <c r="S2638" s="2"/>
      <c r="T2638" s="14" t="s">
        <v>44</v>
      </c>
      <c r="U2638" s="14">
        <v>45830</v>
      </c>
      <c r="V2638" s="43">
        <v>45839</v>
      </c>
      <c r="W2638" s="2"/>
      <c r="X2638" s="2"/>
      <c r="Y2638" s="11"/>
      <c r="Z2638" s="2" t="s">
        <v>36</v>
      </c>
      <c r="AA2638" s="13">
        <v>-574377</v>
      </c>
      <c r="AB2638" s="13">
        <v>4150368</v>
      </c>
    </row>
    <row r="2639" spans="1:28" ht="15" customHeight="1">
      <c r="A2639" s="2" t="s">
        <v>8638</v>
      </c>
      <c r="B2639" s="2" t="s">
        <v>28</v>
      </c>
      <c r="C2639" s="11" t="s">
        <v>4151</v>
      </c>
      <c r="D2639" s="2" t="s">
        <v>30</v>
      </c>
      <c r="E2639" s="2" t="s">
        <v>790</v>
      </c>
      <c r="F2639" s="11" t="s">
        <v>4158</v>
      </c>
      <c r="G2639" s="46" t="s">
        <v>4159</v>
      </c>
      <c r="H2639" s="2" t="s">
        <v>4160</v>
      </c>
      <c r="I2639" s="12" t="s">
        <v>292</v>
      </c>
      <c r="J2639" s="41">
        <f>+Tabla1[[#This Row],[FECHA ENTRADA]]</f>
        <v>45830</v>
      </c>
      <c r="K2639" s="41">
        <v>45839</v>
      </c>
      <c r="L2639" s="42">
        <f>_xlfn.DAYS(Tabla1[[#This Row],[FECHA FIN ]],Tabla1[[#This Row],[FECHA INICIO]])</f>
        <v>9</v>
      </c>
      <c r="M2639" s="12"/>
      <c r="N2639" s="12">
        <f>544.5/2</f>
        <v>272.25</v>
      </c>
      <c r="O2639" s="28">
        <f>(Tabla1[[#This Row],[COSTO FIJO ]]/30)*Tabla1[[#This Row],[TOTAL DIAS PROYECTO]]+(Tabla1[[#This Row],[COSTO TEMPORAL]])</f>
        <v>81.674999999999997</v>
      </c>
      <c r="P2639" s="12"/>
      <c r="Q2639" s="12">
        <f>+(Tabla1[[#This Row],[COSTO COCHE]]/30)*Tabla1[[#This Row],[TOTAL DIAS PROYECTO]]</f>
        <v>0</v>
      </c>
      <c r="R2639" s="12">
        <f>+Tabla1[[#This Row],[COSTO TOTAL ALOJAMIENTO]]+Tabla1[[#This Row],[COSTO TOTAL COCHE]]</f>
        <v>81.674999999999997</v>
      </c>
      <c r="S2639" s="2"/>
      <c r="T2639" s="14" t="s">
        <v>44</v>
      </c>
      <c r="U2639" s="14">
        <v>45830</v>
      </c>
      <c r="V2639" s="43">
        <v>45839</v>
      </c>
      <c r="W2639" s="2"/>
      <c r="X2639" s="2"/>
      <c r="Y2639" s="11"/>
      <c r="Z2639" s="2" t="s">
        <v>36</v>
      </c>
      <c r="AA2639" s="13">
        <v>-574377</v>
      </c>
      <c r="AB2639" s="13">
        <v>4150368</v>
      </c>
    </row>
    <row r="2640" spans="1:28" ht="15" customHeight="1">
      <c r="A2640" s="2" t="s">
        <v>8987</v>
      </c>
      <c r="B2640" s="2" t="s">
        <v>368</v>
      </c>
      <c r="C2640" s="11" t="s">
        <v>1601</v>
      </c>
      <c r="D2640" s="2" t="s">
        <v>30</v>
      </c>
      <c r="E2640" s="2" t="s">
        <v>4161</v>
      </c>
      <c r="F2640" s="11" t="s">
        <v>4162</v>
      </c>
      <c r="G2640" s="21" t="s">
        <v>4163</v>
      </c>
      <c r="H2640" s="2" t="s">
        <v>4164</v>
      </c>
      <c r="I2640" s="10" t="s">
        <v>4165</v>
      </c>
      <c r="J2640" s="22">
        <f>+Tabla1[[#This Row],[FECHA ENTRADA]]</f>
        <v>45811</v>
      </c>
      <c r="K2640" s="22">
        <v>45839</v>
      </c>
      <c r="L2640" s="23">
        <f>_xlfn.DAYS(Tabla1[[#This Row],[FECHA FIN ]],Tabla1[[#This Row],[FECHA INICIO]])</f>
        <v>28</v>
      </c>
      <c r="M2640" s="12"/>
      <c r="N2640" s="12"/>
      <c r="O2640" s="24">
        <f>(Tabla1[[#This Row],[COSTO FIJO ]]/30)*Tabla1[[#This Row],[TOTAL DIAS PROYECTO]]+(Tabla1[[#This Row],[COSTO TEMPORAL]])</f>
        <v>0</v>
      </c>
      <c r="P2640" s="12"/>
      <c r="Q2640" s="12">
        <f>+(Tabla1[[#This Row],[COSTO COCHE]]/30)*Tabla1[[#This Row],[TOTAL DIAS PROYECTO]]</f>
        <v>0</v>
      </c>
      <c r="R2640" s="12">
        <f>+Tabla1[[#This Row],[COSTO TOTAL ALOJAMIENTO]]+Tabla1[[#This Row],[COSTO TOTAL COCHE]]</f>
        <v>0</v>
      </c>
      <c r="S2640" s="2"/>
      <c r="T2640" s="14" t="s">
        <v>44</v>
      </c>
      <c r="U2640" s="14">
        <v>45811</v>
      </c>
      <c r="V2640" s="79">
        <v>45841</v>
      </c>
      <c r="W2640" s="2"/>
      <c r="X2640" s="2"/>
      <c r="Y2640" s="11"/>
      <c r="Z2640" s="2" t="s">
        <v>36</v>
      </c>
      <c r="AA2640" s="13" t="e">
        <v>#N/A</v>
      </c>
      <c r="AB2640" s="13" t="e">
        <v>#N/A</v>
      </c>
    </row>
    <row r="2641" spans="1:28" ht="15" customHeight="1">
      <c r="A2641" s="2" t="s">
        <v>9671</v>
      </c>
      <c r="B2641" s="2" t="s">
        <v>368</v>
      </c>
      <c r="C2641" s="11" t="s">
        <v>4166</v>
      </c>
      <c r="D2641" s="2" t="s">
        <v>30</v>
      </c>
      <c r="E2641" s="2" t="s">
        <v>4161</v>
      </c>
      <c r="F2641" s="11" t="s">
        <v>4162</v>
      </c>
      <c r="G2641" s="21" t="s">
        <v>4163</v>
      </c>
      <c r="H2641" s="2" t="s">
        <v>4164</v>
      </c>
      <c r="I2641" s="10" t="s">
        <v>4165</v>
      </c>
      <c r="J2641" s="22">
        <f>+Tabla1[[#This Row],[FECHA ENTRADA]]</f>
        <v>45811</v>
      </c>
      <c r="K2641" s="22">
        <v>45839</v>
      </c>
      <c r="L2641" s="23">
        <f>_xlfn.DAYS(Tabla1[[#This Row],[FECHA FIN ]],Tabla1[[#This Row],[FECHA INICIO]])</f>
        <v>28</v>
      </c>
      <c r="M2641" s="12"/>
      <c r="N2641" s="12"/>
      <c r="O2641" s="24">
        <f>(Tabla1[[#This Row],[COSTO FIJO ]]/30)*Tabla1[[#This Row],[TOTAL DIAS PROYECTO]]+(Tabla1[[#This Row],[COSTO TEMPORAL]])</f>
        <v>0</v>
      </c>
      <c r="P2641" s="12"/>
      <c r="Q2641" s="12">
        <f>+(Tabla1[[#This Row],[COSTO COCHE]]/30)*Tabla1[[#This Row],[TOTAL DIAS PROYECTO]]</f>
        <v>0</v>
      </c>
      <c r="R2641" s="12">
        <f>+Tabla1[[#This Row],[COSTO TOTAL ALOJAMIENTO]]+Tabla1[[#This Row],[COSTO TOTAL COCHE]]</f>
        <v>0</v>
      </c>
      <c r="S2641" s="2"/>
      <c r="T2641" s="14" t="s">
        <v>44</v>
      </c>
      <c r="U2641" s="14">
        <v>45811</v>
      </c>
      <c r="V2641" s="79">
        <v>45841</v>
      </c>
      <c r="W2641" s="2"/>
      <c r="X2641" s="2"/>
      <c r="Y2641" s="11"/>
      <c r="Z2641" s="2" t="s">
        <v>36</v>
      </c>
      <c r="AA2641" s="13" t="e">
        <v>#N/A</v>
      </c>
      <c r="AB2641" s="13" t="e">
        <v>#N/A</v>
      </c>
    </row>
    <row r="2642" spans="1:28" ht="15" customHeight="1">
      <c r="A2642" s="2" t="s">
        <v>8814</v>
      </c>
      <c r="B2642" s="2" t="s">
        <v>28</v>
      </c>
      <c r="C2642" s="11" t="s">
        <v>870</v>
      </c>
      <c r="D2642" s="2" t="s">
        <v>99</v>
      </c>
      <c r="E2642" s="2" t="s">
        <v>626</v>
      </c>
      <c r="F2642" s="11" t="s">
        <v>2376</v>
      </c>
      <c r="G2642" t="s">
        <v>2377</v>
      </c>
      <c r="H2642" s="2" t="s">
        <v>2580</v>
      </c>
      <c r="I2642" s="12" t="s">
        <v>570</v>
      </c>
      <c r="J2642" s="41">
        <f>+Tabla1[[#This Row],[FECHA ENTRADA]]</f>
        <v>45824</v>
      </c>
      <c r="K2642" s="22">
        <v>45839</v>
      </c>
      <c r="L2642" s="42">
        <f>_xlfn.DAYS(Tabla1[[#This Row],[FECHA FIN ]],Tabla1[[#This Row],[FECHA INICIO]])</f>
        <v>15</v>
      </c>
      <c r="M2642" s="12"/>
      <c r="N2642" s="12"/>
      <c r="O2642" s="28">
        <f>(Tabla1[[#This Row],[COSTO FIJO ]]/30)*Tabla1[[#This Row],[TOTAL DIAS PROYECTO]]+(Tabla1[[#This Row],[COSTO TEMPORAL]])</f>
        <v>0</v>
      </c>
      <c r="P2642" s="12"/>
      <c r="Q2642" s="12">
        <f>+(Tabla1[[#This Row],[COSTO COCHE]]/30)*Tabla1[[#This Row],[TOTAL DIAS PROYECTO]]</f>
        <v>0</v>
      </c>
      <c r="R2642" s="12">
        <f>+Tabla1[[#This Row],[COSTO TOTAL ALOJAMIENTO]]+Tabla1[[#This Row],[COSTO TOTAL COCHE]]</f>
        <v>0</v>
      </c>
      <c r="S2642" s="2"/>
      <c r="T2642" s="14" t="s">
        <v>44</v>
      </c>
      <c r="U2642" s="14">
        <v>45824</v>
      </c>
      <c r="V2642" s="25">
        <v>45846</v>
      </c>
      <c r="W2642" s="2"/>
      <c r="X2642" s="2"/>
      <c r="Y2642" s="11"/>
      <c r="Z2642" s="2" t="s">
        <v>36</v>
      </c>
      <c r="AA2642" s="13" t="s">
        <v>10385</v>
      </c>
      <c r="AB2642" s="13" t="s">
        <v>10386</v>
      </c>
    </row>
    <row r="2643" spans="1:28" ht="15" customHeight="1">
      <c r="A2643" s="2" t="s">
        <v>8972</v>
      </c>
      <c r="B2643" s="2" t="s">
        <v>368</v>
      </c>
      <c r="C2643" s="11" t="s">
        <v>1555</v>
      </c>
      <c r="D2643" s="2" t="s">
        <v>99</v>
      </c>
      <c r="E2643" s="2" t="s">
        <v>109</v>
      </c>
      <c r="F2643" s="11" t="s">
        <v>3066</v>
      </c>
      <c r="G2643" s="100" t="s">
        <v>3067</v>
      </c>
      <c r="H2643" s="2" t="s">
        <v>4167</v>
      </c>
      <c r="I2643" s="12" t="s">
        <v>42</v>
      </c>
      <c r="J2643" s="22">
        <f>+Tabla1[[#This Row],[FECHA ENTRADA]]</f>
        <v>45764</v>
      </c>
      <c r="K2643" s="22">
        <v>45789</v>
      </c>
      <c r="L2643" s="23">
        <f>_xlfn.DAYS(Tabla1[[#This Row],[FECHA FIN ]],Tabla1[[#This Row],[FECHA INICIO]])</f>
        <v>25</v>
      </c>
      <c r="M2643" s="12"/>
      <c r="N2643" s="12">
        <f>1811.6/17</f>
        <v>106.56470588235294</v>
      </c>
      <c r="O2643" s="24">
        <f>(Tabla1[[#This Row],[COSTO FIJO ]]/30)*Tabla1[[#This Row],[TOTAL DIAS PROYECTO]]+(Tabla1[[#This Row],[COSTO TEMPORAL]])</f>
        <v>88.803921568627459</v>
      </c>
      <c r="P2643" s="12">
        <v>100</v>
      </c>
      <c r="Q2643" s="12">
        <f>+(Tabla1[[#This Row],[COSTO COCHE]]/30)*Tabla1[[#This Row],[TOTAL DIAS PROYECTO]]</f>
        <v>83.333333333333343</v>
      </c>
      <c r="R2643" s="12">
        <f>+Tabla1[[#This Row],[COSTO TOTAL ALOJAMIENTO]]+Tabla1[[#This Row],[COSTO TOTAL COCHE]]</f>
        <v>172.1372549019608</v>
      </c>
      <c r="S2643" s="2"/>
      <c r="T2643" s="2" t="s">
        <v>35</v>
      </c>
      <c r="U2643" s="14">
        <v>45764</v>
      </c>
      <c r="V2643" s="25"/>
      <c r="W2643" s="26"/>
      <c r="X2643" s="2">
        <v>4</v>
      </c>
      <c r="Y2643" s="11"/>
      <c r="Z2643" s="2" t="s">
        <v>36</v>
      </c>
      <c r="AA2643" s="13">
        <v>0.62217999999999996</v>
      </c>
      <c r="AB2643" s="13" t="s">
        <v>10339</v>
      </c>
    </row>
    <row r="2644" spans="1:28">
      <c r="A2644" s="2" t="s">
        <v>8638</v>
      </c>
      <c r="B2644" s="2" t="s">
        <v>28</v>
      </c>
      <c r="C2644" s="99" t="s">
        <v>4168</v>
      </c>
      <c r="D2644" s="2" t="s">
        <v>30</v>
      </c>
      <c r="E2644" s="2" t="s">
        <v>87</v>
      </c>
      <c r="F2644" s="11" t="s">
        <v>567</v>
      </c>
      <c r="G2644" s="11" t="s">
        <v>568</v>
      </c>
      <c r="H2644" s="2">
        <v>2023</v>
      </c>
      <c r="I2644" s="2" t="s">
        <v>4169</v>
      </c>
      <c r="J2644" s="8">
        <v>45278</v>
      </c>
      <c r="K2644" s="8">
        <v>45839</v>
      </c>
      <c r="L2644" s="13">
        <f>_xlfn.DAYS(Tabla1[[#This Row],[FECHA FIN ]],Tabla1[[#This Row],[FECHA INICIO]])</f>
        <v>561</v>
      </c>
      <c r="M2644" s="12"/>
      <c r="N2644" s="20">
        <f>1302.5/3</f>
        <v>434.16666666666669</v>
      </c>
      <c r="O2644" s="12">
        <f>(Tabla1[[#This Row],[COSTO FIJO ]]/30)*Tabla1[[#This Row],[TOTAL DIAS PROYECTO]]+(Tabla1[[#This Row],[COSTO TEMPORAL]])</f>
        <v>8118.916666666667</v>
      </c>
      <c r="P2644" s="12"/>
      <c r="Q2644" s="12">
        <f>+(Tabla1[[#This Row],[COSTO COCHE]]/30)*Tabla1[[#This Row],[TOTAL DIAS PROYECTO]]</f>
        <v>0</v>
      </c>
      <c r="R2644" s="12">
        <f>+Tabla1[[#This Row],[COSTO TOTAL ALOJAMIENTO]]+Tabla1[[#This Row],[COSTO TOTAL COCHE]]</f>
        <v>8118.916666666667</v>
      </c>
      <c r="S2644" s="2"/>
      <c r="T2644" s="2" t="s">
        <v>35</v>
      </c>
      <c r="U2644" s="14"/>
      <c r="V2644" s="14"/>
      <c r="W2644" s="15"/>
      <c r="X2644" s="16">
        <v>9</v>
      </c>
      <c r="Y2644" s="11"/>
      <c r="Z2644" s="2" t="s">
        <v>36</v>
      </c>
      <c r="AA2644" s="13" t="s">
        <v>10335</v>
      </c>
      <c r="AB2644" s="13">
        <v>404.16500000000002</v>
      </c>
    </row>
    <row r="2645" spans="1:28" ht="15" customHeight="1">
      <c r="A2645" s="2" t="s">
        <v>9672</v>
      </c>
      <c r="B2645" s="2" t="s">
        <v>28</v>
      </c>
      <c r="C2645" s="11" t="s">
        <v>4170</v>
      </c>
      <c r="D2645" s="2" t="s">
        <v>99</v>
      </c>
      <c r="E2645" s="2" t="s">
        <v>626</v>
      </c>
      <c r="F2645" s="11" t="s">
        <v>2376</v>
      </c>
      <c r="G2645" s="30" t="s">
        <v>2377</v>
      </c>
      <c r="H2645" s="2" t="s">
        <v>4171</v>
      </c>
      <c r="I2645" s="12" t="s">
        <v>570</v>
      </c>
      <c r="J2645" s="22">
        <f>+Tabla1[[#This Row],[FECHA ENTRADA]]</f>
        <v>45804</v>
      </c>
      <c r="K2645" s="22">
        <v>45839</v>
      </c>
      <c r="L2645" s="23">
        <f>_xlfn.DAYS(Tabla1[[#This Row],[FECHA FIN ]],Tabla1[[#This Row],[FECHA INICIO]])</f>
        <v>35</v>
      </c>
      <c r="M2645" s="12"/>
      <c r="N2645" s="12"/>
      <c r="O2645" s="24">
        <f>(Tabla1[[#This Row],[COSTO FIJO ]]/30)*Tabla1[[#This Row],[TOTAL DIAS PROYECTO]]+(Tabla1[[#This Row],[COSTO TEMPORAL]])</f>
        <v>0</v>
      </c>
      <c r="P2645" s="12"/>
      <c r="Q2645" s="12">
        <f>+(Tabla1[[#This Row],[COSTO COCHE]]/30)*Tabla1[[#This Row],[TOTAL DIAS PROYECTO]]</f>
        <v>0</v>
      </c>
      <c r="R2645" s="12">
        <f>+Tabla1[[#This Row],[COSTO TOTAL ALOJAMIENTO]]+Tabla1[[#This Row],[COSTO TOTAL COCHE]]</f>
        <v>0</v>
      </c>
      <c r="S2645" s="2"/>
      <c r="T2645" s="2" t="s">
        <v>44</v>
      </c>
      <c r="U2645" s="14">
        <v>45804</v>
      </c>
      <c r="V2645" s="25">
        <v>45884</v>
      </c>
      <c r="W2645" s="2"/>
      <c r="X2645" s="2"/>
      <c r="Y2645" s="11" t="s">
        <v>4172</v>
      </c>
      <c r="Z2645" s="2" t="s">
        <v>36</v>
      </c>
      <c r="AA2645" s="13" t="s">
        <v>10385</v>
      </c>
      <c r="AB2645" s="13" t="s">
        <v>10386</v>
      </c>
    </row>
    <row r="2646" spans="1:28" ht="15" customHeight="1">
      <c r="A2646" s="2" t="s">
        <v>8638</v>
      </c>
      <c r="B2646" s="2" t="s">
        <v>28</v>
      </c>
      <c r="C2646" s="11" t="s">
        <v>2691</v>
      </c>
      <c r="D2646" s="2" t="s">
        <v>30</v>
      </c>
      <c r="E2646" s="2" t="s">
        <v>370</v>
      </c>
      <c r="F2646" s="11" t="s">
        <v>4173</v>
      </c>
      <c r="G2646" s="11" t="s">
        <v>2124</v>
      </c>
      <c r="H2646" s="2" t="s">
        <v>405</v>
      </c>
      <c r="I2646" s="12" t="s">
        <v>406</v>
      </c>
      <c r="J2646" s="8">
        <f>+Tabla1[[#This Row],[FECHA ENTRADA]]</f>
        <v>45489</v>
      </c>
      <c r="K2646" s="22">
        <v>45840</v>
      </c>
      <c r="L2646" s="13">
        <f>_xlfn.DAYS(Tabla1[[#This Row],[FECHA FIN ]],Tabla1[[#This Row],[FECHA INICIO]])</f>
        <v>351</v>
      </c>
      <c r="M2646" s="12"/>
      <c r="N2646" s="12"/>
      <c r="O2646" s="12">
        <f>(Tabla1[[#This Row],[COSTO FIJO ]]/30)*Tabla1[[#This Row],[TOTAL DIAS PROYECTO]]+(Tabla1[[#This Row],[COSTO TEMPORAL]])</f>
        <v>0</v>
      </c>
      <c r="P2646" s="12"/>
      <c r="Q2646" s="12">
        <f>+(Tabla1[[#This Row],[COSTO COCHE]]/30)*Tabla1[[#This Row],[TOTAL DIAS PROYECTO]]</f>
        <v>0</v>
      </c>
      <c r="R2646" s="12">
        <f>+Tabla1[[#This Row],[COSTO TOTAL ALOJAMIENTO]]+Tabla1[[#This Row],[COSTO TOTAL COCHE]]</f>
        <v>0</v>
      </c>
      <c r="S2646" s="2"/>
      <c r="T2646" s="2" t="s">
        <v>35</v>
      </c>
      <c r="U2646" s="14">
        <v>45489</v>
      </c>
      <c r="V2646" s="14"/>
      <c r="W2646" s="26">
        <v>1500</v>
      </c>
      <c r="X2646" s="2">
        <v>1</v>
      </c>
      <c r="Y2646" s="11" t="s">
        <v>4174</v>
      </c>
      <c r="Z2646" s="2" t="s">
        <v>36</v>
      </c>
      <c r="AA2646" s="13" t="s">
        <v>10368</v>
      </c>
      <c r="AB2646" s="13" t="s">
        <v>10369</v>
      </c>
    </row>
    <row r="2647" spans="1:28" ht="15" customHeight="1">
      <c r="A2647" s="2" t="s">
        <v>8932</v>
      </c>
      <c r="B2647" s="2" t="s">
        <v>368</v>
      </c>
      <c r="C2647" s="11" t="s">
        <v>1331</v>
      </c>
      <c r="D2647" s="2" t="s">
        <v>99</v>
      </c>
      <c r="E2647" s="2" t="s">
        <v>380</v>
      </c>
      <c r="F2647" s="11" t="s">
        <v>4035</v>
      </c>
      <c r="G2647" s="46" t="s">
        <v>4175</v>
      </c>
      <c r="H2647" s="2" t="s">
        <v>4037</v>
      </c>
      <c r="I2647" s="12" t="s">
        <v>1288</v>
      </c>
      <c r="J2647" s="22">
        <f>+Tabla1[[#This Row],[FECHA ENTRADA]]</f>
        <v>45672</v>
      </c>
      <c r="K2647" s="41">
        <f ca="1">TODAY()</f>
        <v>46260</v>
      </c>
      <c r="L2647" s="42">
        <f ca="1">_xlfn.DAYS(Tabla1[[#This Row],[FECHA FIN ]],Tabla1[[#This Row],[FECHA INICIO]])</f>
        <v>588</v>
      </c>
      <c r="M2647" s="12"/>
      <c r="N2647" s="12"/>
      <c r="O2647" s="24">
        <f ca="1">(Tabla1[[#This Row],[COSTO FIJO ]]/30)*Tabla1[[#This Row],[TOTAL DIAS PROYECTO]]+(Tabla1[[#This Row],[COSTO TEMPORAL]])</f>
        <v>0</v>
      </c>
      <c r="P2647" s="12">
        <f>1600/17</f>
        <v>94.117647058823536</v>
      </c>
      <c r="Q2647" s="12">
        <f ca="1">+(Tabla1[[#This Row],[COSTO COCHE]]/30)*Tabla1[[#This Row],[TOTAL DIAS PROYECTO]]</f>
        <v>1844.7058823529414</v>
      </c>
      <c r="R2647" s="12">
        <f ca="1">+Tabla1[[#This Row],[COSTO TOTAL ALOJAMIENTO]]+Tabla1[[#This Row],[COSTO TOTAL COCHE]]</f>
        <v>1844.7058823529414</v>
      </c>
      <c r="S2647" s="2"/>
      <c r="T2647" s="2" t="s">
        <v>35</v>
      </c>
      <c r="U2647" s="14">
        <v>45672</v>
      </c>
      <c r="V2647" s="43"/>
      <c r="W2647" s="26"/>
      <c r="X2647" s="2">
        <v>15</v>
      </c>
      <c r="Y2647" s="11"/>
      <c r="Z2647" s="2" t="s">
        <v>36</v>
      </c>
      <c r="AA2647" s="13" t="s">
        <v>10370</v>
      </c>
      <c r="AB2647" s="13" t="s">
        <v>10371</v>
      </c>
    </row>
    <row r="2648" spans="1:28" ht="15" customHeight="1">
      <c r="A2648" s="2" t="s">
        <v>8638</v>
      </c>
      <c r="B2648" s="2" t="s">
        <v>28</v>
      </c>
      <c r="C2648" s="11" t="s">
        <v>2691</v>
      </c>
      <c r="D2648" s="2" t="s">
        <v>30</v>
      </c>
      <c r="E2648" s="2" t="s">
        <v>370</v>
      </c>
      <c r="F2648" s="11" t="s">
        <v>2123</v>
      </c>
      <c r="G2648" s="11" t="s">
        <v>2124</v>
      </c>
      <c r="H2648" s="2" t="s">
        <v>405</v>
      </c>
      <c r="I2648" s="12" t="s">
        <v>406</v>
      </c>
      <c r="J2648" s="41">
        <f>+Tabla1[[#This Row],[FECHA ENTRADA]]</f>
        <v>45777</v>
      </c>
      <c r="K2648" s="22">
        <v>45840</v>
      </c>
      <c r="L2648" s="23">
        <f>_xlfn.DAYS(Tabla1[[#This Row],[FECHA FIN ]],Tabla1[[#This Row],[FECHA INICIO]])</f>
        <v>63</v>
      </c>
      <c r="M2648" s="12"/>
      <c r="N2648" s="12">
        <v>375</v>
      </c>
      <c r="O2648" s="24">
        <f>(Tabla1[[#This Row],[COSTO FIJO ]]/30)*Tabla1[[#This Row],[TOTAL DIAS PROYECTO]]+(Tabla1[[#This Row],[COSTO TEMPORAL]])</f>
        <v>787.5</v>
      </c>
      <c r="P2648" s="12"/>
      <c r="Q2648" s="12">
        <f>+(Tabla1[[#This Row],[COSTO COCHE]]/30)*Tabla1[[#This Row],[TOTAL DIAS PROYECTO]]</f>
        <v>0</v>
      </c>
      <c r="R2648" s="12">
        <f>+Tabla1[[#This Row],[COSTO TOTAL ALOJAMIENTO]]+Tabla1[[#This Row],[COSTO TOTAL COCHE]]</f>
        <v>787.5</v>
      </c>
      <c r="S2648" s="2"/>
      <c r="T2648" s="14" t="s">
        <v>35</v>
      </c>
      <c r="U2648" s="14">
        <v>45777</v>
      </c>
      <c r="V2648" s="98">
        <v>45840</v>
      </c>
      <c r="W2648" s="2"/>
      <c r="X2648" s="2">
        <v>1</v>
      </c>
      <c r="Y2648" s="161" t="s">
        <v>4176</v>
      </c>
      <c r="Z2648" s="2" t="s">
        <v>36</v>
      </c>
      <c r="AA2648" s="13" t="s">
        <v>10368</v>
      </c>
      <c r="AB2648" s="13" t="s">
        <v>10369</v>
      </c>
    </row>
    <row r="2649" spans="1:28" ht="15" customHeight="1">
      <c r="A2649" s="2" t="s">
        <v>9673</v>
      </c>
      <c r="B2649" s="2" t="s">
        <v>28</v>
      </c>
      <c r="C2649" s="11" t="s">
        <v>4177</v>
      </c>
      <c r="D2649" s="2" t="s">
        <v>30</v>
      </c>
      <c r="E2649" s="2" t="s">
        <v>370</v>
      </c>
      <c r="F2649" s="11" t="s">
        <v>2123</v>
      </c>
      <c r="G2649" s="11" t="s">
        <v>2124</v>
      </c>
      <c r="H2649" s="2" t="s">
        <v>619</v>
      </c>
      <c r="I2649" s="12" t="s">
        <v>406</v>
      </c>
      <c r="J2649" s="8">
        <f>+Tabla1[[#This Row],[FECHA ENTRADA]]</f>
        <v>45522</v>
      </c>
      <c r="K2649" s="22">
        <v>45840</v>
      </c>
      <c r="L2649" s="13">
        <f>_xlfn.DAYS(Tabla1[[#This Row],[FECHA FIN ]],Tabla1[[#This Row],[FECHA INICIO]])</f>
        <v>318</v>
      </c>
      <c r="M2649" s="12"/>
      <c r="N2649" s="12">
        <v>375</v>
      </c>
      <c r="O2649" s="12">
        <f>(Tabla1[[#This Row],[COSTO FIJO ]]/30)*Tabla1[[#This Row],[TOTAL DIAS PROYECTO]]+(Tabla1[[#This Row],[COSTO TEMPORAL]])</f>
        <v>3975</v>
      </c>
      <c r="P2649" s="12"/>
      <c r="Q2649" s="12">
        <f>+(Tabla1[[#This Row],[COSTO COCHE]]/30)*Tabla1[[#This Row],[TOTAL DIAS PROYECTO]]</f>
        <v>0</v>
      </c>
      <c r="R2649" s="12">
        <f>+Tabla1[[#This Row],[COSTO TOTAL ALOJAMIENTO]]+Tabla1[[#This Row],[COSTO TOTAL COCHE]]</f>
        <v>3975</v>
      </c>
      <c r="S2649" s="2"/>
      <c r="T2649" s="2" t="s">
        <v>35</v>
      </c>
      <c r="U2649" s="14">
        <v>45522</v>
      </c>
      <c r="V2649" s="98">
        <v>45840</v>
      </c>
      <c r="W2649" s="26"/>
      <c r="X2649" s="2">
        <v>1</v>
      </c>
      <c r="Y2649" s="11" t="s">
        <v>4178</v>
      </c>
      <c r="Z2649" s="2" t="s">
        <v>36</v>
      </c>
      <c r="AA2649" s="13" t="s">
        <v>10368</v>
      </c>
      <c r="AB2649" s="13" t="s">
        <v>10369</v>
      </c>
    </row>
    <row r="2650" spans="1:28" ht="15" customHeight="1">
      <c r="A2650" s="2" t="s">
        <v>9510</v>
      </c>
      <c r="B2650" s="2" t="s">
        <v>28</v>
      </c>
      <c r="C2650" s="11" t="s">
        <v>3472</v>
      </c>
      <c r="D2650" s="2" t="s">
        <v>30</v>
      </c>
      <c r="E2650" s="2" t="s">
        <v>370</v>
      </c>
      <c r="F2650" s="11" t="s">
        <v>4173</v>
      </c>
      <c r="G2650" s="11" t="s">
        <v>2124</v>
      </c>
      <c r="H2650" s="2" t="s">
        <v>850</v>
      </c>
      <c r="I2650" s="12" t="s">
        <v>406</v>
      </c>
      <c r="J2650" s="41">
        <f>+Tabla1[[#This Row],[FECHA ENTRADA]]</f>
        <v>45587</v>
      </c>
      <c r="K2650" s="22">
        <v>45840</v>
      </c>
      <c r="L2650" s="42">
        <f>_xlfn.DAYS(Tabla1[[#This Row],[FECHA FIN ]],Tabla1[[#This Row],[FECHA INICIO]])</f>
        <v>253</v>
      </c>
      <c r="M2650" s="12"/>
      <c r="N2650" s="12">
        <v>375</v>
      </c>
      <c r="O2650" s="28">
        <f>(Tabla1[[#This Row],[COSTO FIJO ]]/30)*Tabla1[[#This Row],[TOTAL DIAS PROYECTO]]+(Tabla1[[#This Row],[COSTO TEMPORAL]])</f>
        <v>3162.5</v>
      </c>
      <c r="P2650" s="12">
        <v>133.33333333333334</v>
      </c>
      <c r="Q2650" s="12">
        <f>+(Tabla1[[#This Row],[COSTO COCHE]]/30)*Tabla1[[#This Row],[TOTAL DIAS PROYECTO]]</f>
        <v>1124.4444444444446</v>
      </c>
      <c r="R2650" s="12">
        <f>+Tabla1[[#This Row],[COSTO TOTAL ALOJAMIENTO]]+Tabla1[[#This Row],[COSTO TOTAL COCHE]]</f>
        <v>4286.9444444444443</v>
      </c>
      <c r="S2650" s="2"/>
      <c r="T2650" s="2" t="s">
        <v>35</v>
      </c>
      <c r="U2650" s="14">
        <v>45587</v>
      </c>
      <c r="V2650" s="43">
        <v>45840</v>
      </c>
      <c r="W2650" s="26"/>
      <c r="X2650" s="2">
        <v>1</v>
      </c>
      <c r="Y2650" s="11" t="s">
        <v>4179</v>
      </c>
      <c r="Z2650" s="2" t="s">
        <v>36</v>
      </c>
      <c r="AA2650" s="13" t="s">
        <v>10368</v>
      </c>
      <c r="AB2650" s="13" t="s">
        <v>10369</v>
      </c>
    </row>
    <row r="2651" spans="1:28" ht="15" customHeight="1">
      <c r="A2651" s="2" t="s">
        <v>9674</v>
      </c>
      <c r="B2651" s="2" t="s">
        <v>28</v>
      </c>
      <c r="C2651" s="11" t="s">
        <v>4180</v>
      </c>
      <c r="D2651" s="2" t="s">
        <v>30</v>
      </c>
      <c r="E2651" s="2" t="s">
        <v>370</v>
      </c>
      <c r="F2651" s="11" t="s">
        <v>2123</v>
      </c>
      <c r="G2651" s="11" t="s">
        <v>2124</v>
      </c>
      <c r="H2651" s="2" t="s">
        <v>4181</v>
      </c>
      <c r="I2651" s="12" t="s">
        <v>406</v>
      </c>
      <c r="J2651" s="41">
        <f>+Tabla1[[#This Row],[FECHA ENTRADA]]</f>
        <v>45781</v>
      </c>
      <c r="K2651" s="22">
        <v>45840</v>
      </c>
      <c r="L2651" s="23">
        <f>_xlfn.DAYS(Tabla1[[#This Row],[FECHA FIN ]],Tabla1[[#This Row],[FECHA INICIO]])</f>
        <v>59</v>
      </c>
      <c r="M2651" s="12"/>
      <c r="N2651" s="12">
        <v>375</v>
      </c>
      <c r="O2651" s="24">
        <f>(Tabla1[[#This Row],[COSTO FIJO ]]/30)*Tabla1[[#This Row],[TOTAL DIAS PROYECTO]]+(Tabla1[[#This Row],[COSTO TEMPORAL]])</f>
        <v>737.5</v>
      </c>
      <c r="P2651" s="12"/>
      <c r="Q2651" s="12">
        <f>+(Tabla1[[#This Row],[COSTO COCHE]]/30)*Tabla1[[#This Row],[TOTAL DIAS PROYECTO]]</f>
        <v>0</v>
      </c>
      <c r="R2651" s="12">
        <f>+Tabla1[[#This Row],[COSTO TOTAL ALOJAMIENTO]]+Tabla1[[#This Row],[COSTO TOTAL COCHE]]</f>
        <v>737.5</v>
      </c>
      <c r="S2651" s="2"/>
      <c r="T2651" s="14" t="s">
        <v>35</v>
      </c>
      <c r="U2651" s="14">
        <v>45781</v>
      </c>
      <c r="V2651" s="98">
        <v>45840</v>
      </c>
      <c r="W2651" s="2"/>
      <c r="X2651" s="2">
        <v>1</v>
      </c>
      <c r="Y2651" s="161" t="s">
        <v>4182</v>
      </c>
      <c r="Z2651" s="2" t="s">
        <v>36</v>
      </c>
      <c r="AA2651" s="13" t="s">
        <v>10368</v>
      </c>
      <c r="AB2651" s="13" t="s">
        <v>10369</v>
      </c>
    </row>
    <row r="2652" spans="1:28" ht="15" customHeight="1">
      <c r="A2652" s="2" t="s">
        <v>8816</v>
      </c>
      <c r="B2652" s="2" t="s">
        <v>28</v>
      </c>
      <c r="C2652" s="11" t="s">
        <v>876</v>
      </c>
      <c r="D2652" s="2" t="s">
        <v>30</v>
      </c>
      <c r="E2652" s="2" t="s">
        <v>370</v>
      </c>
      <c r="F2652" s="11" t="s">
        <v>4173</v>
      </c>
      <c r="G2652" s="11" t="s">
        <v>2124</v>
      </c>
      <c r="H2652" s="2" t="s">
        <v>850</v>
      </c>
      <c r="I2652" s="12" t="s">
        <v>406</v>
      </c>
      <c r="J2652" s="41">
        <f>+Tabla1[[#This Row],[FECHA ENTRADA]]</f>
        <v>45587</v>
      </c>
      <c r="K2652" s="22">
        <v>45840</v>
      </c>
      <c r="L2652" s="42">
        <f>_xlfn.DAYS(Tabla1[[#This Row],[FECHA FIN ]],Tabla1[[#This Row],[FECHA INICIO]])</f>
        <v>253</v>
      </c>
      <c r="M2652" s="12"/>
      <c r="N2652" s="12">
        <v>375</v>
      </c>
      <c r="O2652" s="28">
        <f>(Tabla1[[#This Row],[COSTO FIJO ]]/30)*Tabla1[[#This Row],[TOTAL DIAS PROYECTO]]+(Tabla1[[#This Row],[COSTO TEMPORAL]])</f>
        <v>3162.5</v>
      </c>
      <c r="P2652" s="12">
        <v>133.33333333333334</v>
      </c>
      <c r="Q2652" s="12">
        <f>+(Tabla1[[#This Row],[COSTO COCHE]]/30)*Tabla1[[#This Row],[TOTAL DIAS PROYECTO]]</f>
        <v>1124.4444444444446</v>
      </c>
      <c r="R2652" s="12">
        <f>+Tabla1[[#This Row],[COSTO TOTAL ALOJAMIENTO]]+Tabla1[[#This Row],[COSTO TOTAL COCHE]]</f>
        <v>4286.9444444444443</v>
      </c>
      <c r="S2652" s="2"/>
      <c r="T2652" s="2" t="s">
        <v>35</v>
      </c>
      <c r="U2652" s="14">
        <v>45587</v>
      </c>
      <c r="V2652" s="43">
        <v>45840</v>
      </c>
      <c r="W2652" s="26">
        <v>1500</v>
      </c>
      <c r="X2652" s="2">
        <v>1</v>
      </c>
      <c r="Y2652" s="11" t="s">
        <v>4179</v>
      </c>
      <c r="Z2652" s="2" t="s">
        <v>36</v>
      </c>
      <c r="AA2652" s="13" t="s">
        <v>10368</v>
      </c>
      <c r="AB2652" s="13" t="s">
        <v>10369</v>
      </c>
    </row>
    <row r="2653" spans="1:28" ht="15" customHeight="1">
      <c r="A2653" s="2" t="s">
        <v>9675</v>
      </c>
      <c r="B2653" s="2" t="s">
        <v>28</v>
      </c>
      <c r="C2653" s="11" t="s">
        <v>4183</v>
      </c>
      <c r="D2653" s="2" t="s">
        <v>30</v>
      </c>
      <c r="E2653" s="2" t="s">
        <v>370</v>
      </c>
      <c r="F2653" s="11" t="s">
        <v>2123</v>
      </c>
      <c r="G2653" s="11" t="s">
        <v>2124</v>
      </c>
      <c r="H2653" s="2" t="s">
        <v>619</v>
      </c>
      <c r="I2653" s="12" t="s">
        <v>406</v>
      </c>
      <c r="J2653" s="8">
        <f>+Tabla1[[#This Row],[FECHA ENTRADA]]</f>
        <v>45522</v>
      </c>
      <c r="K2653" s="22">
        <v>45840</v>
      </c>
      <c r="L2653" s="13">
        <f>_xlfn.DAYS(Tabla1[[#This Row],[FECHA FIN ]],Tabla1[[#This Row],[FECHA INICIO]])</f>
        <v>318</v>
      </c>
      <c r="M2653" s="12"/>
      <c r="N2653" s="12">
        <v>375</v>
      </c>
      <c r="O2653" s="12">
        <f>(Tabla1[[#This Row],[COSTO FIJO ]]/30)*Tabla1[[#This Row],[TOTAL DIAS PROYECTO]]+(Tabla1[[#This Row],[COSTO TEMPORAL]])</f>
        <v>3975</v>
      </c>
      <c r="P2653" s="12"/>
      <c r="Q2653" s="12">
        <f>+(Tabla1[[#This Row],[COSTO COCHE]]/30)*Tabla1[[#This Row],[TOTAL DIAS PROYECTO]]</f>
        <v>0</v>
      </c>
      <c r="R2653" s="12">
        <f>+Tabla1[[#This Row],[COSTO TOTAL ALOJAMIENTO]]+Tabla1[[#This Row],[COSTO TOTAL COCHE]]</f>
        <v>3975</v>
      </c>
      <c r="S2653" s="2"/>
      <c r="T2653" s="2" t="s">
        <v>35</v>
      </c>
      <c r="U2653" s="14">
        <v>45522</v>
      </c>
      <c r="V2653" s="98">
        <v>45840</v>
      </c>
      <c r="W2653" s="26">
        <v>1500</v>
      </c>
      <c r="X2653" s="2">
        <v>1</v>
      </c>
      <c r="Y2653" s="11" t="s">
        <v>4184</v>
      </c>
      <c r="Z2653" s="2" t="s">
        <v>36</v>
      </c>
      <c r="AA2653" s="13" t="s">
        <v>10368</v>
      </c>
      <c r="AB2653" s="13" t="s">
        <v>10369</v>
      </c>
    </row>
    <row r="2654" spans="1:28" ht="15" customHeight="1">
      <c r="A2654" s="2" t="s">
        <v>9676</v>
      </c>
      <c r="B2654" s="2" t="s">
        <v>28</v>
      </c>
      <c r="C2654" s="11" t="s">
        <v>4185</v>
      </c>
      <c r="D2654" s="2" t="s">
        <v>30</v>
      </c>
      <c r="E2654" s="2" t="s">
        <v>370</v>
      </c>
      <c r="F2654" s="11" t="s">
        <v>4173</v>
      </c>
      <c r="G2654" s="11" t="s">
        <v>2124</v>
      </c>
      <c r="H2654" s="2" t="s">
        <v>4181</v>
      </c>
      <c r="I2654" s="12" t="s">
        <v>406</v>
      </c>
      <c r="J2654" s="41">
        <f>+Tabla1[[#This Row],[FECHA ENTRADA]]</f>
        <v>45781</v>
      </c>
      <c r="K2654" s="22">
        <v>45840</v>
      </c>
      <c r="L2654" s="23">
        <f>_xlfn.DAYS(Tabla1[[#This Row],[FECHA FIN ]],Tabla1[[#This Row],[FECHA INICIO]])</f>
        <v>59</v>
      </c>
      <c r="M2654" s="12"/>
      <c r="N2654" s="12">
        <v>375</v>
      </c>
      <c r="O2654" s="24">
        <f>(Tabla1[[#This Row],[COSTO FIJO ]]/30)*Tabla1[[#This Row],[TOTAL DIAS PROYECTO]]+(Tabla1[[#This Row],[COSTO TEMPORAL]])</f>
        <v>737.5</v>
      </c>
      <c r="P2654" s="12"/>
      <c r="Q2654" s="12">
        <f>+(Tabla1[[#This Row],[COSTO COCHE]]/30)*Tabla1[[#This Row],[TOTAL DIAS PROYECTO]]</f>
        <v>0</v>
      </c>
      <c r="R2654" s="12">
        <f>+Tabla1[[#This Row],[COSTO TOTAL ALOJAMIENTO]]+Tabla1[[#This Row],[COSTO TOTAL COCHE]]</f>
        <v>737.5</v>
      </c>
      <c r="S2654" s="2"/>
      <c r="T2654" s="14" t="s">
        <v>35</v>
      </c>
      <c r="U2654" s="14">
        <v>45781</v>
      </c>
      <c r="V2654" s="43">
        <v>45840</v>
      </c>
      <c r="W2654" s="2"/>
      <c r="X2654" s="2">
        <v>1</v>
      </c>
      <c r="Y2654" s="161" t="s">
        <v>4182</v>
      </c>
      <c r="Z2654" s="2" t="s">
        <v>36</v>
      </c>
      <c r="AA2654" s="13" t="s">
        <v>10368</v>
      </c>
      <c r="AB2654" s="13" t="s">
        <v>10369</v>
      </c>
    </row>
    <row r="2655" spans="1:28" ht="15" customHeight="1">
      <c r="A2655" s="2" t="s">
        <v>9677</v>
      </c>
      <c r="B2655" s="2" t="s">
        <v>28</v>
      </c>
      <c r="C2655" s="11" t="s">
        <v>4186</v>
      </c>
      <c r="D2655" s="2" t="s">
        <v>30</v>
      </c>
      <c r="E2655" s="2" t="s">
        <v>370</v>
      </c>
      <c r="F2655" s="11" t="s">
        <v>4173</v>
      </c>
      <c r="G2655" s="11" t="s">
        <v>2124</v>
      </c>
      <c r="H2655" s="2" t="s">
        <v>4181</v>
      </c>
      <c r="I2655" s="12" t="s">
        <v>406</v>
      </c>
      <c r="J2655" s="41">
        <f>+Tabla1[[#This Row],[FECHA ENTRADA]]</f>
        <v>45781</v>
      </c>
      <c r="K2655" s="22">
        <v>45840</v>
      </c>
      <c r="L2655" s="23">
        <f>_xlfn.DAYS(Tabla1[[#This Row],[FECHA FIN ]],Tabla1[[#This Row],[FECHA INICIO]])</f>
        <v>59</v>
      </c>
      <c r="M2655" s="12"/>
      <c r="N2655" s="12">
        <v>375</v>
      </c>
      <c r="O2655" s="24">
        <f>(Tabla1[[#This Row],[COSTO FIJO ]]/30)*Tabla1[[#This Row],[TOTAL DIAS PROYECTO]]+(Tabla1[[#This Row],[COSTO TEMPORAL]])</f>
        <v>737.5</v>
      </c>
      <c r="P2655" s="12"/>
      <c r="Q2655" s="12">
        <f>+(Tabla1[[#This Row],[COSTO COCHE]]/30)*Tabla1[[#This Row],[TOTAL DIAS PROYECTO]]</f>
        <v>0</v>
      </c>
      <c r="R2655" s="12">
        <f>+Tabla1[[#This Row],[COSTO TOTAL ALOJAMIENTO]]+Tabla1[[#This Row],[COSTO TOTAL COCHE]]</f>
        <v>737.5</v>
      </c>
      <c r="S2655" s="2"/>
      <c r="T2655" s="14" t="s">
        <v>35</v>
      </c>
      <c r="U2655" s="14">
        <v>45781</v>
      </c>
      <c r="V2655" s="43">
        <v>45840</v>
      </c>
      <c r="W2655" s="2"/>
      <c r="X2655" s="2">
        <v>1</v>
      </c>
      <c r="Y2655" s="161" t="s">
        <v>4182</v>
      </c>
      <c r="Z2655" s="2" t="s">
        <v>36</v>
      </c>
      <c r="AA2655" s="13" t="s">
        <v>10368</v>
      </c>
      <c r="AB2655" s="13" t="s">
        <v>10369</v>
      </c>
    </row>
    <row r="2656" spans="1:28" ht="15" customHeight="1">
      <c r="A2656" s="2" t="s">
        <v>8951</v>
      </c>
      <c r="B2656" s="2" t="s">
        <v>978</v>
      </c>
      <c r="C2656" s="11" t="s">
        <v>1437</v>
      </c>
      <c r="D2656" s="2" t="s">
        <v>30</v>
      </c>
      <c r="E2656" s="2" t="s">
        <v>31</v>
      </c>
      <c r="F2656" s="11" t="s">
        <v>1004</v>
      </c>
      <c r="G2656" s="51" t="s">
        <v>1005</v>
      </c>
      <c r="H2656" s="2" t="s">
        <v>1556</v>
      </c>
      <c r="I2656" s="12" t="s">
        <v>1540</v>
      </c>
      <c r="J2656" s="41">
        <f>+Tabla1[[#This Row],[FECHA ENTRADA]]</f>
        <v>45819</v>
      </c>
      <c r="K2656" s="41">
        <v>45840</v>
      </c>
      <c r="L2656" s="42">
        <f>_xlfn.DAYS(Tabla1[[#This Row],[FECHA FIN ]],Tabla1[[#This Row],[FECHA INICIO]])</f>
        <v>21</v>
      </c>
      <c r="M2656" s="12"/>
      <c r="N2656" s="28">
        <v>320</v>
      </c>
      <c r="O2656" s="28">
        <f>(Tabla1[[#This Row],[COSTO FIJO ]]/30)*Tabla1[[#This Row],[TOTAL DIAS PROYECTO]]+(Tabla1[[#This Row],[COSTO TEMPORAL]])</f>
        <v>224</v>
      </c>
      <c r="P2656" s="12"/>
      <c r="Q2656" s="12">
        <f>+(Tabla1[[#This Row],[COSTO COCHE]]/30)*Tabla1[[#This Row],[TOTAL DIAS PROYECTO]]</f>
        <v>0</v>
      </c>
      <c r="R2656" s="12">
        <f>+Tabla1[[#This Row],[COSTO TOTAL ALOJAMIENTO]]+Tabla1[[#This Row],[COSTO TOTAL COCHE]]</f>
        <v>224</v>
      </c>
      <c r="S2656" s="2"/>
      <c r="T2656" s="2" t="s">
        <v>35</v>
      </c>
      <c r="U2656" s="14">
        <v>45819</v>
      </c>
      <c r="V2656" s="43"/>
      <c r="W2656" s="2"/>
      <c r="X2656" s="2">
        <v>1</v>
      </c>
      <c r="Y2656" s="11"/>
      <c r="Z2656" s="2" t="s">
        <v>36</v>
      </c>
      <c r="AA2656" s="13" t="s">
        <v>10323</v>
      </c>
      <c r="AB2656" s="13" t="s">
        <v>10324</v>
      </c>
    </row>
    <row r="2657" spans="1:28" ht="15" customHeight="1">
      <c r="A2657" s="2" t="s">
        <v>8757</v>
      </c>
      <c r="B2657" s="2" t="s">
        <v>28</v>
      </c>
      <c r="C2657" s="31" t="s">
        <v>617</v>
      </c>
      <c r="D2657" s="2" t="s">
        <v>30</v>
      </c>
      <c r="E2657" s="2" t="s">
        <v>370</v>
      </c>
      <c r="F2657" s="11"/>
      <c r="G2657" s="49"/>
      <c r="H2657" s="2" t="s">
        <v>619</v>
      </c>
      <c r="I2657" s="12" t="s">
        <v>406</v>
      </c>
      <c r="J2657" s="22">
        <f>+Tabla1[[#This Row],[FECHA ENTRADA]]</f>
        <v>45778</v>
      </c>
      <c r="K2657" s="22">
        <v>45840</v>
      </c>
      <c r="L2657" s="23">
        <f>_xlfn.DAYS(Tabla1[[#This Row],[FECHA FIN ]],Tabla1[[#This Row],[FECHA INICIO]])</f>
        <v>62</v>
      </c>
      <c r="M2657" s="12"/>
      <c r="N2657" s="12">
        <v>300</v>
      </c>
      <c r="O2657" s="24">
        <f>(Tabla1[[#This Row],[COSTO FIJO ]]/30)*Tabla1[[#This Row],[TOTAL DIAS PROYECTO]]+(Tabla1[[#This Row],[COSTO TEMPORAL]])</f>
        <v>620</v>
      </c>
      <c r="P2657" s="12"/>
      <c r="Q2657" s="12">
        <f>+(Tabla1[[#This Row],[COSTO COCHE]]/30)*Tabla1[[#This Row],[TOTAL DIAS PROYECTO]]</f>
        <v>0</v>
      </c>
      <c r="R2657" s="12">
        <f>+Tabla1[[#This Row],[COSTO TOTAL ALOJAMIENTO]]+Tabla1[[#This Row],[COSTO TOTAL COCHE]]</f>
        <v>620</v>
      </c>
      <c r="S2657" s="2"/>
      <c r="T2657" s="14" t="s">
        <v>58</v>
      </c>
      <c r="U2657" s="14">
        <v>45778</v>
      </c>
      <c r="V2657" s="98"/>
      <c r="W2657" s="2"/>
      <c r="X2657" s="2"/>
      <c r="Y2657" s="161" t="s">
        <v>4182</v>
      </c>
      <c r="Z2657" s="2" t="s">
        <v>36</v>
      </c>
      <c r="AA2657" s="13" t="s">
        <v>10368</v>
      </c>
      <c r="AB2657" s="13" t="s">
        <v>10369</v>
      </c>
    </row>
    <row r="2658" spans="1:28" ht="15" customHeight="1">
      <c r="A2658" s="2" t="s">
        <v>9337</v>
      </c>
      <c r="B2658" s="2" t="s">
        <v>28</v>
      </c>
      <c r="C2658" s="99" t="s">
        <v>2851</v>
      </c>
      <c r="D2658" s="2" t="s">
        <v>30</v>
      </c>
      <c r="E2658" s="2" t="s">
        <v>370</v>
      </c>
      <c r="F2658" s="11"/>
      <c r="G2658" s="11"/>
      <c r="H2658" s="2" t="s">
        <v>619</v>
      </c>
      <c r="I2658" s="12" t="s">
        <v>406</v>
      </c>
      <c r="J2658" s="8">
        <f>+Tabla1[[#This Row],[FECHA ENTRADA]]</f>
        <v>45487</v>
      </c>
      <c r="K2658" s="22">
        <v>45840</v>
      </c>
      <c r="L2658" s="13">
        <f>_xlfn.DAYS(Tabla1[[#This Row],[FECHA FIN ]],Tabla1[[#This Row],[FECHA INICIO]])</f>
        <v>353</v>
      </c>
      <c r="M2658" s="12"/>
      <c r="N2658" s="12">
        <v>300</v>
      </c>
      <c r="O2658" s="12">
        <f>(Tabla1[[#This Row],[COSTO FIJO ]]/30)*Tabla1[[#This Row],[TOTAL DIAS PROYECTO]]+(Tabla1[[#This Row],[COSTO TEMPORAL]])</f>
        <v>3530</v>
      </c>
      <c r="P2658" s="12">
        <v>133.33333333333334</v>
      </c>
      <c r="Q2658" s="12">
        <f>+(Tabla1[[#This Row],[COSTO COCHE]]/30)*Tabla1[[#This Row],[TOTAL DIAS PROYECTO]]</f>
        <v>1568.8888888888889</v>
      </c>
      <c r="R2658" s="12">
        <f>+Tabla1[[#This Row],[COSTO TOTAL ALOJAMIENTO]]+Tabla1[[#This Row],[COSTO TOTAL COCHE]]</f>
        <v>5098.8888888888887</v>
      </c>
      <c r="S2658" s="2"/>
      <c r="T2658" s="2" t="s">
        <v>58</v>
      </c>
      <c r="U2658" s="14">
        <v>45487</v>
      </c>
      <c r="V2658" s="14">
        <v>45497</v>
      </c>
      <c r="W2658" s="26">
        <v>1500</v>
      </c>
      <c r="X2658" s="2">
        <v>22</v>
      </c>
      <c r="Y2658" s="11" t="s">
        <v>4187</v>
      </c>
      <c r="Z2658" s="2" t="s">
        <v>36</v>
      </c>
      <c r="AA2658" s="13" t="s">
        <v>10368</v>
      </c>
      <c r="AB2658" s="13" t="s">
        <v>10369</v>
      </c>
    </row>
    <row r="2659" spans="1:28" ht="15" customHeight="1">
      <c r="A2659" s="2" t="s">
        <v>8843</v>
      </c>
      <c r="B2659" s="2" t="s">
        <v>28</v>
      </c>
      <c r="C2659" s="18" t="s">
        <v>979</v>
      </c>
      <c r="D2659" s="2" t="s">
        <v>30</v>
      </c>
      <c r="E2659" s="2" t="s">
        <v>380</v>
      </c>
      <c r="F2659" s="11" t="s">
        <v>383</v>
      </c>
      <c r="G2659" t="s">
        <v>381</v>
      </c>
      <c r="H2659" s="2" t="s">
        <v>4188</v>
      </c>
      <c r="I2659" s="12" t="s">
        <v>382</v>
      </c>
      <c r="J2659" s="41">
        <f>+Tabla1[[#This Row],[FECHA ENTRADA]]</f>
        <v>45679</v>
      </c>
      <c r="K2659" s="8">
        <v>45688</v>
      </c>
      <c r="L2659" s="42">
        <f>_xlfn.DAYS(Tabla1[[#This Row],[FECHA FIN ]],Tabla1[[#This Row],[FECHA INICIO]])</f>
        <v>9</v>
      </c>
      <c r="M2659" s="12"/>
      <c r="N2659" s="20">
        <v>300</v>
      </c>
      <c r="O2659" s="28">
        <f>(Tabla1[[#This Row],[COSTO FIJO ]]/30)*Tabla1[[#This Row],[TOTAL DIAS PROYECTO]]+(Tabla1[[#This Row],[COSTO TEMPORAL]])</f>
        <v>90</v>
      </c>
      <c r="P2659" s="12"/>
      <c r="Q2659" s="12">
        <f>+(Tabla1[[#This Row],[COSTO COCHE]]/30)*Tabla1[[#This Row],[TOTAL DIAS PROYECTO]]</f>
        <v>0</v>
      </c>
      <c r="R2659" s="12">
        <f>+Tabla1[[#This Row],[COSTO TOTAL ALOJAMIENTO]]+Tabla1[[#This Row],[COSTO TOTAL COCHE]]</f>
        <v>90</v>
      </c>
      <c r="S2659" s="2"/>
      <c r="T2659" s="2" t="s">
        <v>35</v>
      </c>
      <c r="U2659" s="14">
        <v>45679</v>
      </c>
      <c r="V2659" s="79"/>
      <c r="W2659" s="26">
        <v>1800</v>
      </c>
      <c r="X2659" s="2">
        <v>5</v>
      </c>
      <c r="Y2659" s="11"/>
      <c r="Z2659" s="2" t="s">
        <v>36</v>
      </c>
      <c r="AA2659" s="13" t="s">
        <v>10370</v>
      </c>
      <c r="AB2659" s="13" t="s">
        <v>10371</v>
      </c>
    </row>
    <row r="2660" spans="1:28" ht="15" customHeight="1">
      <c r="A2660" s="2" t="s">
        <v>9556</v>
      </c>
      <c r="B2660" s="2" t="s">
        <v>368</v>
      </c>
      <c r="C2660" s="11" t="s">
        <v>3607</v>
      </c>
      <c r="D2660" s="2" t="s">
        <v>99</v>
      </c>
      <c r="E2660" s="2" t="s">
        <v>422</v>
      </c>
      <c r="F2660" s="11" t="s">
        <v>1983</v>
      </c>
      <c r="G2660" s="11" t="s">
        <v>2067</v>
      </c>
      <c r="H2660" s="2" t="s">
        <v>3540</v>
      </c>
      <c r="I2660" s="12" t="s">
        <v>1435</v>
      </c>
      <c r="J2660" s="22">
        <f>+Tabla1[[#This Row],[FECHA ENTRADA]]</f>
        <v>45805</v>
      </c>
      <c r="K2660" s="22">
        <v>45812</v>
      </c>
      <c r="L2660" s="23">
        <f>_xlfn.DAYS(Tabla1[[#This Row],[FECHA FIN ]],Tabla1[[#This Row],[FECHA INICIO]])</f>
        <v>7</v>
      </c>
      <c r="M2660" s="12"/>
      <c r="N2660" s="12">
        <v>105.55555555555556</v>
      </c>
      <c r="O2660" s="24">
        <f>(Tabla1[[#This Row],[COSTO FIJO ]]/30)*Tabla1[[#This Row],[TOTAL DIAS PROYECTO]]+(Tabla1[[#This Row],[COSTO TEMPORAL]])</f>
        <v>24.62962962962963</v>
      </c>
      <c r="P2660" s="12"/>
      <c r="Q2660" s="12">
        <f>+(Tabla1[[#This Row],[COSTO COCHE]]/30)*Tabla1[[#This Row],[TOTAL DIAS PROYECTO]]</f>
        <v>0</v>
      </c>
      <c r="R2660" s="12">
        <f>+Tabla1[[#This Row],[COSTO TOTAL ALOJAMIENTO]]+Tabla1[[#This Row],[COSTO TOTAL COCHE]]</f>
        <v>24.62962962962963</v>
      </c>
      <c r="S2660" s="2"/>
      <c r="T2660" s="14" t="s">
        <v>44</v>
      </c>
      <c r="U2660" s="22">
        <v>45805</v>
      </c>
      <c r="V2660" s="79">
        <v>45812</v>
      </c>
      <c r="W2660" s="2"/>
      <c r="X2660" s="2"/>
      <c r="Y2660" s="11" t="s">
        <v>3626</v>
      </c>
      <c r="Z2660" s="2" t="s">
        <v>36</v>
      </c>
      <c r="AA2660" s="13">
        <v>-326.69799999999998</v>
      </c>
      <c r="AB2660" s="13" t="s">
        <v>10373</v>
      </c>
    </row>
    <row r="2661" spans="1:28" ht="15" customHeight="1">
      <c r="A2661" s="2" t="s">
        <v>9678</v>
      </c>
      <c r="B2661" s="2" t="s">
        <v>368</v>
      </c>
      <c r="C2661" s="11" t="s">
        <v>4189</v>
      </c>
      <c r="D2661" s="2" t="s">
        <v>78</v>
      </c>
      <c r="E2661" s="2" t="s">
        <v>1297</v>
      </c>
      <c r="F2661" s="11" t="s">
        <v>2166</v>
      </c>
      <c r="G2661" s="46" t="s">
        <v>2167</v>
      </c>
      <c r="H2661" s="2" t="s">
        <v>2168</v>
      </c>
      <c r="I2661" s="10" t="s">
        <v>1301</v>
      </c>
      <c r="J2661" s="41">
        <f>+Tabla1[[#This Row],[FECHA ENTRADA]]</f>
        <v>45770</v>
      </c>
      <c r="K2661" s="22">
        <v>45840</v>
      </c>
      <c r="L2661" s="13">
        <f>_xlfn.DAYS(Tabla1[[#This Row],[FECHA FIN ]],Tabla1[[#This Row],[FECHA INICIO]])</f>
        <v>70</v>
      </c>
      <c r="M2661" s="12"/>
      <c r="N2661" s="12"/>
      <c r="O2661" s="12">
        <f>(Tabla1[[#This Row],[COSTO FIJO ]]/30)*Tabla1[[#This Row],[TOTAL DIAS PROYECTO]]+(Tabla1[[#This Row],[COSTO TEMPORAL]])</f>
        <v>0</v>
      </c>
      <c r="P2661" s="12"/>
      <c r="Q2661" s="12">
        <f>+(Tabla1[[#This Row],[COSTO COCHE]]/30)*Tabla1[[#This Row],[TOTAL DIAS PROYECTO]]</f>
        <v>0</v>
      </c>
      <c r="R2661" s="12">
        <f>+Tabla1[[#This Row],[COSTO TOTAL ALOJAMIENTO]]+Tabla1[[#This Row],[COSTO TOTAL COCHE]]</f>
        <v>0</v>
      </c>
      <c r="S2661" s="2" t="s">
        <v>84</v>
      </c>
      <c r="T2661" s="2" t="s">
        <v>528</v>
      </c>
      <c r="U2661" s="14">
        <v>45770</v>
      </c>
      <c r="V2661" s="14">
        <v>45840</v>
      </c>
      <c r="W2661" s="26"/>
      <c r="X2661" s="2"/>
      <c r="Y2661" s="31"/>
      <c r="Z2661" s="2" t="s">
        <v>36</v>
      </c>
      <c r="AA2661" s="13" t="s">
        <v>10414</v>
      </c>
      <c r="AB2661" s="13">
        <v>5094783</v>
      </c>
    </row>
    <row r="2662" spans="1:28" ht="15" customHeight="1">
      <c r="A2662" s="2" t="s">
        <v>9679</v>
      </c>
      <c r="B2662" s="2" t="s">
        <v>368</v>
      </c>
      <c r="C2662" s="11" t="s">
        <v>4190</v>
      </c>
      <c r="D2662" s="2" t="s">
        <v>78</v>
      </c>
      <c r="E2662" s="2" t="s">
        <v>1297</v>
      </c>
      <c r="F2662" s="11" t="s">
        <v>2166</v>
      </c>
      <c r="G2662" s="46" t="s">
        <v>2167</v>
      </c>
      <c r="H2662" s="2" t="s">
        <v>2168</v>
      </c>
      <c r="I2662" s="10" t="s">
        <v>1301</v>
      </c>
      <c r="J2662" s="41">
        <f>+Tabla1[[#This Row],[FECHA ENTRADA]]</f>
        <v>45770</v>
      </c>
      <c r="K2662" s="22">
        <v>45840</v>
      </c>
      <c r="L2662" s="13">
        <f>_xlfn.DAYS(Tabla1[[#This Row],[FECHA FIN ]],Tabla1[[#This Row],[FECHA INICIO]])</f>
        <v>70</v>
      </c>
      <c r="M2662" s="12"/>
      <c r="N2662" s="12"/>
      <c r="O2662" s="12">
        <f>(Tabla1[[#This Row],[COSTO FIJO ]]/30)*Tabla1[[#This Row],[TOTAL DIAS PROYECTO]]+(Tabla1[[#This Row],[COSTO TEMPORAL]])</f>
        <v>0</v>
      </c>
      <c r="P2662" s="12"/>
      <c r="Q2662" s="12">
        <f>+(Tabla1[[#This Row],[COSTO COCHE]]/30)*Tabla1[[#This Row],[TOTAL DIAS PROYECTO]]</f>
        <v>0</v>
      </c>
      <c r="R2662" s="12">
        <f>+Tabla1[[#This Row],[COSTO TOTAL ALOJAMIENTO]]+Tabla1[[#This Row],[COSTO TOTAL COCHE]]</f>
        <v>0</v>
      </c>
      <c r="S2662" s="2" t="s">
        <v>84</v>
      </c>
      <c r="T2662" s="2" t="s">
        <v>44</v>
      </c>
      <c r="U2662" s="14">
        <v>45770</v>
      </c>
      <c r="V2662" s="14">
        <v>45840</v>
      </c>
      <c r="W2662" s="26"/>
      <c r="X2662" s="2"/>
      <c r="Y2662" s="31"/>
      <c r="Z2662" s="2" t="s">
        <v>36</v>
      </c>
      <c r="AA2662" s="13" t="s">
        <v>10414</v>
      </c>
      <c r="AB2662" s="13">
        <v>5094783</v>
      </c>
    </row>
    <row r="2663" spans="1:28" ht="15" customHeight="1">
      <c r="A2663" s="2" t="s">
        <v>8642</v>
      </c>
      <c r="B2663" s="2" t="s">
        <v>368</v>
      </c>
      <c r="C2663" s="11" t="s">
        <v>4191</v>
      </c>
      <c r="D2663" s="2" t="s">
        <v>78</v>
      </c>
      <c r="E2663" s="2" t="s">
        <v>1297</v>
      </c>
      <c r="F2663" s="11" t="s">
        <v>2166</v>
      </c>
      <c r="G2663" s="46" t="s">
        <v>2167</v>
      </c>
      <c r="H2663" s="2" t="s">
        <v>1300</v>
      </c>
      <c r="I2663" s="29" t="s">
        <v>1301</v>
      </c>
      <c r="J2663" s="41">
        <f>+Tabla1[[#This Row],[FECHA ENTRADA]]</f>
        <v>45633</v>
      </c>
      <c r="K2663" s="22">
        <v>45840</v>
      </c>
      <c r="L2663" s="42">
        <f>_xlfn.DAYS(Tabla1[[#This Row],[FECHA FIN ]],Tabla1[[#This Row],[FECHA INICIO]])</f>
        <v>207</v>
      </c>
      <c r="M2663" s="12"/>
      <c r="N2663" s="12"/>
      <c r="O2663" s="28">
        <f>(Tabla1[[#This Row],[COSTO FIJO ]]/30)*Tabla1[[#This Row],[TOTAL DIAS PROYECTO]]+(Tabla1[[#This Row],[COSTO TEMPORAL]])</f>
        <v>0</v>
      </c>
      <c r="P2663" s="12">
        <f>651.96/5</f>
        <v>130.392</v>
      </c>
      <c r="Q2663" s="12">
        <f>+(Tabla1[[#This Row],[COSTO COCHE]]/30)*Tabla1[[#This Row],[TOTAL DIAS PROYECTO]]</f>
        <v>899.70479999999998</v>
      </c>
      <c r="R2663" s="12">
        <f>+Tabla1[[#This Row],[COSTO TOTAL ALOJAMIENTO]]+Tabla1[[#This Row],[COSTO TOTAL COCHE]]</f>
        <v>899.70479999999998</v>
      </c>
      <c r="S2663" s="2" t="s">
        <v>84</v>
      </c>
      <c r="T2663" s="2" t="s">
        <v>44</v>
      </c>
      <c r="U2663" s="14">
        <v>45633</v>
      </c>
      <c r="V2663" s="14">
        <v>45840</v>
      </c>
      <c r="W2663" s="26"/>
      <c r="X2663" s="2"/>
      <c r="Y2663" s="11" t="s">
        <v>4192</v>
      </c>
      <c r="Z2663" s="2" t="s">
        <v>36</v>
      </c>
      <c r="AA2663" s="13" t="s">
        <v>10414</v>
      </c>
      <c r="AB2663" s="13">
        <v>5094783</v>
      </c>
    </row>
    <row r="2664" spans="1:28" ht="15" customHeight="1">
      <c r="A2664" s="2" t="s">
        <v>9651</v>
      </c>
      <c r="B2664" s="2" t="s">
        <v>368</v>
      </c>
      <c r="C2664" s="11" t="s">
        <v>4069</v>
      </c>
      <c r="D2664" s="2" t="s">
        <v>30</v>
      </c>
      <c r="E2664" s="2" t="s">
        <v>855</v>
      </c>
      <c r="F2664" s="11" t="s">
        <v>4193</v>
      </c>
      <c r="G2664" s="30" t="s">
        <v>4194</v>
      </c>
      <c r="H2664" s="2" t="s">
        <v>1898</v>
      </c>
      <c r="I2664" s="12" t="s">
        <v>1288</v>
      </c>
      <c r="J2664" s="41">
        <f>+Tabla1[[#This Row],[FECHA ENTRADA]]</f>
        <v>45830</v>
      </c>
      <c r="K2664" s="41">
        <v>45840</v>
      </c>
      <c r="L2664" s="42">
        <f>_xlfn.DAYS(Tabla1[[#This Row],[FECHA FIN ]],Tabla1[[#This Row],[FECHA INICIO]])</f>
        <v>10</v>
      </c>
      <c r="M2664" s="12"/>
      <c r="N2664" s="28"/>
      <c r="O2664" s="28">
        <f>(Tabla1[[#This Row],[COSTO FIJO ]]/30)*Tabla1[[#This Row],[TOTAL DIAS PROYECTO]]+(Tabla1[[#This Row],[COSTO TEMPORAL]])</f>
        <v>0</v>
      </c>
      <c r="P2664" s="12"/>
      <c r="Q2664" s="12">
        <f>+(Tabla1[[#This Row],[COSTO COCHE]]/30)*Tabla1[[#This Row],[TOTAL DIAS PROYECTO]]</f>
        <v>0</v>
      </c>
      <c r="R2664" s="12">
        <f>+Tabla1[[#This Row],[COSTO TOTAL ALOJAMIENTO]]+Tabla1[[#This Row],[COSTO TOTAL COCHE]]</f>
        <v>0</v>
      </c>
      <c r="S2664" s="2"/>
      <c r="T2664" s="2" t="s">
        <v>44</v>
      </c>
      <c r="U2664" s="14">
        <v>45830</v>
      </c>
      <c r="V2664" s="43">
        <v>45840</v>
      </c>
      <c r="W2664" s="2"/>
      <c r="X2664" s="2"/>
      <c r="Y2664" s="11"/>
      <c r="Z2664" s="2" t="s">
        <v>36</v>
      </c>
      <c r="AA2664" s="13" t="s">
        <v>10401</v>
      </c>
      <c r="AB2664" s="13" t="s">
        <v>10402</v>
      </c>
    </row>
    <row r="2665" spans="1:28" ht="15" customHeight="1">
      <c r="A2665" s="2" t="s">
        <v>8642</v>
      </c>
      <c r="B2665" s="2" t="s">
        <v>368</v>
      </c>
      <c r="C2665" s="11" t="s">
        <v>2186</v>
      </c>
      <c r="D2665" s="2" t="s">
        <v>99</v>
      </c>
      <c r="E2665" s="2" t="s">
        <v>855</v>
      </c>
      <c r="F2665" s="11" t="s">
        <v>4195</v>
      </c>
      <c r="G2665" s="46" t="s">
        <v>4196</v>
      </c>
      <c r="H2665" s="2" t="s">
        <v>2187</v>
      </c>
      <c r="I2665" s="12" t="s">
        <v>1288</v>
      </c>
      <c r="J2665" s="41">
        <f>+Tabla1[[#This Row],[FECHA ENTRADA]]</f>
        <v>45835</v>
      </c>
      <c r="K2665" s="41">
        <v>45840</v>
      </c>
      <c r="L2665" s="42">
        <f>_xlfn.DAYS(Tabla1[[#This Row],[FECHA FIN ]],Tabla1[[#This Row],[FECHA INICIO]])</f>
        <v>5</v>
      </c>
      <c r="M2665" s="12"/>
      <c r="N2665" s="28"/>
      <c r="O2665" s="28">
        <f>(Tabla1[[#This Row],[COSTO FIJO ]]/30)*Tabla1[[#This Row],[TOTAL DIAS PROYECTO]]+(Tabla1[[#This Row],[COSTO TEMPORAL]])</f>
        <v>0</v>
      </c>
      <c r="P2665" s="12"/>
      <c r="Q2665" s="12">
        <f>+(Tabla1[[#This Row],[COSTO COCHE]]/30)*Tabla1[[#This Row],[TOTAL DIAS PROYECTO]]</f>
        <v>0</v>
      </c>
      <c r="R2665" s="12">
        <f>+Tabla1[[#This Row],[COSTO TOTAL ALOJAMIENTO]]+Tabla1[[#This Row],[COSTO TOTAL COCHE]]</f>
        <v>0</v>
      </c>
      <c r="S2665" s="2"/>
      <c r="T2665" s="2" t="s">
        <v>44</v>
      </c>
      <c r="U2665" s="14">
        <v>45835</v>
      </c>
      <c r="V2665" s="43">
        <v>45840</v>
      </c>
      <c r="W2665" s="2"/>
      <c r="X2665" s="2"/>
      <c r="Y2665" s="11"/>
      <c r="Z2665" s="2" t="s">
        <v>36</v>
      </c>
      <c r="AA2665" s="13" t="s">
        <v>10401</v>
      </c>
      <c r="AB2665" s="13" t="s">
        <v>10402</v>
      </c>
    </row>
    <row r="2666" spans="1:28" ht="15" customHeight="1">
      <c r="A2666" s="2" t="s">
        <v>9143</v>
      </c>
      <c r="B2666" s="2" t="s">
        <v>368</v>
      </c>
      <c r="C2666" s="11" t="s">
        <v>2194</v>
      </c>
      <c r="D2666" s="2" t="s">
        <v>99</v>
      </c>
      <c r="E2666" s="2" t="s">
        <v>855</v>
      </c>
      <c r="F2666" s="11" t="s">
        <v>4195</v>
      </c>
      <c r="G2666" s="46" t="s">
        <v>4196</v>
      </c>
      <c r="H2666" s="2" t="s">
        <v>2196</v>
      </c>
      <c r="I2666" s="12" t="s">
        <v>1288</v>
      </c>
      <c r="J2666" s="41">
        <f>+Tabla1[[#This Row],[FECHA ENTRADA]]</f>
        <v>45836</v>
      </c>
      <c r="K2666" s="41">
        <v>45840</v>
      </c>
      <c r="L2666" s="42">
        <f>_xlfn.DAYS(Tabla1[[#This Row],[FECHA FIN ]],Tabla1[[#This Row],[FECHA INICIO]])</f>
        <v>4</v>
      </c>
      <c r="M2666" s="12"/>
      <c r="N2666" s="28"/>
      <c r="O2666" s="28">
        <f>(Tabla1[[#This Row],[COSTO FIJO ]]/30)*Tabla1[[#This Row],[TOTAL DIAS PROYECTO]]+(Tabla1[[#This Row],[COSTO TEMPORAL]])</f>
        <v>0</v>
      </c>
      <c r="P2666" s="12"/>
      <c r="Q2666" s="12">
        <f>+(Tabla1[[#This Row],[COSTO COCHE]]/30)*Tabla1[[#This Row],[TOTAL DIAS PROYECTO]]</f>
        <v>0</v>
      </c>
      <c r="R2666" s="12">
        <f>+Tabla1[[#This Row],[COSTO TOTAL ALOJAMIENTO]]+Tabla1[[#This Row],[COSTO TOTAL COCHE]]</f>
        <v>0</v>
      </c>
      <c r="S2666" s="2"/>
      <c r="T2666" s="2" t="s">
        <v>44</v>
      </c>
      <c r="U2666" s="14">
        <v>45836</v>
      </c>
      <c r="V2666" s="43">
        <v>45840</v>
      </c>
      <c r="W2666" s="2"/>
      <c r="X2666" s="2"/>
      <c r="Y2666" s="11"/>
      <c r="Z2666" s="2" t="s">
        <v>36</v>
      </c>
      <c r="AA2666" s="13" t="s">
        <v>10401</v>
      </c>
      <c r="AB2666" s="13" t="s">
        <v>10402</v>
      </c>
    </row>
    <row r="2667" spans="1:28" ht="15" customHeight="1">
      <c r="A2667" s="2" t="s">
        <v>8642</v>
      </c>
      <c r="B2667" s="2" t="s">
        <v>368</v>
      </c>
      <c r="C2667" s="11" t="s">
        <v>3660</v>
      </c>
      <c r="D2667" s="2" t="s">
        <v>99</v>
      </c>
      <c r="E2667" s="2" t="s">
        <v>855</v>
      </c>
      <c r="F2667" s="11" t="s">
        <v>4193</v>
      </c>
      <c r="G2667" s="30" t="s">
        <v>4194</v>
      </c>
      <c r="H2667" s="2" t="s">
        <v>2187</v>
      </c>
      <c r="I2667" s="12" t="s">
        <v>1288</v>
      </c>
      <c r="J2667" s="41">
        <f>+Tabla1[[#This Row],[FECHA ENTRADA]]</f>
        <v>45830</v>
      </c>
      <c r="K2667" s="41">
        <v>45840</v>
      </c>
      <c r="L2667" s="42">
        <f>_xlfn.DAYS(Tabla1[[#This Row],[FECHA FIN ]],Tabla1[[#This Row],[FECHA INICIO]])</f>
        <v>10</v>
      </c>
      <c r="M2667" s="12"/>
      <c r="N2667" s="28"/>
      <c r="O2667" s="28">
        <f>(Tabla1[[#This Row],[COSTO FIJO ]]/30)*Tabla1[[#This Row],[TOTAL DIAS PROYECTO]]+(Tabla1[[#This Row],[COSTO TEMPORAL]])</f>
        <v>0</v>
      </c>
      <c r="P2667" s="12"/>
      <c r="Q2667" s="12">
        <f>+(Tabla1[[#This Row],[COSTO COCHE]]/30)*Tabla1[[#This Row],[TOTAL DIAS PROYECTO]]</f>
        <v>0</v>
      </c>
      <c r="R2667" s="12">
        <f>+Tabla1[[#This Row],[COSTO TOTAL ALOJAMIENTO]]+Tabla1[[#This Row],[COSTO TOTAL COCHE]]</f>
        <v>0</v>
      </c>
      <c r="S2667" s="2"/>
      <c r="T2667" s="2" t="s">
        <v>44</v>
      </c>
      <c r="U2667" s="14">
        <v>45830</v>
      </c>
      <c r="V2667" s="43">
        <v>45840</v>
      </c>
      <c r="W2667" s="2"/>
      <c r="X2667" s="2"/>
      <c r="Y2667" s="11"/>
      <c r="Z2667" s="2" t="s">
        <v>36</v>
      </c>
      <c r="AA2667" s="13" t="s">
        <v>10401</v>
      </c>
      <c r="AB2667" s="13" t="s">
        <v>10402</v>
      </c>
    </row>
    <row r="2668" spans="1:28" ht="15" customHeight="1">
      <c r="A2668" s="2" t="s">
        <v>8642</v>
      </c>
      <c r="B2668" s="2" t="s">
        <v>368</v>
      </c>
      <c r="C2668" s="11" t="s">
        <v>3516</v>
      </c>
      <c r="D2668" s="2" t="s">
        <v>99</v>
      </c>
      <c r="E2668" s="2" t="s">
        <v>855</v>
      </c>
      <c r="F2668" s="11" t="s">
        <v>4195</v>
      </c>
      <c r="G2668" s="46" t="s">
        <v>4196</v>
      </c>
      <c r="H2668" s="2" t="s">
        <v>2196</v>
      </c>
      <c r="I2668" s="12" t="s">
        <v>1288</v>
      </c>
      <c r="J2668" s="41">
        <f>+Tabla1[[#This Row],[FECHA ENTRADA]]</f>
        <v>45835</v>
      </c>
      <c r="K2668" s="41">
        <v>45840</v>
      </c>
      <c r="L2668" s="42">
        <f>_xlfn.DAYS(Tabla1[[#This Row],[FECHA FIN ]],Tabla1[[#This Row],[FECHA INICIO]])</f>
        <v>5</v>
      </c>
      <c r="M2668" s="12"/>
      <c r="N2668" s="28"/>
      <c r="O2668" s="28">
        <f>(Tabla1[[#This Row],[COSTO FIJO ]]/30)*Tabla1[[#This Row],[TOTAL DIAS PROYECTO]]+(Tabla1[[#This Row],[COSTO TEMPORAL]])</f>
        <v>0</v>
      </c>
      <c r="P2668" s="12"/>
      <c r="Q2668" s="12">
        <f>+(Tabla1[[#This Row],[COSTO COCHE]]/30)*Tabla1[[#This Row],[TOTAL DIAS PROYECTO]]</f>
        <v>0</v>
      </c>
      <c r="R2668" s="12">
        <f>+Tabla1[[#This Row],[COSTO TOTAL ALOJAMIENTO]]+Tabla1[[#This Row],[COSTO TOTAL COCHE]]</f>
        <v>0</v>
      </c>
      <c r="S2668" s="2"/>
      <c r="T2668" s="2" t="s">
        <v>44</v>
      </c>
      <c r="U2668" s="14">
        <v>45835</v>
      </c>
      <c r="V2668" s="43">
        <v>45840</v>
      </c>
      <c r="W2668" s="2"/>
      <c r="X2668" s="2"/>
      <c r="Y2668" s="11"/>
      <c r="Z2668" s="2" t="s">
        <v>36</v>
      </c>
      <c r="AA2668" s="13" t="s">
        <v>10401</v>
      </c>
      <c r="AB2668" s="13" t="s">
        <v>10402</v>
      </c>
    </row>
    <row r="2669" spans="1:28" ht="15" customHeight="1">
      <c r="A2669" s="2" t="s">
        <v>9442</v>
      </c>
      <c r="B2669" s="2" t="s">
        <v>368</v>
      </c>
      <c r="C2669" s="11" t="s">
        <v>3191</v>
      </c>
      <c r="D2669" s="2" t="s">
        <v>99</v>
      </c>
      <c r="E2669" s="2" t="s">
        <v>855</v>
      </c>
      <c r="F2669" s="11" t="s">
        <v>4195</v>
      </c>
      <c r="G2669" s="46" t="s">
        <v>4196</v>
      </c>
      <c r="H2669" s="2" t="s">
        <v>2196</v>
      </c>
      <c r="I2669" s="12" t="s">
        <v>1288</v>
      </c>
      <c r="J2669" s="41">
        <f>+Tabla1[[#This Row],[FECHA ENTRADA]]</f>
        <v>45835</v>
      </c>
      <c r="K2669" s="41">
        <v>45840</v>
      </c>
      <c r="L2669" s="42">
        <f>_xlfn.DAYS(Tabla1[[#This Row],[FECHA FIN ]],Tabla1[[#This Row],[FECHA INICIO]])</f>
        <v>5</v>
      </c>
      <c r="M2669" s="12"/>
      <c r="N2669" s="28"/>
      <c r="O2669" s="28">
        <f>(Tabla1[[#This Row],[COSTO FIJO ]]/30)*Tabla1[[#This Row],[TOTAL DIAS PROYECTO]]+(Tabla1[[#This Row],[COSTO TEMPORAL]])</f>
        <v>0</v>
      </c>
      <c r="P2669" s="12"/>
      <c r="Q2669" s="12">
        <f>+(Tabla1[[#This Row],[COSTO COCHE]]/30)*Tabla1[[#This Row],[TOTAL DIAS PROYECTO]]</f>
        <v>0</v>
      </c>
      <c r="R2669" s="12">
        <f>+Tabla1[[#This Row],[COSTO TOTAL ALOJAMIENTO]]+Tabla1[[#This Row],[COSTO TOTAL COCHE]]</f>
        <v>0</v>
      </c>
      <c r="S2669" s="2"/>
      <c r="T2669" s="2" t="s">
        <v>44</v>
      </c>
      <c r="U2669" s="14">
        <v>45835</v>
      </c>
      <c r="V2669" s="43">
        <v>45840</v>
      </c>
      <c r="W2669" s="2"/>
      <c r="X2669" s="2"/>
      <c r="Y2669" s="11"/>
      <c r="Z2669" s="2" t="s">
        <v>36</v>
      </c>
      <c r="AA2669" s="13" t="s">
        <v>10401</v>
      </c>
      <c r="AB2669" s="13" t="s">
        <v>10402</v>
      </c>
    </row>
    <row r="2670" spans="1:28" ht="15" customHeight="1">
      <c r="A2670" s="2" t="s">
        <v>9652</v>
      </c>
      <c r="B2670" s="2" t="s">
        <v>368</v>
      </c>
      <c r="C2670" s="11" t="s">
        <v>4070</v>
      </c>
      <c r="D2670" s="2" t="s">
        <v>30</v>
      </c>
      <c r="E2670" s="2" t="s">
        <v>855</v>
      </c>
      <c r="F2670" s="11" t="s">
        <v>4193</v>
      </c>
      <c r="G2670" s="30" t="s">
        <v>4194</v>
      </c>
      <c r="H2670" s="2" t="s">
        <v>2988</v>
      </c>
      <c r="I2670" s="12" t="s">
        <v>1288</v>
      </c>
      <c r="J2670" s="41">
        <f>+Tabla1[[#This Row],[FECHA ENTRADA]]</f>
        <v>45830</v>
      </c>
      <c r="K2670" s="41">
        <v>45840</v>
      </c>
      <c r="L2670" s="42">
        <f>_xlfn.DAYS(Tabla1[[#This Row],[FECHA FIN ]],Tabla1[[#This Row],[FECHA INICIO]])</f>
        <v>10</v>
      </c>
      <c r="M2670" s="12"/>
      <c r="N2670" s="28"/>
      <c r="O2670" s="28">
        <f>(Tabla1[[#This Row],[COSTO FIJO ]]/30)*Tabla1[[#This Row],[TOTAL DIAS PROYECTO]]+(Tabla1[[#This Row],[COSTO TEMPORAL]])</f>
        <v>0</v>
      </c>
      <c r="P2670" s="12"/>
      <c r="Q2670" s="12">
        <f>+(Tabla1[[#This Row],[COSTO COCHE]]/30)*Tabla1[[#This Row],[TOTAL DIAS PROYECTO]]</f>
        <v>0</v>
      </c>
      <c r="R2670" s="12">
        <f>+Tabla1[[#This Row],[COSTO TOTAL ALOJAMIENTO]]+Tabla1[[#This Row],[COSTO TOTAL COCHE]]</f>
        <v>0</v>
      </c>
      <c r="S2670" s="2"/>
      <c r="T2670" s="2" t="s">
        <v>44</v>
      </c>
      <c r="U2670" s="14">
        <v>45830</v>
      </c>
      <c r="V2670" s="43">
        <v>45840</v>
      </c>
      <c r="W2670" s="2"/>
      <c r="X2670" s="2"/>
      <c r="Y2670" s="11"/>
      <c r="Z2670" s="2" t="s">
        <v>36</v>
      </c>
      <c r="AA2670" s="13" t="s">
        <v>10401</v>
      </c>
      <c r="AB2670" s="13" t="s">
        <v>10402</v>
      </c>
    </row>
    <row r="2671" spans="1:28" ht="15" customHeight="1">
      <c r="A2671" s="2" t="s">
        <v>9464</v>
      </c>
      <c r="B2671" s="2" t="s">
        <v>368</v>
      </c>
      <c r="C2671" s="11" t="s">
        <v>3280</v>
      </c>
      <c r="D2671" s="2" t="s">
        <v>30</v>
      </c>
      <c r="E2671" s="2" t="s">
        <v>855</v>
      </c>
      <c r="F2671" s="11" t="s">
        <v>4195</v>
      </c>
      <c r="G2671" s="46" t="s">
        <v>4196</v>
      </c>
      <c r="H2671" s="2" t="s">
        <v>2988</v>
      </c>
      <c r="I2671" s="2" t="s">
        <v>1288</v>
      </c>
      <c r="J2671" s="41">
        <f>+Tabla1[[#This Row],[FECHA ENTRADA]]</f>
        <v>45836</v>
      </c>
      <c r="K2671" s="41">
        <v>45840</v>
      </c>
      <c r="L2671" s="42">
        <f>_xlfn.DAYS(Tabla1[[#This Row],[FECHA FIN ]],Tabla1[[#This Row],[FECHA INICIO]])</f>
        <v>4</v>
      </c>
      <c r="M2671" s="12"/>
      <c r="N2671" s="28"/>
      <c r="O2671" s="28">
        <f>(Tabla1[[#This Row],[COSTO FIJO ]]/30)*Tabla1[[#This Row],[TOTAL DIAS PROYECTO]]+(Tabla1[[#This Row],[COSTO TEMPORAL]])</f>
        <v>0</v>
      </c>
      <c r="P2671" s="12"/>
      <c r="Q2671" s="12">
        <f>+(Tabla1[[#This Row],[COSTO COCHE]]/30)*Tabla1[[#This Row],[TOTAL DIAS PROYECTO]]</f>
        <v>0</v>
      </c>
      <c r="R2671" s="12">
        <f>+Tabla1[[#This Row],[COSTO TOTAL ALOJAMIENTO]]+Tabla1[[#This Row],[COSTO TOTAL COCHE]]</f>
        <v>0</v>
      </c>
      <c r="S2671" s="2"/>
      <c r="T2671" s="2" t="s">
        <v>44</v>
      </c>
      <c r="U2671" s="14">
        <v>45836</v>
      </c>
      <c r="V2671" s="43">
        <v>45840</v>
      </c>
      <c r="W2671" s="2"/>
      <c r="X2671" s="2"/>
      <c r="Y2671" s="11"/>
      <c r="Z2671" s="2" t="s">
        <v>36</v>
      </c>
      <c r="AA2671" s="13" t="s">
        <v>10401</v>
      </c>
      <c r="AB2671" s="13" t="s">
        <v>10402</v>
      </c>
    </row>
    <row r="2672" spans="1:28" ht="15" customHeight="1">
      <c r="A2672" s="2" t="s">
        <v>9073</v>
      </c>
      <c r="B2672" s="2" t="s">
        <v>368</v>
      </c>
      <c r="C2672" s="11" t="s">
        <v>1897</v>
      </c>
      <c r="D2672" s="2" t="s">
        <v>30</v>
      </c>
      <c r="E2672" s="2" t="s">
        <v>855</v>
      </c>
      <c r="F2672" s="11" t="s">
        <v>4195</v>
      </c>
      <c r="G2672" s="46" t="s">
        <v>4196</v>
      </c>
      <c r="H2672" s="2" t="s">
        <v>2988</v>
      </c>
      <c r="I2672" s="2" t="s">
        <v>1288</v>
      </c>
      <c r="J2672" s="41">
        <f>+Tabla1[[#This Row],[FECHA ENTRADA]]</f>
        <v>45836</v>
      </c>
      <c r="K2672" s="41">
        <v>45840</v>
      </c>
      <c r="L2672" s="42">
        <f>_xlfn.DAYS(Tabla1[[#This Row],[FECHA FIN ]],Tabla1[[#This Row],[FECHA INICIO]])</f>
        <v>4</v>
      </c>
      <c r="M2672" s="12"/>
      <c r="N2672" s="28"/>
      <c r="O2672" s="28">
        <f>(Tabla1[[#This Row],[COSTO FIJO ]]/30)*Tabla1[[#This Row],[TOTAL DIAS PROYECTO]]+(Tabla1[[#This Row],[COSTO TEMPORAL]])</f>
        <v>0</v>
      </c>
      <c r="P2672" s="12"/>
      <c r="Q2672" s="12">
        <f>+(Tabla1[[#This Row],[COSTO COCHE]]/30)*Tabla1[[#This Row],[TOTAL DIAS PROYECTO]]</f>
        <v>0</v>
      </c>
      <c r="R2672" s="12">
        <f>+Tabla1[[#This Row],[COSTO TOTAL ALOJAMIENTO]]+Tabla1[[#This Row],[COSTO TOTAL COCHE]]</f>
        <v>0</v>
      </c>
      <c r="S2672" s="2"/>
      <c r="T2672" s="2" t="s">
        <v>44</v>
      </c>
      <c r="U2672" s="14">
        <v>45836</v>
      </c>
      <c r="V2672" s="43">
        <v>45840</v>
      </c>
      <c r="W2672" s="2"/>
      <c r="X2672" s="2"/>
      <c r="Y2672" s="11"/>
      <c r="Z2672" s="2" t="s">
        <v>36</v>
      </c>
      <c r="AA2672" s="13" t="s">
        <v>10401</v>
      </c>
      <c r="AB2672" s="13" t="s">
        <v>10402</v>
      </c>
    </row>
    <row r="2673" spans="1:28" ht="15" customHeight="1">
      <c r="A2673" s="2" t="s">
        <v>9059</v>
      </c>
      <c r="B2673" s="2" t="s">
        <v>606</v>
      </c>
      <c r="C2673" s="31" t="s">
        <v>1827</v>
      </c>
      <c r="D2673" s="2" t="s">
        <v>30</v>
      </c>
      <c r="E2673" s="2" t="s">
        <v>109</v>
      </c>
      <c r="F2673" s="11"/>
      <c r="G2673" s="21"/>
      <c r="H2673" s="2" t="s">
        <v>1829</v>
      </c>
      <c r="I2673" s="12" t="s">
        <v>1830</v>
      </c>
      <c r="J2673" s="41">
        <f>+Tabla1[[#This Row],[FECHA ENTRADA]]</f>
        <v>46204</v>
      </c>
      <c r="K2673" s="22">
        <v>46237</v>
      </c>
      <c r="L2673" s="42">
        <f>_xlfn.DAYS(Tabla1[[#This Row],[FECHA FIN ]],Tabla1[[#This Row],[FECHA INICIO]])</f>
        <v>33</v>
      </c>
      <c r="M2673" s="12"/>
      <c r="N2673" s="28">
        <v>300</v>
      </c>
      <c r="O2673" s="28">
        <f>(Tabla1[[#This Row],[COSTO FIJO ]]/30)*Tabla1[[#This Row],[TOTAL DIAS PROYECTO]]+(Tabla1[[#This Row],[COSTO TEMPORAL]])</f>
        <v>330</v>
      </c>
      <c r="P2673" s="12"/>
      <c r="Q2673" s="12">
        <f>+(Tabla1[[#This Row],[COSTO COCHE]]/30)*Tabla1[[#This Row],[TOTAL DIAS PROYECTO]]</f>
        <v>0</v>
      </c>
      <c r="R2673" s="12">
        <f>+Tabla1[[#This Row],[COSTO TOTAL ALOJAMIENTO]]+Tabla1[[#This Row],[COSTO TOTAL COCHE]]</f>
        <v>330</v>
      </c>
      <c r="S2673" s="2"/>
      <c r="T2673" s="14" t="s">
        <v>58</v>
      </c>
      <c r="U2673" s="14">
        <v>46204</v>
      </c>
      <c r="V2673" s="43"/>
      <c r="W2673" s="12"/>
      <c r="X2673" s="2"/>
      <c r="Y2673" s="11" t="s">
        <v>4197</v>
      </c>
      <c r="Z2673" s="2" t="s">
        <v>36</v>
      </c>
      <c r="AA2673" s="13">
        <v>0.62217999999999996</v>
      </c>
      <c r="AB2673" s="13" t="s">
        <v>10339</v>
      </c>
    </row>
    <row r="2674" spans="1:28" ht="15" customHeight="1">
      <c r="A2674" s="2" t="s">
        <v>9680</v>
      </c>
      <c r="B2674" s="2" t="s">
        <v>606</v>
      </c>
      <c r="C2674" s="31" t="s">
        <v>4198</v>
      </c>
      <c r="D2674" s="2" t="s">
        <v>99</v>
      </c>
      <c r="E2674" s="2" t="s">
        <v>109</v>
      </c>
      <c r="F2674" s="11"/>
      <c r="G2674" s="21"/>
      <c r="H2674" s="2" t="s">
        <v>4090</v>
      </c>
      <c r="I2674" s="12" t="s">
        <v>1830</v>
      </c>
      <c r="J2674" s="41">
        <f>+Tabla1[[#This Row],[FECHA ENTRADA]]</f>
        <v>46206</v>
      </c>
      <c r="K2674" s="22">
        <v>46237</v>
      </c>
      <c r="L2674" s="42">
        <f>_xlfn.DAYS(Tabla1[[#This Row],[FECHA FIN ]],Tabla1[[#This Row],[FECHA INICIO]])</f>
        <v>31</v>
      </c>
      <c r="M2674" s="12"/>
      <c r="N2674" s="28"/>
      <c r="O2674" s="28">
        <f>(Tabla1[[#This Row],[COSTO FIJO ]]/30)*Tabla1[[#This Row],[TOTAL DIAS PROYECTO]]+(Tabla1[[#This Row],[COSTO TEMPORAL]])</f>
        <v>0</v>
      </c>
      <c r="P2674" s="12"/>
      <c r="Q2674" s="12">
        <f>+(Tabla1[[#This Row],[COSTO COCHE]]/30)*Tabla1[[#This Row],[TOTAL DIAS PROYECTO]]</f>
        <v>0</v>
      </c>
      <c r="R2674" s="12">
        <f>+Tabla1[[#This Row],[COSTO TOTAL ALOJAMIENTO]]+Tabla1[[#This Row],[COSTO TOTAL COCHE]]</f>
        <v>0</v>
      </c>
      <c r="S2674" s="2"/>
      <c r="T2674" s="14" t="s">
        <v>58</v>
      </c>
      <c r="U2674" s="14">
        <v>46206</v>
      </c>
      <c r="V2674" s="43"/>
      <c r="W2674" s="12"/>
      <c r="X2674" s="2"/>
      <c r="Y2674" s="11" t="s">
        <v>4197</v>
      </c>
      <c r="Z2674" s="2" t="s">
        <v>36</v>
      </c>
      <c r="AA2674" s="13">
        <v>0.62217999999999996</v>
      </c>
      <c r="AB2674" s="13" t="s">
        <v>10339</v>
      </c>
    </row>
    <row r="2675" spans="1:28" ht="15" customHeight="1">
      <c r="A2675" s="2" t="s">
        <v>9453</v>
      </c>
      <c r="B2675" s="2" t="s">
        <v>711</v>
      </c>
      <c r="C2675" s="11" t="s">
        <v>3228</v>
      </c>
      <c r="D2675" s="2" t="s">
        <v>99</v>
      </c>
      <c r="E2675" s="2" t="s">
        <v>1514</v>
      </c>
      <c r="F2675" s="11" t="s">
        <v>4199</v>
      </c>
      <c r="G2675" s="46" t="s">
        <v>4200</v>
      </c>
      <c r="H2675" s="2" t="s">
        <v>3693</v>
      </c>
      <c r="I2675" s="12" t="s">
        <v>506</v>
      </c>
      <c r="J2675" s="41">
        <f>+Tabla1[[#This Row],[FECHA ENTRADA]]</f>
        <v>45831</v>
      </c>
      <c r="K2675" s="8">
        <v>45840</v>
      </c>
      <c r="L2675" s="42">
        <f>_xlfn.DAYS(Tabla1[[#This Row],[FECHA FIN ]],Tabla1[[#This Row],[FECHA INICIO]])</f>
        <v>9</v>
      </c>
      <c r="M2675" s="12"/>
      <c r="N2675" s="12">
        <v>422.4</v>
      </c>
      <c r="O2675" s="28">
        <f>(Tabla1[[#This Row],[COSTO FIJO ]]/30)*Tabla1[[#This Row],[TOTAL DIAS PROYECTO]]+(Tabla1[[#This Row],[COSTO TEMPORAL]])</f>
        <v>126.72</v>
      </c>
      <c r="P2675" s="12"/>
      <c r="Q2675" s="12">
        <f>+(Tabla1[[#This Row],[COSTO COCHE]]/30)*Tabla1[[#This Row],[TOTAL DIAS PROYECTO]]</f>
        <v>0</v>
      </c>
      <c r="R2675" s="12">
        <f>+Tabla1[[#This Row],[COSTO TOTAL ALOJAMIENTO]]+Tabla1[[#This Row],[COSTO TOTAL COCHE]]</f>
        <v>126.72</v>
      </c>
      <c r="S2675" s="2"/>
      <c r="T2675" s="2" t="s">
        <v>528</v>
      </c>
      <c r="U2675" s="14">
        <v>45831</v>
      </c>
      <c r="V2675" s="43">
        <v>45855</v>
      </c>
      <c r="W2675" s="2"/>
      <c r="X2675" s="2"/>
      <c r="Y2675" s="11" t="s">
        <v>4201</v>
      </c>
      <c r="Z2675" s="2" t="s">
        <v>36</v>
      </c>
      <c r="AA2675" s="13" t="s">
        <v>10424</v>
      </c>
      <c r="AB2675" s="13">
        <v>398581</v>
      </c>
    </row>
    <row r="2676" spans="1:28" ht="15" customHeight="1">
      <c r="A2676" s="2" t="s">
        <v>9443</v>
      </c>
      <c r="B2676" s="2" t="s">
        <v>711</v>
      </c>
      <c r="C2676" s="11" t="s">
        <v>3196</v>
      </c>
      <c r="D2676" s="2" t="s">
        <v>99</v>
      </c>
      <c r="E2676" s="2" t="s">
        <v>1514</v>
      </c>
      <c r="F2676" s="11" t="s">
        <v>4199</v>
      </c>
      <c r="G2676" s="46" t="s">
        <v>4200</v>
      </c>
      <c r="H2676" s="2" t="s">
        <v>3693</v>
      </c>
      <c r="I2676" s="12" t="s">
        <v>506</v>
      </c>
      <c r="J2676" s="41">
        <f>+Tabla1[[#This Row],[FECHA ENTRADA]]</f>
        <v>45831</v>
      </c>
      <c r="K2676" s="8">
        <v>45840</v>
      </c>
      <c r="L2676" s="42">
        <f>_xlfn.DAYS(Tabla1[[#This Row],[FECHA FIN ]],Tabla1[[#This Row],[FECHA INICIO]])</f>
        <v>9</v>
      </c>
      <c r="M2676" s="12"/>
      <c r="N2676" s="12">
        <v>422.4</v>
      </c>
      <c r="O2676" s="28">
        <f>(Tabla1[[#This Row],[COSTO FIJO ]]/30)*Tabla1[[#This Row],[TOTAL DIAS PROYECTO]]+(Tabla1[[#This Row],[COSTO TEMPORAL]])</f>
        <v>126.72</v>
      </c>
      <c r="P2676" s="12"/>
      <c r="Q2676" s="12">
        <f>+(Tabla1[[#This Row],[COSTO COCHE]]/30)*Tabla1[[#This Row],[TOTAL DIAS PROYECTO]]</f>
        <v>0</v>
      </c>
      <c r="R2676" s="12">
        <f>+Tabla1[[#This Row],[COSTO TOTAL ALOJAMIENTO]]+Tabla1[[#This Row],[COSTO TOTAL COCHE]]</f>
        <v>126.72</v>
      </c>
      <c r="S2676" s="2"/>
      <c r="T2676" s="2" t="s">
        <v>528</v>
      </c>
      <c r="U2676" s="14">
        <v>45831</v>
      </c>
      <c r="V2676" s="43">
        <v>45855</v>
      </c>
      <c r="W2676" s="2"/>
      <c r="X2676" s="2"/>
      <c r="Y2676" s="11" t="s">
        <v>4201</v>
      </c>
      <c r="Z2676" s="2" t="s">
        <v>36</v>
      </c>
      <c r="AA2676" s="13" t="s">
        <v>10424</v>
      </c>
      <c r="AB2676" s="13">
        <v>398581</v>
      </c>
    </row>
    <row r="2677" spans="1:28" ht="15" customHeight="1">
      <c r="A2677" s="2" t="s">
        <v>8848</v>
      </c>
      <c r="B2677" s="2" t="s">
        <v>711</v>
      </c>
      <c r="C2677" s="11" t="s">
        <v>1003</v>
      </c>
      <c r="D2677" s="2" t="s">
        <v>99</v>
      </c>
      <c r="E2677" s="2" t="s">
        <v>1514</v>
      </c>
      <c r="F2677" s="11" t="s">
        <v>4199</v>
      </c>
      <c r="G2677" s="46" t="s">
        <v>4200</v>
      </c>
      <c r="H2677" s="2" t="s">
        <v>3693</v>
      </c>
      <c r="I2677" s="12" t="s">
        <v>506</v>
      </c>
      <c r="J2677" s="41">
        <f>+Tabla1[[#This Row],[FECHA ENTRADA]]</f>
        <v>45831</v>
      </c>
      <c r="K2677" s="8">
        <v>45840</v>
      </c>
      <c r="L2677" s="42">
        <f>_xlfn.DAYS(Tabla1[[#This Row],[FECHA FIN ]],Tabla1[[#This Row],[FECHA INICIO]])</f>
        <v>9</v>
      </c>
      <c r="M2677" s="12"/>
      <c r="N2677" s="12">
        <v>422.4</v>
      </c>
      <c r="O2677" s="28">
        <f>(Tabla1[[#This Row],[COSTO FIJO ]]/30)*Tabla1[[#This Row],[TOTAL DIAS PROYECTO]]+(Tabla1[[#This Row],[COSTO TEMPORAL]])</f>
        <v>126.72</v>
      </c>
      <c r="P2677" s="12"/>
      <c r="Q2677" s="12">
        <f>+(Tabla1[[#This Row],[COSTO COCHE]]/30)*Tabla1[[#This Row],[TOTAL DIAS PROYECTO]]</f>
        <v>0</v>
      </c>
      <c r="R2677" s="12">
        <f>+Tabla1[[#This Row],[COSTO TOTAL ALOJAMIENTO]]+Tabla1[[#This Row],[COSTO TOTAL COCHE]]</f>
        <v>126.72</v>
      </c>
      <c r="S2677" s="2"/>
      <c r="T2677" s="2" t="s">
        <v>528</v>
      </c>
      <c r="U2677" s="14">
        <v>45831</v>
      </c>
      <c r="V2677" s="43">
        <v>45855</v>
      </c>
      <c r="W2677" s="2"/>
      <c r="X2677" s="2"/>
      <c r="Y2677" s="11" t="s">
        <v>4201</v>
      </c>
      <c r="Z2677" s="2" t="s">
        <v>36</v>
      </c>
      <c r="AA2677" s="13" t="s">
        <v>10424</v>
      </c>
      <c r="AB2677" s="13">
        <v>398581</v>
      </c>
    </row>
    <row r="2678" spans="1:28" ht="15" customHeight="1">
      <c r="A2678" s="2" t="s">
        <v>9319</v>
      </c>
      <c r="B2678" s="2" t="s">
        <v>711</v>
      </c>
      <c r="C2678" s="11" t="s">
        <v>2812</v>
      </c>
      <c r="D2678" s="2" t="s">
        <v>99</v>
      </c>
      <c r="E2678" s="2" t="s">
        <v>1514</v>
      </c>
      <c r="F2678" s="11" t="s">
        <v>4199</v>
      </c>
      <c r="G2678" s="46" t="s">
        <v>4200</v>
      </c>
      <c r="H2678" s="2" t="s">
        <v>4084</v>
      </c>
      <c r="I2678" s="12" t="s">
        <v>506</v>
      </c>
      <c r="J2678" s="41">
        <f>+Tabla1[[#This Row],[FECHA ENTRADA]]</f>
        <v>45831</v>
      </c>
      <c r="K2678" s="8">
        <v>45840</v>
      </c>
      <c r="L2678" s="42">
        <f>_xlfn.DAYS(Tabla1[[#This Row],[FECHA FIN ]],Tabla1[[#This Row],[FECHA INICIO]])</f>
        <v>9</v>
      </c>
      <c r="M2678" s="12"/>
      <c r="N2678" s="12">
        <v>422.4</v>
      </c>
      <c r="O2678" s="28">
        <f>(Tabla1[[#This Row],[COSTO FIJO ]]/30)*Tabla1[[#This Row],[TOTAL DIAS PROYECTO]]+(Tabla1[[#This Row],[COSTO TEMPORAL]])</f>
        <v>126.72</v>
      </c>
      <c r="P2678" s="12"/>
      <c r="Q2678" s="12">
        <f>+(Tabla1[[#This Row],[COSTO COCHE]]/30)*Tabla1[[#This Row],[TOTAL DIAS PROYECTO]]</f>
        <v>0</v>
      </c>
      <c r="R2678" s="12">
        <f>+Tabla1[[#This Row],[COSTO TOTAL ALOJAMIENTO]]+Tabla1[[#This Row],[COSTO TOTAL COCHE]]</f>
        <v>126.72</v>
      </c>
      <c r="S2678" s="2"/>
      <c r="T2678" s="2" t="s">
        <v>528</v>
      </c>
      <c r="U2678" s="14">
        <v>45831</v>
      </c>
      <c r="V2678" s="43">
        <v>45855</v>
      </c>
      <c r="W2678" s="2"/>
      <c r="X2678" s="2"/>
      <c r="Y2678" s="11" t="s">
        <v>4201</v>
      </c>
      <c r="Z2678" s="2" t="s">
        <v>36</v>
      </c>
      <c r="AA2678" s="13" t="s">
        <v>10424</v>
      </c>
      <c r="AB2678" s="13">
        <v>398581</v>
      </c>
    </row>
    <row r="2679" spans="1:28" ht="15" customHeight="1">
      <c r="A2679" s="2" t="s">
        <v>9129</v>
      </c>
      <c r="B2679" s="2" t="s">
        <v>711</v>
      </c>
      <c r="C2679" s="11" t="s">
        <v>2121</v>
      </c>
      <c r="D2679" s="2" t="s">
        <v>99</v>
      </c>
      <c r="E2679" s="2" t="s">
        <v>1514</v>
      </c>
      <c r="F2679" s="11" t="s">
        <v>4199</v>
      </c>
      <c r="G2679" s="46" t="s">
        <v>4200</v>
      </c>
      <c r="H2679" s="2" t="s">
        <v>4084</v>
      </c>
      <c r="I2679" s="12" t="s">
        <v>506</v>
      </c>
      <c r="J2679" s="41">
        <f>+Tabla1[[#This Row],[FECHA ENTRADA]]</f>
        <v>45831</v>
      </c>
      <c r="K2679" s="8">
        <v>45840</v>
      </c>
      <c r="L2679" s="42">
        <f>_xlfn.DAYS(Tabla1[[#This Row],[FECHA FIN ]],Tabla1[[#This Row],[FECHA INICIO]])</f>
        <v>9</v>
      </c>
      <c r="M2679" s="12"/>
      <c r="N2679" s="12">
        <v>422.4</v>
      </c>
      <c r="O2679" s="28">
        <f>(Tabla1[[#This Row],[COSTO FIJO ]]/30)*Tabla1[[#This Row],[TOTAL DIAS PROYECTO]]+(Tabla1[[#This Row],[COSTO TEMPORAL]])</f>
        <v>126.72</v>
      </c>
      <c r="P2679" s="12"/>
      <c r="Q2679" s="12">
        <f>+(Tabla1[[#This Row],[COSTO COCHE]]/30)*Tabla1[[#This Row],[TOTAL DIAS PROYECTO]]</f>
        <v>0</v>
      </c>
      <c r="R2679" s="12">
        <f>+Tabla1[[#This Row],[COSTO TOTAL ALOJAMIENTO]]+Tabla1[[#This Row],[COSTO TOTAL COCHE]]</f>
        <v>126.72</v>
      </c>
      <c r="S2679" s="2"/>
      <c r="T2679" s="2" t="s">
        <v>528</v>
      </c>
      <c r="U2679" s="14">
        <v>45831</v>
      </c>
      <c r="V2679" s="43">
        <v>45855</v>
      </c>
      <c r="W2679" s="2"/>
      <c r="X2679" s="2"/>
      <c r="Y2679" s="11" t="s">
        <v>4201</v>
      </c>
      <c r="Z2679" s="2" t="s">
        <v>36</v>
      </c>
      <c r="AA2679" s="13" t="s">
        <v>10424</v>
      </c>
      <c r="AB2679" s="13">
        <v>398581</v>
      </c>
    </row>
    <row r="2680" spans="1:28" ht="15" customHeight="1">
      <c r="A2680" s="2" t="s">
        <v>8972</v>
      </c>
      <c r="B2680" s="2" t="s">
        <v>368</v>
      </c>
      <c r="C2680" s="11" t="s">
        <v>1555</v>
      </c>
      <c r="D2680" s="2" t="s">
        <v>99</v>
      </c>
      <c r="E2680" s="2" t="s">
        <v>109</v>
      </c>
      <c r="F2680" s="11" t="s">
        <v>2161</v>
      </c>
      <c r="G2680" s="49" t="s">
        <v>2162</v>
      </c>
      <c r="H2680" s="2" t="s">
        <v>4167</v>
      </c>
      <c r="I2680" s="12" t="s">
        <v>42</v>
      </c>
      <c r="J2680" s="41">
        <f>+Tabla1[[#This Row],[FECHA ENTRADA]]</f>
        <v>45789</v>
      </c>
      <c r="K2680" s="22">
        <v>45797</v>
      </c>
      <c r="L2680" s="23">
        <f>_xlfn.DAYS(Tabla1[[#This Row],[FECHA FIN ]],Tabla1[[#This Row],[FECHA INICIO]])</f>
        <v>8</v>
      </c>
      <c r="M2680" s="12"/>
      <c r="N2680" s="12"/>
      <c r="O2680" s="24">
        <f>(Tabla1[[#This Row],[COSTO FIJO ]]/30)*Tabla1[[#This Row],[TOTAL DIAS PROYECTO]]+(Tabla1[[#This Row],[COSTO TEMPORAL]])</f>
        <v>0</v>
      </c>
      <c r="P2680" s="12"/>
      <c r="Q2680" s="12">
        <f>+(Tabla1[[#This Row],[COSTO COCHE]]/30)*Tabla1[[#This Row],[TOTAL DIAS PROYECTO]]</f>
        <v>0</v>
      </c>
      <c r="R2680" s="12">
        <f>+Tabla1[[#This Row],[COSTO TOTAL ALOJAMIENTO]]+Tabla1[[#This Row],[COSTO TOTAL COCHE]]</f>
        <v>0</v>
      </c>
      <c r="S2680" s="2"/>
      <c r="T2680" s="2" t="s">
        <v>35</v>
      </c>
      <c r="U2680" s="14">
        <v>45789</v>
      </c>
      <c r="V2680" s="25"/>
      <c r="W2680" s="26"/>
      <c r="X2680" s="2">
        <v>10</v>
      </c>
      <c r="Y2680" s="11"/>
      <c r="Z2680" s="2" t="s">
        <v>36</v>
      </c>
      <c r="AA2680" s="13">
        <v>0.62217999999999996</v>
      </c>
      <c r="AB2680" s="13" t="s">
        <v>10339</v>
      </c>
    </row>
    <row r="2681" spans="1:28" ht="15" customHeight="1">
      <c r="A2681" s="2" t="s">
        <v>9681</v>
      </c>
      <c r="B2681" s="2" t="s">
        <v>28</v>
      </c>
      <c r="C2681" s="11" t="s">
        <v>4202</v>
      </c>
      <c r="D2681" s="2" t="s">
        <v>30</v>
      </c>
      <c r="E2681" s="2" t="s">
        <v>31</v>
      </c>
      <c r="F2681" s="11" t="s">
        <v>715</v>
      </c>
      <c r="G2681" s="11" t="s">
        <v>716</v>
      </c>
      <c r="H2681" s="2" t="s">
        <v>1058</v>
      </c>
      <c r="I2681" s="12" t="s">
        <v>527</v>
      </c>
      <c r="J2681" s="8">
        <f>+Tabla1[[#This Row],[FECHA ENTRADA]]</f>
        <v>45453</v>
      </c>
      <c r="K2681" s="22">
        <v>45841</v>
      </c>
      <c r="L2681" s="13">
        <f>_xlfn.DAYS(Tabla1[[#This Row],[FECHA FIN ]],Tabla1[[#This Row],[FECHA INICIO]])</f>
        <v>388</v>
      </c>
      <c r="M2681" s="12"/>
      <c r="N2681" s="12">
        <v>160</v>
      </c>
      <c r="O2681" s="28">
        <f>(Tabla1[[#This Row],[COSTO FIJO ]]/30)*Tabla1[[#This Row],[TOTAL DIAS PROYECTO]]+(Tabla1[[#This Row],[COSTO TEMPORAL]])</f>
        <v>2069.333333333333</v>
      </c>
      <c r="P2681" s="12">
        <f>542.69/3</f>
        <v>180.89666666666668</v>
      </c>
      <c r="Q2681" s="28">
        <f>+(Tabla1[[#This Row],[COSTO COCHE]]/30)*Tabla1[[#This Row],[TOTAL DIAS PROYECTO]]</f>
        <v>2339.5968888888892</v>
      </c>
      <c r="R2681" s="28">
        <f>+Tabla1[[#This Row],[COSTO TOTAL ALOJAMIENTO]]+Tabla1[[#This Row],[COSTO TOTAL COCHE]]</f>
        <v>4408.9302222222223</v>
      </c>
      <c r="S2681" s="2"/>
      <c r="T2681" s="2" t="s">
        <v>613</v>
      </c>
      <c r="U2681" s="14">
        <v>45453</v>
      </c>
      <c r="V2681" s="14"/>
      <c r="W2681" s="26"/>
      <c r="X2681" s="2">
        <v>1</v>
      </c>
      <c r="Y2681" s="11" t="s">
        <v>4203</v>
      </c>
      <c r="Z2681" s="2" t="s">
        <v>36</v>
      </c>
      <c r="AA2681" s="13" t="s">
        <v>10323</v>
      </c>
      <c r="AB2681" s="13" t="s">
        <v>10324</v>
      </c>
    </row>
    <row r="2682" spans="1:28" ht="15" customHeight="1">
      <c r="A2682" s="2" t="s">
        <v>9632</v>
      </c>
      <c r="B2682" s="2" t="s">
        <v>978</v>
      </c>
      <c r="C2682" s="31" t="s">
        <v>3980</v>
      </c>
      <c r="D2682" s="2" t="s">
        <v>30</v>
      </c>
      <c r="E2682" s="2" t="s">
        <v>253</v>
      </c>
      <c r="F2682" s="11" t="s">
        <v>3497</v>
      </c>
      <c r="G2682" s="197" t="s">
        <v>3498</v>
      </c>
      <c r="H2682" s="2" t="s">
        <v>1530</v>
      </c>
      <c r="I2682" s="12" t="s">
        <v>1155</v>
      </c>
      <c r="J2682" s="22">
        <f>+Tabla1[[#This Row],[FECHA ENTRADA]]</f>
        <v>45574</v>
      </c>
      <c r="K2682" s="22">
        <v>45976</v>
      </c>
      <c r="L2682" s="42">
        <f>_xlfn.DAYS(Tabla1[[#This Row],[FECHA FIN ]],Tabla1[[#This Row],[FECHA INICIO]])</f>
        <v>402</v>
      </c>
      <c r="M2682" s="12"/>
      <c r="N2682" s="12">
        <v>375</v>
      </c>
      <c r="O2682" s="28">
        <f>(Tabla1[[#This Row],[COSTO FIJO ]]/30)*Tabla1[[#This Row],[TOTAL DIAS PROYECTO]]+(Tabla1[[#This Row],[COSTO TEMPORAL]])</f>
        <v>5025</v>
      </c>
      <c r="P2682" s="12"/>
      <c r="Q2682" s="12">
        <f>+(Tabla1[[#This Row],[COSTO COCHE]]/30)*Tabla1[[#This Row],[TOTAL DIAS PROYECTO]]</f>
        <v>0</v>
      </c>
      <c r="R2682" s="12">
        <f>+Tabla1[[#This Row],[COSTO TOTAL ALOJAMIENTO]]+Tabla1[[#This Row],[COSTO TOTAL COCHE]]</f>
        <v>5025</v>
      </c>
      <c r="S2682" s="2"/>
      <c r="T2682" s="2" t="s">
        <v>35</v>
      </c>
      <c r="U2682" s="14">
        <v>45574</v>
      </c>
      <c r="V2682" s="43"/>
      <c r="W2682" s="26">
        <v>250</v>
      </c>
      <c r="X2682" s="2">
        <v>5</v>
      </c>
      <c r="Y2682" s="11" t="s">
        <v>4204</v>
      </c>
      <c r="Z2682" s="2" t="s">
        <v>36</v>
      </c>
      <c r="AA2682" s="13" t="s">
        <v>10357</v>
      </c>
      <c r="AB2682" s="13" t="s">
        <v>10358</v>
      </c>
    </row>
    <row r="2683" spans="1:28" ht="15" customHeight="1">
      <c r="A2683" s="2" t="s">
        <v>9682</v>
      </c>
      <c r="B2683" s="2" t="s">
        <v>978</v>
      </c>
      <c r="C2683" s="31" t="s">
        <v>4205</v>
      </c>
      <c r="D2683" s="2" t="s">
        <v>30</v>
      </c>
      <c r="E2683" s="2" t="s">
        <v>259</v>
      </c>
      <c r="F2683" s="11" t="s">
        <v>4206</v>
      </c>
      <c r="G2683" s="46" t="s">
        <v>4207</v>
      </c>
      <c r="H2683" s="2" t="s">
        <v>4208</v>
      </c>
      <c r="I2683" s="12" t="s">
        <v>4209</v>
      </c>
      <c r="J2683" s="41">
        <f>+Tabla1[[#This Row],[FECHA ENTRADA]]</f>
        <v>45784</v>
      </c>
      <c r="K2683" s="41">
        <v>45841</v>
      </c>
      <c r="L2683" s="42">
        <f>_xlfn.DAYS(Tabla1[[#This Row],[FECHA FIN ]],Tabla1[[#This Row],[FECHA INICIO]])</f>
        <v>57</v>
      </c>
      <c r="M2683" s="12"/>
      <c r="N2683" s="28">
        <v>283.33333333333331</v>
      </c>
      <c r="O2683" s="28">
        <f>(Tabla1[[#This Row],[COSTO FIJO ]]/30)*Tabla1[[#This Row],[TOTAL DIAS PROYECTO]]+(Tabla1[[#This Row],[COSTO TEMPORAL]])</f>
        <v>538.33333333333337</v>
      </c>
      <c r="P2683" s="12"/>
      <c r="Q2683" s="12">
        <f>+(Tabla1[[#This Row],[COSTO COCHE]]/30)*Tabla1[[#This Row],[TOTAL DIAS PROYECTO]]</f>
        <v>0</v>
      </c>
      <c r="R2683" s="12">
        <f>+Tabla1[[#This Row],[COSTO TOTAL ALOJAMIENTO]]+Tabla1[[#This Row],[COSTO TOTAL COCHE]]</f>
        <v>538.33333333333337</v>
      </c>
      <c r="S2683" s="2"/>
      <c r="T2683" s="14" t="s">
        <v>35</v>
      </c>
      <c r="U2683" s="14">
        <v>45784</v>
      </c>
      <c r="V2683" s="43"/>
      <c r="W2683" s="12"/>
      <c r="X2683" s="2">
        <v>5</v>
      </c>
      <c r="Y2683" s="96" t="s">
        <v>4210</v>
      </c>
      <c r="Z2683" s="2" t="s">
        <v>36</v>
      </c>
      <c r="AA2683" s="13">
        <v>-0.87734000000000001</v>
      </c>
      <c r="AB2683" s="13" t="s">
        <v>10359</v>
      </c>
    </row>
    <row r="2684" spans="1:28" ht="15" customHeight="1">
      <c r="A2684" s="2" t="s">
        <v>9130</v>
      </c>
      <c r="B2684" s="2" t="s">
        <v>28</v>
      </c>
      <c r="C2684" s="11" t="s">
        <v>2126</v>
      </c>
      <c r="D2684" s="2" t="s">
        <v>30</v>
      </c>
      <c r="E2684" s="2" t="s">
        <v>127</v>
      </c>
      <c r="F2684" s="11" t="s">
        <v>4211</v>
      </c>
      <c r="G2684" s="46" t="s">
        <v>4212</v>
      </c>
      <c r="H2684" s="2" t="s">
        <v>4213</v>
      </c>
      <c r="I2684" s="12" t="s">
        <v>1201</v>
      </c>
      <c r="J2684" s="41">
        <f>+Tabla1[[#This Row],[FECHA ENTRADA]]</f>
        <v>45830</v>
      </c>
      <c r="K2684" s="41">
        <v>45841</v>
      </c>
      <c r="L2684" s="42">
        <f>_xlfn.DAYS(Tabla1[[#This Row],[FECHA FIN ]],Tabla1[[#This Row],[FECHA INICIO]])</f>
        <v>11</v>
      </c>
      <c r="M2684" s="12"/>
      <c r="N2684" s="12">
        <v>200</v>
      </c>
      <c r="O2684" s="28">
        <f>(Tabla1[[#This Row],[COSTO FIJO ]]/30)*Tabla1[[#This Row],[TOTAL DIAS PROYECTO]]+(Tabla1[[#This Row],[COSTO TEMPORAL]])</f>
        <v>73.333333333333343</v>
      </c>
      <c r="P2684" s="12"/>
      <c r="Q2684" s="12">
        <f>+(Tabla1[[#This Row],[COSTO COCHE]]/30)*Tabla1[[#This Row],[TOTAL DIAS PROYECTO]]</f>
        <v>0</v>
      </c>
      <c r="R2684" s="12">
        <f>+Tabla1[[#This Row],[COSTO TOTAL ALOJAMIENTO]]+Tabla1[[#This Row],[COSTO TOTAL COCHE]]</f>
        <v>73.333333333333343</v>
      </c>
      <c r="S2684" s="2"/>
      <c r="T2684" s="14" t="s">
        <v>44</v>
      </c>
      <c r="U2684" s="14">
        <v>45830</v>
      </c>
      <c r="V2684" s="43">
        <v>45841</v>
      </c>
      <c r="W2684" s="2"/>
      <c r="X2684" s="2"/>
      <c r="Y2684" s="11"/>
      <c r="Z2684" s="2" t="s">
        <v>36</v>
      </c>
      <c r="AA2684" s="13" t="s">
        <v>10342</v>
      </c>
      <c r="AB2684" s="13" t="s">
        <v>10343</v>
      </c>
    </row>
    <row r="2685" spans="1:28" ht="15" customHeight="1">
      <c r="A2685" s="2" t="s">
        <v>9467</v>
      </c>
      <c r="B2685" s="2" t="s">
        <v>28</v>
      </c>
      <c r="C2685" s="11" t="s">
        <v>3288</v>
      </c>
      <c r="D2685" s="2" t="s">
        <v>30</v>
      </c>
      <c r="E2685" s="2" t="s">
        <v>127</v>
      </c>
      <c r="F2685" s="11" t="s">
        <v>4211</v>
      </c>
      <c r="G2685" s="46" t="s">
        <v>4212</v>
      </c>
      <c r="H2685" s="2" t="s">
        <v>4213</v>
      </c>
      <c r="I2685" s="12" t="s">
        <v>1201</v>
      </c>
      <c r="J2685" s="41">
        <f>+Tabla1[[#This Row],[FECHA ENTRADA]]</f>
        <v>45830</v>
      </c>
      <c r="K2685" s="41">
        <v>45841</v>
      </c>
      <c r="L2685" s="42">
        <f>_xlfn.DAYS(Tabla1[[#This Row],[FECHA FIN ]],Tabla1[[#This Row],[FECHA INICIO]])</f>
        <v>11</v>
      </c>
      <c r="M2685" s="12"/>
      <c r="N2685" s="12">
        <v>200</v>
      </c>
      <c r="O2685" s="28">
        <f>(Tabla1[[#This Row],[COSTO FIJO ]]/30)*Tabla1[[#This Row],[TOTAL DIAS PROYECTO]]+(Tabla1[[#This Row],[COSTO TEMPORAL]])</f>
        <v>73.333333333333343</v>
      </c>
      <c r="P2685" s="12"/>
      <c r="Q2685" s="12">
        <f>+(Tabla1[[#This Row],[COSTO COCHE]]/30)*Tabla1[[#This Row],[TOTAL DIAS PROYECTO]]</f>
        <v>0</v>
      </c>
      <c r="R2685" s="12">
        <f>+Tabla1[[#This Row],[COSTO TOTAL ALOJAMIENTO]]+Tabla1[[#This Row],[COSTO TOTAL COCHE]]</f>
        <v>73.333333333333343</v>
      </c>
      <c r="S2685" s="2"/>
      <c r="T2685" s="14" t="s">
        <v>44</v>
      </c>
      <c r="U2685" s="14">
        <v>45830</v>
      </c>
      <c r="V2685" s="43">
        <v>45841</v>
      </c>
      <c r="W2685" s="2"/>
      <c r="X2685" s="2"/>
      <c r="Y2685" s="11"/>
      <c r="Z2685" s="2" t="s">
        <v>36</v>
      </c>
      <c r="AA2685" s="13" t="s">
        <v>10342</v>
      </c>
      <c r="AB2685" s="13" t="s">
        <v>10343</v>
      </c>
    </row>
    <row r="2686" spans="1:28" ht="15" customHeight="1">
      <c r="A2686" s="2" t="s">
        <v>9498</v>
      </c>
      <c r="B2686" s="2" t="s">
        <v>28</v>
      </c>
      <c r="C2686" s="11" t="s">
        <v>3388</v>
      </c>
      <c r="D2686" s="2" t="s">
        <v>30</v>
      </c>
      <c r="E2686" s="2" t="s">
        <v>127</v>
      </c>
      <c r="F2686" s="11" t="s">
        <v>4214</v>
      </c>
      <c r="G2686" s="46" t="s">
        <v>4215</v>
      </c>
      <c r="H2686" s="2" t="s">
        <v>4213</v>
      </c>
      <c r="I2686" s="12" t="s">
        <v>1201</v>
      </c>
      <c r="J2686" s="41">
        <f>+Tabla1[[#This Row],[FECHA ENTRADA]]</f>
        <v>45830</v>
      </c>
      <c r="K2686" s="41">
        <v>45841</v>
      </c>
      <c r="L2686" s="42">
        <f>_xlfn.DAYS(Tabla1[[#This Row],[FECHA FIN ]],Tabla1[[#This Row],[FECHA INICIO]])</f>
        <v>11</v>
      </c>
      <c r="M2686" s="12"/>
      <c r="N2686" s="12">
        <f>689.04/2</f>
        <v>344.52</v>
      </c>
      <c r="O2686" s="28">
        <f>(Tabla1[[#This Row],[COSTO FIJO ]]/30)*Tabla1[[#This Row],[TOTAL DIAS PROYECTO]]+(Tabla1[[#This Row],[COSTO TEMPORAL]])</f>
        <v>126.324</v>
      </c>
      <c r="P2686" s="12"/>
      <c r="Q2686" s="12">
        <f>+(Tabla1[[#This Row],[COSTO COCHE]]/30)*Tabla1[[#This Row],[TOTAL DIAS PROYECTO]]</f>
        <v>0</v>
      </c>
      <c r="R2686" s="12">
        <f>+Tabla1[[#This Row],[COSTO TOTAL ALOJAMIENTO]]+Tabla1[[#This Row],[COSTO TOTAL COCHE]]</f>
        <v>126.324</v>
      </c>
      <c r="S2686" s="2"/>
      <c r="T2686" s="14" t="s">
        <v>44</v>
      </c>
      <c r="U2686" s="14">
        <v>45830</v>
      </c>
      <c r="V2686" s="43">
        <v>45841</v>
      </c>
      <c r="W2686" s="2"/>
      <c r="X2686" s="2"/>
      <c r="Y2686" s="11"/>
      <c r="Z2686" s="2" t="s">
        <v>36</v>
      </c>
      <c r="AA2686" s="13" t="s">
        <v>10342</v>
      </c>
      <c r="AB2686" s="13" t="s">
        <v>10343</v>
      </c>
    </row>
    <row r="2687" spans="1:28" ht="15" customHeight="1">
      <c r="A2687" s="2" t="s">
        <v>9670</v>
      </c>
      <c r="B2687" s="2" t="s">
        <v>28</v>
      </c>
      <c r="C2687" s="11" t="s">
        <v>4155</v>
      </c>
      <c r="D2687" s="2" t="s">
        <v>30</v>
      </c>
      <c r="E2687" s="2" t="s">
        <v>127</v>
      </c>
      <c r="F2687" s="11" t="s">
        <v>4214</v>
      </c>
      <c r="G2687" s="46" t="s">
        <v>4215</v>
      </c>
      <c r="H2687" s="2" t="s">
        <v>4213</v>
      </c>
      <c r="I2687" s="12" t="s">
        <v>1201</v>
      </c>
      <c r="J2687" s="41">
        <f>+Tabla1[[#This Row],[FECHA ENTRADA]]</f>
        <v>45830</v>
      </c>
      <c r="K2687" s="41">
        <v>45841</v>
      </c>
      <c r="L2687" s="42">
        <f>_xlfn.DAYS(Tabla1[[#This Row],[FECHA FIN ]],Tabla1[[#This Row],[FECHA INICIO]])</f>
        <v>11</v>
      </c>
      <c r="M2687" s="12"/>
      <c r="N2687" s="12">
        <f>689.04/2</f>
        <v>344.52</v>
      </c>
      <c r="O2687" s="28">
        <f>(Tabla1[[#This Row],[COSTO FIJO ]]/30)*Tabla1[[#This Row],[TOTAL DIAS PROYECTO]]+(Tabla1[[#This Row],[COSTO TEMPORAL]])</f>
        <v>126.324</v>
      </c>
      <c r="P2687" s="12"/>
      <c r="Q2687" s="12">
        <f>+(Tabla1[[#This Row],[COSTO COCHE]]/30)*Tabla1[[#This Row],[TOTAL DIAS PROYECTO]]</f>
        <v>0</v>
      </c>
      <c r="R2687" s="12">
        <f>+Tabla1[[#This Row],[COSTO TOTAL ALOJAMIENTO]]+Tabla1[[#This Row],[COSTO TOTAL COCHE]]</f>
        <v>126.324</v>
      </c>
      <c r="S2687" s="2"/>
      <c r="T2687" s="14" t="s">
        <v>44</v>
      </c>
      <c r="U2687" s="14">
        <v>45830</v>
      </c>
      <c r="V2687" s="43">
        <v>45841</v>
      </c>
      <c r="W2687" s="2"/>
      <c r="X2687" s="2"/>
      <c r="Y2687" s="11"/>
      <c r="Z2687" s="2" t="s">
        <v>36</v>
      </c>
      <c r="AA2687" s="13" t="s">
        <v>10342</v>
      </c>
      <c r="AB2687" s="13" t="s">
        <v>10343</v>
      </c>
    </row>
    <row r="2688" spans="1:28" ht="15" customHeight="1">
      <c r="A2688" s="2" t="s">
        <v>9655</v>
      </c>
      <c r="B2688" s="2" t="s">
        <v>28</v>
      </c>
      <c r="C2688" s="11" t="s">
        <v>4087</v>
      </c>
      <c r="D2688" s="2" t="s">
        <v>30</v>
      </c>
      <c r="E2688" s="2" t="s">
        <v>127</v>
      </c>
      <c r="F2688" s="11" t="s">
        <v>4216</v>
      </c>
      <c r="G2688" s="46" t="s">
        <v>4217</v>
      </c>
      <c r="H2688" s="2" t="s">
        <v>2568</v>
      </c>
      <c r="I2688" s="12" t="s">
        <v>1201</v>
      </c>
      <c r="J2688" s="41">
        <f>+Tabla1[[#This Row],[FECHA ENTRADA]]</f>
        <v>45833</v>
      </c>
      <c r="K2688" s="41">
        <v>45841</v>
      </c>
      <c r="L2688" s="42">
        <f>_xlfn.DAYS(Tabla1[[#This Row],[FECHA FIN ]],Tabla1[[#This Row],[FECHA INICIO]])</f>
        <v>8</v>
      </c>
      <c r="M2688" s="12"/>
      <c r="N2688" s="28">
        <f>544.34/4</f>
        <v>136.08500000000001</v>
      </c>
      <c r="O2688" s="28">
        <f>(Tabla1[[#This Row],[COSTO FIJO ]]/30)*Tabla1[[#This Row],[TOTAL DIAS PROYECTO]]+(Tabla1[[#This Row],[COSTO TEMPORAL]])</f>
        <v>36.289333333333339</v>
      </c>
      <c r="P2688" s="12"/>
      <c r="Q2688" s="12">
        <f>+(Tabla1[[#This Row],[COSTO COCHE]]/30)*Tabla1[[#This Row],[TOTAL DIAS PROYECTO]]</f>
        <v>0</v>
      </c>
      <c r="R2688" s="12">
        <f>+Tabla1[[#This Row],[COSTO TOTAL ALOJAMIENTO]]+Tabla1[[#This Row],[COSTO TOTAL COCHE]]</f>
        <v>36.289333333333339</v>
      </c>
      <c r="S2688" s="2"/>
      <c r="T2688" s="14" t="s">
        <v>44</v>
      </c>
      <c r="U2688" s="14">
        <v>45833</v>
      </c>
      <c r="V2688" s="43">
        <v>45841</v>
      </c>
      <c r="W2688" s="2"/>
      <c r="X2688" s="2"/>
      <c r="Y2688" s="11"/>
      <c r="Z2688" s="2" t="s">
        <v>36</v>
      </c>
      <c r="AA2688" s="13" t="s">
        <v>10342</v>
      </c>
      <c r="AB2688" s="13" t="s">
        <v>10343</v>
      </c>
    </row>
    <row r="2689" spans="1:28" ht="15" customHeight="1">
      <c r="A2689" s="2" t="s">
        <v>9547</v>
      </c>
      <c r="B2689" s="2" t="s">
        <v>28</v>
      </c>
      <c r="C2689" s="11" t="s">
        <v>3591</v>
      </c>
      <c r="D2689" s="2" t="s">
        <v>30</v>
      </c>
      <c r="E2689" s="2" t="s">
        <v>127</v>
      </c>
      <c r="F2689" s="11" t="s">
        <v>4218</v>
      </c>
      <c r="G2689" s="46" t="s">
        <v>4219</v>
      </c>
      <c r="H2689" s="2" t="s">
        <v>2568</v>
      </c>
      <c r="I2689" s="12" t="s">
        <v>1201</v>
      </c>
      <c r="J2689" s="41">
        <f>+Tabla1[[#This Row],[FECHA ENTRADA]]</f>
        <v>45835</v>
      </c>
      <c r="K2689" s="41">
        <v>45841</v>
      </c>
      <c r="L2689" s="42">
        <f>_xlfn.DAYS(Tabla1[[#This Row],[FECHA FIN ]],Tabla1[[#This Row],[FECHA INICIO]])</f>
        <v>6</v>
      </c>
      <c r="M2689" s="12"/>
      <c r="N2689" s="12">
        <v>169.33333333333334</v>
      </c>
      <c r="O2689" s="28">
        <f>(Tabla1[[#This Row],[COSTO FIJO ]]/30)*Tabla1[[#This Row],[TOTAL DIAS PROYECTO]]+(Tabla1[[#This Row],[COSTO TEMPORAL]])</f>
        <v>33.866666666666667</v>
      </c>
      <c r="P2689" s="12"/>
      <c r="Q2689" s="12">
        <f>+(Tabla1[[#This Row],[COSTO COCHE]]/30)*Tabla1[[#This Row],[TOTAL DIAS PROYECTO]]</f>
        <v>0</v>
      </c>
      <c r="R2689" s="12">
        <f>+Tabla1[[#This Row],[COSTO TOTAL ALOJAMIENTO]]+Tabla1[[#This Row],[COSTO TOTAL COCHE]]</f>
        <v>33.866666666666667</v>
      </c>
      <c r="S2689" s="2"/>
      <c r="T2689" s="14" t="s">
        <v>44</v>
      </c>
      <c r="U2689" s="14">
        <v>45835</v>
      </c>
      <c r="V2689" s="43">
        <v>45841</v>
      </c>
      <c r="W2689" s="2"/>
      <c r="X2689" s="2"/>
      <c r="Y2689" s="11"/>
      <c r="Z2689" s="2" t="s">
        <v>36</v>
      </c>
      <c r="AA2689" s="13" t="s">
        <v>10342</v>
      </c>
      <c r="AB2689" s="13" t="s">
        <v>10343</v>
      </c>
    </row>
    <row r="2690" spans="1:28" ht="15" customHeight="1">
      <c r="A2690" s="2" t="s">
        <v>9245</v>
      </c>
      <c r="B2690" s="2" t="s">
        <v>28</v>
      </c>
      <c r="C2690" s="11" t="s">
        <v>2569</v>
      </c>
      <c r="D2690" s="2" t="s">
        <v>30</v>
      </c>
      <c r="E2690" s="2" t="s">
        <v>127</v>
      </c>
      <c r="F2690" s="11" t="s">
        <v>4218</v>
      </c>
      <c r="G2690" s="46" t="s">
        <v>4219</v>
      </c>
      <c r="H2690" s="2" t="s">
        <v>2568</v>
      </c>
      <c r="I2690" s="12" t="s">
        <v>1201</v>
      </c>
      <c r="J2690" s="41">
        <f>+Tabla1[[#This Row],[FECHA ENTRADA]]</f>
        <v>45835</v>
      </c>
      <c r="K2690" s="41">
        <v>45841</v>
      </c>
      <c r="L2690" s="42">
        <f>_xlfn.DAYS(Tabla1[[#This Row],[FECHA FIN ]],Tabla1[[#This Row],[FECHA INICIO]])</f>
        <v>6</v>
      </c>
      <c r="M2690" s="12"/>
      <c r="N2690" s="12">
        <v>169.33333333333334</v>
      </c>
      <c r="O2690" s="28">
        <f>(Tabla1[[#This Row],[COSTO FIJO ]]/30)*Tabla1[[#This Row],[TOTAL DIAS PROYECTO]]+(Tabla1[[#This Row],[COSTO TEMPORAL]])</f>
        <v>33.866666666666667</v>
      </c>
      <c r="P2690" s="12"/>
      <c r="Q2690" s="12">
        <f>+(Tabla1[[#This Row],[COSTO COCHE]]/30)*Tabla1[[#This Row],[TOTAL DIAS PROYECTO]]</f>
        <v>0</v>
      </c>
      <c r="R2690" s="12">
        <f>+Tabla1[[#This Row],[COSTO TOTAL ALOJAMIENTO]]+Tabla1[[#This Row],[COSTO TOTAL COCHE]]</f>
        <v>33.866666666666667</v>
      </c>
      <c r="S2690" s="2"/>
      <c r="T2690" s="14" t="s">
        <v>44</v>
      </c>
      <c r="U2690" s="14">
        <v>45835</v>
      </c>
      <c r="V2690" s="43">
        <v>45841</v>
      </c>
      <c r="W2690" s="2"/>
      <c r="X2690" s="2"/>
      <c r="Y2690" s="11"/>
      <c r="Z2690" s="2" t="s">
        <v>36</v>
      </c>
      <c r="AA2690" s="13" t="s">
        <v>10342</v>
      </c>
      <c r="AB2690" s="13" t="s">
        <v>10343</v>
      </c>
    </row>
    <row r="2691" spans="1:28" ht="15" customHeight="1">
      <c r="A2691" s="2" t="s">
        <v>8761</v>
      </c>
      <c r="B2691" s="2" t="s">
        <v>28</v>
      </c>
      <c r="C2691" s="11" t="s">
        <v>633</v>
      </c>
      <c r="D2691" s="2" t="s">
        <v>30</v>
      </c>
      <c r="E2691" s="2" t="s">
        <v>127</v>
      </c>
      <c r="F2691" s="11" t="s">
        <v>4218</v>
      </c>
      <c r="G2691" s="46" t="s">
        <v>4219</v>
      </c>
      <c r="H2691" s="2" t="s">
        <v>2568</v>
      </c>
      <c r="I2691" s="12" t="s">
        <v>1201</v>
      </c>
      <c r="J2691" s="41">
        <f>+Tabla1[[#This Row],[FECHA ENTRADA]]</f>
        <v>45835</v>
      </c>
      <c r="K2691" s="41">
        <v>45841</v>
      </c>
      <c r="L2691" s="42">
        <f>_xlfn.DAYS(Tabla1[[#This Row],[FECHA FIN ]],Tabla1[[#This Row],[FECHA INICIO]])</f>
        <v>6</v>
      </c>
      <c r="M2691" s="12"/>
      <c r="N2691" s="12">
        <v>169.33333333333334</v>
      </c>
      <c r="O2691" s="28">
        <f>(Tabla1[[#This Row],[COSTO FIJO ]]/30)*Tabla1[[#This Row],[TOTAL DIAS PROYECTO]]+(Tabla1[[#This Row],[COSTO TEMPORAL]])</f>
        <v>33.866666666666667</v>
      </c>
      <c r="P2691" s="12"/>
      <c r="Q2691" s="12">
        <f>+(Tabla1[[#This Row],[COSTO COCHE]]/30)*Tabla1[[#This Row],[TOTAL DIAS PROYECTO]]</f>
        <v>0</v>
      </c>
      <c r="R2691" s="12">
        <f>+Tabla1[[#This Row],[COSTO TOTAL ALOJAMIENTO]]+Tabla1[[#This Row],[COSTO TOTAL COCHE]]</f>
        <v>33.866666666666667</v>
      </c>
      <c r="S2691" s="2"/>
      <c r="T2691" s="14" t="s">
        <v>44</v>
      </c>
      <c r="U2691" s="14">
        <v>45835</v>
      </c>
      <c r="V2691" s="43">
        <v>45841</v>
      </c>
      <c r="W2691" s="2"/>
      <c r="X2691" s="2"/>
      <c r="Y2691" s="11"/>
      <c r="Z2691" s="2" t="s">
        <v>36</v>
      </c>
      <c r="AA2691" s="13" t="s">
        <v>10342</v>
      </c>
      <c r="AB2691" s="13" t="s">
        <v>10343</v>
      </c>
    </row>
    <row r="2692" spans="1:28" ht="15" customHeight="1">
      <c r="A2692" s="2" t="s">
        <v>9244</v>
      </c>
      <c r="B2692" s="2" t="s">
        <v>28</v>
      </c>
      <c r="C2692" s="11" t="s">
        <v>2566</v>
      </c>
      <c r="D2692" s="2" t="s">
        <v>30</v>
      </c>
      <c r="E2692" s="2" t="s">
        <v>127</v>
      </c>
      <c r="F2692" s="11" t="s">
        <v>4220</v>
      </c>
      <c r="G2692" s="21" t="s">
        <v>4221</v>
      </c>
      <c r="H2692" s="2" t="s">
        <v>2568</v>
      </c>
      <c r="I2692" s="12" t="s">
        <v>1201</v>
      </c>
      <c r="J2692" s="41">
        <f>+Tabla1[[#This Row],[FECHA ENTRADA]]</f>
        <v>45835</v>
      </c>
      <c r="K2692" s="41">
        <v>45841</v>
      </c>
      <c r="L2692" s="42">
        <f>_xlfn.DAYS(Tabla1[[#This Row],[FECHA FIN ]],Tabla1[[#This Row],[FECHA INICIO]])</f>
        <v>6</v>
      </c>
      <c r="M2692" s="12"/>
      <c r="N2692" s="12">
        <v>129.25</v>
      </c>
      <c r="O2692" s="28">
        <f>(Tabla1[[#This Row],[COSTO FIJO ]]/30)*Tabla1[[#This Row],[TOTAL DIAS PROYECTO]]+(Tabla1[[#This Row],[COSTO TEMPORAL]])</f>
        <v>25.85</v>
      </c>
      <c r="P2692" s="12"/>
      <c r="Q2692" s="12">
        <f>+(Tabla1[[#This Row],[COSTO COCHE]]/30)*Tabla1[[#This Row],[TOTAL DIAS PROYECTO]]</f>
        <v>0</v>
      </c>
      <c r="R2692" s="12">
        <f>+Tabla1[[#This Row],[COSTO TOTAL ALOJAMIENTO]]+Tabla1[[#This Row],[COSTO TOTAL COCHE]]</f>
        <v>25.85</v>
      </c>
      <c r="S2692" s="2"/>
      <c r="T2692" s="14" t="s">
        <v>44</v>
      </c>
      <c r="U2692" s="14">
        <v>45835</v>
      </c>
      <c r="V2692" s="43">
        <v>45841</v>
      </c>
      <c r="W2692" s="2"/>
      <c r="X2692" s="2"/>
      <c r="Y2692" s="11"/>
      <c r="Z2692" s="2" t="s">
        <v>36</v>
      </c>
      <c r="AA2692" s="13" t="s">
        <v>10342</v>
      </c>
      <c r="AB2692" s="13" t="s">
        <v>10343</v>
      </c>
    </row>
    <row r="2693" spans="1:28" ht="15" customHeight="1">
      <c r="A2693" s="2" t="s">
        <v>9545</v>
      </c>
      <c r="B2693" s="2" t="s">
        <v>28</v>
      </c>
      <c r="C2693" s="11" t="s">
        <v>3589</v>
      </c>
      <c r="D2693" s="2" t="s">
        <v>30</v>
      </c>
      <c r="E2693" s="2" t="s">
        <v>127</v>
      </c>
      <c r="F2693" s="11" t="s">
        <v>4220</v>
      </c>
      <c r="G2693" s="21" t="s">
        <v>4221</v>
      </c>
      <c r="H2693" s="2" t="s">
        <v>2568</v>
      </c>
      <c r="I2693" s="12" t="s">
        <v>1201</v>
      </c>
      <c r="J2693" s="41">
        <f>+Tabla1[[#This Row],[FECHA ENTRADA]]</f>
        <v>45835</v>
      </c>
      <c r="K2693" s="41">
        <v>45841</v>
      </c>
      <c r="L2693" s="42">
        <f>_xlfn.DAYS(Tabla1[[#This Row],[FECHA FIN ]],Tabla1[[#This Row],[FECHA INICIO]])</f>
        <v>6</v>
      </c>
      <c r="M2693" s="12"/>
      <c r="N2693" s="12">
        <v>129.25</v>
      </c>
      <c r="O2693" s="28">
        <f>(Tabla1[[#This Row],[COSTO FIJO ]]/30)*Tabla1[[#This Row],[TOTAL DIAS PROYECTO]]+(Tabla1[[#This Row],[COSTO TEMPORAL]])</f>
        <v>25.85</v>
      </c>
      <c r="P2693" s="12"/>
      <c r="Q2693" s="12">
        <f>+(Tabla1[[#This Row],[COSTO COCHE]]/30)*Tabla1[[#This Row],[TOTAL DIAS PROYECTO]]</f>
        <v>0</v>
      </c>
      <c r="R2693" s="12">
        <f>+Tabla1[[#This Row],[COSTO TOTAL ALOJAMIENTO]]+Tabla1[[#This Row],[COSTO TOTAL COCHE]]</f>
        <v>25.85</v>
      </c>
      <c r="S2693" s="2"/>
      <c r="T2693" s="14" t="s">
        <v>44</v>
      </c>
      <c r="U2693" s="14">
        <v>45835</v>
      </c>
      <c r="V2693" s="43">
        <v>45841</v>
      </c>
      <c r="W2693" s="2"/>
      <c r="X2693" s="2"/>
      <c r="Y2693" s="11"/>
      <c r="Z2693" s="2" t="s">
        <v>36</v>
      </c>
      <c r="AA2693" s="13" t="s">
        <v>10342</v>
      </c>
      <c r="AB2693" s="13" t="s">
        <v>10343</v>
      </c>
    </row>
    <row r="2694" spans="1:28" ht="15" customHeight="1">
      <c r="A2694" s="2" t="s">
        <v>9546</v>
      </c>
      <c r="B2694" s="2" t="s">
        <v>28</v>
      </c>
      <c r="C2694" s="11" t="s">
        <v>3590</v>
      </c>
      <c r="D2694" s="2" t="s">
        <v>30</v>
      </c>
      <c r="E2694" s="2" t="s">
        <v>127</v>
      </c>
      <c r="F2694" s="11" t="s">
        <v>4220</v>
      </c>
      <c r="G2694" s="21" t="s">
        <v>4221</v>
      </c>
      <c r="H2694" s="2" t="s">
        <v>2568</v>
      </c>
      <c r="I2694" s="12" t="s">
        <v>1201</v>
      </c>
      <c r="J2694" s="41">
        <f>+Tabla1[[#This Row],[FECHA ENTRADA]]</f>
        <v>45835</v>
      </c>
      <c r="K2694" s="41">
        <v>45841</v>
      </c>
      <c r="L2694" s="42">
        <f>_xlfn.DAYS(Tabla1[[#This Row],[FECHA FIN ]],Tabla1[[#This Row],[FECHA INICIO]])</f>
        <v>6</v>
      </c>
      <c r="M2694" s="12"/>
      <c r="N2694" s="12">
        <v>129.25</v>
      </c>
      <c r="O2694" s="28">
        <f>(Tabla1[[#This Row],[COSTO FIJO ]]/30)*Tabla1[[#This Row],[TOTAL DIAS PROYECTO]]+(Tabla1[[#This Row],[COSTO TEMPORAL]])</f>
        <v>25.85</v>
      </c>
      <c r="P2694" s="12"/>
      <c r="Q2694" s="12">
        <f>+(Tabla1[[#This Row],[COSTO COCHE]]/30)*Tabla1[[#This Row],[TOTAL DIAS PROYECTO]]</f>
        <v>0</v>
      </c>
      <c r="R2694" s="12">
        <f>+Tabla1[[#This Row],[COSTO TOTAL ALOJAMIENTO]]+Tabla1[[#This Row],[COSTO TOTAL COCHE]]</f>
        <v>25.85</v>
      </c>
      <c r="S2694" s="2"/>
      <c r="T2694" s="14" t="s">
        <v>44</v>
      </c>
      <c r="U2694" s="14">
        <v>45835</v>
      </c>
      <c r="V2694" s="43">
        <v>45841</v>
      </c>
      <c r="W2694" s="2"/>
      <c r="X2694" s="2"/>
      <c r="Y2694" s="11"/>
      <c r="Z2694" s="2" t="s">
        <v>36</v>
      </c>
      <c r="AA2694" s="13" t="s">
        <v>10342</v>
      </c>
      <c r="AB2694" s="13" t="s">
        <v>10343</v>
      </c>
    </row>
    <row r="2695" spans="1:28" ht="15" customHeight="1">
      <c r="A2695" s="2" t="s">
        <v>9617</v>
      </c>
      <c r="B2695" s="2" t="s">
        <v>28</v>
      </c>
      <c r="C2695" s="11" t="s">
        <v>3888</v>
      </c>
      <c r="D2695" s="2" t="s">
        <v>30</v>
      </c>
      <c r="E2695" s="2" t="s">
        <v>127</v>
      </c>
      <c r="F2695" s="11" t="s">
        <v>4216</v>
      </c>
      <c r="G2695" s="46" t="s">
        <v>4217</v>
      </c>
      <c r="H2695" s="2" t="s">
        <v>2568</v>
      </c>
      <c r="I2695" s="12" t="s">
        <v>1201</v>
      </c>
      <c r="J2695" s="41">
        <f>+Tabla1[[#This Row],[FECHA ENTRADA]]</f>
        <v>45833</v>
      </c>
      <c r="K2695" s="41">
        <v>45841</v>
      </c>
      <c r="L2695" s="42">
        <f>_xlfn.DAYS(Tabla1[[#This Row],[FECHA FIN ]],Tabla1[[#This Row],[FECHA INICIO]])</f>
        <v>8</v>
      </c>
      <c r="M2695" s="12"/>
      <c r="N2695" s="28">
        <f>544.34/4</f>
        <v>136.08500000000001</v>
      </c>
      <c r="O2695" s="28">
        <f>(Tabla1[[#This Row],[COSTO FIJO ]]/30)*Tabla1[[#This Row],[TOTAL DIAS PROYECTO]]+(Tabla1[[#This Row],[COSTO TEMPORAL]])</f>
        <v>36.289333333333339</v>
      </c>
      <c r="P2695" s="12"/>
      <c r="Q2695" s="12">
        <f>+(Tabla1[[#This Row],[COSTO COCHE]]/30)*Tabla1[[#This Row],[TOTAL DIAS PROYECTO]]</f>
        <v>0</v>
      </c>
      <c r="R2695" s="12">
        <f>+Tabla1[[#This Row],[COSTO TOTAL ALOJAMIENTO]]+Tabla1[[#This Row],[COSTO TOTAL COCHE]]</f>
        <v>36.289333333333339</v>
      </c>
      <c r="S2695" s="2"/>
      <c r="T2695" s="14" t="s">
        <v>44</v>
      </c>
      <c r="U2695" s="14">
        <v>45833</v>
      </c>
      <c r="V2695" s="43">
        <v>45841</v>
      </c>
      <c r="W2695" s="2"/>
      <c r="X2695" s="2"/>
      <c r="Y2695" s="11" t="s">
        <v>4222</v>
      </c>
      <c r="Z2695" s="2" t="s">
        <v>36</v>
      </c>
      <c r="AA2695" s="13" t="s">
        <v>10342</v>
      </c>
      <c r="AB2695" s="13" t="s">
        <v>10343</v>
      </c>
    </row>
    <row r="2696" spans="1:28" ht="15" customHeight="1">
      <c r="A2696" s="2" t="s">
        <v>9160</v>
      </c>
      <c r="B2696" s="2" t="s">
        <v>28</v>
      </c>
      <c r="C2696" s="11" t="s">
        <v>2277</v>
      </c>
      <c r="D2696" s="2" t="s">
        <v>30</v>
      </c>
      <c r="E2696" s="2" t="s">
        <v>127</v>
      </c>
      <c r="F2696" s="11" t="s">
        <v>4211</v>
      </c>
      <c r="G2696" s="46" t="s">
        <v>4212</v>
      </c>
      <c r="H2696" s="2" t="s">
        <v>4213</v>
      </c>
      <c r="I2696" s="12" t="s">
        <v>1201</v>
      </c>
      <c r="J2696" s="41">
        <f>+Tabla1[[#This Row],[FECHA ENTRADA]]</f>
        <v>45830</v>
      </c>
      <c r="K2696" s="41">
        <v>45841</v>
      </c>
      <c r="L2696" s="42">
        <f>_xlfn.DAYS(Tabla1[[#This Row],[FECHA FIN ]],Tabla1[[#This Row],[FECHA INICIO]])</f>
        <v>11</v>
      </c>
      <c r="M2696" s="12"/>
      <c r="N2696" s="12">
        <v>200</v>
      </c>
      <c r="O2696" s="28">
        <f>(Tabla1[[#This Row],[COSTO FIJO ]]/30)*Tabla1[[#This Row],[TOTAL DIAS PROYECTO]]+(Tabla1[[#This Row],[COSTO TEMPORAL]])</f>
        <v>73.333333333333343</v>
      </c>
      <c r="P2696" s="12"/>
      <c r="Q2696" s="12">
        <f>+(Tabla1[[#This Row],[COSTO COCHE]]/30)*Tabla1[[#This Row],[TOTAL DIAS PROYECTO]]</f>
        <v>0</v>
      </c>
      <c r="R2696" s="12">
        <f>+Tabla1[[#This Row],[COSTO TOTAL ALOJAMIENTO]]+Tabla1[[#This Row],[COSTO TOTAL COCHE]]</f>
        <v>73.333333333333343</v>
      </c>
      <c r="S2696" s="2"/>
      <c r="T2696" s="14" t="s">
        <v>44</v>
      </c>
      <c r="U2696" s="14">
        <v>45830</v>
      </c>
      <c r="V2696" s="43">
        <v>45841</v>
      </c>
      <c r="W2696" s="2"/>
      <c r="X2696" s="2"/>
      <c r="Y2696" s="11"/>
      <c r="Z2696" s="2" t="s">
        <v>36</v>
      </c>
      <c r="AA2696" s="13" t="s">
        <v>10342</v>
      </c>
      <c r="AB2696" s="13" t="s">
        <v>10343</v>
      </c>
    </row>
    <row r="2697" spans="1:28" ht="15" customHeight="1">
      <c r="A2697" s="2" t="s">
        <v>9683</v>
      </c>
      <c r="B2697" s="2" t="s">
        <v>28</v>
      </c>
      <c r="C2697" s="11" t="s">
        <v>4223</v>
      </c>
      <c r="D2697" s="2" t="s">
        <v>30</v>
      </c>
      <c r="E2697" s="2" t="s">
        <v>127</v>
      </c>
      <c r="F2697" s="11" t="s">
        <v>4211</v>
      </c>
      <c r="G2697" s="46" t="s">
        <v>4212</v>
      </c>
      <c r="H2697" s="2" t="s">
        <v>4213</v>
      </c>
      <c r="I2697" s="12" t="s">
        <v>1201</v>
      </c>
      <c r="J2697" s="41">
        <f>+Tabla1[[#This Row],[FECHA ENTRADA]]</f>
        <v>45830</v>
      </c>
      <c r="K2697" s="41">
        <v>45841</v>
      </c>
      <c r="L2697" s="42">
        <f>_xlfn.DAYS(Tabla1[[#This Row],[FECHA FIN ]],Tabla1[[#This Row],[FECHA INICIO]])</f>
        <v>11</v>
      </c>
      <c r="M2697" s="12"/>
      <c r="N2697" s="12">
        <v>200</v>
      </c>
      <c r="O2697" s="28">
        <f>(Tabla1[[#This Row],[COSTO FIJO ]]/30)*Tabla1[[#This Row],[TOTAL DIAS PROYECTO]]+(Tabla1[[#This Row],[COSTO TEMPORAL]])</f>
        <v>73.333333333333343</v>
      </c>
      <c r="P2697" s="12"/>
      <c r="Q2697" s="12">
        <f>+(Tabla1[[#This Row],[COSTO COCHE]]/30)*Tabla1[[#This Row],[TOTAL DIAS PROYECTO]]</f>
        <v>0</v>
      </c>
      <c r="R2697" s="12">
        <f>+Tabla1[[#This Row],[COSTO TOTAL ALOJAMIENTO]]+Tabla1[[#This Row],[COSTO TOTAL COCHE]]</f>
        <v>73.333333333333343</v>
      </c>
      <c r="S2697" s="2"/>
      <c r="T2697" s="14" t="s">
        <v>44</v>
      </c>
      <c r="U2697" s="14">
        <v>45830</v>
      </c>
      <c r="V2697" s="43">
        <v>45841</v>
      </c>
      <c r="W2697" s="2"/>
      <c r="X2697" s="2"/>
      <c r="Y2697" s="11"/>
      <c r="Z2697" s="2" t="s">
        <v>36</v>
      </c>
      <c r="AA2697" s="13" t="s">
        <v>10342</v>
      </c>
      <c r="AB2697" s="13" t="s">
        <v>10343</v>
      </c>
    </row>
    <row r="2698" spans="1:28" ht="15" customHeight="1">
      <c r="A2698" s="2" t="s">
        <v>9083</v>
      </c>
      <c r="B2698" s="2" t="s">
        <v>368</v>
      </c>
      <c r="C2698" s="11" t="s">
        <v>1941</v>
      </c>
      <c r="D2698" s="2" t="s">
        <v>99</v>
      </c>
      <c r="E2698" s="2" t="s">
        <v>127</v>
      </c>
      <c r="F2698" s="11" t="s">
        <v>4133</v>
      </c>
      <c r="G2698" s="21" t="s">
        <v>4134</v>
      </c>
      <c r="H2698" s="2" t="s">
        <v>2593</v>
      </c>
      <c r="I2698" s="12" t="s">
        <v>2594</v>
      </c>
      <c r="J2698" s="41">
        <f>+Tabla1[[#This Row],[FECHA ENTRADA]]</f>
        <v>45835</v>
      </c>
      <c r="K2698" s="41">
        <v>45841</v>
      </c>
      <c r="L2698" s="42">
        <f>_xlfn.DAYS(Tabla1[[#This Row],[FECHA FIN ]],Tabla1[[#This Row],[FECHA INICIO]])</f>
        <v>6</v>
      </c>
      <c r="M2698" s="12"/>
      <c r="N2698" s="12">
        <v>146</v>
      </c>
      <c r="O2698" s="28">
        <f>(Tabla1[[#This Row],[COSTO FIJO ]]/30)*Tabla1[[#This Row],[TOTAL DIAS PROYECTO]]+(Tabla1[[#This Row],[COSTO TEMPORAL]])</f>
        <v>29.199999999999996</v>
      </c>
      <c r="P2698" s="12"/>
      <c r="Q2698" s="12">
        <f>+(Tabla1[[#This Row],[COSTO COCHE]]/30)*Tabla1[[#This Row],[TOTAL DIAS PROYECTO]]</f>
        <v>0</v>
      </c>
      <c r="R2698" s="12">
        <f>+Tabla1[[#This Row],[COSTO TOTAL ALOJAMIENTO]]+Tabla1[[#This Row],[COSTO TOTAL COCHE]]</f>
        <v>29.199999999999996</v>
      </c>
      <c r="S2698" s="2"/>
      <c r="T2698" s="2" t="s">
        <v>44</v>
      </c>
      <c r="U2698" s="14">
        <v>45835</v>
      </c>
      <c r="V2698" s="43">
        <v>45841</v>
      </c>
      <c r="W2698" s="2"/>
      <c r="X2698" s="2"/>
      <c r="Y2698" s="11"/>
      <c r="Z2698" s="2" t="s">
        <v>36</v>
      </c>
      <c r="AA2698" s="13" t="s">
        <v>10342</v>
      </c>
      <c r="AB2698" s="13" t="s">
        <v>10343</v>
      </c>
    </row>
    <row r="2699" spans="1:28" ht="15" customHeight="1">
      <c r="A2699" s="2" t="s">
        <v>9258</v>
      </c>
      <c r="B2699" s="2" t="s">
        <v>368</v>
      </c>
      <c r="C2699" s="11" t="s">
        <v>2625</v>
      </c>
      <c r="D2699" s="2" t="s">
        <v>99</v>
      </c>
      <c r="E2699" s="2" t="s">
        <v>127</v>
      </c>
      <c r="F2699" s="11" t="s">
        <v>4133</v>
      </c>
      <c r="G2699" s="21" t="s">
        <v>4134</v>
      </c>
      <c r="H2699" s="2" t="s">
        <v>2593</v>
      </c>
      <c r="I2699" s="12" t="s">
        <v>2594</v>
      </c>
      <c r="J2699" s="41">
        <f>+Tabla1[[#This Row],[FECHA ENTRADA]]</f>
        <v>45835</v>
      </c>
      <c r="K2699" s="41">
        <v>45841</v>
      </c>
      <c r="L2699" s="42">
        <f>_xlfn.DAYS(Tabla1[[#This Row],[FECHA FIN ]],Tabla1[[#This Row],[FECHA INICIO]])</f>
        <v>6</v>
      </c>
      <c r="M2699" s="12"/>
      <c r="N2699" s="12">
        <v>146</v>
      </c>
      <c r="O2699" s="28">
        <f>(Tabla1[[#This Row],[COSTO FIJO ]]/30)*Tabla1[[#This Row],[TOTAL DIAS PROYECTO]]+(Tabla1[[#This Row],[COSTO TEMPORAL]])</f>
        <v>29.199999999999996</v>
      </c>
      <c r="P2699" s="12"/>
      <c r="Q2699" s="12">
        <f>+(Tabla1[[#This Row],[COSTO COCHE]]/30)*Tabla1[[#This Row],[TOTAL DIAS PROYECTO]]</f>
        <v>0</v>
      </c>
      <c r="R2699" s="12">
        <f>+Tabla1[[#This Row],[COSTO TOTAL ALOJAMIENTO]]+Tabla1[[#This Row],[COSTO TOTAL COCHE]]</f>
        <v>29.199999999999996</v>
      </c>
      <c r="S2699" s="2"/>
      <c r="T2699" s="2" t="s">
        <v>44</v>
      </c>
      <c r="U2699" s="14">
        <v>45835</v>
      </c>
      <c r="V2699" s="43">
        <v>45841</v>
      </c>
      <c r="W2699" s="2"/>
      <c r="X2699" s="2"/>
      <c r="Y2699" s="11"/>
      <c r="Z2699" s="2" t="s">
        <v>36</v>
      </c>
      <c r="AA2699" s="13" t="s">
        <v>10342</v>
      </c>
      <c r="AB2699" s="13" t="s">
        <v>10343</v>
      </c>
    </row>
    <row r="2700" spans="1:28" ht="15" customHeight="1">
      <c r="A2700" s="2" t="s">
        <v>8691</v>
      </c>
      <c r="B2700" s="2" t="s">
        <v>368</v>
      </c>
      <c r="C2700" s="11" t="s">
        <v>307</v>
      </c>
      <c r="D2700" s="2" t="s">
        <v>99</v>
      </c>
      <c r="E2700" s="2" t="s">
        <v>127</v>
      </c>
      <c r="F2700" s="11" t="s">
        <v>4133</v>
      </c>
      <c r="G2700" s="21" t="s">
        <v>4134</v>
      </c>
      <c r="H2700" s="2" t="s">
        <v>4100</v>
      </c>
      <c r="I2700" s="12" t="s">
        <v>2594</v>
      </c>
      <c r="J2700" s="41">
        <f>+Tabla1[[#This Row],[FECHA ENTRADA]]</f>
        <v>45835</v>
      </c>
      <c r="K2700" s="41">
        <v>45841</v>
      </c>
      <c r="L2700" s="42">
        <f>_xlfn.DAYS(Tabla1[[#This Row],[FECHA FIN ]],Tabla1[[#This Row],[FECHA INICIO]])</f>
        <v>6</v>
      </c>
      <c r="M2700" s="12"/>
      <c r="N2700" s="12">
        <v>146</v>
      </c>
      <c r="O2700" s="28">
        <f>(Tabla1[[#This Row],[COSTO FIJO ]]/30)*Tabla1[[#This Row],[TOTAL DIAS PROYECTO]]+(Tabla1[[#This Row],[COSTO TEMPORAL]])</f>
        <v>29.199999999999996</v>
      </c>
      <c r="P2700" s="12"/>
      <c r="Q2700" s="12">
        <f>+(Tabla1[[#This Row],[COSTO COCHE]]/30)*Tabla1[[#This Row],[TOTAL DIAS PROYECTO]]</f>
        <v>0</v>
      </c>
      <c r="R2700" s="12">
        <f>+Tabla1[[#This Row],[COSTO TOTAL ALOJAMIENTO]]+Tabla1[[#This Row],[COSTO TOTAL COCHE]]</f>
        <v>29.199999999999996</v>
      </c>
      <c r="S2700" s="2"/>
      <c r="T2700" s="2" t="s">
        <v>44</v>
      </c>
      <c r="U2700" s="14">
        <v>45835</v>
      </c>
      <c r="V2700" s="43">
        <v>45841</v>
      </c>
      <c r="W2700" s="2"/>
      <c r="X2700" s="2"/>
      <c r="Y2700" s="11"/>
      <c r="Z2700" s="2" t="s">
        <v>36</v>
      </c>
      <c r="AA2700" s="13" t="s">
        <v>10342</v>
      </c>
      <c r="AB2700" s="13" t="s">
        <v>10343</v>
      </c>
    </row>
    <row r="2701" spans="1:28" ht="15" customHeight="1">
      <c r="A2701" s="2" t="s">
        <v>9660</v>
      </c>
      <c r="B2701" s="2" t="s">
        <v>28</v>
      </c>
      <c r="C2701" s="11" t="s">
        <v>4104</v>
      </c>
      <c r="D2701" s="2" t="s">
        <v>99</v>
      </c>
      <c r="E2701" s="2" t="s">
        <v>127</v>
      </c>
      <c r="F2701" s="11" t="s">
        <v>4224</v>
      </c>
      <c r="G2701" s="21" t="s">
        <v>4225</v>
      </c>
      <c r="H2701" s="2" t="s">
        <v>4105</v>
      </c>
      <c r="I2701" s="10" t="s">
        <v>3818</v>
      </c>
      <c r="J2701" s="22">
        <f>+Tabla1[[#This Row],[FECHA ENTRADA]]</f>
        <v>45835</v>
      </c>
      <c r="K2701" s="22">
        <v>45841</v>
      </c>
      <c r="L2701" s="23">
        <f>_xlfn.DAYS(Tabla1[[#This Row],[FECHA FIN ]],Tabla1[[#This Row],[FECHA INICIO]])</f>
        <v>6</v>
      </c>
      <c r="M2701" s="12"/>
      <c r="N2701" s="12">
        <f>429.04/4</f>
        <v>107.26</v>
      </c>
      <c r="O2701" s="24">
        <f>(Tabla1[[#This Row],[COSTO FIJO ]]/30)*Tabla1[[#This Row],[TOTAL DIAS PROYECTO]]+(Tabla1[[#This Row],[COSTO TEMPORAL]])</f>
        <v>21.452000000000002</v>
      </c>
      <c r="P2701" s="12"/>
      <c r="Q2701" s="12">
        <f>+(Tabla1[[#This Row],[COSTO COCHE]]/30)*Tabla1[[#This Row],[TOTAL DIAS PROYECTO]]</f>
        <v>0</v>
      </c>
      <c r="R2701" s="12">
        <f>+Tabla1[[#This Row],[COSTO TOTAL ALOJAMIENTO]]+Tabla1[[#This Row],[COSTO TOTAL COCHE]]</f>
        <v>21.452000000000002</v>
      </c>
      <c r="S2701" s="2"/>
      <c r="T2701" s="2" t="s">
        <v>44</v>
      </c>
      <c r="U2701" s="14">
        <v>45835</v>
      </c>
      <c r="V2701" s="25">
        <v>45841</v>
      </c>
      <c r="W2701" s="2"/>
      <c r="X2701" s="2"/>
      <c r="Y2701" s="11"/>
      <c r="Z2701" s="2" t="s">
        <v>36</v>
      </c>
      <c r="AA2701" s="13" t="s">
        <v>10342</v>
      </c>
      <c r="AB2701" s="13" t="s">
        <v>10343</v>
      </c>
    </row>
    <row r="2702" spans="1:28" ht="15" customHeight="1">
      <c r="A2702" s="2" t="s">
        <v>9661</v>
      </c>
      <c r="B2702" s="2" t="s">
        <v>28</v>
      </c>
      <c r="C2702" s="11" t="s">
        <v>4106</v>
      </c>
      <c r="D2702" s="2" t="s">
        <v>99</v>
      </c>
      <c r="E2702" s="2" t="s">
        <v>127</v>
      </c>
      <c r="F2702" s="11" t="s">
        <v>4224</v>
      </c>
      <c r="G2702" s="21" t="s">
        <v>4225</v>
      </c>
      <c r="H2702" s="2" t="s">
        <v>4105</v>
      </c>
      <c r="I2702" s="10" t="s">
        <v>3818</v>
      </c>
      <c r="J2702" s="22">
        <f>+Tabla1[[#This Row],[FECHA ENTRADA]]</f>
        <v>45835</v>
      </c>
      <c r="K2702" s="22">
        <v>45841</v>
      </c>
      <c r="L2702" s="23">
        <f>_xlfn.DAYS(Tabla1[[#This Row],[FECHA FIN ]],Tabla1[[#This Row],[FECHA INICIO]])</f>
        <v>6</v>
      </c>
      <c r="M2702" s="12"/>
      <c r="N2702" s="12">
        <f>429.04/4</f>
        <v>107.26</v>
      </c>
      <c r="O2702" s="24">
        <f>(Tabla1[[#This Row],[COSTO FIJO ]]/30)*Tabla1[[#This Row],[TOTAL DIAS PROYECTO]]+(Tabla1[[#This Row],[COSTO TEMPORAL]])</f>
        <v>21.452000000000002</v>
      </c>
      <c r="P2702" s="12"/>
      <c r="Q2702" s="12">
        <f>+(Tabla1[[#This Row],[COSTO COCHE]]/30)*Tabla1[[#This Row],[TOTAL DIAS PROYECTO]]</f>
        <v>0</v>
      </c>
      <c r="R2702" s="12">
        <f>+Tabla1[[#This Row],[COSTO TOTAL ALOJAMIENTO]]+Tabla1[[#This Row],[COSTO TOTAL COCHE]]</f>
        <v>21.452000000000002</v>
      </c>
      <c r="S2702" s="2"/>
      <c r="T2702" s="2" t="s">
        <v>44</v>
      </c>
      <c r="U2702" s="14">
        <v>45835</v>
      </c>
      <c r="V2702" s="25">
        <v>45841</v>
      </c>
      <c r="W2702" s="2"/>
      <c r="X2702" s="2"/>
      <c r="Y2702" s="11"/>
      <c r="Z2702" s="2" t="s">
        <v>36</v>
      </c>
      <c r="AA2702" s="13" t="s">
        <v>10342</v>
      </c>
      <c r="AB2702" s="13" t="s">
        <v>10343</v>
      </c>
    </row>
    <row r="2703" spans="1:28" ht="15" customHeight="1">
      <c r="A2703" s="2" t="s">
        <v>9662</v>
      </c>
      <c r="B2703" s="2" t="s">
        <v>28</v>
      </c>
      <c r="C2703" s="11" t="s">
        <v>4107</v>
      </c>
      <c r="D2703" s="2" t="s">
        <v>99</v>
      </c>
      <c r="E2703" s="2" t="s">
        <v>127</v>
      </c>
      <c r="F2703" s="11" t="s">
        <v>4224</v>
      </c>
      <c r="G2703" s="21" t="s">
        <v>4225</v>
      </c>
      <c r="H2703" s="2" t="s">
        <v>4105</v>
      </c>
      <c r="I2703" s="10" t="s">
        <v>3818</v>
      </c>
      <c r="J2703" s="22">
        <f>+Tabla1[[#This Row],[FECHA ENTRADA]]</f>
        <v>45835</v>
      </c>
      <c r="K2703" s="22">
        <v>45841</v>
      </c>
      <c r="L2703" s="23">
        <f>_xlfn.DAYS(Tabla1[[#This Row],[FECHA FIN ]],Tabla1[[#This Row],[FECHA INICIO]])</f>
        <v>6</v>
      </c>
      <c r="M2703" s="12"/>
      <c r="N2703" s="12">
        <f>429.04/4</f>
        <v>107.26</v>
      </c>
      <c r="O2703" s="24">
        <f>(Tabla1[[#This Row],[COSTO FIJO ]]/30)*Tabla1[[#This Row],[TOTAL DIAS PROYECTO]]+(Tabla1[[#This Row],[COSTO TEMPORAL]])</f>
        <v>21.452000000000002</v>
      </c>
      <c r="P2703" s="12"/>
      <c r="Q2703" s="12">
        <f>+(Tabla1[[#This Row],[COSTO COCHE]]/30)*Tabla1[[#This Row],[TOTAL DIAS PROYECTO]]</f>
        <v>0</v>
      </c>
      <c r="R2703" s="12">
        <f>+Tabla1[[#This Row],[COSTO TOTAL ALOJAMIENTO]]+Tabla1[[#This Row],[COSTO TOTAL COCHE]]</f>
        <v>21.452000000000002</v>
      </c>
      <c r="S2703" s="2"/>
      <c r="T2703" s="2" t="s">
        <v>44</v>
      </c>
      <c r="U2703" s="14">
        <v>45835</v>
      </c>
      <c r="V2703" s="25">
        <v>45841</v>
      </c>
      <c r="W2703" s="2"/>
      <c r="X2703" s="2"/>
      <c r="Y2703" s="11"/>
      <c r="Z2703" s="2" t="s">
        <v>36</v>
      </c>
      <c r="AA2703" s="13" t="s">
        <v>10342</v>
      </c>
      <c r="AB2703" s="13" t="s">
        <v>10343</v>
      </c>
    </row>
    <row r="2704" spans="1:28" ht="15" customHeight="1">
      <c r="A2704" s="2" t="s">
        <v>9166</v>
      </c>
      <c r="B2704" s="2" t="s">
        <v>28</v>
      </c>
      <c r="C2704" s="11" t="s">
        <v>2291</v>
      </c>
      <c r="D2704" s="2" t="s">
        <v>99</v>
      </c>
      <c r="E2704" s="2" t="s">
        <v>127</v>
      </c>
      <c r="F2704" s="11" t="s">
        <v>4224</v>
      </c>
      <c r="G2704" s="21" t="s">
        <v>4225</v>
      </c>
      <c r="H2704" s="2" t="s">
        <v>4105</v>
      </c>
      <c r="I2704" s="10" t="s">
        <v>3818</v>
      </c>
      <c r="J2704" s="22">
        <f>+Tabla1[[#This Row],[FECHA ENTRADA]]</f>
        <v>45835</v>
      </c>
      <c r="K2704" s="22">
        <v>45841</v>
      </c>
      <c r="L2704" s="23">
        <f>_xlfn.DAYS(Tabla1[[#This Row],[FECHA FIN ]],Tabla1[[#This Row],[FECHA INICIO]])</f>
        <v>6</v>
      </c>
      <c r="M2704" s="12"/>
      <c r="N2704" s="12">
        <f>429.04/4</f>
        <v>107.26</v>
      </c>
      <c r="O2704" s="24">
        <f>(Tabla1[[#This Row],[COSTO FIJO ]]/30)*Tabla1[[#This Row],[TOTAL DIAS PROYECTO]]+(Tabla1[[#This Row],[COSTO TEMPORAL]])</f>
        <v>21.452000000000002</v>
      </c>
      <c r="P2704" s="12"/>
      <c r="Q2704" s="12">
        <f>+(Tabla1[[#This Row],[COSTO COCHE]]/30)*Tabla1[[#This Row],[TOTAL DIAS PROYECTO]]</f>
        <v>0</v>
      </c>
      <c r="R2704" s="12">
        <f>+Tabla1[[#This Row],[COSTO TOTAL ALOJAMIENTO]]+Tabla1[[#This Row],[COSTO TOTAL COCHE]]</f>
        <v>21.452000000000002</v>
      </c>
      <c r="S2704" s="2"/>
      <c r="T2704" s="2" t="s">
        <v>44</v>
      </c>
      <c r="U2704" s="14">
        <v>45835</v>
      </c>
      <c r="V2704" s="25">
        <v>45841</v>
      </c>
      <c r="W2704" s="2"/>
      <c r="X2704" s="2"/>
      <c r="Y2704" s="11"/>
      <c r="Z2704" s="2" t="s">
        <v>36</v>
      </c>
      <c r="AA2704" s="13" t="s">
        <v>10342</v>
      </c>
      <c r="AB2704" s="13" t="s">
        <v>10343</v>
      </c>
    </row>
    <row r="2705" spans="1:28" ht="15" customHeight="1">
      <c r="A2705" s="2" t="s">
        <v>9277</v>
      </c>
      <c r="B2705" s="2" t="s">
        <v>368</v>
      </c>
      <c r="C2705" s="11" t="s">
        <v>2683</v>
      </c>
      <c r="D2705" s="2" t="s">
        <v>99</v>
      </c>
      <c r="E2705" s="2" t="s">
        <v>127</v>
      </c>
      <c r="F2705" s="11" t="s">
        <v>4220</v>
      </c>
      <c r="G2705" s="21" t="s">
        <v>4221</v>
      </c>
      <c r="H2705" s="2" t="s">
        <v>4100</v>
      </c>
      <c r="I2705" s="12" t="s">
        <v>2594</v>
      </c>
      <c r="J2705" s="41">
        <f>+Tabla1[[#This Row],[FECHA ENTRADA]]</f>
        <v>45835</v>
      </c>
      <c r="K2705" s="22">
        <v>45841</v>
      </c>
      <c r="L2705" s="42">
        <f>_xlfn.DAYS(Tabla1[[#This Row],[FECHA FIN ]],Tabla1[[#This Row],[FECHA INICIO]])</f>
        <v>6</v>
      </c>
      <c r="M2705" s="12"/>
      <c r="N2705" s="12">
        <v>129.25</v>
      </c>
      <c r="O2705" s="28">
        <f>(Tabla1[[#This Row],[COSTO FIJO ]]/30)*Tabla1[[#This Row],[TOTAL DIAS PROYECTO]]+(Tabla1[[#This Row],[COSTO TEMPORAL]])</f>
        <v>25.85</v>
      </c>
      <c r="P2705" s="12"/>
      <c r="Q2705" s="12">
        <f>+(Tabla1[[#This Row],[COSTO COCHE]]/30)*Tabla1[[#This Row],[TOTAL DIAS PROYECTO]]</f>
        <v>0</v>
      </c>
      <c r="R2705" s="12">
        <f>+Tabla1[[#This Row],[COSTO TOTAL ALOJAMIENTO]]+Tabla1[[#This Row],[COSTO TOTAL COCHE]]</f>
        <v>25.85</v>
      </c>
      <c r="S2705" s="2"/>
      <c r="T2705" s="2" t="s">
        <v>44</v>
      </c>
      <c r="U2705" s="14">
        <v>45835</v>
      </c>
      <c r="V2705" s="25">
        <v>45841</v>
      </c>
      <c r="W2705" s="2"/>
      <c r="X2705" s="2"/>
      <c r="Y2705" s="11"/>
      <c r="Z2705" s="2" t="s">
        <v>36</v>
      </c>
      <c r="AA2705" s="13" t="s">
        <v>10342</v>
      </c>
      <c r="AB2705" s="13" t="s">
        <v>10343</v>
      </c>
    </row>
    <row r="2706" spans="1:28" ht="15" customHeight="1">
      <c r="A2706" s="2" t="s">
        <v>9333</v>
      </c>
      <c r="B2706" s="2" t="s">
        <v>368</v>
      </c>
      <c r="C2706" s="11" t="s">
        <v>2845</v>
      </c>
      <c r="D2706" s="2" t="s">
        <v>30</v>
      </c>
      <c r="E2706" s="2" t="s">
        <v>127</v>
      </c>
      <c r="F2706" s="11" t="s">
        <v>4216</v>
      </c>
      <c r="G2706" s="46" t="s">
        <v>4217</v>
      </c>
      <c r="H2706" s="2" t="s">
        <v>4101</v>
      </c>
      <c r="I2706" s="12" t="s">
        <v>1193</v>
      </c>
      <c r="J2706" s="41">
        <f>+Tabla1[[#This Row],[FECHA ENTRADA]]</f>
        <v>45835</v>
      </c>
      <c r="K2706" s="41">
        <v>45841</v>
      </c>
      <c r="L2706" s="42">
        <f>_xlfn.DAYS(Tabla1[[#This Row],[FECHA FIN ]],Tabla1[[#This Row],[FECHA INICIO]])</f>
        <v>6</v>
      </c>
      <c r="M2706" s="12"/>
      <c r="N2706" s="28">
        <f>544.34/4</f>
        <v>136.08500000000001</v>
      </c>
      <c r="O2706" s="28">
        <f>(Tabla1[[#This Row],[COSTO FIJO ]]/30)*Tabla1[[#This Row],[TOTAL DIAS PROYECTO]]+(Tabla1[[#This Row],[COSTO TEMPORAL]])</f>
        <v>27.217000000000006</v>
      </c>
      <c r="P2706" s="12"/>
      <c r="Q2706" s="12">
        <f>+(Tabla1[[#This Row],[COSTO COCHE]]/30)*Tabla1[[#This Row],[TOTAL DIAS PROYECTO]]</f>
        <v>0</v>
      </c>
      <c r="R2706" s="12">
        <f>+Tabla1[[#This Row],[COSTO TOTAL ALOJAMIENTO]]+Tabla1[[#This Row],[COSTO TOTAL COCHE]]</f>
        <v>27.217000000000006</v>
      </c>
      <c r="S2706" s="2"/>
      <c r="T2706" s="2" t="s">
        <v>44</v>
      </c>
      <c r="U2706" s="14">
        <v>45835</v>
      </c>
      <c r="V2706" s="43">
        <v>45841</v>
      </c>
      <c r="W2706" s="2"/>
      <c r="X2706" s="2"/>
      <c r="Y2706" s="11"/>
      <c r="Z2706" s="2" t="s">
        <v>36</v>
      </c>
      <c r="AA2706" s="13" t="s">
        <v>10342</v>
      </c>
      <c r="AB2706" s="13" t="s">
        <v>10343</v>
      </c>
    </row>
    <row r="2707" spans="1:28" ht="15" customHeight="1">
      <c r="A2707" s="2" t="s">
        <v>9659</v>
      </c>
      <c r="B2707" s="2" t="s">
        <v>368</v>
      </c>
      <c r="C2707" s="11" t="s">
        <v>4103</v>
      </c>
      <c r="D2707" s="2" t="s">
        <v>30</v>
      </c>
      <c r="E2707" s="2" t="s">
        <v>127</v>
      </c>
      <c r="F2707" s="11" t="s">
        <v>4216</v>
      </c>
      <c r="G2707" s="46" t="s">
        <v>4217</v>
      </c>
      <c r="H2707" s="2" t="s">
        <v>3622</v>
      </c>
      <c r="I2707" s="12" t="s">
        <v>1193</v>
      </c>
      <c r="J2707" s="41">
        <f>+Tabla1[[#This Row],[FECHA ENTRADA]]</f>
        <v>45835</v>
      </c>
      <c r="K2707" s="41">
        <v>45841</v>
      </c>
      <c r="L2707" s="42">
        <f>_xlfn.DAYS(Tabla1[[#This Row],[FECHA FIN ]],Tabla1[[#This Row],[FECHA INICIO]])</f>
        <v>6</v>
      </c>
      <c r="M2707" s="12"/>
      <c r="N2707" s="28">
        <f>544.34/4</f>
        <v>136.08500000000001</v>
      </c>
      <c r="O2707" s="28">
        <f>(Tabla1[[#This Row],[COSTO FIJO ]]/30)*Tabla1[[#This Row],[TOTAL DIAS PROYECTO]]+(Tabla1[[#This Row],[COSTO TEMPORAL]])</f>
        <v>27.217000000000006</v>
      </c>
      <c r="P2707" s="12"/>
      <c r="Q2707" s="12">
        <f>+(Tabla1[[#This Row],[COSTO COCHE]]/30)*Tabla1[[#This Row],[TOTAL DIAS PROYECTO]]</f>
        <v>0</v>
      </c>
      <c r="R2707" s="12">
        <f>+Tabla1[[#This Row],[COSTO TOTAL ALOJAMIENTO]]+Tabla1[[#This Row],[COSTO TOTAL COCHE]]</f>
        <v>27.217000000000006</v>
      </c>
      <c r="S2707" s="2"/>
      <c r="T2707" s="2" t="s">
        <v>44</v>
      </c>
      <c r="U2707" s="14">
        <v>45835</v>
      </c>
      <c r="V2707" s="43">
        <v>45841</v>
      </c>
      <c r="W2707" s="2"/>
      <c r="X2707" s="2"/>
      <c r="Y2707" s="11"/>
      <c r="Z2707" s="2" t="s">
        <v>36</v>
      </c>
      <c r="AA2707" s="13" t="s">
        <v>10342</v>
      </c>
      <c r="AB2707" s="13" t="s">
        <v>10343</v>
      </c>
    </row>
    <row r="2708" spans="1:28" ht="15" customHeight="1">
      <c r="A2708" s="2" t="s">
        <v>9635</v>
      </c>
      <c r="B2708" s="2" t="s">
        <v>28</v>
      </c>
      <c r="C2708" s="11" t="s">
        <v>4012</v>
      </c>
      <c r="D2708" s="2" t="s">
        <v>99</v>
      </c>
      <c r="E2708" s="2" t="s">
        <v>3684</v>
      </c>
      <c r="F2708" s="11" t="s">
        <v>3685</v>
      </c>
      <c r="G2708" s="49" t="s">
        <v>3686</v>
      </c>
      <c r="H2708" s="2" t="s">
        <v>4015</v>
      </c>
      <c r="I2708" s="12" t="s">
        <v>96</v>
      </c>
      <c r="J2708" s="22">
        <f>+Tabla1[[#This Row],[FECHA ENTRADA]]</f>
        <v>45696</v>
      </c>
      <c r="K2708" s="22">
        <v>45808</v>
      </c>
      <c r="L2708" s="23">
        <f>_xlfn.DAYS(Tabla1[[#This Row],[FECHA FIN ]],Tabla1[[#This Row],[FECHA INICIO]])</f>
        <v>112</v>
      </c>
      <c r="M2708" s="12"/>
      <c r="N2708" s="20">
        <v>300</v>
      </c>
      <c r="O2708" s="24">
        <f>(Tabla1[[#This Row],[COSTO FIJO ]]/30)*Tabla1[[#This Row],[TOTAL DIAS PROYECTO]]+(Tabla1[[#This Row],[COSTO TEMPORAL]])</f>
        <v>1120</v>
      </c>
      <c r="P2708" s="12"/>
      <c r="Q2708" s="12">
        <f>+(Tabla1[[#This Row],[COSTO COCHE]]/30)*Tabla1[[#This Row],[TOTAL DIAS PROYECTO]]</f>
        <v>0</v>
      </c>
      <c r="R2708" s="12">
        <f>+Tabla1[[#This Row],[COSTO TOTAL ALOJAMIENTO]]+Tabla1[[#This Row],[COSTO TOTAL COCHE]]</f>
        <v>1120</v>
      </c>
      <c r="S2708" s="2"/>
      <c r="T2708" s="2" t="s">
        <v>44</v>
      </c>
      <c r="U2708" s="14">
        <v>45696</v>
      </c>
      <c r="V2708" s="25">
        <v>45816</v>
      </c>
      <c r="W2708" s="26"/>
      <c r="X2708" s="2">
        <v>5</v>
      </c>
      <c r="Y2708" s="11"/>
      <c r="Z2708" s="2" t="s">
        <v>36</v>
      </c>
      <c r="AA2708" s="13" t="s">
        <v>10442</v>
      </c>
      <c r="AB2708" s="13">
        <v>3588919</v>
      </c>
    </row>
    <row r="2709" spans="1:28" ht="15" customHeight="1">
      <c r="A2709" s="2" t="s">
        <v>9635</v>
      </c>
      <c r="B2709" s="2" t="s">
        <v>28</v>
      </c>
      <c r="C2709" s="11" t="s">
        <v>4012</v>
      </c>
      <c r="D2709" s="2" t="s">
        <v>30</v>
      </c>
      <c r="E2709" s="2" t="s">
        <v>127</v>
      </c>
      <c r="F2709" s="11" t="s">
        <v>820</v>
      </c>
      <c r="G2709" s="21" t="s">
        <v>1234</v>
      </c>
      <c r="H2709" s="2" t="s">
        <v>3688</v>
      </c>
      <c r="I2709" s="12" t="s">
        <v>96</v>
      </c>
      <c r="J2709" s="22">
        <f>+Tabla1[[#This Row],[FECHA ENTRADA]]</f>
        <v>45810</v>
      </c>
      <c r="K2709" s="8">
        <v>45845</v>
      </c>
      <c r="L2709" s="23">
        <f>_xlfn.DAYS(Tabla1[[#This Row],[FECHA FIN ]],Tabla1[[#This Row],[FECHA INICIO]])</f>
        <v>35</v>
      </c>
      <c r="M2709" s="12"/>
      <c r="N2709" s="12"/>
      <c r="O2709" s="24">
        <f>(Tabla1[[#This Row],[COSTO FIJO ]]/30)*Tabla1[[#This Row],[TOTAL DIAS PROYECTO]]+(Tabla1[[#This Row],[COSTO TEMPORAL]])</f>
        <v>0</v>
      </c>
      <c r="P2709" s="12"/>
      <c r="Q2709" s="12">
        <f>+(Tabla1[[#This Row],[COSTO COCHE]]/30)*Tabla1[[#This Row],[TOTAL DIAS PROYECTO]]</f>
        <v>0</v>
      </c>
      <c r="R2709" s="12">
        <f>+Tabla1[[#This Row],[COSTO TOTAL ALOJAMIENTO]]+Tabla1[[#This Row],[COSTO TOTAL COCHE]]</f>
        <v>0</v>
      </c>
      <c r="S2709" s="2"/>
      <c r="T2709" s="2" t="s">
        <v>44</v>
      </c>
      <c r="U2709" s="14">
        <v>45810</v>
      </c>
      <c r="V2709" s="25">
        <v>45857</v>
      </c>
      <c r="W2709" s="2"/>
      <c r="X2709" s="2"/>
      <c r="Y2709" s="11"/>
      <c r="Z2709" s="2" t="s">
        <v>36</v>
      </c>
      <c r="AA2709" s="13" t="s">
        <v>10342</v>
      </c>
      <c r="AB2709" s="13" t="s">
        <v>10343</v>
      </c>
    </row>
    <row r="2710" spans="1:28" ht="15" customHeight="1">
      <c r="A2710" s="2" t="s">
        <v>9684</v>
      </c>
      <c r="B2710" s="2" t="s">
        <v>28</v>
      </c>
      <c r="C2710" s="11" t="s">
        <v>4226</v>
      </c>
      <c r="D2710" s="2" t="s">
        <v>30</v>
      </c>
      <c r="E2710" s="2" t="s">
        <v>31</v>
      </c>
      <c r="F2710" s="11" t="s">
        <v>907</v>
      </c>
      <c r="G2710" s="11" t="s">
        <v>296</v>
      </c>
      <c r="H2710" s="2" t="s">
        <v>908</v>
      </c>
      <c r="I2710" s="29" t="s">
        <v>909</v>
      </c>
      <c r="J2710" s="8">
        <f>+Tabla1[[#This Row],[FECHA ENTRADA]]</f>
        <v>45459</v>
      </c>
      <c r="K2710" s="22">
        <v>45842</v>
      </c>
      <c r="L2710" s="13">
        <f>_xlfn.DAYS(Tabla1[[#This Row],[FECHA FIN ]],Tabla1[[#This Row],[FECHA INICIO]])</f>
        <v>383</v>
      </c>
      <c r="M2710" s="12"/>
      <c r="N2710" s="28">
        <v>200</v>
      </c>
      <c r="O2710" s="12">
        <f>(Tabla1[[#This Row],[COSTO FIJO ]]/30)*Tabla1[[#This Row],[TOTAL DIAS PROYECTO]]+(Tabla1[[#This Row],[COSTO TEMPORAL]])</f>
        <v>2553.3333333333335</v>
      </c>
      <c r="P2710" s="12"/>
      <c r="Q2710" s="12">
        <f>+(Tabla1[[#This Row],[COSTO COCHE]]/30)*Tabla1[[#This Row],[TOTAL DIAS PROYECTO]]</f>
        <v>0</v>
      </c>
      <c r="R2710" s="12">
        <f>+Tabla1[[#This Row],[COSTO TOTAL ALOJAMIENTO]]+Tabla1[[#This Row],[COSTO TOTAL COCHE]]</f>
        <v>2553.3333333333335</v>
      </c>
      <c r="S2710" s="2"/>
      <c r="T2710" s="2" t="s">
        <v>35</v>
      </c>
      <c r="U2710" s="14">
        <v>45459</v>
      </c>
      <c r="V2710" s="14"/>
      <c r="W2710" s="26"/>
      <c r="X2710" s="2">
        <v>1</v>
      </c>
      <c r="Y2710" s="11" t="s">
        <v>4227</v>
      </c>
      <c r="Z2710" s="2" t="s">
        <v>36</v>
      </c>
      <c r="AA2710" s="13" t="s">
        <v>10323</v>
      </c>
      <c r="AB2710" s="13" t="s">
        <v>10324</v>
      </c>
    </row>
    <row r="2711" spans="1:28" ht="15" customHeight="1">
      <c r="A2711" s="2" t="s">
        <v>9685</v>
      </c>
      <c r="B2711" s="2" t="s">
        <v>368</v>
      </c>
      <c r="C2711" s="107" t="s">
        <v>4228</v>
      </c>
      <c r="D2711" s="2" t="s">
        <v>30</v>
      </c>
      <c r="E2711" s="2" t="s">
        <v>87</v>
      </c>
      <c r="F2711" s="11" t="s">
        <v>946</v>
      </c>
      <c r="G2711" s="11" t="s">
        <v>947</v>
      </c>
      <c r="H2711" s="2" t="s">
        <v>4229</v>
      </c>
      <c r="I2711" s="2" t="s">
        <v>4230</v>
      </c>
      <c r="J2711" s="22">
        <f>+Tabla1[[#This Row],[FECHA ENTRADA]]</f>
        <v>45634</v>
      </c>
      <c r="K2711" s="22">
        <v>45842</v>
      </c>
      <c r="L2711" s="23">
        <f>_xlfn.DAYS(Tabla1[[#This Row],[FECHA FIN ]],Tabla1[[#This Row],[FECHA INICIO]])</f>
        <v>208</v>
      </c>
      <c r="M2711" s="12"/>
      <c r="N2711" s="12"/>
      <c r="O2711" s="24">
        <f>(Tabla1[[#This Row],[COSTO FIJO ]]/30)*Tabla1[[#This Row],[TOTAL DIAS PROYECTO]]+(Tabla1[[#This Row],[COSTO TEMPORAL]])</f>
        <v>0</v>
      </c>
      <c r="P2711" s="12"/>
      <c r="Q2711" s="12">
        <f>+(Tabla1[[#This Row],[COSTO COCHE]]/30)*Tabla1[[#This Row],[TOTAL DIAS PROYECTO]]</f>
        <v>0</v>
      </c>
      <c r="R2711" s="12">
        <f>+Tabla1[[#This Row],[COSTO TOTAL ALOJAMIENTO]]+Tabla1[[#This Row],[COSTO TOTAL COCHE]]</f>
        <v>0</v>
      </c>
      <c r="S2711" s="2"/>
      <c r="T2711" s="2" t="s">
        <v>35</v>
      </c>
      <c r="U2711" s="14">
        <v>45634</v>
      </c>
      <c r="V2711" s="25"/>
      <c r="W2711" s="26"/>
      <c r="X2711" s="2">
        <v>4</v>
      </c>
      <c r="Y2711" s="11"/>
      <c r="Z2711" s="2" t="s">
        <v>36</v>
      </c>
      <c r="AA2711" s="13" t="s">
        <v>10335</v>
      </c>
      <c r="AB2711" s="13">
        <v>404.16500000000002</v>
      </c>
    </row>
    <row r="2712" spans="1:28" ht="15" customHeight="1">
      <c r="A2712" s="2" t="s">
        <v>9686</v>
      </c>
      <c r="B2712" s="2" t="s">
        <v>368</v>
      </c>
      <c r="C2712" s="107" t="s">
        <v>4231</v>
      </c>
      <c r="D2712" s="2" t="s">
        <v>30</v>
      </c>
      <c r="E2712" s="2" t="s">
        <v>87</v>
      </c>
      <c r="F2712" s="11" t="s">
        <v>946</v>
      </c>
      <c r="G2712" s="11" t="s">
        <v>947</v>
      </c>
      <c r="H2712" s="2" t="s">
        <v>4229</v>
      </c>
      <c r="I2712" s="2" t="s">
        <v>4230</v>
      </c>
      <c r="J2712" s="22">
        <f>+Tabla1[[#This Row],[FECHA ENTRADA]]</f>
        <v>45634</v>
      </c>
      <c r="K2712" s="22">
        <v>45842</v>
      </c>
      <c r="L2712" s="23">
        <f>_xlfn.DAYS(Tabla1[[#This Row],[FECHA FIN ]],Tabla1[[#This Row],[FECHA INICIO]])</f>
        <v>208</v>
      </c>
      <c r="M2712" s="12"/>
      <c r="N2712" s="12"/>
      <c r="O2712" s="24">
        <f>(Tabla1[[#This Row],[COSTO FIJO ]]/30)*Tabla1[[#This Row],[TOTAL DIAS PROYECTO]]+(Tabla1[[#This Row],[COSTO TEMPORAL]])</f>
        <v>0</v>
      </c>
      <c r="P2712" s="12"/>
      <c r="Q2712" s="12">
        <f>+(Tabla1[[#This Row],[COSTO COCHE]]/30)*Tabla1[[#This Row],[TOTAL DIAS PROYECTO]]</f>
        <v>0</v>
      </c>
      <c r="R2712" s="12">
        <f>+Tabla1[[#This Row],[COSTO TOTAL ALOJAMIENTO]]+Tabla1[[#This Row],[COSTO TOTAL COCHE]]</f>
        <v>0</v>
      </c>
      <c r="S2712" s="2"/>
      <c r="T2712" s="2" t="s">
        <v>35</v>
      </c>
      <c r="U2712" s="14">
        <v>45634</v>
      </c>
      <c r="V2712" s="25"/>
      <c r="W2712" s="26"/>
      <c r="X2712" s="2">
        <v>4</v>
      </c>
      <c r="Y2712" s="11" t="s">
        <v>4232</v>
      </c>
      <c r="Z2712" s="2" t="s">
        <v>36</v>
      </c>
      <c r="AA2712" s="13" t="s">
        <v>10335</v>
      </c>
      <c r="AB2712" s="13">
        <v>404.16500000000002</v>
      </c>
    </row>
    <row r="2713" spans="1:28" ht="15" customHeight="1">
      <c r="A2713" s="2" t="s">
        <v>9635</v>
      </c>
      <c r="B2713" s="2" t="s">
        <v>28</v>
      </c>
      <c r="C2713" s="11" t="s">
        <v>4012</v>
      </c>
      <c r="D2713" s="2" t="s">
        <v>30</v>
      </c>
      <c r="E2713" s="2" t="s">
        <v>686</v>
      </c>
      <c r="F2713" s="11" t="s">
        <v>4233</v>
      </c>
      <c r="G2713" s="46" t="s">
        <v>4234</v>
      </c>
      <c r="H2713" s="2" t="s">
        <v>4235</v>
      </c>
      <c r="I2713" s="12" t="s">
        <v>96</v>
      </c>
      <c r="J2713" s="41">
        <f>+Tabla1[[#This Row],[FECHA ENTRADA]]</f>
        <v>45845</v>
      </c>
      <c r="K2713" s="41">
        <v>45872</v>
      </c>
      <c r="L2713" s="42">
        <f>_xlfn.DAYS(Tabla1[[#This Row],[FECHA FIN ]],Tabla1[[#This Row],[FECHA INICIO]])</f>
        <v>27</v>
      </c>
      <c r="M2713" s="12"/>
      <c r="N2713" s="12">
        <f>1556.67/3</f>
        <v>518.89</v>
      </c>
      <c r="O2713" s="28">
        <f>(Tabla1[[#This Row],[COSTO FIJO ]]/30)*Tabla1[[#This Row],[TOTAL DIAS PROYECTO]]+(Tabla1[[#This Row],[COSTO TEMPORAL]])</f>
        <v>467.00099999999998</v>
      </c>
      <c r="P2713" s="12"/>
      <c r="Q2713" s="12">
        <f>+(Tabla1[[#This Row],[COSTO COCHE]]/30)*Tabla1[[#This Row],[TOTAL DIAS PROYECTO]]</f>
        <v>0</v>
      </c>
      <c r="R2713" s="12">
        <f>+Tabla1[[#This Row],[COSTO TOTAL ALOJAMIENTO]]+Tabla1[[#This Row],[COSTO TOTAL COCHE]]</f>
        <v>467.00099999999998</v>
      </c>
      <c r="S2713" s="2"/>
      <c r="T2713" s="14" t="s">
        <v>44</v>
      </c>
      <c r="U2713" s="14">
        <v>45845</v>
      </c>
      <c r="V2713" s="43">
        <v>45872</v>
      </c>
      <c r="W2713" s="12"/>
      <c r="X2713" s="2"/>
      <c r="Y2713" s="238" t="s">
        <v>4236</v>
      </c>
      <c r="Z2713" s="2" t="s">
        <v>36</v>
      </c>
      <c r="AA2713" s="13" t="s">
        <v>10393</v>
      </c>
      <c r="AB2713" s="13">
        <v>3834517</v>
      </c>
    </row>
    <row r="2714" spans="1:28" ht="15" customHeight="1">
      <c r="A2714" s="2" t="s">
        <v>9635</v>
      </c>
      <c r="B2714" s="2" t="s">
        <v>28</v>
      </c>
      <c r="C2714" s="11" t="s">
        <v>4012</v>
      </c>
      <c r="D2714" s="2" t="s">
        <v>30</v>
      </c>
      <c r="E2714" s="2" t="s">
        <v>686</v>
      </c>
      <c r="F2714" s="11" t="s">
        <v>687</v>
      </c>
      <c r="G2714" s="49" t="s">
        <v>688</v>
      </c>
      <c r="H2714" s="2" t="s">
        <v>4235</v>
      </c>
      <c r="I2714" s="12" t="s">
        <v>96</v>
      </c>
      <c r="J2714" s="41">
        <f>+Tabla1[[#This Row],[FECHA ENTRADA]]</f>
        <v>45872</v>
      </c>
      <c r="K2714" s="41">
        <v>45887</v>
      </c>
      <c r="L2714" s="42">
        <f>_xlfn.DAYS(Tabla1[[#This Row],[FECHA FIN ]],Tabla1[[#This Row],[FECHA INICIO]])</f>
        <v>15</v>
      </c>
      <c r="M2714" s="12"/>
      <c r="N2714" s="12">
        <f>1503.88/3</f>
        <v>501.29333333333335</v>
      </c>
      <c r="O2714" s="28">
        <f>(Tabla1[[#This Row],[COSTO FIJO ]]/30)*Tabla1[[#This Row],[TOTAL DIAS PROYECTO]]+(Tabla1[[#This Row],[COSTO TEMPORAL]])</f>
        <v>250.64666666666665</v>
      </c>
      <c r="P2714" s="12"/>
      <c r="Q2714" s="12">
        <f>+(Tabla1[[#This Row],[COSTO COCHE]]/30)*Tabla1[[#This Row],[TOTAL DIAS PROYECTO]]</f>
        <v>0</v>
      </c>
      <c r="R2714" s="12">
        <f>+Tabla1[[#This Row],[COSTO TOTAL ALOJAMIENTO]]+Tabla1[[#This Row],[COSTO TOTAL COCHE]]</f>
        <v>250.64666666666665</v>
      </c>
      <c r="S2714" s="2" t="s">
        <v>84</v>
      </c>
      <c r="T2714" s="14" t="s">
        <v>44</v>
      </c>
      <c r="U2714" s="14">
        <v>45872</v>
      </c>
      <c r="V2714" s="43">
        <v>45890</v>
      </c>
      <c r="W2714" s="12"/>
      <c r="X2714" s="2"/>
      <c r="Y2714" s="67" t="s">
        <v>689</v>
      </c>
      <c r="Z2714" s="2" t="s">
        <v>36</v>
      </c>
      <c r="AA2714" s="13" t="s">
        <v>10393</v>
      </c>
      <c r="AB2714" s="13">
        <v>3834517</v>
      </c>
    </row>
    <row r="2715" spans="1:28" ht="15" customHeight="1">
      <c r="A2715" s="2" t="s">
        <v>9687</v>
      </c>
      <c r="B2715" s="2" t="s">
        <v>978</v>
      </c>
      <c r="C2715" s="11" t="s">
        <v>4237</v>
      </c>
      <c r="D2715" s="2" t="s">
        <v>99</v>
      </c>
      <c r="E2715" s="2" t="s">
        <v>826</v>
      </c>
      <c r="F2715" s="11" t="s">
        <v>4238</v>
      </c>
      <c r="G2715" s="46" t="s">
        <v>4239</v>
      </c>
      <c r="H2715" s="2" t="s">
        <v>3327</v>
      </c>
      <c r="I2715" s="12" t="s">
        <v>4240</v>
      </c>
      <c r="J2715" s="41">
        <f>+Tabla1[[#This Row],[FECHA ENTRADA]]</f>
        <v>45838</v>
      </c>
      <c r="K2715" s="41">
        <v>45842</v>
      </c>
      <c r="L2715" s="42">
        <f>_xlfn.DAYS(Tabla1[[#This Row],[FECHA FIN ]],Tabla1[[#This Row],[FECHA INICIO]])</f>
        <v>4</v>
      </c>
      <c r="M2715" s="12"/>
      <c r="N2715" s="12">
        <v>397.5</v>
      </c>
      <c r="O2715" s="28">
        <f>(Tabla1[[#This Row],[COSTO FIJO ]]/30)*Tabla1[[#This Row],[TOTAL DIAS PROYECTO]]+(Tabla1[[#This Row],[COSTO TEMPORAL]])</f>
        <v>53</v>
      </c>
      <c r="P2715" s="12"/>
      <c r="Q2715" s="12">
        <f>+(Tabla1[[#This Row],[COSTO COCHE]]/30)*Tabla1[[#This Row],[TOTAL DIAS PROYECTO]]</f>
        <v>0</v>
      </c>
      <c r="R2715" s="12">
        <f>+Tabla1[[#This Row],[COSTO TOTAL ALOJAMIENTO]]+Tabla1[[#This Row],[COSTO TOTAL COCHE]]</f>
        <v>53</v>
      </c>
      <c r="S2715" s="2" t="s">
        <v>403</v>
      </c>
      <c r="T2715" s="2" t="s">
        <v>528</v>
      </c>
      <c r="U2715" s="14">
        <v>45838</v>
      </c>
      <c r="V2715" s="43">
        <v>45847</v>
      </c>
      <c r="W2715" s="12"/>
      <c r="X2715" s="2"/>
      <c r="Y2715" s="11" t="s">
        <v>4241</v>
      </c>
      <c r="Z2715" s="2" t="s">
        <v>36</v>
      </c>
      <c r="AA2715" s="13" t="s">
        <v>10399</v>
      </c>
      <c r="AB2715" s="13" t="s">
        <v>10400</v>
      </c>
    </row>
    <row r="2716" spans="1:28" ht="15" customHeight="1">
      <c r="A2716" s="2" t="s">
        <v>9548</v>
      </c>
      <c r="B2716" s="2" t="s">
        <v>978</v>
      </c>
      <c r="C2716" s="11" t="s">
        <v>3592</v>
      </c>
      <c r="D2716" s="2" t="s">
        <v>99</v>
      </c>
      <c r="E2716" s="2" t="s">
        <v>826</v>
      </c>
      <c r="F2716" s="11" t="s">
        <v>4238</v>
      </c>
      <c r="G2716" s="46" t="s">
        <v>4239</v>
      </c>
      <c r="H2716" s="2" t="s">
        <v>3327</v>
      </c>
      <c r="I2716" s="12" t="s">
        <v>4240</v>
      </c>
      <c r="J2716" s="41">
        <f>+Tabla1[[#This Row],[FECHA ENTRADA]]</f>
        <v>45838</v>
      </c>
      <c r="K2716" s="41">
        <v>45842</v>
      </c>
      <c r="L2716" s="42">
        <f>_xlfn.DAYS(Tabla1[[#This Row],[FECHA FIN ]],Tabla1[[#This Row],[FECHA INICIO]])</f>
        <v>4</v>
      </c>
      <c r="M2716" s="12"/>
      <c r="N2716" s="12">
        <v>397.5</v>
      </c>
      <c r="O2716" s="28">
        <f>(Tabla1[[#This Row],[COSTO FIJO ]]/30)*Tabla1[[#This Row],[TOTAL DIAS PROYECTO]]+(Tabla1[[#This Row],[COSTO TEMPORAL]])</f>
        <v>53</v>
      </c>
      <c r="P2716" s="12"/>
      <c r="Q2716" s="12">
        <f>+(Tabla1[[#This Row],[COSTO COCHE]]/30)*Tabla1[[#This Row],[TOTAL DIAS PROYECTO]]</f>
        <v>0</v>
      </c>
      <c r="R2716" s="12">
        <f>+Tabla1[[#This Row],[COSTO TOTAL ALOJAMIENTO]]+Tabla1[[#This Row],[COSTO TOTAL COCHE]]</f>
        <v>53</v>
      </c>
      <c r="S2716" s="2" t="s">
        <v>403</v>
      </c>
      <c r="T2716" s="2" t="s">
        <v>528</v>
      </c>
      <c r="U2716" s="14">
        <v>45838</v>
      </c>
      <c r="V2716" s="43">
        <v>45847</v>
      </c>
      <c r="W2716" s="12"/>
      <c r="X2716" s="2"/>
      <c r="Y2716" s="11" t="s">
        <v>4241</v>
      </c>
      <c r="Z2716" s="2" t="s">
        <v>36</v>
      </c>
      <c r="AA2716" s="13" t="s">
        <v>10399</v>
      </c>
      <c r="AB2716" s="13" t="s">
        <v>10400</v>
      </c>
    </row>
    <row r="2717" spans="1:28" ht="15" customHeight="1">
      <c r="A2717" s="2" t="s">
        <v>9129</v>
      </c>
      <c r="B2717" s="2" t="s">
        <v>711</v>
      </c>
      <c r="C2717" s="11" t="s">
        <v>2121</v>
      </c>
      <c r="D2717" s="2" t="s">
        <v>99</v>
      </c>
      <c r="E2717" s="2" t="s">
        <v>1514</v>
      </c>
      <c r="F2717" s="11" t="s">
        <v>4242</v>
      </c>
      <c r="G2717" s="46" t="s">
        <v>4243</v>
      </c>
      <c r="H2717" s="2" t="s">
        <v>4084</v>
      </c>
      <c r="I2717" s="12" t="s">
        <v>506</v>
      </c>
      <c r="J2717" s="41">
        <f>+Tabla1[[#This Row],[FECHA ENTRADA]]</f>
        <v>45840</v>
      </c>
      <c r="K2717" s="41">
        <v>45842</v>
      </c>
      <c r="L2717" s="42">
        <f>_xlfn.DAYS(Tabla1[[#This Row],[FECHA FIN ]],Tabla1[[#This Row],[FECHA INICIO]])</f>
        <v>2</v>
      </c>
      <c r="M2717" s="12"/>
      <c r="N2717" s="12">
        <f>745.8/5</f>
        <v>149.16</v>
      </c>
      <c r="O2717" s="28">
        <f>(Tabla1[[#This Row],[COSTO FIJO ]]/30)*Tabla1[[#This Row],[TOTAL DIAS PROYECTO]]+(Tabla1[[#This Row],[COSTO TEMPORAL]])</f>
        <v>9.9439999999999991</v>
      </c>
      <c r="P2717" s="12"/>
      <c r="Q2717" s="12">
        <f>+(Tabla1[[#This Row],[COSTO COCHE]]/30)*Tabla1[[#This Row],[TOTAL DIAS PROYECTO]]</f>
        <v>0</v>
      </c>
      <c r="R2717" s="12">
        <f>+Tabla1[[#This Row],[COSTO TOTAL ALOJAMIENTO]]+Tabla1[[#This Row],[COSTO TOTAL COCHE]]</f>
        <v>9.9439999999999991</v>
      </c>
      <c r="S2717" s="2"/>
      <c r="T2717" s="2" t="s">
        <v>528</v>
      </c>
      <c r="U2717" s="14">
        <v>45840</v>
      </c>
      <c r="V2717" s="43">
        <v>45846</v>
      </c>
      <c r="W2717" s="12"/>
      <c r="X2717" s="2"/>
      <c r="Y2717" s="11"/>
      <c r="Z2717" s="2" t="s">
        <v>36</v>
      </c>
      <c r="AA2717" s="13" t="s">
        <v>10424</v>
      </c>
      <c r="AB2717" s="13">
        <v>398581</v>
      </c>
    </row>
    <row r="2718" spans="1:28" ht="15" customHeight="1">
      <c r="A2718" s="2" t="s">
        <v>9511</v>
      </c>
      <c r="B2718" s="2" t="s">
        <v>711</v>
      </c>
      <c r="C2718" s="11" t="s">
        <v>3481</v>
      </c>
      <c r="D2718" s="2" t="s">
        <v>72</v>
      </c>
      <c r="E2718" s="2" t="s">
        <v>1458</v>
      </c>
      <c r="F2718" s="11" t="s">
        <v>3636</v>
      </c>
      <c r="G2718" s="49" t="s">
        <v>2053</v>
      </c>
      <c r="H2718" s="2" t="s">
        <v>3470</v>
      </c>
      <c r="I2718" s="12" t="s">
        <v>1288</v>
      </c>
      <c r="J2718" s="22">
        <f>+Tabla1[[#This Row],[FECHA ENTRADA]]</f>
        <v>45805</v>
      </c>
      <c r="K2718" s="22">
        <v>45842</v>
      </c>
      <c r="L2718" s="23">
        <f>_xlfn.DAYS(Tabla1[[#This Row],[FECHA FIN ]],Tabla1[[#This Row],[FECHA INICIO]])</f>
        <v>37</v>
      </c>
      <c r="M2718" s="12"/>
      <c r="N2718" s="12"/>
      <c r="O2718" s="24">
        <f>(Tabla1[[#This Row],[COSTO FIJO ]]/30)*Tabla1[[#This Row],[TOTAL DIAS PROYECTO]]+(Tabla1[[#This Row],[COSTO TEMPORAL]])</f>
        <v>0</v>
      </c>
      <c r="P2718" s="12"/>
      <c r="Q2718" s="12">
        <f>+(Tabla1[[#This Row],[COSTO COCHE]]/30)*Tabla1[[#This Row],[TOTAL DIAS PROYECTO]]</f>
        <v>0</v>
      </c>
      <c r="R2718" s="12">
        <f>+Tabla1[[#This Row],[COSTO TOTAL ALOJAMIENTO]]+Tabla1[[#This Row],[COSTO TOTAL COCHE]]</f>
        <v>0</v>
      </c>
      <c r="S2718" s="2"/>
      <c r="T2718" s="2" t="s">
        <v>44</v>
      </c>
      <c r="U2718" s="14">
        <v>45805</v>
      </c>
      <c r="V2718" s="25">
        <v>45863</v>
      </c>
      <c r="W2718" s="2"/>
      <c r="X2718" s="2"/>
      <c r="Y2718" s="150"/>
      <c r="Z2718" s="2" t="s">
        <v>36</v>
      </c>
      <c r="AA2718" s="13" t="s">
        <v>10421</v>
      </c>
      <c r="AB2718" s="13">
        <v>5113412</v>
      </c>
    </row>
    <row r="2719" spans="1:28" ht="15" customHeight="1">
      <c r="A2719" s="2" t="s">
        <v>9051</v>
      </c>
      <c r="B2719" s="2" t="s">
        <v>711</v>
      </c>
      <c r="C2719" s="11" t="s">
        <v>1812</v>
      </c>
      <c r="D2719" s="2" t="s">
        <v>72</v>
      </c>
      <c r="E2719" s="2" t="s">
        <v>1458</v>
      </c>
      <c r="F2719" s="11" t="s">
        <v>3636</v>
      </c>
      <c r="G2719" s="49" t="s">
        <v>2053</v>
      </c>
      <c r="H2719" s="2" t="s">
        <v>1927</v>
      </c>
      <c r="I2719" s="12" t="s">
        <v>1288</v>
      </c>
      <c r="J2719" s="22">
        <f>+Tabla1[[#This Row],[FECHA ENTRADA]]</f>
        <v>45805</v>
      </c>
      <c r="K2719" s="22">
        <v>45842</v>
      </c>
      <c r="L2719" s="23">
        <f>_xlfn.DAYS(Tabla1[[#This Row],[FECHA FIN ]],Tabla1[[#This Row],[FECHA INICIO]])</f>
        <v>37</v>
      </c>
      <c r="M2719" s="12"/>
      <c r="N2719" s="12"/>
      <c r="O2719" s="24">
        <f>(Tabla1[[#This Row],[COSTO FIJO ]]/30)*Tabla1[[#This Row],[TOTAL DIAS PROYECTO]]+(Tabla1[[#This Row],[COSTO TEMPORAL]])</f>
        <v>0</v>
      </c>
      <c r="P2719" s="12"/>
      <c r="Q2719" s="12">
        <f>+(Tabla1[[#This Row],[COSTO COCHE]]/30)*Tabla1[[#This Row],[TOTAL DIAS PROYECTO]]</f>
        <v>0</v>
      </c>
      <c r="R2719" s="12">
        <f>+Tabla1[[#This Row],[COSTO TOTAL ALOJAMIENTO]]+Tabla1[[#This Row],[COSTO TOTAL COCHE]]</f>
        <v>0</v>
      </c>
      <c r="S2719" s="2"/>
      <c r="T2719" s="2" t="s">
        <v>44</v>
      </c>
      <c r="U2719" s="14">
        <v>45805</v>
      </c>
      <c r="V2719" s="25">
        <v>45863</v>
      </c>
      <c r="W2719" s="2"/>
      <c r="X2719" s="2"/>
      <c r="Y2719" s="150"/>
      <c r="Z2719" s="2" t="s">
        <v>36</v>
      </c>
      <c r="AA2719" s="13" t="s">
        <v>10421</v>
      </c>
      <c r="AB2719" s="13">
        <v>5113412</v>
      </c>
    </row>
    <row r="2720" spans="1:28" ht="15" customHeight="1">
      <c r="A2720" s="2" t="s">
        <v>9052</v>
      </c>
      <c r="B2720" s="2" t="s">
        <v>711</v>
      </c>
      <c r="C2720" s="11" t="s">
        <v>1813</v>
      </c>
      <c r="D2720" s="2" t="s">
        <v>72</v>
      </c>
      <c r="E2720" s="2" t="s">
        <v>1458</v>
      </c>
      <c r="F2720" s="11" t="s">
        <v>3636</v>
      </c>
      <c r="G2720" s="49" t="s">
        <v>2053</v>
      </c>
      <c r="H2720" s="2" t="s">
        <v>1927</v>
      </c>
      <c r="I2720" s="12" t="s">
        <v>1288</v>
      </c>
      <c r="J2720" s="22">
        <f>+Tabla1[[#This Row],[FECHA ENTRADA]]</f>
        <v>45805</v>
      </c>
      <c r="K2720" s="22">
        <v>45842</v>
      </c>
      <c r="L2720" s="23">
        <f>_xlfn.DAYS(Tabla1[[#This Row],[FECHA FIN ]],Tabla1[[#This Row],[FECHA INICIO]])</f>
        <v>37</v>
      </c>
      <c r="M2720" s="12"/>
      <c r="N2720" s="12"/>
      <c r="O2720" s="24">
        <f>(Tabla1[[#This Row],[COSTO FIJO ]]/30)*Tabla1[[#This Row],[TOTAL DIAS PROYECTO]]+(Tabla1[[#This Row],[COSTO TEMPORAL]])</f>
        <v>0</v>
      </c>
      <c r="P2720" s="12"/>
      <c r="Q2720" s="12">
        <f>+(Tabla1[[#This Row],[COSTO COCHE]]/30)*Tabla1[[#This Row],[TOTAL DIAS PROYECTO]]</f>
        <v>0</v>
      </c>
      <c r="R2720" s="12">
        <f>+Tabla1[[#This Row],[COSTO TOTAL ALOJAMIENTO]]+Tabla1[[#This Row],[COSTO TOTAL COCHE]]</f>
        <v>0</v>
      </c>
      <c r="S2720" s="2"/>
      <c r="T2720" s="2" t="s">
        <v>44</v>
      </c>
      <c r="U2720" s="14">
        <v>45805</v>
      </c>
      <c r="V2720" s="25">
        <v>45863</v>
      </c>
      <c r="W2720" s="2"/>
      <c r="X2720" s="2"/>
      <c r="Y2720" s="150"/>
      <c r="Z2720" s="2" t="s">
        <v>36</v>
      </c>
      <c r="AA2720" s="13" t="s">
        <v>10421</v>
      </c>
      <c r="AB2720" s="13">
        <v>5113412</v>
      </c>
    </row>
    <row r="2721" spans="1:28" ht="15" customHeight="1">
      <c r="A2721" s="2" t="s">
        <v>9688</v>
      </c>
      <c r="B2721" s="2" t="s">
        <v>711</v>
      </c>
      <c r="C2721" s="11" t="s">
        <v>4244</v>
      </c>
      <c r="D2721" s="2" t="s">
        <v>72</v>
      </c>
      <c r="E2721" s="2" t="s">
        <v>1458</v>
      </c>
      <c r="F2721" s="11" t="s">
        <v>3636</v>
      </c>
      <c r="G2721" s="49" t="s">
        <v>2053</v>
      </c>
      <c r="H2721" s="2" t="s">
        <v>4245</v>
      </c>
      <c r="I2721" s="10" t="s">
        <v>1288</v>
      </c>
      <c r="J2721" s="22">
        <f>+Tabla1[[#This Row],[FECHA ENTRADA]]</f>
        <v>45807</v>
      </c>
      <c r="K2721" s="22">
        <v>45842</v>
      </c>
      <c r="L2721" s="23">
        <f>_xlfn.DAYS(Tabla1[[#This Row],[FECHA FIN ]],Tabla1[[#This Row],[FECHA INICIO]])</f>
        <v>35</v>
      </c>
      <c r="M2721" s="12"/>
      <c r="N2721" s="12"/>
      <c r="O2721" s="24">
        <f>(Tabla1[[#This Row],[COSTO FIJO ]]/30)*Tabla1[[#This Row],[TOTAL DIAS PROYECTO]]+(Tabla1[[#This Row],[COSTO TEMPORAL]])</f>
        <v>0</v>
      </c>
      <c r="P2721" s="12"/>
      <c r="Q2721" s="12">
        <f>+(Tabla1[[#This Row],[COSTO COCHE]]/30)*Tabla1[[#This Row],[TOTAL DIAS PROYECTO]]</f>
        <v>0</v>
      </c>
      <c r="R2721" s="12">
        <f>+Tabla1[[#This Row],[COSTO TOTAL ALOJAMIENTO]]+Tabla1[[#This Row],[COSTO TOTAL COCHE]]</f>
        <v>0</v>
      </c>
      <c r="S2721" s="2"/>
      <c r="T2721" s="14" t="s">
        <v>44</v>
      </c>
      <c r="U2721" s="14">
        <v>45807</v>
      </c>
      <c r="V2721" s="25">
        <v>45863</v>
      </c>
      <c r="W2721" s="2"/>
      <c r="X2721" s="2"/>
      <c r="Y2721" s="11"/>
      <c r="Z2721" s="2" t="s">
        <v>36</v>
      </c>
      <c r="AA2721" s="13" t="s">
        <v>10421</v>
      </c>
      <c r="AB2721" s="13">
        <v>5113412</v>
      </c>
    </row>
    <row r="2722" spans="1:28" ht="15" customHeight="1">
      <c r="A2722" s="2" t="s">
        <v>9689</v>
      </c>
      <c r="B2722" s="2" t="s">
        <v>28</v>
      </c>
      <c r="C2722" s="11" t="s">
        <v>4246</v>
      </c>
      <c r="D2722" s="2" t="s">
        <v>99</v>
      </c>
      <c r="E2722" s="2" t="s">
        <v>259</v>
      </c>
      <c r="F2722" s="11" t="s">
        <v>260</v>
      </c>
      <c r="G2722" s="11" t="s">
        <v>261</v>
      </c>
      <c r="H2722" s="2" t="s">
        <v>4247</v>
      </c>
      <c r="I2722" t="s">
        <v>2119</v>
      </c>
      <c r="J2722" s="41">
        <f>+Tabla1[[#This Row],[FECHA ENTRADA]]</f>
        <v>45830</v>
      </c>
      <c r="K2722" s="41">
        <v>45842</v>
      </c>
      <c r="L2722" s="42">
        <f>_xlfn.DAYS(Tabla1[[#This Row],[FECHA FIN ]],Tabla1[[#This Row],[FECHA INICIO]])</f>
        <v>12</v>
      </c>
      <c r="M2722" s="12"/>
      <c r="N2722" s="12"/>
      <c r="O2722" s="28">
        <f>(Tabla1[[#This Row],[COSTO FIJO ]]/30)*Tabla1[[#This Row],[TOTAL DIAS PROYECTO]]+(Tabla1[[#This Row],[COSTO TEMPORAL]])</f>
        <v>0</v>
      </c>
      <c r="P2722" s="12"/>
      <c r="Q2722" s="12">
        <f>+(Tabla1[[#This Row],[COSTO COCHE]]/30)*Tabla1[[#This Row],[TOTAL DIAS PROYECTO]]</f>
        <v>0</v>
      </c>
      <c r="R2722" s="12">
        <f>+Tabla1[[#This Row],[COSTO TOTAL ALOJAMIENTO]]+Tabla1[[#This Row],[COSTO TOTAL COCHE]]</f>
        <v>0</v>
      </c>
      <c r="S2722" s="2"/>
      <c r="T2722" s="14" t="s">
        <v>35</v>
      </c>
      <c r="U2722" s="14">
        <v>45830</v>
      </c>
      <c r="V2722" s="43"/>
      <c r="W2722" s="12"/>
      <c r="X2722" s="2"/>
      <c r="Y2722" s="11"/>
      <c r="Z2722" s="2" t="s">
        <v>36</v>
      </c>
      <c r="AA2722" s="13">
        <v>-0.87734000000000001</v>
      </c>
      <c r="AB2722" s="13" t="s">
        <v>10359</v>
      </c>
    </row>
    <row r="2723" spans="1:28" ht="15" customHeight="1">
      <c r="A2723" s="2" t="s">
        <v>8901</v>
      </c>
      <c r="B2723" s="2" t="s">
        <v>978</v>
      </c>
      <c r="C2723" s="107" t="s">
        <v>1210</v>
      </c>
      <c r="D2723" s="2" t="s">
        <v>30</v>
      </c>
      <c r="E2723" s="2" t="s">
        <v>253</v>
      </c>
      <c r="F2723" s="11" t="s">
        <v>1883</v>
      </c>
      <c r="G2723" s="30" t="s">
        <v>1693</v>
      </c>
      <c r="H2723" s="2" t="s">
        <v>1154</v>
      </c>
      <c r="I2723" s="12" t="s">
        <v>1155</v>
      </c>
      <c r="J2723" s="41">
        <f>+Tabla1[[#This Row],[FECHA ENTRADA]]</f>
        <v>45645</v>
      </c>
      <c r="K2723" s="41">
        <v>45843</v>
      </c>
      <c r="L2723" s="42">
        <f>_xlfn.DAYS(Tabla1[[#This Row],[FECHA FIN ]],Tabla1[[#This Row],[FECHA INICIO]])</f>
        <v>198</v>
      </c>
      <c r="M2723" s="12"/>
      <c r="N2723" s="12">
        <v>480</v>
      </c>
      <c r="O2723" s="28">
        <f>(Tabla1[[#This Row],[COSTO FIJO ]]/30)*Tabla1[[#This Row],[TOTAL DIAS PROYECTO]]+(Tabla1[[#This Row],[COSTO TEMPORAL]])</f>
        <v>3168</v>
      </c>
      <c r="P2723" s="12"/>
      <c r="Q2723" s="12">
        <f>+(Tabla1[[#This Row],[COSTO COCHE]]/30)*Tabla1[[#This Row],[TOTAL DIAS PROYECTO]]</f>
        <v>0</v>
      </c>
      <c r="R2723" s="12">
        <f>+Tabla1[[#This Row],[COSTO TOTAL ALOJAMIENTO]]+Tabla1[[#This Row],[COSTO TOTAL COCHE]]</f>
        <v>3168</v>
      </c>
      <c r="S2723" s="2"/>
      <c r="T2723" s="2" t="s">
        <v>35</v>
      </c>
      <c r="U2723" s="14">
        <v>45645</v>
      </c>
      <c r="V2723" s="43"/>
      <c r="W2723" s="26"/>
      <c r="X2723" s="2">
        <v>1</v>
      </c>
      <c r="Y2723" s="11" t="s">
        <v>1884</v>
      </c>
      <c r="Z2723" s="2" t="s">
        <v>36</v>
      </c>
      <c r="AA2723" s="13" t="s">
        <v>10357</v>
      </c>
      <c r="AB2723" s="13" t="s">
        <v>10358</v>
      </c>
    </row>
    <row r="2724" spans="1:28" ht="15" customHeight="1">
      <c r="A2724" s="2" t="s">
        <v>8812</v>
      </c>
      <c r="B2724" s="2" t="s">
        <v>28</v>
      </c>
      <c r="C2724" s="31" t="s">
        <v>863</v>
      </c>
      <c r="D2724" s="2" t="s">
        <v>30</v>
      </c>
      <c r="E2724" s="2" t="s">
        <v>855</v>
      </c>
      <c r="F2724" s="11"/>
      <c r="G2724" s="46"/>
      <c r="H2724" s="2" t="s">
        <v>4213</v>
      </c>
      <c r="I2724" s="12" t="s">
        <v>1201</v>
      </c>
      <c r="J2724" s="41">
        <f>+Tabla1[[#This Row],[FECHA ENTRADA]]</f>
        <v>45830</v>
      </c>
      <c r="K2724" s="41">
        <v>45843</v>
      </c>
      <c r="L2724" s="42">
        <f>_xlfn.DAYS(Tabla1[[#This Row],[FECHA FIN ]],Tabla1[[#This Row],[FECHA INICIO]])</f>
        <v>13</v>
      </c>
      <c r="M2724" s="12"/>
      <c r="N2724" s="12">
        <v>300</v>
      </c>
      <c r="O2724" s="28">
        <f>(Tabla1[[#This Row],[COSTO FIJO ]]/30)*Tabla1[[#This Row],[TOTAL DIAS PROYECTO]]+(Tabla1[[#This Row],[COSTO TEMPORAL]])</f>
        <v>130</v>
      </c>
      <c r="P2724" s="12"/>
      <c r="Q2724" s="12">
        <f>+(Tabla1[[#This Row],[COSTO COCHE]]/30)*Tabla1[[#This Row],[TOTAL DIAS PROYECTO]]</f>
        <v>0</v>
      </c>
      <c r="R2724" s="12">
        <f>+Tabla1[[#This Row],[COSTO TOTAL ALOJAMIENTO]]+Tabla1[[#This Row],[COSTO TOTAL COCHE]]</f>
        <v>130</v>
      </c>
      <c r="S2724" s="2"/>
      <c r="T2724" s="14" t="s">
        <v>58</v>
      </c>
      <c r="U2724" s="14">
        <v>45830</v>
      </c>
      <c r="V2724" s="43"/>
      <c r="W2724" s="2"/>
      <c r="X2724" s="2"/>
      <c r="Y2724" s="11"/>
      <c r="Z2724" s="2" t="s">
        <v>36</v>
      </c>
      <c r="AA2724" s="13" t="s">
        <v>10401</v>
      </c>
      <c r="AB2724" s="13" t="s">
        <v>10402</v>
      </c>
    </row>
    <row r="2725" spans="1:28" ht="15" customHeight="1">
      <c r="A2725" s="2" t="s">
        <v>9690</v>
      </c>
      <c r="B2725" s="2" t="s">
        <v>368</v>
      </c>
      <c r="C2725" s="11" t="s">
        <v>4248</v>
      </c>
      <c r="D2725" s="2" t="s">
        <v>30</v>
      </c>
      <c r="E2725" s="2" t="s">
        <v>985</v>
      </c>
      <c r="F2725" s="11" t="s">
        <v>4249</v>
      </c>
      <c r="G2725" s="46" t="s">
        <v>4250</v>
      </c>
      <c r="H2725" s="2" t="s">
        <v>2401</v>
      </c>
      <c r="I2725" s="12" t="s">
        <v>989</v>
      </c>
      <c r="J2725" s="41">
        <f>+Tabla1[[#This Row],[FECHA ENTRADA]]</f>
        <v>45823</v>
      </c>
      <c r="K2725" s="41">
        <v>45843</v>
      </c>
      <c r="L2725" s="42">
        <f>_xlfn.DAYS(Tabla1[[#This Row],[FECHA FIN ]],Tabla1[[#This Row],[FECHA INICIO]])</f>
        <v>20</v>
      </c>
      <c r="M2725" s="12"/>
      <c r="N2725" s="12"/>
      <c r="O2725" s="28">
        <f>(Tabla1[[#This Row],[COSTO FIJO ]]/30)*Tabla1[[#This Row],[TOTAL DIAS PROYECTO]]+(Tabla1[[#This Row],[COSTO TEMPORAL]])</f>
        <v>0</v>
      </c>
      <c r="P2725" s="12"/>
      <c r="Q2725" s="12">
        <f>+(Tabla1[[#This Row],[COSTO COCHE]]/30)*Tabla1[[#This Row],[TOTAL DIAS PROYECTO]]</f>
        <v>0</v>
      </c>
      <c r="R2725" s="12">
        <f>+Tabla1[[#This Row],[COSTO TOTAL ALOJAMIENTO]]+Tabla1[[#This Row],[COSTO TOTAL COCHE]]</f>
        <v>0</v>
      </c>
      <c r="S2725" s="2"/>
      <c r="T2725" s="14" t="s">
        <v>44</v>
      </c>
      <c r="U2725" s="14">
        <v>45823</v>
      </c>
      <c r="V2725" s="43">
        <v>45843</v>
      </c>
      <c r="W2725" s="2"/>
      <c r="X2725" s="2"/>
      <c r="Y2725" s="11"/>
      <c r="Z2725" s="2" t="s">
        <v>36</v>
      </c>
      <c r="AA2725" s="13" t="s">
        <v>10407</v>
      </c>
      <c r="AB2725" s="13" t="s">
        <v>10408</v>
      </c>
    </row>
    <row r="2726" spans="1:28" ht="15" customHeight="1">
      <c r="A2726" s="2" t="s">
        <v>8642</v>
      </c>
      <c r="B2726" s="2" t="s">
        <v>368</v>
      </c>
      <c r="C2726" s="11" t="s">
        <v>4251</v>
      </c>
      <c r="D2726" s="2" t="s">
        <v>30</v>
      </c>
      <c r="E2726" s="2" t="s">
        <v>985</v>
      </c>
      <c r="F2726" s="11" t="s">
        <v>4249</v>
      </c>
      <c r="G2726" s="46" t="s">
        <v>4250</v>
      </c>
      <c r="H2726" s="2" t="s">
        <v>2401</v>
      </c>
      <c r="I2726" s="12" t="s">
        <v>989</v>
      </c>
      <c r="J2726" s="41">
        <f>+Tabla1[[#This Row],[FECHA ENTRADA]]</f>
        <v>45823</v>
      </c>
      <c r="K2726" s="41">
        <v>45843</v>
      </c>
      <c r="L2726" s="42">
        <f>_xlfn.DAYS(Tabla1[[#This Row],[FECHA FIN ]],Tabla1[[#This Row],[FECHA INICIO]])</f>
        <v>20</v>
      </c>
      <c r="M2726" s="12"/>
      <c r="N2726" s="12"/>
      <c r="O2726" s="28">
        <f>(Tabla1[[#This Row],[COSTO FIJO ]]/30)*Tabla1[[#This Row],[TOTAL DIAS PROYECTO]]+(Tabla1[[#This Row],[COSTO TEMPORAL]])</f>
        <v>0</v>
      </c>
      <c r="P2726" s="12"/>
      <c r="Q2726" s="12">
        <f>+(Tabla1[[#This Row],[COSTO COCHE]]/30)*Tabla1[[#This Row],[TOTAL DIAS PROYECTO]]</f>
        <v>0</v>
      </c>
      <c r="R2726" s="12">
        <f>+Tabla1[[#This Row],[COSTO TOTAL ALOJAMIENTO]]+Tabla1[[#This Row],[COSTO TOTAL COCHE]]</f>
        <v>0</v>
      </c>
      <c r="S2726" s="2"/>
      <c r="T2726" s="14" t="s">
        <v>44</v>
      </c>
      <c r="U2726" s="14">
        <v>45823</v>
      </c>
      <c r="V2726" s="43">
        <v>45843</v>
      </c>
      <c r="W2726" s="2"/>
      <c r="X2726" s="2"/>
      <c r="Y2726" s="11"/>
      <c r="Z2726" s="2" t="s">
        <v>36</v>
      </c>
      <c r="AA2726" s="13" t="s">
        <v>10407</v>
      </c>
      <c r="AB2726" s="13" t="s">
        <v>10408</v>
      </c>
    </row>
    <row r="2727" spans="1:28" ht="15" customHeight="1">
      <c r="A2727" s="2" t="s">
        <v>9195</v>
      </c>
      <c r="B2727" s="2" t="s">
        <v>368</v>
      </c>
      <c r="C2727" s="11" t="s">
        <v>2400</v>
      </c>
      <c r="D2727" s="2" t="s">
        <v>30</v>
      </c>
      <c r="E2727" s="2" t="s">
        <v>985</v>
      </c>
      <c r="F2727" s="11" t="s">
        <v>4249</v>
      </c>
      <c r="G2727" s="46" t="s">
        <v>4250</v>
      </c>
      <c r="H2727" s="2" t="s">
        <v>2401</v>
      </c>
      <c r="I2727" s="12" t="s">
        <v>989</v>
      </c>
      <c r="J2727" s="41">
        <f>+Tabla1[[#This Row],[FECHA ENTRADA]]</f>
        <v>45823</v>
      </c>
      <c r="K2727" s="41">
        <v>45843</v>
      </c>
      <c r="L2727" s="42">
        <f>_xlfn.DAYS(Tabla1[[#This Row],[FECHA FIN ]],Tabla1[[#This Row],[FECHA INICIO]])</f>
        <v>20</v>
      </c>
      <c r="M2727" s="12"/>
      <c r="N2727" s="12"/>
      <c r="O2727" s="28">
        <f>(Tabla1[[#This Row],[COSTO FIJO ]]/30)*Tabla1[[#This Row],[TOTAL DIAS PROYECTO]]+(Tabla1[[#This Row],[COSTO TEMPORAL]])</f>
        <v>0</v>
      </c>
      <c r="P2727" s="12"/>
      <c r="Q2727" s="12">
        <f>+(Tabla1[[#This Row],[COSTO COCHE]]/30)*Tabla1[[#This Row],[TOTAL DIAS PROYECTO]]</f>
        <v>0</v>
      </c>
      <c r="R2727" s="12">
        <f>+Tabla1[[#This Row],[COSTO TOTAL ALOJAMIENTO]]+Tabla1[[#This Row],[COSTO TOTAL COCHE]]</f>
        <v>0</v>
      </c>
      <c r="S2727" s="2"/>
      <c r="T2727" s="14" t="s">
        <v>44</v>
      </c>
      <c r="U2727" s="14">
        <v>45823</v>
      </c>
      <c r="V2727" s="43">
        <v>45843</v>
      </c>
      <c r="W2727" s="2"/>
      <c r="X2727" s="2"/>
      <c r="Y2727" s="11"/>
      <c r="Z2727" s="2" t="s">
        <v>36</v>
      </c>
      <c r="AA2727" s="13" t="s">
        <v>10407</v>
      </c>
      <c r="AB2727" s="13" t="s">
        <v>10408</v>
      </c>
    </row>
    <row r="2728" spans="1:28" ht="15" customHeight="1">
      <c r="A2728" s="2" t="s">
        <v>9635</v>
      </c>
      <c r="B2728" s="2" t="s">
        <v>28</v>
      </c>
      <c r="C2728" s="11" t="s">
        <v>4012</v>
      </c>
      <c r="D2728" s="2" t="s">
        <v>30</v>
      </c>
      <c r="E2728" s="2" t="s">
        <v>686</v>
      </c>
      <c r="F2728" s="11" t="s">
        <v>3068</v>
      </c>
      <c r="G2728" s="21" t="s">
        <v>3069</v>
      </c>
      <c r="H2728" s="2" t="s">
        <v>3070</v>
      </c>
      <c r="I2728" s="12" t="s">
        <v>96</v>
      </c>
      <c r="J2728" s="22">
        <f>+Tabla1[[#This Row],[FECHA ENTRADA]]</f>
        <v>45907</v>
      </c>
      <c r="K2728" s="22">
        <v>45931</v>
      </c>
      <c r="L2728" s="23">
        <f>_xlfn.DAYS(Tabla1[[#This Row],[FECHA FIN ]],Tabla1[[#This Row],[FECHA INICIO]])</f>
        <v>24</v>
      </c>
      <c r="M2728" s="12"/>
      <c r="N2728" s="20"/>
      <c r="O2728" s="24">
        <f>(Tabla1[[#This Row],[COSTO FIJO ]]/30)*Tabla1[[#This Row],[TOTAL DIAS PROYECTO]]+(Tabla1[[#This Row],[COSTO TEMPORAL]])</f>
        <v>0</v>
      </c>
      <c r="P2728" s="12"/>
      <c r="Q2728" s="12">
        <f>+(Tabla1[[#This Row],[COSTO COCHE]]/30)*Tabla1[[#This Row],[TOTAL DIAS PROYECTO]]</f>
        <v>0</v>
      </c>
      <c r="R2728" s="12">
        <f>+Tabla1[[#This Row],[COSTO TOTAL ALOJAMIENTO]]+Tabla1[[#This Row],[COSTO TOTAL COCHE]]</f>
        <v>0</v>
      </c>
      <c r="S2728" s="2"/>
      <c r="T2728" s="14" t="s">
        <v>44</v>
      </c>
      <c r="U2728" s="14">
        <v>45907</v>
      </c>
      <c r="V2728" s="25">
        <v>45931</v>
      </c>
      <c r="W2728" s="71"/>
      <c r="X2728" s="2"/>
      <c r="Y2728" s="136" t="s">
        <v>3697</v>
      </c>
      <c r="Z2728" s="2" t="s">
        <v>36</v>
      </c>
      <c r="AA2728" s="13" t="s">
        <v>10393</v>
      </c>
      <c r="AB2728" s="13">
        <v>3834517</v>
      </c>
    </row>
    <row r="2729" spans="1:28" ht="15" customHeight="1">
      <c r="A2729" s="117" t="s">
        <v>9635</v>
      </c>
      <c r="B2729" s="117" t="s">
        <v>711</v>
      </c>
      <c r="C2729" s="118" t="s">
        <v>4012</v>
      </c>
      <c r="D2729" s="117" t="s">
        <v>30</v>
      </c>
      <c r="E2729" s="117" t="s">
        <v>686</v>
      </c>
      <c r="F2729" s="11" t="s">
        <v>3253</v>
      </c>
      <c r="G2729" s="128" t="s">
        <v>3254</v>
      </c>
      <c r="H2729" s="117" t="s">
        <v>3070</v>
      </c>
      <c r="I2729" s="119" t="s">
        <v>96</v>
      </c>
      <c r="J2729" s="121">
        <f>+Tabla1[[#This Row],[FECHA ENTRADA]]</f>
        <v>46010</v>
      </c>
      <c r="K2729" s="121">
        <f ca="1">TODAY()</f>
        <v>46260</v>
      </c>
      <c r="L2729" s="129">
        <f ca="1">_xlfn.DAYS(Tabla1[[#This Row],[FECHA FIN ]],Tabla1[[#This Row],[FECHA INICIO]])</f>
        <v>250</v>
      </c>
      <c r="M2729" s="119">
        <v>387.5</v>
      </c>
      <c r="N2729" s="130"/>
      <c r="O2729" s="131">
        <f ca="1">(Tabla1[[#This Row],[COSTO FIJO ]]/30)*Tabla1[[#This Row],[TOTAL DIAS PROYECTO]]+(Tabla1[[#This Row],[COSTO TEMPORAL]])</f>
        <v>387.5</v>
      </c>
      <c r="P2729" s="119"/>
      <c r="Q2729" s="119">
        <f ca="1">+(Tabla1[[#This Row],[COSTO COCHE]]/30)*Tabla1[[#This Row],[TOTAL DIAS PROYECTO]]</f>
        <v>0</v>
      </c>
      <c r="R2729" s="119">
        <f ca="1">+Tabla1[[#This Row],[COSTO TOTAL ALOJAMIENTO]]+Tabla1[[#This Row],[COSTO TOTAL COCHE]]</f>
        <v>387.5</v>
      </c>
      <c r="S2729" s="117"/>
      <c r="T2729" s="124" t="s">
        <v>44</v>
      </c>
      <c r="U2729" s="124">
        <v>46010</v>
      </c>
      <c r="V2729" s="125">
        <v>46101</v>
      </c>
      <c r="W2729" s="119"/>
      <c r="X2729" s="117">
        <v>1</v>
      </c>
      <c r="Y2729" s="118" t="s">
        <v>3255</v>
      </c>
      <c r="Z2729" s="117" t="s">
        <v>36</v>
      </c>
      <c r="AA2729" s="127" t="s">
        <v>10393</v>
      </c>
      <c r="AB2729" s="127">
        <v>3834517</v>
      </c>
    </row>
    <row r="2730" spans="1:28" ht="15" customHeight="1">
      <c r="A2730" s="117" t="s">
        <v>9635</v>
      </c>
      <c r="B2730" s="117" t="s">
        <v>711</v>
      </c>
      <c r="C2730" s="118" t="s">
        <v>4012</v>
      </c>
      <c r="D2730" s="117" t="s">
        <v>30</v>
      </c>
      <c r="E2730" s="117" t="s">
        <v>686</v>
      </c>
      <c r="F2730" s="11" t="s">
        <v>3257</v>
      </c>
      <c r="G2730" s="128" t="s">
        <v>3258</v>
      </c>
      <c r="H2730" s="117" t="s">
        <v>3070</v>
      </c>
      <c r="I2730" s="119" t="s">
        <v>96</v>
      </c>
      <c r="J2730" s="121">
        <f>+Tabla1[[#This Row],[FECHA ENTRADA]]</f>
        <v>46100</v>
      </c>
      <c r="K2730" s="121">
        <v>46120</v>
      </c>
      <c r="L2730" s="129">
        <f>_xlfn.DAYS(Tabla1[[#This Row],[FECHA FIN ]],Tabla1[[#This Row],[FECHA INICIO]])</f>
        <v>20</v>
      </c>
      <c r="M2730" s="119">
        <f>1622.88/4</f>
        <v>405.72</v>
      </c>
      <c r="N2730" s="130"/>
      <c r="O2730" s="131">
        <f>(Tabla1[[#This Row],[COSTO FIJO ]]/30)*Tabla1[[#This Row],[TOTAL DIAS PROYECTO]]+(Tabla1[[#This Row],[COSTO TEMPORAL]])</f>
        <v>405.72</v>
      </c>
      <c r="P2730" s="119"/>
      <c r="Q2730" s="119">
        <f>+(Tabla1[[#This Row],[COSTO COCHE]]/30)*Tabla1[[#This Row],[TOTAL DIAS PROYECTO]]</f>
        <v>0</v>
      </c>
      <c r="R2730" s="119">
        <f>+Tabla1[[#This Row],[COSTO TOTAL ALOJAMIENTO]]+Tabla1[[#This Row],[COSTO TOTAL COCHE]]</f>
        <v>405.72</v>
      </c>
      <c r="S2730" s="117" t="s">
        <v>403</v>
      </c>
      <c r="T2730" s="124" t="s">
        <v>44</v>
      </c>
      <c r="U2730" s="124">
        <v>46100</v>
      </c>
      <c r="V2730" s="132">
        <v>46121</v>
      </c>
      <c r="W2730" s="119"/>
      <c r="X2730" s="117"/>
      <c r="Y2730" s="118" t="s">
        <v>3259</v>
      </c>
      <c r="Z2730" s="117" t="s">
        <v>36</v>
      </c>
      <c r="AA2730" s="127" t="s">
        <v>10393</v>
      </c>
      <c r="AB2730" s="127">
        <v>3834517</v>
      </c>
    </row>
    <row r="2731" spans="1:28" ht="15" customHeight="1">
      <c r="A2731" s="2" t="s">
        <v>8943</v>
      </c>
      <c r="B2731" s="2" t="s">
        <v>28</v>
      </c>
      <c r="C2731" s="11" t="s">
        <v>1377</v>
      </c>
      <c r="D2731" s="2" t="s">
        <v>99</v>
      </c>
      <c r="E2731" s="2" t="s">
        <v>939</v>
      </c>
      <c r="F2731" s="11" t="s">
        <v>1253</v>
      </c>
      <c r="G2731" s="11" t="s">
        <v>941</v>
      </c>
      <c r="H2731" s="2" t="s">
        <v>2698</v>
      </c>
      <c r="I2731" s="10" t="s">
        <v>943</v>
      </c>
      <c r="J2731" s="22">
        <f>+Tabla1[[#This Row],[FECHA ENTRADA]]</f>
        <v>45760</v>
      </c>
      <c r="K2731" s="22">
        <v>45843</v>
      </c>
      <c r="L2731" s="23">
        <f>_xlfn.DAYS(Tabla1[[#This Row],[FECHA FIN ]],Tabla1[[#This Row],[FECHA INICIO]])</f>
        <v>83</v>
      </c>
      <c r="M2731" s="12"/>
      <c r="N2731" s="12"/>
      <c r="O2731" s="24">
        <f>(Tabla1[[#This Row],[COSTO FIJO ]]/30)*Tabla1[[#This Row],[TOTAL DIAS PROYECTO]]+(Tabla1[[#This Row],[COSTO TEMPORAL]])</f>
        <v>0</v>
      </c>
      <c r="P2731" s="12"/>
      <c r="Q2731" s="12">
        <f>+(Tabla1[[#This Row],[COSTO COCHE]]/30)*Tabla1[[#This Row],[TOTAL DIAS PROYECTO]]</f>
        <v>0</v>
      </c>
      <c r="R2731" s="12">
        <f>+Tabla1[[#This Row],[COSTO TOTAL ALOJAMIENTO]]+Tabla1[[#This Row],[COSTO TOTAL COCHE]]</f>
        <v>0</v>
      </c>
      <c r="S2731" s="2"/>
      <c r="T2731" s="14" t="s">
        <v>35</v>
      </c>
      <c r="U2731" s="14">
        <v>45760</v>
      </c>
      <c r="V2731" s="14"/>
      <c r="W2731" s="26">
        <v>150</v>
      </c>
      <c r="X2731" s="2">
        <v>24</v>
      </c>
      <c r="Y2731" s="11"/>
      <c r="Z2731" s="2" t="s">
        <v>36</v>
      </c>
      <c r="AA2731" s="13" t="s">
        <v>10405</v>
      </c>
      <c r="AB2731" s="13" t="s">
        <v>10406</v>
      </c>
    </row>
    <row r="2732" spans="1:28" ht="15" customHeight="1">
      <c r="A2732" s="2" t="s">
        <v>8832</v>
      </c>
      <c r="B2732" s="2" t="s">
        <v>28</v>
      </c>
      <c r="C2732" s="11" t="s">
        <v>938</v>
      </c>
      <c r="D2732" s="2" t="s">
        <v>99</v>
      </c>
      <c r="E2732" s="2" t="s">
        <v>939</v>
      </c>
      <c r="F2732" s="11" t="s">
        <v>1253</v>
      </c>
      <c r="G2732" s="11" t="s">
        <v>941</v>
      </c>
      <c r="H2732" s="2" t="s">
        <v>2698</v>
      </c>
      <c r="I2732" s="10" t="s">
        <v>943</v>
      </c>
      <c r="J2732" s="22">
        <f>+Tabla1[[#This Row],[FECHA ENTRADA]]</f>
        <v>45760</v>
      </c>
      <c r="K2732" s="22">
        <v>45843</v>
      </c>
      <c r="L2732" s="23">
        <f>_xlfn.DAYS(Tabla1[[#This Row],[FECHA FIN ]],Tabla1[[#This Row],[FECHA INICIO]])</f>
        <v>83</v>
      </c>
      <c r="M2732" s="12"/>
      <c r="N2732" s="12"/>
      <c r="O2732" s="24">
        <f>(Tabla1[[#This Row],[COSTO FIJO ]]/30)*Tabla1[[#This Row],[TOTAL DIAS PROYECTO]]+(Tabla1[[#This Row],[COSTO TEMPORAL]])</f>
        <v>0</v>
      </c>
      <c r="P2732" s="12"/>
      <c r="Q2732" s="12">
        <f>+(Tabla1[[#This Row],[COSTO COCHE]]/30)*Tabla1[[#This Row],[TOTAL DIAS PROYECTO]]</f>
        <v>0</v>
      </c>
      <c r="R2732" s="12">
        <f>+Tabla1[[#This Row],[COSTO TOTAL ALOJAMIENTO]]+Tabla1[[#This Row],[COSTO TOTAL COCHE]]</f>
        <v>0</v>
      </c>
      <c r="S2732" s="2"/>
      <c r="T2732" s="14" t="s">
        <v>35</v>
      </c>
      <c r="U2732" s="14">
        <v>45760</v>
      </c>
      <c r="V2732" s="14"/>
      <c r="W2732" s="26">
        <v>150</v>
      </c>
      <c r="X2732" s="2">
        <v>24</v>
      </c>
      <c r="Y2732" s="11"/>
      <c r="Z2732" s="2" t="s">
        <v>36</v>
      </c>
      <c r="AA2732" s="13" t="s">
        <v>10405</v>
      </c>
      <c r="AB2732" s="13" t="s">
        <v>10406</v>
      </c>
    </row>
    <row r="2733" spans="1:28" ht="15" customHeight="1">
      <c r="A2733" s="117" t="s">
        <v>9635</v>
      </c>
      <c r="B2733" s="117" t="s">
        <v>711</v>
      </c>
      <c r="C2733" s="118" t="s">
        <v>4012</v>
      </c>
      <c r="D2733" s="117" t="s">
        <v>30</v>
      </c>
      <c r="E2733" s="117" t="s">
        <v>686</v>
      </c>
      <c r="F2733" s="11" t="s">
        <v>3268</v>
      </c>
      <c r="G2733" s="128" t="s">
        <v>3269</v>
      </c>
      <c r="H2733" s="117" t="s">
        <v>3070</v>
      </c>
      <c r="I2733" s="119" t="s">
        <v>96</v>
      </c>
      <c r="J2733" s="120">
        <f>+Tabla1[[#This Row],[FECHA ENTRADA]]</f>
        <v>45931</v>
      </c>
      <c r="K2733" s="121">
        <f ca="1">TODAY()</f>
        <v>46260</v>
      </c>
      <c r="L2733" s="122">
        <f ca="1">_xlfn.DAYS(Tabla1[[#This Row],[FECHA FIN ]],Tabla1[[#This Row],[FECHA INICIO]])</f>
        <v>329</v>
      </c>
      <c r="M2733" s="119">
        <f>4606.12/4</f>
        <v>1151.53</v>
      </c>
      <c r="N2733" s="123"/>
      <c r="O2733" s="123">
        <f ca="1">(Tabla1[[#This Row],[COSTO FIJO ]]/30)*Tabla1[[#This Row],[TOTAL DIAS PROYECTO]]+(Tabla1[[#This Row],[COSTO TEMPORAL]])</f>
        <v>1151.53</v>
      </c>
      <c r="P2733" s="119"/>
      <c r="Q2733" s="119">
        <f ca="1">+(Tabla1[[#This Row],[COSTO COCHE]]/30)*Tabla1[[#This Row],[TOTAL DIAS PROYECTO]]</f>
        <v>0</v>
      </c>
      <c r="R2733" s="119">
        <f ca="1">+Tabla1[[#This Row],[COSTO TOTAL ALOJAMIENTO]]+Tabla1[[#This Row],[COSTO TOTAL COCHE]]</f>
        <v>1151.53</v>
      </c>
      <c r="S2733" s="117" t="s">
        <v>84</v>
      </c>
      <c r="T2733" s="124" t="s">
        <v>44</v>
      </c>
      <c r="U2733" s="124">
        <v>45931</v>
      </c>
      <c r="V2733" s="125">
        <v>46010</v>
      </c>
      <c r="W2733" s="126"/>
      <c r="X2733" s="117"/>
      <c r="Y2733" s="118" t="s">
        <v>4252</v>
      </c>
      <c r="Z2733" s="117" t="s">
        <v>36</v>
      </c>
      <c r="AA2733" s="127" t="s">
        <v>10393</v>
      </c>
      <c r="AB2733" s="127">
        <v>3834517</v>
      </c>
    </row>
    <row r="2734" spans="1:28" ht="15" customHeight="1">
      <c r="A2734" s="2" t="s">
        <v>9680</v>
      </c>
      <c r="B2734" s="2" t="s">
        <v>368</v>
      </c>
      <c r="C2734" s="11" t="s">
        <v>4198</v>
      </c>
      <c r="D2734" s="2" t="s">
        <v>99</v>
      </c>
      <c r="E2734" s="2" t="s">
        <v>109</v>
      </c>
      <c r="F2734" s="11" t="s">
        <v>1793</v>
      </c>
      <c r="G2734" s="21">
        <v>973266788</v>
      </c>
      <c r="H2734" s="2" t="s">
        <v>4090</v>
      </c>
      <c r="I2734" s="12" t="s">
        <v>1830</v>
      </c>
      <c r="J2734" s="22">
        <f>+Tabla1[[#This Row],[FECHA ENTRADA]]</f>
        <v>45795</v>
      </c>
      <c r="K2734" s="22">
        <v>45803</v>
      </c>
      <c r="L2734" s="23">
        <f>_xlfn.DAYS(Tabla1[[#This Row],[FECHA FIN ]],Tabla1[[#This Row],[FECHA INICIO]])</f>
        <v>8</v>
      </c>
      <c r="M2734" s="12"/>
      <c r="N2734" s="24"/>
      <c r="O2734" s="24">
        <f>(Tabla1[[#This Row],[COSTO FIJO ]]/30)*Tabla1[[#This Row],[TOTAL DIAS PROYECTO]]+(Tabla1[[#This Row],[COSTO TEMPORAL]])</f>
        <v>0</v>
      </c>
      <c r="P2734" s="12"/>
      <c r="Q2734" s="12">
        <f>+(Tabla1[[#This Row],[COSTO COCHE]]/30)*Tabla1[[#This Row],[TOTAL DIAS PROYECTO]]</f>
        <v>0</v>
      </c>
      <c r="R2734" s="12">
        <f>+Tabla1[[#This Row],[COSTO TOTAL ALOJAMIENTO]]+Tabla1[[#This Row],[COSTO TOTAL COCHE]]</f>
        <v>0</v>
      </c>
      <c r="S2734" s="2"/>
      <c r="T2734" s="2" t="s">
        <v>44</v>
      </c>
      <c r="U2734" s="14">
        <v>45795</v>
      </c>
      <c r="V2734" s="79">
        <v>45804</v>
      </c>
      <c r="W2734" s="2"/>
      <c r="X2734" s="2"/>
      <c r="Y2734" s="11" t="s">
        <v>4253</v>
      </c>
      <c r="Z2734" s="2" t="s">
        <v>36</v>
      </c>
      <c r="AA2734" s="13">
        <v>0.62217999999999996</v>
      </c>
      <c r="AB2734" s="13" t="s">
        <v>10339</v>
      </c>
    </row>
    <row r="2735" spans="1:28" ht="15" customHeight="1">
      <c r="A2735" s="2" t="s">
        <v>9312</v>
      </c>
      <c r="B2735" s="2" t="s">
        <v>978</v>
      </c>
      <c r="C2735" s="11" t="s">
        <v>2786</v>
      </c>
      <c r="D2735" s="2" t="s">
        <v>30</v>
      </c>
      <c r="E2735" s="2" t="s">
        <v>31</v>
      </c>
      <c r="F2735" s="11" t="s">
        <v>1004</v>
      </c>
      <c r="G2735" s="51" t="s">
        <v>1005</v>
      </c>
      <c r="H2735" s="2" t="s">
        <v>1556</v>
      </c>
      <c r="I2735" s="12" t="s">
        <v>1540</v>
      </c>
      <c r="J2735" s="41">
        <f>+Tabla1[[#This Row],[FECHA ENTRADA]]</f>
        <v>45819</v>
      </c>
      <c r="K2735" s="41">
        <v>45873</v>
      </c>
      <c r="L2735" s="42">
        <f>_xlfn.DAYS(Tabla1[[#This Row],[FECHA FIN ]],Tabla1[[#This Row],[FECHA INICIO]])</f>
        <v>54</v>
      </c>
      <c r="M2735" s="12"/>
      <c r="N2735" s="28">
        <v>400</v>
      </c>
      <c r="O2735" s="28">
        <f>(Tabla1[[#This Row],[COSTO FIJO ]]/30)*Tabla1[[#This Row],[TOTAL DIAS PROYECTO]]+(Tabla1[[#This Row],[COSTO TEMPORAL]])</f>
        <v>720</v>
      </c>
      <c r="P2735" s="12"/>
      <c r="Q2735" s="12">
        <f>+(Tabla1[[#This Row],[COSTO COCHE]]/30)*Tabla1[[#This Row],[TOTAL DIAS PROYECTO]]</f>
        <v>0</v>
      </c>
      <c r="R2735" s="12">
        <f>+Tabla1[[#This Row],[COSTO TOTAL ALOJAMIENTO]]+Tabla1[[#This Row],[COSTO TOTAL COCHE]]</f>
        <v>720</v>
      </c>
      <c r="S2735" s="2"/>
      <c r="T2735" s="2" t="s">
        <v>35</v>
      </c>
      <c r="U2735" s="14">
        <v>45819</v>
      </c>
      <c r="V2735" s="43"/>
      <c r="W2735" s="2"/>
      <c r="X2735" s="2">
        <v>1</v>
      </c>
      <c r="Y2735" s="11"/>
      <c r="Z2735" s="2" t="s">
        <v>36</v>
      </c>
      <c r="AA2735" s="13" t="s">
        <v>10323</v>
      </c>
      <c r="AB2735" s="13" t="s">
        <v>10324</v>
      </c>
    </row>
    <row r="2736" spans="1:28" ht="15" customHeight="1">
      <c r="A2736" s="2" t="s">
        <v>8638</v>
      </c>
      <c r="B2736" s="10" t="s">
        <v>978</v>
      </c>
      <c r="C2736" s="11" t="s">
        <v>2140</v>
      </c>
      <c r="D2736" s="2" t="s">
        <v>30</v>
      </c>
      <c r="E2736" s="2" t="s">
        <v>1393</v>
      </c>
      <c r="F2736" s="11" t="s">
        <v>4254</v>
      </c>
      <c r="G2736" s="46">
        <v>943047277</v>
      </c>
      <c r="H2736" s="2" t="s">
        <v>3970</v>
      </c>
      <c r="I2736" s="12" t="s">
        <v>4255</v>
      </c>
      <c r="J2736" s="41">
        <f>+Tabla1[[#This Row],[FECHA ENTRADA]]</f>
        <v>45832</v>
      </c>
      <c r="K2736" s="41">
        <v>45845</v>
      </c>
      <c r="L2736" s="42">
        <f>_xlfn.DAYS(Tabla1[[#This Row],[FECHA FIN ]],Tabla1[[#This Row],[FECHA INICIO]])</f>
        <v>13</v>
      </c>
      <c r="M2736" s="12"/>
      <c r="N2736" s="12"/>
      <c r="O2736" s="28">
        <f>(Tabla1[[#This Row],[COSTO FIJO ]]/30)*Tabla1[[#This Row],[TOTAL DIAS PROYECTO]]+(Tabla1[[#This Row],[COSTO TEMPORAL]])</f>
        <v>0</v>
      </c>
      <c r="P2736" s="12"/>
      <c r="Q2736" s="12">
        <f>+(Tabla1[[#This Row],[COSTO COCHE]]/30)*Tabla1[[#This Row],[TOTAL DIAS PROYECTO]]</f>
        <v>0</v>
      </c>
      <c r="R2736" s="12">
        <f>+Tabla1[[#This Row],[COSTO TOTAL ALOJAMIENTO]]+Tabla1[[#This Row],[COSTO TOTAL COCHE]]</f>
        <v>0</v>
      </c>
      <c r="S2736" s="2"/>
      <c r="T2736" s="14" t="s">
        <v>44</v>
      </c>
      <c r="U2736" s="14">
        <v>45832</v>
      </c>
      <c r="V2736" s="43">
        <v>45845</v>
      </c>
      <c r="W2736" s="12"/>
      <c r="X2736" s="2"/>
      <c r="Y2736" s="11"/>
      <c r="Z2736" s="2" t="s">
        <v>36</v>
      </c>
      <c r="AA2736" s="13" t="s">
        <v>10416</v>
      </c>
      <c r="AB2736" s="13" t="s">
        <v>10417</v>
      </c>
    </row>
    <row r="2737" spans="1:28" ht="15" customHeight="1">
      <c r="A2737" s="2" t="s">
        <v>9488</v>
      </c>
      <c r="B2737" s="10" t="s">
        <v>978</v>
      </c>
      <c r="C2737" s="11" t="s">
        <v>3358</v>
      </c>
      <c r="D2737" s="2" t="s">
        <v>30</v>
      </c>
      <c r="E2737" s="2" t="s">
        <v>1393</v>
      </c>
      <c r="F2737" s="11" t="s">
        <v>4254</v>
      </c>
      <c r="G2737" s="46">
        <v>943047277</v>
      </c>
      <c r="H2737" s="2" t="s">
        <v>3970</v>
      </c>
      <c r="I2737" s="12" t="s">
        <v>4255</v>
      </c>
      <c r="J2737" s="41">
        <f>+Tabla1[[#This Row],[FECHA ENTRADA]]</f>
        <v>45832</v>
      </c>
      <c r="K2737" s="41">
        <v>45845</v>
      </c>
      <c r="L2737" s="42">
        <f>_xlfn.DAYS(Tabla1[[#This Row],[FECHA FIN ]],Tabla1[[#This Row],[FECHA INICIO]])</f>
        <v>13</v>
      </c>
      <c r="M2737" s="12"/>
      <c r="N2737" s="12"/>
      <c r="O2737" s="28">
        <f>(Tabla1[[#This Row],[COSTO FIJO ]]/30)*Tabla1[[#This Row],[TOTAL DIAS PROYECTO]]+(Tabla1[[#This Row],[COSTO TEMPORAL]])</f>
        <v>0</v>
      </c>
      <c r="P2737" s="12"/>
      <c r="Q2737" s="12">
        <f>+(Tabla1[[#This Row],[COSTO COCHE]]/30)*Tabla1[[#This Row],[TOTAL DIAS PROYECTO]]</f>
        <v>0</v>
      </c>
      <c r="R2737" s="12">
        <f>+Tabla1[[#This Row],[COSTO TOTAL ALOJAMIENTO]]+Tabla1[[#This Row],[COSTO TOTAL COCHE]]</f>
        <v>0</v>
      </c>
      <c r="S2737" s="2"/>
      <c r="T2737" s="14" t="s">
        <v>44</v>
      </c>
      <c r="U2737" s="14">
        <v>45832</v>
      </c>
      <c r="V2737" s="43">
        <v>45845</v>
      </c>
      <c r="W2737" s="12"/>
      <c r="X2737" s="2"/>
      <c r="Y2737" s="11"/>
      <c r="Z2737" s="2" t="s">
        <v>36</v>
      </c>
      <c r="AA2737" s="13" t="s">
        <v>10416</v>
      </c>
      <c r="AB2737" s="13" t="s">
        <v>10417</v>
      </c>
    </row>
    <row r="2738" spans="1:28" ht="15" customHeight="1">
      <c r="A2738" s="2" t="s">
        <v>9485</v>
      </c>
      <c r="B2738" s="10" t="s">
        <v>978</v>
      </c>
      <c r="C2738" s="11" t="s">
        <v>3352</v>
      </c>
      <c r="D2738" s="2" t="s">
        <v>30</v>
      </c>
      <c r="E2738" s="2" t="s">
        <v>1393</v>
      </c>
      <c r="F2738" s="11" t="s">
        <v>4254</v>
      </c>
      <c r="G2738" s="46">
        <v>943047277</v>
      </c>
      <c r="H2738" s="2" t="s">
        <v>3970</v>
      </c>
      <c r="I2738" s="12" t="s">
        <v>4255</v>
      </c>
      <c r="J2738" s="41">
        <f>+Tabla1[[#This Row],[FECHA ENTRADA]]</f>
        <v>45832</v>
      </c>
      <c r="K2738" s="41">
        <v>45845</v>
      </c>
      <c r="L2738" s="42">
        <f>_xlfn.DAYS(Tabla1[[#This Row],[FECHA FIN ]],Tabla1[[#This Row],[FECHA INICIO]])</f>
        <v>13</v>
      </c>
      <c r="M2738" s="12"/>
      <c r="N2738" s="12"/>
      <c r="O2738" s="28">
        <f>(Tabla1[[#This Row],[COSTO FIJO ]]/30)*Tabla1[[#This Row],[TOTAL DIAS PROYECTO]]+(Tabla1[[#This Row],[COSTO TEMPORAL]])</f>
        <v>0</v>
      </c>
      <c r="P2738" s="12"/>
      <c r="Q2738" s="12">
        <f>+(Tabla1[[#This Row],[COSTO COCHE]]/30)*Tabla1[[#This Row],[TOTAL DIAS PROYECTO]]</f>
        <v>0</v>
      </c>
      <c r="R2738" s="12">
        <f>+Tabla1[[#This Row],[COSTO TOTAL ALOJAMIENTO]]+Tabla1[[#This Row],[COSTO TOTAL COCHE]]</f>
        <v>0</v>
      </c>
      <c r="S2738" s="2"/>
      <c r="T2738" s="14" t="s">
        <v>44</v>
      </c>
      <c r="U2738" s="14">
        <v>45832</v>
      </c>
      <c r="V2738" s="43">
        <v>45845</v>
      </c>
      <c r="W2738" s="12"/>
      <c r="X2738" s="2"/>
      <c r="Y2738" s="11"/>
      <c r="Z2738" s="2" t="s">
        <v>36</v>
      </c>
      <c r="AA2738" s="13" t="s">
        <v>10416</v>
      </c>
      <c r="AB2738" s="13" t="s">
        <v>10417</v>
      </c>
    </row>
    <row r="2739" spans="1:28" ht="15" customHeight="1">
      <c r="A2739" s="2" t="s">
        <v>9691</v>
      </c>
      <c r="B2739" s="2" t="s">
        <v>28</v>
      </c>
      <c r="C2739" s="11" t="s">
        <v>4256</v>
      </c>
      <c r="D2739" s="2" t="s">
        <v>30</v>
      </c>
      <c r="E2739" s="2" t="s">
        <v>127</v>
      </c>
      <c r="F2739" s="11" t="s">
        <v>820</v>
      </c>
      <c r="G2739" s="21" t="s">
        <v>1234</v>
      </c>
      <c r="H2739" s="2" t="s">
        <v>4257</v>
      </c>
      <c r="I2739" s="10" t="s">
        <v>753</v>
      </c>
      <c r="J2739" s="22">
        <f>+Tabla1[[#This Row],[FECHA ENTRADA]]</f>
        <v>45768</v>
      </c>
      <c r="K2739" s="22">
        <v>45821</v>
      </c>
      <c r="L2739" s="23">
        <f>_xlfn.DAYS(Tabla1[[#This Row],[FECHA FIN ]],Tabla1[[#This Row],[FECHA INICIO]])</f>
        <v>53</v>
      </c>
      <c r="M2739" s="12"/>
      <c r="N2739" s="12"/>
      <c r="O2739" s="24">
        <f>(Tabla1[[#This Row],[COSTO FIJO ]]/30)*Tabla1[[#This Row],[TOTAL DIAS PROYECTO]]+(Tabla1[[#This Row],[COSTO TEMPORAL]])</f>
        <v>0</v>
      </c>
      <c r="P2739" s="12"/>
      <c r="Q2739" s="12">
        <f>+(Tabla1[[#This Row],[COSTO COCHE]]/30)*Tabla1[[#This Row],[TOTAL DIAS PROYECTO]]</f>
        <v>0</v>
      </c>
      <c r="R2739" s="12">
        <f>+Tabla1[[#This Row],[COSTO TOTAL ALOJAMIENTO]]+Tabla1[[#This Row],[COSTO TOTAL COCHE]]</f>
        <v>0</v>
      </c>
      <c r="S2739" s="2"/>
      <c r="T2739" s="2" t="s">
        <v>44</v>
      </c>
      <c r="U2739" s="14">
        <v>45768</v>
      </c>
      <c r="V2739" s="25">
        <v>45773</v>
      </c>
      <c r="W2739" s="26"/>
      <c r="X2739" s="2"/>
      <c r="Y2739" s="11"/>
      <c r="Z2739" s="2" t="s">
        <v>36</v>
      </c>
      <c r="AA2739" s="13" t="s">
        <v>10342</v>
      </c>
      <c r="AB2739" s="13" t="s">
        <v>10343</v>
      </c>
    </row>
    <row r="2740" spans="1:28" ht="15" customHeight="1">
      <c r="A2740" s="2" t="s">
        <v>9509</v>
      </c>
      <c r="B2740" s="2" t="s">
        <v>28</v>
      </c>
      <c r="C2740" s="11" t="s">
        <v>3467</v>
      </c>
      <c r="D2740" s="2" t="s">
        <v>30</v>
      </c>
      <c r="E2740" s="2" t="s">
        <v>127</v>
      </c>
      <c r="F2740" s="11" t="s">
        <v>820</v>
      </c>
      <c r="G2740" s="21" t="s">
        <v>1234</v>
      </c>
      <c r="H2740" s="2" t="s">
        <v>4257</v>
      </c>
      <c r="I2740" s="10" t="s">
        <v>753</v>
      </c>
      <c r="J2740" s="22">
        <f>+Tabla1[[#This Row],[FECHA ENTRADA]]</f>
        <v>45768</v>
      </c>
      <c r="K2740" s="22">
        <v>45821</v>
      </c>
      <c r="L2740" s="23">
        <f>_xlfn.DAYS(Tabla1[[#This Row],[FECHA FIN ]],Tabla1[[#This Row],[FECHA INICIO]])</f>
        <v>53</v>
      </c>
      <c r="M2740" s="12"/>
      <c r="N2740" s="12">
        <v>99</v>
      </c>
      <c r="O2740" s="24">
        <f>(Tabla1[[#This Row],[COSTO FIJO ]]/30)*Tabla1[[#This Row],[TOTAL DIAS PROYECTO]]+(Tabla1[[#This Row],[COSTO TEMPORAL]])</f>
        <v>174.89999999999998</v>
      </c>
      <c r="P2740" s="12"/>
      <c r="Q2740" s="12">
        <f>+(Tabla1[[#This Row],[COSTO COCHE]]/30)*Tabla1[[#This Row],[TOTAL DIAS PROYECTO]]</f>
        <v>0</v>
      </c>
      <c r="R2740" s="12">
        <f>+Tabla1[[#This Row],[COSTO TOTAL ALOJAMIENTO]]+Tabla1[[#This Row],[COSTO TOTAL COCHE]]</f>
        <v>174.89999999999998</v>
      </c>
      <c r="S2740" s="2"/>
      <c r="T2740" s="2" t="s">
        <v>44</v>
      </c>
      <c r="U2740" s="14">
        <v>45768</v>
      </c>
      <c r="V2740" s="25">
        <v>45773</v>
      </c>
      <c r="W2740" s="26"/>
      <c r="X2740" s="2"/>
      <c r="Y2740" s="11"/>
      <c r="Z2740" s="2" t="s">
        <v>36</v>
      </c>
      <c r="AA2740" s="13" t="s">
        <v>10342</v>
      </c>
      <c r="AB2740" s="13" t="s">
        <v>10343</v>
      </c>
    </row>
    <row r="2741" spans="1:28" ht="15" customHeight="1">
      <c r="A2741" s="2" t="s">
        <v>9509</v>
      </c>
      <c r="B2741" s="2" t="s">
        <v>28</v>
      </c>
      <c r="C2741" s="11" t="s">
        <v>3467</v>
      </c>
      <c r="D2741" s="2" t="s">
        <v>749</v>
      </c>
      <c r="E2741" s="2" t="s">
        <v>288</v>
      </c>
      <c r="F2741" s="11" t="s">
        <v>4258</v>
      </c>
      <c r="G2741" t="s">
        <v>1031</v>
      </c>
      <c r="H2741" s="2" t="s">
        <v>4257</v>
      </c>
      <c r="I2741" s="10" t="s">
        <v>753</v>
      </c>
      <c r="J2741" s="41">
        <f>+Tabla1[[#This Row],[FECHA ENTRADA]]</f>
        <v>45773</v>
      </c>
      <c r="K2741" s="22">
        <v>45821</v>
      </c>
      <c r="L2741" s="23">
        <f>_xlfn.DAYS(Tabla1[[#This Row],[FECHA FIN ]],Tabla1[[#This Row],[FECHA INICIO]])</f>
        <v>48</v>
      </c>
      <c r="M2741" s="12"/>
      <c r="N2741" s="12"/>
      <c r="O2741" s="28">
        <f>(Tabla1[[#This Row],[COSTO FIJO ]]/30)*Tabla1[[#This Row],[TOTAL DIAS PROYECTO]]+(Tabla1[[#This Row],[COSTO TEMPORAL]])</f>
        <v>0</v>
      </c>
      <c r="P2741" s="12"/>
      <c r="Q2741" s="12">
        <f>+(Tabla1[[#This Row],[COSTO COCHE]]/30)*Tabla1[[#This Row],[TOTAL DIAS PROYECTO]]</f>
        <v>0</v>
      </c>
      <c r="R2741" s="12">
        <f>+Tabla1[[#This Row],[COSTO TOTAL ALOJAMIENTO]]+Tabla1[[#This Row],[COSTO TOTAL COCHE]]</f>
        <v>0</v>
      </c>
      <c r="S2741" s="2"/>
      <c r="T2741" s="2" t="s">
        <v>44</v>
      </c>
      <c r="U2741" s="14">
        <v>45773</v>
      </c>
      <c r="V2741" s="25">
        <v>45803</v>
      </c>
      <c r="W2741" s="26"/>
      <c r="X2741" s="2"/>
      <c r="Y2741" s="11"/>
      <c r="Z2741" s="2" t="s">
        <v>36</v>
      </c>
      <c r="AA2741" s="13" t="s">
        <v>10362</v>
      </c>
      <c r="AB2741" s="13" t="s">
        <v>10363</v>
      </c>
    </row>
    <row r="2742" spans="1:28" ht="15" customHeight="1">
      <c r="A2742" s="2" t="s">
        <v>9214</v>
      </c>
      <c r="B2742" s="2" t="s">
        <v>368</v>
      </c>
      <c r="C2742" s="31" t="s">
        <v>2467</v>
      </c>
      <c r="D2742" s="2" t="s">
        <v>30</v>
      </c>
      <c r="E2742" s="2" t="s">
        <v>626</v>
      </c>
      <c r="F2742" s="11" t="s">
        <v>1964</v>
      </c>
      <c r="G2742" s="146" t="s">
        <v>1409</v>
      </c>
      <c r="H2742" s="2" t="s">
        <v>4259</v>
      </c>
      <c r="I2742" s="12" t="s">
        <v>630</v>
      </c>
      <c r="J2742" s="41">
        <f>+Tabla1[[#This Row],[FECHA ENTRADA]]</f>
        <v>45824</v>
      </c>
      <c r="K2742" s="22">
        <v>45845</v>
      </c>
      <c r="L2742" s="42">
        <f>_xlfn.DAYS(Tabla1[[#This Row],[FECHA FIN ]],Tabla1[[#This Row],[FECHA INICIO]])</f>
        <v>21</v>
      </c>
      <c r="M2742" s="12"/>
      <c r="N2742" s="28">
        <v>400</v>
      </c>
      <c r="O2742" s="28">
        <f>(Tabla1[[#This Row],[COSTO FIJO ]]/30)*Tabla1[[#This Row],[TOTAL DIAS PROYECTO]]+(Tabla1[[#This Row],[COSTO TEMPORAL]])</f>
        <v>280</v>
      </c>
      <c r="P2742" s="12"/>
      <c r="Q2742" s="12">
        <f>+(Tabla1[[#This Row],[COSTO COCHE]]/30)*Tabla1[[#This Row],[TOTAL DIAS PROYECTO]]</f>
        <v>0</v>
      </c>
      <c r="R2742" s="12">
        <f>+Tabla1[[#This Row],[COSTO TOTAL ALOJAMIENTO]]+Tabla1[[#This Row],[COSTO TOTAL COCHE]]</f>
        <v>280</v>
      </c>
      <c r="S2742" s="2"/>
      <c r="T2742" s="14" t="s">
        <v>35</v>
      </c>
      <c r="U2742" s="14">
        <v>45824</v>
      </c>
      <c r="V2742" s="43"/>
      <c r="W2742" s="2"/>
      <c r="X2742" s="2">
        <v>5</v>
      </c>
      <c r="Y2742" s="11"/>
      <c r="Z2742" s="2" t="s">
        <v>36</v>
      </c>
      <c r="AA2742" s="13" t="s">
        <v>10385</v>
      </c>
      <c r="AB2742" s="13" t="s">
        <v>10386</v>
      </c>
    </row>
    <row r="2743" spans="1:28" ht="15" customHeight="1">
      <c r="A2743" s="2" t="s">
        <v>9343</v>
      </c>
      <c r="B2743" s="2" t="s">
        <v>28</v>
      </c>
      <c r="C2743" s="11" t="s">
        <v>2875</v>
      </c>
      <c r="D2743" s="2" t="s">
        <v>30</v>
      </c>
      <c r="E2743" s="2" t="s">
        <v>380</v>
      </c>
      <c r="F2743" s="11" t="s">
        <v>4260</v>
      </c>
      <c r="G2743" s="49">
        <v>34622137317</v>
      </c>
      <c r="H2743" s="2" t="s">
        <v>4261</v>
      </c>
      <c r="I2743" s="12" t="s">
        <v>4262</v>
      </c>
      <c r="J2743" s="22">
        <f>+Tabla1[[#This Row],[FECHA ENTRADA]]</f>
        <v>45683</v>
      </c>
      <c r="K2743" s="22">
        <v>45821</v>
      </c>
      <c r="L2743" s="23">
        <f>_xlfn.DAYS(Tabla1[[#This Row],[FECHA FIN ]],Tabla1[[#This Row],[FECHA INICIO]])</f>
        <v>138</v>
      </c>
      <c r="M2743" s="12"/>
      <c r="N2743" s="12">
        <f>1811.6/17</f>
        <v>106.56470588235294</v>
      </c>
      <c r="O2743" s="24">
        <f>(Tabla1[[#This Row],[COSTO FIJO ]]/30)*Tabla1[[#This Row],[TOTAL DIAS PROYECTO]]+(Tabla1[[#This Row],[COSTO TEMPORAL]])</f>
        <v>490.19764705882352</v>
      </c>
      <c r="P2743" s="12"/>
      <c r="Q2743" s="12">
        <f>+(Tabla1[[#This Row],[COSTO COCHE]]/30)*Tabla1[[#This Row],[TOTAL DIAS PROYECTO]]</f>
        <v>0</v>
      </c>
      <c r="R2743" s="12">
        <f>+Tabla1[[#This Row],[COSTO TOTAL ALOJAMIENTO]]+Tabla1[[#This Row],[COSTO TOTAL COCHE]]</f>
        <v>490.19764705882352</v>
      </c>
      <c r="S2743" s="2"/>
      <c r="T2743" s="2" t="s">
        <v>44</v>
      </c>
      <c r="U2743" s="14">
        <v>45683</v>
      </c>
      <c r="V2743" s="25">
        <v>45684</v>
      </c>
      <c r="W2743" s="26"/>
      <c r="X2743" s="2"/>
      <c r="Y2743" s="11"/>
      <c r="Z2743" s="2" t="s">
        <v>36</v>
      </c>
      <c r="AA2743" s="13" t="s">
        <v>10370</v>
      </c>
      <c r="AB2743" s="13" t="s">
        <v>10371</v>
      </c>
    </row>
    <row r="2744" spans="1:28" ht="15" customHeight="1">
      <c r="A2744" s="117" t="s">
        <v>9635</v>
      </c>
      <c r="B2744" s="117" t="s">
        <v>711</v>
      </c>
      <c r="C2744" s="118" t="s">
        <v>4012</v>
      </c>
      <c r="D2744" s="117" t="s">
        <v>30</v>
      </c>
      <c r="E2744" s="117" t="s">
        <v>686</v>
      </c>
      <c r="F2744" s="11" t="s">
        <v>3068</v>
      </c>
      <c r="G2744" s="128" t="s">
        <v>3312</v>
      </c>
      <c r="H2744" s="117" t="s">
        <v>3070</v>
      </c>
      <c r="I2744" s="119" t="s">
        <v>96</v>
      </c>
      <c r="J2744" s="121">
        <f>+Tabla1[[#This Row],[FECHA ENTRADA]]</f>
        <v>46120</v>
      </c>
      <c r="K2744" s="121">
        <v>46139</v>
      </c>
      <c r="L2744" s="129">
        <f>_xlfn.DAYS(Tabla1[[#This Row],[FECHA FIN ]],Tabla1[[#This Row],[FECHA INICIO]])</f>
        <v>19</v>
      </c>
      <c r="M2744" s="119">
        <f>1122.6/4</f>
        <v>280.64999999999998</v>
      </c>
      <c r="N2744" s="130"/>
      <c r="O2744" s="131">
        <f>(Tabla1[[#This Row],[COSTO FIJO ]]/30)*Tabla1[[#This Row],[TOTAL DIAS PROYECTO]]+(Tabla1[[#This Row],[COSTO TEMPORAL]])</f>
        <v>280.64999999999998</v>
      </c>
      <c r="P2744" s="119"/>
      <c r="Q2744" s="119">
        <f>+(Tabla1[[#This Row],[COSTO COCHE]]/30)*Tabla1[[#This Row],[TOTAL DIAS PROYECTO]]</f>
        <v>0</v>
      </c>
      <c r="R2744" s="119">
        <f>+Tabla1[[#This Row],[COSTO TOTAL ALOJAMIENTO]]+Tabla1[[#This Row],[COSTO TOTAL COCHE]]</f>
        <v>280.64999999999998</v>
      </c>
      <c r="S2744" s="117"/>
      <c r="T2744" s="124" t="s">
        <v>44</v>
      </c>
      <c r="U2744" s="124">
        <v>46120</v>
      </c>
      <c r="V2744" s="125">
        <v>46140</v>
      </c>
      <c r="W2744" s="119"/>
      <c r="X2744" s="117"/>
      <c r="Y2744" s="118" t="s">
        <v>3313</v>
      </c>
      <c r="Z2744" s="117" t="s">
        <v>36</v>
      </c>
      <c r="AA2744" s="127" t="s">
        <v>10393</v>
      </c>
      <c r="AB2744" s="127">
        <v>3834517</v>
      </c>
    </row>
    <row r="2745" spans="1:28" ht="15" customHeight="1">
      <c r="A2745" s="2" t="s">
        <v>9635</v>
      </c>
      <c r="B2745" s="2" t="s">
        <v>711</v>
      </c>
      <c r="C2745" s="118" t="s">
        <v>4012</v>
      </c>
      <c r="D2745" s="2" t="s">
        <v>30</v>
      </c>
      <c r="E2745" s="2" t="s">
        <v>686</v>
      </c>
      <c r="F2745" s="11" t="s">
        <v>3316</v>
      </c>
      <c r="G2745" s="21" t="s">
        <v>3317</v>
      </c>
      <c r="H2745" s="2" t="s">
        <v>3070</v>
      </c>
      <c r="I2745" s="12" t="s">
        <v>96</v>
      </c>
      <c r="J2745" s="41">
        <f>+Tabla1[[#This Row],[FECHA ENTRADA]]</f>
        <v>46139</v>
      </c>
      <c r="K2745" s="22">
        <v>46169</v>
      </c>
      <c r="L2745" s="42">
        <f>_xlfn.DAYS(Tabla1[[#This Row],[FECHA FIN ]],Tabla1[[#This Row],[FECHA INICIO]])</f>
        <v>30</v>
      </c>
      <c r="M2745" s="12">
        <f>2093.04/4</f>
        <v>523.26</v>
      </c>
      <c r="N2745" s="28"/>
      <c r="O2745" s="28">
        <f>(Tabla1[[#This Row],[COSTO FIJO ]]/30)*Tabla1[[#This Row],[TOTAL DIAS PROYECTO]]+(Tabla1[[#This Row],[COSTO TEMPORAL]])</f>
        <v>523.26</v>
      </c>
      <c r="P2745" s="12"/>
      <c r="Q2745" s="12">
        <f>+(Tabla1[[#This Row],[COSTO COCHE]]/30)*Tabla1[[#This Row],[TOTAL DIAS PROYECTO]]</f>
        <v>0</v>
      </c>
      <c r="R2745" s="12">
        <f>+Tabla1[[#This Row],[COSTO TOTAL ALOJAMIENTO]]+Tabla1[[#This Row],[COSTO TOTAL COCHE]]</f>
        <v>523.26</v>
      </c>
      <c r="S2745" s="2" t="s">
        <v>84</v>
      </c>
      <c r="T2745" s="14" t="s">
        <v>44</v>
      </c>
      <c r="U2745" s="14">
        <v>46139</v>
      </c>
      <c r="V2745" s="43">
        <v>46170</v>
      </c>
      <c r="W2745" s="12"/>
      <c r="X2745" s="2"/>
      <c r="Y2745" s="11" t="s">
        <v>3318</v>
      </c>
      <c r="Z2745" s="2" t="s">
        <v>36</v>
      </c>
      <c r="AA2745" s="13" t="s">
        <v>10393</v>
      </c>
      <c r="AB2745" s="13">
        <v>3834517</v>
      </c>
    </row>
    <row r="2746" spans="1:28" ht="15" customHeight="1">
      <c r="A2746" s="2" t="s">
        <v>9691</v>
      </c>
      <c r="B2746" s="2" t="s">
        <v>28</v>
      </c>
      <c r="C2746" s="11" t="s">
        <v>4256</v>
      </c>
      <c r="D2746" s="2" t="s">
        <v>749</v>
      </c>
      <c r="E2746" s="2" t="s">
        <v>288</v>
      </c>
      <c r="F2746" s="11" t="s">
        <v>928</v>
      </c>
      <c r="G2746" t="s">
        <v>1031</v>
      </c>
      <c r="H2746" s="2" t="s">
        <v>4257</v>
      </c>
      <c r="I2746" s="10" t="s">
        <v>753</v>
      </c>
      <c r="J2746" s="41">
        <f>+Tabla1[[#This Row],[FECHA ENTRADA]]</f>
        <v>45773</v>
      </c>
      <c r="K2746" s="8">
        <v>45845</v>
      </c>
      <c r="L2746" s="23">
        <f>_xlfn.DAYS(Tabla1[[#This Row],[FECHA FIN ]],Tabla1[[#This Row],[FECHA INICIO]])</f>
        <v>72</v>
      </c>
      <c r="M2746" s="12"/>
      <c r="N2746" s="12"/>
      <c r="O2746" s="28">
        <f>(Tabla1[[#This Row],[COSTO FIJO ]]/30)*Tabla1[[#This Row],[TOTAL DIAS PROYECTO]]+(Tabla1[[#This Row],[COSTO TEMPORAL]])</f>
        <v>0</v>
      </c>
      <c r="P2746" s="12"/>
      <c r="Q2746" s="12">
        <f>+(Tabla1[[#This Row],[COSTO COCHE]]/30)*Tabla1[[#This Row],[TOTAL DIAS PROYECTO]]</f>
        <v>0</v>
      </c>
      <c r="R2746" s="12">
        <f>+Tabla1[[#This Row],[COSTO TOTAL ALOJAMIENTO]]+Tabla1[[#This Row],[COSTO TOTAL COCHE]]</f>
        <v>0</v>
      </c>
      <c r="S2746" s="2"/>
      <c r="T2746" s="2" t="s">
        <v>44</v>
      </c>
      <c r="U2746" s="14">
        <v>45773</v>
      </c>
      <c r="V2746" s="25">
        <v>45803</v>
      </c>
      <c r="W2746" s="26"/>
      <c r="X2746" s="2"/>
      <c r="Y2746" s="11" t="s">
        <v>4263</v>
      </c>
      <c r="Z2746" s="2" t="s">
        <v>36</v>
      </c>
      <c r="AA2746" s="13" t="s">
        <v>10362</v>
      </c>
      <c r="AB2746" s="13" t="s">
        <v>10363</v>
      </c>
    </row>
    <row r="2747" spans="1:28" ht="15" customHeight="1">
      <c r="A2747" s="2" t="s">
        <v>8642</v>
      </c>
      <c r="B2747" s="2" t="s">
        <v>28</v>
      </c>
      <c r="C2747" s="11" t="s">
        <v>1810</v>
      </c>
      <c r="D2747" s="2" t="s">
        <v>749</v>
      </c>
      <c r="E2747" s="2" t="s">
        <v>288</v>
      </c>
      <c r="F2747" s="11" t="s">
        <v>928</v>
      </c>
      <c r="G2747" t="s">
        <v>1031</v>
      </c>
      <c r="H2747" s="2" t="s">
        <v>4257</v>
      </c>
      <c r="I2747" s="29" t="s">
        <v>753</v>
      </c>
      <c r="J2747" s="41">
        <f>+Tabla1[[#This Row],[FECHA ENTRADA]]</f>
        <v>45773</v>
      </c>
      <c r="K2747" s="8">
        <v>45845</v>
      </c>
      <c r="L2747" s="23">
        <f>_xlfn.DAYS(Tabla1[[#This Row],[FECHA FIN ]],Tabla1[[#This Row],[FECHA INICIO]])</f>
        <v>72</v>
      </c>
      <c r="M2747" s="12"/>
      <c r="N2747" s="24">
        <v>625</v>
      </c>
      <c r="O2747" s="28">
        <f>(Tabla1[[#This Row],[COSTO FIJO ]]/30)*Tabla1[[#This Row],[TOTAL DIAS PROYECTO]]+(Tabla1[[#This Row],[COSTO TEMPORAL]])</f>
        <v>1500</v>
      </c>
      <c r="P2747" s="12"/>
      <c r="Q2747" s="12">
        <f>+(Tabla1[[#This Row],[COSTO COCHE]]/30)*Tabla1[[#This Row],[TOTAL DIAS PROYECTO]]</f>
        <v>0</v>
      </c>
      <c r="R2747" s="12">
        <f>+Tabla1[[#This Row],[COSTO TOTAL ALOJAMIENTO]]+Tabla1[[#This Row],[COSTO TOTAL COCHE]]</f>
        <v>1500</v>
      </c>
      <c r="S2747" s="2"/>
      <c r="T2747" s="2" t="s">
        <v>44</v>
      </c>
      <c r="U2747" s="14">
        <v>45773</v>
      </c>
      <c r="V2747" s="25">
        <v>45803</v>
      </c>
      <c r="W2747" s="26"/>
      <c r="X2747" s="2"/>
      <c r="Y2747" s="11" t="s">
        <v>4264</v>
      </c>
      <c r="Z2747" s="2" t="s">
        <v>36</v>
      </c>
      <c r="AA2747" s="13" t="s">
        <v>10362</v>
      </c>
      <c r="AB2747" s="13" t="s">
        <v>10363</v>
      </c>
    </row>
    <row r="2748" spans="1:28" ht="15" customHeight="1">
      <c r="A2748" s="2" t="s">
        <v>8638</v>
      </c>
      <c r="B2748" s="2" t="s">
        <v>28</v>
      </c>
      <c r="C2748" s="11" t="s">
        <v>4265</v>
      </c>
      <c r="D2748" s="2" t="s">
        <v>749</v>
      </c>
      <c r="E2748" s="2" t="s">
        <v>288</v>
      </c>
      <c r="F2748" s="11" t="s">
        <v>928</v>
      </c>
      <c r="G2748" t="s">
        <v>1031</v>
      </c>
      <c r="H2748" s="2" t="s">
        <v>4257</v>
      </c>
      <c r="I2748" s="10" t="s">
        <v>753</v>
      </c>
      <c r="J2748" s="41">
        <f>+Tabla1[[#This Row],[FECHA ENTRADA]]</f>
        <v>45773</v>
      </c>
      <c r="K2748" s="8">
        <v>45845</v>
      </c>
      <c r="L2748" s="23">
        <f>_xlfn.DAYS(Tabla1[[#This Row],[FECHA FIN ]],Tabla1[[#This Row],[FECHA INICIO]])</f>
        <v>72</v>
      </c>
      <c r="M2748" s="12"/>
      <c r="N2748" s="24">
        <v>625</v>
      </c>
      <c r="O2748" s="28">
        <f>(Tabla1[[#This Row],[COSTO FIJO ]]/30)*Tabla1[[#This Row],[TOTAL DIAS PROYECTO]]+(Tabla1[[#This Row],[COSTO TEMPORAL]])</f>
        <v>1500</v>
      </c>
      <c r="P2748" s="12"/>
      <c r="Q2748" s="12">
        <f>+(Tabla1[[#This Row],[COSTO COCHE]]/30)*Tabla1[[#This Row],[TOTAL DIAS PROYECTO]]</f>
        <v>0</v>
      </c>
      <c r="R2748" s="12">
        <f>+Tabla1[[#This Row],[COSTO TOTAL ALOJAMIENTO]]+Tabla1[[#This Row],[COSTO TOTAL COCHE]]</f>
        <v>1500</v>
      </c>
      <c r="S2748" s="2"/>
      <c r="T2748" s="2" t="s">
        <v>44</v>
      </c>
      <c r="U2748" s="14">
        <v>45773</v>
      </c>
      <c r="V2748" s="25">
        <v>45803</v>
      </c>
      <c r="W2748" s="26"/>
      <c r="X2748" s="2"/>
      <c r="Y2748" s="11" t="s">
        <v>4266</v>
      </c>
      <c r="Z2748" s="2" t="s">
        <v>36</v>
      </c>
      <c r="AA2748" s="13" t="s">
        <v>10362</v>
      </c>
      <c r="AB2748" s="13" t="s">
        <v>10363</v>
      </c>
    </row>
    <row r="2749" spans="1:28" ht="15" customHeight="1">
      <c r="A2749" s="2" t="s">
        <v>8978</v>
      </c>
      <c r="B2749" s="2" t="s">
        <v>978</v>
      </c>
      <c r="C2749" s="239" t="s">
        <v>1574</v>
      </c>
      <c r="D2749" s="2" t="s">
        <v>30</v>
      </c>
      <c r="E2749" s="2" t="s">
        <v>253</v>
      </c>
      <c r="F2749" s="11" t="s">
        <v>4267</v>
      </c>
      <c r="G2749" s="68" t="s">
        <v>4268</v>
      </c>
      <c r="H2749" s="2" t="s">
        <v>2838</v>
      </c>
      <c r="I2749" s="12" t="s">
        <v>1155</v>
      </c>
      <c r="J2749" s="41">
        <f>+Tabla1[[#This Row],[FECHA ENTRADA]]</f>
        <v>45742</v>
      </c>
      <c r="K2749" s="41">
        <v>45964</v>
      </c>
      <c r="L2749" s="42">
        <f>_xlfn.DAYS(Tabla1[[#This Row],[FECHA FIN ]],Tabla1[[#This Row],[FECHA INICIO]])</f>
        <v>222</v>
      </c>
      <c r="M2749" s="12"/>
      <c r="N2749" s="28">
        <v>365</v>
      </c>
      <c r="O2749" s="28">
        <f>(Tabla1[[#This Row],[COSTO FIJO ]]/30)*Tabla1[[#This Row],[TOTAL DIAS PROYECTO]]+(Tabla1[[#This Row],[COSTO TEMPORAL]])</f>
        <v>2701</v>
      </c>
      <c r="P2749" s="12"/>
      <c r="Q2749" s="12">
        <f>+(Tabla1[[#This Row],[COSTO COCHE]]/30)*Tabla1[[#This Row],[TOTAL DIAS PROYECTO]]</f>
        <v>0</v>
      </c>
      <c r="R2749" s="12">
        <f>+Tabla1[[#This Row],[COSTO TOTAL ALOJAMIENTO]]+Tabla1[[#This Row],[COSTO TOTAL COCHE]]</f>
        <v>2701</v>
      </c>
      <c r="S2749" s="2"/>
      <c r="T2749" s="14" t="s">
        <v>35</v>
      </c>
      <c r="U2749" s="14">
        <v>45742</v>
      </c>
      <c r="V2749" s="43"/>
      <c r="W2749" s="12"/>
      <c r="X2749" s="2">
        <v>1</v>
      </c>
      <c r="Y2749" s="11" t="s">
        <v>4269</v>
      </c>
      <c r="Z2749" s="2" t="s">
        <v>36</v>
      </c>
      <c r="AA2749" s="13" t="s">
        <v>10357</v>
      </c>
      <c r="AB2749" s="13" t="s">
        <v>10358</v>
      </c>
    </row>
    <row r="2750" spans="1:28" ht="15" customHeight="1">
      <c r="A2750" s="2" t="s">
        <v>9692</v>
      </c>
      <c r="B2750" s="2" t="s">
        <v>978</v>
      </c>
      <c r="C2750" s="239" t="s">
        <v>4270</v>
      </c>
      <c r="D2750" s="2" t="s">
        <v>30</v>
      </c>
      <c r="E2750" s="2" t="s">
        <v>253</v>
      </c>
      <c r="F2750" s="11" t="s">
        <v>4267</v>
      </c>
      <c r="G2750" s="46" t="s">
        <v>4268</v>
      </c>
      <c r="H2750" s="2" t="s">
        <v>2838</v>
      </c>
      <c r="I2750" s="12" t="s">
        <v>1155</v>
      </c>
      <c r="J2750" s="41">
        <f>+Tabla1[[#This Row],[FECHA ENTRADA]]</f>
        <v>45742</v>
      </c>
      <c r="K2750" s="41">
        <v>45976</v>
      </c>
      <c r="L2750" s="42">
        <f>_xlfn.DAYS(Tabla1[[#This Row],[FECHA FIN ]],Tabla1[[#This Row],[FECHA INICIO]])</f>
        <v>234</v>
      </c>
      <c r="M2750" s="12"/>
      <c r="N2750" s="28">
        <v>486.66666666666669</v>
      </c>
      <c r="O2750" s="28">
        <f>(Tabla1[[#This Row],[COSTO FIJO ]]/30)*Tabla1[[#This Row],[TOTAL DIAS PROYECTO]]+(Tabla1[[#This Row],[COSTO TEMPORAL]])</f>
        <v>3796</v>
      </c>
      <c r="P2750" s="12"/>
      <c r="Q2750" s="12">
        <f>+(Tabla1[[#This Row],[COSTO COCHE]]/30)*Tabla1[[#This Row],[TOTAL DIAS PROYECTO]]</f>
        <v>0</v>
      </c>
      <c r="R2750" s="12">
        <f>+Tabla1[[#This Row],[COSTO TOTAL ALOJAMIENTO]]+Tabla1[[#This Row],[COSTO TOTAL COCHE]]</f>
        <v>3796</v>
      </c>
      <c r="S2750" s="2"/>
      <c r="T2750" s="14" t="s">
        <v>35</v>
      </c>
      <c r="U2750" s="14">
        <v>45742</v>
      </c>
      <c r="V2750" s="43"/>
      <c r="W2750" s="12"/>
      <c r="X2750" s="2">
        <v>1</v>
      </c>
      <c r="Y2750" s="11" t="s">
        <v>4271</v>
      </c>
      <c r="Z2750" s="2" t="s">
        <v>36</v>
      </c>
      <c r="AA2750" s="13" t="s">
        <v>10357</v>
      </c>
      <c r="AB2750" s="13" t="s">
        <v>10358</v>
      </c>
    </row>
    <row r="2751" spans="1:28" ht="15" customHeight="1">
      <c r="A2751" s="2" t="s">
        <v>8981</v>
      </c>
      <c r="B2751" s="2" t="s">
        <v>368</v>
      </c>
      <c r="C2751" s="99" t="s">
        <v>1583</v>
      </c>
      <c r="D2751" s="2" t="s">
        <v>30</v>
      </c>
      <c r="E2751" s="2" t="s">
        <v>31</v>
      </c>
      <c r="F2751" s="11"/>
      <c r="G2751" s="49"/>
      <c r="H2751" s="2" t="s">
        <v>1584</v>
      </c>
      <c r="I2751" s="12" t="s">
        <v>1104</v>
      </c>
      <c r="J2751" s="22">
        <f>+Tabla1[[#This Row],[FECHA ENTRADA]]</f>
        <v>45697</v>
      </c>
      <c r="K2751" s="8">
        <v>45846</v>
      </c>
      <c r="L2751" s="23">
        <f>_xlfn.DAYS(Tabla1[[#This Row],[FECHA FIN ]],Tabla1[[#This Row],[FECHA INICIO]])</f>
        <v>149</v>
      </c>
      <c r="M2751" s="12"/>
      <c r="N2751" s="12">
        <v>300</v>
      </c>
      <c r="O2751" s="24">
        <f>(Tabla1[[#This Row],[COSTO FIJO ]]/30)*Tabla1[[#This Row],[TOTAL DIAS PROYECTO]]+(Tabla1[[#This Row],[COSTO TEMPORAL]])</f>
        <v>1490</v>
      </c>
      <c r="P2751" s="12"/>
      <c r="Q2751" s="12">
        <f>+(Tabla1[[#This Row],[COSTO COCHE]]/30)*Tabla1[[#This Row],[TOTAL DIAS PROYECTO]]</f>
        <v>0</v>
      </c>
      <c r="R2751" s="12">
        <f>+Tabla1[[#This Row],[COSTO TOTAL ALOJAMIENTO]]+Tabla1[[#This Row],[COSTO TOTAL COCHE]]</f>
        <v>1490</v>
      </c>
      <c r="S2751" s="2"/>
      <c r="T2751" s="2" t="s">
        <v>58</v>
      </c>
      <c r="U2751" s="14">
        <v>45697</v>
      </c>
      <c r="V2751" s="25"/>
      <c r="W2751" s="26"/>
      <c r="X2751" s="2"/>
      <c r="Y2751" s="11"/>
      <c r="Z2751" s="2" t="s">
        <v>36</v>
      </c>
      <c r="AA2751" s="13" t="s">
        <v>10323</v>
      </c>
      <c r="AB2751" s="13" t="s">
        <v>10324</v>
      </c>
    </row>
    <row r="2752" spans="1:28" ht="15" customHeight="1">
      <c r="A2752" s="2" t="s">
        <v>9145</v>
      </c>
      <c r="B2752" s="2" t="s">
        <v>28</v>
      </c>
      <c r="C2752" s="11" t="s">
        <v>2204</v>
      </c>
      <c r="D2752" s="2" t="s">
        <v>30</v>
      </c>
      <c r="E2752" s="2" t="s">
        <v>415</v>
      </c>
      <c r="F2752" s="11" t="s">
        <v>487</v>
      </c>
      <c r="G2752" s="11" t="s">
        <v>488</v>
      </c>
      <c r="H2752" s="2" t="s">
        <v>2205</v>
      </c>
      <c r="I2752" s="12" t="s">
        <v>490</v>
      </c>
      <c r="J2752" s="22">
        <f>+Tabla1[[#This Row],[FECHA ENTRADA]]</f>
        <v>45697</v>
      </c>
      <c r="K2752" s="22">
        <v>45821</v>
      </c>
      <c r="L2752" s="23">
        <f>_xlfn.DAYS(Tabla1[[#This Row],[FECHA FIN ]],Tabla1[[#This Row],[FECHA INICIO]])</f>
        <v>124</v>
      </c>
      <c r="M2752" s="12"/>
      <c r="N2752" s="12">
        <f>1811.6/17</f>
        <v>106.56470588235294</v>
      </c>
      <c r="O2752" s="24">
        <f>(Tabla1[[#This Row],[COSTO FIJO ]]/30)*Tabla1[[#This Row],[TOTAL DIAS PROYECTO]]+(Tabla1[[#This Row],[COSTO TEMPORAL]])</f>
        <v>440.46745098039219</v>
      </c>
      <c r="P2752" s="12"/>
      <c r="Q2752" s="12"/>
      <c r="R2752" s="12">
        <f>+Tabla1[[#This Row],[COSTO TOTAL ALOJAMIENTO]]+Tabla1[[#This Row],[COSTO TOTAL COCHE]]</f>
        <v>440.46745098039219</v>
      </c>
      <c r="S2752" s="2"/>
      <c r="T2752" s="2" t="s">
        <v>35</v>
      </c>
      <c r="U2752" s="14">
        <v>45697</v>
      </c>
      <c r="V2752" s="25"/>
      <c r="W2752" s="26"/>
      <c r="X2752" s="2">
        <v>5</v>
      </c>
      <c r="Y2752" s="11"/>
      <c r="Z2752" s="2" t="s">
        <v>36</v>
      </c>
      <c r="AA2752" s="13">
        <v>-0.37739</v>
      </c>
      <c r="AB2752" s="13" t="s">
        <v>10372</v>
      </c>
    </row>
    <row r="2753" spans="1:28" ht="15" customHeight="1">
      <c r="A2753" s="2" t="s">
        <v>9693</v>
      </c>
      <c r="B2753" s="2" t="s">
        <v>28</v>
      </c>
      <c r="C2753" s="11" t="s">
        <v>4272</v>
      </c>
      <c r="D2753" s="2" t="s">
        <v>99</v>
      </c>
      <c r="E2753" s="2" t="s">
        <v>626</v>
      </c>
      <c r="F2753" s="11" t="s">
        <v>2376</v>
      </c>
      <c r="G2753" s="30" t="s">
        <v>2377</v>
      </c>
      <c r="H2753" s="2" t="s">
        <v>4171</v>
      </c>
      <c r="I2753" s="12" t="s">
        <v>570</v>
      </c>
      <c r="J2753" s="22">
        <f>+Tabla1[[#This Row],[FECHA ENTRADA]]</f>
        <v>45804</v>
      </c>
      <c r="K2753" s="22">
        <v>45846</v>
      </c>
      <c r="L2753" s="23">
        <f>_xlfn.DAYS(Tabla1[[#This Row],[FECHA FIN ]],Tabla1[[#This Row],[FECHA INICIO]])</f>
        <v>42</v>
      </c>
      <c r="M2753" s="12"/>
      <c r="N2753" s="12">
        <f>15*Tabla1[[#This Row],[TOTAL DIAS PROYECTO]]</f>
        <v>630</v>
      </c>
      <c r="O2753" s="24">
        <f>(Tabla1[[#This Row],[COSTO FIJO ]]/30)*Tabla1[[#This Row],[TOTAL DIAS PROYECTO]]+(Tabla1[[#This Row],[COSTO TEMPORAL]])</f>
        <v>882</v>
      </c>
      <c r="P2753" s="12"/>
      <c r="Q2753" s="12">
        <f>+(Tabla1[[#This Row],[COSTO COCHE]]/30)*Tabla1[[#This Row],[TOTAL DIAS PROYECTO]]</f>
        <v>0</v>
      </c>
      <c r="R2753" s="12">
        <f>+Tabla1[[#This Row],[COSTO TOTAL ALOJAMIENTO]]+Tabla1[[#This Row],[COSTO TOTAL COCHE]]</f>
        <v>882</v>
      </c>
      <c r="S2753" s="2"/>
      <c r="T2753" s="2" t="s">
        <v>44</v>
      </c>
      <c r="U2753" s="14">
        <v>45804</v>
      </c>
      <c r="V2753" s="25">
        <v>45846</v>
      </c>
      <c r="W2753" s="2"/>
      <c r="X2753" s="2"/>
      <c r="Y2753" s="11"/>
      <c r="Z2753" s="2" t="s">
        <v>36</v>
      </c>
      <c r="AA2753" s="13" t="s">
        <v>10385</v>
      </c>
      <c r="AB2753" s="13" t="s">
        <v>10386</v>
      </c>
    </row>
    <row r="2754" spans="1:28" ht="15" customHeight="1">
      <c r="A2754" s="2" t="s">
        <v>9205</v>
      </c>
      <c r="B2754" s="2" t="s">
        <v>28</v>
      </c>
      <c r="C2754" s="11" t="s">
        <v>2425</v>
      </c>
      <c r="D2754" s="2" t="s">
        <v>99</v>
      </c>
      <c r="E2754" s="2" t="s">
        <v>626</v>
      </c>
      <c r="F2754" s="11" t="s">
        <v>2376</v>
      </c>
      <c r="G2754" t="s">
        <v>2377</v>
      </c>
      <c r="H2754" s="2" t="s">
        <v>2580</v>
      </c>
      <c r="I2754" s="12" t="s">
        <v>570</v>
      </c>
      <c r="J2754" s="41">
        <f>+Tabla1[[#This Row],[FECHA ENTRADA]]</f>
        <v>45824</v>
      </c>
      <c r="K2754" s="22">
        <v>45846</v>
      </c>
      <c r="L2754" s="42">
        <f>_xlfn.DAYS(Tabla1[[#This Row],[FECHA FIN ]],Tabla1[[#This Row],[FECHA INICIO]])</f>
        <v>22</v>
      </c>
      <c r="M2754" s="12"/>
      <c r="N2754" s="12">
        <f>15*Tabla1[[#This Row],[TOTAL DIAS PROYECTO]]</f>
        <v>330</v>
      </c>
      <c r="O2754" s="28">
        <f>(Tabla1[[#This Row],[COSTO FIJO ]]/30)*Tabla1[[#This Row],[TOTAL DIAS PROYECTO]]+(Tabla1[[#This Row],[COSTO TEMPORAL]])</f>
        <v>242</v>
      </c>
      <c r="P2754" s="12"/>
      <c r="Q2754" s="12">
        <f>+(Tabla1[[#This Row],[COSTO COCHE]]/30)*Tabla1[[#This Row],[TOTAL DIAS PROYECTO]]</f>
        <v>0</v>
      </c>
      <c r="R2754" s="12">
        <f>+Tabla1[[#This Row],[COSTO TOTAL ALOJAMIENTO]]+Tabla1[[#This Row],[COSTO TOTAL COCHE]]</f>
        <v>242</v>
      </c>
      <c r="S2754" s="2"/>
      <c r="T2754" s="14" t="s">
        <v>44</v>
      </c>
      <c r="U2754" s="14">
        <v>45824</v>
      </c>
      <c r="V2754" s="25">
        <v>45846</v>
      </c>
      <c r="W2754" s="2"/>
      <c r="X2754" s="2"/>
      <c r="Y2754" s="11"/>
      <c r="Z2754" s="2" t="s">
        <v>36</v>
      </c>
      <c r="AA2754" s="13" t="s">
        <v>10385</v>
      </c>
      <c r="AB2754" s="13" t="s">
        <v>10386</v>
      </c>
    </row>
    <row r="2755" spans="1:28" ht="15" customHeight="1">
      <c r="A2755" s="2" t="s">
        <v>9694</v>
      </c>
      <c r="B2755" s="2" t="s">
        <v>978</v>
      </c>
      <c r="C2755" s="11" t="s">
        <v>4273</v>
      </c>
      <c r="D2755" s="2" t="s">
        <v>30</v>
      </c>
      <c r="E2755" s="2" t="s">
        <v>415</v>
      </c>
      <c r="F2755" s="11" t="s">
        <v>4274</v>
      </c>
      <c r="G2755" s="46" t="s">
        <v>4275</v>
      </c>
      <c r="H2755" s="2" t="s">
        <v>1363</v>
      </c>
      <c r="I2755" s="12" t="s">
        <v>4276</v>
      </c>
      <c r="J2755" s="41">
        <f>+Tabla1[[#This Row],[FECHA ENTRADA]]</f>
        <v>45838</v>
      </c>
      <c r="K2755" s="41">
        <v>45846</v>
      </c>
      <c r="L2755" s="42">
        <f>_xlfn.DAYS(Tabla1[[#This Row],[FECHA FIN ]],Tabla1[[#This Row],[FECHA INICIO]])</f>
        <v>8</v>
      </c>
      <c r="M2755" s="12"/>
      <c r="N2755" s="12"/>
      <c r="O2755" s="28">
        <f>(Tabla1[[#This Row],[COSTO FIJO ]]/30)*Tabla1[[#This Row],[TOTAL DIAS PROYECTO]]+(Tabla1[[#This Row],[COSTO TEMPORAL]])</f>
        <v>0</v>
      </c>
      <c r="P2755" s="12"/>
      <c r="Q2755" s="12">
        <f>+(Tabla1[[#This Row],[COSTO COCHE]]/30)*Tabla1[[#This Row],[TOTAL DIAS PROYECTO]]</f>
        <v>0</v>
      </c>
      <c r="R2755" s="12">
        <f>+Tabla1[[#This Row],[COSTO TOTAL ALOJAMIENTO]]+Tabla1[[#This Row],[COSTO TOTAL COCHE]]</f>
        <v>0</v>
      </c>
      <c r="S2755" s="2"/>
      <c r="T2755" s="14" t="s">
        <v>44</v>
      </c>
      <c r="U2755" s="14">
        <v>45838</v>
      </c>
      <c r="V2755" s="43">
        <v>45846</v>
      </c>
      <c r="W2755" s="12"/>
      <c r="X2755" s="2"/>
      <c r="Y2755" s="11"/>
      <c r="Z2755" s="2" t="s">
        <v>36</v>
      </c>
      <c r="AA2755" s="13">
        <v>-0.37739</v>
      </c>
      <c r="AB2755" s="13" t="s">
        <v>10372</v>
      </c>
    </row>
    <row r="2756" spans="1:28" ht="15" customHeight="1">
      <c r="A2756" s="2" t="s">
        <v>9695</v>
      </c>
      <c r="B2756" s="2" t="s">
        <v>978</v>
      </c>
      <c r="C2756" s="11" t="s">
        <v>4277</v>
      </c>
      <c r="D2756" s="2" t="s">
        <v>30</v>
      </c>
      <c r="E2756" s="2" t="s">
        <v>415</v>
      </c>
      <c r="F2756" s="11" t="s">
        <v>4274</v>
      </c>
      <c r="G2756" s="46" t="s">
        <v>4275</v>
      </c>
      <c r="H2756" s="2" t="s">
        <v>1363</v>
      </c>
      <c r="I2756" s="12" t="s">
        <v>4276</v>
      </c>
      <c r="J2756" s="41">
        <f>+Tabla1[[#This Row],[FECHA ENTRADA]]</f>
        <v>45838</v>
      </c>
      <c r="K2756" s="41">
        <v>45846</v>
      </c>
      <c r="L2756" s="42">
        <f>_xlfn.DAYS(Tabla1[[#This Row],[FECHA FIN ]],Tabla1[[#This Row],[FECHA INICIO]])</f>
        <v>8</v>
      </c>
      <c r="M2756" s="12"/>
      <c r="N2756" s="12"/>
      <c r="O2756" s="28">
        <f>(Tabla1[[#This Row],[COSTO FIJO ]]/30)*Tabla1[[#This Row],[TOTAL DIAS PROYECTO]]+(Tabla1[[#This Row],[COSTO TEMPORAL]])</f>
        <v>0</v>
      </c>
      <c r="P2756" s="12"/>
      <c r="Q2756" s="12">
        <f>+(Tabla1[[#This Row],[COSTO COCHE]]/30)*Tabla1[[#This Row],[TOTAL DIAS PROYECTO]]</f>
        <v>0</v>
      </c>
      <c r="R2756" s="12">
        <f>+Tabla1[[#This Row],[COSTO TOTAL ALOJAMIENTO]]+Tabla1[[#This Row],[COSTO TOTAL COCHE]]</f>
        <v>0</v>
      </c>
      <c r="S2756" s="2"/>
      <c r="T2756" s="14" t="s">
        <v>44</v>
      </c>
      <c r="U2756" s="14">
        <v>45838</v>
      </c>
      <c r="V2756" s="43">
        <v>45846</v>
      </c>
      <c r="W2756" s="12"/>
      <c r="X2756" s="2"/>
      <c r="Y2756" s="11"/>
      <c r="Z2756" s="2" t="s">
        <v>36</v>
      </c>
      <c r="AA2756" s="13">
        <v>-0.37739</v>
      </c>
      <c r="AB2756" s="13" t="s">
        <v>10372</v>
      </c>
    </row>
    <row r="2757" spans="1:28" ht="15" customHeight="1">
      <c r="A2757" s="2" t="s">
        <v>9422</v>
      </c>
      <c r="B2757" s="2" t="s">
        <v>978</v>
      </c>
      <c r="C2757" s="11" t="s">
        <v>3118</v>
      </c>
      <c r="D2757" s="2" t="s">
        <v>30</v>
      </c>
      <c r="E2757" s="2" t="s">
        <v>415</v>
      </c>
      <c r="F2757" s="11" t="s">
        <v>4274</v>
      </c>
      <c r="G2757" s="46" t="s">
        <v>4275</v>
      </c>
      <c r="H2757" s="2" t="s">
        <v>1363</v>
      </c>
      <c r="I2757" s="12" t="s">
        <v>4276</v>
      </c>
      <c r="J2757" s="41">
        <f>+Tabla1[[#This Row],[FECHA ENTRADA]]</f>
        <v>45838</v>
      </c>
      <c r="K2757" s="41">
        <v>45846</v>
      </c>
      <c r="L2757" s="42">
        <f>_xlfn.DAYS(Tabla1[[#This Row],[FECHA FIN ]],Tabla1[[#This Row],[FECHA INICIO]])</f>
        <v>8</v>
      </c>
      <c r="M2757" s="12"/>
      <c r="N2757" s="12"/>
      <c r="O2757" s="28">
        <f>(Tabla1[[#This Row],[COSTO FIJO ]]/30)*Tabla1[[#This Row],[TOTAL DIAS PROYECTO]]+(Tabla1[[#This Row],[COSTO TEMPORAL]])</f>
        <v>0</v>
      </c>
      <c r="P2757" s="12"/>
      <c r="Q2757" s="12">
        <f>+(Tabla1[[#This Row],[COSTO COCHE]]/30)*Tabla1[[#This Row],[TOTAL DIAS PROYECTO]]</f>
        <v>0</v>
      </c>
      <c r="R2757" s="12">
        <f>+Tabla1[[#This Row],[COSTO TOTAL ALOJAMIENTO]]+Tabla1[[#This Row],[COSTO TOTAL COCHE]]</f>
        <v>0</v>
      </c>
      <c r="S2757" s="2"/>
      <c r="T2757" s="14" t="s">
        <v>44</v>
      </c>
      <c r="U2757" s="14">
        <v>45838</v>
      </c>
      <c r="V2757" s="43">
        <v>45846</v>
      </c>
      <c r="W2757" s="12"/>
      <c r="X2757" s="2"/>
      <c r="Y2757" s="11"/>
      <c r="Z2757" s="2" t="s">
        <v>36</v>
      </c>
      <c r="AA2757" s="13">
        <v>-0.37739</v>
      </c>
      <c r="AB2757" s="13" t="s">
        <v>10372</v>
      </c>
    </row>
    <row r="2758" spans="1:28" ht="15" customHeight="1">
      <c r="A2758" s="2" t="s">
        <v>9696</v>
      </c>
      <c r="B2758" s="2" t="s">
        <v>978</v>
      </c>
      <c r="C2758" s="11" t="s">
        <v>4278</v>
      </c>
      <c r="D2758" s="2" t="s">
        <v>30</v>
      </c>
      <c r="E2758" s="2" t="s">
        <v>415</v>
      </c>
      <c r="F2758" s="11" t="s">
        <v>4274</v>
      </c>
      <c r="G2758" s="46" t="s">
        <v>4275</v>
      </c>
      <c r="H2758" s="2" t="s">
        <v>4279</v>
      </c>
      <c r="I2758" s="12" t="s">
        <v>4276</v>
      </c>
      <c r="J2758" s="41">
        <f>+Tabla1[[#This Row],[FECHA ENTRADA]]</f>
        <v>45838</v>
      </c>
      <c r="K2758" s="41">
        <v>45846</v>
      </c>
      <c r="L2758" s="42">
        <f>_xlfn.DAYS(Tabla1[[#This Row],[FECHA FIN ]],Tabla1[[#This Row],[FECHA INICIO]])</f>
        <v>8</v>
      </c>
      <c r="M2758" s="12"/>
      <c r="N2758" s="12"/>
      <c r="O2758" s="28">
        <f>(Tabla1[[#This Row],[COSTO FIJO ]]/30)*Tabla1[[#This Row],[TOTAL DIAS PROYECTO]]+(Tabla1[[#This Row],[COSTO TEMPORAL]])</f>
        <v>0</v>
      </c>
      <c r="P2758" s="12"/>
      <c r="Q2758" s="12">
        <f>+(Tabla1[[#This Row],[COSTO COCHE]]/30)*Tabla1[[#This Row],[TOTAL DIAS PROYECTO]]</f>
        <v>0</v>
      </c>
      <c r="R2758" s="12">
        <f>+Tabla1[[#This Row],[COSTO TOTAL ALOJAMIENTO]]+Tabla1[[#This Row],[COSTO TOTAL COCHE]]</f>
        <v>0</v>
      </c>
      <c r="S2758" s="2"/>
      <c r="T2758" s="14" t="s">
        <v>44</v>
      </c>
      <c r="U2758" s="14">
        <v>45838</v>
      </c>
      <c r="V2758" s="43">
        <v>45846</v>
      </c>
      <c r="W2758" s="12"/>
      <c r="X2758" s="2"/>
      <c r="Y2758" s="11"/>
      <c r="Z2758" s="2" t="s">
        <v>36</v>
      </c>
      <c r="AA2758" s="13">
        <v>-0.37739</v>
      </c>
      <c r="AB2758" s="13" t="s">
        <v>10372</v>
      </c>
    </row>
    <row r="2759" spans="1:28" ht="15" customHeight="1">
      <c r="A2759" s="2" t="s">
        <v>9529</v>
      </c>
      <c r="B2759" s="2" t="s">
        <v>368</v>
      </c>
      <c r="C2759" s="11" t="s">
        <v>3554</v>
      </c>
      <c r="D2759" s="2" t="s">
        <v>30</v>
      </c>
      <c r="E2759" s="2" t="s">
        <v>1443</v>
      </c>
      <c r="F2759" s="11" t="s">
        <v>1444</v>
      </c>
      <c r="G2759" s="11" t="s">
        <v>1445</v>
      </c>
      <c r="H2759" s="2" t="s">
        <v>3531</v>
      </c>
      <c r="I2759" s="12" t="s">
        <v>1447</v>
      </c>
      <c r="J2759" s="22">
        <f>+Tabla1[[#This Row],[FECHA ENTRADA]]</f>
        <v>45675</v>
      </c>
      <c r="K2759" s="8">
        <v>45846</v>
      </c>
      <c r="L2759" s="23">
        <f>_xlfn.DAYS(Tabla1[[#This Row],[FECHA FIN ]],Tabla1[[#This Row],[FECHA INICIO]])</f>
        <v>171</v>
      </c>
      <c r="M2759" s="12"/>
      <c r="N2759" s="12">
        <f>2015.04/5</f>
        <v>403.00799999999998</v>
      </c>
      <c r="O2759" s="24">
        <f>(Tabla1[[#This Row],[COSTO FIJO ]]/30)*Tabla1[[#This Row],[TOTAL DIAS PROYECTO]]+(Tabla1[[#This Row],[COSTO TEMPORAL]])</f>
        <v>2297.1455999999998</v>
      </c>
      <c r="P2759" s="12">
        <v>80</v>
      </c>
      <c r="Q2759" s="12">
        <f>+(Tabla1[[#This Row],[COSTO COCHE]]/30)*Tabla1[[#This Row],[TOTAL DIAS PROYECTO]]</f>
        <v>456</v>
      </c>
      <c r="R2759" s="12">
        <f>+Tabla1[[#This Row],[COSTO TOTAL ALOJAMIENTO]]+Tabla1[[#This Row],[COSTO TOTAL COCHE]]</f>
        <v>2753.1455999999998</v>
      </c>
      <c r="S2759" s="2"/>
      <c r="T2759" s="2" t="s">
        <v>528</v>
      </c>
      <c r="U2759" s="14">
        <v>45675</v>
      </c>
      <c r="V2759" s="25">
        <v>45856</v>
      </c>
      <c r="W2759" s="26"/>
      <c r="X2759" s="2"/>
      <c r="Y2759" s="11"/>
      <c r="Z2759" s="2" t="s">
        <v>36</v>
      </c>
      <c r="AA2759" s="13" t="s">
        <v>10420</v>
      </c>
      <c r="AB2759" s="13">
        <v>3907741</v>
      </c>
    </row>
    <row r="2760" spans="1:28" ht="15" customHeight="1">
      <c r="A2760" s="2" t="s">
        <v>9289</v>
      </c>
      <c r="B2760" s="2" t="s">
        <v>368</v>
      </c>
      <c r="C2760" s="11" t="s">
        <v>2705</v>
      </c>
      <c r="D2760" s="2" t="s">
        <v>30</v>
      </c>
      <c r="E2760" s="2" t="s">
        <v>1443</v>
      </c>
      <c r="F2760" s="11" t="s">
        <v>1444</v>
      </c>
      <c r="G2760" s="11" t="s">
        <v>1445</v>
      </c>
      <c r="H2760" s="2" t="s">
        <v>3531</v>
      </c>
      <c r="I2760" s="12" t="s">
        <v>1447</v>
      </c>
      <c r="J2760" s="22">
        <f>+Tabla1[[#This Row],[FECHA ENTRADA]]</f>
        <v>45675</v>
      </c>
      <c r="K2760" s="8">
        <v>45846</v>
      </c>
      <c r="L2760" s="23">
        <f>_xlfn.DAYS(Tabla1[[#This Row],[FECHA FIN ]],Tabla1[[#This Row],[FECHA INICIO]])</f>
        <v>171</v>
      </c>
      <c r="M2760" s="12"/>
      <c r="N2760" s="12">
        <f>2015.04/5</f>
        <v>403.00799999999998</v>
      </c>
      <c r="O2760" s="24">
        <f>(Tabla1[[#This Row],[COSTO FIJO ]]/30)*Tabla1[[#This Row],[TOTAL DIAS PROYECTO]]+(Tabla1[[#This Row],[COSTO TEMPORAL]])</f>
        <v>2297.1455999999998</v>
      </c>
      <c r="P2760" s="12">
        <v>80</v>
      </c>
      <c r="Q2760" s="12">
        <f>+(Tabla1[[#This Row],[COSTO COCHE]]/30)*Tabla1[[#This Row],[TOTAL DIAS PROYECTO]]</f>
        <v>456</v>
      </c>
      <c r="R2760" s="12">
        <f>+Tabla1[[#This Row],[COSTO TOTAL ALOJAMIENTO]]+Tabla1[[#This Row],[COSTO TOTAL COCHE]]</f>
        <v>2753.1455999999998</v>
      </c>
      <c r="S2760" s="2"/>
      <c r="T2760" s="2" t="s">
        <v>44</v>
      </c>
      <c r="U2760" s="14">
        <v>45675</v>
      </c>
      <c r="V2760" s="25">
        <v>45856</v>
      </c>
      <c r="W2760" s="26"/>
      <c r="X2760" s="2"/>
      <c r="Y2760" s="11"/>
      <c r="Z2760" s="2" t="s">
        <v>36</v>
      </c>
      <c r="AA2760" s="13" t="s">
        <v>10420</v>
      </c>
      <c r="AB2760" s="13">
        <v>3907741</v>
      </c>
    </row>
    <row r="2761" spans="1:28" ht="15" customHeight="1">
      <c r="A2761" s="2" t="s">
        <v>8840</v>
      </c>
      <c r="B2761" s="2" t="s">
        <v>368</v>
      </c>
      <c r="C2761" s="11" t="s">
        <v>974</v>
      </c>
      <c r="D2761" s="2" t="s">
        <v>30</v>
      </c>
      <c r="E2761" s="2" t="s">
        <v>1443</v>
      </c>
      <c r="F2761" s="11" t="s">
        <v>1444</v>
      </c>
      <c r="G2761" s="11" t="s">
        <v>1445</v>
      </c>
      <c r="H2761" s="2" t="s">
        <v>4280</v>
      </c>
      <c r="I2761" s="29" t="s">
        <v>1447</v>
      </c>
      <c r="J2761" s="41">
        <f>+Tabla1[[#This Row],[FECHA ENTRADA]]</f>
        <v>45721</v>
      </c>
      <c r="K2761" s="8">
        <v>45846</v>
      </c>
      <c r="L2761" s="42">
        <f>_xlfn.DAYS(Tabla1[[#This Row],[FECHA FIN ]],Tabla1[[#This Row],[FECHA INICIO]])</f>
        <v>125</v>
      </c>
      <c r="M2761" s="12"/>
      <c r="N2761" s="12"/>
      <c r="O2761" s="28">
        <f>(Tabla1[[#This Row],[COSTO FIJO ]]/30)*Tabla1[[#This Row],[TOTAL DIAS PROYECTO]]+(Tabla1[[#This Row],[COSTO TEMPORAL]])</f>
        <v>0</v>
      </c>
      <c r="P2761" s="12">
        <v>80</v>
      </c>
      <c r="Q2761" s="12">
        <f>+(Tabla1[[#This Row],[COSTO COCHE]]/30)*Tabla1[[#This Row],[TOTAL DIAS PROYECTO]]</f>
        <v>333.33333333333331</v>
      </c>
      <c r="R2761" s="12">
        <f>+Tabla1[[#This Row],[COSTO TOTAL ALOJAMIENTO]]+Tabla1[[#This Row],[COSTO TOTAL COCHE]]</f>
        <v>333.33333333333331</v>
      </c>
      <c r="S2761" s="2"/>
      <c r="T2761" s="2" t="s">
        <v>44</v>
      </c>
      <c r="U2761" s="14">
        <v>45721</v>
      </c>
      <c r="V2761" s="25">
        <v>45856</v>
      </c>
      <c r="W2761" s="26"/>
      <c r="X2761" s="2"/>
      <c r="Y2761" s="11"/>
      <c r="Z2761" s="2" t="s">
        <v>36</v>
      </c>
      <c r="AA2761" s="13" t="s">
        <v>10420</v>
      </c>
      <c r="AB2761" s="13">
        <v>3907741</v>
      </c>
    </row>
    <row r="2762" spans="1:28">
      <c r="A2762" s="2" t="s">
        <v>9697</v>
      </c>
      <c r="B2762" s="2" t="s">
        <v>28</v>
      </c>
      <c r="C2762" s="11" t="s">
        <v>4281</v>
      </c>
      <c r="D2762" s="2" t="s">
        <v>30</v>
      </c>
      <c r="E2762" s="2" t="s">
        <v>259</v>
      </c>
      <c r="F2762" s="11" t="s">
        <v>260</v>
      </c>
      <c r="G2762" s="11" t="s">
        <v>261</v>
      </c>
      <c r="H2762" s="2" t="s">
        <v>3877</v>
      </c>
      <c r="I2762" s="12" t="s">
        <v>263</v>
      </c>
      <c r="J2762" s="8">
        <f>+Tabla1[[#This Row],[FECHA ENTRADA]]</f>
        <v>45494</v>
      </c>
      <c r="K2762" s="22">
        <v>45846</v>
      </c>
      <c r="L2762" s="13">
        <f>_xlfn.DAYS(Tabla1[[#This Row],[FECHA FIN ]],Tabla1[[#This Row],[FECHA INICIO]])</f>
        <v>352</v>
      </c>
      <c r="M2762" s="12"/>
      <c r="N2762" s="12"/>
      <c r="O2762" s="12">
        <f>(Tabla1[[#This Row],[COSTO FIJO ]]/30)*Tabla1[[#This Row],[TOTAL DIAS PROYECTO]]+(Tabla1[[#This Row],[COSTO TEMPORAL]])</f>
        <v>0</v>
      </c>
      <c r="P2762" s="12">
        <v>133.33333333333334</v>
      </c>
      <c r="Q2762" s="12">
        <f>+(Tabla1[[#This Row],[COSTO COCHE]]/30)*Tabla1[[#This Row],[TOTAL DIAS PROYECTO]]</f>
        <v>1564.4444444444446</v>
      </c>
      <c r="R2762" s="12">
        <f>+Tabla1[[#This Row],[COSTO TOTAL ALOJAMIENTO]]+Tabla1[[#This Row],[COSTO TOTAL COCHE]]</f>
        <v>1564.4444444444446</v>
      </c>
      <c r="S2762" s="2"/>
      <c r="T2762" s="2" t="s">
        <v>35</v>
      </c>
      <c r="U2762" s="14">
        <v>45494</v>
      </c>
      <c r="V2762" s="14"/>
      <c r="W2762" s="26"/>
      <c r="X2762" s="2">
        <v>20</v>
      </c>
      <c r="Y2762" s="11" t="s">
        <v>2627</v>
      </c>
      <c r="Z2762" s="2" t="s">
        <v>36</v>
      </c>
      <c r="AA2762" s="13">
        <v>-0.87734000000000001</v>
      </c>
      <c r="AB2762" s="13" t="s">
        <v>10359</v>
      </c>
    </row>
    <row r="2763" spans="1:28" ht="15" customHeight="1">
      <c r="A2763" s="2" t="s">
        <v>8740</v>
      </c>
      <c r="B2763" s="2" t="s">
        <v>28</v>
      </c>
      <c r="C2763" s="11" t="s">
        <v>521</v>
      </c>
      <c r="D2763" s="2" t="s">
        <v>30</v>
      </c>
      <c r="E2763" s="2" t="s">
        <v>259</v>
      </c>
      <c r="F2763" s="11" t="s">
        <v>260</v>
      </c>
      <c r="G2763" s="11" t="s">
        <v>261</v>
      </c>
      <c r="H2763" s="2" t="s">
        <v>523</v>
      </c>
      <c r="I2763" s="12" t="s">
        <v>263</v>
      </c>
      <c r="J2763" s="8">
        <f>+Tabla1[[#This Row],[FECHA ENTRADA]]</f>
        <v>45524</v>
      </c>
      <c r="K2763" s="22">
        <v>45846</v>
      </c>
      <c r="L2763" s="13">
        <f>_xlfn.DAYS(Tabla1[[#This Row],[FECHA FIN ]],Tabla1[[#This Row],[FECHA INICIO]])</f>
        <v>322</v>
      </c>
      <c r="M2763" s="12"/>
      <c r="N2763" s="12"/>
      <c r="O2763" s="12">
        <f>(Tabla1[[#This Row],[COSTO FIJO ]]/30)*Tabla1[[#This Row],[TOTAL DIAS PROYECTO]]+(Tabla1[[#This Row],[COSTO TEMPORAL]])</f>
        <v>0</v>
      </c>
      <c r="P2763" s="12">
        <v>133.33333333333334</v>
      </c>
      <c r="Q2763" s="12">
        <f>+(Tabla1[[#This Row],[COSTO COCHE]]/30)*Tabla1[[#This Row],[TOTAL DIAS PROYECTO]]</f>
        <v>1431.1111111111111</v>
      </c>
      <c r="R2763" s="12">
        <f>+Tabla1[[#This Row],[COSTO TOTAL ALOJAMIENTO]]+Tabla1[[#This Row],[COSTO TOTAL COCHE]]</f>
        <v>1431.1111111111111</v>
      </c>
      <c r="S2763" s="2"/>
      <c r="T2763" s="2" t="s">
        <v>35</v>
      </c>
      <c r="U2763" s="14">
        <v>45524</v>
      </c>
      <c r="V2763" s="14"/>
      <c r="W2763" s="26"/>
      <c r="X2763" s="2">
        <v>20</v>
      </c>
      <c r="Y2763" s="11" t="s">
        <v>4282</v>
      </c>
      <c r="Z2763" s="2" t="s">
        <v>36</v>
      </c>
      <c r="AA2763" s="13">
        <v>-0.87734000000000001</v>
      </c>
      <c r="AB2763" s="13" t="s">
        <v>10359</v>
      </c>
    </row>
    <row r="2764" spans="1:28" ht="15" customHeight="1">
      <c r="A2764" s="2" t="s">
        <v>9221</v>
      </c>
      <c r="B2764" s="2" t="s">
        <v>28</v>
      </c>
      <c r="C2764" s="11" t="s">
        <v>2491</v>
      </c>
      <c r="D2764" s="2" t="s">
        <v>30</v>
      </c>
      <c r="E2764" s="2" t="s">
        <v>259</v>
      </c>
      <c r="F2764" s="11" t="s">
        <v>260</v>
      </c>
      <c r="G2764" s="11" t="s">
        <v>261</v>
      </c>
      <c r="H2764" s="2" t="s">
        <v>3907</v>
      </c>
      <c r="I2764" s="12" t="s">
        <v>263</v>
      </c>
      <c r="J2764" s="8">
        <f>+Tabla1[[#This Row],[FECHA ENTRADA]]</f>
        <v>45438</v>
      </c>
      <c r="K2764" s="22">
        <v>45846</v>
      </c>
      <c r="L2764" s="13">
        <f>_xlfn.DAYS(Tabla1[[#This Row],[FECHA FIN ]],Tabla1[[#This Row],[FECHA INICIO]])</f>
        <v>408</v>
      </c>
      <c r="M2764" s="12"/>
      <c r="N2764" s="12"/>
      <c r="O2764" s="12">
        <f>(Tabla1[[#This Row],[COSTO FIJO ]]/30)*Tabla1[[#This Row],[TOTAL DIAS PROYECTO]]+(Tabla1[[#This Row],[COSTO TEMPORAL]])</f>
        <v>0</v>
      </c>
      <c r="P2764" s="12"/>
      <c r="Q2764" s="12">
        <f>+(Tabla1[[#This Row],[COSTO COCHE]]/30)*Tabla1[[#This Row],[TOTAL DIAS PROYECTO]]</f>
        <v>0</v>
      </c>
      <c r="R2764" s="12">
        <f>+Tabla1[[#This Row],[COSTO TOTAL ALOJAMIENTO]]+Tabla1[[#This Row],[COSTO TOTAL COCHE]]</f>
        <v>0</v>
      </c>
      <c r="S2764" s="2"/>
      <c r="T2764" s="2" t="s">
        <v>35</v>
      </c>
      <c r="U2764" s="14">
        <v>45438</v>
      </c>
      <c r="V2764" s="14"/>
      <c r="W2764" s="26"/>
      <c r="X2764" s="2">
        <v>25</v>
      </c>
      <c r="Y2764" s="11" t="s">
        <v>2627</v>
      </c>
      <c r="Z2764" s="2" t="s">
        <v>36</v>
      </c>
      <c r="AA2764" s="13">
        <v>-0.87734000000000001</v>
      </c>
      <c r="AB2764" s="13" t="s">
        <v>10359</v>
      </c>
    </row>
    <row r="2765" spans="1:28" ht="15" customHeight="1">
      <c r="A2765" s="2" t="s">
        <v>9698</v>
      </c>
      <c r="B2765" s="2" t="s">
        <v>28</v>
      </c>
      <c r="C2765" s="211" t="s">
        <v>4283</v>
      </c>
      <c r="D2765" s="2" t="s">
        <v>30</v>
      </c>
      <c r="E2765" s="2" t="s">
        <v>31</v>
      </c>
      <c r="F2765" s="11" t="s">
        <v>32</v>
      </c>
      <c r="G2765" s="11" t="s">
        <v>33</v>
      </c>
      <c r="H2765" s="2">
        <v>2023</v>
      </c>
      <c r="I2765" s="12" t="s">
        <v>34</v>
      </c>
      <c r="J2765" s="8">
        <v>45287</v>
      </c>
      <c r="K2765" s="8">
        <v>45847</v>
      </c>
      <c r="L2765" s="13">
        <f>_xlfn.DAYS(Tabla1[[#This Row],[FECHA FIN ]],Tabla1[[#This Row],[FECHA INICIO]])</f>
        <v>560</v>
      </c>
      <c r="M2765" s="12"/>
      <c r="N2765" s="12">
        <f>875.5/4</f>
        <v>218.875</v>
      </c>
      <c r="O2765" s="12">
        <f>(Tabla1[[#This Row],[COSTO FIJO ]]/30)*Tabla1[[#This Row],[TOTAL DIAS PROYECTO]]+(Tabla1[[#This Row],[COSTO TEMPORAL]])</f>
        <v>4085.6666666666665</v>
      </c>
      <c r="P2765" s="12">
        <f>942.69/16</f>
        <v>58.918125000000003</v>
      </c>
      <c r="Q2765" s="12">
        <f>+(Tabla1[[#This Row],[COSTO COCHE]]/30)*Tabla1[[#This Row],[TOTAL DIAS PROYECTO]]</f>
        <v>1099.8050000000001</v>
      </c>
      <c r="R2765" s="12">
        <f>+Tabla1[[#This Row],[COSTO TOTAL ALOJAMIENTO]]+Tabla1[[#This Row],[COSTO TOTAL COCHE]]</f>
        <v>5185.4716666666664</v>
      </c>
      <c r="S2765" s="2"/>
      <c r="T2765" s="2" t="s">
        <v>35</v>
      </c>
      <c r="U2765" s="14"/>
      <c r="V2765" s="14"/>
      <c r="W2765" s="15"/>
      <c r="X2765" s="16">
        <v>1</v>
      </c>
      <c r="Y2765" s="11" t="s">
        <v>4284</v>
      </c>
      <c r="Z2765" s="2" t="s">
        <v>36</v>
      </c>
      <c r="AA2765" s="13" t="s">
        <v>10323</v>
      </c>
      <c r="AB2765" s="13" t="s">
        <v>10324</v>
      </c>
    </row>
    <row r="2766" spans="1:28" ht="15" customHeight="1">
      <c r="A2766" s="2" t="s">
        <v>9343</v>
      </c>
      <c r="B2766" s="2" t="s">
        <v>28</v>
      </c>
      <c r="C2766" s="11" t="s">
        <v>2875</v>
      </c>
      <c r="D2766" s="2" t="s">
        <v>30</v>
      </c>
      <c r="E2766" s="2" t="s">
        <v>380</v>
      </c>
      <c r="F2766" s="11" t="s">
        <v>4285</v>
      </c>
      <c r="G2766" s="21" t="s">
        <v>4286</v>
      </c>
      <c r="H2766" s="2" t="s">
        <v>4261</v>
      </c>
      <c r="I2766" s="12" t="s">
        <v>4262</v>
      </c>
      <c r="J2766" s="22">
        <f>+Tabla1[[#This Row],[FECHA ENTRADA]]</f>
        <v>45684</v>
      </c>
      <c r="K2766" s="22">
        <v>45821</v>
      </c>
      <c r="L2766" s="23">
        <f>_xlfn.DAYS(Tabla1[[#This Row],[FECHA FIN ]],Tabla1[[#This Row],[FECHA INICIO]])</f>
        <v>137</v>
      </c>
      <c r="M2766" s="12"/>
      <c r="N2766" s="12">
        <f>1811.6/17</f>
        <v>106.56470588235294</v>
      </c>
      <c r="O2766" s="24">
        <f>(Tabla1[[#This Row],[COSTO FIJO ]]/30)*Tabla1[[#This Row],[TOTAL DIAS PROYECTO]]+(Tabla1[[#This Row],[COSTO TEMPORAL]])</f>
        <v>486.64549019607847</v>
      </c>
      <c r="P2766" s="12"/>
      <c r="Q2766" s="12">
        <f>+(Tabla1[[#This Row],[COSTO COCHE]]/30)*Tabla1[[#This Row],[TOTAL DIAS PROYECTO]]</f>
        <v>0</v>
      </c>
      <c r="R2766" s="12">
        <f>+Tabla1[[#This Row],[COSTO TOTAL ALOJAMIENTO]]+Tabla1[[#This Row],[COSTO TOTAL COCHE]]</f>
        <v>486.64549019607847</v>
      </c>
      <c r="S2766" s="2"/>
      <c r="T2766" s="2" t="s">
        <v>44</v>
      </c>
      <c r="U2766" s="14">
        <v>45684</v>
      </c>
      <c r="V2766" s="79">
        <v>45714</v>
      </c>
      <c r="W2766" s="26"/>
      <c r="X2766" s="2"/>
      <c r="Y2766" s="11"/>
      <c r="Z2766" s="2" t="s">
        <v>36</v>
      </c>
      <c r="AA2766" s="13" t="s">
        <v>10370</v>
      </c>
      <c r="AB2766" s="13" t="s">
        <v>10371</v>
      </c>
    </row>
    <row r="2767" spans="1:28" ht="15" customHeight="1">
      <c r="A2767" s="2" t="s">
        <v>9151</v>
      </c>
      <c r="B2767" s="2" t="s">
        <v>28</v>
      </c>
      <c r="C2767" s="11" t="s">
        <v>2235</v>
      </c>
      <c r="D2767" s="2" t="s">
        <v>30</v>
      </c>
      <c r="E2767" s="2" t="s">
        <v>380</v>
      </c>
      <c r="F2767" s="11"/>
      <c r="G2767" s="49"/>
      <c r="H2767" s="2" t="s">
        <v>1890</v>
      </c>
      <c r="I2767" s="12" t="s">
        <v>800</v>
      </c>
      <c r="J2767" s="22">
        <f>+Tabla1[[#This Row],[FECHA ENTRADA]]</f>
        <v>45689</v>
      </c>
      <c r="K2767" s="22">
        <v>45731</v>
      </c>
      <c r="L2767" s="23">
        <f>_xlfn.DAYS(Tabla1[[#This Row],[FECHA FIN ]],Tabla1[[#This Row],[FECHA INICIO]])</f>
        <v>42</v>
      </c>
      <c r="M2767" s="12"/>
      <c r="N2767" s="12">
        <v>300</v>
      </c>
      <c r="O2767" s="24">
        <f>(Tabla1[[#This Row],[COSTO FIJO ]]/30)*Tabla1[[#This Row],[TOTAL DIAS PROYECTO]]+(Tabla1[[#This Row],[COSTO TEMPORAL]])</f>
        <v>420</v>
      </c>
      <c r="P2767" s="12">
        <f>613.83/4</f>
        <v>153.45750000000001</v>
      </c>
      <c r="Q2767" s="12">
        <f>+(Tabla1[[#This Row],[COSTO COCHE]]/30)*Tabla1[[#This Row],[TOTAL DIAS PROYECTO]]</f>
        <v>214.84050000000002</v>
      </c>
      <c r="R2767" s="12">
        <f>+Tabla1[[#This Row],[COSTO TOTAL ALOJAMIENTO]]+Tabla1[[#This Row],[COSTO TOTAL COCHE]]</f>
        <v>634.84050000000002</v>
      </c>
      <c r="S2767" s="2"/>
      <c r="T2767" s="2" t="s">
        <v>58</v>
      </c>
      <c r="U2767" s="14">
        <v>45689</v>
      </c>
      <c r="V2767" s="25"/>
      <c r="W2767" s="26"/>
      <c r="X2767" s="2"/>
      <c r="Y2767" s="11"/>
      <c r="Z2767" s="2" t="s">
        <v>36</v>
      </c>
      <c r="AA2767" s="13" t="s">
        <v>10370</v>
      </c>
      <c r="AB2767" s="13" t="s">
        <v>10371</v>
      </c>
    </row>
    <row r="2768" spans="1:28" ht="15" customHeight="1">
      <c r="A2768" s="2" t="s">
        <v>9350</v>
      </c>
      <c r="B2768" s="2" t="s">
        <v>28</v>
      </c>
      <c r="C2768" s="11" t="s">
        <v>2907</v>
      </c>
      <c r="D2768" s="2" t="s">
        <v>99</v>
      </c>
      <c r="E2768" s="2" t="s">
        <v>380</v>
      </c>
      <c r="F2768" s="11" t="s">
        <v>2236</v>
      </c>
      <c r="G2768" t="s">
        <v>2237</v>
      </c>
      <c r="H2768" s="2" t="s">
        <v>2908</v>
      </c>
      <c r="I2768" s="12" t="s">
        <v>800</v>
      </c>
      <c r="J2768" s="22">
        <f>+Tabla1[[#This Row],[FECHA ENTRADA]]</f>
        <v>45719</v>
      </c>
      <c r="K2768" s="22">
        <v>45802</v>
      </c>
      <c r="L2768" s="23">
        <f>_xlfn.DAYS(Tabla1[[#This Row],[FECHA FIN ]],Tabla1[[#This Row],[FECHA INICIO]])</f>
        <v>83</v>
      </c>
      <c r="M2768" s="12"/>
      <c r="N2768" s="12"/>
      <c r="O2768" s="24">
        <f>(Tabla1[[#This Row],[COSTO FIJO ]]/30)*Tabla1[[#This Row],[TOTAL DIAS PROYECTO]]+(Tabla1[[#This Row],[COSTO TEMPORAL]])</f>
        <v>0</v>
      </c>
      <c r="P2768" s="12">
        <f>613.83/4</f>
        <v>153.45750000000001</v>
      </c>
      <c r="Q2768" s="12">
        <f>+(Tabla1[[#This Row],[COSTO COCHE]]/30)*Tabla1[[#This Row],[TOTAL DIAS PROYECTO]]</f>
        <v>424.56575000000004</v>
      </c>
      <c r="R2768" s="12">
        <f>+Tabla1[[#This Row],[COSTO TOTAL ALOJAMIENTO]]+Tabla1[[#This Row],[COSTO TOTAL COCHE]]</f>
        <v>424.56575000000004</v>
      </c>
      <c r="S2768" s="2"/>
      <c r="T2768" s="2" t="s">
        <v>35</v>
      </c>
      <c r="U2768" s="14">
        <v>45719</v>
      </c>
      <c r="V2768" s="25"/>
      <c r="W2768" s="26">
        <v>1200</v>
      </c>
      <c r="X2768" s="2">
        <v>1</v>
      </c>
      <c r="Y2768" s="11" t="s">
        <v>4287</v>
      </c>
      <c r="Z2768" s="2" t="s">
        <v>36</v>
      </c>
      <c r="AA2768" s="13" t="s">
        <v>10370</v>
      </c>
      <c r="AB2768" s="13" t="s">
        <v>10371</v>
      </c>
    </row>
    <row r="2769" spans="1:28" ht="15" customHeight="1">
      <c r="A2769" s="2" t="s">
        <v>9699</v>
      </c>
      <c r="B2769" s="2" t="s">
        <v>978</v>
      </c>
      <c r="C2769" s="11" t="s">
        <v>4288</v>
      </c>
      <c r="D2769" s="2" t="s">
        <v>30</v>
      </c>
      <c r="E2769" s="2" t="s">
        <v>826</v>
      </c>
      <c r="F2769" s="11" t="s">
        <v>4289</v>
      </c>
      <c r="G2769" s="46" t="s">
        <v>4290</v>
      </c>
      <c r="H2769" s="2" t="s">
        <v>1585</v>
      </c>
      <c r="I2769" s="12" t="s">
        <v>4291</v>
      </c>
      <c r="J2769" s="41">
        <f>+Tabla1[[#This Row],[FECHA ENTRADA]]</f>
        <v>45818</v>
      </c>
      <c r="K2769" s="22">
        <v>45847</v>
      </c>
      <c r="L2769" s="42">
        <f>_xlfn.DAYS(Tabla1[[#This Row],[FECHA FIN ]],Tabla1[[#This Row],[FECHA INICIO]])</f>
        <v>29</v>
      </c>
      <c r="M2769" s="12"/>
      <c r="N2769" s="12"/>
      <c r="O2769" s="28">
        <f>(Tabla1[[#This Row],[COSTO FIJO ]]/30)*Tabla1[[#This Row],[TOTAL DIAS PROYECTO]]+(Tabla1[[#This Row],[COSTO TEMPORAL]])</f>
        <v>0</v>
      </c>
      <c r="P2769" s="12"/>
      <c r="Q2769" s="12">
        <f>+(Tabla1[[#This Row],[COSTO COCHE]]/30)*Tabla1[[#This Row],[TOTAL DIAS PROYECTO]]</f>
        <v>0</v>
      </c>
      <c r="R2769" s="12">
        <f>+Tabla1[[#This Row],[COSTO TOTAL ALOJAMIENTO]]+Tabla1[[#This Row],[COSTO TOTAL COCHE]]</f>
        <v>0</v>
      </c>
      <c r="S2769" s="2"/>
      <c r="T2769" s="14" t="s">
        <v>44</v>
      </c>
      <c r="U2769" s="14">
        <v>45818</v>
      </c>
      <c r="V2769" s="43">
        <v>45848</v>
      </c>
      <c r="W2769" s="12">
        <v>280</v>
      </c>
      <c r="X2769" s="2"/>
      <c r="Y2769" s="11"/>
      <c r="Z2769" s="2" t="s">
        <v>36</v>
      </c>
      <c r="AA2769" s="13" t="s">
        <v>10399</v>
      </c>
      <c r="AB2769" s="13" t="s">
        <v>10400</v>
      </c>
    </row>
    <row r="2770" spans="1:28" ht="15" customHeight="1">
      <c r="A2770" s="2" t="s">
        <v>8931</v>
      </c>
      <c r="B2770" s="2" t="s">
        <v>368</v>
      </c>
      <c r="C2770" s="11" t="s">
        <v>1330</v>
      </c>
      <c r="D2770" s="2" t="s">
        <v>78</v>
      </c>
      <c r="E2770" s="2" t="s">
        <v>1297</v>
      </c>
      <c r="F2770" s="11" t="s">
        <v>4292</v>
      </c>
      <c r="G2770" s="46" t="s">
        <v>4293</v>
      </c>
      <c r="H2770" s="2" t="s">
        <v>1300</v>
      </c>
      <c r="I2770" s="29" t="s">
        <v>1301</v>
      </c>
      <c r="J2770" s="22">
        <f>+Tabla1[[#This Row],[FECHA ENTRADA]]</f>
        <v>45840</v>
      </c>
      <c r="K2770" s="22">
        <v>45847</v>
      </c>
      <c r="L2770" s="23">
        <f>_xlfn.DAYS(Tabla1[[#This Row],[FECHA FIN ]],Tabla1[[#This Row],[FECHA INICIO]])</f>
        <v>7</v>
      </c>
      <c r="M2770" s="12"/>
      <c r="N2770" s="12"/>
      <c r="O2770" s="24">
        <f>(Tabla1[[#This Row],[COSTO FIJO ]]/30)*Tabla1[[#This Row],[TOTAL DIAS PROYECTO]]+(Tabla1[[#This Row],[COSTO TEMPORAL]])</f>
        <v>0</v>
      </c>
      <c r="P2770" s="12"/>
      <c r="Q2770" s="12">
        <f>+(Tabla1[[#This Row],[COSTO COCHE]]/30)*Tabla1[[#This Row],[TOTAL DIAS PROYECTO]]</f>
        <v>0</v>
      </c>
      <c r="R2770" s="12">
        <f>+Tabla1[[#This Row],[COSTO TOTAL ALOJAMIENTO]]+Tabla1[[#This Row],[COSTO TOTAL COCHE]]</f>
        <v>0</v>
      </c>
      <c r="S2770" s="2"/>
      <c r="T2770" s="2" t="s">
        <v>44</v>
      </c>
      <c r="U2770" s="14">
        <v>45840</v>
      </c>
      <c r="V2770" s="25">
        <v>45871</v>
      </c>
      <c r="W2770" s="2"/>
      <c r="X2770" s="2"/>
      <c r="Y2770" s="11"/>
      <c r="Z2770" s="2" t="s">
        <v>36</v>
      </c>
      <c r="AA2770" s="13" t="s">
        <v>10414</v>
      </c>
      <c r="AB2770" s="13">
        <v>5094783</v>
      </c>
    </row>
    <row r="2771" spans="1:28" ht="15" customHeight="1">
      <c r="A2771" s="2" t="s">
        <v>9320</v>
      </c>
      <c r="B2771" s="2" t="s">
        <v>978</v>
      </c>
      <c r="C2771" s="11" t="s">
        <v>2814</v>
      </c>
      <c r="D2771" s="2" t="s">
        <v>99</v>
      </c>
      <c r="E2771" s="2" t="s">
        <v>3400</v>
      </c>
      <c r="F2771" s="11" t="s">
        <v>4294</v>
      </c>
      <c r="G2771" s="30" t="s">
        <v>4295</v>
      </c>
      <c r="H2771" s="2" t="s">
        <v>3172</v>
      </c>
      <c r="I2771" s="12" t="s">
        <v>4296</v>
      </c>
      <c r="J2771" s="41">
        <f>+Tabla1[[#This Row],[FECHA ENTRADA]]</f>
        <v>45839</v>
      </c>
      <c r="K2771" s="41">
        <v>45847</v>
      </c>
      <c r="L2771" s="42">
        <f>_xlfn.DAYS(Tabla1[[#This Row],[FECHA FIN ]],Tabla1[[#This Row],[FECHA INICIO]])</f>
        <v>8</v>
      </c>
      <c r="M2771" s="12"/>
      <c r="N2771" s="12"/>
      <c r="O2771" s="28">
        <f>(Tabla1[[#This Row],[COSTO FIJO ]]/30)*Tabla1[[#This Row],[TOTAL DIAS PROYECTO]]+(Tabla1[[#This Row],[COSTO TEMPORAL]])</f>
        <v>0</v>
      </c>
      <c r="P2771" s="12"/>
      <c r="Q2771" s="12">
        <f>+(Tabla1[[#This Row],[COSTO COCHE]]/30)*Tabla1[[#This Row],[TOTAL DIAS PROYECTO]]</f>
        <v>0</v>
      </c>
      <c r="R2771" s="12">
        <f>+Tabla1[[#This Row],[COSTO TOTAL ALOJAMIENTO]]+Tabla1[[#This Row],[COSTO TOTAL COCHE]]</f>
        <v>0</v>
      </c>
      <c r="S2771" s="2"/>
      <c r="T2771" s="14" t="s">
        <v>44</v>
      </c>
      <c r="U2771" s="14">
        <v>45839</v>
      </c>
      <c r="V2771" s="43">
        <v>45900</v>
      </c>
      <c r="W2771" s="12"/>
      <c r="X2771" s="2">
        <v>1</v>
      </c>
      <c r="Y2771" s="11" t="s">
        <v>4297</v>
      </c>
      <c r="Z2771" s="2" t="s">
        <v>36</v>
      </c>
      <c r="AA2771" s="13" t="e">
        <v>#N/A</v>
      </c>
      <c r="AB2771" s="13" t="e">
        <v>#N/A</v>
      </c>
    </row>
    <row r="2772" spans="1:28" ht="15" customHeight="1">
      <c r="A2772" s="2" t="s">
        <v>9065</v>
      </c>
      <c r="B2772" s="2" t="s">
        <v>368</v>
      </c>
      <c r="C2772" s="31" t="s">
        <v>1850</v>
      </c>
      <c r="D2772" s="2" t="s">
        <v>99</v>
      </c>
      <c r="E2772" s="2" t="s">
        <v>109</v>
      </c>
      <c r="F2772" s="11"/>
      <c r="G2772" s="46"/>
      <c r="H2772" s="2" t="s">
        <v>4090</v>
      </c>
      <c r="I2772" s="12" t="s">
        <v>1830</v>
      </c>
      <c r="J2772" s="41">
        <v>45796</v>
      </c>
      <c r="K2772" s="22">
        <v>45915</v>
      </c>
      <c r="L2772" s="42">
        <f>_xlfn.DAYS(Tabla1[[#This Row],[FECHA FIN ]],Tabla1[[#This Row],[FECHA INICIO]])</f>
        <v>119</v>
      </c>
      <c r="M2772" s="12"/>
      <c r="N2772" s="28">
        <v>300</v>
      </c>
      <c r="O2772" s="28">
        <f>(Tabla1[[#This Row],[COSTO FIJO ]]/30)*Tabla1[[#This Row],[TOTAL DIAS PROYECTO]]+(Tabla1[[#This Row],[COSTO TEMPORAL]])</f>
        <v>1190</v>
      </c>
      <c r="P2772" s="12"/>
      <c r="Q2772" s="12">
        <f>+(Tabla1[[#This Row],[COSTO COCHE]]/30)*Tabla1[[#This Row],[TOTAL DIAS PROYECTO]]</f>
        <v>0</v>
      </c>
      <c r="R2772" s="12">
        <f>+Tabla1[[#This Row],[COSTO TOTAL ALOJAMIENTO]]+Tabla1[[#This Row],[COSTO TOTAL COCHE]]</f>
        <v>1190</v>
      </c>
      <c r="S2772" s="2"/>
      <c r="T2772" s="14" t="s">
        <v>58</v>
      </c>
      <c r="U2772" s="14">
        <v>45797</v>
      </c>
      <c r="V2772" s="75"/>
      <c r="W2772" s="2"/>
      <c r="X2772" s="2"/>
      <c r="Y2772" s="11" t="s">
        <v>4298</v>
      </c>
      <c r="Z2772" s="2" t="s">
        <v>36</v>
      </c>
      <c r="AA2772" s="13">
        <v>0.62217999999999996</v>
      </c>
      <c r="AB2772" s="13" t="s">
        <v>10339</v>
      </c>
    </row>
    <row r="2773" spans="1:28" ht="15" customHeight="1">
      <c r="A2773" s="2" t="s">
        <v>8642</v>
      </c>
      <c r="B2773" s="2" t="s">
        <v>606</v>
      </c>
      <c r="C2773" s="31" t="s">
        <v>4299</v>
      </c>
      <c r="D2773" s="2" t="s">
        <v>99</v>
      </c>
      <c r="E2773" s="2" t="s">
        <v>31</v>
      </c>
      <c r="F2773" s="11" t="s">
        <v>1206</v>
      </c>
      <c r="G2773" s="167" t="s">
        <v>1005</v>
      </c>
      <c r="H2773" s="2" t="s">
        <v>4300</v>
      </c>
      <c r="I2773" s="12" t="s">
        <v>4301</v>
      </c>
      <c r="J2773" s="22">
        <f>+Tabla1[[#This Row],[FECHA ENTRADA]]</f>
        <v>46187</v>
      </c>
      <c r="K2773" s="22">
        <v>46203</v>
      </c>
      <c r="L2773" s="23">
        <f>_xlfn.DAYS(Tabla1[[#This Row],[FECHA FIN ]],Tabla1[[#This Row],[FECHA INICIO]])</f>
        <v>16</v>
      </c>
      <c r="M2773" s="12"/>
      <c r="N2773" s="12">
        <f>2500/5</f>
        <v>500</v>
      </c>
      <c r="O2773" s="24">
        <f>(Tabla1[[#This Row],[COSTO FIJO ]]/30)*Tabla1[[#This Row],[TOTAL DIAS PROYECTO]]+(Tabla1[[#This Row],[COSTO TEMPORAL]])</f>
        <v>266.66666666666669</v>
      </c>
      <c r="P2773" s="12"/>
      <c r="Q2773" s="12">
        <f>+(Tabla1[[#This Row],[COSTO COCHE]]/30)*Tabla1[[#This Row],[TOTAL DIAS PROYECTO]]</f>
        <v>0</v>
      </c>
      <c r="R2773" s="12">
        <f>+Tabla1[[#This Row],[COSTO TOTAL ALOJAMIENTO]]+Tabla1[[#This Row],[COSTO TOTAL COCHE]]</f>
        <v>266.66666666666669</v>
      </c>
      <c r="S2773" s="2"/>
      <c r="T2773" s="14" t="s">
        <v>35</v>
      </c>
      <c r="U2773" s="14">
        <v>46187</v>
      </c>
      <c r="V2773" s="79"/>
      <c r="W2773" s="12"/>
      <c r="X2773" s="2">
        <v>1</v>
      </c>
      <c r="Y2773" s="202" t="s">
        <v>4302</v>
      </c>
      <c r="Z2773" s="2" t="s">
        <v>36</v>
      </c>
      <c r="AA2773" s="13" t="s">
        <v>10323</v>
      </c>
      <c r="AB2773" s="13" t="s">
        <v>10324</v>
      </c>
    </row>
    <row r="2774" spans="1:28" ht="15" customHeight="1">
      <c r="A2774" s="2" t="s">
        <v>8642</v>
      </c>
      <c r="B2774" s="2" t="s">
        <v>711</v>
      </c>
      <c r="C2774" s="31" t="s">
        <v>4303</v>
      </c>
      <c r="D2774" s="2" t="s">
        <v>30</v>
      </c>
      <c r="E2774" s="2" t="s">
        <v>1987</v>
      </c>
      <c r="F2774" s="11" t="s">
        <v>3766</v>
      </c>
      <c r="G2774" s="128" t="s">
        <v>3767</v>
      </c>
      <c r="H2774" s="2" t="s">
        <v>4304</v>
      </c>
      <c r="I2774" s="12" t="s">
        <v>3769</v>
      </c>
      <c r="J2774" s="41">
        <f>+Tabla1[[#This Row],[FECHA ENTRADA]]</f>
        <v>46250</v>
      </c>
      <c r="K2774" s="22">
        <v>46258</v>
      </c>
      <c r="L2774" s="42">
        <f>_xlfn.DAYS(Tabla1[[#This Row],[FECHA FIN ]],Tabla1[[#This Row],[FECHA INICIO]])</f>
        <v>8</v>
      </c>
      <c r="M2774" s="12"/>
      <c r="N2774" s="28">
        <v>542.5</v>
      </c>
      <c r="O2774" s="28">
        <f>(Tabla1[[#This Row],[COSTO FIJO ]]/30)*Tabla1[[#This Row],[TOTAL DIAS PROYECTO]]+(Tabla1[[#This Row],[COSTO TEMPORAL]])</f>
        <v>144.66666666666666</v>
      </c>
      <c r="P2774" s="12"/>
      <c r="Q2774" s="12">
        <f>+(Tabla1[[#This Row],[COSTO COCHE]]/30)*Tabla1[[#This Row],[TOTAL DIAS PROYECTO]]</f>
        <v>0</v>
      </c>
      <c r="R2774" s="12">
        <f>+Tabla1[[#This Row],[COSTO TOTAL ALOJAMIENTO]]+Tabla1[[#This Row],[COSTO TOTAL COCHE]]</f>
        <v>144.66666666666666</v>
      </c>
      <c r="S2774" s="2"/>
      <c r="T2774" s="14" t="s">
        <v>35</v>
      </c>
      <c r="U2774" s="14">
        <v>46250</v>
      </c>
      <c r="V2774" s="43"/>
      <c r="W2774" s="12"/>
      <c r="X2774" s="2">
        <v>7</v>
      </c>
      <c r="Y2774" s="11" t="s">
        <v>4305</v>
      </c>
      <c r="Z2774" s="2" t="s">
        <v>36</v>
      </c>
      <c r="AA2774" s="13" t="s">
        <v>10435</v>
      </c>
      <c r="AB2774" s="13">
        <v>42.136150000000001</v>
      </c>
    </row>
    <row r="2775" spans="1:28" ht="15" customHeight="1">
      <c r="A2775" s="2" t="s">
        <v>9700</v>
      </c>
      <c r="B2775" s="2" t="s">
        <v>711</v>
      </c>
      <c r="C2775" s="31" t="s">
        <v>4306</v>
      </c>
      <c r="D2775" s="2" t="s">
        <v>30</v>
      </c>
      <c r="E2775" s="2" t="s">
        <v>415</v>
      </c>
      <c r="F2775" s="11" t="s">
        <v>1412</v>
      </c>
      <c r="G2775" s="197" t="s">
        <v>1413</v>
      </c>
      <c r="H2775" s="2" t="s">
        <v>4307</v>
      </c>
      <c r="I2775" s="12" t="s">
        <v>800</v>
      </c>
      <c r="J2775" s="41">
        <f>+Tabla1[[#This Row],[FECHA ENTRADA]]</f>
        <v>46204</v>
      </c>
      <c r="K2775" s="22">
        <v>46214</v>
      </c>
      <c r="L2775" s="42">
        <f>_xlfn.DAYS(Tabla1[[#This Row],[FECHA FIN ]],Tabla1[[#This Row],[FECHA INICIO]])</f>
        <v>10</v>
      </c>
      <c r="M2775" s="12"/>
      <c r="N2775" s="28">
        <v>500</v>
      </c>
      <c r="O2775" s="28">
        <f>(Tabla1[[#This Row],[COSTO FIJO ]]/30)*Tabla1[[#This Row],[TOTAL DIAS PROYECTO]]+(Tabla1[[#This Row],[COSTO TEMPORAL]])</f>
        <v>166.66666666666669</v>
      </c>
      <c r="P2775" s="12"/>
      <c r="Q2775" s="12">
        <f>+(Tabla1[[#This Row],[COSTO COCHE]]/30)*Tabla1[[#This Row],[TOTAL DIAS PROYECTO]]</f>
        <v>0</v>
      </c>
      <c r="R2775" s="12">
        <f>+Tabla1[[#This Row],[COSTO TOTAL ALOJAMIENTO]]+Tabla1[[#This Row],[COSTO TOTAL COCHE]]</f>
        <v>166.66666666666669</v>
      </c>
      <c r="S2775" s="2"/>
      <c r="T2775" s="14" t="s">
        <v>35</v>
      </c>
      <c r="U2775" s="14">
        <v>46204</v>
      </c>
      <c r="V2775" s="43"/>
      <c r="W2775" s="12"/>
      <c r="X2775" s="2">
        <v>1</v>
      </c>
      <c r="Y2775" s="11" t="s">
        <v>4308</v>
      </c>
      <c r="Z2775" s="2" t="s">
        <v>36</v>
      </c>
      <c r="AA2775" s="13">
        <v>-0.37739</v>
      </c>
      <c r="AB2775" s="13" t="s">
        <v>10372</v>
      </c>
    </row>
    <row r="2776" spans="1:28" ht="15" customHeight="1">
      <c r="A2776" s="2" t="s">
        <v>9701</v>
      </c>
      <c r="B2776" s="2" t="s">
        <v>978</v>
      </c>
      <c r="C2776" s="11" t="s">
        <v>4309</v>
      </c>
      <c r="D2776" s="2" t="s">
        <v>99</v>
      </c>
      <c r="E2776" s="2" t="s">
        <v>3400</v>
      </c>
      <c r="F2776" s="11" t="s">
        <v>4310</v>
      </c>
      <c r="G2776" s="46" t="s">
        <v>4311</v>
      </c>
      <c r="H2776" s="2" t="s">
        <v>4312</v>
      </c>
      <c r="I2776" s="12" t="s">
        <v>4296</v>
      </c>
      <c r="J2776" s="41">
        <f>+Tabla1[[#This Row],[FECHA ENTRADA]]</f>
        <v>45839</v>
      </c>
      <c r="K2776" s="41">
        <v>45847</v>
      </c>
      <c r="L2776" s="42">
        <f>_xlfn.DAYS(Tabla1[[#This Row],[FECHA FIN ]],Tabla1[[#This Row],[FECHA INICIO]])</f>
        <v>8</v>
      </c>
      <c r="M2776" s="12"/>
      <c r="N2776" s="12"/>
      <c r="O2776" s="28">
        <f>(Tabla1[[#This Row],[COSTO FIJO ]]/30)*Tabla1[[#This Row],[TOTAL DIAS PROYECTO]]+(Tabla1[[#This Row],[COSTO TEMPORAL]])</f>
        <v>0</v>
      </c>
      <c r="P2776" s="12"/>
      <c r="Q2776" s="12">
        <f>+(Tabla1[[#This Row],[COSTO COCHE]]/30)*Tabla1[[#This Row],[TOTAL DIAS PROYECTO]]</f>
        <v>0</v>
      </c>
      <c r="R2776" s="12">
        <f>+Tabla1[[#This Row],[COSTO TOTAL ALOJAMIENTO]]+Tabla1[[#This Row],[COSTO TOTAL COCHE]]</f>
        <v>0</v>
      </c>
      <c r="S2776" s="2"/>
      <c r="T2776" s="14" t="s">
        <v>35</v>
      </c>
      <c r="U2776" s="14">
        <v>45839</v>
      </c>
      <c r="V2776" s="43"/>
      <c r="W2776" s="12">
        <v>350</v>
      </c>
      <c r="X2776" s="2">
        <v>25</v>
      </c>
      <c r="Y2776" s="11"/>
      <c r="Z2776" s="2" t="s">
        <v>36</v>
      </c>
      <c r="AA2776" s="13" t="e">
        <v>#N/A</v>
      </c>
      <c r="AB2776" s="13" t="e">
        <v>#N/A</v>
      </c>
    </row>
    <row r="2777" spans="1:28" ht="15" customHeight="1">
      <c r="A2777" s="2" t="s">
        <v>9283</v>
      </c>
      <c r="B2777" s="2" t="s">
        <v>28</v>
      </c>
      <c r="C2777" s="31" t="s">
        <v>2693</v>
      </c>
      <c r="D2777" s="2" t="s">
        <v>30</v>
      </c>
      <c r="E2777" s="2" t="s">
        <v>55</v>
      </c>
      <c r="F2777" s="11"/>
      <c r="G2777" s="11"/>
      <c r="H2777" s="2">
        <v>2023</v>
      </c>
      <c r="I2777" s="2" t="s">
        <v>236</v>
      </c>
      <c r="J2777" s="8">
        <v>45122</v>
      </c>
      <c r="K2777" s="22">
        <v>45848</v>
      </c>
      <c r="L2777" s="13">
        <f>_xlfn.DAYS(Tabla1[[#This Row],[FECHA FIN ]],Tabla1[[#This Row],[FECHA INICIO]])</f>
        <v>726</v>
      </c>
      <c r="M2777" s="12"/>
      <c r="N2777" s="12">
        <v>300</v>
      </c>
      <c r="O2777" s="12">
        <f>(Tabla1[[#This Row],[COSTO FIJO ]]/30)*Tabla1[[#This Row],[TOTAL DIAS PROYECTO]]+(Tabla1[[#This Row],[COSTO TEMPORAL]])</f>
        <v>7260</v>
      </c>
      <c r="P2777" s="12"/>
      <c r="Q2777" s="12">
        <f>+(Tabla1[[#This Row],[COSTO COCHE]]/30)*Tabla1[[#This Row],[TOTAL DIAS PROYECTO]]</f>
        <v>0</v>
      </c>
      <c r="R2777" s="12">
        <f>+Tabla1[[#This Row],[COSTO TOTAL ALOJAMIENTO]]+Tabla1[[#This Row],[COSTO TOTAL COCHE]]</f>
        <v>7260</v>
      </c>
      <c r="S2777" s="2"/>
      <c r="T2777" s="2" t="s">
        <v>58</v>
      </c>
      <c r="U2777" s="14"/>
      <c r="V2777" s="14">
        <v>45353</v>
      </c>
      <c r="W2777" s="15"/>
      <c r="X2777" s="16"/>
      <c r="Y2777" s="18" t="s">
        <v>4313</v>
      </c>
      <c r="Z2777" s="2" t="s">
        <v>36</v>
      </c>
      <c r="AA2777" s="13" t="s">
        <v>10327</v>
      </c>
      <c r="AB2777" s="13" t="s">
        <v>10328</v>
      </c>
    </row>
    <row r="2778" spans="1:28" ht="15" customHeight="1">
      <c r="A2778" s="2" t="s">
        <v>8737</v>
      </c>
      <c r="B2778" s="2" t="s">
        <v>978</v>
      </c>
      <c r="C2778" s="11" t="s">
        <v>510</v>
      </c>
      <c r="D2778" s="2" t="s">
        <v>30</v>
      </c>
      <c r="E2778" s="2" t="s">
        <v>253</v>
      </c>
      <c r="F2778" s="11" t="s">
        <v>2576</v>
      </c>
      <c r="G2778" s="11" t="s">
        <v>2577</v>
      </c>
      <c r="H2778" s="2" t="s">
        <v>1530</v>
      </c>
      <c r="I2778" s="12" t="s">
        <v>1155</v>
      </c>
      <c r="J2778" s="22">
        <f>+Tabla1[[#This Row],[FECHA ENTRADA]]</f>
        <v>45822</v>
      </c>
      <c r="K2778" s="22">
        <v>45848</v>
      </c>
      <c r="L2778" s="23">
        <f>_xlfn.DAYS(Tabla1[[#This Row],[FECHA FIN ]],Tabla1[[#This Row],[FECHA INICIO]])</f>
        <v>26</v>
      </c>
      <c r="M2778" s="12"/>
      <c r="N2778" s="12">
        <v>500</v>
      </c>
      <c r="O2778" s="24">
        <f>(Tabla1[[#This Row],[COSTO FIJO ]]/30)*Tabla1[[#This Row],[TOTAL DIAS PROYECTO]]+(Tabla1[[#This Row],[COSTO TEMPORAL]])</f>
        <v>433.33333333333337</v>
      </c>
      <c r="P2778" s="12"/>
      <c r="Q2778" s="12">
        <f>+(Tabla1[[#This Row],[COSTO COCHE]]/30)*Tabla1[[#This Row],[TOTAL DIAS PROYECTO]]</f>
        <v>0</v>
      </c>
      <c r="R2778" s="12">
        <f>+Tabla1[[#This Row],[COSTO TOTAL ALOJAMIENTO]]+Tabla1[[#This Row],[COSTO TOTAL COCHE]]</f>
        <v>433.33333333333337</v>
      </c>
      <c r="S2778" s="2"/>
      <c r="T2778" s="2" t="s">
        <v>35</v>
      </c>
      <c r="U2778" s="14">
        <v>45822</v>
      </c>
      <c r="V2778" s="25"/>
      <c r="W2778" s="2"/>
      <c r="X2778" s="2">
        <v>1</v>
      </c>
      <c r="Y2778" s="11"/>
      <c r="Z2778" s="2" t="s">
        <v>36</v>
      </c>
      <c r="AA2778" s="13" t="s">
        <v>10357</v>
      </c>
      <c r="AB2778" s="13" t="s">
        <v>10358</v>
      </c>
    </row>
    <row r="2779" spans="1:28" ht="15" customHeight="1">
      <c r="A2779" s="2" t="s">
        <v>9702</v>
      </c>
      <c r="B2779" s="2" t="s">
        <v>28</v>
      </c>
      <c r="C2779" s="11" t="s">
        <v>4314</v>
      </c>
      <c r="D2779" s="2" t="s">
        <v>30</v>
      </c>
      <c r="E2779" s="2" t="s">
        <v>790</v>
      </c>
      <c r="F2779" s="11" t="s">
        <v>791</v>
      </c>
      <c r="G2779" s="11" t="s">
        <v>792</v>
      </c>
      <c r="H2779" s="2" t="s">
        <v>4315</v>
      </c>
      <c r="I2779" s="12" t="s">
        <v>292</v>
      </c>
      <c r="J2779" s="41">
        <f>+Tabla1[[#This Row],[FECHA ENTRADA]]</f>
        <v>45830</v>
      </c>
      <c r="K2779" s="41">
        <v>45848</v>
      </c>
      <c r="L2779" s="42">
        <f>_xlfn.DAYS(Tabla1[[#This Row],[FECHA FIN ]],Tabla1[[#This Row],[FECHA INICIO]])</f>
        <v>18</v>
      </c>
      <c r="M2779" s="12"/>
      <c r="N2779" s="28">
        <v>400</v>
      </c>
      <c r="O2779" s="28">
        <f>(Tabla1[[#This Row],[COSTO FIJO ]]/30)*Tabla1[[#This Row],[TOTAL DIAS PROYECTO]]+(Tabla1[[#This Row],[COSTO TEMPORAL]])</f>
        <v>240</v>
      </c>
      <c r="P2779" s="12"/>
      <c r="Q2779" s="12">
        <f>+(Tabla1[[#This Row],[COSTO COCHE]]/30)*Tabla1[[#This Row],[TOTAL DIAS PROYECTO]]</f>
        <v>0</v>
      </c>
      <c r="R2779" s="12">
        <f>+Tabla1[[#This Row],[COSTO TOTAL ALOJAMIENTO]]+Tabla1[[#This Row],[COSTO TOTAL COCHE]]</f>
        <v>240</v>
      </c>
      <c r="S2779" s="2"/>
      <c r="T2779" s="14" t="s">
        <v>35</v>
      </c>
      <c r="U2779" s="14">
        <v>45830</v>
      </c>
      <c r="V2779" s="43"/>
      <c r="W2779" s="2"/>
      <c r="X2779" s="2">
        <v>1</v>
      </c>
      <c r="Y2779" s="11"/>
      <c r="Z2779" s="2" t="s">
        <v>36</v>
      </c>
      <c r="AA2779" s="13">
        <v>-574377</v>
      </c>
      <c r="AB2779" s="13">
        <v>4150368</v>
      </c>
    </row>
    <row r="2780" spans="1:28" ht="15" customHeight="1">
      <c r="A2780" s="2" t="s">
        <v>8852</v>
      </c>
      <c r="B2780" s="2" t="s">
        <v>28</v>
      </c>
      <c r="C2780" s="11" t="s">
        <v>1030</v>
      </c>
      <c r="D2780" s="2" t="s">
        <v>30</v>
      </c>
      <c r="E2780" s="2" t="s">
        <v>790</v>
      </c>
      <c r="F2780" s="11" t="s">
        <v>4316</v>
      </c>
      <c r="G2780" s="30" t="s">
        <v>4317</v>
      </c>
      <c r="H2780" s="2" t="s">
        <v>4315</v>
      </c>
      <c r="I2780" s="12" t="s">
        <v>292</v>
      </c>
      <c r="J2780" s="41">
        <f>+Tabla1[[#This Row],[FECHA ENTRADA]]</f>
        <v>45830</v>
      </c>
      <c r="K2780" s="41">
        <v>45848</v>
      </c>
      <c r="L2780" s="42">
        <f>_xlfn.DAYS(Tabla1[[#This Row],[FECHA FIN ]],Tabla1[[#This Row],[FECHA INICIO]])</f>
        <v>18</v>
      </c>
      <c r="M2780" s="12"/>
      <c r="N2780" s="28">
        <v>200</v>
      </c>
      <c r="O2780" s="28">
        <f>(Tabla1[[#This Row],[COSTO FIJO ]]/30)*Tabla1[[#This Row],[TOTAL DIAS PROYECTO]]+(Tabla1[[#This Row],[COSTO TEMPORAL]])</f>
        <v>120</v>
      </c>
      <c r="P2780" s="12"/>
      <c r="Q2780" s="12">
        <f>+(Tabla1[[#This Row],[COSTO COCHE]]/30)*Tabla1[[#This Row],[TOTAL DIAS PROYECTO]]</f>
        <v>0</v>
      </c>
      <c r="R2780" s="12">
        <f>+Tabla1[[#This Row],[COSTO TOTAL ALOJAMIENTO]]+Tabla1[[#This Row],[COSTO TOTAL COCHE]]</f>
        <v>120</v>
      </c>
      <c r="S2780" s="2"/>
      <c r="T2780" s="14" t="s">
        <v>35</v>
      </c>
      <c r="U2780" s="14">
        <v>45830</v>
      </c>
      <c r="V2780" s="43"/>
      <c r="W2780" s="12">
        <v>600</v>
      </c>
      <c r="X2780" s="2">
        <v>5</v>
      </c>
      <c r="Y2780" s="11"/>
      <c r="Z2780" s="2" t="s">
        <v>36</v>
      </c>
      <c r="AA2780" s="13">
        <v>-574377</v>
      </c>
      <c r="AB2780" s="13">
        <v>4150368</v>
      </c>
    </row>
    <row r="2781" spans="1:28" ht="15" customHeight="1">
      <c r="A2781" s="2" t="s">
        <v>9472</v>
      </c>
      <c r="B2781" s="2" t="s">
        <v>28</v>
      </c>
      <c r="C2781" s="11" t="s">
        <v>3301</v>
      </c>
      <c r="D2781" s="2" t="s">
        <v>30</v>
      </c>
      <c r="E2781" s="2" t="s">
        <v>790</v>
      </c>
      <c r="F2781" s="11" t="s">
        <v>4316</v>
      </c>
      <c r="G2781" s="30" t="s">
        <v>4317</v>
      </c>
      <c r="H2781" s="2" t="s">
        <v>4315</v>
      </c>
      <c r="I2781" s="12" t="s">
        <v>292</v>
      </c>
      <c r="J2781" s="41">
        <f>+Tabla1[[#This Row],[FECHA ENTRADA]]</f>
        <v>45830</v>
      </c>
      <c r="K2781" s="41">
        <v>45848</v>
      </c>
      <c r="L2781" s="42">
        <f>_xlfn.DAYS(Tabla1[[#This Row],[FECHA FIN ]],Tabla1[[#This Row],[FECHA INICIO]])</f>
        <v>18</v>
      </c>
      <c r="M2781" s="12"/>
      <c r="N2781" s="28">
        <v>200</v>
      </c>
      <c r="O2781" s="28">
        <f>(Tabla1[[#This Row],[COSTO FIJO ]]/30)*Tabla1[[#This Row],[TOTAL DIAS PROYECTO]]+(Tabla1[[#This Row],[COSTO TEMPORAL]])</f>
        <v>120</v>
      </c>
      <c r="P2781" s="12"/>
      <c r="Q2781" s="12">
        <f>+(Tabla1[[#This Row],[COSTO COCHE]]/30)*Tabla1[[#This Row],[TOTAL DIAS PROYECTO]]</f>
        <v>0</v>
      </c>
      <c r="R2781" s="12">
        <f>+Tabla1[[#This Row],[COSTO TOTAL ALOJAMIENTO]]+Tabla1[[#This Row],[COSTO TOTAL COCHE]]</f>
        <v>120</v>
      </c>
      <c r="S2781" s="2"/>
      <c r="T2781" s="14" t="s">
        <v>35</v>
      </c>
      <c r="U2781" s="14">
        <v>45830</v>
      </c>
      <c r="V2781" s="43"/>
      <c r="W2781" s="2"/>
      <c r="X2781" s="2">
        <v>5</v>
      </c>
      <c r="Y2781" s="11"/>
      <c r="Z2781" s="2" t="s">
        <v>36</v>
      </c>
      <c r="AA2781" s="13">
        <v>-574377</v>
      </c>
      <c r="AB2781" s="13">
        <v>4150368</v>
      </c>
    </row>
    <row r="2782" spans="1:28" ht="15" customHeight="1">
      <c r="A2782" s="2" t="s">
        <v>9427</v>
      </c>
      <c r="B2782" s="2" t="s">
        <v>28</v>
      </c>
      <c r="C2782" s="11" t="s">
        <v>3130</v>
      </c>
      <c r="D2782" s="2" t="s">
        <v>30</v>
      </c>
      <c r="E2782" s="2" t="s">
        <v>790</v>
      </c>
      <c r="F2782" s="11" t="s">
        <v>4318</v>
      </c>
      <c r="G2782" s="30" t="s">
        <v>4319</v>
      </c>
      <c r="H2782" s="2" t="s">
        <v>4160</v>
      </c>
      <c r="I2782" s="12" t="s">
        <v>292</v>
      </c>
      <c r="J2782" s="41">
        <f>+Tabla1[[#This Row],[FECHA ENTRADA]]</f>
        <v>45839</v>
      </c>
      <c r="K2782" s="41">
        <v>45848</v>
      </c>
      <c r="L2782" s="42">
        <f>_xlfn.DAYS(Tabla1[[#This Row],[FECHA FIN ]],Tabla1[[#This Row],[FECHA INICIO]])</f>
        <v>9</v>
      </c>
      <c r="M2782" s="12"/>
      <c r="N2782" s="28">
        <v>350</v>
      </c>
      <c r="O2782" s="28">
        <f>(Tabla1[[#This Row],[COSTO FIJO ]]/30)*Tabla1[[#This Row],[TOTAL DIAS PROYECTO]]+(Tabla1[[#This Row],[COSTO TEMPORAL]])</f>
        <v>105</v>
      </c>
      <c r="P2782" s="12"/>
      <c r="Q2782" s="12">
        <f>+(Tabla1[[#This Row],[COSTO COCHE]]/30)*Tabla1[[#This Row],[TOTAL DIAS PROYECTO]]</f>
        <v>0</v>
      </c>
      <c r="R2782" s="12">
        <f>+Tabla1[[#This Row],[COSTO TOTAL ALOJAMIENTO]]+Tabla1[[#This Row],[COSTO TOTAL COCHE]]</f>
        <v>105</v>
      </c>
      <c r="S2782" s="2"/>
      <c r="T2782" s="14" t="s">
        <v>35</v>
      </c>
      <c r="U2782" s="14">
        <v>45839</v>
      </c>
      <c r="V2782" s="43"/>
      <c r="W2782" s="2"/>
      <c r="X2782" s="2">
        <v>5</v>
      </c>
      <c r="Y2782" s="11"/>
      <c r="Z2782" s="2" t="s">
        <v>36</v>
      </c>
      <c r="AA2782" s="13">
        <v>-574377</v>
      </c>
      <c r="AB2782" s="13">
        <v>4150368</v>
      </c>
    </row>
    <row r="2783" spans="1:28" ht="15" customHeight="1">
      <c r="A2783" s="2" t="s">
        <v>8638</v>
      </c>
      <c r="B2783" s="2" t="s">
        <v>28</v>
      </c>
      <c r="C2783" s="11" t="s">
        <v>4151</v>
      </c>
      <c r="D2783" s="2" t="s">
        <v>30</v>
      </c>
      <c r="E2783" s="2" t="s">
        <v>790</v>
      </c>
      <c r="F2783" s="11" t="s">
        <v>4318</v>
      </c>
      <c r="G2783" s="30" t="s">
        <v>4319</v>
      </c>
      <c r="H2783" s="2" t="s">
        <v>4160</v>
      </c>
      <c r="I2783" s="12" t="s">
        <v>292</v>
      </c>
      <c r="J2783" s="41">
        <f>+Tabla1[[#This Row],[FECHA ENTRADA]]</f>
        <v>45839</v>
      </c>
      <c r="K2783" s="41">
        <v>45848</v>
      </c>
      <c r="L2783" s="42">
        <f>_xlfn.DAYS(Tabla1[[#This Row],[FECHA FIN ]],Tabla1[[#This Row],[FECHA INICIO]])</f>
        <v>9</v>
      </c>
      <c r="M2783" s="12"/>
      <c r="N2783" s="28">
        <v>350</v>
      </c>
      <c r="O2783" s="28">
        <f>(Tabla1[[#This Row],[COSTO FIJO ]]/30)*Tabla1[[#This Row],[TOTAL DIAS PROYECTO]]+(Tabla1[[#This Row],[COSTO TEMPORAL]])</f>
        <v>105</v>
      </c>
      <c r="P2783" s="12"/>
      <c r="Q2783" s="12">
        <f>+(Tabla1[[#This Row],[COSTO COCHE]]/30)*Tabla1[[#This Row],[TOTAL DIAS PROYECTO]]</f>
        <v>0</v>
      </c>
      <c r="R2783" s="12">
        <f>+Tabla1[[#This Row],[COSTO TOTAL ALOJAMIENTO]]+Tabla1[[#This Row],[COSTO TOTAL COCHE]]</f>
        <v>105</v>
      </c>
      <c r="S2783" s="2"/>
      <c r="T2783" s="14" t="s">
        <v>35</v>
      </c>
      <c r="U2783" s="14">
        <v>45839</v>
      </c>
      <c r="V2783" s="43"/>
      <c r="W2783" s="2"/>
      <c r="X2783" s="2">
        <v>5</v>
      </c>
      <c r="Y2783" s="11"/>
      <c r="Z2783" s="2" t="s">
        <v>36</v>
      </c>
      <c r="AA2783" s="13">
        <v>-574377</v>
      </c>
      <c r="AB2783" s="13">
        <v>4150368</v>
      </c>
    </row>
    <row r="2784" spans="1:28" ht="15" customHeight="1">
      <c r="A2784" s="2" t="s">
        <v>9372</v>
      </c>
      <c r="B2784" s="2" t="s">
        <v>368</v>
      </c>
      <c r="C2784" s="11" t="s">
        <v>2968</v>
      </c>
      <c r="D2784" s="2" t="s">
        <v>30</v>
      </c>
      <c r="E2784" s="2" t="s">
        <v>1130</v>
      </c>
      <c r="F2784" s="11" t="s">
        <v>2012</v>
      </c>
      <c r="G2784" s="21" t="s">
        <v>2013</v>
      </c>
      <c r="H2784" s="2" t="s">
        <v>2556</v>
      </c>
      <c r="I2784" s="12" t="s">
        <v>1134</v>
      </c>
      <c r="J2784" s="22">
        <f>+Tabla1[[#This Row],[FECHA ENTRADA]]</f>
        <v>45698</v>
      </c>
      <c r="K2784" s="22">
        <v>45848</v>
      </c>
      <c r="L2784" s="23">
        <f>_xlfn.DAYS(Tabla1[[#This Row],[FECHA FIN ]],Tabla1[[#This Row],[FECHA INICIO]])</f>
        <v>150</v>
      </c>
      <c r="M2784" s="12"/>
      <c r="N2784" s="24">
        <v>350</v>
      </c>
      <c r="O2784" s="24">
        <f>(Tabla1[[#This Row],[COSTO FIJO ]]/30)*Tabla1[[#This Row],[TOTAL DIAS PROYECTO]]+(Tabla1[[#This Row],[COSTO TEMPORAL]])</f>
        <v>1750</v>
      </c>
      <c r="P2784" s="12"/>
      <c r="Q2784" s="12">
        <f>+(Tabla1[[#This Row],[COSTO COCHE]]/30)*Tabla1[[#This Row],[TOTAL DIAS PROYECTO]]</f>
        <v>0</v>
      </c>
      <c r="R2784" s="12">
        <f>+Tabla1[[#This Row],[COSTO TOTAL ALOJAMIENTO]]+Tabla1[[#This Row],[COSTO TOTAL COCHE]]</f>
        <v>1750</v>
      </c>
      <c r="S2784" s="2"/>
      <c r="T2784" s="2" t="s">
        <v>35</v>
      </c>
      <c r="U2784" s="14">
        <v>45698</v>
      </c>
      <c r="V2784" s="25"/>
      <c r="W2784" s="26">
        <v>350</v>
      </c>
      <c r="X2784" s="2">
        <v>10</v>
      </c>
      <c r="Y2784" s="11" t="s">
        <v>4320</v>
      </c>
      <c r="Z2784" s="2" t="s">
        <v>36</v>
      </c>
      <c r="AA2784" s="13" t="s">
        <v>10412</v>
      </c>
      <c r="AB2784" s="13">
        <v>4200955</v>
      </c>
    </row>
    <row r="2785" spans="1:28" ht="15" customHeight="1">
      <c r="A2785" s="2" t="s">
        <v>9635</v>
      </c>
      <c r="B2785" s="2" t="s">
        <v>711</v>
      </c>
      <c r="C2785" s="104" t="s">
        <v>4012</v>
      </c>
      <c r="D2785" s="2" t="s">
        <v>30</v>
      </c>
      <c r="E2785" s="2" t="s">
        <v>686</v>
      </c>
      <c r="F2785" s="11" t="s">
        <v>3319</v>
      </c>
      <c r="G2785" s="21" t="s">
        <v>3320</v>
      </c>
      <c r="H2785" s="2" t="s">
        <v>3070</v>
      </c>
      <c r="I2785" s="12" t="s">
        <v>96</v>
      </c>
      <c r="J2785" s="22">
        <f>+Tabla1[[#This Row],[FECHA ENTRADA]]</f>
        <v>46169</v>
      </c>
      <c r="K2785" s="22">
        <v>46174</v>
      </c>
      <c r="L2785" s="23">
        <f>_xlfn.DAYS(Tabla1[[#This Row],[FECHA FIN ]],Tabla1[[#This Row],[FECHA INICIO]])</f>
        <v>5</v>
      </c>
      <c r="M2785" s="12">
        <v>105</v>
      </c>
      <c r="N2785" s="20"/>
      <c r="O2785" s="24">
        <f>(Tabla1[[#This Row],[COSTO FIJO ]]/30)*Tabla1[[#This Row],[TOTAL DIAS PROYECTO]]+(Tabla1[[#This Row],[COSTO TEMPORAL]])</f>
        <v>105</v>
      </c>
      <c r="P2785" s="12"/>
      <c r="Q2785" s="12">
        <f>+(Tabla1[[#This Row],[COSTO COCHE]]/30)*Tabla1[[#This Row],[TOTAL DIAS PROYECTO]]</f>
        <v>0</v>
      </c>
      <c r="R2785" s="12">
        <f>+Tabla1[[#This Row],[COSTO TOTAL ALOJAMIENTO]]+Tabla1[[#This Row],[COSTO TOTAL COCHE]]</f>
        <v>105</v>
      </c>
      <c r="S2785" s="2" t="s">
        <v>403</v>
      </c>
      <c r="T2785" s="14" t="s">
        <v>44</v>
      </c>
      <c r="U2785" s="14">
        <v>46169</v>
      </c>
      <c r="V2785" s="79">
        <v>46175</v>
      </c>
      <c r="W2785" s="12"/>
      <c r="X2785" s="2"/>
      <c r="Y2785" s="11" t="s">
        <v>3321</v>
      </c>
      <c r="Z2785" s="2" t="s">
        <v>36</v>
      </c>
      <c r="AA2785" s="13" t="s">
        <v>10393</v>
      </c>
      <c r="AB2785" s="13">
        <v>3834517</v>
      </c>
    </row>
    <row r="2786" spans="1:28" ht="15" customHeight="1">
      <c r="A2786" s="2" t="s">
        <v>9298</v>
      </c>
      <c r="B2786" s="2" t="s">
        <v>28</v>
      </c>
      <c r="C2786" s="11" t="s">
        <v>2737</v>
      </c>
      <c r="D2786" s="2" t="s">
        <v>30</v>
      </c>
      <c r="E2786" s="2" t="s">
        <v>31</v>
      </c>
      <c r="F2786" s="11" t="s">
        <v>451</v>
      </c>
      <c r="G2786" s="50" t="s">
        <v>452</v>
      </c>
      <c r="H2786" s="2" t="s">
        <v>4321</v>
      </c>
      <c r="I2786" s="12" t="s">
        <v>181</v>
      </c>
      <c r="J2786" s="22">
        <f>+Tabla1[[#This Row],[FECHA ENTRADA]]</f>
        <v>45817</v>
      </c>
      <c r="K2786" s="22">
        <v>45849</v>
      </c>
      <c r="L2786" s="23">
        <f>_xlfn.DAYS(Tabla1[[#This Row],[FECHA FIN ]],Tabla1[[#This Row],[FECHA INICIO]])</f>
        <v>32</v>
      </c>
      <c r="M2786" s="12"/>
      <c r="N2786" s="12">
        <v>283.33</v>
      </c>
      <c r="O2786" s="24">
        <f>(Tabla1[[#This Row],[COSTO FIJO ]]/30)*Tabla1[[#This Row],[TOTAL DIAS PROYECTO]]+(Tabla1[[#This Row],[COSTO TEMPORAL]])</f>
        <v>302.21866666666665</v>
      </c>
      <c r="P2786" s="12"/>
      <c r="Q2786" s="12">
        <f>+(Tabla1[[#This Row],[COSTO COCHE]]/30)*Tabla1[[#This Row],[TOTAL DIAS PROYECTO]]</f>
        <v>0</v>
      </c>
      <c r="R2786" s="12">
        <f>+Tabla1[[#This Row],[COSTO TOTAL ALOJAMIENTO]]+Tabla1[[#This Row],[COSTO TOTAL COCHE]]</f>
        <v>302.21866666666665</v>
      </c>
      <c r="S2786" s="2"/>
      <c r="T2786" s="14" t="s">
        <v>35</v>
      </c>
      <c r="U2786" s="14">
        <v>45817</v>
      </c>
      <c r="V2786" s="180"/>
      <c r="W2786" s="2"/>
      <c r="X2786" s="2">
        <v>1</v>
      </c>
      <c r="Y2786" s="11" t="s">
        <v>4322</v>
      </c>
      <c r="Z2786" s="2" t="s">
        <v>36</v>
      </c>
      <c r="AA2786" s="13" t="s">
        <v>10323</v>
      </c>
      <c r="AB2786" s="13" t="s">
        <v>10324</v>
      </c>
    </row>
    <row r="2787" spans="1:28" ht="15" customHeight="1">
      <c r="A2787" s="2" t="s">
        <v>8764</v>
      </c>
      <c r="B2787" s="2" t="s">
        <v>28</v>
      </c>
      <c r="C2787" s="97" t="s">
        <v>644</v>
      </c>
      <c r="D2787" s="2" t="s">
        <v>30</v>
      </c>
      <c r="E2787" s="2" t="s">
        <v>253</v>
      </c>
      <c r="F2787" s="11" t="s">
        <v>254</v>
      </c>
      <c r="G2787" s="11" t="s">
        <v>255</v>
      </c>
      <c r="H2787" s="2" t="s">
        <v>1820</v>
      </c>
      <c r="I2787" s="2" t="s">
        <v>256</v>
      </c>
      <c r="J2787" s="22">
        <f>+Tabla1[[#This Row],[FECHA ENTRADA]]</f>
        <v>45735</v>
      </c>
      <c r="K2787" s="22">
        <v>45849</v>
      </c>
      <c r="L2787" s="13">
        <f>_xlfn.DAYS(Tabla1[[#This Row],[FECHA FIN ]],Tabla1[[#This Row],[FECHA INICIO]])</f>
        <v>114</v>
      </c>
      <c r="M2787" s="12"/>
      <c r="N2787" s="12">
        <v>162.5</v>
      </c>
      <c r="O2787" s="24">
        <f>(Tabla1[[#This Row],[COSTO FIJO ]]/30)*Tabla1[[#This Row],[TOTAL DIAS PROYECTO]]+(Tabla1[[#This Row],[COSTO TEMPORAL]])</f>
        <v>617.5</v>
      </c>
      <c r="P2787" s="12"/>
      <c r="Q2787" s="12">
        <f>+(Tabla1[[#This Row],[COSTO COCHE]]/30)*Tabla1[[#This Row],[TOTAL DIAS PROYECTO]]</f>
        <v>0</v>
      </c>
      <c r="R2787" s="12">
        <f>+Tabla1[[#This Row],[COSTO TOTAL ALOJAMIENTO]]+Tabla1[[#This Row],[COSTO TOTAL COCHE]]</f>
        <v>617.5</v>
      </c>
      <c r="S2787" s="2"/>
      <c r="T2787" s="14" t="s">
        <v>35</v>
      </c>
      <c r="U2787" s="14">
        <v>45735</v>
      </c>
      <c r="V2787" s="180"/>
      <c r="W2787" s="2"/>
      <c r="X2787" s="2">
        <v>1</v>
      </c>
      <c r="Y2787" s="11"/>
      <c r="Z2787" s="2" t="s">
        <v>36</v>
      </c>
      <c r="AA2787" s="13" t="s">
        <v>10357</v>
      </c>
      <c r="AB2787" s="13" t="s">
        <v>10358</v>
      </c>
    </row>
    <row r="2788" spans="1:28" ht="15" customHeight="1">
      <c r="A2788" s="2" t="s">
        <v>8638</v>
      </c>
      <c r="B2788" s="10" t="s">
        <v>978</v>
      </c>
      <c r="C2788" s="45" t="s">
        <v>2140</v>
      </c>
      <c r="D2788" s="2" t="s">
        <v>30</v>
      </c>
      <c r="E2788" s="2" t="s">
        <v>1393</v>
      </c>
      <c r="F2788" s="11" t="s">
        <v>4323</v>
      </c>
      <c r="G2788" s="30" t="s">
        <v>4324</v>
      </c>
      <c r="H2788" s="2" t="s">
        <v>3970</v>
      </c>
      <c r="I2788" s="12" t="s">
        <v>4255</v>
      </c>
      <c r="J2788" s="41">
        <f>+Tabla1[[#This Row],[FECHA ENTRADA]]</f>
        <v>45845</v>
      </c>
      <c r="K2788" s="41">
        <v>45849</v>
      </c>
      <c r="L2788" s="42">
        <f>_xlfn.DAYS(Tabla1[[#This Row],[FECHA FIN ]],Tabla1[[#This Row],[FECHA INICIO]])</f>
        <v>4</v>
      </c>
      <c r="M2788" s="12"/>
      <c r="N2788" s="12">
        <v>210</v>
      </c>
      <c r="O2788" s="28">
        <f>(Tabla1[[#This Row],[COSTO FIJO ]]/30)*Tabla1[[#This Row],[TOTAL DIAS PROYECTO]]+(Tabla1[[#This Row],[COSTO TEMPORAL]])</f>
        <v>28</v>
      </c>
      <c r="P2788" s="12"/>
      <c r="Q2788" s="12">
        <f>+(Tabla1[[#This Row],[COSTO COCHE]]/30)*Tabla1[[#This Row],[TOTAL DIAS PROYECTO]]</f>
        <v>0</v>
      </c>
      <c r="R2788" s="12">
        <f>+Tabla1[[#This Row],[COSTO TOTAL ALOJAMIENTO]]+Tabla1[[#This Row],[COSTO TOTAL COCHE]]</f>
        <v>28</v>
      </c>
      <c r="S2788" s="2"/>
      <c r="T2788" s="14" t="s">
        <v>44</v>
      </c>
      <c r="U2788" s="14">
        <v>45845</v>
      </c>
      <c r="V2788" s="43">
        <v>45849</v>
      </c>
      <c r="W2788" s="12"/>
      <c r="X2788" s="2"/>
      <c r="Y2788" s="11" t="s">
        <v>4325</v>
      </c>
      <c r="Z2788" s="2" t="s">
        <v>36</v>
      </c>
      <c r="AA2788" s="13" t="s">
        <v>10416</v>
      </c>
      <c r="AB2788" s="13" t="s">
        <v>10417</v>
      </c>
    </row>
    <row r="2789" spans="1:28" ht="15" customHeight="1">
      <c r="A2789" s="2" t="s">
        <v>9488</v>
      </c>
      <c r="B2789" s="10" t="s">
        <v>978</v>
      </c>
      <c r="C2789" s="11" t="s">
        <v>3358</v>
      </c>
      <c r="D2789" s="2" t="s">
        <v>30</v>
      </c>
      <c r="E2789" s="2" t="s">
        <v>1393</v>
      </c>
      <c r="F2789" s="11" t="s">
        <v>4323</v>
      </c>
      <c r="G2789" s="30" t="s">
        <v>4324</v>
      </c>
      <c r="H2789" s="2" t="s">
        <v>3970</v>
      </c>
      <c r="I2789" s="12" t="s">
        <v>4255</v>
      </c>
      <c r="J2789" s="41">
        <f>+Tabla1[[#This Row],[FECHA ENTRADA]]</f>
        <v>45845</v>
      </c>
      <c r="K2789" s="41">
        <v>45849</v>
      </c>
      <c r="L2789" s="42">
        <f>_xlfn.DAYS(Tabla1[[#This Row],[FECHA FIN ]],Tabla1[[#This Row],[FECHA INICIO]])</f>
        <v>4</v>
      </c>
      <c r="M2789" s="12"/>
      <c r="N2789" s="12">
        <v>210</v>
      </c>
      <c r="O2789" s="28">
        <f>(Tabla1[[#This Row],[COSTO FIJO ]]/30)*Tabla1[[#This Row],[TOTAL DIAS PROYECTO]]+(Tabla1[[#This Row],[COSTO TEMPORAL]])</f>
        <v>28</v>
      </c>
      <c r="P2789" s="12"/>
      <c r="Q2789" s="12">
        <f>+(Tabla1[[#This Row],[COSTO COCHE]]/30)*Tabla1[[#This Row],[TOTAL DIAS PROYECTO]]</f>
        <v>0</v>
      </c>
      <c r="R2789" s="12">
        <f>+Tabla1[[#This Row],[COSTO TOTAL ALOJAMIENTO]]+Tabla1[[#This Row],[COSTO TOTAL COCHE]]</f>
        <v>28</v>
      </c>
      <c r="S2789" s="2"/>
      <c r="T2789" s="14" t="s">
        <v>44</v>
      </c>
      <c r="U2789" s="14">
        <v>45845</v>
      </c>
      <c r="V2789" s="43">
        <v>45849</v>
      </c>
      <c r="W2789" s="12"/>
      <c r="X2789" s="2"/>
      <c r="Y2789" s="11" t="s">
        <v>4325</v>
      </c>
      <c r="Z2789" s="2" t="s">
        <v>36</v>
      </c>
      <c r="AA2789" s="13" t="s">
        <v>10416</v>
      </c>
      <c r="AB2789" s="13" t="s">
        <v>10417</v>
      </c>
    </row>
    <row r="2790" spans="1:28" ht="15" customHeight="1">
      <c r="A2790" s="2" t="s">
        <v>9485</v>
      </c>
      <c r="B2790" s="10" t="s">
        <v>978</v>
      </c>
      <c r="C2790" s="11" t="s">
        <v>3352</v>
      </c>
      <c r="D2790" s="2" t="s">
        <v>30</v>
      </c>
      <c r="E2790" s="2" t="s">
        <v>1393</v>
      </c>
      <c r="F2790" s="11" t="s">
        <v>4323</v>
      </c>
      <c r="G2790" s="30" t="s">
        <v>4324</v>
      </c>
      <c r="H2790" s="2" t="s">
        <v>3970</v>
      </c>
      <c r="I2790" s="12" t="s">
        <v>4255</v>
      </c>
      <c r="J2790" s="41">
        <f>+Tabla1[[#This Row],[FECHA ENTRADA]]</f>
        <v>45845</v>
      </c>
      <c r="K2790" s="41">
        <v>45849</v>
      </c>
      <c r="L2790" s="42">
        <f>_xlfn.DAYS(Tabla1[[#This Row],[FECHA FIN ]],Tabla1[[#This Row],[FECHA INICIO]])</f>
        <v>4</v>
      </c>
      <c r="M2790" s="12"/>
      <c r="N2790" s="12">
        <v>210</v>
      </c>
      <c r="O2790" s="28">
        <f>(Tabla1[[#This Row],[COSTO FIJO ]]/30)*Tabla1[[#This Row],[TOTAL DIAS PROYECTO]]+(Tabla1[[#This Row],[COSTO TEMPORAL]])</f>
        <v>28</v>
      </c>
      <c r="P2790" s="12"/>
      <c r="Q2790" s="12">
        <f>+(Tabla1[[#This Row],[COSTO COCHE]]/30)*Tabla1[[#This Row],[TOTAL DIAS PROYECTO]]</f>
        <v>0</v>
      </c>
      <c r="R2790" s="12">
        <f>+Tabla1[[#This Row],[COSTO TOTAL ALOJAMIENTO]]+Tabla1[[#This Row],[COSTO TOTAL COCHE]]</f>
        <v>28</v>
      </c>
      <c r="S2790" s="2"/>
      <c r="T2790" s="14" t="s">
        <v>44</v>
      </c>
      <c r="U2790" s="14">
        <v>45845</v>
      </c>
      <c r="V2790" s="43">
        <v>45849</v>
      </c>
      <c r="W2790" s="12"/>
      <c r="X2790" s="2"/>
      <c r="Y2790" s="11" t="s">
        <v>4325</v>
      </c>
      <c r="Z2790" s="2" t="s">
        <v>36</v>
      </c>
      <c r="AA2790" s="13" t="s">
        <v>10416</v>
      </c>
      <c r="AB2790" s="13" t="s">
        <v>10417</v>
      </c>
    </row>
    <row r="2791" spans="1:28" ht="15" customHeight="1">
      <c r="A2791" s="2" t="s">
        <v>8642</v>
      </c>
      <c r="B2791" s="2" t="s">
        <v>368</v>
      </c>
      <c r="C2791" s="11" t="s">
        <v>3608</v>
      </c>
      <c r="D2791" s="2" t="s">
        <v>99</v>
      </c>
      <c r="E2791" s="2" t="s">
        <v>422</v>
      </c>
      <c r="F2791" s="11" t="s">
        <v>1983</v>
      </c>
      <c r="G2791" s="11" t="s">
        <v>2067</v>
      </c>
      <c r="H2791" s="2" t="s">
        <v>3540</v>
      </c>
      <c r="I2791" s="12" t="s">
        <v>1435</v>
      </c>
      <c r="J2791" s="22">
        <f>+Tabla1[[#This Row],[FECHA ENTRADA]]</f>
        <v>45805</v>
      </c>
      <c r="K2791" s="22">
        <v>45812</v>
      </c>
      <c r="L2791" s="23">
        <f>_xlfn.DAYS(Tabla1[[#This Row],[FECHA FIN ]],Tabla1[[#This Row],[FECHA INICIO]])</f>
        <v>7</v>
      </c>
      <c r="M2791" s="12">
        <v>105.55555555555556</v>
      </c>
      <c r="N2791" s="20"/>
      <c r="O2791" s="24">
        <f>(Tabla1[[#This Row],[COSTO FIJO ]]/30)*Tabla1[[#This Row],[TOTAL DIAS PROYECTO]]+(Tabla1[[#This Row],[COSTO TEMPORAL]])</f>
        <v>105.55555555555556</v>
      </c>
      <c r="P2791" s="12"/>
      <c r="Q2791" s="12">
        <f>+(Tabla1[[#This Row],[COSTO COCHE]]/30)*Tabla1[[#This Row],[TOTAL DIAS PROYECTO]]</f>
        <v>0</v>
      </c>
      <c r="R2791" s="12">
        <f>+Tabla1[[#This Row],[COSTO TOTAL ALOJAMIENTO]]+Tabla1[[#This Row],[COSTO TOTAL COCHE]]</f>
        <v>105.55555555555556</v>
      </c>
      <c r="S2791" s="2"/>
      <c r="T2791" s="14" t="s">
        <v>44</v>
      </c>
      <c r="U2791" s="22">
        <v>45805</v>
      </c>
      <c r="V2791" s="79">
        <v>45812</v>
      </c>
      <c r="W2791" s="2"/>
      <c r="X2791" s="2"/>
      <c r="Y2791" s="11" t="s">
        <v>3626</v>
      </c>
      <c r="Z2791" s="2" t="s">
        <v>36</v>
      </c>
      <c r="AA2791" s="13">
        <v>-326.69799999999998</v>
      </c>
      <c r="AB2791" s="13" t="s">
        <v>10373</v>
      </c>
    </row>
    <row r="2792" spans="1:28" ht="15" customHeight="1">
      <c r="A2792" s="2" t="s">
        <v>8642</v>
      </c>
      <c r="B2792" s="2" t="s">
        <v>368</v>
      </c>
      <c r="C2792" s="11" t="s">
        <v>3623</v>
      </c>
      <c r="D2792" s="2" t="s">
        <v>99</v>
      </c>
      <c r="E2792" s="2" t="s">
        <v>422</v>
      </c>
      <c r="F2792" s="11" t="s">
        <v>1983</v>
      </c>
      <c r="G2792" s="11" t="s">
        <v>2067</v>
      </c>
      <c r="H2792" s="2" t="s">
        <v>3540</v>
      </c>
      <c r="I2792" s="12" t="s">
        <v>1435</v>
      </c>
      <c r="J2792" s="22">
        <f>+Tabla1[[#This Row],[FECHA ENTRADA]]</f>
        <v>45805</v>
      </c>
      <c r="K2792" s="22">
        <v>45812</v>
      </c>
      <c r="L2792" s="23">
        <f>_xlfn.DAYS(Tabla1[[#This Row],[FECHA FIN ]],Tabla1[[#This Row],[FECHA INICIO]])</f>
        <v>7</v>
      </c>
      <c r="M2792" s="12">
        <v>105.55555555555556</v>
      </c>
      <c r="N2792" s="20"/>
      <c r="O2792" s="24">
        <f>(Tabla1[[#This Row],[COSTO FIJO ]]/30)*Tabla1[[#This Row],[TOTAL DIAS PROYECTO]]+(Tabla1[[#This Row],[COSTO TEMPORAL]])</f>
        <v>105.55555555555556</v>
      </c>
      <c r="P2792" s="12"/>
      <c r="Q2792" s="12">
        <f>+(Tabla1[[#This Row],[COSTO COCHE]]/30)*Tabla1[[#This Row],[TOTAL DIAS PROYECTO]]</f>
        <v>0</v>
      </c>
      <c r="R2792" s="12">
        <f>+Tabla1[[#This Row],[COSTO TOTAL ALOJAMIENTO]]+Tabla1[[#This Row],[COSTO TOTAL COCHE]]</f>
        <v>105.55555555555556</v>
      </c>
      <c r="S2792" s="2"/>
      <c r="T2792" s="14" t="s">
        <v>44</v>
      </c>
      <c r="U2792" s="22">
        <v>45805</v>
      </c>
      <c r="V2792" s="79">
        <v>45812</v>
      </c>
      <c r="W2792" s="2"/>
      <c r="X2792" s="2"/>
      <c r="Y2792" s="11" t="s">
        <v>3626</v>
      </c>
      <c r="Z2792" s="2" t="s">
        <v>36</v>
      </c>
      <c r="AA2792" s="13">
        <v>-326.69799999999998</v>
      </c>
      <c r="AB2792" s="13" t="s">
        <v>10373</v>
      </c>
    </row>
    <row r="2793" spans="1:28" ht="15" customHeight="1">
      <c r="A2793" s="2" t="s">
        <v>8719</v>
      </c>
      <c r="B2793" s="2" t="s">
        <v>28</v>
      </c>
      <c r="C2793" s="11" t="s">
        <v>438</v>
      </c>
      <c r="D2793" s="2" t="s">
        <v>99</v>
      </c>
      <c r="E2793" s="2" t="s">
        <v>422</v>
      </c>
      <c r="F2793" s="11" t="s">
        <v>1983</v>
      </c>
      <c r="G2793" s="11" t="s">
        <v>2067</v>
      </c>
      <c r="H2793" s="2" t="s">
        <v>4326</v>
      </c>
      <c r="I2793" s="12" t="s">
        <v>4327</v>
      </c>
      <c r="J2793" s="41">
        <f>+Tabla1[[#This Row],[FECHA ENTRADA]]</f>
        <v>45805</v>
      </c>
      <c r="K2793" s="22">
        <v>45812</v>
      </c>
      <c r="L2793" s="23">
        <f>_xlfn.DAYS(Tabla1[[#This Row],[FECHA FIN ]],Tabla1[[#This Row],[FECHA INICIO]])</f>
        <v>7</v>
      </c>
      <c r="M2793" s="12">
        <v>105.55555555555556</v>
      </c>
      <c r="N2793" s="24"/>
      <c r="O2793" s="24">
        <f>(Tabla1[[#This Row],[COSTO FIJO ]]/30)*Tabla1[[#This Row],[TOTAL DIAS PROYECTO]]+(Tabla1[[#This Row],[COSTO TEMPORAL]])</f>
        <v>105.55555555555556</v>
      </c>
      <c r="P2793" s="12"/>
      <c r="Q2793" s="12">
        <f>+(Tabla1[[#This Row],[COSTO COCHE]]/30)*Tabla1[[#This Row],[TOTAL DIAS PROYECTO]]</f>
        <v>0</v>
      </c>
      <c r="R2793" s="12">
        <f>+Tabla1[[#This Row],[COSTO TOTAL ALOJAMIENTO]]+Tabla1[[#This Row],[COSTO TOTAL COCHE]]</f>
        <v>105.55555555555556</v>
      </c>
      <c r="S2793" s="2"/>
      <c r="T2793" s="2" t="s">
        <v>44</v>
      </c>
      <c r="U2793" s="14">
        <v>45805</v>
      </c>
      <c r="V2793" s="79">
        <v>45812</v>
      </c>
      <c r="W2793" s="26"/>
      <c r="X2793" s="2"/>
      <c r="Y2793" s="11" t="s">
        <v>3626</v>
      </c>
      <c r="Z2793" s="2" t="s">
        <v>36</v>
      </c>
      <c r="AA2793" s="13">
        <v>-326.69799999999998</v>
      </c>
      <c r="AB2793" s="13" t="s">
        <v>10373</v>
      </c>
    </row>
    <row r="2794" spans="1:28" ht="15" customHeight="1">
      <c r="A2794" s="2" t="s">
        <v>9330</v>
      </c>
      <c r="B2794" s="2" t="s">
        <v>28</v>
      </c>
      <c r="C2794" s="11" t="s">
        <v>2842</v>
      </c>
      <c r="D2794" s="2" t="s">
        <v>99</v>
      </c>
      <c r="E2794" s="2" t="s">
        <v>422</v>
      </c>
      <c r="F2794" s="11" t="s">
        <v>1983</v>
      </c>
      <c r="G2794" s="11" t="s">
        <v>2067</v>
      </c>
      <c r="H2794" s="2" t="s">
        <v>4326</v>
      </c>
      <c r="I2794" s="12" t="s">
        <v>4327</v>
      </c>
      <c r="J2794" s="41">
        <f>+Tabla1[[#This Row],[FECHA ENTRADA]]</f>
        <v>45805</v>
      </c>
      <c r="K2794" s="22">
        <v>45821</v>
      </c>
      <c r="L2794" s="23">
        <f>_xlfn.DAYS(Tabla1[[#This Row],[FECHA FIN ]],Tabla1[[#This Row],[FECHA INICIO]])</f>
        <v>16</v>
      </c>
      <c r="M2794" s="12"/>
      <c r="N2794" s="12"/>
      <c r="O2794" s="24">
        <f>(Tabla1[[#This Row],[COSTO FIJO ]]/30)*Tabla1[[#This Row],[TOTAL DIAS PROYECTO]]+(Tabla1[[#This Row],[COSTO TEMPORAL]])</f>
        <v>0</v>
      </c>
      <c r="P2794" s="12"/>
      <c r="Q2794" s="12">
        <f>+(Tabla1[[#This Row],[COSTO COCHE]]/30)*Tabla1[[#This Row],[TOTAL DIAS PROYECTO]]</f>
        <v>0</v>
      </c>
      <c r="R2794" s="12">
        <f>+Tabla1[[#This Row],[COSTO TOTAL ALOJAMIENTO]]+Tabla1[[#This Row],[COSTO TOTAL COCHE]]</f>
        <v>0</v>
      </c>
      <c r="S2794" s="2"/>
      <c r="T2794" s="2" t="s">
        <v>44</v>
      </c>
      <c r="U2794" s="14">
        <v>45805</v>
      </c>
      <c r="V2794" s="79">
        <v>45812</v>
      </c>
      <c r="W2794" s="26"/>
      <c r="X2794" s="2"/>
      <c r="Y2794" s="11" t="s">
        <v>3626</v>
      </c>
      <c r="Z2794" s="2" t="s">
        <v>36</v>
      </c>
      <c r="AA2794" s="13">
        <v>-326.69799999999998</v>
      </c>
      <c r="AB2794" s="13" t="s">
        <v>10373</v>
      </c>
    </row>
    <row r="2795" spans="1:28" ht="15" customHeight="1">
      <c r="A2795" s="2" t="s">
        <v>9161</v>
      </c>
      <c r="B2795" s="2" t="s">
        <v>28</v>
      </c>
      <c r="C2795" s="11" t="s">
        <v>2281</v>
      </c>
      <c r="D2795" s="2" t="s">
        <v>99</v>
      </c>
      <c r="E2795" s="2" t="s">
        <v>422</v>
      </c>
      <c r="F2795" s="11" t="s">
        <v>1983</v>
      </c>
      <c r="G2795" s="11" t="s">
        <v>2067</v>
      </c>
      <c r="H2795" s="2" t="s">
        <v>4326</v>
      </c>
      <c r="I2795" s="12" t="s">
        <v>4327</v>
      </c>
      <c r="J2795" s="41">
        <f>+Tabla1[[#This Row],[FECHA ENTRADA]]</f>
        <v>45805</v>
      </c>
      <c r="K2795" s="22">
        <v>45821</v>
      </c>
      <c r="L2795" s="23">
        <f>_xlfn.DAYS(Tabla1[[#This Row],[FECHA FIN ]],Tabla1[[#This Row],[FECHA INICIO]])</f>
        <v>16</v>
      </c>
      <c r="M2795" s="12"/>
      <c r="N2795" s="12">
        <v>105.55555555555556</v>
      </c>
      <c r="O2795" s="24">
        <f>(Tabla1[[#This Row],[COSTO FIJO ]]/30)*Tabla1[[#This Row],[TOTAL DIAS PROYECTO]]+(Tabla1[[#This Row],[COSTO TEMPORAL]])</f>
        <v>56.296296296296298</v>
      </c>
      <c r="P2795" s="12"/>
      <c r="Q2795" s="12">
        <f>+(Tabla1[[#This Row],[COSTO COCHE]]/30)*Tabla1[[#This Row],[TOTAL DIAS PROYECTO]]</f>
        <v>0</v>
      </c>
      <c r="R2795" s="12">
        <f>+Tabla1[[#This Row],[COSTO TOTAL ALOJAMIENTO]]+Tabla1[[#This Row],[COSTO TOTAL COCHE]]</f>
        <v>56.296296296296298</v>
      </c>
      <c r="S2795" s="2"/>
      <c r="T2795" s="2" t="s">
        <v>44</v>
      </c>
      <c r="U2795" s="14">
        <v>45805</v>
      </c>
      <c r="V2795" s="79">
        <v>45812</v>
      </c>
      <c r="W2795" s="26"/>
      <c r="X2795" s="2"/>
      <c r="Y2795" s="11" t="s">
        <v>3626</v>
      </c>
      <c r="Z2795" s="2" t="s">
        <v>36</v>
      </c>
      <c r="AA2795" s="13">
        <v>-326.69799999999998</v>
      </c>
      <c r="AB2795" s="13" t="s">
        <v>10373</v>
      </c>
    </row>
    <row r="2796" spans="1:28" ht="15" customHeight="1">
      <c r="A2796" s="2" t="s">
        <v>9359</v>
      </c>
      <c r="B2796" s="2" t="s">
        <v>28</v>
      </c>
      <c r="C2796" s="11" t="s">
        <v>2925</v>
      </c>
      <c r="D2796" s="2" t="s">
        <v>99</v>
      </c>
      <c r="E2796" s="2" t="s">
        <v>422</v>
      </c>
      <c r="F2796" s="11" t="s">
        <v>1983</v>
      </c>
      <c r="G2796" s="11" t="s">
        <v>2067</v>
      </c>
      <c r="H2796" s="2" t="s">
        <v>4326</v>
      </c>
      <c r="I2796" s="12" t="s">
        <v>4327</v>
      </c>
      <c r="J2796" s="41">
        <f>+Tabla1[[#This Row],[FECHA ENTRADA]]</f>
        <v>45805</v>
      </c>
      <c r="K2796" s="22">
        <v>45821</v>
      </c>
      <c r="L2796" s="23">
        <f>_xlfn.DAYS(Tabla1[[#This Row],[FECHA FIN ]],Tabla1[[#This Row],[FECHA INICIO]])</f>
        <v>16</v>
      </c>
      <c r="M2796" s="12"/>
      <c r="N2796" s="12">
        <v>105.55555555555556</v>
      </c>
      <c r="O2796" s="24">
        <f>(Tabla1[[#This Row],[COSTO FIJO ]]/30)*Tabla1[[#This Row],[TOTAL DIAS PROYECTO]]+(Tabla1[[#This Row],[COSTO TEMPORAL]])</f>
        <v>56.296296296296298</v>
      </c>
      <c r="P2796" s="12"/>
      <c r="Q2796" s="12">
        <f>+(Tabla1[[#This Row],[COSTO COCHE]]/30)*Tabla1[[#This Row],[TOTAL DIAS PROYECTO]]</f>
        <v>0</v>
      </c>
      <c r="R2796" s="12">
        <f>+Tabla1[[#This Row],[COSTO TOTAL ALOJAMIENTO]]+Tabla1[[#This Row],[COSTO TOTAL COCHE]]</f>
        <v>56.296296296296298</v>
      </c>
      <c r="S2796" s="2"/>
      <c r="T2796" s="2" t="s">
        <v>44</v>
      </c>
      <c r="U2796" s="14">
        <v>45805</v>
      </c>
      <c r="V2796" s="79">
        <v>45812</v>
      </c>
      <c r="W2796" s="26"/>
      <c r="X2796" s="2"/>
      <c r="Y2796" s="11" t="s">
        <v>3626</v>
      </c>
      <c r="Z2796" s="2" t="s">
        <v>36</v>
      </c>
      <c r="AA2796" s="13">
        <v>-326.69799999999998</v>
      </c>
      <c r="AB2796" s="13" t="s">
        <v>10373</v>
      </c>
    </row>
    <row r="2797" spans="1:28" ht="15" customHeight="1">
      <c r="A2797" s="2" t="s">
        <v>9703</v>
      </c>
      <c r="B2797" s="2" t="s">
        <v>978</v>
      </c>
      <c r="C2797" s="11" t="s">
        <v>4328</v>
      </c>
      <c r="D2797" s="2" t="s">
        <v>30</v>
      </c>
      <c r="E2797" s="2" t="s">
        <v>2231</v>
      </c>
      <c r="F2797" s="11" t="s">
        <v>4329</v>
      </c>
      <c r="G2797" s="46" t="s">
        <v>4330</v>
      </c>
      <c r="H2797" s="2" t="s">
        <v>4331</v>
      </c>
      <c r="I2797" s="12" t="s">
        <v>4332</v>
      </c>
      <c r="J2797" s="41">
        <f>+Tabla1[[#This Row],[FECHA ENTRADA]]</f>
        <v>45835</v>
      </c>
      <c r="K2797" s="41">
        <v>45849</v>
      </c>
      <c r="L2797" s="42">
        <f>_xlfn.DAYS(Tabla1[[#This Row],[FECHA FIN ]],Tabla1[[#This Row],[FECHA INICIO]])</f>
        <v>14</v>
      </c>
      <c r="M2797" s="12"/>
      <c r="N2797" s="12"/>
      <c r="O2797" s="28">
        <f>(Tabla1[[#This Row],[COSTO FIJO ]]/30)*Tabla1[[#This Row],[TOTAL DIAS PROYECTO]]+(Tabla1[[#This Row],[COSTO TEMPORAL]])</f>
        <v>0</v>
      </c>
      <c r="P2797" s="12"/>
      <c r="Q2797" s="12">
        <f>+(Tabla1[[#This Row],[COSTO COCHE]]/30)*Tabla1[[#This Row],[TOTAL DIAS PROYECTO]]</f>
        <v>0</v>
      </c>
      <c r="R2797" s="12">
        <f>+Tabla1[[#This Row],[COSTO TOTAL ALOJAMIENTO]]+Tabla1[[#This Row],[COSTO TOTAL COCHE]]</f>
        <v>0</v>
      </c>
      <c r="S2797" s="2"/>
      <c r="T2797" s="14" t="s">
        <v>44</v>
      </c>
      <c r="U2797" s="14">
        <v>45835</v>
      </c>
      <c r="V2797" s="43">
        <v>45865</v>
      </c>
      <c r="W2797" s="12">
        <v>400</v>
      </c>
      <c r="X2797" s="2">
        <v>1</v>
      </c>
      <c r="Y2797" s="11"/>
      <c r="Z2797" s="2" t="s">
        <v>36</v>
      </c>
      <c r="AA2797" s="13">
        <v>-8.6443499999999993</v>
      </c>
      <c r="AB2797" s="13">
        <v>42.430999999999997</v>
      </c>
    </row>
    <row r="2798" spans="1:28" ht="15" customHeight="1">
      <c r="A2798" s="2" t="s">
        <v>9017</v>
      </c>
      <c r="B2798" s="2" t="s">
        <v>978</v>
      </c>
      <c r="C2798" s="11" t="s">
        <v>1705</v>
      </c>
      <c r="D2798" s="2" t="s">
        <v>30</v>
      </c>
      <c r="E2798" s="2" t="s">
        <v>2231</v>
      </c>
      <c r="F2798" s="11" t="s">
        <v>4329</v>
      </c>
      <c r="G2798" s="46" t="s">
        <v>4330</v>
      </c>
      <c r="H2798" s="2" t="s">
        <v>4331</v>
      </c>
      <c r="I2798" s="12" t="s">
        <v>4332</v>
      </c>
      <c r="J2798" s="41">
        <f>+Tabla1[[#This Row],[FECHA ENTRADA]]</f>
        <v>45835</v>
      </c>
      <c r="K2798" s="41">
        <v>45849</v>
      </c>
      <c r="L2798" s="42">
        <f>_xlfn.DAYS(Tabla1[[#This Row],[FECHA FIN ]],Tabla1[[#This Row],[FECHA INICIO]])</f>
        <v>14</v>
      </c>
      <c r="M2798" s="12"/>
      <c r="N2798" s="12"/>
      <c r="O2798" s="28">
        <f>(Tabla1[[#This Row],[COSTO FIJO ]]/30)*Tabla1[[#This Row],[TOTAL DIAS PROYECTO]]+(Tabla1[[#This Row],[COSTO TEMPORAL]])</f>
        <v>0</v>
      </c>
      <c r="P2798" s="12"/>
      <c r="Q2798" s="12">
        <f>+(Tabla1[[#This Row],[COSTO COCHE]]/30)*Tabla1[[#This Row],[TOTAL DIAS PROYECTO]]</f>
        <v>0</v>
      </c>
      <c r="R2798" s="12">
        <f>+Tabla1[[#This Row],[COSTO TOTAL ALOJAMIENTO]]+Tabla1[[#This Row],[COSTO TOTAL COCHE]]</f>
        <v>0</v>
      </c>
      <c r="S2798" s="2"/>
      <c r="T2798" s="14" t="s">
        <v>44</v>
      </c>
      <c r="U2798" s="14">
        <v>45835</v>
      </c>
      <c r="V2798" s="43">
        <v>45865</v>
      </c>
      <c r="W2798" s="12"/>
      <c r="X2798" s="2">
        <v>1</v>
      </c>
      <c r="Y2798" s="11"/>
      <c r="Z2798" s="2" t="s">
        <v>36</v>
      </c>
      <c r="AA2798" s="13">
        <v>-8.6443499999999993</v>
      </c>
      <c r="AB2798" s="13">
        <v>42.430999999999997</v>
      </c>
    </row>
    <row r="2799" spans="1:28" ht="15" customHeight="1">
      <c r="A2799" s="2" t="s">
        <v>9704</v>
      </c>
      <c r="B2799" s="2" t="s">
        <v>978</v>
      </c>
      <c r="C2799" s="11" t="s">
        <v>4333</v>
      </c>
      <c r="D2799" s="2" t="s">
        <v>30</v>
      </c>
      <c r="E2799" s="2" t="s">
        <v>2231</v>
      </c>
      <c r="F2799" s="11" t="s">
        <v>4329</v>
      </c>
      <c r="G2799" s="46" t="s">
        <v>4330</v>
      </c>
      <c r="H2799" s="2" t="s">
        <v>4331</v>
      </c>
      <c r="I2799" s="12" t="s">
        <v>4332</v>
      </c>
      <c r="J2799" s="41">
        <f>+Tabla1[[#This Row],[FECHA ENTRADA]]</f>
        <v>45835</v>
      </c>
      <c r="K2799" s="41">
        <v>45849</v>
      </c>
      <c r="L2799" s="42">
        <f>_xlfn.DAYS(Tabla1[[#This Row],[FECHA FIN ]],Tabla1[[#This Row],[FECHA INICIO]])</f>
        <v>14</v>
      </c>
      <c r="M2799" s="12"/>
      <c r="N2799" s="12"/>
      <c r="O2799" s="28">
        <f>(Tabla1[[#This Row],[COSTO FIJO ]]/30)*Tabla1[[#This Row],[TOTAL DIAS PROYECTO]]+(Tabla1[[#This Row],[COSTO TEMPORAL]])</f>
        <v>0</v>
      </c>
      <c r="P2799" s="12"/>
      <c r="Q2799" s="12">
        <f>+(Tabla1[[#This Row],[COSTO COCHE]]/30)*Tabla1[[#This Row],[TOTAL DIAS PROYECTO]]</f>
        <v>0</v>
      </c>
      <c r="R2799" s="12">
        <f>+Tabla1[[#This Row],[COSTO TOTAL ALOJAMIENTO]]+Tabla1[[#This Row],[COSTO TOTAL COCHE]]</f>
        <v>0</v>
      </c>
      <c r="S2799" s="2"/>
      <c r="T2799" s="14" t="s">
        <v>44</v>
      </c>
      <c r="U2799" s="14">
        <v>45835</v>
      </c>
      <c r="V2799" s="43">
        <v>45865</v>
      </c>
      <c r="W2799" s="12"/>
      <c r="X2799" s="2">
        <v>1</v>
      </c>
      <c r="Y2799" s="11"/>
      <c r="Z2799" s="2" t="s">
        <v>36</v>
      </c>
      <c r="AA2799" s="13">
        <v>-8.6443499999999993</v>
      </c>
      <c r="AB2799" s="13">
        <v>42.430999999999997</v>
      </c>
    </row>
    <row r="2800" spans="1:28" ht="15" customHeight="1">
      <c r="A2800" s="2" t="s">
        <v>9705</v>
      </c>
      <c r="B2800" s="2" t="s">
        <v>978</v>
      </c>
      <c r="C2800" s="11" t="s">
        <v>4334</v>
      </c>
      <c r="D2800" s="2" t="s">
        <v>30</v>
      </c>
      <c r="E2800" s="2" t="s">
        <v>2231</v>
      </c>
      <c r="F2800" s="11" t="s">
        <v>4335</v>
      </c>
      <c r="G2800" s="46" t="s">
        <v>4330</v>
      </c>
      <c r="H2800" s="2" t="s">
        <v>3151</v>
      </c>
      <c r="I2800" s="12" t="s">
        <v>4332</v>
      </c>
      <c r="J2800" s="41">
        <f>+Tabla1[[#This Row],[FECHA ENTRADA]]</f>
        <v>45839</v>
      </c>
      <c r="K2800" s="41">
        <v>45849</v>
      </c>
      <c r="L2800" s="42">
        <f>_xlfn.DAYS(Tabla1[[#This Row],[FECHA FIN ]],Tabla1[[#This Row],[FECHA INICIO]])</f>
        <v>10</v>
      </c>
      <c r="M2800" s="12"/>
      <c r="N2800" s="12">
        <v>500</v>
      </c>
      <c r="O2800" s="28">
        <f>(Tabla1[[#This Row],[COSTO FIJO ]]/30)*Tabla1[[#This Row],[TOTAL DIAS PROYECTO]]+(Tabla1[[#This Row],[COSTO TEMPORAL]])</f>
        <v>166.66666666666669</v>
      </c>
      <c r="P2800" s="12"/>
      <c r="Q2800" s="12">
        <f>+(Tabla1[[#This Row],[COSTO COCHE]]/30)*Tabla1[[#This Row],[TOTAL DIAS PROYECTO]]</f>
        <v>0</v>
      </c>
      <c r="R2800" s="12">
        <f>+Tabla1[[#This Row],[COSTO TOTAL ALOJAMIENTO]]+Tabla1[[#This Row],[COSTO TOTAL COCHE]]</f>
        <v>166.66666666666669</v>
      </c>
      <c r="S2800" s="2"/>
      <c r="T2800" s="14" t="s">
        <v>44</v>
      </c>
      <c r="U2800" s="14">
        <v>45839</v>
      </c>
      <c r="V2800" s="43">
        <v>45869</v>
      </c>
      <c r="W2800" s="12">
        <v>400</v>
      </c>
      <c r="X2800" s="2">
        <v>1</v>
      </c>
      <c r="Y2800" s="11"/>
      <c r="Z2800" s="2" t="s">
        <v>36</v>
      </c>
      <c r="AA2800" s="13">
        <v>-8.6443499999999993</v>
      </c>
      <c r="AB2800" s="13">
        <v>42.430999999999997</v>
      </c>
    </row>
    <row r="2801" spans="1:28" ht="15" customHeight="1">
      <c r="A2801" s="2" t="s">
        <v>9706</v>
      </c>
      <c r="B2801" s="2" t="s">
        <v>978</v>
      </c>
      <c r="C2801" s="11" t="s">
        <v>4336</v>
      </c>
      <c r="D2801" s="2" t="s">
        <v>30</v>
      </c>
      <c r="E2801" s="2" t="s">
        <v>2231</v>
      </c>
      <c r="F2801" s="11" t="s">
        <v>4335</v>
      </c>
      <c r="G2801" s="46" t="s">
        <v>4330</v>
      </c>
      <c r="H2801" s="2" t="s">
        <v>3151</v>
      </c>
      <c r="I2801" s="12" t="s">
        <v>4332</v>
      </c>
      <c r="J2801" s="41">
        <f>+Tabla1[[#This Row],[FECHA ENTRADA]]</f>
        <v>45839</v>
      </c>
      <c r="K2801" s="41">
        <v>45849</v>
      </c>
      <c r="L2801" s="42">
        <f>_xlfn.DAYS(Tabla1[[#This Row],[FECHA FIN ]],Tabla1[[#This Row],[FECHA INICIO]])</f>
        <v>10</v>
      </c>
      <c r="M2801" s="12"/>
      <c r="N2801" s="12">
        <v>500</v>
      </c>
      <c r="O2801" s="28">
        <f>(Tabla1[[#This Row],[COSTO FIJO ]]/30)*Tabla1[[#This Row],[TOTAL DIAS PROYECTO]]+(Tabla1[[#This Row],[COSTO TEMPORAL]])</f>
        <v>166.66666666666669</v>
      </c>
      <c r="P2801" s="12"/>
      <c r="Q2801" s="12">
        <f>+(Tabla1[[#This Row],[COSTO COCHE]]/30)*Tabla1[[#This Row],[TOTAL DIAS PROYECTO]]</f>
        <v>0</v>
      </c>
      <c r="R2801" s="12">
        <f>+Tabla1[[#This Row],[COSTO TOTAL ALOJAMIENTO]]+Tabla1[[#This Row],[COSTO TOTAL COCHE]]</f>
        <v>166.66666666666669</v>
      </c>
      <c r="S2801" s="2"/>
      <c r="T2801" s="14" t="s">
        <v>44</v>
      </c>
      <c r="U2801" s="14">
        <v>45839</v>
      </c>
      <c r="V2801" s="43">
        <v>45869</v>
      </c>
      <c r="W2801" s="12"/>
      <c r="X2801" s="2">
        <v>1</v>
      </c>
      <c r="Y2801" s="11"/>
      <c r="Z2801" s="2" t="s">
        <v>36</v>
      </c>
      <c r="AA2801" s="13">
        <v>-8.6443499999999993</v>
      </c>
      <c r="AB2801" s="13">
        <v>42.430999999999997</v>
      </c>
    </row>
    <row r="2802" spans="1:28" ht="15" customHeight="1">
      <c r="A2802" s="2" t="s">
        <v>9707</v>
      </c>
      <c r="B2802" s="2" t="s">
        <v>978</v>
      </c>
      <c r="C2802" s="11" t="s">
        <v>4337</v>
      </c>
      <c r="D2802" s="2" t="s">
        <v>30</v>
      </c>
      <c r="E2802" s="2" t="s">
        <v>2231</v>
      </c>
      <c r="F2802" s="11" t="s">
        <v>4335</v>
      </c>
      <c r="G2802" s="46" t="s">
        <v>4330</v>
      </c>
      <c r="H2802" s="2" t="s">
        <v>4338</v>
      </c>
      <c r="I2802" s="12" t="s">
        <v>4332</v>
      </c>
      <c r="J2802" s="41">
        <f>+Tabla1[[#This Row],[FECHA ENTRADA]]</f>
        <v>45839</v>
      </c>
      <c r="K2802" s="41">
        <v>45849</v>
      </c>
      <c r="L2802" s="42">
        <f>_xlfn.DAYS(Tabla1[[#This Row],[FECHA FIN ]],Tabla1[[#This Row],[FECHA INICIO]])</f>
        <v>10</v>
      </c>
      <c r="M2802" s="12"/>
      <c r="N2802" s="12">
        <v>500</v>
      </c>
      <c r="O2802" s="28">
        <f>(Tabla1[[#This Row],[COSTO FIJO ]]/30)*Tabla1[[#This Row],[TOTAL DIAS PROYECTO]]+(Tabla1[[#This Row],[COSTO TEMPORAL]])</f>
        <v>166.66666666666669</v>
      </c>
      <c r="P2802" s="12"/>
      <c r="Q2802" s="12">
        <f>+(Tabla1[[#This Row],[COSTO COCHE]]/30)*Tabla1[[#This Row],[TOTAL DIAS PROYECTO]]</f>
        <v>0</v>
      </c>
      <c r="R2802" s="12">
        <f>+Tabla1[[#This Row],[COSTO TOTAL ALOJAMIENTO]]+Tabla1[[#This Row],[COSTO TOTAL COCHE]]</f>
        <v>166.66666666666669</v>
      </c>
      <c r="S2802" s="2"/>
      <c r="T2802" s="14" t="s">
        <v>44</v>
      </c>
      <c r="U2802" s="14">
        <v>45839</v>
      </c>
      <c r="V2802" s="43">
        <v>45869</v>
      </c>
      <c r="W2802" s="12"/>
      <c r="X2802" s="2">
        <v>1</v>
      </c>
      <c r="Y2802" s="11"/>
      <c r="Z2802" s="2" t="s">
        <v>36</v>
      </c>
      <c r="AA2802" s="13">
        <v>-8.6443499999999993</v>
      </c>
      <c r="AB2802" s="13">
        <v>42.430999999999997</v>
      </c>
    </row>
    <row r="2803" spans="1:28" ht="15" customHeight="1">
      <c r="A2803" s="2" t="s">
        <v>8642</v>
      </c>
      <c r="B2803" s="2" t="s">
        <v>978</v>
      </c>
      <c r="C2803" s="11" t="s">
        <v>4339</v>
      </c>
      <c r="D2803" s="2" t="s">
        <v>30</v>
      </c>
      <c r="E2803" s="2" t="s">
        <v>2231</v>
      </c>
      <c r="F2803" s="11" t="s">
        <v>4340</v>
      </c>
      <c r="G2803" s="46" t="s">
        <v>4330</v>
      </c>
      <c r="H2803" s="2" t="s">
        <v>3151</v>
      </c>
      <c r="I2803" s="12" t="s">
        <v>4332</v>
      </c>
      <c r="J2803" s="41">
        <f>+Tabla1[[#This Row],[FECHA ENTRADA]]</f>
        <v>45839</v>
      </c>
      <c r="K2803" s="41">
        <v>45849</v>
      </c>
      <c r="L2803" s="42">
        <f>_xlfn.DAYS(Tabla1[[#This Row],[FECHA FIN ]],Tabla1[[#This Row],[FECHA INICIO]])</f>
        <v>10</v>
      </c>
      <c r="M2803" s="12"/>
      <c r="N2803" s="12">
        <v>450</v>
      </c>
      <c r="O2803" s="28">
        <f>(Tabla1[[#This Row],[COSTO FIJO ]]/30)*Tabla1[[#This Row],[TOTAL DIAS PROYECTO]]+(Tabla1[[#This Row],[COSTO TEMPORAL]])</f>
        <v>150</v>
      </c>
      <c r="P2803" s="12"/>
      <c r="Q2803" s="12">
        <f>+(Tabla1[[#This Row],[COSTO COCHE]]/30)*Tabla1[[#This Row],[TOTAL DIAS PROYECTO]]</f>
        <v>0</v>
      </c>
      <c r="R2803" s="12">
        <f>+Tabla1[[#This Row],[COSTO TOTAL ALOJAMIENTO]]+Tabla1[[#This Row],[COSTO TOTAL COCHE]]</f>
        <v>150</v>
      </c>
      <c r="S2803" s="2"/>
      <c r="T2803" s="14" t="s">
        <v>44</v>
      </c>
      <c r="U2803" s="14">
        <v>45839</v>
      </c>
      <c r="V2803" s="43">
        <v>45869</v>
      </c>
      <c r="W2803" s="12">
        <v>400</v>
      </c>
      <c r="X2803" s="2">
        <v>1</v>
      </c>
      <c r="Y2803" s="11"/>
      <c r="Z2803" s="2" t="s">
        <v>36</v>
      </c>
      <c r="AA2803" s="13">
        <v>-8.6443499999999993</v>
      </c>
      <c r="AB2803" s="13">
        <v>42.430999999999997</v>
      </c>
    </row>
    <row r="2804" spans="1:28" ht="15" customHeight="1">
      <c r="A2804" s="2" t="s">
        <v>9708</v>
      </c>
      <c r="B2804" s="2" t="s">
        <v>978</v>
      </c>
      <c r="C2804" s="11" t="s">
        <v>4341</v>
      </c>
      <c r="D2804" s="2" t="s">
        <v>30</v>
      </c>
      <c r="E2804" s="2" t="s">
        <v>2231</v>
      </c>
      <c r="F2804" s="11" t="s">
        <v>4340</v>
      </c>
      <c r="G2804" s="46" t="s">
        <v>4330</v>
      </c>
      <c r="H2804" s="2" t="s">
        <v>4342</v>
      </c>
      <c r="I2804" s="12" t="s">
        <v>4332</v>
      </c>
      <c r="J2804" s="41">
        <f>+Tabla1[[#This Row],[FECHA ENTRADA]]</f>
        <v>45839</v>
      </c>
      <c r="K2804" s="41">
        <v>45849</v>
      </c>
      <c r="L2804" s="42">
        <f>_xlfn.DAYS(Tabla1[[#This Row],[FECHA FIN ]],Tabla1[[#This Row],[FECHA INICIO]])</f>
        <v>10</v>
      </c>
      <c r="M2804" s="12"/>
      <c r="N2804" s="12">
        <v>450</v>
      </c>
      <c r="O2804" s="28">
        <f>(Tabla1[[#This Row],[COSTO FIJO ]]/30)*Tabla1[[#This Row],[TOTAL DIAS PROYECTO]]+(Tabla1[[#This Row],[COSTO TEMPORAL]])</f>
        <v>150</v>
      </c>
      <c r="P2804" s="12"/>
      <c r="Q2804" s="12">
        <f>+(Tabla1[[#This Row],[COSTO COCHE]]/30)*Tabla1[[#This Row],[TOTAL DIAS PROYECTO]]</f>
        <v>0</v>
      </c>
      <c r="R2804" s="12">
        <f>+Tabla1[[#This Row],[COSTO TOTAL ALOJAMIENTO]]+Tabla1[[#This Row],[COSTO TOTAL COCHE]]</f>
        <v>150</v>
      </c>
      <c r="S2804" s="2"/>
      <c r="T2804" s="14" t="s">
        <v>44</v>
      </c>
      <c r="U2804" s="14">
        <v>45839</v>
      </c>
      <c r="V2804" s="43">
        <v>45869</v>
      </c>
      <c r="W2804" s="12"/>
      <c r="X2804" s="2">
        <v>1</v>
      </c>
      <c r="Y2804" s="11"/>
      <c r="Z2804" s="2" t="s">
        <v>36</v>
      </c>
      <c r="AA2804" s="13">
        <v>-8.6443499999999993</v>
      </c>
      <c r="AB2804" s="13">
        <v>42.430999999999997</v>
      </c>
    </row>
    <row r="2805" spans="1:28" ht="15" customHeight="1">
      <c r="A2805" s="2" t="s">
        <v>9709</v>
      </c>
      <c r="B2805" s="2" t="s">
        <v>978</v>
      </c>
      <c r="C2805" s="11" t="s">
        <v>4343</v>
      </c>
      <c r="D2805" s="2" t="s">
        <v>30</v>
      </c>
      <c r="E2805" s="2" t="s">
        <v>2231</v>
      </c>
      <c r="F2805" s="11" t="s">
        <v>4340</v>
      </c>
      <c r="G2805" s="46" t="s">
        <v>4330</v>
      </c>
      <c r="H2805" s="2" t="s">
        <v>4344</v>
      </c>
      <c r="I2805" s="12" t="s">
        <v>4332</v>
      </c>
      <c r="J2805" s="41">
        <f>+Tabla1[[#This Row],[FECHA ENTRADA]]</f>
        <v>45839</v>
      </c>
      <c r="K2805" s="41">
        <v>45849</v>
      </c>
      <c r="L2805" s="42">
        <f>_xlfn.DAYS(Tabla1[[#This Row],[FECHA FIN ]],Tabla1[[#This Row],[FECHA INICIO]])</f>
        <v>10</v>
      </c>
      <c r="M2805" s="12"/>
      <c r="N2805" s="12">
        <v>450</v>
      </c>
      <c r="O2805" s="28">
        <f>(Tabla1[[#This Row],[COSTO FIJO ]]/30)*Tabla1[[#This Row],[TOTAL DIAS PROYECTO]]+(Tabla1[[#This Row],[COSTO TEMPORAL]])</f>
        <v>150</v>
      </c>
      <c r="P2805" s="12"/>
      <c r="Q2805" s="12">
        <f>+(Tabla1[[#This Row],[COSTO COCHE]]/30)*Tabla1[[#This Row],[TOTAL DIAS PROYECTO]]</f>
        <v>0</v>
      </c>
      <c r="R2805" s="12">
        <f>+Tabla1[[#This Row],[COSTO TOTAL ALOJAMIENTO]]+Tabla1[[#This Row],[COSTO TOTAL COCHE]]</f>
        <v>150</v>
      </c>
      <c r="S2805" s="2"/>
      <c r="T2805" s="14" t="s">
        <v>44</v>
      </c>
      <c r="U2805" s="14">
        <v>45839</v>
      </c>
      <c r="V2805" s="43">
        <v>45869</v>
      </c>
      <c r="W2805" s="12"/>
      <c r="X2805" s="2">
        <v>1</v>
      </c>
      <c r="Y2805" s="11"/>
      <c r="Z2805" s="2" t="s">
        <v>36</v>
      </c>
      <c r="AA2805" s="13">
        <v>-8.6443499999999993</v>
      </c>
      <c r="AB2805" s="13">
        <v>42.430999999999997</v>
      </c>
    </row>
    <row r="2806" spans="1:28" ht="15" customHeight="1">
      <c r="A2806" s="2" t="s">
        <v>9138</v>
      </c>
      <c r="B2806" s="2" t="s">
        <v>978</v>
      </c>
      <c r="C2806" s="11" t="s">
        <v>2159</v>
      </c>
      <c r="D2806" s="2" t="s">
        <v>30</v>
      </c>
      <c r="E2806" s="2" t="s">
        <v>2231</v>
      </c>
      <c r="F2806" s="11" t="s">
        <v>4340</v>
      </c>
      <c r="G2806" s="46" t="s">
        <v>4330</v>
      </c>
      <c r="H2806" s="2" t="s">
        <v>4015</v>
      </c>
      <c r="I2806" s="12" t="s">
        <v>4345</v>
      </c>
      <c r="J2806" s="41">
        <f>+Tabla1[[#This Row],[FECHA ENTRADA]]</f>
        <v>45839</v>
      </c>
      <c r="K2806" s="41">
        <v>45849</v>
      </c>
      <c r="L2806" s="42">
        <f>_xlfn.DAYS(Tabla1[[#This Row],[FECHA FIN ]],Tabla1[[#This Row],[FECHA INICIO]])</f>
        <v>10</v>
      </c>
      <c r="M2806" s="12"/>
      <c r="N2806" s="12">
        <v>450</v>
      </c>
      <c r="O2806" s="28">
        <f>(Tabla1[[#This Row],[COSTO FIJO ]]/30)*Tabla1[[#This Row],[TOTAL DIAS PROYECTO]]+(Tabla1[[#This Row],[COSTO TEMPORAL]])</f>
        <v>150</v>
      </c>
      <c r="P2806" s="12"/>
      <c r="Q2806" s="12">
        <f>+(Tabla1[[#This Row],[COSTO COCHE]]/30)*Tabla1[[#This Row],[TOTAL DIAS PROYECTO]]</f>
        <v>0</v>
      </c>
      <c r="R2806" s="12">
        <f>+Tabla1[[#This Row],[COSTO TOTAL ALOJAMIENTO]]+Tabla1[[#This Row],[COSTO TOTAL COCHE]]</f>
        <v>150</v>
      </c>
      <c r="S2806" s="2"/>
      <c r="T2806" s="14" t="s">
        <v>44</v>
      </c>
      <c r="U2806" s="14">
        <v>45839</v>
      </c>
      <c r="V2806" s="43">
        <v>45869</v>
      </c>
      <c r="W2806" s="12"/>
      <c r="X2806" s="2">
        <v>1</v>
      </c>
      <c r="Y2806" s="11"/>
      <c r="Z2806" s="2" t="s">
        <v>36</v>
      </c>
      <c r="AA2806" s="13">
        <v>-8.6443499999999993</v>
      </c>
      <c r="AB2806" s="13">
        <v>42.430999999999997</v>
      </c>
    </row>
    <row r="2807" spans="1:28">
      <c r="A2807" s="2" t="s">
        <v>9607</v>
      </c>
      <c r="B2807" s="2" t="s">
        <v>368</v>
      </c>
      <c r="C2807" s="11" t="s">
        <v>3850</v>
      </c>
      <c r="D2807" s="2" t="s">
        <v>30</v>
      </c>
      <c r="E2807" s="2" t="s">
        <v>87</v>
      </c>
      <c r="F2807" s="11" t="s">
        <v>121</v>
      </c>
      <c r="G2807" s="11" t="s">
        <v>3433</v>
      </c>
      <c r="H2807" s="2" t="s">
        <v>1880</v>
      </c>
      <c r="I2807" s="12" t="s">
        <v>1288</v>
      </c>
      <c r="J2807" s="8">
        <v>45516</v>
      </c>
      <c r="K2807" s="22">
        <v>45849</v>
      </c>
      <c r="L2807" s="13">
        <f>_xlfn.DAYS(Tabla1[[#This Row],[FECHA FIN ]],Tabla1[[#This Row],[FECHA INICIO]])</f>
        <v>333</v>
      </c>
      <c r="M2807" s="12"/>
      <c r="N2807" s="12">
        <v>450</v>
      </c>
      <c r="O2807" s="12">
        <f>(Tabla1[[#This Row],[COSTO FIJO ]]/30)*Tabla1[[#This Row],[TOTAL DIAS PROYECTO]]+(Tabla1[[#This Row],[COSTO TEMPORAL]])</f>
        <v>4995</v>
      </c>
      <c r="P2807" s="12"/>
      <c r="Q2807" s="12">
        <f>+(Tabla1[[#This Row],[COSTO COCHE]]/30)*Tabla1[[#This Row],[TOTAL DIAS PROYECTO]]</f>
        <v>0</v>
      </c>
      <c r="R2807" s="12">
        <f>+Tabla1[[#This Row],[COSTO TOTAL ALOJAMIENTO]]+Tabla1[[#This Row],[COSTO TOTAL COCHE]]</f>
        <v>4995</v>
      </c>
      <c r="S2807" s="2"/>
      <c r="T2807" s="2" t="s">
        <v>35</v>
      </c>
      <c r="U2807" s="14">
        <v>45504</v>
      </c>
      <c r="V2807" s="14"/>
      <c r="W2807" s="26"/>
      <c r="X2807" s="2">
        <v>12</v>
      </c>
      <c r="Y2807" s="11" t="s">
        <v>4346</v>
      </c>
      <c r="Z2807" s="2" t="s">
        <v>36</v>
      </c>
      <c r="AA2807" s="13" t="s">
        <v>10335</v>
      </c>
      <c r="AB2807" s="13">
        <v>404.16500000000002</v>
      </c>
    </row>
    <row r="2808" spans="1:28" ht="15" customHeight="1">
      <c r="A2808" s="2" t="s">
        <v>9610</v>
      </c>
      <c r="B2808" s="2" t="s">
        <v>368</v>
      </c>
      <c r="C2808" s="11" t="s">
        <v>3869</v>
      </c>
      <c r="D2808" s="2" t="s">
        <v>30</v>
      </c>
      <c r="E2808" s="2" t="s">
        <v>87</v>
      </c>
      <c r="F2808" s="11" t="s">
        <v>121</v>
      </c>
      <c r="G2808" s="11" t="s">
        <v>3433</v>
      </c>
      <c r="H2808" s="2" t="s">
        <v>1880</v>
      </c>
      <c r="I2808" s="12" t="s">
        <v>1288</v>
      </c>
      <c r="J2808" s="8">
        <v>45516</v>
      </c>
      <c r="K2808" s="22">
        <v>45849</v>
      </c>
      <c r="L2808" s="13">
        <f>_xlfn.DAYS(Tabla1[[#This Row],[FECHA FIN ]],Tabla1[[#This Row],[FECHA INICIO]])</f>
        <v>333</v>
      </c>
      <c r="M2808" s="12"/>
      <c r="N2808" s="12">
        <v>450</v>
      </c>
      <c r="O2808" s="12">
        <f>(Tabla1[[#This Row],[COSTO FIJO ]]/30)*Tabla1[[#This Row],[TOTAL DIAS PROYECTO]]+(Tabla1[[#This Row],[COSTO TEMPORAL]])</f>
        <v>4995</v>
      </c>
      <c r="P2808" s="12"/>
      <c r="Q2808" s="12">
        <f>+(Tabla1[[#This Row],[COSTO COCHE]]/30)*Tabla1[[#This Row],[TOTAL DIAS PROYECTO]]</f>
        <v>0</v>
      </c>
      <c r="R2808" s="12">
        <f>+Tabla1[[#This Row],[COSTO TOTAL ALOJAMIENTO]]+Tabla1[[#This Row],[COSTO TOTAL COCHE]]</f>
        <v>4995</v>
      </c>
      <c r="S2808" s="2"/>
      <c r="T2808" s="2" t="s">
        <v>35</v>
      </c>
      <c r="U2808" s="14">
        <v>45504</v>
      </c>
      <c r="V2808" s="14"/>
      <c r="W2808" s="26"/>
      <c r="X2808" s="2">
        <v>12</v>
      </c>
      <c r="Y2808" s="11" t="s">
        <v>4347</v>
      </c>
      <c r="Z2808" s="2" t="s">
        <v>36</v>
      </c>
      <c r="AA2808" s="13" t="s">
        <v>10335</v>
      </c>
      <c r="AB2808" s="13">
        <v>404.16500000000002</v>
      </c>
    </row>
    <row r="2809" spans="1:28">
      <c r="A2809" s="2" t="s">
        <v>9451</v>
      </c>
      <c r="B2809" s="2" t="s">
        <v>28</v>
      </c>
      <c r="C2809" s="31" t="s">
        <v>3225</v>
      </c>
      <c r="D2809" s="2" t="s">
        <v>99</v>
      </c>
      <c r="E2809" s="2" t="s">
        <v>422</v>
      </c>
      <c r="F2809" s="11" t="s">
        <v>956</v>
      </c>
      <c r="G2809" s="118" t="s">
        <v>957</v>
      </c>
      <c r="H2809" s="2" t="s">
        <v>4326</v>
      </c>
      <c r="I2809" s="12" t="s">
        <v>4327</v>
      </c>
      <c r="J2809" s="41">
        <f>+Tabla1[[#This Row],[FECHA ENTRADA]]</f>
        <v>45805</v>
      </c>
      <c r="K2809" s="22">
        <v>46033</v>
      </c>
      <c r="L2809" s="23">
        <f>_xlfn.DAYS(Tabla1[[#This Row],[FECHA FIN ]],Tabla1[[#This Row],[FECHA INICIO]])</f>
        <v>228</v>
      </c>
      <c r="M2809" s="12"/>
      <c r="N2809" s="28">
        <v>287.5</v>
      </c>
      <c r="O2809" s="24">
        <f>(Tabla1[[#This Row],[COSTO FIJO ]]/30)*Tabla1[[#This Row],[TOTAL DIAS PROYECTO]]+(Tabla1[[#This Row],[COSTO TEMPORAL]])</f>
        <v>2185</v>
      </c>
      <c r="P2809" s="12"/>
      <c r="Q2809" s="12">
        <f>+(Tabla1[[#This Row],[COSTO COCHE]]/30)*Tabla1[[#This Row],[TOTAL DIAS PROYECTO]]</f>
        <v>0</v>
      </c>
      <c r="R2809" s="12">
        <f>+Tabla1[[#This Row],[COSTO TOTAL ALOJAMIENTO]]+Tabla1[[#This Row],[COSTO TOTAL COCHE]]</f>
        <v>2185</v>
      </c>
      <c r="S2809" s="2"/>
      <c r="T2809" s="2" t="s">
        <v>35</v>
      </c>
      <c r="U2809" s="14">
        <v>45805</v>
      </c>
      <c r="V2809" s="79"/>
      <c r="W2809" s="26"/>
      <c r="X2809" s="2">
        <v>5</v>
      </c>
      <c r="Y2809" s="11" t="s">
        <v>4348</v>
      </c>
      <c r="Z2809" s="2" t="s">
        <v>36</v>
      </c>
      <c r="AA2809" s="13">
        <v>-326.69799999999998</v>
      </c>
      <c r="AB2809" s="13" t="s">
        <v>10373</v>
      </c>
    </row>
    <row r="2810" spans="1:28" ht="15" customHeight="1">
      <c r="A2810" s="2" t="s">
        <v>9428</v>
      </c>
      <c r="B2810" s="2" t="s">
        <v>711</v>
      </c>
      <c r="C2810" s="11" t="s">
        <v>3141</v>
      </c>
      <c r="D2810" s="2" t="s">
        <v>99</v>
      </c>
      <c r="E2810" s="2" t="s">
        <v>790</v>
      </c>
      <c r="F2810" s="11" t="s">
        <v>3309</v>
      </c>
      <c r="G2810" s="49" t="s">
        <v>3310</v>
      </c>
      <c r="H2810" s="2" t="s">
        <v>3311</v>
      </c>
      <c r="I2810" s="12" t="s">
        <v>506</v>
      </c>
      <c r="J2810" s="22">
        <f>+Tabla1[[#This Row],[FECHA ENTRADA]]</f>
        <v>45732</v>
      </c>
      <c r="K2810" s="8">
        <v>45850</v>
      </c>
      <c r="L2810" s="23">
        <f>_xlfn.DAYS(Tabla1[[#This Row],[FECHA FIN ]],Tabla1[[#This Row],[FECHA INICIO]])</f>
        <v>118</v>
      </c>
      <c r="M2810" s="24">
        <v>404.66</v>
      </c>
      <c r="N2810" s="76"/>
      <c r="O2810" s="24">
        <f>(Tabla1[[#This Row],[COSTO FIJO ]]/30)*Tabla1[[#This Row],[TOTAL DIAS PROYECTO]]+(Tabla1[[#This Row],[COSTO TEMPORAL]])</f>
        <v>404.66</v>
      </c>
      <c r="P2810" s="12">
        <f>1261.07/7</f>
        <v>180.15285714285713</v>
      </c>
      <c r="Q2810" s="12">
        <f>651.6/4</f>
        <v>162.9</v>
      </c>
      <c r="R2810" s="12">
        <f>+Tabla1[[#This Row],[COSTO TOTAL ALOJAMIENTO]]+Tabla1[[#This Row],[COSTO TOTAL COCHE]]</f>
        <v>567.56000000000006</v>
      </c>
      <c r="S2810" s="2" t="s">
        <v>84</v>
      </c>
      <c r="T2810" s="2" t="s">
        <v>528</v>
      </c>
      <c r="U2810" s="14">
        <v>45732</v>
      </c>
      <c r="V2810" s="25">
        <v>45852</v>
      </c>
      <c r="W2810" s="26"/>
      <c r="X2810" s="2"/>
      <c r="Y2810" s="217" t="s">
        <v>4349</v>
      </c>
      <c r="Z2810" s="2" t="s">
        <v>36</v>
      </c>
      <c r="AA2810" s="13">
        <v>-574377</v>
      </c>
      <c r="AB2810" s="13">
        <v>4150368</v>
      </c>
    </row>
    <row r="2811" spans="1:28" ht="15" customHeight="1">
      <c r="A2811" s="2" t="s">
        <v>9437</v>
      </c>
      <c r="B2811" s="2" t="s">
        <v>711</v>
      </c>
      <c r="C2811" s="11" t="s">
        <v>3176</v>
      </c>
      <c r="D2811" s="2" t="s">
        <v>99</v>
      </c>
      <c r="E2811" s="2" t="s">
        <v>790</v>
      </c>
      <c r="F2811" s="11" t="s">
        <v>3309</v>
      </c>
      <c r="G2811" s="21" t="s">
        <v>3310</v>
      </c>
      <c r="H2811" s="2" t="s">
        <v>3311</v>
      </c>
      <c r="I2811" s="12" t="s">
        <v>506</v>
      </c>
      <c r="J2811" s="22">
        <f>+Tabla1[[#This Row],[FECHA ENTRADA]]</f>
        <v>45732</v>
      </c>
      <c r="K2811" s="8">
        <v>45850</v>
      </c>
      <c r="L2811" s="23">
        <f>_xlfn.DAYS(Tabla1[[#This Row],[FECHA FIN ]],Tabla1[[#This Row],[FECHA INICIO]])</f>
        <v>118</v>
      </c>
      <c r="M2811" s="24">
        <v>404.66</v>
      </c>
      <c r="N2811" s="76"/>
      <c r="O2811" s="24">
        <f>(Tabla1[[#This Row],[COSTO FIJO ]]/30)*Tabla1[[#This Row],[TOTAL DIAS PROYECTO]]+(Tabla1[[#This Row],[COSTO TEMPORAL]])</f>
        <v>404.66</v>
      </c>
      <c r="P2811" s="12">
        <f>1261.07/7</f>
        <v>180.15285714285713</v>
      </c>
      <c r="Q2811" s="12">
        <f>651.6/4</f>
        <v>162.9</v>
      </c>
      <c r="R2811" s="12">
        <f>+Tabla1[[#This Row],[COSTO TOTAL ALOJAMIENTO]]+Tabla1[[#This Row],[COSTO TOTAL COCHE]]</f>
        <v>567.56000000000006</v>
      </c>
      <c r="S2811" s="2" t="s">
        <v>84</v>
      </c>
      <c r="T2811" s="2" t="s">
        <v>528</v>
      </c>
      <c r="U2811" s="14">
        <v>45732</v>
      </c>
      <c r="V2811" s="25">
        <v>45852</v>
      </c>
      <c r="W2811" s="26"/>
      <c r="X2811" s="2"/>
      <c r="Y2811" s="217" t="s">
        <v>4350</v>
      </c>
      <c r="Z2811" s="2" t="s">
        <v>36</v>
      </c>
      <c r="AA2811" s="13">
        <v>-574377</v>
      </c>
      <c r="AB2811" s="13">
        <v>4150368</v>
      </c>
    </row>
    <row r="2812" spans="1:28" ht="15" customHeight="1">
      <c r="A2812" s="2" t="s">
        <v>9274</v>
      </c>
      <c r="B2812" s="2" t="s">
        <v>711</v>
      </c>
      <c r="C2812" s="11" t="s">
        <v>2676</v>
      </c>
      <c r="D2812" s="2" t="s">
        <v>99</v>
      </c>
      <c r="E2812" s="2" t="s">
        <v>790</v>
      </c>
      <c r="F2812" s="11" t="s">
        <v>3309</v>
      </c>
      <c r="G2812" s="46" t="s">
        <v>3310</v>
      </c>
      <c r="H2812" s="2" t="s">
        <v>3311</v>
      </c>
      <c r="I2812" s="12" t="s">
        <v>506</v>
      </c>
      <c r="J2812" s="22">
        <f>+Tabla1[[#This Row],[FECHA ENTRADA]]</f>
        <v>45732</v>
      </c>
      <c r="K2812" s="8">
        <v>45850</v>
      </c>
      <c r="L2812" s="23">
        <f>_xlfn.DAYS(Tabla1[[#This Row],[FECHA FIN ]],Tabla1[[#This Row],[FECHA INICIO]])</f>
        <v>118</v>
      </c>
      <c r="M2812" s="24">
        <v>404.66</v>
      </c>
      <c r="N2812" s="76"/>
      <c r="O2812" s="24">
        <f>(Tabla1[[#This Row],[COSTO FIJO ]]/30)*Tabla1[[#This Row],[TOTAL DIAS PROYECTO]]+(Tabla1[[#This Row],[COSTO TEMPORAL]])</f>
        <v>404.66</v>
      </c>
      <c r="P2812" s="12">
        <f>1261.07/7</f>
        <v>180.15285714285713</v>
      </c>
      <c r="Q2812" s="12">
        <f>651.6/4</f>
        <v>162.9</v>
      </c>
      <c r="R2812" s="12">
        <f>+Tabla1[[#This Row],[COSTO TOTAL ALOJAMIENTO]]+Tabla1[[#This Row],[COSTO TOTAL COCHE]]</f>
        <v>567.56000000000006</v>
      </c>
      <c r="S2812" s="2" t="s">
        <v>84</v>
      </c>
      <c r="T2812" s="2" t="s">
        <v>528</v>
      </c>
      <c r="U2812" s="14">
        <v>45732</v>
      </c>
      <c r="V2812" s="25">
        <v>45852</v>
      </c>
      <c r="W2812" s="26"/>
      <c r="X2812" s="2"/>
      <c r="Y2812" s="217" t="s">
        <v>4350</v>
      </c>
      <c r="Z2812" s="2" t="s">
        <v>36</v>
      </c>
      <c r="AA2812" s="13">
        <v>-574377</v>
      </c>
      <c r="AB2812" s="13">
        <v>4150368</v>
      </c>
    </row>
    <row r="2813" spans="1:28" ht="15" customHeight="1">
      <c r="A2813" s="2" t="s">
        <v>8638</v>
      </c>
      <c r="B2813" s="2" t="s">
        <v>28</v>
      </c>
      <c r="C2813" s="11" t="s">
        <v>4351</v>
      </c>
      <c r="D2813" s="2" t="s">
        <v>749</v>
      </c>
      <c r="E2813" s="2" t="s">
        <v>288</v>
      </c>
      <c r="F2813" s="11" t="s">
        <v>928</v>
      </c>
      <c r="G2813" t="s">
        <v>1031</v>
      </c>
      <c r="H2813" s="2" t="s">
        <v>4257</v>
      </c>
      <c r="I2813" s="29" t="s">
        <v>753</v>
      </c>
      <c r="J2813" s="41">
        <f>+Tabla1[[#This Row],[FECHA ENTRADA]]</f>
        <v>45773</v>
      </c>
      <c r="K2813" s="8">
        <v>45850</v>
      </c>
      <c r="L2813" s="23">
        <f>_xlfn.DAYS(Tabla1[[#This Row],[FECHA FIN ]],Tabla1[[#This Row],[FECHA INICIO]])</f>
        <v>77</v>
      </c>
      <c r="M2813" s="12"/>
      <c r="N2813" s="12"/>
      <c r="O2813" s="24">
        <f>(Tabla1[[#This Row],[COSTO FIJO ]]/30)*Tabla1[[#This Row],[TOTAL DIAS PROYECTO]]+(Tabla1[[#This Row],[COSTO TEMPORAL]])</f>
        <v>0</v>
      </c>
      <c r="P2813" s="12"/>
      <c r="Q2813" s="12">
        <f>+(Tabla1[[#This Row],[COSTO COCHE]]/30)*Tabla1[[#This Row],[TOTAL DIAS PROYECTO]]</f>
        <v>0</v>
      </c>
      <c r="R2813" s="12">
        <f>+Tabla1[[#This Row],[COSTO TOTAL ALOJAMIENTO]]+Tabla1[[#This Row],[COSTO TOTAL COCHE]]</f>
        <v>0</v>
      </c>
      <c r="S2813" s="2"/>
      <c r="T2813" s="2" t="s">
        <v>44</v>
      </c>
      <c r="U2813" s="14">
        <v>45773</v>
      </c>
      <c r="V2813" s="25">
        <v>45803</v>
      </c>
      <c r="W2813" s="26"/>
      <c r="X2813" s="2"/>
      <c r="Y2813" s="11" t="s">
        <v>4352</v>
      </c>
      <c r="Z2813" s="2" t="s">
        <v>36</v>
      </c>
      <c r="AA2813" s="13" t="s">
        <v>10362</v>
      </c>
      <c r="AB2813" s="13" t="s">
        <v>10363</v>
      </c>
    </row>
    <row r="2814" spans="1:28" ht="15" customHeight="1">
      <c r="A2814" s="2" t="s">
        <v>9710</v>
      </c>
      <c r="B2814" s="2" t="s">
        <v>28</v>
      </c>
      <c r="C2814" s="11" t="s">
        <v>4353</v>
      </c>
      <c r="D2814" s="2" t="s">
        <v>749</v>
      </c>
      <c r="E2814" s="2" t="s">
        <v>288</v>
      </c>
      <c r="F2814" s="11" t="s">
        <v>928</v>
      </c>
      <c r="G2814" t="s">
        <v>1031</v>
      </c>
      <c r="H2814" s="2" t="s">
        <v>4257</v>
      </c>
      <c r="I2814" s="10" t="s">
        <v>753</v>
      </c>
      <c r="J2814" s="41">
        <f>+Tabla1[[#This Row],[FECHA ENTRADA]]</f>
        <v>45773</v>
      </c>
      <c r="K2814" s="8">
        <v>45850</v>
      </c>
      <c r="L2814" s="23">
        <f>_xlfn.DAYS(Tabla1[[#This Row],[FECHA FIN ]],Tabla1[[#This Row],[FECHA INICIO]])</f>
        <v>77</v>
      </c>
      <c r="M2814" s="12"/>
      <c r="N2814" s="24">
        <v>625</v>
      </c>
      <c r="O2814" s="28">
        <f>(Tabla1[[#This Row],[COSTO FIJO ]]/30)*Tabla1[[#This Row],[TOTAL DIAS PROYECTO]]+(Tabla1[[#This Row],[COSTO TEMPORAL]])</f>
        <v>1604.1666666666665</v>
      </c>
      <c r="P2814" s="12"/>
      <c r="Q2814" s="12">
        <f>+(Tabla1[[#This Row],[COSTO COCHE]]/30)*Tabla1[[#This Row],[TOTAL DIAS PROYECTO]]</f>
        <v>0</v>
      </c>
      <c r="R2814" s="12">
        <f>+Tabla1[[#This Row],[COSTO TOTAL ALOJAMIENTO]]+Tabla1[[#This Row],[COSTO TOTAL COCHE]]</f>
        <v>1604.1666666666665</v>
      </c>
      <c r="S2814" s="2"/>
      <c r="T2814" s="2" t="s">
        <v>44</v>
      </c>
      <c r="U2814" s="14">
        <v>45773</v>
      </c>
      <c r="V2814" s="25">
        <v>45803</v>
      </c>
      <c r="W2814" s="26"/>
      <c r="X2814" s="2"/>
      <c r="Y2814" s="11" t="s">
        <v>4354</v>
      </c>
      <c r="Z2814" s="2" t="s">
        <v>36</v>
      </c>
      <c r="AA2814" s="13" t="s">
        <v>10362</v>
      </c>
      <c r="AB2814" s="13" t="s">
        <v>10363</v>
      </c>
    </row>
    <row r="2815" spans="1:28" ht="15" customHeight="1">
      <c r="A2815" s="2" t="s">
        <v>9711</v>
      </c>
      <c r="B2815" s="2" t="s">
        <v>28</v>
      </c>
      <c r="C2815" s="99" t="s">
        <v>4355</v>
      </c>
      <c r="D2815" s="2" t="s">
        <v>30</v>
      </c>
      <c r="E2815" s="2" t="s">
        <v>253</v>
      </c>
      <c r="F2815" s="11" t="s">
        <v>771</v>
      </c>
      <c r="G2815" s="11" t="s">
        <v>772</v>
      </c>
      <c r="H2815" s="2" t="s">
        <v>1690</v>
      </c>
      <c r="I2815" s="12" t="s">
        <v>1232</v>
      </c>
      <c r="J2815" s="8">
        <f>+Tabla1[[#This Row],[FECHA ENTRADA]]</f>
        <v>45461</v>
      </c>
      <c r="K2815" s="8">
        <v>45850</v>
      </c>
      <c r="L2815" s="13">
        <f>_xlfn.DAYS(Tabla1[[#This Row],[FECHA FIN ]],Tabla1[[#This Row],[FECHA INICIO]])</f>
        <v>389</v>
      </c>
      <c r="M2815" s="12"/>
      <c r="N2815" s="12">
        <v>330</v>
      </c>
      <c r="O2815" s="12">
        <f>(Tabla1[[#This Row],[COSTO FIJO ]]/30)*Tabla1[[#This Row],[TOTAL DIAS PROYECTO]]+(Tabla1[[#This Row],[COSTO TEMPORAL]])</f>
        <v>4279</v>
      </c>
      <c r="P2815" s="12"/>
      <c r="Q2815" s="12">
        <f>+(Tabla1[[#This Row],[COSTO COCHE]]/30)*Tabla1[[#This Row],[TOTAL DIAS PROYECTO]]</f>
        <v>0</v>
      </c>
      <c r="R2815" s="12">
        <f>+Tabla1[[#This Row],[COSTO TOTAL ALOJAMIENTO]]+Tabla1[[#This Row],[COSTO TOTAL COCHE]]</f>
        <v>4279</v>
      </c>
      <c r="S2815" s="2"/>
      <c r="T2815" s="2" t="s">
        <v>35</v>
      </c>
      <c r="U2815" s="14">
        <v>45461</v>
      </c>
      <c r="V2815" s="14"/>
      <c r="W2815" s="26"/>
      <c r="X2815" s="2">
        <v>5</v>
      </c>
      <c r="Y2815" s="11" t="s">
        <v>4356</v>
      </c>
      <c r="Z2815" s="2" t="s">
        <v>36</v>
      </c>
      <c r="AA2815" s="13" t="s">
        <v>10357</v>
      </c>
      <c r="AB2815" s="13" t="s">
        <v>10358</v>
      </c>
    </row>
    <row r="2816" spans="1:28" ht="15" customHeight="1">
      <c r="A2816" s="2" t="s">
        <v>9015</v>
      </c>
      <c r="B2816" s="2" t="s">
        <v>28</v>
      </c>
      <c r="C2816" s="11" t="s">
        <v>1703</v>
      </c>
      <c r="D2816" s="2" t="s">
        <v>30</v>
      </c>
      <c r="E2816" s="2" t="s">
        <v>31</v>
      </c>
      <c r="F2816" s="11" t="s">
        <v>3390</v>
      </c>
      <c r="G2816" s="46" t="s">
        <v>3391</v>
      </c>
      <c r="H2816" s="2" t="s">
        <v>4357</v>
      </c>
      <c r="I2816" s="12" t="s">
        <v>34</v>
      </c>
      <c r="J2816" s="41">
        <f>+Tabla1[[#This Row],[FECHA ENTRADA]]</f>
        <v>45819</v>
      </c>
      <c r="K2816" s="22">
        <v>45850</v>
      </c>
      <c r="L2816" s="42">
        <f>_xlfn.DAYS(Tabla1[[#This Row],[FECHA FIN ]],Tabla1[[#This Row],[FECHA INICIO]])</f>
        <v>31</v>
      </c>
      <c r="M2816" s="12"/>
      <c r="N2816" s="28">
        <v>400</v>
      </c>
      <c r="O2816" s="28">
        <f>(Tabla1[[#This Row],[COSTO FIJO ]]/30)*Tabla1[[#This Row],[TOTAL DIAS PROYECTO]]+(Tabla1[[#This Row],[COSTO TEMPORAL]])</f>
        <v>413.33333333333337</v>
      </c>
      <c r="P2816" s="12"/>
      <c r="Q2816" s="12">
        <f>+(Tabla1[[#This Row],[COSTO COCHE]]/30)*Tabla1[[#This Row],[TOTAL DIAS PROYECTO]]</f>
        <v>0</v>
      </c>
      <c r="R2816" s="12">
        <f>+Tabla1[[#This Row],[COSTO TOTAL ALOJAMIENTO]]+Tabla1[[#This Row],[COSTO TOTAL COCHE]]</f>
        <v>413.33333333333337</v>
      </c>
      <c r="S2816" s="2"/>
      <c r="T2816" s="2" t="s">
        <v>35</v>
      </c>
      <c r="U2816" s="14">
        <v>45819</v>
      </c>
      <c r="V2816" s="43"/>
      <c r="W2816" s="2"/>
      <c r="X2816" s="2">
        <v>9</v>
      </c>
      <c r="Y2816" s="11"/>
      <c r="Z2816" s="2" t="s">
        <v>36</v>
      </c>
      <c r="AA2816" s="13" t="s">
        <v>10323</v>
      </c>
      <c r="AB2816" s="13" t="s">
        <v>10324</v>
      </c>
    </row>
    <row r="2817" spans="1:28" ht="15" customHeight="1">
      <c r="A2817" s="2" t="s">
        <v>8642</v>
      </c>
      <c r="B2817" s="2" t="s">
        <v>606</v>
      </c>
      <c r="C2817" s="31" t="s">
        <v>4358</v>
      </c>
      <c r="D2817" s="2" t="s">
        <v>99</v>
      </c>
      <c r="E2817" s="2" t="s">
        <v>213</v>
      </c>
      <c r="F2817" s="31" t="s">
        <v>3789</v>
      </c>
      <c r="G2817" s="197" t="s">
        <v>558</v>
      </c>
      <c r="H2817" s="2" t="s">
        <v>3790</v>
      </c>
      <c r="I2817" s="12" t="s">
        <v>3791</v>
      </c>
      <c r="J2817" s="22">
        <f>+Tabla1[[#This Row],[FECHA ENTRADA]]</f>
        <v>46224</v>
      </c>
      <c r="K2817" s="22">
        <v>46259</v>
      </c>
      <c r="L2817" s="23">
        <f>_xlfn.DAYS(Tabla1[[#This Row],[FECHA FIN ]],Tabla1[[#This Row],[FECHA INICIO]])</f>
        <v>35</v>
      </c>
      <c r="M2817" s="12"/>
      <c r="N2817" s="24">
        <v>500</v>
      </c>
      <c r="O2817" s="24">
        <f>(Tabla1[[#This Row],[COSTO FIJO ]]/30)*Tabla1[[#This Row],[TOTAL DIAS PROYECTO]]+(Tabla1[[#This Row],[COSTO TEMPORAL]])</f>
        <v>583.33333333333337</v>
      </c>
      <c r="P2817" s="12"/>
      <c r="Q2817" s="12">
        <f>+(Tabla1[[#This Row],[COSTO COCHE]]/30)*Tabla1[[#This Row],[TOTAL DIAS PROYECTO]]</f>
        <v>0</v>
      </c>
      <c r="R2817" s="12">
        <f>+Tabla1[[#This Row],[COSTO TOTAL ALOJAMIENTO]]+Tabla1[[#This Row],[COSTO TOTAL COCHE]]</f>
        <v>583.33333333333337</v>
      </c>
      <c r="S2817" s="2"/>
      <c r="T2817" s="14" t="s">
        <v>35</v>
      </c>
      <c r="U2817" s="14">
        <v>46224</v>
      </c>
      <c r="V2817" s="25"/>
      <c r="W2817" s="12"/>
      <c r="X2817" s="2">
        <v>20</v>
      </c>
      <c r="Y2817" s="11" t="s">
        <v>3792</v>
      </c>
      <c r="Z2817" s="2" t="s">
        <v>702</v>
      </c>
      <c r="AA2817" s="13" t="s">
        <v>10349</v>
      </c>
      <c r="AB2817" s="13" t="s">
        <v>10350</v>
      </c>
    </row>
    <row r="2818" spans="1:28" ht="15" customHeight="1">
      <c r="A2818" s="2" t="s">
        <v>9712</v>
      </c>
      <c r="B2818" s="2" t="s">
        <v>978</v>
      </c>
      <c r="C2818" s="11" t="s">
        <v>4359</v>
      </c>
      <c r="D2818" s="2" t="s">
        <v>99</v>
      </c>
      <c r="E2818" s="2" t="s">
        <v>855</v>
      </c>
      <c r="F2818" s="11" t="s">
        <v>4360</v>
      </c>
      <c r="G2818" s="46" t="s">
        <v>4361</v>
      </c>
      <c r="H2818" s="2" t="s">
        <v>3053</v>
      </c>
      <c r="I2818" s="12" t="s">
        <v>4362</v>
      </c>
      <c r="J2818" s="41">
        <f>+Tabla1[[#This Row],[FECHA ENTRADA]]</f>
        <v>45836</v>
      </c>
      <c r="K2818" s="41">
        <v>45850</v>
      </c>
      <c r="L2818" s="42">
        <f>_xlfn.DAYS(Tabla1[[#This Row],[FECHA FIN ]],Tabla1[[#This Row],[FECHA INICIO]])</f>
        <v>14</v>
      </c>
      <c r="M2818" s="12"/>
      <c r="N2818" s="12">
        <f>1249.05/2</f>
        <v>624.52499999999998</v>
      </c>
      <c r="O2818" s="28">
        <f>(Tabla1[[#This Row],[COSTO FIJO ]]/30)*Tabla1[[#This Row],[TOTAL DIAS PROYECTO]]+(Tabla1[[#This Row],[COSTO TEMPORAL]])</f>
        <v>291.44499999999999</v>
      </c>
      <c r="P2818" s="12"/>
      <c r="Q2818" s="12">
        <f>+(Tabla1[[#This Row],[COSTO COCHE]]/30)*Tabla1[[#This Row],[TOTAL DIAS PROYECTO]]</f>
        <v>0</v>
      </c>
      <c r="R2818" s="12">
        <f>+Tabla1[[#This Row],[COSTO TOTAL ALOJAMIENTO]]+Tabla1[[#This Row],[COSTO TOTAL COCHE]]</f>
        <v>291.44499999999999</v>
      </c>
      <c r="S2818" s="2"/>
      <c r="T2818" s="14" t="s">
        <v>44</v>
      </c>
      <c r="U2818" s="14">
        <v>45836</v>
      </c>
      <c r="V2818" s="43">
        <v>45859</v>
      </c>
      <c r="W2818" s="12"/>
      <c r="X2818" s="2"/>
      <c r="Y2818" s="11"/>
      <c r="Z2818" s="2" t="s">
        <v>36</v>
      </c>
      <c r="AA2818" s="13" t="s">
        <v>10401</v>
      </c>
      <c r="AB2818" s="13" t="s">
        <v>10402</v>
      </c>
    </row>
    <row r="2819" spans="1:28" ht="15" customHeight="1">
      <c r="A2819" s="2" t="s">
        <v>8642</v>
      </c>
      <c r="B2819" s="2" t="s">
        <v>978</v>
      </c>
      <c r="C2819" s="11" t="s">
        <v>4363</v>
      </c>
      <c r="D2819" s="2" t="s">
        <v>99</v>
      </c>
      <c r="E2819" s="2" t="s">
        <v>855</v>
      </c>
      <c r="F2819" s="11" t="s">
        <v>4360</v>
      </c>
      <c r="G2819" s="46" t="s">
        <v>4361</v>
      </c>
      <c r="H2819" s="2" t="s">
        <v>3053</v>
      </c>
      <c r="I2819" s="12" t="s">
        <v>4362</v>
      </c>
      <c r="J2819" s="41">
        <f>+Tabla1[[#This Row],[FECHA ENTRADA]]</f>
        <v>45836</v>
      </c>
      <c r="K2819" s="41">
        <v>45850</v>
      </c>
      <c r="L2819" s="42">
        <f>_xlfn.DAYS(Tabla1[[#This Row],[FECHA FIN ]],Tabla1[[#This Row],[FECHA INICIO]])</f>
        <v>14</v>
      </c>
      <c r="M2819" s="12"/>
      <c r="N2819" s="12">
        <f>1249.05/2</f>
        <v>624.52499999999998</v>
      </c>
      <c r="O2819" s="28">
        <f>(Tabla1[[#This Row],[COSTO FIJO ]]/30)*Tabla1[[#This Row],[TOTAL DIAS PROYECTO]]+(Tabla1[[#This Row],[COSTO TEMPORAL]])</f>
        <v>291.44499999999999</v>
      </c>
      <c r="P2819" s="12"/>
      <c r="Q2819" s="12">
        <f>+(Tabla1[[#This Row],[COSTO COCHE]]/30)*Tabla1[[#This Row],[TOTAL DIAS PROYECTO]]</f>
        <v>0</v>
      </c>
      <c r="R2819" s="12">
        <f>+Tabla1[[#This Row],[COSTO TOTAL ALOJAMIENTO]]+Tabla1[[#This Row],[COSTO TOTAL COCHE]]</f>
        <v>291.44499999999999</v>
      </c>
      <c r="S2819" s="2"/>
      <c r="T2819" s="14" t="s">
        <v>44</v>
      </c>
      <c r="U2819" s="14">
        <v>45836</v>
      </c>
      <c r="V2819" s="43">
        <v>45859</v>
      </c>
      <c r="W2819" s="12"/>
      <c r="X2819" s="2"/>
      <c r="Y2819" s="11"/>
      <c r="Z2819" s="2" t="s">
        <v>36</v>
      </c>
      <c r="AA2819" s="13" t="s">
        <v>10401</v>
      </c>
      <c r="AB2819" s="13" t="s">
        <v>10402</v>
      </c>
    </row>
    <row r="2820" spans="1:28" ht="15" customHeight="1">
      <c r="A2820" s="2" t="s">
        <v>8638</v>
      </c>
      <c r="B2820" s="2" t="s">
        <v>28</v>
      </c>
      <c r="C2820" s="11" t="s">
        <v>4364</v>
      </c>
      <c r="D2820" s="2" t="s">
        <v>749</v>
      </c>
      <c r="E2820" s="2" t="s">
        <v>288</v>
      </c>
      <c r="F2820" s="11" t="s">
        <v>4258</v>
      </c>
      <c r="G2820" t="s">
        <v>1031</v>
      </c>
      <c r="H2820" s="2" t="s">
        <v>4365</v>
      </c>
      <c r="I2820" s="10" t="s">
        <v>753</v>
      </c>
      <c r="J2820" s="41">
        <f>+Tabla1[[#This Row],[FECHA ENTRADA]]</f>
        <v>45779</v>
      </c>
      <c r="K2820" s="22">
        <v>45821</v>
      </c>
      <c r="L2820" s="23">
        <f>_xlfn.DAYS(Tabla1[[#This Row],[FECHA FIN ]],Tabla1[[#This Row],[FECHA INICIO]])</f>
        <v>42</v>
      </c>
      <c r="M2820" s="12"/>
      <c r="N2820" s="12"/>
      <c r="O2820" s="24">
        <f>(Tabla1[[#This Row],[COSTO FIJO ]]/30)*Tabla1[[#This Row],[TOTAL DIAS PROYECTO]]+(Tabla1[[#This Row],[COSTO TEMPORAL]])</f>
        <v>0</v>
      </c>
      <c r="P2820" s="12"/>
      <c r="Q2820" s="12">
        <f>+(Tabla1[[#This Row],[COSTO COCHE]]/30)*Tabla1[[#This Row],[TOTAL DIAS PROYECTO]]</f>
        <v>0</v>
      </c>
      <c r="R2820" s="12">
        <f>+Tabla1[[#This Row],[COSTO TOTAL ALOJAMIENTO]]+Tabla1[[#This Row],[COSTO TOTAL COCHE]]</f>
        <v>0</v>
      </c>
      <c r="S2820" s="2"/>
      <c r="T2820" s="2" t="s">
        <v>44</v>
      </c>
      <c r="U2820" s="14">
        <v>45779</v>
      </c>
      <c r="V2820" s="25">
        <v>45803</v>
      </c>
      <c r="W2820" s="2"/>
      <c r="X2820" s="2"/>
      <c r="Y2820" s="150"/>
      <c r="Z2820" s="2" t="s">
        <v>36</v>
      </c>
      <c r="AA2820" s="13" t="s">
        <v>10362</v>
      </c>
      <c r="AB2820" s="13" t="s">
        <v>10363</v>
      </c>
    </row>
    <row r="2821" spans="1:28" ht="15" customHeight="1">
      <c r="A2821" s="2" t="s">
        <v>8909</v>
      </c>
      <c r="B2821" s="2" t="s">
        <v>28</v>
      </c>
      <c r="C2821" s="11" t="s">
        <v>1237</v>
      </c>
      <c r="D2821" s="2" t="s">
        <v>749</v>
      </c>
      <c r="E2821" s="2" t="s">
        <v>288</v>
      </c>
      <c r="F2821" s="11" t="s">
        <v>928</v>
      </c>
      <c r="G2821" t="s">
        <v>1031</v>
      </c>
      <c r="H2821" s="2" t="s">
        <v>4365</v>
      </c>
      <c r="I2821" s="10" t="s">
        <v>753</v>
      </c>
      <c r="J2821" s="41">
        <f>+Tabla1[[#This Row],[FECHA ENTRADA]]</f>
        <v>45779</v>
      </c>
      <c r="K2821" s="8">
        <v>45877</v>
      </c>
      <c r="L2821" s="23">
        <f>_xlfn.DAYS(Tabla1[[#This Row],[FECHA FIN ]],Tabla1[[#This Row],[FECHA INICIO]])</f>
        <v>98</v>
      </c>
      <c r="M2821" s="12"/>
      <c r="N2821" s="12">
        <v>730</v>
      </c>
      <c r="O2821" s="24">
        <f>(Tabla1[[#This Row],[COSTO FIJO ]]/30)*Tabla1[[#This Row],[TOTAL DIAS PROYECTO]]+(Tabla1[[#This Row],[COSTO TEMPORAL]])</f>
        <v>2384.6666666666665</v>
      </c>
      <c r="P2821" s="12"/>
      <c r="Q2821" s="12">
        <f>+(Tabla1[[#This Row],[COSTO COCHE]]/30)*Tabla1[[#This Row],[TOTAL DIAS PROYECTO]]</f>
        <v>0</v>
      </c>
      <c r="R2821" s="12">
        <f>+Tabla1[[#This Row],[COSTO TOTAL ALOJAMIENTO]]+Tabla1[[#This Row],[COSTO TOTAL COCHE]]</f>
        <v>2384.6666666666665</v>
      </c>
      <c r="S2821" s="2"/>
      <c r="T2821" s="2" t="s">
        <v>44</v>
      </c>
      <c r="U2821" s="14">
        <v>45779</v>
      </c>
      <c r="V2821" s="25">
        <v>45803</v>
      </c>
      <c r="W2821" s="2"/>
      <c r="X2821" s="2"/>
      <c r="Y2821" s="11" t="s">
        <v>3463</v>
      </c>
      <c r="Z2821" s="2" t="s">
        <v>36</v>
      </c>
      <c r="AA2821" s="13" t="s">
        <v>10362</v>
      </c>
      <c r="AB2821" s="13" t="s">
        <v>10363</v>
      </c>
    </row>
    <row r="2822" spans="1:28" ht="15" customHeight="1">
      <c r="A2822" s="2" t="s">
        <v>9713</v>
      </c>
      <c r="B2822" s="2" t="s">
        <v>978</v>
      </c>
      <c r="C2822" s="11" t="s">
        <v>4366</v>
      </c>
      <c r="D2822" s="2" t="s">
        <v>30</v>
      </c>
      <c r="E2822" s="2" t="s">
        <v>31</v>
      </c>
      <c r="F2822" s="11" t="s">
        <v>4367</v>
      </c>
      <c r="G2822" s="46" t="s">
        <v>4368</v>
      </c>
      <c r="H2822" s="2" t="s">
        <v>1575</v>
      </c>
      <c r="I2822" s="12" t="s">
        <v>2391</v>
      </c>
      <c r="J2822" s="41">
        <f>+Tabla1[[#This Row],[FECHA ENTRADA]]</f>
        <v>45821</v>
      </c>
      <c r="K2822" s="41">
        <v>45851</v>
      </c>
      <c r="L2822" s="42">
        <f>_xlfn.DAYS(Tabla1[[#This Row],[FECHA FIN ]],Tabla1[[#This Row],[FECHA INICIO]])</f>
        <v>30</v>
      </c>
      <c r="M2822" s="12"/>
      <c r="N2822" s="12">
        <v>632.5</v>
      </c>
      <c r="O2822" s="28">
        <f>(Tabla1[[#This Row],[COSTO FIJO ]]/30)*Tabla1[[#This Row],[TOTAL DIAS PROYECTO]]+(Tabla1[[#This Row],[COSTO TEMPORAL]])</f>
        <v>632.5</v>
      </c>
      <c r="P2822" s="12"/>
      <c r="Q2822" s="12">
        <f>+(Tabla1[[#This Row],[COSTO COCHE]]/30)*Tabla1[[#This Row],[TOTAL DIAS PROYECTO]]</f>
        <v>0</v>
      </c>
      <c r="R2822" s="12">
        <f>+Tabla1[[#This Row],[COSTO TOTAL ALOJAMIENTO]]+Tabla1[[#This Row],[COSTO TOTAL COCHE]]</f>
        <v>632.5</v>
      </c>
      <c r="S2822" s="2"/>
      <c r="T2822" s="14" t="s">
        <v>44</v>
      </c>
      <c r="U2822" s="14">
        <v>45821</v>
      </c>
      <c r="V2822" s="43">
        <v>45852</v>
      </c>
      <c r="W2822" s="12"/>
      <c r="X2822" s="2"/>
      <c r="Y2822" s="11" t="s">
        <v>4325</v>
      </c>
      <c r="Z2822" s="2" t="s">
        <v>36</v>
      </c>
      <c r="AA2822" s="13" t="s">
        <v>10323</v>
      </c>
      <c r="AB2822" s="13" t="s">
        <v>10324</v>
      </c>
    </row>
    <row r="2823" spans="1:28" ht="15" customHeight="1">
      <c r="A2823" s="2" t="s">
        <v>9714</v>
      </c>
      <c r="B2823" s="2" t="s">
        <v>978</v>
      </c>
      <c r="C2823" s="11" t="s">
        <v>4369</v>
      </c>
      <c r="D2823" s="2" t="s">
        <v>30</v>
      </c>
      <c r="E2823" s="2" t="s">
        <v>31</v>
      </c>
      <c r="F2823" s="11" t="s">
        <v>4367</v>
      </c>
      <c r="G2823" s="46" t="s">
        <v>4368</v>
      </c>
      <c r="H2823" s="2" t="s">
        <v>1575</v>
      </c>
      <c r="I2823" s="12" t="s">
        <v>2391</v>
      </c>
      <c r="J2823" s="41">
        <f>+Tabla1[[#This Row],[FECHA ENTRADA]]</f>
        <v>45821</v>
      </c>
      <c r="K2823" s="41">
        <v>45851</v>
      </c>
      <c r="L2823" s="42">
        <f>_xlfn.DAYS(Tabla1[[#This Row],[FECHA FIN ]],Tabla1[[#This Row],[FECHA INICIO]])</f>
        <v>30</v>
      </c>
      <c r="M2823" s="12"/>
      <c r="N2823" s="12">
        <v>632.5</v>
      </c>
      <c r="O2823" s="28">
        <f>(Tabla1[[#This Row],[COSTO FIJO ]]/30)*Tabla1[[#This Row],[TOTAL DIAS PROYECTO]]+(Tabla1[[#This Row],[COSTO TEMPORAL]])</f>
        <v>632.5</v>
      </c>
      <c r="P2823" s="12"/>
      <c r="Q2823" s="12">
        <f>+(Tabla1[[#This Row],[COSTO COCHE]]/30)*Tabla1[[#This Row],[TOTAL DIAS PROYECTO]]</f>
        <v>0</v>
      </c>
      <c r="R2823" s="12">
        <f>+Tabla1[[#This Row],[COSTO TOTAL ALOJAMIENTO]]+Tabla1[[#This Row],[COSTO TOTAL COCHE]]</f>
        <v>632.5</v>
      </c>
      <c r="S2823" s="2"/>
      <c r="T2823" s="14" t="s">
        <v>44</v>
      </c>
      <c r="U2823" s="14">
        <v>45821</v>
      </c>
      <c r="V2823" s="43">
        <v>45852</v>
      </c>
      <c r="W2823" s="12"/>
      <c r="X2823" s="2"/>
      <c r="Y2823" s="11" t="s">
        <v>4325</v>
      </c>
      <c r="Z2823" s="2" t="s">
        <v>36</v>
      </c>
      <c r="AA2823" s="13" t="s">
        <v>10323</v>
      </c>
      <c r="AB2823" s="13" t="s">
        <v>10324</v>
      </c>
    </row>
    <row r="2824" spans="1:28" ht="15" customHeight="1">
      <c r="A2824" s="2" t="s">
        <v>8642</v>
      </c>
      <c r="B2824" s="2" t="s">
        <v>978</v>
      </c>
      <c r="C2824" s="11" t="s">
        <v>4370</v>
      </c>
      <c r="D2824" s="2" t="s">
        <v>30</v>
      </c>
      <c r="E2824" s="2" t="s">
        <v>31</v>
      </c>
      <c r="F2824" s="11" t="s">
        <v>4367</v>
      </c>
      <c r="G2824" s="46" t="s">
        <v>4368</v>
      </c>
      <c r="H2824" s="2" t="s">
        <v>1575</v>
      </c>
      <c r="I2824" s="12" t="s">
        <v>2391</v>
      </c>
      <c r="J2824" s="41">
        <f>+Tabla1[[#This Row],[FECHA ENTRADA]]</f>
        <v>45821</v>
      </c>
      <c r="K2824" s="41">
        <v>45851</v>
      </c>
      <c r="L2824" s="42">
        <f>_xlfn.DAYS(Tabla1[[#This Row],[FECHA FIN ]],Tabla1[[#This Row],[FECHA INICIO]])</f>
        <v>30</v>
      </c>
      <c r="M2824" s="12"/>
      <c r="N2824" s="12">
        <v>632.5</v>
      </c>
      <c r="O2824" s="28">
        <f>(Tabla1[[#This Row],[COSTO FIJO ]]/30)*Tabla1[[#This Row],[TOTAL DIAS PROYECTO]]+(Tabla1[[#This Row],[COSTO TEMPORAL]])</f>
        <v>632.5</v>
      </c>
      <c r="P2824" s="12"/>
      <c r="Q2824" s="12">
        <f>+(Tabla1[[#This Row],[COSTO COCHE]]/30)*Tabla1[[#This Row],[TOTAL DIAS PROYECTO]]</f>
        <v>0</v>
      </c>
      <c r="R2824" s="12">
        <f>+Tabla1[[#This Row],[COSTO TOTAL ALOJAMIENTO]]+Tabla1[[#This Row],[COSTO TOTAL COCHE]]</f>
        <v>632.5</v>
      </c>
      <c r="S2824" s="2"/>
      <c r="T2824" s="14" t="s">
        <v>44</v>
      </c>
      <c r="U2824" s="14">
        <v>45821</v>
      </c>
      <c r="V2824" s="43">
        <v>45852</v>
      </c>
      <c r="W2824" s="12"/>
      <c r="X2824" s="2"/>
      <c r="Y2824" s="11" t="s">
        <v>4325</v>
      </c>
      <c r="Z2824" s="2" t="s">
        <v>36</v>
      </c>
      <c r="AA2824" s="13" t="s">
        <v>10323</v>
      </c>
      <c r="AB2824" s="13" t="s">
        <v>10324</v>
      </c>
    </row>
    <row r="2825" spans="1:28" ht="15" customHeight="1">
      <c r="A2825" s="2" t="s">
        <v>9247</v>
      </c>
      <c r="B2825" s="2" t="s">
        <v>978</v>
      </c>
      <c r="C2825" s="11" t="s">
        <v>2579</v>
      </c>
      <c r="D2825" s="2" t="s">
        <v>30</v>
      </c>
      <c r="E2825" s="2" t="s">
        <v>31</v>
      </c>
      <c r="F2825" s="11" t="s">
        <v>4367</v>
      </c>
      <c r="G2825" s="46" t="s">
        <v>4368</v>
      </c>
      <c r="H2825" s="2" t="s">
        <v>1575</v>
      </c>
      <c r="I2825" s="12" t="s">
        <v>2391</v>
      </c>
      <c r="J2825" s="41">
        <f>+Tabla1[[#This Row],[FECHA ENTRADA]]</f>
        <v>45821</v>
      </c>
      <c r="K2825" s="41">
        <v>45851</v>
      </c>
      <c r="L2825" s="42">
        <f>_xlfn.DAYS(Tabla1[[#This Row],[FECHA FIN ]],Tabla1[[#This Row],[FECHA INICIO]])</f>
        <v>30</v>
      </c>
      <c r="M2825" s="12"/>
      <c r="N2825" s="12">
        <v>632.5</v>
      </c>
      <c r="O2825" s="28">
        <f>(Tabla1[[#This Row],[COSTO FIJO ]]/30)*Tabla1[[#This Row],[TOTAL DIAS PROYECTO]]+(Tabla1[[#This Row],[COSTO TEMPORAL]])</f>
        <v>632.5</v>
      </c>
      <c r="P2825" s="12"/>
      <c r="Q2825" s="12">
        <f>+(Tabla1[[#This Row],[COSTO COCHE]]/30)*Tabla1[[#This Row],[TOTAL DIAS PROYECTO]]</f>
        <v>0</v>
      </c>
      <c r="R2825" s="12">
        <f>+Tabla1[[#This Row],[COSTO TOTAL ALOJAMIENTO]]+Tabla1[[#This Row],[COSTO TOTAL COCHE]]</f>
        <v>632.5</v>
      </c>
      <c r="S2825" s="2"/>
      <c r="T2825" s="14" t="s">
        <v>44</v>
      </c>
      <c r="U2825" s="14">
        <v>45821</v>
      </c>
      <c r="V2825" s="43">
        <v>45852</v>
      </c>
      <c r="W2825" s="12"/>
      <c r="X2825" s="2"/>
      <c r="Y2825" s="11" t="s">
        <v>4325</v>
      </c>
      <c r="Z2825" s="2" t="s">
        <v>36</v>
      </c>
      <c r="AA2825" s="13" t="s">
        <v>10323</v>
      </c>
      <c r="AB2825" s="13" t="s">
        <v>10324</v>
      </c>
    </row>
    <row r="2826" spans="1:28" ht="15" customHeight="1">
      <c r="A2826" s="2" t="s">
        <v>9715</v>
      </c>
      <c r="B2826" s="2" t="s">
        <v>606</v>
      </c>
      <c r="C2826" s="31" t="s">
        <v>4371</v>
      </c>
      <c r="D2826" s="2" t="s">
        <v>99</v>
      </c>
      <c r="E2826" s="2" t="s">
        <v>213</v>
      </c>
      <c r="F2826" s="31" t="s">
        <v>3789</v>
      </c>
      <c r="G2826" s="197" t="s">
        <v>558</v>
      </c>
      <c r="H2826" s="2" t="s">
        <v>3790</v>
      </c>
      <c r="I2826" s="12" t="s">
        <v>3791</v>
      </c>
      <c r="J2826" s="22">
        <f>+Tabla1[[#This Row],[FECHA ENTRADA]]</f>
        <v>46224</v>
      </c>
      <c r="K2826" s="22">
        <v>46259</v>
      </c>
      <c r="L2826" s="23">
        <f>_xlfn.DAYS(Tabla1[[#This Row],[FECHA FIN ]],Tabla1[[#This Row],[FECHA INICIO]])</f>
        <v>35</v>
      </c>
      <c r="M2826" s="12"/>
      <c r="N2826" s="24">
        <v>500</v>
      </c>
      <c r="O2826" s="24">
        <f>(Tabla1[[#This Row],[COSTO FIJO ]]/30)*Tabla1[[#This Row],[TOTAL DIAS PROYECTO]]+(Tabla1[[#This Row],[COSTO TEMPORAL]])</f>
        <v>583.33333333333337</v>
      </c>
      <c r="P2826" s="12"/>
      <c r="Q2826" s="12">
        <f>+(Tabla1[[#This Row],[COSTO COCHE]]/30)*Tabla1[[#This Row],[TOTAL DIAS PROYECTO]]</f>
        <v>0</v>
      </c>
      <c r="R2826" s="12">
        <f>+Tabla1[[#This Row],[COSTO TOTAL ALOJAMIENTO]]+Tabla1[[#This Row],[COSTO TOTAL COCHE]]</f>
        <v>583.33333333333337</v>
      </c>
      <c r="S2826" s="2"/>
      <c r="T2826" s="14" t="s">
        <v>35</v>
      </c>
      <c r="U2826" s="14">
        <v>46224</v>
      </c>
      <c r="V2826" s="25"/>
      <c r="W2826" s="12"/>
      <c r="X2826" s="2">
        <v>20</v>
      </c>
      <c r="Y2826" s="11" t="s">
        <v>3792</v>
      </c>
      <c r="Z2826" s="2" t="s">
        <v>702</v>
      </c>
      <c r="AA2826" s="13" t="s">
        <v>10349</v>
      </c>
      <c r="AB2826" s="13" t="s">
        <v>10350</v>
      </c>
    </row>
    <row r="2827" spans="1:28" ht="15" customHeight="1">
      <c r="A2827" s="2" t="s">
        <v>9213</v>
      </c>
      <c r="B2827" s="2" t="s">
        <v>711</v>
      </c>
      <c r="C2827" s="11" t="s">
        <v>2464</v>
      </c>
      <c r="D2827" s="2" t="s">
        <v>741</v>
      </c>
      <c r="E2827" s="2" t="s">
        <v>266</v>
      </c>
      <c r="F2827" s="11" t="s">
        <v>2779</v>
      </c>
      <c r="G2827" s="21" t="s">
        <v>1512</v>
      </c>
      <c r="H2827" s="2" t="s">
        <v>2677</v>
      </c>
      <c r="I2827" s="12" t="s">
        <v>270</v>
      </c>
      <c r="J2827" s="41">
        <f>+Tabla1[[#This Row],[FECHA ENTRADA]]</f>
        <v>45823</v>
      </c>
      <c r="K2827" s="22">
        <v>45852</v>
      </c>
      <c r="L2827" s="42">
        <f>_xlfn.DAYS(Tabla1[[#This Row],[FECHA FIN ]],Tabla1[[#This Row],[FECHA INICIO]])</f>
        <v>29</v>
      </c>
      <c r="M2827" s="12"/>
      <c r="N2827" s="12">
        <v>650</v>
      </c>
      <c r="O2827" s="28">
        <f>(Tabla1[[#This Row],[COSTO FIJO ]]/30)*Tabla1[[#This Row],[TOTAL DIAS PROYECTO]]+(Tabla1[[#This Row],[COSTO TEMPORAL]])</f>
        <v>628.33333333333337</v>
      </c>
      <c r="P2827" s="12"/>
      <c r="Q2827" s="12">
        <f>+(Tabla1[[#This Row],[COSTO COCHE]]/30)*Tabla1[[#This Row],[TOTAL DIAS PROYECTO]]</f>
        <v>0</v>
      </c>
      <c r="R2827" s="12">
        <f>+Tabla1[[#This Row],[COSTO TOTAL ALOJAMIENTO]]+Tabla1[[#This Row],[COSTO TOTAL COCHE]]</f>
        <v>628.33333333333337</v>
      </c>
      <c r="S2827" s="2"/>
      <c r="T2827" s="2" t="s">
        <v>613</v>
      </c>
      <c r="U2827" s="14">
        <v>45823</v>
      </c>
      <c r="V2827" s="43"/>
      <c r="W2827" s="2"/>
      <c r="X2827" s="2">
        <v>1</v>
      </c>
      <c r="Y2827" s="11"/>
      <c r="Z2827" s="2" t="s">
        <v>36</v>
      </c>
      <c r="AA2827" s="13" t="s">
        <v>10360</v>
      </c>
      <c r="AB2827" s="13" t="s">
        <v>10361</v>
      </c>
    </row>
    <row r="2828" spans="1:28" ht="15" customHeight="1">
      <c r="A2828" s="2" t="s">
        <v>8759</v>
      </c>
      <c r="B2828" s="2" t="s">
        <v>368</v>
      </c>
      <c r="C2828" s="31" t="s">
        <v>625</v>
      </c>
      <c r="D2828" s="2" t="s">
        <v>30</v>
      </c>
      <c r="E2828" s="2" t="s">
        <v>1130</v>
      </c>
      <c r="F2828" s="11"/>
      <c r="G2828" s="46"/>
      <c r="H2828" s="2" t="s">
        <v>1133</v>
      </c>
      <c r="I2828" s="12" t="s">
        <v>1134</v>
      </c>
      <c r="J2828" s="41">
        <f>+Tabla1[[#This Row],[FECHA ENTRADA]]</f>
        <v>45822</v>
      </c>
      <c r="K2828" s="22">
        <v>45852</v>
      </c>
      <c r="L2828" s="42">
        <f>_xlfn.DAYS(Tabla1[[#This Row],[FECHA FIN ]],Tabla1[[#This Row],[FECHA INICIO]])</f>
        <v>30</v>
      </c>
      <c r="M2828" s="12"/>
      <c r="N2828" s="12">
        <v>300</v>
      </c>
      <c r="O2828" s="28">
        <f>(Tabla1[[#This Row],[COSTO FIJO ]]/30)*Tabla1[[#This Row],[TOTAL DIAS PROYECTO]]+(Tabla1[[#This Row],[COSTO TEMPORAL]])</f>
        <v>300</v>
      </c>
      <c r="P2828" s="12"/>
      <c r="Q2828" s="12">
        <f>+(Tabla1[[#This Row],[COSTO COCHE]]/30)*Tabla1[[#This Row],[TOTAL DIAS PROYECTO]]</f>
        <v>0</v>
      </c>
      <c r="R2828" s="12">
        <f>+Tabla1[[#This Row],[COSTO TOTAL ALOJAMIENTO]]+Tabla1[[#This Row],[COSTO TOTAL COCHE]]</f>
        <v>300</v>
      </c>
      <c r="S2828" s="2"/>
      <c r="T2828" s="14" t="s">
        <v>58</v>
      </c>
      <c r="U2828" s="14">
        <v>45822</v>
      </c>
      <c r="V2828" s="75"/>
      <c r="W2828" s="2"/>
      <c r="X2828" s="2"/>
      <c r="Y2828" s="11" t="s">
        <v>4372</v>
      </c>
      <c r="Z2828" s="2" t="s">
        <v>36</v>
      </c>
      <c r="AA2828" s="13" t="s">
        <v>10412</v>
      </c>
      <c r="AB2828" s="13">
        <v>4200955</v>
      </c>
    </row>
    <row r="2829" spans="1:28" ht="15" customHeight="1">
      <c r="A2829" s="2" t="s">
        <v>9372</v>
      </c>
      <c r="B2829" s="2" t="s">
        <v>368</v>
      </c>
      <c r="C2829" s="31" t="s">
        <v>2968</v>
      </c>
      <c r="D2829" s="2" t="s">
        <v>30</v>
      </c>
      <c r="E2829" s="2" t="s">
        <v>1130</v>
      </c>
      <c r="F2829" s="11"/>
      <c r="G2829" s="46"/>
      <c r="H2829" s="2" t="s">
        <v>2556</v>
      </c>
      <c r="I2829" s="12" t="s">
        <v>1134</v>
      </c>
      <c r="J2829" s="41">
        <f>+Tabla1[[#This Row],[FECHA ENTRADA]]</f>
        <v>45848</v>
      </c>
      <c r="K2829" s="22">
        <v>45852</v>
      </c>
      <c r="L2829" s="42">
        <f>_xlfn.DAYS(Tabla1[[#This Row],[FECHA FIN ]],Tabla1[[#This Row],[FECHA INICIO]])</f>
        <v>4</v>
      </c>
      <c r="M2829" s="12"/>
      <c r="N2829" s="28">
        <v>300</v>
      </c>
      <c r="O2829" s="28">
        <f>(Tabla1[[#This Row],[COSTO FIJO ]]/30)*Tabla1[[#This Row],[TOTAL DIAS PROYECTO]]+(Tabla1[[#This Row],[COSTO TEMPORAL]])</f>
        <v>40</v>
      </c>
      <c r="P2829" s="12"/>
      <c r="Q2829" s="12">
        <f>+(Tabla1[[#This Row],[COSTO COCHE]]/30)*Tabla1[[#This Row],[TOTAL DIAS PROYECTO]]</f>
        <v>0</v>
      </c>
      <c r="R2829" s="12">
        <f>+Tabla1[[#This Row],[COSTO TOTAL ALOJAMIENTO]]+Tabla1[[#This Row],[COSTO TOTAL COCHE]]</f>
        <v>40</v>
      </c>
      <c r="S2829" s="2"/>
      <c r="T2829" s="14" t="s">
        <v>58</v>
      </c>
      <c r="U2829" s="14">
        <v>45848</v>
      </c>
      <c r="V2829" s="43"/>
      <c r="W2829" s="12"/>
      <c r="X2829" s="2"/>
      <c r="Y2829" s="11" t="s">
        <v>4373</v>
      </c>
      <c r="Z2829" s="2" t="s">
        <v>36</v>
      </c>
      <c r="AA2829" s="13" t="s">
        <v>10412</v>
      </c>
      <c r="AB2829" s="13">
        <v>4200955</v>
      </c>
    </row>
    <row r="2830" spans="1:28" ht="15" customHeight="1">
      <c r="A2830" s="2" t="s">
        <v>9464</v>
      </c>
      <c r="B2830" s="2" t="s">
        <v>368</v>
      </c>
      <c r="C2830" s="11" t="s">
        <v>3280</v>
      </c>
      <c r="D2830" s="2" t="s">
        <v>30</v>
      </c>
      <c r="E2830" s="2" t="s">
        <v>855</v>
      </c>
      <c r="F2830" s="11" t="s">
        <v>4374</v>
      </c>
      <c r="G2830" s="46" t="s">
        <v>4375</v>
      </c>
      <c r="H2830" s="2" t="s">
        <v>2988</v>
      </c>
      <c r="I2830" s="2" t="s">
        <v>1288</v>
      </c>
      <c r="J2830" s="41">
        <f>+Tabla1[[#This Row],[FECHA ENTRADA]]</f>
        <v>45840</v>
      </c>
      <c r="K2830" s="41">
        <v>45852</v>
      </c>
      <c r="L2830" s="42">
        <f>_xlfn.DAYS(Tabla1[[#This Row],[FECHA FIN ]],Tabla1[[#This Row],[FECHA INICIO]])</f>
        <v>12</v>
      </c>
      <c r="M2830" s="12"/>
      <c r="N2830" s="28"/>
      <c r="O2830" s="28">
        <f>(Tabla1[[#This Row],[COSTO FIJO ]]/30)*Tabla1[[#This Row],[TOTAL DIAS PROYECTO]]+(Tabla1[[#This Row],[COSTO TEMPORAL]])</f>
        <v>0</v>
      </c>
      <c r="P2830" s="12"/>
      <c r="Q2830" s="12">
        <f>+(Tabla1[[#This Row],[COSTO COCHE]]/30)*Tabla1[[#This Row],[TOTAL DIAS PROYECTO]]</f>
        <v>0</v>
      </c>
      <c r="R2830" s="12">
        <f>+Tabla1[[#This Row],[COSTO TOTAL ALOJAMIENTO]]+Tabla1[[#This Row],[COSTO TOTAL COCHE]]</f>
        <v>0</v>
      </c>
      <c r="S2830" s="2"/>
      <c r="T2830" s="14" t="s">
        <v>35</v>
      </c>
      <c r="U2830" s="14">
        <v>45840</v>
      </c>
      <c r="V2830" s="43">
        <v>45899</v>
      </c>
      <c r="W2830" s="2"/>
      <c r="X2830" s="2">
        <v>5</v>
      </c>
      <c r="Y2830" s="11" t="s">
        <v>4376</v>
      </c>
      <c r="Z2830" s="2" t="s">
        <v>36</v>
      </c>
      <c r="AA2830" s="13" t="s">
        <v>10401</v>
      </c>
      <c r="AB2830" s="13" t="s">
        <v>10402</v>
      </c>
    </row>
    <row r="2831" spans="1:28" ht="15" customHeight="1">
      <c r="A2831" s="2" t="s">
        <v>9716</v>
      </c>
      <c r="B2831" s="2" t="s">
        <v>28</v>
      </c>
      <c r="C2831" s="11" t="s">
        <v>4377</v>
      </c>
      <c r="D2831" s="2" t="s">
        <v>749</v>
      </c>
      <c r="E2831" s="2" t="s">
        <v>288</v>
      </c>
      <c r="F2831" s="11" t="s">
        <v>928</v>
      </c>
      <c r="G2831" t="s">
        <v>1031</v>
      </c>
      <c r="H2831" s="2" t="s">
        <v>4378</v>
      </c>
      <c r="I2831" s="29" t="s">
        <v>753</v>
      </c>
      <c r="J2831" s="22">
        <f>+Tabla1[[#This Row],[FECHA ENTRADA]]</f>
        <v>45803</v>
      </c>
      <c r="K2831" s="8">
        <v>45820</v>
      </c>
      <c r="L2831" s="23">
        <f>_xlfn.DAYS(Tabla1[[#This Row],[FECHA FIN ]],Tabla1[[#This Row],[FECHA INICIO]])</f>
        <v>17</v>
      </c>
      <c r="M2831" s="12"/>
      <c r="N2831" s="24"/>
      <c r="O2831" s="24">
        <f>(Tabla1[[#This Row],[COSTO FIJO ]]/30)*Tabla1[[#This Row],[TOTAL DIAS PROYECTO]]+(Tabla1[[#This Row],[COSTO TEMPORAL]])</f>
        <v>0</v>
      </c>
      <c r="P2831" s="12"/>
      <c r="Q2831" s="12">
        <f>+(Tabla1[[#This Row],[COSTO COCHE]]/30)*Tabla1[[#This Row],[TOTAL DIAS PROYECTO]]</f>
        <v>0</v>
      </c>
      <c r="R2831" s="12">
        <f>+Tabla1[[#This Row],[COSTO TOTAL ALOJAMIENTO]]+Tabla1[[#This Row],[COSTO TOTAL COCHE]]</f>
        <v>0</v>
      </c>
      <c r="S2831" s="2"/>
      <c r="T2831" s="2" t="s">
        <v>44</v>
      </c>
      <c r="U2831" s="14">
        <v>45803</v>
      </c>
      <c r="V2831" s="25"/>
      <c r="W2831" s="2"/>
      <c r="X2831" s="2"/>
      <c r="Y2831" s="150" t="s">
        <v>4379</v>
      </c>
      <c r="Z2831" s="2" t="s">
        <v>36</v>
      </c>
      <c r="AA2831" s="13" t="s">
        <v>10362</v>
      </c>
      <c r="AB2831" s="13" t="s">
        <v>10363</v>
      </c>
    </row>
    <row r="2832" spans="1:28" ht="15" customHeight="1">
      <c r="A2832" s="2" t="s">
        <v>9119</v>
      </c>
      <c r="B2832" s="2" t="s">
        <v>368</v>
      </c>
      <c r="C2832" s="11" t="s">
        <v>2081</v>
      </c>
      <c r="D2832" s="2" t="s">
        <v>99</v>
      </c>
      <c r="E2832" s="2" t="s">
        <v>1987</v>
      </c>
      <c r="F2832" s="11" t="s">
        <v>4380</v>
      </c>
      <c r="G2832" s="46" t="s">
        <v>4381</v>
      </c>
      <c r="H2832" s="2" t="s">
        <v>4382</v>
      </c>
      <c r="I2832" s="12" t="s">
        <v>3769</v>
      </c>
      <c r="J2832" s="41">
        <f>+Tabla1[[#This Row],[FECHA ENTRADA]]</f>
        <v>45776</v>
      </c>
      <c r="K2832" s="22">
        <v>45852</v>
      </c>
      <c r="L2832" s="23">
        <f>_xlfn.DAYS(Tabla1[[#This Row],[FECHA FIN ]],Tabla1[[#This Row],[FECHA INICIO]])</f>
        <v>76</v>
      </c>
      <c r="M2832" s="12"/>
      <c r="N2832" s="12"/>
      <c r="O2832" s="24">
        <f>(Tabla1[[#This Row],[COSTO FIJO ]]/30)*Tabla1[[#This Row],[TOTAL DIAS PROYECTO]]+(Tabla1[[#This Row],[COSTO TEMPORAL]])</f>
        <v>0</v>
      </c>
      <c r="P2832" s="12"/>
      <c r="Q2832" s="12">
        <f>+(Tabla1[[#This Row],[COSTO COCHE]]/30)*Tabla1[[#This Row],[TOTAL DIAS PROYECTO]]</f>
        <v>0</v>
      </c>
      <c r="R2832" s="12">
        <f>+Tabla1[[#This Row],[COSTO TOTAL ALOJAMIENTO]]+Tabla1[[#This Row],[COSTO TOTAL COCHE]]</f>
        <v>0</v>
      </c>
      <c r="S2832" s="2"/>
      <c r="T2832" s="2" t="s">
        <v>528</v>
      </c>
      <c r="U2832" s="14">
        <v>45776</v>
      </c>
      <c r="V2832" s="25">
        <v>45852</v>
      </c>
      <c r="W2832" s="26"/>
      <c r="X2832" s="2"/>
      <c r="Y2832" s="11" t="s">
        <v>4383</v>
      </c>
      <c r="Z2832" s="2" t="s">
        <v>36</v>
      </c>
      <c r="AA2832" s="13" t="s">
        <v>10435</v>
      </c>
      <c r="AB2832" s="13">
        <v>42.136150000000001</v>
      </c>
    </row>
    <row r="2833" spans="1:28" ht="15" customHeight="1">
      <c r="A2833" s="2" t="s">
        <v>9690</v>
      </c>
      <c r="B2833" s="2" t="s">
        <v>368</v>
      </c>
      <c r="C2833" s="11" t="s">
        <v>4248</v>
      </c>
      <c r="D2833" s="2" t="s">
        <v>30</v>
      </c>
      <c r="E2833" s="2" t="s">
        <v>985</v>
      </c>
      <c r="F2833" s="11" t="s">
        <v>4384</v>
      </c>
      <c r="G2833" s="30" t="s">
        <v>4385</v>
      </c>
      <c r="H2833" s="2" t="s">
        <v>2401</v>
      </c>
      <c r="I2833" s="12" t="s">
        <v>989</v>
      </c>
      <c r="J2833" s="41">
        <f>+Tabla1[[#This Row],[FECHA ENTRADA]]</f>
        <v>45843</v>
      </c>
      <c r="K2833" s="41">
        <v>45852</v>
      </c>
      <c r="L2833" s="42">
        <f>_xlfn.DAYS(Tabla1[[#This Row],[FECHA FIN ]],Tabla1[[#This Row],[FECHA INICIO]])</f>
        <v>9</v>
      </c>
      <c r="M2833" s="12"/>
      <c r="N2833" s="12">
        <v>315</v>
      </c>
      <c r="O2833" s="28">
        <f>(Tabla1[[#This Row],[COSTO FIJO ]]/30)*Tabla1[[#This Row],[TOTAL DIAS PROYECTO]]+(Tabla1[[#This Row],[COSTO TEMPORAL]])</f>
        <v>94.5</v>
      </c>
      <c r="P2833" s="12"/>
      <c r="Q2833" s="12">
        <f>+(Tabla1[[#This Row],[COSTO COCHE]]/30)*Tabla1[[#This Row],[TOTAL DIAS PROYECTO]]</f>
        <v>0</v>
      </c>
      <c r="R2833" s="12">
        <f>+Tabla1[[#This Row],[COSTO TOTAL ALOJAMIENTO]]+Tabla1[[#This Row],[COSTO TOTAL COCHE]]</f>
        <v>94.5</v>
      </c>
      <c r="S2833" s="2"/>
      <c r="T2833" s="14" t="s">
        <v>44</v>
      </c>
      <c r="U2833" s="14">
        <v>45843</v>
      </c>
      <c r="V2833" s="43">
        <v>45852</v>
      </c>
      <c r="W2833" s="12"/>
      <c r="X2833" s="2"/>
      <c r="Y2833" s="11"/>
      <c r="Z2833" s="2" t="s">
        <v>36</v>
      </c>
      <c r="AA2833" s="13" t="s">
        <v>10407</v>
      </c>
      <c r="AB2833" s="13" t="s">
        <v>10408</v>
      </c>
    </row>
    <row r="2834" spans="1:28" ht="15" customHeight="1">
      <c r="A2834" s="2" t="s">
        <v>8642</v>
      </c>
      <c r="B2834" s="2" t="s">
        <v>368</v>
      </c>
      <c r="C2834" s="11" t="s">
        <v>4251</v>
      </c>
      <c r="D2834" s="2" t="s">
        <v>30</v>
      </c>
      <c r="E2834" s="2" t="s">
        <v>985</v>
      </c>
      <c r="F2834" s="11" t="s">
        <v>4384</v>
      </c>
      <c r="G2834" s="30" t="s">
        <v>4385</v>
      </c>
      <c r="H2834" s="2" t="s">
        <v>2401</v>
      </c>
      <c r="I2834" s="12" t="s">
        <v>989</v>
      </c>
      <c r="J2834" s="41">
        <f>+Tabla1[[#This Row],[FECHA ENTRADA]]</f>
        <v>45843</v>
      </c>
      <c r="K2834" s="41">
        <v>45852</v>
      </c>
      <c r="L2834" s="42">
        <f>_xlfn.DAYS(Tabla1[[#This Row],[FECHA FIN ]],Tabla1[[#This Row],[FECHA INICIO]])</f>
        <v>9</v>
      </c>
      <c r="M2834" s="12"/>
      <c r="N2834" s="12">
        <v>315</v>
      </c>
      <c r="O2834" s="28">
        <f>(Tabla1[[#This Row],[COSTO FIJO ]]/30)*Tabla1[[#This Row],[TOTAL DIAS PROYECTO]]+(Tabla1[[#This Row],[COSTO TEMPORAL]])</f>
        <v>94.5</v>
      </c>
      <c r="P2834" s="12"/>
      <c r="Q2834" s="12">
        <f>+(Tabla1[[#This Row],[COSTO COCHE]]/30)*Tabla1[[#This Row],[TOTAL DIAS PROYECTO]]</f>
        <v>0</v>
      </c>
      <c r="R2834" s="12">
        <f>+Tabla1[[#This Row],[COSTO TOTAL ALOJAMIENTO]]+Tabla1[[#This Row],[COSTO TOTAL COCHE]]</f>
        <v>94.5</v>
      </c>
      <c r="S2834" s="2"/>
      <c r="T2834" s="14" t="s">
        <v>44</v>
      </c>
      <c r="U2834" s="14">
        <v>45843</v>
      </c>
      <c r="V2834" s="43">
        <v>45852</v>
      </c>
      <c r="W2834" s="12"/>
      <c r="X2834" s="2"/>
      <c r="Y2834" s="11"/>
      <c r="Z2834" s="2" t="s">
        <v>36</v>
      </c>
      <c r="AA2834" s="13" t="s">
        <v>10407</v>
      </c>
      <c r="AB2834" s="13" t="s">
        <v>10408</v>
      </c>
    </row>
    <row r="2835" spans="1:28" ht="15" customHeight="1">
      <c r="A2835" s="2" t="s">
        <v>9195</v>
      </c>
      <c r="B2835" s="2" t="s">
        <v>368</v>
      </c>
      <c r="C2835" s="11" t="s">
        <v>2400</v>
      </c>
      <c r="D2835" s="2" t="s">
        <v>30</v>
      </c>
      <c r="E2835" s="2" t="s">
        <v>985</v>
      </c>
      <c r="F2835" s="11" t="s">
        <v>4384</v>
      </c>
      <c r="G2835" s="30" t="s">
        <v>4385</v>
      </c>
      <c r="H2835" s="2" t="s">
        <v>2401</v>
      </c>
      <c r="I2835" s="12" t="s">
        <v>989</v>
      </c>
      <c r="J2835" s="41">
        <f>+Tabla1[[#This Row],[FECHA ENTRADA]]</f>
        <v>45843</v>
      </c>
      <c r="K2835" s="41">
        <v>45852</v>
      </c>
      <c r="L2835" s="42">
        <f>_xlfn.DAYS(Tabla1[[#This Row],[FECHA FIN ]],Tabla1[[#This Row],[FECHA INICIO]])</f>
        <v>9</v>
      </c>
      <c r="M2835" s="12"/>
      <c r="N2835" s="12">
        <v>315</v>
      </c>
      <c r="O2835" s="28">
        <f>(Tabla1[[#This Row],[COSTO FIJO ]]/30)*Tabla1[[#This Row],[TOTAL DIAS PROYECTO]]+(Tabla1[[#This Row],[COSTO TEMPORAL]])</f>
        <v>94.5</v>
      </c>
      <c r="P2835" s="12"/>
      <c r="Q2835" s="12">
        <f>+(Tabla1[[#This Row],[COSTO COCHE]]/30)*Tabla1[[#This Row],[TOTAL DIAS PROYECTO]]</f>
        <v>0</v>
      </c>
      <c r="R2835" s="12">
        <f>+Tabla1[[#This Row],[COSTO TOTAL ALOJAMIENTO]]+Tabla1[[#This Row],[COSTO TOTAL COCHE]]</f>
        <v>94.5</v>
      </c>
      <c r="S2835" s="2"/>
      <c r="T2835" s="14" t="s">
        <v>44</v>
      </c>
      <c r="U2835" s="14">
        <v>45843</v>
      </c>
      <c r="V2835" s="43">
        <v>45852</v>
      </c>
      <c r="W2835" s="12"/>
      <c r="X2835" s="2"/>
      <c r="Y2835" s="11"/>
      <c r="Z2835" s="2" t="s">
        <v>36</v>
      </c>
      <c r="AA2835" s="13" t="s">
        <v>10407</v>
      </c>
      <c r="AB2835" s="13" t="s">
        <v>10408</v>
      </c>
    </row>
    <row r="2836" spans="1:28" ht="15" customHeight="1">
      <c r="A2836" s="2" t="s">
        <v>9717</v>
      </c>
      <c r="B2836" s="2" t="s">
        <v>368</v>
      </c>
      <c r="C2836" s="31" t="s">
        <v>4386</v>
      </c>
      <c r="D2836" s="2" t="s">
        <v>99</v>
      </c>
      <c r="E2836" s="2" t="s">
        <v>1130</v>
      </c>
      <c r="F2836" s="11" t="s">
        <v>2012</v>
      </c>
      <c r="G2836" s="21" t="s">
        <v>2013</v>
      </c>
      <c r="H2836" s="2" t="s">
        <v>4387</v>
      </c>
      <c r="I2836" s="12" t="s">
        <v>1134</v>
      </c>
      <c r="J2836" s="41">
        <f>+Tabla1[[#This Row],[FECHA ENTRADA]]</f>
        <v>45770</v>
      </c>
      <c r="K2836" s="22">
        <v>45852</v>
      </c>
      <c r="L2836" s="23">
        <f>_xlfn.DAYS(Tabla1[[#This Row],[FECHA FIN ]],Tabla1[[#This Row],[FECHA INICIO]])</f>
        <v>82</v>
      </c>
      <c r="M2836" s="12"/>
      <c r="N2836" s="24">
        <v>350</v>
      </c>
      <c r="O2836" s="24">
        <f>(Tabla1[[#This Row],[COSTO FIJO ]]/30)*Tabla1[[#This Row],[TOTAL DIAS PROYECTO]]+(Tabla1[[#This Row],[COSTO TEMPORAL]])</f>
        <v>956.66666666666663</v>
      </c>
      <c r="P2836" s="12"/>
      <c r="Q2836" s="12">
        <f>+(Tabla1[[#This Row],[COSTO COCHE]]/30)*Tabla1[[#This Row],[TOTAL DIAS PROYECTO]]</f>
        <v>0</v>
      </c>
      <c r="R2836" s="12">
        <f>+Tabla1[[#This Row],[COSTO TOTAL ALOJAMIENTO]]+Tabla1[[#This Row],[COSTO TOTAL COCHE]]</f>
        <v>956.66666666666663</v>
      </c>
      <c r="S2836" s="2"/>
      <c r="T2836" s="2" t="s">
        <v>35</v>
      </c>
      <c r="U2836" s="14">
        <v>45770</v>
      </c>
      <c r="V2836" s="25"/>
      <c r="W2836" s="26">
        <v>350</v>
      </c>
      <c r="X2836" s="2">
        <v>10</v>
      </c>
      <c r="Y2836" s="11" t="s">
        <v>4372</v>
      </c>
      <c r="Z2836" s="2" t="s">
        <v>36</v>
      </c>
      <c r="AA2836" s="13" t="s">
        <v>10412</v>
      </c>
      <c r="AB2836" s="13">
        <v>4200955</v>
      </c>
    </row>
    <row r="2837" spans="1:28" ht="15" customHeight="1">
      <c r="A2837" s="2" t="s">
        <v>9606</v>
      </c>
      <c r="B2837" s="2" t="s">
        <v>368</v>
      </c>
      <c r="C2837" s="11" t="s">
        <v>3846</v>
      </c>
      <c r="D2837" s="2" t="s">
        <v>30</v>
      </c>
      <c r="E2837" s="2" t="s">
        <v>1130</v>
      </c>
      <c r="F2837" s="11" t="s">
        <v>1131</v>
      </c>
      <c r="G2837" s="11" t="s">
        <v>1132</v>
      </c>
      <c r="H2837" s="2" t="s">
        <v>1133</v>
      </c>
      <c r="I2837" s="12" t="s">
        <v>1134</v>
      </c>
      <c r="J2837" s="8">
        <v>45551</v>
      </c>
      <c r="K2837" s="22">
        <v>45852</v>
      </c>
      <c r="L2837" s="13">
        <f>_xlfn.DAYS(Tabla1[[#This Row],[FECHA FIN ]],Tabla1[[#This Row],[FECHA INICIO]])</f>
        <v>301</v>
      </c>
      <c r="M2837" s="12"/>
      <c r="N2837" s="24">
        <v>250</v>
      </c>
      <c r="O2837" s="12">
        <f>(Tabla1[[#This Row],[COSTO FIJO ]]/30)*Tabla1[[#This Row],[TOTAL DIAS PROYECTO]]+(Tabla1[[#This Row],[COSTO TEMPORAL]])</f>
        <v>2508.3333333333335</v>
      </c>
      <c r="P2837" s="12"/>
      <c r="Q2837" s="12">
        <f>+(Tabla1[[#This Row],[COSTO COCHE]]/30)*Tabla1[[#This Row],[TOTAL DIAS PROYECTO]]</f>
        <v>0</v>
      </c>
      <c r="R2837" s="12">
        <f>+Tabla1[[#This Row],[COSTO TOTAL ALOJAMIENTO]]+Tabla1[[#This Row],[COSTO TOTAL COCHE]]</f>
        <v>2508.3333333333335</v>
      </c>
      <c r="S2837" s="2"/>
      <c r="T2837" s="2" t="s">
        <v>35</v>
      </c>
      <c r="U2837" s="14">
        <v>45488</v>
      </c>
      <c r="V2837" s="14"/>
      <c r="W2837" s="26">
        <v>1000</v>
      </c>
      <c r="X2837" s="2">
        <v>14</v>
      </c>
      <c r="Y2837" s="11" t="s">
        <v>4388</v>
      </c>
      <c r="Z2837" s="2" t="s">
        <v>36</v>
      </c>
      <c r="AA2837" s="13" t="s">
        <v>10412</v>
      </c>
      <c r="AB2837" s="13">
        <v>4200955</v>
      </c>
    </row>
    <row r="2838" spans="1:28">
      <c r="A2838" s="2" t="s">
        <v>9718</v>
      </c>
      <c r="B2838" s="2" t="s">
        <v>368</v>
      </c>
      <c r="C2838" s="11" t="s">
        <v>4389</v>
      </c>
      <c r="D2838" s="2" t="s">
        <v>30</v>
      </c>
      <c r="E2838" s="2" t="s">
        <v>1130</v>
      </c>
      <c r="F2838" s="11" t="s">
        <v>1131</v>
      </c>
      <c r="G2838" t="s">
        <v>1132</v>
      </c>
      <c r="H2838" s="2" t="s">
        <v>4071</v>
      </c>
      <c r="I2838" s="12" t="s">
        <v>1134</v>
      </c>
      <c r="J2838" s="22">
        <f>+Tabla1[[#This Row],[FECHA ENTRADA]]</f>
        <v>45687</v>
      </c>
      <c r="K2838" s="22">
        <v>45852</v>
      </c>
      <c r="L2838" s="23">
        <f>_xlfn.DAYS(Tabla1[[#This Row],[FECHA FIN ]],Tabla1[[#This Row],[FECHA INICIO]])</f>
        <v>165</v>
      </c>
      <c r="M2838" s="12"/>
      <c r="N2838" s="24">
        <v>250</v>
      </c>
      <c r="O2838" s="24">
        <f>(Tabla1[[#This Row],[COSTO FIJO ]]/30)*Tabla1[[#This Row],[TOTAL DIAS PROYECTO]]+(Tabla1[[#This Row],[COSTO TEMPORAL]])</f>
        <v>1375</v>
      </c>
      <c r="P2838" s="12"/>
      <c r="Q2838" s="12">
        <f>+(Tabla1[[#This Row],[COSTO COCHE]]/30)*Tabla1[[#This Row],[TOTAL DIAS PROYECTO]]</f>
        <v>0</v>
      </c>
      <c r="R2838" s="12">
        <f>+Tabla1[[#This Row],[COSTO TOTAL ALOJAMIENTO]]+Tabla1[[#This Row],[COSTO TOTAL COCHE]]</f>
        <v>1375</v>
      </c>
      <c r="S2838" s="2"/>
      <c r="T2838" s="2" t="s">
        <v>35</v>
      </c>
      <c r="U2838" s="14">
        <v>45687</v>
      </c>
      <c r="V2838" s="25"/>
      <c r="W2838" s="26"/>
      <c r="X2838" s="2">
        <v>14</v>
      </c>
      <c r="Y2838" s="11" t="s">
        <v>4390</v>
      </c>
      <c r="Z2838" s="2" t="s">
        <v>36</v>
      </c>
      <c r="AA2838" s="13" t="s">
        <v>10412</v>
      </c>
      <c r="AB2838" s="13">
        <v>4200955</v>
      </c>
    </row>
    <row r="2839" spans="1:28" ht="15" customHeight="1">
      <c r="A2839" s="2" t="s">
        <v>8987</v>
      </c>
      <c r="B2839" s="2" t="s">
        <v>368</v>
      </c>
      <c r="C2839" s="11" t="s">
        <v>1601</v>
      </c>
      <c r="D2839" s="2" t="s">
        <v>30</v>
      </c>
      <c r="E2839" s="2" t="s">
        <v>4161</v>
      </c>
      <c r="F2839" s="11" t="s">
        <v>4391</v>
      </c>
      <c r="G2839" s="100" t="s">
        <v>4392</v>
      </c>
      <c r="H2839" s="2" t="s">
        <v>4164</v>
      </c>
      <c r="I2839" s="10" t="s">
        <v>4165</v>
      </c>
      <c r="J2839" s="41">
        <f>+Tabla1[[#This Row],[FECHA ENTRADA]]</f>
        <v>45839</v>
      </c>
      <c r="K2839" s="22">
        <v>45852</v>
      </c>
      <c r="L2839" s="42">
        <f>_xlfn.DAYS(Tabla1[[#This Row],[FECHA FIN ]],Tabla1[[#This Row],[FECHA INICIO]])</f>
        <v>13</v>
      </c>
      <c r="M2839" s="12"/>
      <c r="N2839" s="12"/>
      <c r="O2839" s="28">
        <f>(Tabla1[[#This Row],[COSTO FIJO ]]/30)*Tabla1[[#This Row],[TOTAL DIAS PROYECTO]]+(Tabla1[[#This Row],[COSTO TEMPORAL]])</f>
        <v>0</v>
      </c>
      <c r="P2839" s="12"/>
      <c r="Q2839" s="12">
        <f>+(Tabla1[[#This Row],[COSTO COCHE]]/30)*Tabla1[[#This Row],[TOTAL DIAS PROYECTO]]</f>
        <v>0</v>
      </c>
      <c r="R2839" s="12">
        <f>+Tabla1[[#This Row],[COSTO TOTAL ALOJAMIENTO]]+Tabla1[[#This Row],[COSTO TOTAL COCHE]]</f>
        <v>0</v>
      </c>
      <c r="S2839" s="2"/>
      <c r="T2839" s="14" t="s">
        <v>35</v>
      </c>
      <c r="U2839" s="14">
        <v>45839</v>
      </c>
      <c r="V2839" s="43"/>
      <c r="W2839" s="2"/>
      <c r="X2839" s="2"/>
      <c r="Y2839" s="11" t="s">
        <v>4393</v>
      </c>
      <c r="Z2839" s="2" t="s">
        <v>36</v>
      </c>
      <c r="AA2839" s="13" t="e">
        <v>#N/A</v>
      </c>
      <c r="AB2839" s="13" t="e">
        <v>#N/A</v>
      </c>
    </row>
    <row r="2840" spans="1:28">
      <c r="A2840" s="2" t="s">
        <v>9719</v>
      </c>
      <c r="B2840" s="2" t="s">
        <v>28</v>
      </c>
      <c r="C2840" s="31" t="s">
        <v>4394</v>
      </c>
      <c r="D2840" s="2" t="s">
        <v>30</v>
      </c>
      <c r="E2840" s="2" t="s">
        <v>415</v>
      </c>
      <c r="F2840" s="11" t="s">
        <v>2773</v>
      </c>
      <c r="G2840" s="49" t="s">
        <v>1413</v>
      </c>
      <c r="H2840" s="2" t="s">
        <v>2957</v>
      </c>
      <c r="I2840" s="12" t="s">
        <v>800</v>
      </c>
      <c r="J2840" s="41">
        <f>+Tabla1[[#This Row],[FECHA ENTRADA]]</f>
        <v>45683</v>
      </c>
      <c r="K2840" s="8">
        <v>45853</v>
      </c>
      <c r="L2840" s="42">
        <f>_xlfn.DAYS(Tabla1[[#This Row],[FECHA FIN ]],Tabla1[[#This Row],[FECHA INICIO]])</f>
        <v>170</v>
      </c>
      <c r="M2840" s="12"/>
      <c r="N2840" s="12">
        <v>412.5</v>
      </c>
      <c r="O2840" s="28">
        <f>(Tabla1[[#This Row],[COSTO FIJO ]]/30)*Tabla1[[#This Row],[TOTAL DIAS PROYECTO]]+(Tabla1[[#This Row],[COSTO TEMPORAL]])</f>
        <v>2337.5</v>
      </c>
      <c r="P2840" s="12"/>
      <c r="Q2840" s="12">
        <f>+(Tabla1[[#This Row],[COSTO COCHE]]/30)*Tabla1[[#This Row],[TOTAL DIAS PROYECTO]]</f>
        <v>0</v>
      </c>
      <c r="R2840" s="12">
        <f>+Tabla1[[#This Row],[COSTO TOTAL ALOJAMIENTO]]+Tabla1[[#This Row],[COSTO TOTAL COCHE]]</f>
        <v>2337.5</v>
      </c>
      <c r="S2840" s="2"/>
      <c r="T2840" s="2" t="s">
        <v>35</v>
      </c>
      <c r="U2840" s="14">
        <v>45683</v>
      </c>
      <c r="V2840" s="79"/>
      <c r="W2840" s="26">
        <v>1650</v>
      </c>
      <c r="X2840" s="2">
        <v>1</v>
      </c>
      <c r="Y2840" s="11" t="s">
        <v>4395</v>
      </c>
      <c r="Z2840" s="2" t="s">
        <v>36</v>
      </c>
      <c r="AA2840" s="13">
        <v>-0.37739</v>
      </c>
      <c r="AB2840" s="13" t="s">
        <v>10372</v>
      </c>
    </row>
    <row r="2841" spans="1:28" ht="15" customHeight="1">
      <c r="A2841" s="2" t="s">
        <v>8863</v>
      </c>
      <c r="B2841" s="2" t="s">
        <v>28</v>
      </c>
      <c r="C2841" s="31" t="s">
        <v>1062</v>
      </c>
      <c r="D2841" s="2" t="s">
        <v>30</v>
      </c>
      <c r="E2841" s="2" t="s">
        <v>415</v>
      </c>
      <c r="F2841" s="11" t="s">
        <v>2773</v>
      </c>
      <c r="G2841" t="s">
        <v>1413</v>
      </c>
      <c r="H2841" s="2" t="s">
        <v>4061</v>
      </c>
      <c r="I2841" s="12" t="s">
        <v>800</v>
      </c>
      <c r="J2841" s="22">
        <f>+Tabla1[[#This Row],[FECHA ENTRADA]]</f>
        <v>45829</v>
      </c>
      <c r="K2841" s="22">
        <v>45853</v>
      </c>
      <c r="L2841" s="23">
        <f>_xlfn.DAYS(Tabla1[[#This Row],[FECHA FIN ]],Tabla1[[#This Row],[FECHA INICIO]])</f>
        <v>24</v>
      </c>
      <c r="M2841" s="12"/>
      <c r="N2841" s="12">
        <v>412.5</v>
      </c>
      <c r="O2841" s="24">
        <f>(Tabla1[[#This Row],[COSTO FIJO ]]/30)*Tabla1[[#This Row],[TOTAL DIAS PROYECTO]]+(Tabla1[[#This Row],[COSTO TEMPORAL]])</f>
        <v>330</v>
      </c>
      <c r="P2841" s="12"/>
      <c r="Q2841" s="12">
        <f>+(Tabla1[[#This Row],[COSTO COCHE]]/30)*Tabla1[[#This Row],[TOTAL DIAS PROYECTO]]</f>
        <v>0</v>
      </c>
      <c r="R2841" s="12">
        <f>+Tabla1[[#This Row],[COSTO TOTAL ALOJAMIENTO]]+Tabla1[[#This Row],[COSTO TOTAL COCHE]]</f>
        <v>330</v>
      </c>
      <c r="S2841" s="2"/>
      <c r="T2841" s="14" t="s">
        <v>35</v>
      </c>
      <c r="U2841" s="14">
        <v>45829</v>
      </c>
      <c r="V2841" s="25"/>
      <c r="W2841" s="2"/>
      <c r="X2841" s="2">
        <v>1</v>
      </c>
      <c r="Y2841" s="11" t="s">
        <v>4396</v>
      </c>
      <c r="Z2841" s="2" t="s">
        <v>36</v>
      </c>
      <c r="AA2841" s="13">
        <v>-0.37739</v>
      </c>
      <c r="AB2841" s="13" t="s">
        <v>10372</v>
      </c>
    </row>
    <row r="2842" spans="1:28" ht="15" customHeight="1">
      <c r="A2842" s="2" t="s">
        <v>8638</v>
      </c>
      <c r="B2842" s="2" t="s">
        <v>28</v>
      </c>
      <c r="C2842" s="240" t="s">
        <v>2804</v>
      </c>
      <c r="D2842" s="2" t="s">
        <v>30</v>
      </c>
      <c r="E2842" s="2" t="s">
        <v>31</v>
      </c>
      <c r="F2842" s="11" t="s">
        <v>32</v>
      </c>
      <c r="G2842" s="11" t="s">
        <v>33</v>
      </c>
      <c r="H2842" s="2" t="s">
        <v>4397</v>
      </c>
      <c r="I2842" s="12" t="s">
        <v>34</v>
      </c>
      <c r="J2842" s="41">
        <f>+Tabla1[[#This Row],[FECHA ENTRADA]]</f>
        <v>45825</v>
      </c>
      <c r="K2842" s="41">
        <v>45853</v>
      </c>
      <c r="L2842" s="42">
        <f>_xlfn.DAYS(Tabla1[[#This Row],[FECHA FIN ]],Tabla1[[#This Row],[FECHA INICIO]])</f>
        <v>28</v>
      </c>
      <c r="M2842" s="12"/>
      <c r="N2842" s="12">
        <f>875.5/4</f>
        <v>218.875</v>
      </c>
      <c r="O2842" s="28">
        <f>(Tabla1[[#This Row],[COSTO FIJO ]]/30)*Tabla1[[#This Row],[TOTAL DIAS PROYECTO]]+(Tabla1[[#This Row],[COSTO TEMPORAL]])</f>
        <v>204.28333333333333</v>
      </c>
      <c r="P2842" s="12"/>
      <c r="Q2842" s="12">
        <f>+(Tabla1[[#This Row],[COSTO COCHE]]/30)*Tabla1[[#This Row],[TOTAL DIAS PROYECTO]]</f>
        <v>0</v>
      </c>
      <c r="R2842" s="12">
        <f>+Tabla1[[#This Row],[COSTO TOTAL ALOJAMIENTO]]+Tabla1[[#This Row],[COSTO TOTAL COCHE]]</f>
        <v>204.28333333333333</v>
      </c>
      <c r="S2842" s="2"/>
      <c r="T2842" s="2" t="s">
        <v>35</v>
      </c>
      <c r="U2842" s="14">
        <v>45825</v>
      </c>
      <c r="V2842" s="43"/>
      <c r="W2842" s="2"/>
      <c r="X2842" s="2">
        <v>1</v>
      </c>
      <c r="Y2842" s="11" t="s">
        <v>4398</v>
      </c>
      <c r="Z2842" s="2" t="s">
        <v>36</v>
      </c>
      <c r="AA2842" s="13" t="s">
        <v>10323</v>
      </c>
      <c r="AB2842" s="13" t="s">
        <v>10324</v>
      </c>
    </row>
    <row r="2843" spans="1:28" ht="15" customHeight="1">
      <c r="A2843" s="2" t="s">
        <v>9492</v>
      </c>
      <c r="B2843" s="2" t="s">
        <v>28</v>
      </c>
      <c r="C2843" s="11" t="s">
        <v>3372</v>
      </c>
      <c r="D2843" s="2" t="s">
        <v>99</v>
      </c>
      <c r="E2843" s="2" t="s">
        <v>31</v>
      </c>
      <c r="F2843" s="11" t="s">
        <v>4399</v>
      </c>
      <c r="G2843" s="21" t="s">
        <v>4400</v>
      </c>
      <c r="H2843" s="2" t="s">
        <v>3371</v>
      </c>
      <c r="I2843" s="12" t="s">
        <v>385</v>
      </c>
      <c r="J2843" s="22">
        <f>+Tabla1[[#This Row],[FECHA ENTRADA]]</f>
        <v>45793</v>
      </c>
      <c r="K2843" s="22">
        <v>45853</v>
      </c>
      <c r="L2843" s="42">
        <f>_xlfn.DAYS(Tabla1[[#This Row],[FECHA FIN ]],Tabla1[[#This Row],[FECHA INICIO]])</f>
        <v>60</v>
      </c>
      <c r="M2843" s="12"/>
      <c r="N2843" s="12">
        <v>415</v>
      </c>
      <c r="O2843" s="28">
        <f>(Tabla1[[#This Row],[COSTO FIJO ]]/30)*Tabla1[[#This Row],[TOTAL DIAS PROYECTO]]+(Tabla1[[#This Row],[COSTO TEMPORAL]])</f>
        <v>830</v>
      </c>
      <c r="P2843" s="12"/>
      <c r="Q2843" s="12">
        <f>+(Tabla1[[#This Row],[COSTO COCHE]]/30)*Tabla1[[#This Row],[TOTAL DIAS PROYECTO]]</f>
        <v>0</v>
      </c>
      <c r="R2843" s="12">
        <f>+Tabla1[[#This Row],[COSTO TOTAL ALOJAMIENTO]]+Tabla1[[#This Row],[COSTO TOTAL COCHE]]</f>
        <v>830</v>
      </c>
      <c r="S2843" s="2" t="s">
        <v>3706</v>
      </c>
      <c r="T2843" s="2" t="s">
        <v>35</v>
      </c>
      <c r="U2843" s="14">
        <v>45793</v>
      </c>
      <c r="V2843" s="43"/>
      <c r="W2843" s="26">
        <v>500</v>
      </c>
      <c r="X2843" s="2">
        <v>1</v>
      </c>
      <c r="Y2843" s="67" t="s">
        <v>4401</v>
      </c>
      <c r="Z2843" s="2" t="s">
        <v>36</v>
      </c>
      <c r="AA2843" s="13" t="s">
        <v>10323</v>
      </c>
      <c r="AB2843" s="13" t="s">
        <v>10324</v>
      </c>
    </row>
    <row r="2844" spans="1:28" ht="15" customHeight="1">
      <c r="A2844" s="2" t="s">
        <v>9720</v>
      </c>
      <c r="B2844" s="2" t="s">
        <v>28</v>
      </c>
      <c r="C2844" s="99" t="s">
        <v>4402</v>
      </c>
      <c r="D2844" s="2" t="s">
        <v>30</v>
      </c>
      <c r="E2844" s="2" t="s">
        <v>55</v>
      </c>
      <c r="F2844" s="11" t="s">
        <v>231</v>
      </c>
      <c r="G2844" s="18" t="s">
        <v>106</v>
      </c>
      <c r="H2844" s="2" t="s">
        <v>4403</v>
      </c>
      <c r="I2844" s="2" t="s">
        <v>1968</v>
      </c>
      <c r="J2844" s="8">
        <f>+Tabla1[[#This Row],[FECHA ENTRADA]]</f>
        <v>45328</v>
      </c>
      <c r="K2844" s="41">
        <v>45853</v>
      </c>
      <c r="L2844" s="13">
        <f>_xlfn.DAYS(Tabla1[[#This Row],[FECHA FIN ]],Tabla1[[#This Row],[FECHA INICIO]])</f>
        <v>525</v>
      </c>
      <c r="M2844" s="12"/>
      <c r="N2844" s="12">
        <v>500</v>
      </c>
      <c r="O2844" s="12">
        <f>(Tabla1[[#This Row],[COSTO FIJO ]]/30)*Tabla1[[#This Row],[TOTAL DIAS PROYECTO]]+(Tabla1[[#This Row],[COSTO TEMPORAL]])</f>
        <v>8750</v>
      </c>
      <c r="P2844" s="12"/>
      <c r="Q2844" s="12">
        <f>+(Tabla1[[#This Row],[COSTO COCHE]]/30)*Tabla1[[#This Row],[TOTAL DIAS PROYECTO]]</f>
        <v>0</v>
      </c>
      <c r="R2844" s="12">
        <f>+Tabla1[[#This Row],[COSTO TOTAL ALOJAMIENTO]]+Tabla1[[#This Row],[COSTO TOTAL COCHE]]</f>
        <v>8750</v>
      </c>
      <c r="S2844" s="2"/>
      <c r="T2844" s="2" t="s">
        <v>35</v>
      </c>
      <c r="U2844" s="14">
        <v>45328</v>
      </c>
      <c r="V2844" s="14"/>
      <c r="W2844" s="26">
        <v>600</v>
      </c>
      <c r="X2844" s="16">
        <v>5</v>
      </c>
      <c r="Y2844" s="11" t="s">
        <v>4404</v>
      </c>
      <c r="Z2844" s="2" t="s">
        <v>36</v>
      </c>
      <c r="AA2844" s="13" t="s">
        <v>10327</v>
      </c>
      <c r="AB2844" s="13" t="s">
        <v>10328</v>
      </c>
    </row>
    <row r="2845" spans="1:28" ht="15" customHeight="1">
      <c r="A2845" s="2" t="s">
        <v>9721</v>
      </c>
      <c r="B2845" s="2" t="s">
        <v>28</v>
      </c>
      <c r="C2845" s="99" t="s">
        <v>4405</v>
      </c>
      <c r="D2845" s="2" t="s">
        <v>30</v>
      </c>
      <c r="E2845" s="2" t="s">
        <v>253</v>
      </c>
      <c r="F2845" s="11"/>
      <c r="G2845" s="11"/>
      <c r="H2845" s="2">
        <v>2023</v>
      </c>
      <c r="I2845" s="2" t="s">
        <v>256</v>
      </c>
      <c r="J2845" s="8">
        <v>45122</v>
      </c>
      <c r="K2845" s="22">
        <v>45853</v>
      </c>
      <c r="L2845" s="13">
        <f>_xlfn.DAYS(Tabla1[[#This Row],[FECHA FIN ]],Tabla1[[#This Row],[FECHA INICIO]])</f>
        <v>731</v>
      </c>
      <c r="M2845" s="12"/>
      <c r="N2845" s="12">
        <v>300</v>
      </c>
      <c r="O2845" s="12">
        <f>(Tabla1[[#This Row],[COSTO FIJO ]]/30)*Tabla1[[#This Row],[TOTAL DIAS PROYECTO]]+(Tabla1[[#This Row],[COSTO TEMPORAL]])</f>
        <v>7310</v>
      </c>
      <c r="P2845" s="12"/>
      <c r="Q2845" s="12">
        <f>+(Tabla1[[#This Row],[COSTO COCHE]]/30)*Tabla1[[#This Row],[TOTAL DIAS PROYECTO]]</f>
        <v>0</v>
      </c>
      <c r="R2845" s="12">
        <f>+Tabla1[[#This Row],[COSTO TOTAL ALOJAMIENTO]]+Tabla1[[#This Row],[COSTO TOTAL COCHE]]</f>
        <v>7310</v>
      </c>
      <c r="S2845" s="2"/>
      <c r="T2845" s="2" t="s">
        <v>58</v>
      </c>
      <c r="U2845" s="14"/>
      <c r="V2845" s="14"/>
      <c r="W2845" s="2"/>
      <c r="X2845" s="2"/>
      <c r="Y2845" s="11" t="s">
        <v>4396</v>
      </c>
      <c r="Z2845" s="2" t="s">
        <v>36</v>
      </c>
      <c r="AA2845" s="13" t="s">
        <v>10357</v>
      </c>
      <c r="AB2845" s="13" t="s">
        <v>10358</v>
      </c>
    </row>
    <row r="2846" spans="1:28" ht="15" customHeight="1">
      <c r="A2846" s="2" t="s">
        <v>9714</v>
      </c>
      <c r="B2846" s="2" t="s">
        <v>28</v>
      </c>
      <c r="C2846" s="11" t="s">
        <v>4369</v>
      </c>
      <c r="D2846" s="2" t="s">
        <v>99</v>
      </c>
      <c r="E2846" s="2" t="s">
        <v>422</v>
      </c>
      <c r="F2846" s="11" t="s">
        <v>1983</v>
      </c>
      <c r="G2846" s="11" t="s">
        <v>2067</v>
      </c>
      <c r="H2846" s="2" t="s">
        <v>4326</v>
      </c>
      <c r="I2846" s="12" t="s">
        <v>4327</v>
      </c>
      <c r="J2846" s="22">
        <f>+Tabla1[[#This Row],[FECHA ENTRADA]]</f>
        <v>45811</v>
      </c>
      <c r="K2846" s="22">
        <v>45821</v>
      </c>
      <c r="L2846" s="23">
        <f>_xlfn.DAYS(Tabla1[[#This Row],[FECHA FIN ]],Tabla1[[#This Row],[FECHA INICIO]])</f>
        <v>10</v>
      </c>
      <c r="M2846" s="12"/>
      <c r="N2846" s="24"/>
      <c r="O2846" s="24">
        <f>(Tabla1[[#This Row],[COSTO FIJO ]]/30)*Tabla1[[#This Row],[TOTAL DIAS PROYECTO]]+(Tabla1[[#This Row],[COSTO TEMPORAL]])</f>
        <v>0</v>
      </c>
      <c r="P2846" s="12"/>
      <c r="Q2846" s="12">
        <f>+(Tabla1[[#This Row],[COSTO COCHE]]/30)*Tabla1[[#This Row],[TOTAL DIAS PROYECTO]]</f>
        <v>0</v>
      </c>
      <c r="R2846" s="12">
        <f>+Tabla1[[#This Row],[COSTO TOTAL ALOJAMIENTO]]+Tabla1[[#This Row],[COSTO TOTAL COCHE]]</f>
        <v>0</v>
      </c>
      <c r="S2846" s="2"/>
      <c r="T2846" s="2" t="s">
        <v>44</v>
      </c>
      <c r="U2846" s="14">
        <v>45811</v>
      </c>
      <c r="V2846" s="79">
        <v>45812</v>
      </c>
      <c r="W2846" s="26"/>
      <c r="X2846" s="2"/>
      <c r="Y2846" s="11" t="s">
        <v>3626</v>
      </c>
      <c r="Z2846" s="2" t="s">
        <v>36</v>
      </c>
      <c r="AA2846" s="13">
        <v>-326.69799999999998</v>
      </c>
      <c r="AB2846" s="13" t="s">
        <v>10373</v>
      </c>
    </row>
    <row r="2847" spans="1:28" ht="15" customHeight="1">
      <c r="A2847" s="2" t="s">
        <v>9457</v>
      </c>
      <c r="B2847" s="2" t="s">
        <v>978</v>
      </c>
      <c r="C2847" s="11" t="s">
        <v>3246</v>
      </c>
      <c r="D2847" s="2" t="s">
        <v>30</v>
      </c>
      <c r="E2847" s="2" t="s">
        <v>259</v>
      </c>
      <c r="F2847" s="11" t="s">
        <v>516</v>
      </c>
      <c r="G2847" s="11" t="s">
        <v>517</v>
      </c>
      <c r="H2847" s="2" t="s">
        <v>2216</v>
      </c>
      <c r="I2847" s="12" t="s">
        <v>1217</v>
      </c>
      <c r="J2847" s="41">
        <f>+Tabla1[[#This Row],[FECHA ENTRADA]]</f>
        <v>45782</v>
      </c>
      <c r="K2847" s="41">
        <v>45853</v>
      </c>
      <c r="L2847" s="42">
        <f>_xlfn.DAYS(Tabla1[[#This Row],[FECHA FIN ]],Tabla1[[#This Row],[FECHA INICIO]])</f>
        <v>71</v>
      </c>
      <c r="M2847" s="12"/>
      <c r="N2847" s="12"/>
      <c r="O2847" s="28">
        <f>(Tabla1[[#This Row],[COSTO FIJO ]]/30)*Tabla1[[#This Row],[TOTAL DIAS PROYECTO]]+(Tabla1[[#This Row],[COSTO TEMPORAL]])</f>
        <v>0</v>
      </c>
      <c r="P2847" s="12"/>
      <c r="Q2847" s="12">
        <f>+(Tabla1[[#This Row],[COSTO COCHE]]/30)*Tabla1[[#This Row],[TOTAL DIAS PROYECTO]]</f>
        <v>0</v>
      </c>
      <c r="R2847" s="12">
        <f>+Tabla1[[#This Row],[COSTO TOTAL ALOJAMIENTO]]+Tabla1[[#This Row],[COSTO TOTAL COCHE]]</f>
        <v>0</v>
      </c>
      <c r="S2847" s="2"/>
      <c r="T2847" s="14" t="s">
        <v>35</v>
      </c>
      <c r="U2847" s="14">
        <v>45782</v>
      </c>
      <c r="V2847" s="43"/>
      <c r="W2847" s="12"/>
      <c r="X2847" s="2">
        <v>5</v>
      </c>
      <c r="Y2847" s="11"/>
      <c r="Z2847" s="2" t="s">
        <v>36</v>
      </c>
      <c r="AA2847" s="13">
        <v>-0.87734000000000001</v>
      </c>
      <c r="AB2847" s="13" t="s">
        <v>10359</v>
      </c>
    </row>
    <row r="2848" spans="1:28" ht="15" customHeight="1">
      <c r="A2848" s="2" t="s">
        <v>9722</v>
      </c>
      <c r="B2848" s="2" t="s">
        <v>606</v>
      </c>
      <c r="C2848" s="31" t="s">
        <v>4406</v>
      </c>
      <c r="D2848" s="2" t="s">
        <v>99</v>
      </c>
      <c r="E2848" s="2" t="s">
        <v>213</v>
      </c>
      <c r="F2848" s="11" t="s">
        <v>4407</v>
      </c>
      <c r="G2848" s="197" t="s">
        <v>558</v>
      </c>
      <c r="H2848" s="2" t="s">
        <v>3790</v>
      </c>
      <c r="I2848" s="12" t="s">
        <v>3791</v>
      </c>
      <c r="J2848" s="22">
        <f>+Tabla1[[#This Row],[FECHA ENTRADA]]</f>
        <v>46224</v>
      </c>
      <c r="K2848" s="22">
        <v>46255</v>
      </c>
      <c r="L2848" s="23">
        <f>_xlfn.DAYS(Tabla1[[#This Row],[FECHA FIN ]],Tabla1[[#This Row],[FECHA INICIO]])</f>
        <v>31</v>
      </c>
      <c r="M2848" s="12"/>
      <c r="N2848" s="24">
        <v>433.33333333333331</v>
      </c>
      <c r="O2848" s="24">
        <f>(Tabla1[[#This Row],[COSTO FIJO ]]/30)*Tabla1[[#This Row],[TOTAL DIAS PROYECTO]]+(Tabla1[[#This Row],[COSTO TEMPORAL]])</f>
        <v>447.77777777777777</v>
      </c>
      <c r="P2848" s="12"/>
      <c r="Q2848" s="12">
        <f>+(Tabla1[[#This Row],[COSTO COCHE]]/30)*Tabla1[[#This Row],[TOTAL DIAS PROYECTO]]</f>
        <v>0</v>
      </c>
      <c r="R2848" s="12">
        <f>+Tabla1[[#This Row],[COSTO TOTAL ALOJAMIENTO]]+Tabla1[[#This Row],[COSTO TOTAL COCHE]]</f>
        <v>447.77777777777777</v>
      </c>
      <c r="S2848" s="2"/>
      <c r="T2848" s="14" t="s">
        <v>35</v>
      </c>
      <c r="U2848" s="14">
        <v>46224</v>
      </c>
      <c r="V2848" s="25"/>
      <c r="W2848" s="12"/>
      <c r="X2848" s="2">
        <v>20</v>
      </c>
      <c r="Y2848" s="11" t="s">
        <v>4408</v>
      </c>
      <c r="Z2848" s="2" t="s">
        <v>36</v>
      </c>
      <c r="AA2848" s="13" t="s">
        <v>10349</v>
      </c>
      <c r="AB2848" s="13" t="s">
        <v>10350</v>
      </c>
    </row>
    <row r="2849" spans="1:28" ht="15" customHeight="1">
      <c r="A2849" s="2" t="s">
        <v>9723</v>
      </c>
      <c r="B2849" s="2" t="s">
        <v>606</v>
      </c>
      <c r="C2849" s="31" t="s">
        <v>4409</v>
      </c>
      <c r="D2849" s="2" t="s">
        <v>99</v>
      </c>
      <c r="E2849" s="2" t="s">
        <v>31</v>
      </c>
      <c r="F2849" s="11" t="s">
        <v>1004</v>
      </c>
      <c r="G2849" s="167" t="s">
        <v>1005</v>
      </c>
      <c r="H2849" s="2" t="s">
        <v>4410</v>
      </c>
      <c r="I2849" s="12" t="s">
        <v>1540</v>
      </c>
      <c r="J2849" s="22">
        <f>+Tabla1[[#This Row],[FECHA ENTRADA]]</f>
        <v>45962</v>
      </c>
      <c r="K2849" s="22">
        <v>46165</v>
      </c>
      <c r="L2849" s="23">
        <f>_xlfn.DAYS(Tabla1[[#This Row],[FECHA FIN ]],Tabla1[[#This Row],[FECHA INICIO]])</f>
        <v>203</v>
      </c>
      <c r="M2849" s="12"/>
      <c r="N2849" s="24">
        <v>400</v>
      </c>
      <c r="O2849" s="24">
        <f>(Tabla1[[#This Row],[COSTO FIJO ]]/30)*Tabla1[[#This Row],[TOTAL DIAS PROYECTO]]+(Tabla1[[#This Row],[COSTO TEMPORAL]])</f>
        <v>2706.666666666667</v>
      </c>
      <c r="P2849" s="12"/>
      <c r="Q2849" s="12">
        <f>+(Tabla1[[#This Row],[COSTO COCHE]]/30)*Tabla1[[#This Row],[TOTAL DIAS PROYECTO]]</f>
        <v>0</v>
      </c>
      <c r="R2849" s="12">
        <f>+Tabla1[[#This Row],[COSTO TOTAL ALOJAMIENTO]]+Tabla1[[#This Row],[COSTO TOTAL COCHE]]</f>
        <v>2706.666666666667</v>
      </c>
      <c r="S2849" s="2"/>
      <c r="T2849" s="14" t="s">
        <v>35</v>
      </c>
      <c r="U2849" s="14">
        <v>45962</v>
      </c>
      <c r="V2849" s="79"/>
      <c r="W2849" s="12"/>
      <c r="X2849" s="2">
        <v>1</v>
      </c>
      <c r="Y2849" s="11" t="s">
        <v>4411</v>
      </c>
      <c r="Z2849" s="2" t="s">
        <v>36</v>
      </c>
      <c r="AA2849" s="13" t="s">
        <v>10323</v>
      </c>
      <c r="AB2849" s="13" t="s">
        <v>10324</v>
      </c>
    </row>
    <row r="2850" spans="1:28" ht="15" customHeight="1">
      <c r="A2850" s="2" t="s">
        <v>9724</v>
      </c>
      <c r="B2850" s="2" t="s">
        <v>978</v>
      </c>
      <c r="C2850" s="11" t="s">
        <v>4412</v>
      </c>
      <c r="D2850" s="2" t="s">
        <v>30</v>
      </c>
      <c r="E2850" s="2" t="s">
        <v>109</v>
      </c>
      <c r="F2850" s="11" t="s">
        <v>4413</v>
      </c>
      <c r="G2850" s="46">
        <v>973445750</v>
      </c>
      <c r="H2850" s="2" t="s">
        <v>4414</v>
      </c>
      <c r="I2850" s="12" t="s">
        <v>4415</v>
      </c>
      <c r="J2850" s="41">
        <f>+Tabla1[[#This Row],[FECHA ENTRADA]]</f>
        <v>45812</v>
      </c>
      <c r="K2850" s="41">
        <v>45840</v>
      </c>
      <c r="L2850" s="42">
        <f>_xlfn.DAYS(Tabla1[[#This Row],[FECHA FIN ]],Tabla1[[#This Row],[FECHA INICIO]])</f>
        <v>28</v>
      </c>
      <c r="M2850" s="12"/>
      <c r="N2850" s="12"/>
      <c r="O2850" s="28">
        <f>(Tabla1[[#This Row],[COSTO FIJO ]]/30)*Tabla1[[#This Row],[TOTAL DIAS PROYECTO]]+(Tabla1[[#This Row],[COSTO TEMPORAL]])</f>
        <v>0</v>
      </c>
      <c r="P2850" s="12"/>
      <c r="Q2850" s="12">
        <f>+(Tabla1[[#This Row],[COSTO COCHE]]/30)*Tabla1[[#This Row],[TOTAL DIAS PROYECTO]]</f>
        <v>0</v>
      </c>
      <c r="R2850" s="12">
        <f>+Tabla1[[#This Row],[COSTO TOTAL ALOJAMIENTO]]+Tabla1[[#This Row],[COSTO TOTAL COCHE]]</f>
        <v>0</v>
      </c>
      <c r="S2850" s="2"/>
      <c r="T2850" s="14" t="s">
        <v>44</v>
      </c>
      <c r="U2850" s="14">
        <v>45812</v>
      </c>
      <c r="V2850" s="43"/>
      <c r="W2850" s="12"/>
      <c r="X2850" s="2"/>
      <c r="Y2850" s="11"/>
      <c r="Z2850" s="2" t="s">
        <v>36</v>
      </c>
      <c r="AA2850" s="13">
        <v>0.62217999999999996</v>
      </c>
      <c r="AB2850" s="13" t="s">
        <v>10339</v>
      </c>
    </row>
    <row r="2851" spans="1:28" ht="15" customHeight="1">
      <c r="A2851" s="2" t="s">
        <v>9725</v>
      </c>
      <c r="B2851" s="2" t="s">
        <v>978</v>
      </c>
      <c r="C2851" s="11" t="s">
        <v>4416</v>
      </c>
      <c r="D2851" s="2" t="s">
        <v>30</v>
      </c>
      <c r="E2851" s="2" t="s">
        <v>109</v>
      </c>
      <c r="F2851" s="11" t="s">
        <v>4413</v>
      </c>
      <c r="G2851" s="46">
        <v>973445750</v>
      </c>
      <c r="H2851" s="2" t="s">
        <v>4417</v>
      </c>
      <c r="I2851" s="12" t="s">
        <v>4415</v>
      </c>
      <c r="J2851" s="41">
        <f>+Tabla1[[#This Row],[FECHA ENTRADA]]</f>
        <v>45812</v>
      </c>
      <c r="K2851" s="41">
        <v>45853</v>
      </c>
      <c r="L2851" s="42">
        <f>_xlfn.DAYS(Tabla1[[#This Row],[FECHA FIN ]],Tabla1[[#This Row],[FECHA INICIO]])</f>
        <v>41</v>
      </c>
      <c r="M2851" s="12"/>
      <c r="N2851" s="12"/>
      <c r="O2851" s="28">
        <f>(Tabla1[[#This Row],[COSTO FIJO ]]/30)*Tabla1[[#This Row],[TOTAL DIAS PROYECTO]]+(Tabla1[[#This Row],[COSTO TEMPORAL]])</f>
        <v>0</v>
      </c>
      <c r="P2851" s="12"/>
      <c r="Q2851" s="12">
        <f>+(Tabla1[[#This Row],[COSTO COCHE]]/30)*Tabla1[[#This Row],[TOTAL DIAS PROYECTO]]</f>
        <v>0</v>
      </c>
      <c r="R2851" s="12">
        <f>+Tabla1[[#This Row],[COSTO TOTAL ALOJAMIENTO]]+Tabla1[[#This Row],[COSTO TOTAL COCHE]]</f>
        <v>0</v>
      </c>
      <c r="S2851" s="2"/>
      <c r="T2851" s="14" t="s">
        <v>44</v>
      </c>
      <c r="U2851" s="14">
        <v>45812</v>
      </c>
      <c r="V2851" s="43">
        <v>45854</v>
      </c>
      <c r="W2851" s="12"/>
      <c r="X2851" s="2"/>
      <c r="Y2851" s="11"/>
      <c r="Z2851" s="2" t="s">
        <v>36</v>
      </c>
      <c r="AA2851" s="13">
        <v>0.62217999999999996</v>
      </c>
      <c r="AB2851" s="13" t="s">
        <v>10339</v>
      </c>
    </row>
    <row r="2852" spans="1:28" ht="15" customHeight="1">
      <c r="A2852" s="2" t="s">
        <v>9305</v>
      </c>
      <c r="B2852" s="2" t="s">
        <v>978</v>
      </c>
      <c r="C2852" s="31" t="s">
        <v>2759</v>
      </c>
      <c r="D2852" s="2" t="s">
        <v>99</v>
      </c>
      <c r="E2852" s="2" t="s">
        <v>109</v>
      </c>
      <c r="F2852" s="11" t="s">
        <v>4418</v>
      </c>
      <c r="G2852" s="46" t="s">
        <v>4419</v>
      </c>
      <c r="H2852" s="2" t="s">
        <v>3998</v>
      </c>
      <c r="I2852" s="12" t="s">
        <v>4420</v>
      </c>
      <c r="J2852" s="41">
        <f>+Tabla1[[#This Row],[FECHA ENTRADA]]</f>
        <v>45812</v>
      </c>
      <c r="K2852" s="22">
        <v>45862</v>
      </c>
      <c r="L2852" s="42">
        <f>_xlfn.DAYS(Tabla1[[#This Row],[FECHA FIN ]],Tabla1[[#This Row],[FECHA INICIO]])</f>
        <v>50</v>
      </c>
      <c r="M2852" s="12"/>
      <c r="N2852" s="28">
        <v>330</v>
      </c>
      <c r="O2852" s="28">
        <f>(Tabla1[[#This Row],[COSTO FIJO ]]/30)*Tabla1[[#This Row],[TOTAL DIAS PROYECTO]]+(Tabla1[[#This Row],[COSTO TEMPORAL]])</f>
        <v>550</v>
      </c>
      <c r="P2852" s="12"/>
      <c r="Q2852" s="12">
        <f>+(Tabla1[[#This Row],[COSTO COCHE]]/30)*Tabla1[[#This Row],[TOTAL DIAS PROYECTO]]</f>
        <v>0</v>
      </c>
      <c r="R2852" s="12">
        <f>+Tabla1[[#This Row],[COSTO TOTAL ALOJAMIENTO]]+Tabla1[[#This Row],[COSTO TOTAL COCHE]]</f>
        <v>550</v>
      </c>
      <c r="S2852" s="2"/>
      <c r="T2852" s="14" t="s">
        <v>35</v>
      </c>
      <c r="U2852" s="14">
        <v>45812</v>
      </c>
      <c r="V2852" s="43">
        <v>45842</v>
      </c>
      <c r="W2852" s="12"/>
      <c r="X2852" s="2">
        <v>1</v>
      </c>
      <c r="Y2852" s="11" t="s">
        <v>4421</v>
      </c>
      <c r="Z2852" s="2" t="s">
        <v>36</v>
      </c>
      <c r="AA2852" s="13">
        <v>0.62217999999999996</v>
      </c>
      <c r="AB2852" s="13" t="s">
        <v>10339</v>
      </c>
    </row>
    <row r="2853" spans="1:28" ht="15" customHeight="1">
      <c r="A2853" s="2" t="s">
        <v>9458</v>
      </c>
      <c r="B2853" s="2" t="s">
        <v>28</v>
      </c>
      <c r="C2853" s="11" t="s">
        <v>3247</v>
      </c>
      <c r="D2853" s="2" t="s">
        <v>30</v>
      </c>
      <c r="E2853" s="2" t="s">
        <v>253</v>
      </c>
      <c r="F2853" s="11" t="s">
        <v>1984</v>
      </c>
      <c r="G2853" s="46" t="s">
        <v>1985</v>
      </c>
      <c r="H2853" s="184" t="s">
        <v>3248</v>
      </c>
      <c r="I2853" s="47" t="s">
        <v>256</v>
      </c>
      <c r="J2853" s="41">
        <f>+Tabla1[[#This Row],[FECHA ENTRADA]]</f>
        <v>45837</v>
      </c>
      <c r="K2853" s="41">
        <v>45853</v>
      </c>
      <c r="L2853" s="42">
        <f>_xlfn.DAYS(Tabla1[[#This Row],[FECHA FIN ]],Tabla1[[#This Row],[FECHA INICIO]])</f>
        <v>16</v>
      </c>
      <c r="M2853" s="12"/>
      <c r="N2853" s="12"/>
      <c r="O2853" s="28">
        <f>(Tabla1[[#This Row],[COSTO FIJO ]]/30)*Tabla1[[#This Row],[TOTAL DIAS PROYECTO]]+(Tabla1[[#This Row],[COSTO TEMPORAL]])</f>
        <v>0</v>
      </c>
      <c r="P2853" s="12"/>
      <c r="Q2853" s="12">
        <f>+(Tabla1[[#This Row],[COSTO COCHE]]/30)*Tabla1[[#This Row],[TOTAL DIAS PROYECTO]]</f>
        <v>0</v>
      </c>
      <c r="R2853" s="12">
        <f>+Tabla1[[#This Row],[COSTO TOTAL ALOJAMIENTO]]+Tabla1[[#This Row],[COSTO TOTAL COCHE]]</f>
        <v>0</v>
      </c>
      <c r="S2853" s="2"/>
      <c r="T2853" s="2" t="s">
        <v>44</v>
      </c>
      <c r="U2853" s="14">
        <v>45837</v>
      </c>
      <c r="V2853" s="43">
        <v>45853</v>
      </c>
      <c r="W2853" s="2"/>
      <c r="X2853" s="2"/>
      <c r="Y2853" s="11" t="s">
        <v>4325</v>
      </c>
      <c r="Z2853" s="2" t="s">
        <v>36</v>
      </c>
      <c r="AA2853" s="13" t="s">
        <v>10357</v>
      </c>
      <c r="AB2853" s="13" t="s">
        <v>10358</v>
      </c>
    </row>
    <row r="2854" spans="1:28" ht="15" customHeight="1">
      <c r="A2854" s="2" t="s">
        <v>9726</v>
      </c>
      <c r="B2854" s="2" t="s">
        <v>978</v>
      </c>
      <c r="C2854" s="11" t="s">
        <v>4422</v>
      </c>
      <c r="D2854" s="2" t="s">
        <v>30</v>
      </c>
      <c r="E2854" s="2" t="s">
        <v>626</v>
      </c>
      <c r="F2854" s="11" t="s">
        <v>4423</v>
      </c>
      <c r="G2854" s="46" t="s">
        <v>4424</v>
      </c>
      <c r="H2854" s="2" t="s">
        <v>4425</v>
      </c>
      <c r="I2854" s="10" t="s">
        <v>3364</v>
      </c>
      <c r="J2854" s="41">
        <f>+Tabla1[[#This Row],[FECHA ENTRADA]]</f>
        <v>45811</v>
      </c>
      <c r="K2854" s="41">
        <v>45853</v>
      </c>
      <c r="L2854" s="42">
        <f>_xlfn.DAYS(Tabla1[[#This Row],[FECHA FIN ]],Tabla1[[#This Row],[FECHA INICIO]])</f>
        <v>42</v>
      </c>
      <c r="M2854" s="12"/>
      <c r="N2854" s="12">
        <v>250</v>
      </c>
      <c r="O2854" s="28">
        <f>(Tabla1[[#This Row],[COSTO FIJO ]]/30)*Tabla1[[#This Row],[TOTAL DIAS PROYECTO]]+(Tabla1[[#This Row],[COSTO TEMPORAL]])</f>
        <v>350</v>
      </c>
      <c r="P2854" s="12"/>
      <c r="Q2854" s="12">
        <f>+(Tabla1[[#This Row],[COSTO COCHE]]/30)*Tabla1[[#This Row],[TOTAL DIAS PROYECTO]]</f>
        <v>0</v>
      </c>
      <c r="R2854" s="12">
        <f>+Tabla1[[#This Row],[COSTO TOTAL ALOJAMIENTO]]+Tabla1[[#This Row],[COSTO TOTAL COCHE]]</f>
        <v>350</v>
      </c>
      <c r="S2854" s="2" t="s">
        <v>84</v>
      </c>
      <c r="T2854" s="14" t="s">
        <v>44</v>
      </c>
      <c r="U2854" s="14">
        <v>45811</v>
      </c>
      <c r="V2854" s="43">
        <v>45853</v>
      </c>
      <c r="W2854" s="12"/>
      <c r="X2854" s="2"/>
      <c r="Y2854" s="11"/>
      <c r="Z2854" s="2" t="s">
        <v>36</v>
      </c>
      <c r="AA2854" s="13" t="s">
        <v>10385</v>
      </c>
      <c r="AB2854" s="13" t="s">
        <v>10386</v>
      </c>
    </row>
    <row r="2855" spans="1:28" ht="15" customHeight="1">
      <c r="A2855" s="2" t="s">
        <v>8642</v>
      </c>
      <c r="B2855" s="2" t="s">
        <v>978</v>
      </c>
      <c r="C2855" s="11" t="s">
        <v>4426</v>
      </c>
      <c r="D2855" s="2" t="s">
        <v>30</v>
      </c>
      <c r="E2855" s="2" t="s">
        <v>626</v>
      </c>
      <c r="F2855" s="11" t="s">
        <v>4423</v>
      </c>
      <c r="G2855" s="46" t="s">
        <v>4424</v>
      </c>
      <c r="H2855" s="2" t="s">
        <v>4425</v>
      </c>
      <c r="I2855" s="10" t="s">
        <v>3364</v>
      </c>
      <c r="J2855" s="41">
        <f>+Tabla1[[#This Row],[FECHA ENTRADA]]</f>
        <v>45811</v>
      </c>
      <c r="K2855" s="41">
        <v>45853</v>
      </c>
      <c r="L2855" s="42">
        <f>_xlfn.DAYS(Tabla1[[#This Row],[FECHA FIN ]],Tabla1[[#This Row],[FECHA INICIO]])</f>
        <v>42</v>
      </c>
      <c r="M2855" s="12"/>
      <c r="N2855" s="12">
        <v>250</v>
      </c>
      <c r="O2855" s="28">
        <f>(Tabla1[[#This Row],[COSTO FIJO ]]/30)*Tabla1[[#This Row],[TOTAL DIAS PROYECTO]]+(Tabla1[[#This Row],[COSTO TEMPORAL]])</f>
        <v>350</v>
      </c>
      <c r="P2855" s="12"/>
      <c r="Q2855" s="12">
        <f>+(Tabla1[[#This Row],[COSTO COCHE]]/30)*Tabla1[[#This Row],[TOTAL DIAS PROYECTO]]</f>
        <v>0</v>
      </c>
      <c r="R2855" s="12">
        <f>+Tabla1[[#This Row],[COSTO TOTAL ALOJAMIENTO]]+Tabla1[[#This Row],[COSTO TOTAL COCHE]]</f>
        <v>350</v>
      </c>
      <c r="S2855" s="2" t="s">
        <v>84</v>
      </c>
      <c r="T2855" s="14" t="s">
        <v>44</v>
      </c>
      <c r="U2855" s="14">
        <v>45811</v>
      </c>
      <c r="V2855" s="43">
        <v>45853</v>
      </c>
      <c r="W2855" s="12"/>
      <c r="X2855" s="2"/>
      <c r="Y2855" s="11"/>
      <c r="Z2855" s="2" t="s">
        <v>36</v>
      </c>
      <c r="AA2855" s="13" t="s">
        <v>10385</v>
      </c>
      <c r="AB2855" s="13" t="s">
        <v>10386</v>
      </c>
    </row>
    <row r="2856" spans="1:28" ht="15" customHeight="1">
      <c r="A2856" s="2" t="s">
        <v>9220</v>
      </c>
      <c r="B2856" s="2" t="s">
        <v>711</v>
      </c>
      <c r="C2856" s="11" t="s">
        <v>2489</v>
      </c>
      <c r="D2856" s="2" t="s">
        <v>78</v>
      </c>
      <c r="E2856" s="2" t="s">
        <v>4055</v>
      </c>
      <c r="F2856" s="11" t="s">
        <v>4092</v>
      </c>
      <c r="G2856" s="46" t="s">
        <v>4093</v>
      </c>
      <c r="H2856" s="2" t="s">
        <v>1391</v>
      </c>
      <c r="I2856" s="12" t="s">
        <v>800</v>
      </c>
      <c r="J2856" s="41">
        <f>+Tabla1[[#This Row],[FECHA ENTRADA]]</f>
        <v>45828</v>
      </c>
      <c r="K2856" s="22">
        <v>45853</v>
      </c>
      <c r="L2856" s="42">
        <f>_xlfn.DAYS(Tabla1[[#This Row],[FECHA FIN ]],Tabla1[[#This Row],[FECHA INICIO]])</f>
        <v>25</v>
      </c>
      <c r="M2856" s="12"/>
      <c r="N2856" s="12">
        <f>1528.42/5</f>
        <v>305.68400000000003</v>
      </c>
      <c r="O2856" s="28">
        <f>(Tabla1[[#This Row],[COSTO FIJO ]]/30)*Tabla1[[#This Row],[TOTAL DIAS PROYECTO]]+(Tabla1[[#This Row],[COSTO TEMPORAL]])</f>
        <v>254.73666666666671</v>
      </c>
      <c r="P2856" s="12"/>
      <c r="Q2856" s="12">
        <f>+(Tabla1[[#This Row],[COSTO COCHE]]/30)*Tabla1[[#This Row],[TOTAL DIAS PROYECTO]]</f>
        <v>0</v>
      </c>
      <c r="R2856" s="12">
        <f>+Tabla1[[#This Row],[COSTO TOTAL ALOJAMIENTO]]+Tabla1[[#This Row],[COSTO TOTAL COCHE]]</f>
        <v>254.73666666666671</v>
      </c>
      <c r="S2856" s="2"/>
      <c r="T2856" s="14" t="s">
        <v>44</v>
      </c>
      <c r="U2856" s="14">
        <v>45828</v>
      </c>
      <c r="V2856" s="43">
        <v>45853</v>
      </c>
      <c r="W2856" s="2"/>
      <c r="X2856" s="2"/>
      <c r="Y2856" s="11" t="s">
        <v>4427</v>
      </c>
      <c r="Z2856" s="2" t="s">
        <v>36</v>
      </c>
      <c r="AA2856" s="13" t="e">
        <v>#N/A</v>
      </c>
      <c r="AB2856" s="13" t="e">
        <v>#N/A</v>
      </c>
    </row>
    <row r="2857" spans="1:28" ht="15" customHeight="1">
      <c r="A2857" s="2" t="s">
        <v>8869</v>
      </c>
      <c r="B2857" s="2" t="s">
        <v>711</v>
      </c>
      <c r="C2857" s="11" t="s">
        <v>1097</v>
      </c>
      <c r="D2857" s="2" t="s">
        <v>78</v>
      </c>
      <c r="E2857" s="2" t="s">
        <v>4055</v>
      </c>
      <c r="F2857" s="11" t="s">
        <v>4092</v>
      </c>
      <c r="G2857" s="46" t="s">
        <v>4093</v>
      </c>
      <c r="H2857" s="2" t="s">
        <v>1391</v>
      </c>
      <c r="I2857" s="12" t="s">
        <v>800</v>
      </c>
      <c r="J2857" s="41">
        <f>+Tabla1[[#This Row],[FECHA ENTRADA]]</f>
        <v>45828</v>
      </c>
      <c r="K2857" s="22">
        <v>45852</v>
      </c>
      <c r="L2857" s="42">
        <f>_xlfn.DAYS(Tabla1[[#This Row],[FECHA FIN ]],Tabla1[[#This Row],[FECHA INICIO]])</f>
        <v>24</v>
      </c>
      <c r="M2857" s="12"/>
      <c r="N2857" s="12">
        <f>1528.42/5</f>
        <v>305.68400000000003</v>
      </c>
      <c r="O2857" s="28">
        <f>(Tabla1[[#This Row],[COSTO FIJO ]]/30)*Tabla1[[#This Row],[TOTAL DIAS PROYECTO]]+(Tabla1[[#This Row],[COSTO TEMPORAL]])</f>
        <v>244.54720000000003</v>
      </c>
      <c r="P2857" s="12"/>
      <c r="Q2857" s="12">
        <f>+(Tabla1[[#This Row],[COSTO COCHE]]/30)*Tabla1[[#This Row],[TOTAL DIAS PROYECTO]]</f>
        <v>0</v>
      </c>
      <c r="R2857" s="12">
        <f>+Tabla1[[#This Row],[COSTO TOTAL ALOJAMIENTO]]+Tabla1[[#This Row],[COSTO TOTAL COCHE]]</f>
        <v>244.54720000000003</v>
      </c>
      <c r="S2857" s="2"/>
      <c r="T2857" s="14" t="s">
        <v>44</v>
      </c>
      <c r="U2857" s="14">
        <v>45828</v>
      </c>
      <c r="V2857" s="43">
        <v>45853</v>
      </c>
      <c r="W2857" s="2"/>
      <c r="X2857" s="2"/>
      <c r="Y2857" s="11"/>
      <c r="Z2857" s="2" t="s">
        <v>36</v>
      </c>
      <c r="AA2857" s="13" t="e">
        <v>#N/A</v>
      </c>
      <c r="AB2857" s="13" t="e">
        <v>#N/A</v>
      </c>
    </row>
    <row r="2858" spans="1:28" ht="15" customHeight="1">
      <c r="A2858" s="2" t="s">
        <v>9649</v>
      </c>
      <c r="B2858" s="2" t="s">
        <v>711</v>
      </c>
      <c r="C2858" s="11" t="s">
        <v>4058</v>
      </c>
      <c r="D2858" s="2" t="s">
        <v>78</v>
      </c>
      <c r="E2858" s="2" t="s">
        <v>4055</v>
      </c>
      <c r="F2858" s="11" t="s">
        <v>4092</v>
      </c>
      <c r="G2858" s="46" t="s">
        <v>4093</v>
      </c>
      <c r="H2858" s="2" t="s">
        <v>1391</v>
      </c>
      <c r="I2858" s="12" t="s">
        <v>800</v>
      </c>
      <c r="J2858" s="41">
        <f>+Tabla1[[#This Row],[FECHA ENTRADA]]</f>
        <v>45828</v>
      </c>
      <c r="K2858" s="22">
        <v>45853</v>
      </c>
      <c r="L2858" s="42">
        <f>_xlfn.DAYS(Tabla1[[#This Row],[FECHA FIN ]],Tabla1[[#This Row],[FECHA INICIO]])</f>
        <v>25</v>
      </c>
      <c r="M2858" s="12"/>
      <c r="N2858" s="12">
        <f>1528.42/5</f>
        <v>305.68400000000003</v>
      </c>
      <c r="O2858" s="28">
        <f>(Tabla1[[#This Row],[COSTO FIJO ]]/30)*Tabla1[[#This Row],[TOTAL DIAS PROYECTO]]+(Tabla1[[#This Row],[COSTO TEMPORAL]])</f>
        <v>254.73666666666671</v>
      </c>
      <c r="P2858" s="12"/>
      <c r="Q2858" s="12">
        <f>+(Tabla1[[#This Row],[COSTO COCHE]]/30)*Tabla1[[#This Row],[TOTAL DIAS PROYECTO]]</f>
        <v>0</v>
      </c>
      <c r="R2858" s="12">
        <f>+Tabla1[[#This Row],[COSTO TOTAL ALOJAMIENTO]]+Tabla1[[#This Row],[COSTO TOTAL COCHE]]</f>
        <v>254.73666666666671</v>
      </c>
      <c r="S2858" s="2"/>
      <c r="T2858" s="14" t="s">
        <v>44</v>
      </c>
      <c r="U2858" s="14">
        <v>45828</v>
      </c>
      <c r="V2858" s="43">
        <v>45853</v>
      </c>
      <c r="W2858" s="2"/>
      <c r="X2858" s="2"/>
      <c r="Y2858" s="11"/>
      <c r="Z2858" s="2" t="s">
        <v>36</v>
      </c>
      <c r="AA2858" s="13" t="e">
        <v>#N/A</v>
      </c>
      <c r="AB2858" s="13" t="e">
        <v>#N/A</v>
      </c>
    </row>
    <row r="2859" spans="1:28" ht="15" customHeight="1">
      <c r="A2859" s="2" t="s">
        <v>9663</v>
      </c>
      <c r="B2859" s="2" t="s">
        <v>711</v>
      </c>
      <c r="C2859" s="11" t="s">
        <v>4110</v>
      </c>
      <c r="D2859" s="2" t="s">
        <v>78</v>
      </c>
      <c r="E2859" s="2" t="s">
        <v>4055</v>
      </c>
      <c r="F2859" s="11" t="s">
        <v>4092</v>
      </c>
      <c r="G2859" s="46" t="s">
        <v>4093</v>
      </c>
      <c r="H2859" s="2" t="s">
        <v>4428</v>
      </c>
      <c r="I2859" s="12" t="s">
        <v>800</v>
      </c>
      <c r="J2859" s="41">
        <f>+Tabla1[[#This Row],[FECHA ENTRADA]]</f>
        <v>45837</v>
      </c>
      <c r="K2859" s="22">
        <v>45853</v>
      </c>
      <c r="L2859" s="42">
        <f>_xlfn.DAYS(Tabla1[[#This Row],[FECHA FIN ]],Tabla1[[#This Row],[FECHA INICIO]])</f>
        <v>16</v>
      </c>
      <c r="M2859" s="12"/>
      <c r="N2859" s="12">
        <f>1528.42/5</f>
        <v>305.68400000000003</v>
      </c>
      <c r="O2859" s="28">
        <f>(Tabla1[[#This Row],[COSTO FIJO ]]/30)*Tabla1[[#This Row],[TOTAL DIAS PROYECTO]]+(Tabla1[[#This Row],[COSTO TEMPORAL]])</f>
        <v>163.03146666666669</v>
      </c>
      <c r="P2859" s="12"/>
      <c r="Q2859" s="12">
        <f>+(Tabla1[[#This Row],[COSTO COCHE]]/30)*Tabla1[[#This Row],[TOTAL DIAS PROYECTO]]</f>
        <v>0</v>
      </c>
      <c r="R2859" s="12">
        <f>+Tabla1[[#This Row],[COSTO TOTAL ALOJAMIENTO]]+Tabla1[[#This Row],[COSTO TOTAL COCHE]]</f>
        <v>163.03146666666669</v>
      </c>
      <c r="S2859" s="2"/>
      <c r="T2859" s="14" t="s">
        <v>44</v>
      </c>
      <c r="U2859" s="14">
        <v>45837</v>
      </c>
      <c r="V2859" s="43">
        <v>45853</v>
      </c>
      <c r="W2859" s="2"/>
      <c r="X2859" s="2"/>
      <c r="Y2859" s="11"/>
      <c r="Z2859" s="2" t="s">
        <v>36</v>
      </c>
      <c r="AA2859" s="13" t="e">
        <v>#N/A</v>
      </c>
      <c r="AB2859" s="13" t="e">
        <v>#N/A</v>
      </c>
    </row>
    <row r="2860" spans="1:28" ht="15" customHeight="1">
      <c r="A2860" s="2" t="s">
        <v>9494</v>
      </c>
      <c r="B2860" s="2" t="s">
        <v>978</v>
      </c>
      <c r="C2860" s="11" t="s">
        <v>3374</v>
      </c>
      <c r="D2860" s="2" t="s">
        <v>99</v>
      </c>
      <c r="E2860" s="2" t="s">
        <v>1130</v>
      </c>
      <c r="F2860" s="11" t="s">
        <v>4429</v>
      </c>
      <c r="G2860" s="46" t="s">
        <v>4430</v>
      </c>
      <c r="H2860" s="2" t="s">
        <v>4431</v>
      </c>
      <c r="I2860" s="12" t="s">
        <v>4432</v>
      </c>
      <c r="J2860" s="41">
        <f>+Tabla1[[#This Row],[FECHA ENTRADA]]</f>
        <v>45838</v>
      </c>
      <c r="K2860" s="22">
        <v>45853</v>
      </c>
      <c r="L2860" s="42">
        <f>_xlfn.DAYS(Tabla1[[#This Row],[FECHA FIN ]],Tabla1[[#This Row],[FECHA INICIO]])</f>
        <v>15</v>
      </c>
      <c r="M2860" s="12"/>
      <c r="N2860" s="12">
        <v>252.02</v>
      </c>
      <c r="O2860" s="28">
        <f>(Tabla1[[#This Row],[COSTO FIJO ]]/30)*Tabla1[[#This Row],[TOTAL DIAS PROYECTO]]+(Tabla1[[#This Row],[COSTO TEMPORAL]])</f>
        <v>126.01000000000002</v>
      </c>
      <c r="P2860" s="12"/>
      <c r="Q2860" s="12">
        <f>+(Tabla1[[#This Row],[COSTO COCHE]]/30)*Tabla1[[#This Row],[TOTAL DIAS PROYECTO]]</f>
        <v>0</v>
      </c>
      <c r="R2860" s="12">
        <f>+Tabla1[[#This Row],[COSTO TOTAL ALOJAMIENTO]]+Tabla1[[#This Row],[COSTO TOTAL COCHE]]</f>
        <v>126.01000000000002</v>
      </c>
      <c r="S2860" s="2"/>
      <c r="T2860" s="14" t="s">
        <v>44</v>
      </c>
      <c r="U2860" s="14">
        <v>45838</v>
      </c>
      <c r="V2860" s="43">
        <v>45853</v>
      </c>
      <c r="W2860" s="2"/>
      <c r="X2860" s="2"/>
      <c r="Y2860" s="11"/>
      <c r="Z2860" s="2" t="s">
        <v>36</v>
      </c>
      <c r="AA2860" s="13" t="s">
        <v>10412</v>
      </c>
      <c r="AB2860" s="13">
        <v>4200955</v>
      </c>
    </row>
    <row r="2861" spans="1:28" ht="15" customHeight="1">
      <c r="A2861" s="117" t="s">
        <v>9727</v>
      </c>
      <c r="B2861" s="117" t="s">
        <v>978</v>
      </c>
      <c r="C2861" s="118" t="s">
        <v>4433</v>
      </c>
      <c r="D2861" s="117" t="s">
        <v>99</v>
      </c>
      <c r="E2861" s="117" t="s">
        <v>109</v>
      </c>
      <c r="F2861" s="11" t="s">
        <v>4434</v>
      </c>
      <c r="G2861" s="68">
        <v>973266788</v>
      </c>
      <c r="H2861" s="117" t="s">
        <v>1686</v>
      </c>
      <c r="I2861" s="119" t="s">
        <v>4420</v>
      </c>
      <c r="J2861" s="120">
        <f>+Tabla1[[#This Row],[FECHA ENTRADA]]</f>
        <v>45812</v>
      </c>
      <c r="K2861" s="121">
        <v>46072</v>
      </c>
      <c r="L2861" s="122">
        <f>_xlfn.DAYS(Tabla1[[#This Row],[FECHA FIN ]],Tabla1[[#This Row],[FECHA INICIO]])</f>
        <v>260</v>
      </c>
      <c r="M2861" s="119"/>
      <c r="N2861" s="119"/>
      <c r="O2861" s="123">
        <f>(Tabla1[[#This Row],[COSTO FIJO ]]/30)*Tabla1[[#This Row],[TOTAL DIAS PROYECTO]]+(Tabla1[[#This Row],[COSTO TEMPORAL]])</f>
        <v>0</v>
      </c>
      <c r="P2861" s="119"/>
      <c r="Q2861" s="119">
        <f>+(Tabla1[[#This Row],[COSTO COCHE]]/30)*Tabla1[[#This Row],[TOTAL DIAS PROYECTO]]</f>
        <v>0</v>
      </c>
      <c r="R2861" s="119">
        <f>+Tabla1[[#This Row],[COSTO TOTAL ALOJAMIENTO]]+Tabla1[[#This Row],[COSTO TOTAL COCHE]]</f>
        <v>0</v>
      </c>
      <c r="S2861" s="117"/>
      <c r="T2861" s="124" t="s">
        <v>44</v>
      </c>
      <c r="U2861" s="124">
        <v>45812</v>
      </c>
      <c r="V2861" s="79">
        <v>46072</v>
      </c>
      <c r="W2861" s="119"/>
      <c r="X2861" s="117"/>
      <c r="Y2861" s="118" t="s">
        <v>4435</v>
      </c>
      <c r="Z2861" s="117" t="s">
        <v>36</v>
      </c>
      <c r="AA2861" s="127">
        <v>0.62217999999999996</v>
      </c>
      <c r="AB2861" s="127" t="s">
        <v>10339</v>
      </c>
    </row>
    <row r="2862" spans="1:28" ht="15" customHeight="1">
      <c r="A2862" s="2" t="s">
        <v>9370</v>
      </c>
      <c r="B2862" s="2" t="s">
        <v>28</v>
      </c>
      <c r="C2862" s="11" t="s">
        <v>2956</v>
      </c>
      <c r="D2862" s="2" t="s">
        <v>30</v>
      </c>
      <c r="E2862" s="2" t="s">
        <v>55</v>
      </c>
      <c r="F2862" s="11" t="s">
        <v>1618</v>
      </c>
      <c r="G2862" s="46" t="s">
        <v>4436</v>
      </c>
      <c r="H2862" s="2" t="s">
        <v>4437</v>
      </c>
      <c r="I2862" s="54" t="s">
        <v>589</v>
      </c>
      <c r="J2862" s="41">
        <f>+Tabla1[[#This Row],[FECHA ENTRADA]]</f>
        <v>45852</v>
      </c>
      <c r="K2862" s="41">
        <v>45853</v>
      </c>
      <c r="L2862" s="42">
        <f>_xlfn.DAYS(Tabla1[[#This Row],[FECHA FIN ]],Tabla1[[#This Row],[FECHA INICIO]])</f>
        <v>1</v>
      </c>
      <c r="M2862" s="12"/>
      <c r="N2862" s="12">
        <v>85</v>
      </c>
      <c r="O2862" s="28">
        <f>(Tabla1[[#This Row],[COSTO FIJO ]]/30)*Tabla1[[#This Row],[TOTAL DIAS PROYECTO]]+(Tabla1[[#This Row],[COSTO TEMPORAL]])</f>
        <v>2.8333333333333335</v>
      </c>
      <c r="P2862" s="12"/>
      <c r="Q2862" s="12">
        <f>+(Tabla1[[#This Row],[COSTO COCHE]]/30)*Tabla1[[#This Row],[TOTAL DIAS PROYECTO]]</f>
        <v>0</v>
      </c>
      <c r="R2862" s="12">
        <f>+Tabla1[[#This Row],[COSTO TOTAL ALOJAMIENTO]]+Tabla1[[#This Row],[COSTO TOTAL COCHE]]</f>
        <v>2.8333333333333335</v>
      </c>
      <c r="S2862" s="2"/>
      <c r="T2862" s="14" t="s">
        <v>44</v>
      </c>
      <c r="U2862" s="14">
        <v>45852</v>
      </c>
      <c r="V2862" s="43">
        <v>45853</v>
      </c>
      <c r="W2862" s="12"/>
      <c r="X2862" s="2"/>
      <c r="Y2862" s="11"/>
      <c r="Z2862" s="2" t="s">
        <v>36</v>
      </c>
      <c r="AA2862" s="13" t="s">
        <v>10327</v>
      </c>
      <c r="AB2862" s="13" t="s">
        <v>10328</v>
      </c>
    </row>
    <row r="2863" spans="1:28" ht="15" customHeight="1">
      <c r="A2863" s="2" t="s">
        <v>9428</v>
      </c>
      <c r="B2863" s="2" t="s">
        <v>711</v>
      </c>
      <c r="C2863" s="11" t="s">
        <v>3141</v>
      </c>
      <c r="D2863" s="2" t="s">
        <v>99</v>
      </c>
      <c r="E2863" s="2" t="s">
        <v>790</v>
      </c>
      <c r="F2863" s="11" t="s">
        <v>4438</v>
      </c>
      <c r="G2863" s="49" t="s">
        <v>4439</v>
      </c>
      <c r="H2863" s="2" t="s">
        <v>3311</v>
      </c>
      <c r="I2863" s="12" t="s">
        <v>506</v>
      </c>
      <c r="J2863" s="41">
        <f>+Tabla1[[#This Row],[FECHA ENTRADA]]</f>
        <v>45850</v>
      </c>
      <c r="K2863" s="41">
        <v>45853</v>
      </c>
      <c r="L2863" s="42">
        <f>_xlfn.DAYS(Tabla1[[#This Row],[FECHA FIN ]],Tabla1[[#This Row],[FECHA INICIO]])</f>
        <v>3</v>
      </c>
      <c r="M2863" s="12"/>
      <c r="N2863" s="12">
        <v>84</v>
      </c>
      <c r="O2863" s="28">
        <f>(Tabla1[[#This Row],[COSTO FIJO ]]/30)*Tabla1[[#This Row],[TOTAL DIAS PROYECTO]]+(Tabla1[[#This Row],[COSTO TEMPORAL]])</f>
        <v>8.3999999999999986</v>
      </c>
      <c r="P2863" s="12"/>
      <c r="Q2863" s="12">
        <f>+(Tabla1[[#This Row],[COSTO COCHE]]/30)*Tabla1[[#This Row],[TOTAL DIAS PROYECTO]]</f>
        <v>0</v>
      </c>
      <c r="R2863" s="12">
        <f>+Tabla1[[#This Row],[COSTO TOTAL ALOJAMIENTO]]+Tabla1[[#This Row],[COSTO TOTAL COCHE]]</f>
        <v>8.3999999999999986</v>
      </c>
      <c r="S2863" s="2"/>
      <c r="T2863" s="14" t="s">
        <v>44</v>
      </c>
      <c r="U2863" s="14">
        <v>45850</v>
      </c>
      <c r="V2863" s="43">
        <v>45852</v>
      </c>
      <c r="W2863" s="12"/>
      <c r="X2863" s="2"/>
      <c r="Y2863" s="217" t="s">
        <v>4349</v>
      </c>
      <c r="Z2863" s="2" t="s">
        <v>36</v>
      </c>
      <c r="AA2863" s="13">
        <v>-574377</v>
      </c>
      <c r="AB2863" s="13">
        <v>4150368</v>
      </c>
    </row>
    <row r="2864" spans="1:28" ht="15" customHeight="1">
      <c r="A2864" s="2" t="s">
        <v>8846</v>
      </c>
      <c r="B2864" s="2" t="s">
        <v>28</v>
      </c>
      <c r="C2864" s="11" t="s">
        <v>1000</v>
      </c>
      <c r="D2864" s="2" t="s">
        <v>30</v>
      </c>
      <c r="E2864" s="2" t="s">
        <v>55</v>
      </c>
      <c r="F2864" s="11" t="s">
        <v>1618</v>
      </c>
      <c r="G2864" s="46" t="s">
        <v>4436</v>
      </c>
      <c r="H2864" s="2" t="s">
        <v>4437</v>
      </c>
      <c r="I2864" s="54" t="s">
        <v>589</v>
      </c>
      <c r="J2864" s="41">
        <f>+Tabla1[[#This Row],[FECHA ENTRADA]]</f>
        <v>45852</v>
      </c>
      <c r="K2864" s="41">
        <v>45853</v>
      </c>
      <c r="L2864" s="42">
        <f>_xlfn.DAYS(Tabla1[[#This Row],[FECHA FIN ]],Tabla1[[#This Row],[FECHA INICIO]])</f>
        <v>1</v>
      </c>
      <c r="M2864" s="12"/>
      <c r="N2864" s="12">
        <v>85</v>
      </c>
      <c r="O2864" s="28">
        <f>(Tabla1[[#This Row],[COSTO FIJO ]]/30)*Tabla1[[#This Row],[TOTAL DIAS PROYECTO]]+(Tabla1[[#This Row],[COSTO TEMPORAL]])</f>
        <v>2.8333333333333335</v>
      </c>
      <c r="P2864" s="12"/>
      <c r="Q2864" s="12">
        <f>+(Tabla1[[#This Row],[COSTO COCHE]]/30)*Tabla1[[#This Row],[TOTAL DIAS PROYECTO]]</f>
        <v>0</v>
      </c>
      <c r="R2864" s="12">
        <f>+Tabla1[[#This Row],[COSTO TOTAL ALOJAMIENTO]]+Tabla1[[#This Row],[COSTO TOTAL COCHE]]</f>
        <v>2.8333333333333335</v>
      </c>
      <c r="S2864" s="2"/>
      <c r="T2864" s="14" t="s">
        <v>44</v>
      </c>
      <c r="U2864" s="14">
        <v>45852</v>
      </c>
      <c r="V2864" s="43">
        <v>45853</v>
      </c>
      <c r="W2864" s="12"/>
      <c r="X2864" s="2"/>
      <c r="Y2864" s="11"/>
      <c r="Z2864" s="2" t="s">
        <v>36</v>
      </c>
      <c r="AA2864" s="13" t="s">
        <v>10327</v>
      </c>
      <c r="AB2864" s="13" t="s">
        <v>10328</v>
      </c>
    </row>
    <row r="2865" spans="1:28" ht="15" customHeight="1">
      <c r="A2865" s="2" t="s">
        <v>8880</v>
      </c>
      <c r="B2865" s="2" t="s">
        <v>28</v>
      </c>
      <c r="C2865" s="11" t="s">
        <v>1146</v>
      </c>
      <c r="D2865" s="2" t="s">
        <v>99</v>
      </c>
      <c r="E2865" s="2" t="s">
        <v>259</v>
      </c>
      <c r="F2865" s="11" t="s">
        <v>516</v>
      </c>
      <c r="G2865" s="11" t="s">
        <v>517</v>
      </c>
      <c r="H2865" s="2" t="s">
        <v>3397</v>
      </c>
      <c r="I2865" s="2" t="s">
        <v>57</v>
      </c>
      <c r="J2865" s="22">
        <f>+Tabla1[[#This Row],[FECHA ENTRADA]]</f>
        <v>45792</v>
      </c>
      <c r="K2865" s="22">
        <v>45795</v>
      </c>
      <c r="L2865" s="13">
        <f>_xlfn.DAYS(Tabla1[[#This Row],[FECHA FIN ]],Tabla1[[#This Row],[FECHA INICIO]])</f>
        <v>3</v>
      </c>
      <c r="M2865" s="12"/>
      <c r="N2865" s="12"/>
      <c r="O2865" s="12">
        <f>(Tabla1[[#This Row],[COSTO FIJO ]]/30)*Tabla1[[#This Row],[TOTAL DIAS PROYECTO]]+(Tabla1[[#This Row],[COSTO TEMPORAL]])</f>
        <v>0</v>
      </c>
      <c r="P2865" s="13"/>
      <c r="Q2865" s="12">
        <f>+(Tabla1[[#This Row],[COSTO COCHE]]/30)*Tabla1[[#This Row],[TOTAL DIAS PROYECTO]]</f>
        <v>0</v>
      </c>
      <c r="R2865" s="12">
        <f>+Tabla1[[#This Row],[COSTO TOTAL ALOJAMIENTO]]+Tabla1[[#This Row],[COSTO TOTAL COCHE]]</f>
        <v>0</v>
      </c>
      <c r="S2865" s="2"/>
      <c r="T2865" s="2" t="s">
        <v>44</v>
      </c>
      <c r="U2865" s="14">
        <v>45792</v>
      </c>
      <c r="V2865" s="14">
        <v>45795</v>
      </c>
      <c r="W2865" s="26"/>
      <c r="X2865" s="2"/>
      <c r="Y2865" s="31" t="s">
        <v>4440</v>
      </c>
      <c r="Z2865" s="2" t="s">
        <v>36</v>
      </c>
      <c r="AA2865" s="13">
        <v>-0.87734000000000001</v>
      </c>
      <c r="AB2865" s="13" t="s">
        <v>10359</v>
      </c>
    </row>
    <row r="2866" spans="1:28" ht="15" customHeight="1">
      <c r="A2866" s="2" t="s">
        <v>9499</v>
      </c>
      <c r="B2866" s="2" t="s">
        <v>28</v>
      </c>
      <c r="C2866" s="11" t="s">
        <v>3399</v>
      </c>
      <c r="D2866" s="2" t="s">
        <v>99</v>
      </c>
      <c r="E2866" s="2" t="s">
        <v>259</v>
      </c>
      <c r="F2866" s="11" t="s">
        <v>516</v>
      </c>
      <c r="G2866" s="11" t="s">
        <v>517</v>
      </c>
      <c r="H2866" s="2" t="s">
        <v>3397</v>
      </c>
      <c r="I2866" s="2" t="s">
        <v>57</v>
      </c>
      <c r="J2866" s="22">
        <f>+Tabla1[[#This Row],[FECHA ENTRADA]]</f>
        <v>45792</v>
      </c>
      <c r="K2866" s="22">
        <v>45795</v>
      </c>
      <c r="L2866" s="13">
        <f>_xlfn.DAYS(Tabla1[[#This Row],[FECHA FIN ]],Tabla1[[#This Row],[FECHA INICIO]])</f>
        <v>3</v>
      </c>
      <c r="M2866" s="12"/>
      <c r="N2866" s="12">
        <v>330</v>
      </c>
      <c r="O2866" s="12">
        <f>(Tabla1[[#This Row],[COSTO FIJO ]]/30)*Tabla1[[#This Row],[TOTAL DIAS PROYECTO]]+(Tabla1[[#This Row],[COSTO TEMPORAL]])</f>
        <v>33</v>
      </c>
      <c r="P2866" s="13"/>
      <c r="Q2866" s="12">
        <f>+(Tabla1[[#This Row],[COSTO COCHE]]/30)*Tabla1[[#This Row],[TOTAL DIAS PROYECTO]]</f>
        <v>0</v>
      </c>
      <c r="R2866" s="12">
        <f>+Tabla1[[#This Row],[COSTO TOTAL ALOJAMIENTO]]+Tabla1[[#This Row],[COSTO TOTAL COCHE]]</f>
        <v>33</v>
      </c>
      <c r="S2866" s="2"/>
      <c r="T2866" s="2" t="s">
        <v>44</v>
      </c>
      <c r="U2866" s="14">
        <v>45792</v>
      </c>
      <c r="V2866" s="14">
        <v>45795</v>
      </c>
      <c r="W2866" s="26"/>
      <c r="X2866" s="2"/>
      <c r="Y2866" s="31" t="s">
        <v>4440</v>
      </c>
      <c r="Z2866" s="2" t="s">
        <v>36</v>
      </c>
      <c r="AA2866" s="13">
        <v>-0.87734000000000001</v>
      </c>
      <c r="AB2866" s="13" t="s">
        <v>10359</v>
      </c>
    </row>
    <row r="2867" spans="1:28" ht="15" customHeight="1">
      <c r="A2867" s="2" t="s">
        <v>9268</v>
      </c>
      <c r="B2867" s="2" t="s">
        <v>368</v>
      </c>
      <c r="C2867" s="11" t="s">
        <v>2657</v>
      </c>
      <c r="D2867" s="2" t="s">
        <v>99</v>
      </c>
      <c r="E2867" s="2" t="s">
        <v>415</v>
      </c>
      <c r="F2867" s="11" t="s">
        <v>1290</v>
      </c>
      <c r="G2867" t="s">
        <v>1291</v>
      </c>
      <c r="H2867" s="2" t="s">
        <v>4441</v>
      </c>
      <c r="I2867" s="29" t="s">
        <v>4165</v>
      </c>
      <c r="J2867" s="22">
        <f>+Tabla1[[#This Row],[FECHA ENTRADA]]</f>
        <v>45802</v>
      </c>
      <c r="K2867" s="22">
        <v>45854</v>
      </c>
      <c r="L2867" s="13">
        <f>_xlfn.DAYS(Tabla1[[#This Row],[FECHA FIN ]],Tabla1[[#This Row],[FECHA INICIO]])</f>
        <v>52</v>
      </c>
      <c r="M2867" s="12"/>
      <c r="N2867" s="12">
        <v>290</v>
      </c>
      <c r="O2867" s="12">
        <f>(Tabla1[[#This Row],[COSTO FIJO ]]/30)*Tabla1[[#This Row],[TOTAL DIAS PROYECTO]]+(Tabla1[[#This Row],[COSTO TEMPORAL]])</f>
        <v>502.66666666666663</v>
      </c>
      <c r="P2867" s="12"/>
      <c r="Q2867" s="12">
        <f>+(Tabla1[[#This Row],[COSTO COCHE]]/30)*Tabla1[[#This Row],[TOTAL DIAS PROYECTO]]</f>
        <v>0</v>
      </c>
      <c r="R2867" s="12">
        <f>+Tabla1[[#This Row],[COSTO TOTAL ALOJAMIENTO]]+Tabla1[[#This Row],[COSTO TOTAL COCHE]]</f>
        <v>502.66666666666663</v>
      </c>
      <c r="S2867" s="2"/>
      <c r="T2867" s="2" t="s">
        <v>35</v>
      </c>
      <c r="U2867" s="14">
        <v>45802</v>
      </c>
      <c r="V2867" s="14"/>
      <c r="W2867" s="26"/>
      <c r="X2867" s="16">
        <v>1</v>
      </c>
      <c r="Y2867" s="18" t="s">
        <v>4442</v>
      </c>
      <c r="Z2867" s="2" t="s">
        <v>36</v>
      </c>
      <c r="AA2867" s="13">
        <v>-0.37739</v>
      </c>
      <c r="AB2867" s="13" t="s">
        <v>10372</v>
      </c>
    </row>
    <row r="2868" spans="1:28" ht="15" customHeight="1">
      <c r="A2868" s="2" t="s">
        <v>8941</v>
      </c>
      <c r="B2868" s="2" t="s">
        <v>28</v>
      </c>
      <c r="C2868" s="31" t="s">
        <v>1372</v>
      </c>
      <c r="D2868" s="2" t="s">
        <v>30</v>
      </c>
      <c r="E2868" s="2" t="s">
        <v>415</v>
      </c>
      <c r="F2868" s="11" t="s">
        <v>2773</v>
      </c>
      <c r="G2868" s="49" t="s">
        <v>1413</v>
      </c>
      <c r="H2868" s="2" t="s">
        <v>4063</v>
      </c>
      <c r="I2868" s="12" t="s">
        <v>800</v>
      </c>
      <c r="J2868" s="22">
        <f>+Tabla1[[#This Row],[FECHA ENTRADA]]</f>
        <v>45829</v>
      </c>
      <c r="K2868" s="22">
        <v>45854</v>
      </c>
      <c r="L2868" s="23">
        <f>_xlfn.DAYS(Tabla1[[#This Row],[FECHA FIN ]],Tabla1[[#This Row],[FECHA INICIO]])</f>
        <v>25</v>
      </c>
      <c r="M2868" s="12"/>
      <c r="N2868" s="12">
        <v>412.5</v>
      </c>
      <c r="O2868" s="24">
        <f>(Tabla1[[#This Row],[COSTO FIJO ]]/30)*Tabla1[[#This Row],[TOTAL DIAS PROYECTO]]+(Tabla1[[#This Row],[COSTO TEMPORAL]])</f>
        <v>343.75</v>
      </c>
      <c r="P2868" s="12"/>
      <c r="Q2868" s="12">
        <f>+(Tabla1[[#This Row],[COSTO COCHE]]/30)*Tabla1[[#This Row],[TOTAL DIAS PROYECTO]]</f>
        <v>0</v>
      </c>
      <c r="R2868" s="12">
        <f>+Tabla1[[#This Row],[COSTO TOTAL ALOJAMIENTO]]+Tabla1[[#This Row],[COSTO TOTAL COCHE]]</f>
        <v>343.75</v>
      </c>
      <c r="S2868" s="2"/>
      <c r="T2868" s="14" t="s">
        <v>35</v>
      </c>
      <c r="U2868" s="14">
        <v>45829</v>
      </c>
      <c r="V2868" s="25"/>
      <c r="W2868" s="2"/>
      <c r="X2868" s="2">
        <v>1</v>
      </c>
      <c r="Y2868" s="11" t="s">
        <v>4442</v>
      </c>
      <c r="Z2868" s="2" t="s">
        <v>36</v>
      </c>
      <c r="AA2868" s="13">
        <v>-0.37739</v>
      </c>
      <c r="AB2868" s="13" t="s">
        <v>10372</v>
      </c>
    </row>
    <row r="2869" spans="1:28" ht="15" customHeight="1">
      <c r="A2869" s="2" t="s">
        <v>8866</v>
      </c>
      <c r="B2869" s="2" t="s">
        <v>368</v>
      </c>
      <c r="C2869" s="99" t="s">
        <v>1078</v>
      </c>
      <c r="D2869" s="2" t="s">
        <v>30</v>
      </c>
      <c r="E2869" s="2" t="s">
        <v>253</v>
      </c>
      <c r="F2869" s="11"/>
      <c r="G2869" s="46"/>
      <c r="H2869" s="2" t="s">
        <v>4443</v>
      </c>
      <c r="I2869" s="12" t="s">
        <v>666</v>
      </c>
      <c r="J2869" s="41">
        <f>+Tabla1[[#This Row],[FECHA ENTRADA]]</f>
        <v>45629</v>
      </c>
      <c r="K2869" s="8">
        <v>45854</v>
      </c>
      <c r="L2869" s="42">
        <f>_xlfn.DAYS(Tabla1[[#This Row],[FECHA FIN ]],Tabla1[[#This Row],[FECHA INICIO]])</f>
        <v>225</v>
      </c>
      <c r="M2869" s="12"/>
      <c r="N2869" s="12">
        <v>300</v>
      </c>
      <c r="O2869" s="28">
        <f>(Tabla1[[#This Row],[COSTO FIJO ]]/30)*Tabla1[[#This Row],[TOTAL DIAS PROYECTO]]+(Tabla1[[#This Row],[COSTO TEMPORAL]])</f>
        <v>2250</v>
      </c>
      <c r="P2869" s="12"/>
      <c r="Q2869" s="12">
        <f>+(Tabla1[[#This Row],[COSTO COCHE]]/30)*Tabla1[[#This Row],[TOTAL DIAS PROYECTO]]</f>
        <v>0</v>
      </c>
      <c r="R2869" s="12">
        <f>+Tabla1[[#This Row],[COSTO TOTAL ALOJAMIENTO]]+Tabla1[[#This Row],[COSTO TOTAL COCHE]]</f>
        <v>2250</v>
      </c>
      <c r="S2869" s="2"/>
      <c r="T2869" s="2" t="s">
        <v>58</v>
      </c>
      <c r="U2869" s="14">
        <v>45629</v>
      </c>
      <c r="V2869" s="43"/>
      <c r="W2869" s="26"/>
      <c r="X2869" s="2">
        <v>1</v>
      </c>
      <c r="Y2869" s="11" t="s">
        <v>4444</v>
      </c>
      <c r="Z2869" s="2" t="s">
        <v>36</v>
      </c>
      <c r="AA2869" s="13" t="s">
        <v>10357</v>
      </c>
      <c r="AB2869" s="13" t="s">
        <v>10358</v>
      </c>
    </row>
    <row r="2870" spans="1:28" ht="15" customHeight="1">
      <c r="A2870" s="2" t="s">
        <v>9459</v>
      </c>
      <c r="B2870" s="2" t="s">
        <v>28</v>
      </c>
      <c r="C2870" s="11" t="s">
        <v>3249</v>
      </c>
      <c r="D2870" s="2" t="s">
        <v>30</v>
      </c>
      <c r="E2870" s="2" t="s">
        <v>253</v>
      </c>
      <c r="F2870" s="11" t="s">
        <v>1984</v>
      </c>
      <c r="G2870" s="46" t="s">
        <v>1985</v>
      </c>
      <c r="H2870" s="184" t="s">
        <v>3248</v>
      </c>
      <c r="I2870" s="47" t="s">
        <v>256</v>
      </c>
      <c r="J2870" s="41">
        <f>+Tabla1[[#This Row],[FECHA ENTRADA]]</f>
        <v>45837</v>
      </c>
      <c r="K2870" s="41">
        <v>45854</v>
      </c>
      <c r="L2870" s="42">
        <f>_xlfn.DAYS(Tabla1[[#This Row],[FECHA FIN ]],Tabla1[[#This Row],[FECHA INICIO]])</f>
        <v>17</v>
      </c>
      <c r="M2870" s="12"/>
      <c r="N2870" s="12"/>
      <c r="O2870" s="28">
        <f>(Tabla1[[#This Row],[COSTO FIJO ]]/30)*Tabla1[[#This Row],[TOTAL DIAS PROYECTO]]+(Tabla1[[#This Row],[COSTO TEMPORAL]])</f>
        <v>0</v>
      </c>
      <c r="P2870" s="12"/>
      <c r="Q2870" s="12">
        <f>+(Tabla1[[#This Row],[COSTO COCHE]]/30)*Tabla1[[#This Row],[TOTAL DIAS PROYECTO]]</f>
        <v>0</v>
      </c>
      <c r="R2870" s="12">
        <f>+Tabla1[[#This Row],[COSTO TOTAL ALOJAMIENTO]]+Tabla1[[#This Row],[COSTO TOTAL COCHE]]</f>
        <v>0</v>
      </c>
      <c r="S2870" s="2"/>
      <c r="T2870" s="2" t="s">
        <v>44</v>
      </c>
      <c r="U2870" s="14">
        <v>45837</v>
      </c>
      <c r="V2870" s="43">
        <v>45850</v>
      </c>
      <c r="W2870" s="2"/>
      <c r="X2870" s="2"/>
      <c r="Y2870" s="11"/>
      <c r="Z2870" s="2" t="s">
        <v>36</v>
      </c>
      <c r="AA2870" s="13" t="s">
        <v>10357</v>
      </c>
      <c r="AB2870" s="13" t="s">
        <v>10358</v>
      </c>
    </row>
    <row r="2871" spans="1:28" ht="15" customHeight="1">
      <c r="A2871" s="117" t="s">
        <v>9207</v>
      </c>
      <c r="B2871" s="117" t="s">
        <v>978</v>
      </c>
      <c r="C2871" s="118" t="s">
        <v>2430</v>
      </c>
      <c r="D2871" s="117" t="s">
        <v>99</v>
      </c>
      <c r="E2871" s="117" t="s">
        <v>109</v>
      </c>
      <c r="F2871" s="11" t="s">
        <v>4434</v>
      </c>
      <c r="G2871" s="68">
        <v>973266788</v>
      </c>
      <c r="H2871" s="117" t="s">
        <v>1686</v>
      </c>
      <c r="I2871" s="119" t="s">
        <v>4420</v>
      </c>
      <c r="J2871" s="120">
        <f>+Tabla1[[#This Row],[FECHA ENTRADA]]</f>
        <v>45812</v>
      </c>
      <c r="K2871" s="121">
        <v>46072</v>
      </c>
      <c r="L2871" s="122">
        <f>_xlfn.DAYS(Tabla1[[#This Row],[FECHA FIN ]],Tabla1[[#This Row],[FECHA INICIO]])</f>
        <v>260</v>
      </c>
      <c r="M2871" s="119"/>
      <c r="N2871" s="119"/>
      <c r="O2871" s="123">
        <f>(Tabla1[[#This Row],[COSTO FIJO ]]/30)*Tabla1[[#This Row],[TOTAL DIAS PROYECTO]]+(Tabla1[[#This Row],[COSTO TEMPORAL]])</f>
        <v>0</v>
      </c>
      <c r="P2871" s="119"/>
      <c r="Q2871" s="119">
        <f>+(Tabla1[[#This Row],[COSTO COCHE]]/30)*Tabla1[[#This Row],[TOTAL DIAS PROYECTO]]</f>
        <v>0</v>
      </c>
      <c r="R2871" s="119">
        <f>+Tabla1[[#This Row],[COSTO TOTAL ALOJAMIENTO]]+Tabla1[[#This Row],[COSTO TOTAL COCHE]]</f>
        <v>0</v>
      </c>
      <c r="S2871" s="117"/>
      <c r="T2871" s="124" t="s">
        <v>44</v>
      </c>
      <c r="U2871" s="124">
        <v>45812</v>
      </c>
      <c r="V2871" s="79">
        <v>46072</v>
      </c>
      <c r="W2871" s="119"/>
      <c r="X2871" s="117"/>
      <c r="Y2871" s="118" t="s">
        <v>4445</v>
      </c>
      <c r="Z2871" s="117" t="s">
        <v>36</v>
      </c>
      <c r="AA2871" s="127">
        <v>0.62217999999999996</v>
      </c>
      <c r="AB2871" s="127" t="s">
        <v>10339</v>
      </c>
    </row>
    <row r="2872" spans="1:28" ht="15" customHeight="1">
      <c r="A2872" s="2" t="s">
        <v>9728</v>
      </c>
      <c r="B2872" s="2" t="s">
        <v>368</v>
      </c>
      <c r="C2872" s="11" t="s">
        <v>4446</v>
      </c>
      <c r="D2872" s="2" t="s">
        <v>99</v>
      </c>
      <c r="E2872" s="2" t="s">
        <v>109</v>
      </c>
      <c r="F2872" s="11" t="s">
        <v>1793</v>
      </c>
      <c r="G2872" s="21">
        <v>973266788</v>
      </c>
      <c r="H2872" s="2" t="s">
        <v>3921</v>
      </c>
      <c r="I2872" s="12" t="s">
        <v>1830</v>
      </c>
      <c r="J2872" s="22">
        <f>+Tabla1[[#This Row],[FECHA ENTRADA]]</f>
        <v>45817</v>
      </c>
      <c r="K2872" s="22">
        <v>45834</v>
      </c>
      <c r="L2872" s="23">
        <f>_xlfn.DAYS(Tabla1[[#This Row],[FECHA FIN ]],Tabla1[[#This Row],[FECHA INICIO]])</f>
        <v>17</v>
      </c>
      <c r="M2872" s="12"/>
      <c r="N2872" s="12">
        <f>1745.79/4</f>
        <v>436.44749999999999</v>
      </c>
      <c r="O2872" s="24">
        <f>(Tabla1[[#This Row],[COSTO FIJO ]]/30)*Tabla1[[#This Row],[TOTAL DIAS PROYECTO]]+(Tabla1[[#This Row],[COSTO TEMPORAL]])</f>
        <v>247.32024999999999</v>
      </c>
      <c r="P2872" s="12"/>
      <c r="Q2872" s="12">
        <f>+(Tabla1[[#This Row],[COSTO COCHE]]/30)*Tabla1[[#This Row],[TOTAL DIAS PROYECTO]]</f>
        <v>0</v>
      </c>
      <c r="R2872" s="12">
        <f>+Tabla1[[#This Row],[COSTO TOTAL ALOJAMIENTO]]+Tabla1[[#This Row],[COSTO TOTAL COCHE]]</f>
        <v>247.32024999999999</v>
      </c>
      <c r="S2872" s="2"/>
      <c r="T2872" s="14" t="s">
        <v>44</v>
      </c>
      <c r="U2872" s="14">
        <v>45817</v>
      </c>
      <c r="V2872" s="79">
        <v>45834</v>
      </c>
      <c r="W2872" s="2"/>
      <c r="X2872" s="2"/>
      <c r="Y2872" s="11"/>
      <c r="Z2872" s="2" t="s">
        <v>36</v>
      </c>
      <c r="AA2872" s="13">
        <v>0.62217999999999996</v>
      </c>
      <c r="AB2872" s="13" t="s">
        <v>10339</v>
      </c>
    </row>
    <row r="2873" spans="1:28" ht="15" customHeight="1">
      <c r="A2873" s="2" t="s">
        <v>9174</v>
      </c>
      <c r="B2873" s="2" t="s">
        <v>368</v>
      </c>
      <c r="C2873" s="11" t="s">
        <v>2319</v>
      </c>
      <c r="D2873" s="2" t="s">
        <v>99</v>
      </c>
      <c r="E2873" s="2" t="s">
        <v>109</v>
      </c>
      <c r="F2873" s="11" t="s">
        <v>1793</v>
      </c>
      <c r="G2873" s="21">
        <v>973266788</v>
      </c>
      <c r="H2873" s="2" t="s">
        <v>3921</v>
      </c>
      <c r="I2873" s="12" t="s">
        <v>1830</v>
      </c>
      <c r="J2873" s="22">
        <f>+Tabla1[[#This Row],[FECHA ENTRADA]]</f>
        <v>45817</v>
      </c>
      <c r="K2873" s="22">
        <v>45834</v>
      </c>
      <c r="L2873" s="23">
        <f>_xlfn.DAYS(Tabla1[[#This Row],[FECHA FIN ]],Tabla1[[#This Row],[FECHA INICIO]])</f>
        <v>17</v>
      </c>
      <c r="M2873" s="12"/>
      <c r="N2873" s="12">
        <f>1745.79/4</f>
        <v>436.44749999999999</v>
      </c>
      <c r="O2873" s="24">
        <f>(Tabla1[[#This Row],[COSTO FIJO ]]/30)*Tabla1[[#This Row],[TOTAL DIAS PROYECTO]]+(Tabla1[[#This Row],[COSTO TEMPORAL]])</f>
        <v>247.32024999999999</v>
      </c>
      <c r="P2873" s="12"/>
      <c r="Q2873" s="12">
        <f>+(Tabla1[[#This Row],[COSTO COCHE]]/30)*Tabla1[[#This Row],[TOTAL DIAS PROYECTO]]</f>
        <v>0</v>
      </c>
      <c r="R2873" s="12">
        <f>+Tabla1[[#This Row],[COSTO TOTAL ALOJAMIENTO]]+Tabla1[[#This Row],[COSTO TOTAL COCHE]]</f>
        <v>247.32024999999999</v>
      </c>
      <c r="S2873" s="2"/>
      <c r="T2873" s="14" t="s">
        <v>44</v>
      </c>
      <c r="U2873" s="14">
        <v>45817</v>
      </c>
      <c r="V2873" s="79">
        <v>45834</v>
      </c>
      <c r="W2873" s="2"/>
      <c r="X2873" s="2"/>
      <c r="Y2873" s="11"/>
      <c r="Z2873" s="2" t="s">
        <v>36</v>
      </c>
      <c r="AA2873" s="13">
        <v>0.62217999999999996</v>
      </c>
      <c r="AB2873" s="13" t="s">
        <v>10339</v>
      </c>
    </row>
    <row r="2874" spans="1:28" ht="15" customHeight="1">
      <c r="A2874" s="2" t="s">
        <v>9729</v>
      </c>
      <c r="B2874" s="2" t="s">
        <v>368</v>
      </c>
      <c r="C2874" s="11" t="s">
        <v>4447</v>
      </c>
      <c r="D2874" s="2" t="s">
        <v>99</v>
      </c>
      <c r="E2874" s="2" t="s">
        <v>109</v>
      </c>
      <c r="F2874" s="11" t="s">
        <v>4434</v>
      </c>
      <c r="G2874" s="21">
        <v>973266788</v>
      </c>
      <c r="H2874" s="2" t="s">
        <v>3921</v>
      </c>
      <c r="I2874" s="12" t="s">
        <v>1830</v>
      </c>
      <c r="J2874" s="22">
        <f>+Tabla1[[#This Row],[FECHA ENTRADA]]</f>
        <v>45817</v>
      </c>
      <c r="K2874" s="22">
        <v>45835</v>
      </c>
      <c r="L2874" s="23">
        <f>_xlfn.DAYS(Tabla1[[#This Row],[FECHA FIN ]],Tabla1[[#This Row],[FECHA INICIO]])</f>
        <v>18</v>
      </c>
      <c r="M2874" s="12"/>
      <c r="N2874" s="12">
        <f>1745.79/4</f>
        <v>436.44749999999999</v>
      </c>
      <c r="O2874" s="24">
        <f>(Tabla1[[#This Row],[COSTO FIJO ]]/30)*Tabla1[[#This Row],[TOTAL DIAS PROYECTO]]+(Tabla1[[#This Row],[COSTO TEMPORAL]])</f>
        <v>261.86849999999998</v>
      </c>
      <c r="P2874" s="12"/>
      <c r="Q2874" s="12">
        <f>+(Tabla1[[#This Row],[COSTO COCHE]]/30)*Tabla1[[#This Row],[TOTAL DIAS PROYECTO]]</f>
        <v>0</v>
      </c>
      <c r="R2874" s="12">
        <f>+Tabla1[[#This Row],[COSTO TOTAL ALOJAMIENTO]]+Tabla1[[#This Row],[COSTO TOTAL COCHE]]</f>
        <v>261.86849999999998</v>
      </c>
      <c r="S2874" s="2"/>
      <c r="T2874" s="14" t="s">
        <v>44</v>
      </c>
      <c r="U2874" s="14">
        <v>45817</v>
      </c>
      <c r="V2874" s="79">
        <v>45835</v>
      </c>
      <c r="W2874" s="2"/>
      <c r="X2874" s="2"/>
      <c r="Y2874" s="11"/>
      <c r="Z2874" s="2" t="s">
        <v>36</v>
      </c>
      <c r="AA2874" s="13">
        <v>0.62217999999999996</v>
      </c>
      <c r="AB2874" s="13" t="s">
        <v>10339</v>
      </c>
    </row>
    <row r="2875" spans="1:28" ht="15" customHeight="1">
      <c r="A2875" s="2" t="s">
        <v>9649</v>
      </c>
      <c r="B2875" s="2" t="s">
        <v>28</v>
      </c>
      <c r="C2875" s="11" t="s">
        <v>4058</v>
      </c>
      <c r="D2875" s="2" t="s">
        <v>99</v>
      </c>
      <c r="E2875" s="2" t="s">
        <v>380</v>
      </c>
      <c r="F2875" s="11" t="s">
        <v>2236</v>
      </c>
      <c r="G2875" t="s">
        <v>2237</v>
      </c>
      <c r="H2875" s="2" t="s">
        <v>4448</v>
      </c>
      <c r="I2875" s="12" t="s">
        <v>800</v>
      </c>
      <c r="J2875" s="22">
        <f>+Tabla1[[#This Row],[FECHA ENTRADA]]</f>
        <v>45732</v>
      </c>
      <c r="K2875" s="22">
        <v>45823</v>
      </c>
      <c r="L2875" s="23">
        <f>_xlfn.DAYS(Tabla1[[#This Row],[FECHA FIN ]],Tabla1[[#This Row],[FECHA INICIO]])</f>
        <v>91</v>
      </c>
      <c r="M2875" s="12"/>
      <c r="N2875" s="12">
        <v>300</v>
      </c>
      <c r="O2875" s="24">
        <f>(Tabla1[[#This Row],[COSTO FIJO ]]/30)*Tabla1[[#This Row],[TOTAL DIAS PROYECTO]]+(Tabla1[[#This Row],[COSTO TEMPORAL]])</f>
        <v>910</v>
      </c>
      <c r="P2875" s="12">
        <f>613.83/4</f>
        <v>153.45750000000001</v>
      </c>
      <c r="Q2875" s="12">
        <f>+(Tabla1[[#This Row],[COSTO COCHE]]/30)*Tabla1[[#This Row],[TOTAL DIAS PROYECTO]]</f>
        <v>465.48775000000006</v>
      </c>
      <c r="R2875" s="12">
        <f>+Tabla1[[#This Row],[COSTO TOTAL ALOJAMIENTO]]+Tabla1[[#This Row],[COSTO TOTAL COCHE]]</f>
        <v>1375.48775</v>
      </c>
      <c r="S2875" s="2"/>
      <c r="T2875" s="2" t="s">
        <v>35</v>
      </c>
      <c r="U2875" s="14">
        <v>45732</v>
      </c>
      <c r="V2875" s="25"/>
      <c r="W2875" s="26"/>
      <c r="X2875" s="2">
        <v>1</v>
      </c>
      <c r="Y2875" s="11" t="s">
        <v>4449</v>
      </c>
      <c r="Z2875" s="2" t="s">
        <v>36</v>
      </c>
      <c r="AA2875" s="13" t="s">
        <v>10370</v>
      </c>
      <c r="AB2875" s="13" t="s">
        <v>10371</v>
      </c>
    </row>
    <row r="2876" spans="1:28" ht="15" customHeight="1">
      <c r="A2876" s="2" t="s">
        <v>9621</v>
      </c>
      <c r="B2876" s="2" t="s">
        <v>28</v>
      </c>
      <c r="C2876" s="11" t="s">
        <v>3896</v>
      </c>
      <c r="D2876" s="2" t="s">
        <v>30</v>
      </c>
      <c r="E2876" s="10" t="s">
        <v>213</v>
      </c>
      <c r="F2876" s="11" t="s">
        <v>1841</v>
      </c>
      <c r="G2876" t="s">
        <v>1197</v>
      </c>
      <c r="H2876" s="2" t="s">
        <v>1738</v>
      </c>
      <c r="I2876" s="12" t="s">
        <v>1043</v>
      </c>
      <c r="J2876" s="22">
        <f>+Tabla1[[#This Row],[FECHA ENTRADA]]</f>
        <v>45726</v>
      </c>
      <c r="K2876" s="22">
        <v>45854</v>
      </c>
      <c r="L2876" s="23">
        <f>_xlfn.DAYS(Tabla1[[#This Row],[FECHA FIN ]],Tabla1[[#This Row],[FECHA INICIO]])</f>
        <v>128</v>
      </c>
      <c r="M2876" s="12"/>
      <c r="N2876" s="12"/>
      <c r="O2876" s="24">
        <f>(Tabla1[[#This Row],[COSTO FIJO ]]/30)*Tabla1[[#This Row],[TOTAL DIAS PROYECTO]]+(Tabla1[[#This Row],[COSTO TEMPORAL]])</f>
        <v>0</v>
      </c>
      <c r="P2876" s="12"/>
      <c r="Q2876" s="12">
        <f>+(Tabla1[[#This Row],[COSTO COCHE]]/30)*Tabla1[[#This Row],[TOTAL DIAS PROYECTO]]</f>
        <v>0</v>
      </c>
      <c r="R2876" s="12">
        <f>+Tabla1[[#This Row],[COSTO TOTAL ALOJAMIENTO]]+Tabla1[[#This Row],[COSTO TOTAL COCHE]]</f>
        <v>0</v>
      </c>
      <c r="S2876" s="2"/>
      <c r="T2876" s="2" t="s">
        <v>44</v>
      </c>
      <c r="U2876" s="14">
        <v>45726</v>
      </c>
      <c r="V2876" s="25">
        <v>45869</v>
      </c>
      <c r="W2876" s="26"/>
      <c r="X2876" s="2">
        <v>1</v>
      </c>
      <c r="Y2876" s="11"/>
      <c r="Z2876" s="2" t="s">
        <v>36</v>
      </c>
      <c r="AA2876" s="13" t="s">
        <v>10349</v>
      </c>
      <c r="AB2876" s="13" t="s">
        <v>10350</v>
      </c>
    </row>
    <row r="2877" spans="1:28" ht="15" customHeight="1">
      <c r="A2877" s="2" t="s">
        <v>8638</v>
      </c>
      <c r="B2877" s="2" t="s">
        <v>28</v>
      </c>
      <c r="C2877" s="11" t="s">
        <v>3202</v>
      </c>
      <c r="D2877" s="2" t="s">
        <v>78</v>
      </c>
      <c r="E2877" s="2" t="s">
        <v>1759</v>
      </c>
      <c r="F2877" s="11" t="s">
        <v>4450</v>
      </c>
      <c r="G2877" s="46" t="s">
        <v>4451</v>
      </c>
      <c r="H2877" s="2" t="s">
        <v>3205</v>
      </c>
      <c r="I2877" s="12" t="s">
        <v>1763</v>
      </c>
      <c r="J2877" s="22">
        <f>+Tabla1[[#This Row],[FECHA ENTRADA]]</f>
        <v>45747</v>
      </c>
      <c r="K2877" s="8">
        <v>45854</v>
      </c>
      <c r="L2877" s="23">
        <f>_xlfn.DAYS(Tabla1[[#This Row],[FECHA FIN ]],Tabla1[[#This Row],[FECHA INICIO]])</f>
        <v>107</v>
      </c>
      <c r="M2877" s="12"/>
      <c r="N2877" s="12"/>
      <c r="O2877" s="24">
        <f>(Tabla1[[#This Row],[COSTO FIJO ]]/30)*Tabla1[[#This Row],[TOTAL DIAS PROYECTO]]+(Tabla1[[#This Row],[COSTO TEMPORAL]])</f>
        <v>0</v>
      </c>
      <c r="P2877" s="12"/>
      <c r="Q2877" s="12">
        <f>+(Tabla1[[#This Row],[COSTO COCHE]]/30)*Tabla1[[#This Row],[TOTAL DIAS PROYECTO]]</f>
        <v>0</v>
      </c>
      <c r="R2877" s="12">
        <f>+Tabla1[[#This Row],[COSTO TOTAL ALOJAMIENTO]]+Tabla1[[#This Row],[COSTO TOTAL COCHE]]</f>
        <v>0</v>
      </c>
      <c r="S2877" s="2" t="s">
        <v>84</v>
      </c>
      <c r="T2877" s="2" t="s">
        <v>44</v>
      </c>
      <c r="U2877" s="14">
        <v>45747</v>
      </c>
      <c r="V2877" s="43">
        <v>45872</v>
      </c>
      <c r="W2877" s="26"/>
      <c r="X2877" s="2"/>
      <c r="Y2877" s="11" t="s">
        <v>4452</v>
      </c>
      <c r="Z2877" s="2" t="s">
        <v>36</v>
      </c>
      <c r="AA2877" s="13" t="s">
        <v>10430</v>
      </c>
      <c r="AB2877" s="13" t="s">
        <v>10431</v>
      </c>
    </row>
    <row r="2878" spans="1:28" ht="15" customHeight="1">
      <c r="A2878" s="2" t="s">
        <v>9013</v>
      </c>
      <c r="B2878" s="2" t="s">
        <v>28</v>
      </c>
      <c r="C2878" s="11" t="s">
        <v>1697</v>
      </c>
      <c r="D2878" s="2" t="s">
        <v>99</v>
      </c>
      <c r="E2878" s="2" t="s">
        <v>253</v>
      </c>
      <c r="F2878" s="11" t="s">
        <v>4453</v>
      </c>
      <c r="G2878" s="21" t="s">
        <v>4454</v>
      </c>
      <c r="H2878" s="2" t="s">
        <v>1820</v>
      </c>
      <c r="I2878" s="12" t="s">
        <v>256</v>
      </c>
      <c r="J2878" s="22">
        <f>+Tabla1[[#This Row],[FECHA ENTRADA]]</f>
        <v>45760</v>
      </c>
      <c r="K2878" s="22">
        <v>45855</v>
      </c>
      <c r="L2878" s="42">
        <f>_xlfn.DAYS(Tabla1[[#This Row],[FECHA FIN ]],Tabla1[[#This Row],[FECHA INICIO]])</f>
        <v>95</v>
      </c>
      <c r="M2878" s="12"/>
      <c r="N2878" s="12">
        <v>500</v>
      </c>
      <c r="O2878" s="28">
        <f>(Tabla1[[#This Row],[COSTO FIJO ]]/30)*Tabla1[[#This Row],[TOTAL DIAS PROYECTO]]+(Tabla1[[#This Row],[COSTO TEMPORAL]])</f>
        <v>1583.3333333333335</v>
      </c>
      <c r="P2878" s="12"/>
      <c r="Q2878" s="12">
        <f>+(Tabla1[[#This Row],[COSTO COCHE]]/30)*Tabla1[[#This Row],[TOTAL DIAS PROYECTO]]</f>
        <v>0</v>
      </c>
      <c r="R2878" s="12">
        <f>+Tabla1[[#This Row],[COSTO TOTAL ALOJAMIENTO]]+Tabla1[[#This Row],[COSTO TOTAL COCHE]]</f>
        <v>1583.3333333333335</v>
      </c>
      <c r="S2878" s="2"/>
      <c r="T2878" s="2" t="s">
        <v>35</v>
      </c>
      <c r="U2878" s="14">
        <v>45760</v>
      </c>
      <c r="V2878" s="43"/>
      <c r="W2878" s="26"/>
      <c r="X2878" s="2">
        <v>1</v>
      </c>
      <c r="Y2878" s="11"/>
      <c r="Z2878" s="2" t="s">
        <v>36</v>
      </c>
      <c r="AA2878" s="13" t="s">
        <v>10357</v>
      </c>
      <c r="AB2878" s="13" t="s">
        <v>10358</v>
      </c>
    </row>
    <row r="2879" spans="1:28" ht="15" customHeight="1">
      <c r="A2879" s="2" t="s">
        <v>9655</v>
      </c>
      <c r="B2879" s="2" t="s">
        <v>28</v>
      </c>
      <c r="C2879" s="11" t="s">
        <v>4087</v>
      </c>
      <c r="D2879" s="2" t="s">
        <v>30</v>
      </c>
      <c r="E2879" s="2" t="s">
        <v>127</v>
      </c>
      <c r="F2879" s="11" t="s">
        <v>4455</v>
      </c>
      <c r="G2879" s="46" t="s">
        <v>4456</v>
      </c>
      <c r="H2879" s="2" t="s">
        <v>2568</v>
      </c>
      <c r="I2879" s="12" t="s">
        <v>1201</v>
      </c>
      <c r="J2879" s="41">
        <f>+Tabla1[[#This Row],[FECHA ENTRADA]]</f>
        <v>45840</v>
      </c>
      <c r="K2879" s="22">
        <v>45855</v>
      </c>
      <c r="L2879" s="42">
        <f>_xlfn.DAYS(Tabla1[[#This Row],[FECHA FIN ]],Tabla1[[#This Row],[FECHA INICIO]])</f>
        <v>15</v>
      </c>
      <c r="M2879" s="12"/>
      <c r="N2879" s="28"/>
      <c r="O2879" s="28">
        <f>(Tabla1[[#This Row],[COSTO FIJO ]]/30)*Tabla1[[#This Row],[TOTAL DIAS PROYECTO]]+(Tabla1[[#This Row],[COSTO TEMPORAL]])</f>
        <v>0</v>
      </c>
      <c r="P2879" s="12"/>
      <c r="Q2879" s="12">
        <f>+(Tabla1[[#This Row],[COSTO COCHE]]/30)*Tabla1[[#This Row],[TOTAL DIAS PROYECTO]]</f>
        <v>0</v>
      </c>
      <c r="R2879" s="12">
        <f>+Tabla1[[#This Row],[COSTO TOTAL ALOJAMIENTO]]+Tabla1[[#This Row],[COSTO TOTAL COCHE]]</f>
        <v>0</v>
      </c>
      <c r="S2879" s="2"/>
      <c r="T2879" s="14" t="s">
        <v>35</v>
      </c>
      <c r="U2879" s="14">
        <v>45840</v>
      </c>
      <c r="V2879" s="43"/>
      <c r="W2879" s="2"/>
      <c r="X2879" s="2">
        <v>1</v>
      </c>
      <c r="Y2879" s="11"/>
      <c r="Z2879" s="2" t="s">
        <v>36</v>
      </c>
      <c r="AA2879" s="13" t="s">
        <v>10342</v>
      </c>
      <c r="AB2879" s="13" t="s">
        <v>10343</v>
      </c>
    </row>
    <row r="2880" spans="1:28" ht="15" customHeight="1">
      <c r="A2880" s="2" t="s">
        <v>9547</v>
      </c>
      <c r="B2880" s="2" t="s">
        <v>28</v>
      </c>
      <c r="C2880" s="11" t="s">
        <v>3591</v>
      </c>
      <c r="D2880" s="2" t="s">
        <v>30</v>
      </c>
      <c r="E2880" s="2" t="s">
        <v>127</v>
      </c>
      <c r="F2880" s="11" t="s">
        <v>4455</v>
      </c>
      <c r="G2880" s="46" t="s">
        <v>4456</v>
      </c>
      <c r="H2880" s="2" t="s">
        <v>2568</v>
      </c>
      <c r="I2880" s="12" t="s">
        <v>1201</v>
      </c>
      <c r="J2880" s="41">
        <f>+Tabla1[[#This Row],[FECHA ENTRADA]]</f>
        <v>45840</v>
      </c>
      <c r="K2880" s="22">
        <v>45855</v>
      </c>
      <c r="L2880" s="42">
        <f>_xlfn.DAYS(Tabla1[[#This Row],[FECHA FIN ]],Tabla1[[#This Row],[FECHA INICIO]])</f>
        <v>15</v>
      </c>
      <c r="M2880" s="12"/>
      <c r="N2880" s="28"/>
      <c r="O2880" s="28">
        <f>(Tabla1[[#This Row],[COSTO FIJO ]]/30)*Tabla1[[#This Row],[TOTAL DIAS PROYECTO]]+(Tabla1[[#This Row],[COSTO TEMPORAL]])</f>
        <v>0</v>
      </c>
      <c r="P2880" s="12"/>
      <c r="Q2880" s="12">
        <f>+(Tabla1[[#This Row],[COSTO COCHE]]/30)*Tabla1[[#This Row],[TOTAL DIAS PROYECTO]]</f>
        <v>0</v>
      </c>
      <c r="R2880" s="12">
        <f>+Tabla1[[#This Row],[COSTO TOTAL ALOJAMIENTO]]+Tabla1[[#This Row],[COSTO TOTAL COCHE]]</f>
        <v>0</v>
      </c>
      <c r="S2880" s="2"/>
      <c r="T2880" s="14" t="s">
        <v>35</v>
      </c>
      <c r="U2880" s="14">
        <v>45840</v>
      </c>
      <c r="V2880" s="43"/>
      <c r="W2880" s="2"/>
      <c r="X2880" s="2">
        <v>1</v>
      </c>
      <c r="Y2880" s="11"/>
      <c r="Z2880" s="2" t="s">
        <v>36</v>
      </c>
      <c r="AA2880" s="13" t="s">
        <v>10342</v>
      </c>
      <c r="AB2880" s="13" t="s">
        <v>10343</v>
      </c>
    </row>
    <row r="2881" spans="1:28" ht="15" customHeight="1">
      <c r="A2881" s="2" t="s">
        <v>9245</v>
      </c>
      <c r="B2881" s="2" t="s">
        <v>28</v>
      </c>
      <c r="C2881" s="11" t="s">
        <v>2569</v>
      </c>
      <c r="D2881" s="2" t="s">
        <v>30</v>
      </c>
      <c r="E2881" s="2" t="s">
        <v>127</v>
      </c>
      <c r="F2881" s="11" t="s">
        <v>4455</v>
      </c>
      <c r="G2881" s="46" t="s">
        <v>4456</v>
      </c>
      <c r="H2881" s="2" t="s">
        <v>2568</v>
      </c>
      <c r="I2881" s="12" t="s">
        <v>1201</v>
      </c>
      <c r="J2881" s="41">
        <f>+Tabla1[[#This Row],[FECHA ENTRADA]]</f>
        <v>45840</v>
      </c>
      <c r="K2881" s="22">
        <v>45855</v>
      </c>
      <c r="L2881" s="42">
        <f>_xlfn.DAYS(Tabla1[[#This Row],[FECHA FIN ]],Tabla1[[#This Row],[FECHA INICIO]])</f>
        <v>15</v>
      </c>
      <c r="M2881" s="12"/>
      <c r="N2881" s="28"/>
      <c r="O2881" s="28">
        <f>(Tabla1[[#This Row],[COSTO FIJO ]]/30)*Tabla1[[#This Row],[TOTAL DIAS PROYECTO]]+(Tabla1[[#This Row],[COSTO TEMPORAL]])</f>
        <v>0</v>
      </c>
      <c r="P2881" s="12"/>
      <c r="Q2881" s="12">
        <f>+(Tabla1[[#This Row],[COSTO COCHE]]/30)*Tabla1[[#This Row],[TOTAL DIAS PROYECTO]]</f>
        <v>0</v>
      </c>
      <c r="R2881" s="12">
        <f>+Tabla1[[#This Row],[COSTO TOTAL ALOJAMIENTO]]+Tabla1[[#This Row],[COSTO TOTAL COCHE]]</f>
        <v>0</v>
      </c>
      <c r="S2881" s="2"/>
      <c r="T2881" s="14" t="s">
        <v>35</v>
      </c>
      <c r="U2881" s="14">
        <v>45840</v>
      </c>
      <c r="V2881" s="43"/>
      <c r="W2881" s="2"/>
      <c r="X2881" s="2">
        <v>1</v>
      </c>
      <c r="Y2881" s="11"/>
      <c r="Z2881" s="2" t="s">
        <v>36</v>
      </c>
      <c r="AA2881" s="13" t="s">
        <v>10342</v>
      </c>
      <c r="AB2881" s="13" t="s">
        <v>10343</v>
      </c>
    </row>
    <row r="2882" spans="1:28" ht="15" customHeight="1">
      <c r="A2882" s="2" t="s">
        <v>8761</v>
      </c>
      <c r="B2882" s="2" t="s">
        <v>28</v>
      </c>
      <c r="C2882" s="11" t="s">
        <v>633</v>
      </c>
      <c r="D2882" s="2" t="s">
        <v>30</v>
      </c>
      <c r="E2882" s="2" t="s">
        <v>127</v>
      </c>
      <c r="F2882" s="11" t="s">
        <v>4455</v>
      </c>
      <c r="G2882" s="46" t="s">
        <v>4456</v>
      </c>
      <c r="H2882" s="2" t="s">
        <v>2568</v>
      </c>
      <c r="I2882" s="12" t="s">
        <v>1201</v>
      </c>
      <c r="J2882" s="41">
        <f>+Tabla1[[#This Row],[FECHA ENTRADA]]</f>
        <v>45840</v>
      </c>
      <c r="K2882" s="22">
        <v>45855</v>
      </c>
      <c r="L2882" s="42">
        <f>_xlfn.DAYS(Tabla1[[#This Row],[FECHA FIN ]],Tabla1[[#This Row],[FECHA INICIO]])</f>
        <v>15</v>
      </c>
      <c r="M2882" s="12"/>
      <c r="N2882" s="28"/>
      <c r="O2882" s="28">
        <f>(Tabla1[[#This Row],[COSTO FIJO ]]/30)*Tabla1[[#This Row],[TOTAL DIAS PROYECTO]]+(Tabla1[[#This Row],[COSTO TEMPORAL]])</f>
        <v>0</v>
      </c>
      <c r="P2882" s="12"/>
      <c r="Q2882" s="12">
        <f>+(Tabla1[[#This Row],[COSTO COCHE]]/30)*Tabla1[[#This Row],[TOTAL DIAS PROYECTO]]</f>
        <v>0</v>
      </c>
      <c r="R2882" s="12">
        <f>+Tabla1[[#This Row],[COSTO TOTAL ALOJAMIENTO]]+Tabla1[[#This Row],[COSTO TOTAL COCHE]]</f>
        <v>0</v>
      </c>
      <c r="S2882" s="2"/>
      <c r="T2882" s="14" t="s">
        <v>35</v>
      </c>
      <c r="U2882" s="14">
        <v>45840</v>
      </c>
      <c r="V2882" s="43"/>
      <c r="W2882" s="2"/>
      <c r="X2882" s="2">
        <v>1</v>
      </c>
      <c r="Y2882" s="11"/>
      <c r="Z2882" s="2" t="s">
        <v>36</v>
      </c>
      <c r="AA2882" s="13" t="s">
        <v>10342</v>
      </c>
      <c r="AB2882" s="13" t="s">
        <v>10343</v>
      </c>
    </row>
    <row r="2883" spans="1:28" ht="15" customHeight="1">
      <c r="A2883" s="2" t="s">
        <v>9244</v>
      </c>
      <c r="B2883" s="2" t="s">
        <v>28</v>
      </c>
      <c r="C2883" s="11" t="s">
        <v>2566</v>
      </c>
      <c r="D2883" s="2" t="s">
        <v>30</v>
      </c>
      <c r="E2883" s="2" t="s">
        <v>127</v>
      </c>
      <c r="F2883" s="11" t="s">
        <v>4455</v>
      </c>
      <c r="G2883" s="46" t="s">
        <v>4456</v>
      </c>
      <c r="H2883" s="2" t="s">
        <v>2568</v>
      </c>
      <c r="I2883" s="12" t="s">
        <v>1201</v>
      </c>
      <c r="J2883" s="41">
        <f>+Tabla1[[#This Row],[FECHA ENTRADA]]</f>
        <v>45840</v>
      </c>
      <c r="K2883" s="22">
        <v>45855</v>
      </c>
      <c r="L2883" s="42">
        <f>_xlfn.DAYS(Tabla1[[#This Row],[FECHA FIN ]],Tabla1[[#This Row],[FECHA INICIO]])</f>
        <v>15</v>
      </c>
      <c r="M2883" s="12"/>
      <c r="N2883" s="28"/>
      <c r="O2883" s="28">
        <f>(Tabla1[[#This Row],[COSTO FIJO ]]/30)*Tabla1[[#This Row],[TOTAL DIAS PROYECTO]]+(Tabla1[[#This Row],[COSTO TEMPORAL]])</f>
        <v>0</v>
      </c>
      <c r="P2883" s="12"/>
      <c r="Q2883" s="12">
        <f>+(Tabla1[[#This Row],[COSTO COCHE]]/30)*Tabla1[[#This Row],[TOTAL DIAS PROYECTO]]</f>
        <v>0</v>
      </c>
      <c r="R2883" s="12">
        <f>+Tabla1[[#This Row],[COSTO TOTAL ALOJAMIENTO]]+Tabla1[[#This Row],[COSTO TOTAL COCHE]]</f>
        <v>0</v>
      </c>
      <c r="S2883" s="2"/>
      <c r="T2883" s="14" t="s">
        <v>35</v>
      </c>
      <c r="U2883" s="14">
        <v>45840</v>
      </c>
      <c r="V2883" s="43"/>
      <c r="W2883" s="2"/>
      <c r="X2883" s="2">
        <v>1</v>
      </c>
      <c r="Y2883" s="11"/>
      <c r="Z2883" s="2" t="s">
        <v>36</v>
      </c>
      <c r="AA2883" s="13" t="s">
        <v>10342</v>
      </c>
      <c r="AB2883" s="13" t="s">
        <v>10343</v>
      </c>
    </row>
    <row r="2884" spans="1:28" ht="15" customHeight="1">
      <c r="A2884" s="2" t="s">
        <v>9545</v>
      </c>
      <c r="B2884" s="2" t="s">
        <v>28</v>
      </c>
      <c r="C2884" s="11" t="s">
        <v>3589</v>
      </c>
      <c r="D2884" s="2" t="s">
        <v>30</v>
      </c>
      <c r="E2884" s="2" t="s">
        <v>127</v>
      </c>
      <c r="F2884" s="11" t="s">
        <v>4455</v>
      </c>
      <c r="G2884" s="46" t="s">
        <v>4456</v>
      </c>
      <c r="H2884" s="2" t="s">
        <v>2568</v>
      </c>
      <c r="I2884" s="12" t="s">
        <v>1201</v>
      </c>
      <c r="J2884" s="41">
        <f>+Tabla1[[#This Row],[FECHA ENTRADA]]</f>
        <v>45840</v>
      </c>
      <c r="K2884" s="22">
        <v>45855</v>
      </c>
      <c r="L2884" s="42">
        <f>_xlfn.DAYS(Tabla1[[#This Row],[FECHA FIN ]],Tabla1[[#This Row],[FECHA INICIO]])</f>
        <v>15</v>
      </c>
      <c r="M2884" s="12"/>
      <c r="N2884" s="28"/>
      <c r="O2884" s="28">
        <f>(Tabla1[[#This Row],[COSTO FIJO ]]/30)*Tabla1[[#This Row],[TOTAL DIAS PROYECTO]]+(Tabla1[[#This Row],[COSTO TEMPORAL]])</f>
        <v>0</v>
      </c>
      <c r="P2884" s="12"/>
      <c r="Q2884" s="12">
        <f>+(Tabla1[[#This Row],[COSTO COCHE]]/30)*Tabla1[[#This Row],[TOTAL DIAS PROYECTO]]</f>
        <v>0</v>
      </c>
      <c r="R2884" s="12">
        <f>+Tabla1[[#This Row],[COSTO TOTAL ALOJAMIENTO]]+Tabla1[[#This Row],[COSTO TOTAL COCHE]]</f>
        <v>0</v>
      </c>
      <c r="S2884" s="2"/>
      <c r="T2884" s="14" t="s">
        <v>35</v>
      </c>
      <c r="U2884" s="14">
        <v>45840</v>
      </c>
      <c r="V2884" s="43"/>
      <c r="W2884" s="2"/>
      <c r="X2884" s="2">
        <v>1</v>
      </c>
      <c r="Y2884" s="11"/>
      <c r="Z2884" s="2" t="s">
        <v>36</v>
      </c>
      <c r="AA2884" s="13" t="s">
        <v>10342</v>
      </c>
      <c r="AB2884" s="13" t="s">
        <v>10343</v>
      </c>
    </row>
    <row r="2885" spans="1:28" ht="15" customHeight="1">
      <c r="A2885" s="2" t="s">
        <v>9546</v>
      </c>
      <c r="B2885" s="2" t="s">
        <v>28</v>
      </c>
      <c r="C2885" s="11" t="s">
        <v>3590</v>
      </c>
      <c r="D2885" s="2" t="s">
        <v>30</v>
      </c>
      <c r="E2885" s="2" t="s">
        <v>127</v>
      </c>
      <c r="F2885" s="11" t="s">
        <v>4455</v>
      </c>
      <c r="G2885" s="46" t="s">
        <v>4456</v>
      </c>
      <c r="H2885" s="2" t="s">
        <v>2568</v>
      </c>
      <c r="I2885" s="12" t="s">
        <v>1201</v>
      </c>
      <c r="J2885" s="41">
        <f>+Tabla1[[#This Row],[FECHA ENTRADA]]</f>
        <v>45840</v>
      </c>
      <c r="K2885" s="22">
        <v>45855</v>
      </c>
      <c r="L2885" s="42">
        <f>_xlfn.DAYS(Tabla1[[#This Row],[FECHA FIN ]],Tabla1[[#This Row],[FECHA INICIO]])</f>
        <v>15</v>
      </c>
      <c r="M2885" s="12"/>
      <c r="N2885" s="28"/>
      <c r="O2885" s="28">
        <f>(Tabla1[[#This Row],[COSTO FIJO ]]/30)*Tabla1[[#This Row],[TOTAL DIAS PROYECTO]]+(Tabla1[[#This Row],[COSTO TEMPORAL]])</f>
        <v>0</v>
      </c>
      <c r="P2885" s="12"/>
      <c r="Q2885" s="12">
        <f>+(Tabla1[[#This Row],[COSTO COCHE]]/30)*Tabla1[[#This Row],[TOTAL DIAS PROYECTO]]</f>
        <v>0</v>
      </c>
      <c r="R2885" s="12">
        <f>+Tabla1[[#This Row],[COSTO TOTAL ALOJAMIENTO]]+Tabla1[[#This Row],[COSTO TOTAL COCHE]]</f>
        <v>0</v>
      </c>
      <c r="S2885" s="2"/>
      <c r="T2885" s="14" t="s">
        <v>35</v>
      </c>
      <c r="U2885" s="14">
        <v>45840</v>
      </c>
      <c r="V2885" s="43"/>
      <c r="W2885" s="2"/>
      <c r="X2885" s="2">
        <v>1</v>
      </c>
      <c r="Y2885" s="11"/>
      <c r="Z2885" s="2" t="s">
        <v>36</v>
      </c>
      <c r="AA2885" s="13" t="s">
        <v>10342</v>
      </c>
      <c r="AB2885" s="13" t="s">
        <v>10343</v>
      </c>
    </row>
    <row r="2886" spans="1:28" ht="15" customHeight="1">
      <c r="A2886" s="2" t="s">
        <v>9056</v>
      </c>
      <c r="B2886" s="2" t="s">
        <v>28</v>
      </c>
      <c r="C2886" s="11" t="s">
        <v>1817</v>
      </c>
      <c r="D2886" s="2" t="s">
        <v>78</v>
      </c>
      <c r="E2886" s="2" t="s">
        <v>266</v>
      </c>
      <c r="F2886" s="11" t="s">
        <v>4457</v>
      </c>
      <c r="G2886" s="46" t="s">
        <v>4458</v>
      </c>
      <c r="H2886" s="2" t="s">
        <v>3398</v>
      </c>
      <c r="I2886" s="12" t="s">
        <v>270</v>
      </c>
      <c r="J2886" s="41">
        <f>+Tabla1[[#This Row],[FECHA ENTRADA]]</f>
        <v>45838</v>
      </c>
      <c r="K2886" s="41">
        <v>45855</v>
      </c>
      <c r="L2886" s="42">
        <f>_xlfn.DAYS(Tabla1[[#This Row],[FECHA FIN ]],Tabla1[[#This Row],[FECHA INICIO]])</f>
        <v>17</v>
      </c>
      <c r="M2886" s="12"/>
      <c r="N2886" s="12">
        <v>271.14999999999998</v>
      </c>
      <c r="O2886" s="28">
        <f>(Tabla1[[#This Row],[COSTO FIJO ]]/30)*Tabla1[[#This Row],[TOTAL DIAS PROYECTO]]+(Tabla1[[#This Row],[COSTO TEMPORAL]])</f>
        <v>153.65166666666664</v>
      </c>
      <c r="P2886" s="12"/>
      <c r="Q2886" s="12">
        <f>+(Tabla1[[#This Row],[COSTO COCHE]]/30)*Tabla1[[#This Row],[TOTAL DIAS PROYECTO]]</f>
        <v>0</v>
      </c>
      <c r="R2886" s="12">
        <f>+Tabla1[[#This Row],[COSTO TOTAL ALOJAMIENTO]]+Tabla1[[#This Row],[COSTO TOTAL COCHE]]</f>
        <v>153.65166666666664</v>
      </c>
      <c r="S2886" s="2"/>
      <c r="T2886" s="14" t="s">
        <v>44</v>
      </c>
      <c r="U2886" s="14">
        <v>45838</v>
      </c>
      <c r="V2886" s="43">
        <v>45855</v>
      </c>
      <c r="W2886" s="2"/>
      <c r="X2886" s="2"/>
      <c r="Y2886" s="11"/>
      <c r="Z2886" s="2" t="s">
        <v>36</v>
      </c>
      <c r="AA2886" s="13" t="s">
        <v>10360</v>
      </c>
      <c r="AB2886" s="13" t="s">
        <v>10361</v>
      </c>
    </row>
    <row r="2887" spans="1:28" ht="15" customHeight="1">
      <c r="A2887" s="2" t="s">
        <v>9730</v>
      </c>
      <c r="B2887" s="2" t="s">
        <v>368</v>
      </c>
      <c r="C2887" s="11" t="s">
        <v>4459</v>
      </c>
      <c r="D2887" s="2" t="s">
        <v>99</v>
      </c>
      <c r="E2887" s="2" t="s">
        <v>1987</v>
      </c>
      <c r="F2887" s="11" t="s">
        <v>4380</v>
      </c>
      <c r="G2887" s="21" t="s">
        <v>4381</v>
      </c>
      <c r="H2887" s="2" t="s">
        <v>4382</v>
      </c>
      <c r="I2887" s="12" t="s">
        <v>3769</v>
      </c>
      <c r="J2887" s="41">
        <f>+Tabla1[[#This Row],[FECHA ENTRADA]]</f>
        <v>45776</v>
      </c>
      <c r="K2887" s="22">
        <v>45855</v>
      </c>
      <c r="L2887" s="23">
        <f>_xlfn.DAYS(Tabla1[[#This Row],[FECHA FIN ]],Tabla1[[#This Row],[FECHA INICIO]])</f>
        <v>79</v>
      </c>
      <c r="M2887" s="12"/>
      <c r="N2887" s="12"/>
      <c r="O2887" s="24">
        <f>(Tabla1[[#This Row],[COSTO FIJO ]]/30)*Tabla1[[#This Row],[TOTAL DIAS PROYECTO]]+(Tabla1[[#This Row],[COSTO TEMPORAL]])</f>
        <v>0</v>
      </c>
      <c r="P2887" s="12"/>
      <c r="Q2887" s="12">
        <f>+(Tabla1[[#This Row],[COSTO COCHE]]/30)*Tabla1[[#This Row],[TOTAL DIAS PROYECTO]]</f>
        <v>0</v>
      </c>
      <c r="R2887" s="12">
        <f>+Tabla1[[#This Row],[COSTO TOTAL ALOJAMIENTO]]+Tabla1[[#This Row],[COSTO TOTAL COCHE]]</f>
        <v>0</v>
      </c>
      <c r="S2887" s="2"/>
      <c r="T2887" s="2" t="s">
        <v>44</v>
      </c>
      <c r="U2887" s="14">
        <v>45776</v>
      </c>
      <c r="V2887" s="25">
        <v>45855</v>
      </c>
      <c r="W2887" s="26"/>
      <c r="X2887" s="2"/>
      <c r="Y2887" s="11" t="s">
        <v>4460</v>
      </c>
      <c r="Z2887" s="2" t="s">
        <v>36</v>
      </c>
      <c r="AA2887" s="13" t="s">
        <v>10435</v>
      </c>
      <c r="AB2887" s="13">
        <v>42.136150000000001</v>
      </c>
    </row>
    <row r="2888" spans="1:28" ht="15" customHeight="1">
      <c r="A2888" s="2" t="s">
        <v>9731</v>
      </c>
      <c r="B2888" s="2" t="s">
        <v>711</v>
      </c>
      <c r="C2888" s="31" t="s">
        <v>4461</v>
      </c>
      <c r="D2888" s="2" t="s">
        <v>30</v>
      </c>
      <c r="E2888" s="2" t="s">
        <v>213</v>
      </c>
      <c r="F2888" s="11" t="s">
        <v>4462</v>
      </c>
      <c r="G2888" s="46" t="s">
        <v>558</v>
      </c>
      <c r="H2888" s="2" t="s">
        <v>4463</v>
      </c>
      <c r="I2888" s="12" t="s">
        <v>4464</v>
      </c>
      <c r="J2888" s="41">
        <f>+Tabla1[[#This Row],[FECHA ENTRADA]]</f>
        <v>46253</v>
      </c>
      <c r="K2888" s="41">
        <v>46254</v>
      </c>
      <c r="L2888" s="42">
        <f>_xlfn.DAYS(Tabla1[[#This Row],[FECHA FIN ]],Tabla1[[#This Row],[FECHA INICIO]])</f>
        <v>1</v>
      </c>
      <c r="M2888" s="12"/>
      <c r="N2888" s="28">
        <v>500</v>
      </c>
      <c r="O2888" s="28">
        <f>(Tabla1[[#This Row],[COSTO FIJO ]]/30)*Tabla1[[#This Row],[TOTAL DIAS PROYECTO]]+(Tabla1[[#This Row],[COSTO TEMPORAL]])</f>
        <v>16.666666666666668</v>
      </c>
      <c r="P2888" s="12"/>
      <c r="Q2888" s="12">
        <f>+(Tabla1[[#This Row],[COSTO COCHE]]/30)*Tabla1[[#This Row],[TOTAL DIAS PROYECTO]]</f>
        <v>0</v>
      </c>
      <c r="R2888" s="12">
        <f>+Tabla1[[#This Row],[COSTO TOTAL ALOJAMIENTO]]+Tabla1[[#This Row],[COSTO TOTAL COCHE]]</f>
        <v>16.666666666666668</v>
      </c>
      <c r="S2888" s="2"/>
      <c r="T2888" s="14" t="s">
        <v>35</v>
      </c>
      <c r="U2888" s="14">
        <v>46253</v>
      </c>
      <c r="V2888" s="43"/>
      <c r="W2888" s="12"/>
      <c r="X2888" s="2">
        <v>25</v>
      </c>
      <c r="Y2888" s="11" t="s">
        <v>4465</v>
      </c>
      <c r="Z2888" s="2" t="s">
        <v>36</v>
      </c>
      <c r="AA2888" s="13" t="s">
        <v>10349</v>
      </c>
      <c r="AB2888" s="13" t="s">
        <v>10350</v>
      </c>
    </row>
    <row r="2889" spans="1:28" ht="15" customHeight="1">
      <c r="A2889" s="2" t="s">
        <v>9732</v>
      </c>
      <c r="B2889" s="2" t="s">
        <v>711</v>
      </c>
      <c r="C2889" s="31" t="s">
        <v>4466</v>
      </c>
      <c r="D2889" s="2" t="s">
        <v>30</v>
      </c>
      <c r="E2889" s="2" t="s">
        <v>127</v>
      </c>
      <c r="F2889" s="11" t="s">
        <v>820</v>
      </c>
      <c r="G2889" s="21" t="s">
        <v>821</v>
      </c>
      <c r="H2889" s="2" t="s">
        <v>822</v>
      </c>
      <c r="I2889" s="12" t="s">
        <v>96</v>
      </c>
      <c r="J2889" s="41">
        <f>+Tabla1[[#This Row],[FECHA ENTRADA]]</f>
        <v>45943</v>
      </c>
      <c r="K2889" s="22">
        <v>45954</v>
      </c>
      <c r="L2889" s="42">
        <f>_xlfn.DAYS(Tabla1[[#This Row],[FECHA FIN ]],Tabla1[[#This Row],[FECHA INICIO]])</f>
        <v>11</v>
      </c>
      <c r="M2889" s="12">
        <v>75</v>
      </c>
      <c r="N2889" s="28"/>
      <c r="O2889" s="28">
        <f>(Tabla1[[#This Row],[COSTO FIJO ]]/30)*Tabla1[[#This Row],[TOTAL DIAS PROYECTO]]+(Tabla1[[#This Row],[COSTO TEMPORAL]])</f>
        <v>75</v>
      </c>
      <c r="P2889" s="12"/>
      <c r="Q2889" s="12">
        <f>+(Tabla1[[#This Row],[COSTO COCHE]]/30)*Tabla1[[#This Row],[TOTAL DIAS PROYECTO]]</f>
        <v>0</v>
      </c>
      <c r="R2889" s="12">
        <f>+Tabla1[[#This Row],[COSTO TOTAL ALOJAMIENTO]]+Tabla1[[#This Row],[COSTO TOTAL COCHE]]</f>
        <v>75</v>
      </c>
      <c r="S2889" s="2"/>
      <c r="T2889" s="14" t="s">
        <v>44</v>
      </c>
      <c r="U2889" s="14">
        <v>45943</v>
      </c>
      <c r="V2889" s="25">
        <v>46009</v>
      </c>
      <c r="W2889" s="71"/>
      <c r="X2889" s="2"/>
      <c r="Y2889" s="11" t="s">
        <v>823</v>
      </c>
      <c r="Z2889" s="2" t="s">
        <v>36</v>
      </c>
      <c r="AA2889" s="13" t="s">
        <v>10342</v>
      </c>
      <c r="AB2889" s="13" t="s">
        <v>10343</v>
      </c>
    </row>
    <row r="2890" spans="1:28" ht="15" customHeight="1">
      <c r="A2890" s="2" t="s">
        <v>9308</v>
      </c>
      <c r="B2890" s="2" t="s">
        <v>711</v>
      </c>
      <c r="C2890" s="11" t="s">
        <v>2777</v>
      </c>
      <c r="D2890" s="2" t="s">
        <v>99</v>
      </c>
      <c r="E2890" s="2" t="s">
        <v>4467</v>
      </c>
      <c r="F2890" s="11" t="s">
        <v>4468</v>
      </c>
      <c r="G2890" s="11" t="s">
        <v>4469</v>
      </c>
      <c r="H2890" s="2" t="s">
        <v>4470</v>
      </c>
      <c r="I2890" s="12" t="s">
        <v>1994</v>
      </c>
      <c r="J2890" s="22">
        <f>+Tabla1[[#This Row],[FECHA ENTRADA]]</f>
        <v>45809</v>
      </c>
      <c r="K2890" s="8">
        <v>45855</v>
      </c>
      <c r="L2890" s="23">
        <f>_xlfn.DAYS(Tabla1[[#This Row],[FECHA FIN ]],Tabla1[[#This Row],[FECHA INICIO]])</f>
        <v>46</v>
      </c>
      <c r="M2890" s="12"/>
      <c r="N2890" s="12">
        <f>1105.07/3</f>
        <v>368.35666666666663</v>
      </c>
      <c r="O2890" s="24">
        <f>(Tabla1[[#This Row],[COSTO FIJO ]]/30)*Tabla1[[#This Row],[TOTAL DIAS PROYECTO]]+(Tabla1[[#This Row],[COSTO TEMPORAL]])</f>
        <v>564.81355555555547</v>
      </c>
      <c r="P2890" s="12"/>
      <c r="Q2890" s="12">
        <f>+(Tabla1[[#This Row],[COSTO COCHE]]/30)*Tabla1[[#This Row],[TOTAL DIAS PROYECTO]]</f>
        <v>0</v>
      </c>
      <c r="R2890" s="12">
        <f>+Tabla1[[#This Row],[COSTO TOTAL ALOJAMIENTO]]+Tabla1[[#This Row],[COSTO TOTAL COCHE]]</f>
        <v>564.81355555555547</v>
      </c>
      <c r="S2890" s="2" t="s">
        <v>84</v>
      </c>
      <c r="T2890" s="14" t="s">
        <v>44</v>
      </c>
      <c r="U2890" s="14">
        <v>45809</v>
      </c>
      <c r="V2890" s="25">
        <v>45885</v>
      </c>
      <c r="W2890" s="2"/>
      <c r="X2890" s="2"/>
      <c r="Y2890" s="11"/>
      <c r="Z2890" s="2" t="s">
        <v>36</v>
      </c>
      <c r="AA2890" s="13" t="s">
        <v>10447</v>
      </c>
      <c r="AB2890" s="13" t="s">
        <v>10448</v>
      </c>
    </row>
    <row r="2891" spans="1:28" ht="15" customHeight="1">
      <c r="A2891" s="2" t="s">
        <v>9370</v>
      </c>
      <c r="B2891" s="2" t="s">
        <v>711</v>
      </c>
      <c r="C2891" s="11" t="s">
        <v>2956</v>
      </c>
      <c r="D2891" s="2" t="s">
        <v>99</v>
      </c>
      <c r="E2891" s="2" t="s">
        <v>4467</v>
      </c>
      <c r="F2891" s="11" t="s">
        <v>4468</v>
      </c>
      <c r="G2891" s="11" t="s">
        <v>4469</v>
      </c>
      <c r="H2891" s="2" t="s">
        <v>4470</v>
      </c>
      <c r="I2891" s="12" t="s">
        <v>1994</v>
      </c>
      <c r="J2891" s="22">
        <f>+Tabla1[[#This Row],[FECHA ENTRADA]]</f>
        <v>45809</v>
      </c>
      <c r="K2891" s="8">
        <v>45855</v>
      </c>
      <c r="L2891" s="23">
        <f>_xlfn.DAYS(Tabla1[[#This Row],[FECHA FIN ]],Tabla1[[#This Row],[FECHA INICIO]])</f>
        <v>46</v>
      </c>
      <c r="M2891" s="12"/>
      <c r="N2891" s="12">
        <f>1105.07/3</f>
        <v>368.35666666666663</v>
      </c>
      <c r="O2891" s="24">
        <f>(Tabla1[[#This Row],[COSTO FIJO ]]/30)*Tabla1[[#This Row],[TOTAL DIAS PROYECTO]]+(Tabla1[[#This Row],[COSTO TEMPORAL]])</f>
        <v>564.81355555555547</v>
      </c>
      <c r="P2891" s="12"/>
      <c r="Q2891" s="12">
        <f>+(Tabla1[[#This Row],[COSTO COCHE]]/30)*Tabla1[[#This Row],[TOTAL DIAS PROYECTO]]</f>
        <v>0</v>
      </c>
      <c r="R2891" s="12">
        <f>+Tabla1[[#This Row],[COSTO TOTAL ALOJAMIENTO]]+Tabla1[[#This Row],[COSTO TOTAL COCHE]]</f>
        <v>564.81355555555547</v>
      </c>
      <c r="S2891" s="2" t="s">
        <v>84</v>
      </c>
      <c r="T2891" s="14" t="s">
        <v>44</v>
      </c>
      <c r="U2891" s="14">
        <v>45809</v>
      </c>
      <c r="V2891" s="25">
        <v>45885</v>
      </c>
      <c r="W2891" s="2"/>
      <c r="X2891" s="2"/>
      <c r="Y2891" s="11"/>
      <c r="Z2891" s="2" t="s">
        <v>36</v>
      </c>
      <c r="AA2891" s="13" t="s">
        <v>10447</v>
      </c>
      <c r="AB2891" s="13" t="s">
        <v>10448</v>
      </c>
    </row>
    <row r="2892" spans="1:28" ht="15" customHeight="1">
      <c r="A2892" s="2" t="s">
        <v>9083</v>
      </c>
      <c r="B2892" s="2" t="s">
        <v>368</v>
      </c>
      <c r="C2892" s="31" t="s">
        <v>1941</v>
      </c>
      <c r="D2892" s="2" t="s">
        <v>99</v>
      </c>
      <c r="E2892" s="2" t="s">
        <v>127</v>
      </c>
      <c r="F2892" s="11" t="s">
        <v>820</v>
      </c>
      <c r="G2892" s="46" t="s">
        <v>4471</v>
      </c>
      <c r="H2892" s="2" t="s">
        <v>2593</v>
      </c>
      <c r="I2892" s="12" t="s">
        <v>2594</v>
      </c>
      <c r="J2892" s="41">
        <f>+Tabla1[[#This Row],[FECHA ENTRADA]]</f>
        <v>45840</v>
      </c>
      <c r="K2892" s="41">
        <v>45856</v>
      </c>
      <c r="L2892" s="42">
        <f>_xlfn.DAYS(Tabla1[[#This Row],[FECHA FIN ]],Tabla1[[#This Row],[FECHA INICIO]])</f>
        <v>16</v>
      </c>
      <c r="M2892" s="12"/>
      <c r="N2892" s="28"/>
      <c r="O2892" s="28">
        <f>(Tabla1[[#This Row],[COSTO FIJO ]]/30)*Tabla1[[#This Row],[TOTAL DIAS PROYECTO]]+(Tabla1[[#This Row],[COSTO TEMPORAL]])</f>
        <v>0</v>
      </c>
      <c r="P2892" s="12"/>
      <c r="Q2892" s="12">
        <f>+(Tabla1[[#This Row],[COSTO COCHE]]/30)*Tabla1[[#This Row],[TOTAL DIAS PROYECTO]]</f>
        <v>0</v>
      </c>
      <c r="R2892" s="12">
        <f>+Tabla1[[#This Row],[COSTO TOTAL ALOJAMIENTO]]+Tabla1[[#This Row],[COSTO TOTAL COCHE]]</f>
        <v>0</v>
      </c>
      <c r="S2892" s="2"/>
      <c r="T2892" s="14" t="s">
        <v>35</v>
      </c>
      <c r="U2892" s="14">
        <v>45840</v>
      </c>
      <c r="V2892" s="43"/>
      <c r="W2892" s="2"/>
      <c r="X2892" s="2">
        <v>1</v>
      </c>
      <c r="Y2892" s="11" t="s">
        <v>4472</v>
      </c>
      <c r="Z2892" s="2" t="s">
        <v>36</v>
      </c>
      <c r="AA2892" s="13" t="s">
        <v>10342</v>
      </c>
      <c r="AB2892" s="13" t="s">
        <v>10343</v>
      </c>
    </row>
    <row r="2893" spans="1:28" ht="15" customHeight="1">
      <c r="A2893" s="2" t="s">
        <v>9258</v>
      </c>
      <c r="B2893" s="2" t="s">
        <v>368</v>
      </c>
      <c r="C2893" s="31" t="s">
        <v>2625</v>
      </c>
      <c r="D2893" s="2" t="s">
        <v>99</v>
      </c>
      <c r="E2893" s="2" t="s">
        <v>127</v>
      </c>
      <c r="F2893" s="11" t="s">
        <v>820</v>
      </c>
      <c r="G2893" s="46" t="s">
        <v>4471</v>
      </c>
      <c r="H2893" s="2" t="s">
        <v>2593</v>
      </c>
      <c r="I2893" s="12" t="s">
        <v>2594</v>
      </c>
      <c r="J2893" s="41">
        <f>+Tabla1[[#This Row],[FECHA ENTRADA]]</f>
        <v>45840</v>
      </c>
      <c r="K2893" s="41">
        <v>45856</v>
      </c>
      <c r="L2893" s="42">
        <f>_xlfn.DAYS(Tabla1[[#This Row],[FECHA FIN ]],Tabla1[[#This Row],[FECHA INICIO]])</f>
        <v>16</v>
      </c>
      <c r="M2893" s="12"/>
      <c r="N2893" s="28"/>
      <c r="O2893" s="28">
        <f>(Tabla1[[#This Row],[COSTO FIJO ]]/30)*Tabla1[[#This Row],[TOTAL DIAS PROYECTO]]+(Tabla1[[#This Row],[COSTO TEMPORAL]])</f>
        <v>0</v>
      </c>
      <c r="P2893" s="12"/>
      <c r="Q2893" s="12">
        <f>+(Tabla1[[#This Row],[COSTO COCHE]]/30)*Tabla1[[#This Row],[TOTAL DIAS PROYECTO]]</f>
        <v>0</v>
      </c>
      <c r="R2893" s="12">
        <f>+Tabla1[[#This Row],[COSTO TOTAL ALOJAMIENTO]]+Tabla1[[#This Row],[COSTO TOTAL COCHE]]</f>
        <v>0</v>
      </c>
      <c r="S2893" s="2"/>
      <c r="T2893" s="14" t="s">
        <v>35</v>
      </c>
      <c r="U2893" s="14">
        <v>45840</v>
      </c>
      <c r="V2893" s="43"/>
      <c r="W2893" s="2"/>
      <c r="X2893" s="2">
        <v>1</v>
      </c>
      <c r="Y2893" s="11" t="s">
        <v>4472</v>
      </c>
      <c r="Z2893" s="2" t="s">
        <v>36</v>
      </c>
      <c r="AA2893" s="13" t="s">
        <v>10342</v>
      </c>
      <c r="AB2893" s="13" t="s">
        <v>10343</v>
      </c>
    </row>
    <row r="2894" spans="1:28">
      <c r="A2894" s="2" t="s">
        <v>8691</v>
      </c>
      <c r="B2894" s="2" t="s">
        <v>368</v>
      </c>
      <c r="C2894" s="11" t="s">
        <v>307</v>
      </c>
      <c r="D2894" s="2" t="s">
        <v>99</v>
      </c>
      <c r="E2894" s="2" t="s">
        <v>127</v>
      </c>
      <c r="F2894" s="11" t="s">
        <v>820</v>
      </c>
      <c r="G2894" s="46" t="s">
        <v>4471</v>
      </c>
      <c r="H2894" s="2" t="s">
        <v>4100</v>
      </c>
      <c r="I2894" s="12" t="s">
        <v>2594</v>
      </c>
      <c r="J2894" s="41">
        <f>+Tabla1[[#This Row],[FECHA ENTRADA]]</f>
        <v>45840</v>
      </c>
      <c r="K2894" s="41">
        <v>45856</v>
      </c>
      <c r="L2894" s="42">
        <f>_xlfn.DAYS(Tabla1[[#This Row],[FECHA FIN ]],Tabla1[[#This Row],[FECHA INICIO]])</f>
        <v>16</v>
      </c>
      <c r="M2894" s="12"/>
      <c r="N2894" s="28"/>
      <c r="O2894" s="28">
        <f>(Tabla1[[#This Row],[COSTO FIJO ]]/30)*Tabla1[[#This Row],[TOTAL DIAS PROYECTO]]+(Tabla1[[#This Row],[COSTO TEMPORAL]])</f>
        <v>0</v>
      </c>
      <c r="P2894" s="12"/>
      <c r="Q2894" s="12">
        <f>+(Tabla1[[#This Row],[COSTO COCHE]]/30)*Tabla1[[#This Row],[TOTAL DIAS PROYECTO]]</f>
        <v>0</v>
      </c>
      <c r="R2894" s="12">
        <f>+Tabla1[[#This Row],[COSTO TOTAL ALOJAMIENTO]]+Tabla1[[#This Row],[COSTO TOTAL COCHE]]</f>
        <v>0</v>
      </c>
      <c r="S2894" s="2"/>
      <c r="T2894" s="14" t="s">
        <v>35</v>
      </c>
      <c r="U2894" s="14">
        <v>45840</v>
      </c>
      <c r="V2894" s="43"/>
      <c r="W2894" s="2"/>
      <c r="X2894" s="2">
        <v>1</v>
      </c>
      <c r="Y2894" s="11" t="s">
        <v>4472</v>
      </c>
      <c r="Z2894" s="2" t="s">
        <v>36</v>
      </c>
      <c r="AA2894" s="13" t="s">
        <v>10342</v>
      </c>
      <c r="AB2894" s="13" t="s">
        <v>10343</v>
      </c>
    </row>
    <row r="2895" spans="1:28">
      <c r="A2895" s="2" t="s">
        <v>9277</v>
      </c>
      <c r="B2895" s="2" t="s">
        <v>368</v>
      </c>
      <c r="C2895" s="11" t="s">
        <v>2683</v>
      </c>
      <c r="D2895" s="2" t="s">
        <v>99</v>
      </c>
      <c r="E2895" s="2" t="s">
        <v>127</v>
      </c>
      <c r="F2895" s="11" t="s">
        <v>820</v>
      </c>
      <c r="G2895" s="46" t="s">
        <v>4471</v>
      </c>
      <c r="H2895" s="2" t="s">
        <v>4100</v>
      </c>
      <c r="I2895" s="12" t="s">
        <v>2594</v>
      </c>
      <c r="J2895" s="41">
        <f>+Tabla1[[#This Row],[FECHA ENTRADA]]</f>
        <v>45840</v>
      </c>
      <c r="K2895" s="41">
        <v>45856</v>
      </c>
      <c r="L2895" s="42">
        <f>_xlfn.DAYS(Tabla1[[#This Row],[FECHA FIN ]],Tabla1[[#This Row],[FECHA INICIO]])</f>
        <v>16</v>
      </c>
      <c r="M2895" s="12"/>
      <c r="N2895" s="28"/>
      <c r="O2895" s="28">
        <f>(Tabla1[[#This Row],[COSTO FIJO ]]/30)*Tabla1[[#This Row],[TOTAL DIAS PROYECTO]]+(Tabla1[[#This Row],[COSTO TEMPORAL]])</f>
        <v>0</v>
      </c>
      <c r="P2895" s="12"/>
      <c r="Q2895" s="12">
        <f>+(Tabla1[[#This Row],[COSTO COCHE]]/30)*Tabla1[[#This Row],[TOTAL DIAS PROYECTO]]</f>
        <v>0</v>
      </c>
      <c r="R2895" s="12">
        <f>+Tabla1[[#This Row],[COSTO TOTAL ALOJAMIENTO]]+Tabla1[[#This Row],[COSTO TOTAL COCHE]]</f>
        <v>0</v>
      </c>
      <c r="S2895" s="2"/>
      <c r="T2895" s="14" t="s">
        <v>35</v>
      </c>
      <c r="U2895" s="14">
        <v>45840</v>
      </c>
      <c r="V2895" s="43"/>
      <c r="W2895" s="2"/>
      <c r="X2895" s="2">
        <v>1</v>
      </c>
      <c r="Y2895" s="11" t="s">
        <v>4472</v>
      </c>
      <c r="Z2895" s="2" t="s">
        <v>36</v>
      </c>
      <c r="AA2895" s="13" t="s">
        <v>10342</v>
      </c>
      <c r="AB2895" s="13" t="s">
        <v>10343</v>
      </c>
    </row>
    <row r="2896" spans="1:28" ht="15" customHeight="1">
      <c r="A2896" s="2" t="s">
        <v>9478</v>
      </c>
      <c r="B2896" s="241" t="s">
        <v>606</v>
      </c>
      <c r="C2896" s="31" t="s">
        <v>3340</v>
      </c>
      <c r="D2896" s="2" t="s">
        <v>30</v>
      </c>
      <c r="E2896" s="2" t="s">
        <v>55</v>
      </c>
      <c r="F2896" s="11" t="s">
        <v>4473</v>
      </c>
      <c r="G2896" s="11" t="s">
        <v>106</v>
      </c>
      <c r="H2896" s="2" t="s">
        <v>4126</v>
      </c>
      <c r="I2896" s="12" t="s">
        <v>4120</v>
      </c>
      <c r="J2896" s="22">
        <f>+Tabla1[[#This Row],[FECHA ENTRADA]]</f>
        <v>45811</v>
      </c>
      <c r="K2896" s="41">
        <v>46112</v>
      </c>
      <c r="L2896" s="23">
        <f>_xlfn.DAYS(Tabla1[[#This Row],[FECHA FIN ]],Tabla1[[#This Row],[FECHA INICIO]])</f>
        <v>301</v>
      </c>
      <c r="M2896" s="12"/>
      <c r="N2896" s="12">
        <v>483.33333333333331</v>
      </c>
      <c r="O2896" s="24">
        <f>(Tabla1[[#This Row],[COSTO FIJO ]]/30)*Tabla1[[#This Row],[TOTAL DIAS PROYECTO]]+(Tabla1[[#This Row],[COSTO TEMPORAL]])</f>
        <v>4849.4444444444443</v>
      </c>
      <c r="P2896" s="12"/>
      <c r="Q2896" s="12">
        <f>+(Tabla1[[#This Row],[COSTO COCHE]]/30)*Tabla1[[#This Row],[TOTAL DIAS PROYECTO]]</f>
        <v>0</v>
      </c>
      <c r="R2896" s="12">
        <f>+Tabla1[[#This Row],[COSTO TOTAL ALOJAMIENTO]]+Tabla1[[#This Row],[COSTO TOTAL COCHE]]</f>
        <v>4849.4444444444443</v>
      </c>
      <c r="S2896" s="2"/>
      <c r="T2896" s="8" t="s">
        <v>35</v>
      </c>
      <c r="U2896" s="14">
        <v>45811</v>
      </c>
      <c r="V2896" s="79"/>
      <c r="W2896" s="12"/>
      <c r="X2896" s="2">
        <v>1</v>
      </c>
      <c r="Y2896" s="136" t="s">
        <v>4474</v>
      </c>
      <c r="Z2896" s="2" t="s">
        <v>36</v>
      </c>
      <c r="AA2896" s="13" t="s">
        <v>10327</v>
      </c>
      <c r="AB2896" s="13" t="s">
        <v>10328</v>
      </c>
    </row>
    <row r="2897" spans="1:28" ht="15" customHeight="1">
      <c r="A2897" s="2" t="s">
        <v>9551</v>
      </c>
      <c r="B2897" s="2" t="s">
        <v>368</v>
      </c>
      <c r="C2897" s="31" t="s">
        <v>3598</v>
      </c>
      <c r="D2897" s="2" t="s">
        <v>30</v>
      </c>
      <c r="E2897" s="2" t="s">
        <v>55</v>
      </c>
      <c r="F2897" s="11" t="s">
        <v>1653</v>
      </c>
      <c r="G2897" s="11" t="s">
        <v>1440</v>
      </c>
      <c r="H2897" s="2" t="s">
        <v>4126</v>
      </c>
      <c r="I2897" s="12" t="s">
        <v>4120</v>
      </c>
      <c r="J2897" s="41">
        <f>+Tabla1[[#This Row],[FECHA ENTRADA]]</f>
        <v>45838</v>
      </c>
      <c r="K2897" s="41">
        <v>45856</v>
      </c>
      <c r="L2897" s="42">
        <f>_xlfn.DAYS(Tabla1[[#This Row],[FECHA FIN ]],Tabla1[[#This Row],[FECHA INICIO]])</f>
        <v>18</v>
      </c>
      <c r="M2897" s="12"/>
      <c r="N2897" s="20">
        <v>500</v>
      </c>
      <c r="O2897" s="28">
        <f>(Tabla1[[#This Row],[COSTO FIJO ]]/30)*Tabla1[[#This Row],[TOTAL DIAS PROYECTO]]+(Tabla1[[#This Row],[COSTO TEMPORAL]])</f>
        <v>300</v>
      </c>
      <c r="P2897" s="12"/>
      <c r="Q2897" s="12">
        <f>+(Tabla1[[#This Row],[COSTO COCHE]]/30)*Tabla1[[#This Row],[TOTAL DIAS PROYECTO]]</f>
        <v>0</v>
      </c>
      <c r="R2897" s="12">
        <f>+Tabla1[[#This Row],[COSTO TOTAL ALOJAMIENTO]]+Tabla1[[#This Row],[COSTO TOTAL COCHE]]</f>
        <v>300</v>
      </c>
      <c r="S2897" s="2"/>
      <c r="T2897" s="14" t="s">
        <v>35</v>
      </c>
      <c r="U2897" s="14">
        <v>45838</v>
      </c>
      <c r="V2897" s="43"/>
      <c r="W2897" s="2"/>
      <c r="X2897" s="2">
        <v>1</v>
      </c>
      <c r="Y2897" s="11" t="s">
        <v>4475</v>
      </c>
      <c r="Z2897" s="2" t="s">
        <v>36</v>
      </c>
      <c r="AA2897" s="13" t="s">
        <v>10327</v>
      </c>
      <c r="AB2897" s="13" t="s">
        <v>10328</v>
      </c>
    </row>
    <row r="2898" spans="1:28" ht="15" customHeight="1">
      <c r="A2898" s="2" t="s">
        <v>8642</v>
      </c>
      <c r="B2898" s="2" t="s">
        <v>978</v>
      </c>
      <c r="C2898" s="11" t="s">
        <v>4476</v>
      </c>
      <c r="D2898" s="2" t="s">
        <v>99</v>
      </c>
      <c r="E2898" s="2" t="s">
        <v>1443</v>
      </c>
      <c r="F2898" s="11" t="s">
        <v>1444</v>
      </c>
      <c r="G2898" s="11" t="s">
        <v>1445</v>
      </c>
      <c r="H2898" s="2" t="s">
        <v>1738</v>
      </c>
      <c r="I2898" s="12" t="s">
        <v>4477</v>
      </c>
      <c r="J2898" s="41">
        <f>+Tabla1[[#This Row],[FECHA ENTRADA]]</f>
        <v>45828</v>
      </c>
      <c r="K2898" s="8">
        <v>45856</v>
      </c>
      <c r="L2898" s="42">
        <f>_xlfn.DAYS(Tabla1[[#This Row],[FECHA FIN ]],Tabla1[[#This Row],[FECHA INICIO]])</f>
        <v>28</v>
      </c>
      <c r="M2898" s="12"/>
      <c r="N2898" s="12"/>
      <c r="O2898" s="28">
        <f>(Tabla1[[#This Row],[COSTO FIJO ]]/30)*Tabla1[[#This Row],[TOTAL DIAS PROYECTO]]+(Tabla1[[#This Row],[COSTO TEMPORAL]])</f>
        <v>0</v>
      </c>
      <c r="P2898" s="12"/>
      <c r="Q2898" s="12">
        <f>+(Tabla1[[#This Row],[COSTO COCHE]]/30)*Tabla1[[#This Row],[TOTAL DIAS PROYECTO]]</f>
        <v>0</v>
      </c>
      <c r="R2898" s="12">
        <f>+Tabla1[[#This Row],[COSTO TOTAL ALOJAMIENTO]]+Tabla1[[#This Row],[COSTO TOTAL COCHE]]</f>
        <v>0</v>
      </c>
      <c r="S2898" s="2"/>
      <c r="T2898" s="14" t="s">
        <v>44</v>
      </c>
      <c r="U2898" s="14">
        <v>45828</v>
      </c>
      <c r="V2898" s="25">
        <v>45856</v>
      </c>
      <c r="W2898" s="12"/>
      <c r="X2898" s="2"/>
      <c r="Y2898" s="11"/>
      <c r="Z2898" s="2" t="s">
        <v>36</v>
      </c>
      <c r="AA2898" s="13" t="s">
        <v>10420</v>
      </c>
      <c r="AB2898" s="13">
        <v>3907741</v>
      </c>
    </row>
    <row r="2899" spans="1:28" ht="15" customHeight="1">
      <c r="A2899" s="2" t="s">
        <v>9733</v>
      </c>
      <c r="B2899" s="2" t="s">
        <v>978</v>
      </c>
      <c r="C2899" s="11" t="s">
        <v>4478</v>
      </c>
      <c r="D2899" s="2" t="s">
        <v>99</v>
      </c>
      <c r="E2899" s="2" t="s">
        <v>1443</v>
      </c>
      <c r="F2899" s="11" t="s">
        <v>1444</v>
      </c>
      <c r="G2899" s="11" t="s">
        <v>1445</v>
      </c>
      <c r="H2899" s="2" t="s">
        <v>1738</v>
      </c>
      <c r="I2899" s="12" t="s">
        <v>4477</v>
      </c>
      <c r="J2899" s="41">
        <f>+Tabla1[[#This Row],[FECHA ENTRADA]]</f>
        <v>45828</v>
      </c>
      <c r="K2899" s="8">
        <v>45856</v>
      </c>
      <c r="L2899" s="42">
        <f>_xlfn.DAYS(Tabla1[[#This Row],[FECHA FIN ]],Tabla1[[#This Row],[FECHA INICIO]])</f>
        <v>28</v>
      </c>
      <c r="M2899" s="12"/>
      <c r="N2899" s="12"/>
      <c r="O2899" s="28">
        <f>(Tabla1[[#This Row],[COSTO FIJO ]]/30)*Tabla1[[#This Row],[TOTAL DIAS PROYECTO]]+(Tabla1[[#This Row],[COSTO TEMPORAL]])</f>
        <v>0</v>
      </c>
      <c r="P2899" s="12"/>
      <c r="Q2899" s="12">
        <f>+(Tabla1[[#This Row],[COSTO COCHE]]/30)*Tabla1[[#This Row],[TOTAL DIAS PROYECTO]]</f>
        <v>0</v>
      </c>
      <c r="R2899" s="12">
        <f>+Tabla1[[#This Row],[COSTO TOTAL ALOJAMIENTO]]+Tabla1[[#This Row],[COSTO TOTAL COCHE]]</f>
        <v>0</v>
      </c>
      <c r="S2899" s="2"/>
      <c r="T2899" s="14" t="s">
        <v>44</v>
      </c>
      <c r="U2899" s="14">
        <v>45828</v>
      </c>
      <c r="V2899" s="25">
        <v>45856</v>
      </c>
      <c r="W2899" s="12"/>
      <c r="X2899" s="2"/>
      <c r="Y2899" s="11"/>
      <c r="Z2899" s="2" t="s">
        <v>36</v>
      </c>
      <c r="AA2899" s="13" t="s">
        <v>10420</v>
      </c>
      <c r="AB2899" s="13">
        <v>3907741</v>
      </c>
    </row>
    <row r="2900" spans="1:28" ht="15" customHeight="1">
      <c r="A2900" s="2" t="s">
        <v>9734</v>
      </c>
      <c r="B2900" s="2" t="s">
        <v>28</v>
      </c>
      <c r="C2900" s="31" t="s">
        <v>4479</v>
      </c>
      <c r="D2900" s="2" t="s">
        <v>30</v>
      </c>
      <c r="E2900" s="2" t="s">
        <v>380</v>
      </c>
      <c r="F2900" s="11" t="s">
        <v>1579</v>
      </c>
      <c r="G2900" s="11" t="s">
        <v>1580</v>
      </c>
      <c r="H2900" s="2" t="s">
        <v>4480</v>
      </c>
      <c r="I2900" s="12" t="s">
        <v>1582</v>
      </c>
      <c r="J2900" s="22">
        <f>+Tabla1[[#This Row],[FECHA ENTRADA]]</f>
        <v>45756</v>
      </c>
      <c r="K2900" s="22">
        <v>45840</v>
      </c>
      <c r="L2900" s="23">
        <f>_xlfn.DAYS(Tabla1[[#This Row],[FECHA FIN ]],Tabla1[[#This Row],[FECHA INICIO]])</f>
        <v>84</v>
      </c>
      <c r="M2900" s="12"/>
      <c r="N2900" s="12">
        <v>600</v>
      </c>
      <c r="O2900" s="24">
        <f>(Tabla1[[#This Row],[COSTO FIJO ]]/30)*Tabla1[[#This Row],[TOTAL DIAS PROYECTO]]+(Tabla1[[#This Row],[COSTO TEMPORAL]])</f>
        <v>1680</v>
      </c>
      <c r="P2900" s="12"/>
      <c r="Q2900" s="12">
        <f>+(Tabla1[[#This Row],[COSTO COCHE]]/30)*Tabla1[[#This Row],[TOTAL DIAS PROYECTO]]</f>
        <v>0</v>
      </c>
      <c r="R2900" s="12">
        <f>+Tabla1[[#This Row],[COSTO TOTAL ALOJAMIENTO]]+Tabla1[[#This Row],[COSTO TOTAL COCHE]]</f>
        <v>1680</v>
      </c>
      <c r="S2900" s="2"/>
      <c r="T2900" s="2" t="s">
        <v>35</v>
      </c>
      <c r="U2900" s="14">
        <v>45756</v>
      </c>
      <c r="V2900" s="25"/>
      <c r="W2900" s="26">
        <v>1200</v>
      </c>
      <c r="X2900" s="2">
        <v>1</v>
      </c>
      <c r="Y2900" s="11"/>
      <c r="Z2900" s="2" t="s">
        <v>36</v>
      </c>
      <c r="AA2900" s="13" t="s">
        <v>10370</v>
      </c>
      <c r="AB2900" s="13" t="s">
        <v>10371</v>
      </c>
    </row>
    <row r="2901" spans="1:28" ht="15" customHeight="1">
      <c r="A2901" s="2" t="s">
        <v>9735</v>
      </c>
      <c r="B2901" s="2" t="s">
        <v>28</v>
      </c>
      <c r="C2901" s="31" t="s">
        <v>4481</v>
      </c>
      <c r="D2901" s="2" t="s">
        <v>30</v>
      </c>
      <c r="E2901" s="2" t="s">
        <v>380</v>
      </c>
      <c r="F2901" s="11" t="s">
        <v>1579</v>
      </c>
      <c r="G2901" s="11" t="s">
        <v>1580</v>
      </c>
      <c r="H2901" s="2" t="s">
        <v>4480</v>
      </c>
      <c r="I2901" s="12" t="s">
        <v>1582</v>
      </c>
      <c r="J2901" s="22">
        <f>+Tabla1[[#This Row],[FECHA ENTRADA]]</f>
        <v>45756</v>
      </c>
      <c r="K2901" s="22">
        <v>45840</v>
      </c>
      <c r="L2901" s="23">
        <f>_xlfn.DAYS(Tabla1[[#This Row],[FECHA FIN ]],Tabla1[[#This Row],[FECHA INICIO]])</f>
        <v>84</v>
      </c>
      <c r="M2901" s="12"/>
      <c r="N2901" s="12">
        <v>600</v>
      </c>
      <c r="O2901" s="24">
        <f>(Tabla1[[#This Row],[COSTO FIJO ]]/30)*Tabla1[[#This Row],[TOTAL DIAS PROYECTO]]+(Tabla1[[#This Row],[COSTO TEMPORAL]])</f>
        <v>1680</v>
      </c>
      <c r="P2901" s="12"/>
      <c r="Q2901" s="12">
        <f>+(Tabla1[[#This Row],[COSTO COCHE]]/30)*Tabla1[[#This Row],[TOTAL DIAS PROYECTO]]</f>
        <v>0</v>
      </c>
      <c r="R2901" s="12">
        <f>+Tabla1[[#This Row],[COSTO TOTAL ALOJAMIENTO]]+Tabla1[[#This Row],[COSTO TOTAL COCHE]]</f>
        <v>1680</v>
      </c>
      <c r="S2901" s="2"/>
      <c r="T2901" s="2" t="s">
        <v>35</v>
      </c>
      <c r="U2901" s="14">
        <v>45756</v>
      </c>
      <c r="V2901" s="25"/>
      <c r="W2901" s="26"/>
      <c r="X2901" s="2">
        <v>1</v>
      </c>
      <c r="Y2901" s="11"/>
      <c r="Z2901" s="2" t="s">
        <v>36</v>
      </c>
      <c r="AA2901" s="13" t="s">
        <v>10370</v>
      </c>
      <c r="AB2901" s="13" t="s">
        <v>10371</v>
      </c>
    </row>
    <row r="2902" spans="1:28" ht="15" customHeight="1">
      <c r="A2902" s="2" t="s">
        <v>9066</v>
      </c>
      <c r="B2902" s="2" t="s">
        <v>368</v>
      </c>
      <c r="C2902" s="11" t="s">
        <v>1852</v>
      </c>
      <c r="D2902" s="2" t="s">
        <v>99</v>
      </c>
      <c r="E2902" s="2" t="s">
        <v>380</v>
      </c>
      <c r="F2902" s="11" t="s">
        <v>4482</v>
      </c>
      <c r="G2902" s="46">
        <v>977167081</v>
      </c>
      <c r="H2902" s="2" t="s">
        <v>4483</v>
      </c>
      <c r="I2902" s="10" t="s">
        <v>4484</v>
      </c>
      <c r="J2902" s="41">
        <f>+Tabla1[[#This Row],[FECHA ENTRADA]]</f>
        <v>45775</v>
      </c>
      <c r="K2902" s="8">
        <v>45789</v>
      </c>
      <c r="L2902" s="23">
        <f>_xlfn.DAYS(Tabla1[[#This Row],[FECHA FIN ]],Tabla1[[#This Row],[FECHA INICIO]])</f>
        <v>14</v>
      </c>
      <c r="M2902" s="12">
        <v>457.6</v>
      </c>
      <c r="N2902" s="12"/>
      <c r="O2902" s="24">
        <f>(Tabla1[[#This Row],[COSTO FIJO ]]/30)*Tabla1[[#This Row],[TOTAL DIAS PROYECTO]]+(Tabla1[[#This Row],[COSTO TEMPORAL]])</f>
        <v>457.6</v>
      </c>
      <c r="P2902" s="12"/>
      <c r="Q2902" s="12">
        <f>+(Tabla1[[#This Row],[COSTO COCHE]]/30)*Tabla1[[#This Row],[TOTAL DIAS PROYECTO]]</f>
        <v>0</v>
      </c>
      <c r="R2902" s="12">
        <f>+Tabla1[[#This Row],[COSTO TOTAL ALOJAMIENTO]]+Tabla1[[#This Row],[COSTO TOTAL COCHE]]</f>
        <v>457.6</v>
      </c>
      <c r="S2902" s="2"/>
      <c r="T2902" s="2" t="s">
        <v>528</v>
      </c>
      <c r="U2902" s="14">
        <v>45775</v>
      </c>
      <c r="V2902" s="25">
        <v>45790</v>
      </c>
      <c r="W2902" s="26"/>
      <c r="X2902" s="2"/>
      <c r="Y2902" s="11" t="s">
        <v>4485</v>
      </c>
      <c r="Z2902" s="2" t="s">
        <v>36</v>
      </c>
      <c r="AA2902" s="13" t="s">
        <v>10370</v>
      </c>
      <c r="AB2902" s="13" t="s">
        <v>10371</v>
      </c>
    </row>
    <row r="2903" spans="1:28" ht="15" customHeight="1">
      <c r="A2903" s="2" t="s">
        <v>9690</v>
      </c>
      <c r="B2903" s="2" t="s">
        <v>368</v>
      </c>
      <c r="C2903" s="11" t="s">
        <v>4248</v>
      </c>
      <c r="D2903" s="2" t="s">
        <v>30</v>
      </c>
      <c r="E2903" s="2" t="s">
        <v>985</v>
      </c>
      <c r="F2903" s="11" t="s">
        <v>4486</v>
      </c>
      <c r="G2903" s="49" t="s">
        <v>4487</v>
      </c>
      <c r="H2903" s="2" t="s">
        <v>2401</v>
      </c>
      <c r="I2903" s="12" t="s">
        <v>989</v>
      </c>
      <c r="J2903" s="22">
        <f>+Tabla1[[#This Row],[FECHA ENTRADA]]</f>
        <v>45852</v>
      </c>
      <c r="K2903" s="22">
        <v>45856</v>
      </c>
      <c r="L2903" s="23">
        <f>_xlfn.DAYS(Tabla1[[#This Row],[FECHA FIN ]],Tabla1[[#This Row],[FECHA INICIO]])</f>
        <v>4</v>
      </c>
      <c r="M2903" s="12"/>
      <c r="N2903" s="12">
        <f>360.01/3</f>
        <v>120.00333333333333</v>
      </c>
      <c r="O2903" s="24">
        <f>(Tabla1[[#This Row],[COSTO FIJO ]]/30)*Tabla1[[#This Row],[TOTAL DIAS PROYECTO]]+(Tabla1[[#This Row],[COSTO TEMPORAL]])</f>
        <v>16.000444444444444</v>
      </c>
      <c r="P2903" s="12"/>
      <c r="Q2903" s="12">
        <f>+(Tabla1[[#This Row],[COSTO COCHE]]/30)*Tabla1[[#This Row],[TOTAL DIAS PROYECTO]]</f>
        <v>0</v>
      </c>
      <c r="R2903" s="12">
        <f>+Tabla1[[#This Row],[COSTO TOTAL ALOJAMIENTO]]+Tabla1[[#This Row],[COSTO TOTAL COCHE]]</f>
        <v>16.000444444444444</v>
      </c>
      <c r="S2903" s="2"/>
      <c r="T2903" s="14" t="s">
        <v>44</v>
      </c>
      <c r="U2903" s="14">
        <v>45852</v>
      </c>
      <c r="V2903" s="25">
        <v>45856</v>
      </c>
      <c r="W2903" s="12"/>
      <c r="X2903" s="2"/>
      <c r="Y2903" s="11"/>
      <c r="Z2903" s="2" t="s">
        <v>36</v>
      </c>
      <c r="AA2903" s="13" t="s">
        <v>10407</v>
      </c>
      <c r="AB2903" s="13" t="s">
        <v>10408</v>
      </c>
    </row>
    <row r="2904" spans="1:28" ht="15" customHeight="1">
      <c r="A2904" s="2" t="s">
        <v>8642</v>
      </c>
      <c r="B2904" s="2" t="s">
        <v>368</v>
      </c>
      <c r="C2904" s="11" t="s">
        <v>4251</v>
      </c>
      <c r="D2904" s="2" t="s">
        <v>30</v>
      </c>
      <c r="E2904" s="2" t="s">
        <v>985</v>
      </c>
      <c r="F2904" s="11" t="s">
        <v>4486</v>
      </c>
      <c r="G2904" s="49" t="s">
        <v>4487</v>
      </c>
      <c r="H2904" s="2" t="s">
        <v>2401</v>
      </c>
      <c r="I2904" s="12" t="s">
        <v>989</v>
      </c>
      <c r="J2904" s="22">
        <f>+Tabla1[[#This Row],[FECHA ENTRADA]]</f>
        <v>45852</v>
      </c>
      <c r="K2904" s="22">
        <v>45856</v>
      </c>
      <c r="L2904" s="23">
        <f>_xlfn.DAYS(Tabla1[[#This Row],[FECHA FIN ]],Tabla1[[#This Row],[FECHA INICIO]])</f>
        <v>4</v>
      </c>
      <c r="M2904" s="12"/>
      <c r="N2904" s="12">
        <f>360.01/3</f>
        <v>120.00333333333333</v>
      </c>
      <c r="O2904" s="24">
        <f>(Tabla1[[#This Row],[COSTO FIJO ]]/30)*Tabla1[[#This Row],[TOTAL DIAS PROYECTO]]+(Tabla1[[#This Row],[COSTO TEMPORAL]])</f>
        <v>16.000444444444444</v>
      </c>
      <c r="P2904" s="12"/>
      <c r="Q2904" s="12">
        <f>+(Tabla1[[#This Row],[COSTO COCHE]]/30)*Tabla1[[#This Row],[TOTAL DIAS PROYECTO]]</f>
        <v>0</v>
      </c>
      <c r="R2904" s="12">
        <f>+Tabla1[[#This Row],[COSTO TOTAL ALOJAMIENTO]]+Tabla1[[#This Row],[COSTO TOTAL COCHE]]</f>
        <v>16.000444444444444</v>
      </c>
      <c r="S2904" s="2"/>
      <c r="T2904" s="14" t="s">
        <v>44</v>
      </c>
      <c r="U2904" s="14">
        <v>45852</v>
      </c>
      <c r="V2904" s="25">
        <v>45856</v>
      </c>
      <c r="W2904" s="12"/>
      <c r="X2904" s="2"/>
      <c r="Y2904" s="11"/>
      <c r="Z2904" s="2" t="s">
        <v>36</v>
      </c>
      <c r="AA2904" s="13" t="s">
        <v>10407</v>
      </c>
      <c r="AB2904" s="13" t="s">
        <v>10408</v>
      </c>
    </row>
    <row r="2905" spans="1:28" ht="15" customHeight="1">
      <c r="A2905" s="2" t="s">
        <v>9195</v>
      </c>
      <c r="B2905" s="2" t="s">
        <v>368</v>
      </c>
      <c r="C2905" s="11" t="s">
        <v>2400</v>
      </c>
      <c r="D2905" s="2" t="s">
        <v>30</v>
      </c>
      <c r="E2905" s="2" t="s">
        <v>985</v>
      </c>
      <c r="F2905" s="11" t="s">
        <v>4486</v>
      </c>
      <c r="G2905" s="49" t="s">
        <v>4487</v>
      </c>
      <c r="H2905" s="2" t="s">
        <v>2401</v>
      </c>
      <c r="I2905" s="12" t="s">
        <v>989</v>
      </c>
      <c r="J2905" s="22">
        <f>+Tabla1[[#This Row],[FECHA ENTRADA]]</f>
        <v>45852</v>
      </c>
      <c r="K2905" s="22">
        <v>45856</v>
      </c>
      <c r="L2905" s="23">
        <f>_xlfn.DAYS(Tabla1[[#This Row],[FECHA FIN ]],Tabla1[[#This Row],[FECHA INICIO]])</f>
        <v>4</v>
      </c>
      <c r="M2905" s="12"/>
      <c r="N2905" s="12">
        <f>360.01/3</f>
        <v>120.00333333333333</v>
      </c>
      <c r="O2905" s="24">
        <f>(Tabla1[[#This Row],[COSTO FIJO ]]/30)*Tabla1[[#This Row],[TOTAL DIAS PROYECTO]]+(Tabla1[[#This Row],[COSTO TEMPORAL]])</f>
        <v>16.000444444444444</v>
      </c>
      <c r="P2905" s="12"/>
      <c r="Q2905" s="12">
        <f>+(Tabla1[[#This Row],[COSTO COCHE]]/30)*Tabla1[[#This Row],[TOTAL DIAS PROYECTO]]</f>
        <v>0</v>
      </c>
      <c r="R2905" s="12">
        <f>+Tabla1[[#This Row],[COSTO TOTAL ALOJAMIENTO]]+Tabla1[[#This Row],[COSTO TOTAL COCHE]]</f>
        <v>16.000444444444444</v>
      </c>
      <c r="S2905" s="2"/>
      <c r="T2905" s="14" t="s">
        <v>44</v>
      </c>
      <c r="U2905" s="14">
        <v>45852</v>
      </c>
      <c r="V2905" s="25">
        <v>45856</v>
      </c>
      <c r="W2905" s="12"/>
      <c r="X2905" s="2"/>
      <c r="Y2905" s="11"/>
      <c r="Z2905" s="2" t="s">
        <v>36</v>
      </c>
      <c r="AA2905" s="13" t="s">
        <v>10407</v>
      </c>
      <c r="AB2905" s="13" t="s">
        <v>10408</v>
      </c>
    </row>
    <row r="2906" spans="1:28" ht="15" customHeight="1">
      <c r="A2906" s="2" t="s">
        <v>9468</v>
      </c>
      <c r="B2906" s="2" t="s">
        <v>368</v>
      </c>
      <c r="C2906" s="11" t="s">
        <v>3291</v>
      </c>
      <c r="D2906" s="2" t="s">
        <v>99</v>
      </c>
      <c r="E2906" s="2" t="s">
        <v>380</v>
      </c>
      <c r="F2906" s="11" t="s">
        <v>4488</v>
      </c>
      <c r="G2906" s="46">
        <v>977167081</v>
      </c>
      <c r="H2906" s="2" t="s">
        <v>4489</v>
      </c>
      <c r="I2906" s="10" t="s">
        <v>4484</v>
      </c>
      <c r="J2906" s="22">
        <f>+Tabla1[[#This Row],[FECHA ENTRADA]]</f>
        <v>45789</v>
      </c>
      <c r="K2906" s="22">
        <v>45845</v>
      </c>
      <c r="L2906" s="23">
        <f>_xlfn.DAYS(Tabla1[[#This Row],[FECHA FIN ]],Tabla1[[#This Row],[FECHA INICIO]])</f>
        <v>56</v>
      </c>
      <c r="M2906" s="12"/>
      <c r="N2906" s="12">
        <v>1540</v>
      </c>
      <c r="O2906" s="24">
        <f>(Tabla1[[#This Row],[COSTO FIJO ]]/30)*Tabla1[[#This Row],[TOTAL DIAS PROYECTO]]+(Tabla1[[#This Row],[COSTO TEMPORAL]])</f>
        <v>2874.666666666667</v>
      </c>
      <c r="P2906" s="12"/>
      <c r="Q2906" s="12">
        <f>+(Tabla1[[#This Row],[COSTO COCHE]]/30)*Tabla1[[#This Row],[TOTAL DIAS PROYECTO]]</f>
        <v>0</v>
      </c>
      <c r="R2906" s="12">
        <f>+Tabla1[[#This Row],[COSTO TOTAL ALOJAMIENTO]]+Tabla1[[#This Row],[COSTO TOTAL COCHE]]</f>
        <v>2874.666666666667</v>
      </c>
      <c r="S2906" s="2"/>
      <c r="T2906" s="2" t="s">
        <v>528</v>
      </c>
      <c r="U2906" s="14">
        <v>45789</v>
      </c>
      <c r="V2906" s="25">
        <v>45846</v>
      </c>
      <c r="W2906" s="26"/>
      <c r="X2906" s="2"/>
      <c r="Y2906" t="s">
        <v>4490</v>
      </c>
      <c r="Z2906" s="2" t="s">
        <v>36</v>
      </c>
      <c r="AA2906" s="13" t="s">
        <v>10370</v>
      </c>
      <c r="AB2906" s="13" t="s">
        <v>10371</v>
      </c>
    </row>
    <row r="2907" spans="1:28" ht="15" customHeight="1">
      <c r="A2907" s="2" t="s">
        <v>9319</v>
      </c>
      <c r="B2907" s="2" t="s">
        <v>711</v>
      </c>
      <c r="C2907" s="11" t="s">
        <v>2812</v>
      </c>
      <c r="D2907" s="2" t="s">
        <v>99</v>
      </c>
      <c r="E2907" s="2" t="s">
        <v>1514</v>
      </c>
      <c r="F2907" s="11" t="s">
        <v>4242</v>
      </c>
      <c r="G2907" s="46" t="s">
        <v>4243</v>
      </c>
      <c r="H2907" s="2" t="s">
        <v>4084</v>
      </c>
      <c r="I2907" s="12" t="s">
        <v>506</v>
      </c>
      <c r="J2907" s="41">
        <f>+Tabla1[[#This Row],[FECHA ENTRADA]]</f>
        <v>45840</v>
      </c>
      <c r="K2907" s="41">
        <v>45856</v>
      </c>
      <c r="L2907" s="42">
        <f>_xlfn.DAYS(Tabla1[[#This Row],[FECHA FIN ]],Tabla1[[#This Row],[FECHA INICIO]])</f>
        <v>16</v>
      </c>
      <c r="M2907" s="12"/>
      <c r="N2907" s="12">
        <f>745.8/5</f>
        <v>149.16</v>
      </c>
      <c r="O2907" s="28">
        <f>(Tabla1[[#This Row],[COSTO FIJO ]]/30)*Tabla1[[#This Row],[TOTAL DIAS PROYECTO]]+(Tabla1[[#This Row],[COSTO TEMPORAL]])</f>
        <v>79.551999999999992</v>
      </c>
      <c r="P2907" s="12"/>
      <c r="Q2907" s="12">
        <f>+(Tabla1[[#This Row],[COSTO COCHE]]/30)*Tabla1[[#This Row],[TOTAL DIAS PROYECTO]]</f>
        <v>0</v>
      </c>
      <c r="R2907" s="12">
        <f>+Tabla1[[#This Row],[COSTO TOTAL ALOJAMIENTO]]+Tabla1[[#This Row],[COSTO TOTAL COCHE]]</f>
        <v>79.551999999999992</v>
      </c>
      <c r="S2907" s="2"/>
      <c r="T2907" s="2" t="s">
        <v>528</v>
      </c>
      <c r="U2907" s="14">
        <v>45840</v>
      </c>
      <c r="V2907" s="43">
        <v>45860</v>
      </c>
      <c r="W2907" s="12"/>
      <c r="X2907" s="2"/>
      <c r="Y2907" s="11" t="s">
        <v>4491</v>
      </c>
      <c r="Z2907" s="2" t="s">
        <v>36</v>
      </c>
      <c r="AA2907" s="13" t="s">
        <v>10424</v>
      </c>
      <c r="AB2907" s="13">
        <v>398581</v>
      </c>
    </row>
    <row r="2908" spans="1:28">
      <c r="A2908" s="2" t="s">
        <v>9072</v>
      </c>
      <c r="B2908" s="10" t="s">
        <v>711</v>
      </c>
      <c r="C2908" s="240" t="s">
        <v>1889</v>
      </c>
      <c r="D2908" s="2" t="s">
        <v>78</v>
      </c>
      <c r="E2908" s="10" t="s">
        <v>4492</v>
      </c>
      <c r="F2908" s="11" t="s">
        <v>1106</v>
      </c>
      <c r="G2908" s="21"/>
      <c r="H2908" s="2" t="s">
        <v>4493</v>
      </c>
      <c r="I2908" s="12" t="s">
        <v>800</v>
      </c>
      <c r="J2908" s="22">
        <f>+Tabla1[[#This Row],[FECHA ENTRADA]]</f>
        <v>45809</v>
      </c>
      <c r="K2908" s="22">
        <v>45857</v>
      </c>
      <c r="L2908" s="23">
        <f>_xlfn.DAYS(Tabla1[[#This Row],[FECHA FIN ]],Tabla1[[#This Row],[FECHA INICIO]])</f>
        <v>48</v>
      </c>
      <c r="M2908" s="12"/>
      <c r="N2908" s="12">
        <v>300</v>
      </c>
      <c r="O2908" s="24">
        <f>(Tabla1[[#This Row],[COSTO FIJO ]]/30)*Tabla1[[#This Row],[TOTAL DIAS PROYECTO]]+(Tabla1[[#This Row],[COSTO TEMPORAL]])</f>
        <v>480</v>
      </c>
      <c r="P2908" s="12"/>
      <c r="Q2908" s="12">
        <f>+(Tabla1[[#This Row],[COSTO COCHE]]/30)*Tabla1[[#This Row],[TOTAL DIAS PROYECTO]]</f>
        <v>0</v>
      </c>
      <c r="R2908" s="12">
        <f>+Tabla1[[#This Row],[COSTO TOTAL ALOJAMIENTO]]+Tabla1[[#This Row],[COSTO TOTAL COCHE]]</f>
        <v>480</v>
      </c>
      <c r="S2908" s="2"/>
      <c r="T2908" s="2" t="s">
        <v>8</v>
      </c>
      <c r="U2908" s="14">
        <v>45809</v>
      </c>
      <c r="V2908" s="180"/>
      <c r="W2908" s="2"/>
      <c r="X2908" s="2"/>
      <c r="Y2908" s="11" t="s">
        <v>4494</v>
      </c>
      <c r="Z2908" s="2" t="s">
        <v>36</v>
      </c>
      <c r="AA2908" s="13" t="e">
        <v>#N/A</v>
      </c>
      <c r="AB2908" s="13" t="e">
        <v>#N/A</v>
      </c>
    </row>
    <row r="2909" spans="1:28" ht="15" customHeight="1">
      <c r="A2909" s="2" t="s">
        <v>9176</v>
      </c>
      <c r="B2909" s="2" t="s">
        <v>28</v>
      </c>
      <c r="C2909" s="104" t="s">
        <v>2326</v>
      </c>
      <c r="D2909" s="2" t="s">
        <v>99</v>
      </c>
      <c r="E2909" s="2" t="s">
        <v>253</v>
      </c>
      <c r="F2909" s="11" t="s">
        <v>1984</v>
      </c>
      <c r="G2909" s="46" t="s">
        <v>1985</v>
      </c>
      <c r="H2909" s="2" t="s">
        <v>2313</v>
      </c>
      <c r="I2909" s="12" t="s">
        <v>256</v>
      </c>
      <c r="J2909" s="41">
        <f>+Tabla1[[#This Row],[FECHA ENTRADA]]</f>
        <v>45837</v>
      </c>
      <c r="K2909" s="41">
        <v>45857</v>
      </c>
      <c r="L2909" s="42">
        <f>_xlfn.DAYS(Tabla1[[#This Row],[FECHA FIN ]],Tabla1[[#This Row],[FECHA INICIO]])</f>
        <v>20</v>
      </c>
      <c r="M2909" s="12"/>
      <c r="N2909" s="12"/>
      <c r="O2909" s="28">
        <f>(Tabla1[[#This Row],[COSTO FIJO ]]/30)*Tabla1[[#This Row],[TOTAL DIAS PROYECTO]]+(Tabla1[[#This Row],[COSTO TEMPORAL]])</f>
        <v>0</v>
      </c>
      <c r="P2909" s="12"/>
      <c r="Q2909" s="12">
        <f>+(Tabla1[[#This Row],[COSTO COCHE]]/30)*Tabla1[[#This Row],[TOTAL DIAS PROYECTO]]</f>
        <v>0</v>
      </c>
      <c r="R2909" s="12">
        <f>+Tabla1[[#This Row],[COSTO TOTAL ALOJAMIENTO]]+Tabla1[[#This Row],[COSTO TOTAL COCHE]]</f>
        <v>0</v>
      </c>
      <c r="S2909" s="2"/>
      <c r="T2909" s="2" t="s">
        <v>44</v>
      </c>
      <c r="U2909" s="14">
        <v>45837</v>
      </c>
      <c r="V2909" s="43">
        <v>45857</v>
      </c>
      <c r="W2909" s="2"/>
      <c r="X2909" s="2"/>
      <c r="Y2909" s="11" t="s">
        <v>4325</v>
      </c>
      <c r="Z2909" s="2" t="s">
        <v>36</v>
      </c>
      <c r="AA2909" s="13" t="s">
        <v>10357</v>
      </c>
      <c r="AB2909" s="13" t="s">
        <v>10358</v>
      </c>
    </row>
    <row r="2910" spans="1:28" ht="15" customHeight="1">
      <c r="A2910" s="2" t="s">
        <v>9736</v>
      </c>
      <c r="B2910" s="2" t="s">
        <v>28</v>
      </c>
      <c r="C2910" s="86" t="s">
        <v>4495</v>
      </c>
      <c r="D2910" s="2" t="s">
        <v>30</v>
      </c>
      <c r="E2910" s="2" t="s">
        <v>648</v>
      </c>
      <c r="F2910" s="11" t="s">
        <v>1386</v>
      </c>
      <c r="G2910" s="30" t="s">
        <v>1387</v>
      </c>
      <c r="H2910" s="2" t="s">
        <v>4496</v>
      </c>
      <c r="I2910" s="12" t="s">
        <v>96</v>
      </c>
      <c r="J2910" s="41">
        <f>+Tabla1[[#This Row],[FECHA ENTRADA]]</f>
        <v>45564</v>
      </c>
      <c r="K2910" s="8">
        <v>45665</v>
      </c>
      <c r="L2910" s="42">
        <f>_xlfn.DAYS(Tabla1[[#This Row],[FECHA FIN ]],Tabla1[[#This Row],[FECHA INICIO]])</f>
        <v>101</v>
      </c>
      <c r="M2910" s="12"/>
      <c r="N2910" s="12">
        <v>350</v>
      </c>
      <c r="O2910" s="28">
        <f>(Tabla1[[#This Row],[COSTO FIJO ]]/30)*Tabla1[[#This Row],[TOTAL DIAS PROYECTO]]+(Tabla1[[#This Row],[COSTO TEMPORAL]])</f>
        <v>1178.3333333333333</v>
      </c>
      <c r="P2910" s="12"/>
      <c r="Q2910" s="12">
        <f>+(Tabla1[[#This Row],[COSTO COCHE]]/30)*Tabla1[[#This Row],[TOTAL DIAS PROYECTO]]</f>
        <v>0</v>
      </c>
      <c r="R2910" s="12">
        <f>+Tabla1[[#This Row],[COSTO TOTAL ALOJAMIENTO]]+Tabla1[[#This Row],[COSTO TOTAL COCHE]]</f>
        <v>1178.3333333333333</v>
      </c>
      <c r="S2910" s="2"/>
      <c r="T2910" s="2" t="s">
        <v>35</v>
      </c>
      <c r="U2910" s="14">
        <v>45564</v>
      </c>
      <c r="V2910" s="75"/>
      <c r="W2910" s="26"/>
      <c r="X2910" s="2">
        <v>10</v>
      </c>
      <c r="Y2910" s="11" t="s">
        <v>4497</v>
      </c>
      <c r="Z2910" s="2" t="s">
        <v>36</v>
      </c>
      <c r="AA2910" s="13" t="s">
        <v>10387</v>
      </c>
      <c r="AB2910" s="13" t="s">
        <v>10388</v>
      </c>
    </row>
    <row r="2911" spans="1:28" ht="15" customHeight="1">
      <c r="A2911" s="2" t="s">
        <v>9239</v>
      </c>
      <c r="B2911" s="2" t="s">
        <v>978</v>
      </c>
      <c r="C2911" s="11" t="s">
        <v>2553</v>
      </c>
      <c r="D2911" s="2" t="s">
        <v>30</v>
      </c>
      <c r="E2911" s="2" t="s">
        <v>55</v>
      </c>
      <c r="F2911" s="11" t="s">
        <v>1618</v>
      </c>
      <c r="G2911" s="46" t="s">
        <v>4436</v>
      </c>
      <c r="H2911" s="2" t="s">
        <v>4498</v>
      </c>
      <c r="I2911" s="12" t="s">
        <v>4120</v>
      </c>
      <c r="J2911" s="41">
        <f>+Tabla1[[#This Row],[FECHA ENTRADA]]</f>
        <v>45851</v>
      </c>
      <c r="K2911" s="41">
        <v>45858</v>
      </c>
      <c r="L2911" s="42">
        <f>_xlfn.DAYS(Tabla1[[#This Row],[FECHA FIN ]],Tabla1[[#This Row],[FECHA INICIO]])</f>
        <v>7</v>
      </c>
      <c r="M2911" s="12"/>
      <c r="N2911" s="12">
        <v>185</v>
      </c>
      <c r="O2911" s="28">
        <f>(Tabla1[[#This Row],[COSTO FIJO ]]/30)*Tabla1[[#This Row],[TOTAL DIAS PROYECTO]]+(Tabla1[[#This Row],[COSTO TEMPORAL]])</f>
        <v>43.166666666666671</v>
      </c>
      <c r="P2911" s="12"/>
      <c r="Q2911" s="12">
        <f>+(Tabla1[[#This Row],[COSTO COCHE]]/30)*Tabla1[[#This Row],[TOTAL DIAS PROYECTO]]</f>
        <v>0</v>
      </c>
      <c r="R2911" s="12">
        <f>+Tabla1[[#This Row],[COSTO TOTAL ALOJAMIENTO]]+Tabla1[[#This Row],[COSTO TOTAL COCHE]]</f>
        <v>43.166666666666671</v>
      </c>
      <c r="S2911" s="2"/>
      <c r="T2911" s="14" t="s">
        <v>44</v>
      </c>
      <c r="U2911" s="14">
        <v>45851</v>
      </c>
      <c r="V2911" s="43">
        <v>45858</v>
      </c>
      <c r="W2911" s="12"/>
      <c r="X2911" s="2"/>
      <c r="Y2911" s="11"/>
      <c r="Z2911" s="2" t="s">
        <v>36</v>
      </c>
      <c r="AA2911" s="13" t="s">
        <v>10327</v>
      </c>
      <c r="AB2911" s="13" t="s">
        <v>10328</v>
      </c>
    </row>
    <row r="2912" spans="1:28" ht="15" customHeight="1">
      <c r="A2912" s="2" t="s">
        <v>9526</v>
      </c>
      <c r="B2912" s="2" t="s">
        <v>368</v>
      </c>
      <c r="C2912" s="11" t="s">
        <v>3539</v>
      </c>
      <c r="D2912" s="2" t="s">
        <v>99</v>
      </c>
      <c r="E2912" s="2" t="s">
        <v>422</v>
      </c>
      <c r="F2912" s="11" t="s">
        <v>1983</v>
      </c>
      <c r="G2912" s="11" t="s">
        <v>2067</v>
      </c>
      <c r="H2912" s="2" t="s">
        <v>4499</v>
      </c>
      <c r="I2912" s="12" t="s">
        <v>1435</v>
      </c>
      <c r="J2912" s="22">
        <f>+Tabla1[[#This Row],[FECHA ENTRADA]]</f>
        <v>45812</v>
      </c>
      <c r="K2912" s="22">
        <v>45819</v>
      </c>
      <c r="L2912" s="23">
        <f>_xlfn.DAYS(Tabla1[[#This Row],[FECHA FIN ]],Tabla1[[#This Row],[FECHA INICIO]])</f>
        <v>7</v>
      </c>
      <c r="M2912" s="12"/>
      <c r="N2912" s="12"/>
      <c r="O2912" s="24">
        <f>(Tabla1[[#This Row],[COSTO FIJO ]]/30)*Tabla1[[#This Row],[TOTAL DIAS PROYECTO]]+(Tabla1[[#This Row],[COSTO TEMPORAL]])</f>
        <v>0</v>
      </c>
      <c r="P2912" s="12"/>
      <c r="Q2912" s="12">
        <f>+(Tabla1[[#This Row],[COSTO COCHE]]/30)*Tabla1[[#This Row],[TOTAL DIAS PROYECTO]]</f>
        <v>0</v>
      </c>
      <c r="R2912" s="12">
        <f>+Tabla1[[#This Row],[COSTO TOTAL ALOJAMIENTO]]+Tabla1[[#This Row],[COSTO TOTAL COCHE]]</f>
        <v>0</v>
      </c>
      <c r="S2912" s="2"/>
      <c r="T2912" s="14" t="s">
        <v>44</v>
      </c>
      <c r="U2912" s="22">
        <v>45812</v>
      </c>
      <c r="V2912" s="79">
        <v>45818</v>
      </c>
      <c r="W2912" s="2"/>
      <c r="X2912" s="2"/>
      <c r="Y2912" s="11"/>
      <c r="Z2912" s="2" t="s">
        <v>36</v>
      </c>
      <c r="AA2912" s="13">
        <v>-326.69799999999998</v>
      </c>
      <c r="AB2912" s="13" t="s">
        <v>10373</v>
      </c>
    </row>
    <row r="2913" spans="1:28" ht="15" customHeight="1">
      <c r="A2913" s="2" t="s">
        <v>8719</v>
      </c>
      <c r="B2913" s="2" t="s">
        <v>28</v>
      </c>
      <c r="C2913" s="11" t="s">
        <v>438</v>
      </c>
      <c r="D2913" s="2" t="s">
        <v>99</v>
      </c>
      <c r="E2913" s="2" t="s">
        <v>422</v>
      </c>
      <c r="F2913" s="11" t="s">
        <v>1983</v>
      </c>
      <c r="G2913" s="11" t="s">
        <v>2067</v>
      </c>
      <c r="H2913" s="2" t="s">
        <v>4326</v>
      </c>
      <c r="I2913" s="12" t="s">
        <v>4327</v>
      </c>
      <c r="J2913" s="22">
        <f>+Tabla1[[#This Row],[FECHA ENTRADA]]</f>
        <v>45812</v>
      </c>
      <c r="K2913" s="22">
        <v>45819</v>
      </c>
      <c r="L2913" s="23">
        <f>_xlfn.DAYS(Tabla1[[#This Row],[FECHA FIN ]],Tabla1[[#This Row],[FECHA INICIO]])</f>
        <v>7</v>
      </c>
      <c r="M2913" s="12">
        <v>133</v>
      </c>
      <c r="N2913" s="20"/>
      <c r="O2913" s="24">
        <f>(Tabla1[[#This Row],[COSTO FIJO ]]/30)*Tabla1[[#This Row],[TOTAL DIAS PROYECTO]]+(Tabla1[[#This Row],[COSTO TEMPORAL]])</f>
        <v>133</v>
      </c>
      <c r="P2913" s="12"/>
      <c r="Q2913" s="12">
        <f>+(Tabla1[[#This Row],[COSTO COCHE]]/30)*Tabla1[[#This Row],[TOTAL DIAS PROYECTO]]</f>
        <v>0</v>
      </c>
      <c r="R2913" s="12">
        <f>+Tabla1[[#This Row],[COSTO TOTAL ALOJAMIENTO]]+Tabla1[[#This Row],[COSTO TOTAL COCHE]]</f>
        <v>133</v>
      </c>
      <c r="S2913" s="2"/>
      <c r="T2913" s="14" t="s">
        <v>44</v>
      </c>
      <c r="U2913" s="22">
        <v>45812</v>
      </c>
      <c r="V2913" s="79">
        <v>45818</v>
      </c>
      <c r="W2913" s="2"/>
      <c r="X2913" s="2"/>
      <c r="Y2913" s="11"/>
      <c r="Z2913" s="2" t="s">
        <v>36</v>
      </c>
      <c r="AA2913" s="13">
        <v>-326.69799999999998</v>
      </c>
      <c r="AB2913" s="13" t="s">
        <v>10373</v>
      </c>
    </row>
    <row r="2914" spans="1:28" ht="15" customHeight="1">
      <c r="A2914" s="2" t="s">
        <v>9330</v>
      </c>
      <c r="B2914" s="2" t="s">
        <v>28</v>
      </c>
      <c r="C2914" s="11" t="s">
        <v>2842</v>
      </c>
      <c r="D2914" s="2" t="s">
        <v>99</v>
      </c>
      <c r="E2914" s="2" t="s">
        <v>422</v>
      </c>
      <c r="F2914" s="11" t="s">
        <v>1983</v>
      </c>
      <c r="G2914" s="11" t="s">
        <v>2067</v>
      </c>
      <c r="H2914" s="2" t="s">
        <v>4326</v>
      </c>
      <c r="I2914" s="12" t="s">
        <v>4327</v>
      </c>
      <c r="J2914" s="22">
        <f>+Tabla1[[#This Row],[FECHA ENTRADA]]</f>
        <v>45812</v>
      </c>
      <c r="K2914" s="22">
        <v>45821</v>
      </c>
      <c r="L2914" s="23">
        <f>_xlfn.DAYS(Tabla1[[#This Row],[FECHA FIN ]],Tabla1[[#This Row],[FECHA INICIO]])</f>
        <v>9</v>
      </c>
      <c r="M2914" s="12"/>
      <c r="N2914" s="12"/>
      <c r="O2914" s="24">
        <f>(Tabla1[[#This Row],[COSTO FIJO ]]/30)*Tabla1[[#This Row],[TOTAL DIAS PROYECTO]]+(Tabla1[[#This Row],[COSTO TEMPORAL]])</f>
        <v>0</v>
      </c>
      <c r="P2914" s="12"/>
      <c r="Q2914" s="12">
        <f>+(Tabla1[[#This Row],[COSTO COCHE]]/30)*Tabla1[[#This Row],[TOTAL DIAS PROYECTO]]</f>
        <v>0</v>
      </c>
      <c r="R2914" s="12">
        <f>+Tabla1[[#This Row],[COSTO TOTAL ALOJAMIENTO]]+Tabla1[[#This Row],[COSTO TOTAL COCHE]]</f>
        <v>0</v>
      </c>
      <c r="S2914" s="2"/>
      <c r="T2914" s="14" t="s">
        <v>44</v>
      </c>
      <c r="U2914" s="22">
        <v>45812</v>
      </c>
      <c r="V2914" s="79">
        <v>45818</v>
      </c>
      <c r="W2914" s="2"/>
      <c r="X2914" s="2"/>
      <c r="Y2914" s="11"/>
      <c r="Z2914" s="2" t="s">
        <v>36</v>
      </c>
      <c r="AA2914" s="13">
        <v>-326.69799999999998</v>
      </c>
      <c r="AB2914" s="13" t="s">
        <v>10373</v>
      </c>
    </row>
    <row r="2915" spans="1:28" ht="15" customHeight="1">
      <c r="A2915" s="2" t="s">
        <v>9737</v>
      </c>
      <c r="B2915" s="10" t="s">
        <v>978</v>
      </c>
      <c r="C2915" s="11" t="s">
        <v>4500</v>
      </c>
      <c r="D2915" s="2" t="s">
        <v>30</v>
      </c>
      <c r="E2915" s="2" t="s">
        <v>4501</v>
      </c>
      <c r="F2915" s="11" t="s">
        <v>4502</v>
      </c>
      <c r="G2915" s="46" t="s">
        <v>4503</v>
      </c>
      <c r="H2915" s="2" t="s">
        <v>4261</v>
      </c>
      <c r="I2915" s="12" t="s">
        <v>4504</v>
      </c>
      <c r="J2915" s="41">
        <f>+Tabla1[[#This Row],[FECHA ENTRADA]]</f>
        <v>45839</v>
      </c>
      <c r="K2915" s="41">
        <v>45859</v>
      </c>
      <c r="L2915" s="42">
        <f>_xlfn.DAYS(Tabla1[[#This Row],[FECHA FIN ]],Tabla1[[#This Row],[FECHA INICIO]])</f>
        <v>20</v>
      </c>
      <c r="M2915" s="12"/>
      <c r="N2915" s="12">
        <v>245</v>
      </c>
      <c r="O2915" s="28">
        <f>(Tabla1[[#This Row],[COSTO FIJO ]]/30)*Tabla1[[#This Row],[TOTAL DIAS PROYECTO]]+(Tabla1[[#This Row],[COSTO TEMPORAL]])</f>
        <v>163.33333333333331</v>
      </c>
      <c r="P2915" s="12"/>
      <c r="Q2915" s="12">
        <f>+(Tabla1[[#This Row],[COSTO COCHE]]/30)*Tabla1[[#This Row],[TOTAL DIAS PROYECTO]]</f>
        <v>0</v>
      </c>
      <c r="R2915" s="12">
        <f>+Tabla1[[#This Row],[COSTO TOTAL ALOJAMIENTO]]+Tabla1[[#This Row],[COSTO TOTAL COCHE]]</f>
        <v>163.33333333333331</v>
      </c>
      <c r="S2915" s="2"/>
      <c r="T2915" s="14" t="s">
        <v>44</v>
      </c>
      <c r="U2915" s="14">
        <v>45839</v>
      </c>
      <c r="V2915" s="43">
        <v>45859</v>
      </c>
      <c r="W2915" s="12"/>
      <c r="X2915" s="2"/>
      <c r="Y2915" s="11" t="s">
        <v>4505</v>
      </c>
      <c r="Z2915" s="2" t="s">
        <v>36</v>
      </c>
      <c r="AA2915" s="13" t="e">
        <v>#N/A</v>
      </c>
      <c r="AB2915" s="13" t="e">
        <v>#N/A</v>
      </c>
    </row>
    <row r="2916" spans="1:28" ht="15" customHeight="1">
      <c r="A2916" s="2" t="s">
        <v>9738</v>
      </c>
      <c r="B2916" s="10" t="s">
        <v>978</v>
      </c>
      <c r="C2916" s="11" t="s">
        <v>4506</v>
      </c>
      <c r="D2916" s="2" t="s">
        <v>30</v>
      </c>
      <c r="E2916" s="2" t="s">
        <v>4501</v>
      </c>
      <c r="F2916" s="11" t="s">
        <v>4502</v>
      </c>
      <c r="G2916" s="46" t="s">
        <v>4503</v>
      </c>
      <c r="H2916" s="2" t="s">
        <v>4261</v>
      </c>
      <c r="I2916" s="12" t="s">
        <v>4504</v>
      </c>
      <c r="J2916" s="41">
        <f>+Tabla1[[#This Row],[FECHA ENTRADA]]</f>
        <v>45839</v>
      </c>
      <c r="K2916" s="41">
        <v>45859</v>
      </c>
      <c r="L2916" s="42">
        <f>_xlfn.DAYS(Tabla1[[#This Row],[FECHA FIN ]],Tabla1[[#This Row],[FECHA INICIO]])</f>
        <v>20</v>
      </c>
      <c r="M2916" s="12"/>
      <c r="N2916" s="12">
        <v>245</v>
      </c>
      <c r="O2916" s="28">
        <f>(Tabla1[[#This Row],[COSTO FIJO ]]/30)*Tabla1[[#This Row],[TOTAL DIAS PROYECTO]]+(Tabla1[[#This Row],[COSTO TEMPORAL]])</f>
        <v>163.33333333333331</v>
      </c>
      <c r="P2916" s="12"/>
      <c r="Q2916" s="12">
        <f>+(Tabla1[[#This Row],[COSTO COCHE]]/30)*Tabla1[[#This Row],[TOTAL DIAS PROYECTO]]</f>
        <v>0</v>
      </c>
      <c r="R2916" s="12">
        <f>+Tabla1[[#This Row],[COSTO TOTAL ALOJAMIENTO]]+Tabla1[[#This Row],[COSTO TOTAL COCHE]]</f>
        <v>163.33333333333331</v>
      </c>
      <c r="S2916" s="2"/>
      <c r="T2916" s="14" t="s">
        <v>44</v>
      </c>
      <c r="U2916" s="14">
        <v>45839</v>
      </c>
      <c r="V2916" s="43">
        <v>45859</v>
      </c>
      <c r="W2916" s="12"/>
      <c r="X2916" s="2"/>
      <c r="Y2916" s="11" t="s">
        <v>4505</v>
      </c>
      <c r="Z2916" s="2" t="s">
        <v>36</v>
      </c>
      <c r="AA2916" s="13" t="e">
        <v>#N/A</v>
      </c>
      <c r="AB2916" s="13" t="e">
        <v>#N/A</v>
      </c>
    </row>
    <row r="2917" spans="1:28" ht="15" customHeight="1">
      <c r="A2917" s="2" t="s">
        <v>9739</v>
      </c>
      <c r="B2917" s="10" t="s">
        <v>978</v>
      </c>
      <c r="C2917" s="11" t="s">
        <v>4507</v>
      </c>
      <c r="D2917" s="2" t="s">
        <v>30</v>
      </c>
      <c r="E2917" s="2" t="s">
        <v>4501</v>
      </c>
      <c r="F2917" s="11" t="s">
        <v>4502</v>
      </c>
      <c r="G2917" s="46" t="s">
        <v>4503</v>
      </c>
      <c r="H2917" s="2" t="s">
        <v>4261</v>
      </c>
      <c r="I2917" s="12" t="s">
        <v>4504</v>
      </c>
      <c r="J2917" s="41">
        <f>+Tabla1[[#This Row],[FECHA ENTRADA]]</f>
        <v>45839</v>
      </c>
      <c r="K2917" s="41">
        <v>45859</v>
      </c>
      <c r="L2917" s="42">
        <f>_xlfn.DAYS(Tabla1[[#This Row],[FECHA FIN ]],Tabla1[[#This Row],[FECHA INICIO]])</f>
        <v>20</v>
      </c>
      <c r="M2917" s="12"/>
      <c r="N2917" s="12">
        <v>245</v>
      </c>
      <c r="O2917" s="28">
        <f>(Tabla1[[#This Row],[COSTO FIJO ]]/30)*Tabla1[[#This Row],[TOTAL DIAS PROYECTO]]+(Tabla1[[#This Row],[COSTO TEMPORAL]])</f>
        <v>163.33333333333331</v>
      </c>
      <c r="P2917" s="12"/>
      <c r="Q2917" s="12">
        <f>+(Tabla1[[#This Row],[COSTO COCHE]]/30)*Tabla1[[#This Row],[TOTAL DIAS PROYECTO]]</f>
        <v>0</v>
      </c>
      <c r="R2917" s="12">
        <f>+Tabla1[[#This Row],[COSTO TOTAL ALOJAMIENTO]]+Tabla1[[#This Row],[COSTO TOTAL COCHE]]</f>
        <v>163.33333333333331</v>
      </c>
      <c r="S2917" s="2"/>
      <c r="T2917" s="14" t="s">
        <v>44</v>
      </c>
      <c r="U2917" s="14">
        <v>45839</v>
      </c>
      <c r="V2917" s="43">
        <v>45859</v>
      </c>
      <c r="W2917" s="12"/>
      <c r="X2917" s="2"/>
      <c r="Y2917" s="11" t="s">
        <v>4505</v>
      </c>
      <c r="Z2917" s="2" t="s">
        <v>36</v>
      </c>
      <c r="AA2917" s="13" t="e">
        <v>#N/A</v>
      </c>
      <c r="AB2917" s="13" t="e">
        <v>#N/A</v>
      </c>
    </row>
    <row r="2918" spans="1:28" ht="15" customHeight="1">
      <c r="A2918" s="2" t="s">
        <v>9740</v>
      </c>
      <c r="B2918" s="10" t="s">
        <v>978</v>
      </c>
      <c r="C2918" s="11" t="s">
        <v>4508</v>
      </c>
      <c r="D2918" s="2" t="s">
        <v>30</v>
      </c>
      <c r="E2918" s="2" t="s">
        <v>4501</v>
      </c>
      <c r="F2918" s="11" t="s">
        <v>4502</v>
      </c>
      <c r="G2918" s="46" t="s">
        <v>4503</v>
      </c>
      <c r="H2918" s="2" t="s">
        <v>4261</v>
      </c>
      <c r="I2918" s="12" t="s">
        <v>4504</v>
      </c>
      <c r="J2918" s="41">
        <f>+Tabla1[[#This Row],[FECHA ENTRADA]]</f>
        <v>45839</v>
      </c>
      <c r="K2918" s="41">
        <v>45859</v>
      </c>
      <c r="L2918" s="42">
        <f>_xlfn.DAYS(Tabla1[[#This Row],[FECHA FIN ]],Tabla1[[#This Row],[FECHA INICIO]])</f>
        <v>20</v>
      </c>
      <c r="M2918" s="12"/>
      <c r="N2918" s="12">
        <v>245</v>
      </c>
      <c r="O2918" s="28">
        <f>(Tabla1[[#This Row],[COSTO FIJO ]]/30)*Tabla1[[#This Row],[TOTAL DIAS PROYECTO]]+(Tabla1[[#This Row],[COSTO TEMPORAL]])</f>
        <v>163.33333333333331</v>
      </c>
      <c r="P2918" s="12"/>
      <c r="Q2918" s="12">
        <f>+(Tabla1[[#This Row],[COSTO COCHE]]/30)*Tabla1[[#This Row],[TOTAL DIAS PROYECTO]]</f>
        <v>0</v>
      </c>
      <c r="R2918" s="12">
        <f>+Tabla1[[#This Row],[COSTO TOTAL ALOJAMIENTO]]+Tabla1[[#This Row],[COSTO TOTAL COCHE]]</f>
        <v>163.33333333333331</v>
      </c>
      <c r="S2918" s="2"/>
      <c r="T2918" s="14" t="s">
        <v>44</v>
      </c>
      <c r="U2918" s="14">
        <v>45839</v>
      </c>
      <c r="V2918" s="43">
        <v>45859</v>
      </c>
      <c r="W2918" s="12"/>
      <c r="X2918" s="2"/>
      <c r="Y2918" s="11" t="s">
        <v>4505</v>
      </c>
      <c r="Z2918" s="2" t="s">
        <v>36</v>
      </c>
      <c r="AA2918" s="13" t="e">
        <v>#N/A</v>
      </c>
      <c r="AB2918" s="13" t="e">
        <v>#N/A</v>
      </c>
    </row>
    <row r="2919" spans="1:28" ht="15" customHeight="1">
      <c r="A2919" s="2" t="s">
        <v>9432</v>
      </c>
      <c r="B2919" s="2" t="s">
        <v>368</v>
      </c>
      <c r="C2919" s="11" t="s">
        <v>3169</v>
      </c>
      <c r="D2919" s="2" t="s">
        <v>30</v>
      </c>
      <c r="E2919" s="2" t="s">
        <v>1987</v>
      </c>
      <c r="F2919" s="11" t="s">
        <v>2070</v>
      </c>
      <c r="G2919" s="242">
        <v>974239945</v>
      </c>
      <c r="H2919" s="2" t="s">
        <v>2351</v>
      </c>
      <c r="I2919" s="12" t="s">
        <v>2073</v>
      </c>
      <c r="J2919" s="41">
        <f>+Tabla1[[#This Row],[FECHA ENTRADA]]</f>
        <v>45829</v>
      </c>
      <c r="K2919" s="41">
        <v>45859</v>
      </c>
      <c r="L2919" s="42">
        <f>_xlfn.DAYS(Tabla1[[#This Row],[FECHA FIN ]],Tabla1[[#This Row],[FECHA INICIO]])</f>
        <v>30</v>
      </c>
      <c r="M2919" s="12"/>
      <c r="N2919" s="12">
        <v>466.66666666666669</v>
      </c>
      <c r="O2919" s="28">
        <f>(Tabla1[[#This Row],[COSTO FIJO ]]/30)*Tabla1[[#This Row],[TOTAL DIAS PROYECTO]]+(Tabla1[[#This Row],[COSTO TEMPORAL]])</f>
        <v>466.66666666666669</v>
      </c>
      <c r="P2919" s="12"/>
      <c r="Q2919" s="12">
        <f>+(Tabla1[[#This Row],[COSTO COCHE]]/30)*Tabla1[[#This Row],[TOTAL DIAS PROYECTO]]</f>
        <v>0</v>
      </c>
      <c r="R2919" s="12">
        <f>+Tabla1[[#This Row],[COSTO TOTAL ALOJAMIENTO]]+Tabla1[[#This Row],[COSTO TOTAL COCHE]]</f>
        <v>466.66666666666669</v>
      </c>
      <c r="S2919" s="2"/>
      <c r="T2919" s="2" t="s">
        <v>528</v>
      </c>
      <c r="U2919" s="14">
        <v>45829</v>
      </c>
      <c r="V2919" s="43">
        <v>45859</v>
      </c>
      <c r="W2919" s="2"/>
      <c r="X2919" s="2"/>
      <c r="Y2919" s="11"/>
      <c r="Z2919" s="2" t="s">
        <v>36</v>
      </c>
      <c r="AA2919" s="13" t="s">
        <v>10435</v>
      </c>
      <c r="AB2919" s="13">
        <v>42.136150000000001</v>
      </c>
    </row>
    <row r="2920" spans="1:28" ht="15" customHeight="1">
      <c r="A2920" s="2" t="s">
        <v>8684</v>
      </c>
      <c r="B2920" s="2" t="s">
        <v>368</v>
      </c>
      <c r="C2920" s="11" t="s">
        <v>282</v>
      </c>
      <c r="D2920" s="2" t="s">
        <v>30</v>
      </c>
      <c r="E2920" s="2" t="s">
        <v>1987</v>
      </c>
      <c r="F2920" s="11" t="s">
        <v>2070</v>
      </c>
      <c r="G2920" s="242">
        <v>974239945</v>
      </c>
      <c r="H2920" s="2" t="s">
        <v>2351</v>
      </c>
      <c r="I2920" s="12" t="s">
        <v>2073</v>
      </c>
      <c r="J2920" s="41">
        <f>+Tabla1[[#This Row],[FECHA ENTRADA]]</f>
        <v>45829</v>
      </c>
      <c r="K2920" s="41">
        <v>45859</v>
      </c>
      <c r="L2920" s="42">
        <f>_xlfn.DAYS(Tabla1[[#This Row],[FECHA FIN ]],Tabla1[[#This Row],[FECHA INICIO]])</f>
        <v>30</v>
      </c>
      <c r="M2920" s="12"/>
      <c r="N2920" s="12">
        <v>466.66666666666669</v>
      </c>
      <c r="O2920" s="28">
        <f>(Tabla1[[#This Row],[COSTO FIJO ]]/30)*Tabla1[[#This Row],[TOTAL DIAS PROYECTO]]+(Tabla1[[#This Row],[COSTO TEMPORAL]])</f>
        <v>466.66666666666669</v>
      </c>
      <c r="P2920" s="12"/>
      <c r="Q2920" s="12">
        <f>+(Tabla1[[#This Row],[COSTO COCHE]]/30)*Tabla1[[#This Row],[TOTAL DIAS PROYECTO]]</f>
        <v>0</v>
      </c>
      <c r="R2920" s="12">
        <f>+Tabla1[[#This Row],[COSTO TOTAL ALOJAMIENTO]]+Tabla1[[#This Row],[COSTO TOTAL COCHE]]</f>
        <v>466.66666666666669</v>
      </c>
      <c r="S2920" s="2"/>
      <c r="T2920" s="2" t="s">
        <v>528</v>
      </c>
      <c r="U2920" s="14">
        <v>45829</v>
      </c>
      <c r="V2920" s="43">
        <v>45859</v>
      </c>
      <c r="W2920" s="2"/>
      <c r="X2920" s="2"/>
      <c r="Y2920" s="11"/>
      <c r="Z2920" s="2" t="s">
        <v>36</v>
      </c>
      <c r="AA2920" s="13" t="s">
        <v>10435</v>
      </c>
      <c r="AB2920" s="13">
        <v>42.136150000000001</v>
      </c>
    </row>
    <row r="2921" spans="1:28" ht="15" customHeight="1">
      <c r="A2921" s="2" t="s">
        <v>9120</v>
      </c>
      <c r="B2921" s="2" t="s">
        <v>368</v>
      </c>
      <c r="C2921" s="11" t="s">
        <v>2082</v>
      </c>
      <c r="D2921" s="2" t="s">
        <v>30</v>
      </c>
      <c r="E2921" s="2" t="s">
        <v>1987</v>
      </c>
      <c r="F2921" s="11" t="s">
        <v>2070</v>
      </c>
      <c r="G2921" s="242">
        <v>974239945</v>
      </c>
      <c r="H2921" s="2" t="s">
        <v>2351</v>
      </c>
      <c r="I2921" s="12" t="s">
        <v>2073</v>
      </c>
      <c r="J2921" s="41">
        <f>+Tabla1[[#This Row],[FECHA ENTRADA]]</f>
        <v>45829</v>
      </c>
      <c r="K2921" s="41">
        <v>45859</v>
      </c>
      <c r="L2921" s="42">
        <f>_xlfn.DAYS(Tabla1[[#This Row],[FECHA FIN ]],Tabla1[[#This Row],[FECHA INICIO]])</f>
        <v>30</v>
      </c>
      <c r="M2921" s="12"/>
      <c r="N2921" s="12">
        <v>466.66666666666669</v>
      </c>
      <c r="O2921" s="28">
        <f>(Tabla1[[#This Row],[COSTO FIJO ]]/30)*Tabla1[[#This Row],[TOTAL DIAS PROYECTO]]+(Tabla1[[#This Row],[COSTO TEMPORAL]])</f>
        <v>466.66666666666669</v>
      </c>
      <c r="P2921" s="12"/>
      <c r="Q2921" s="12">
        <f>+(Tabla1[[#This Row],[COSTO COCHE]]/30)*Tabla1[[#This Row],[TOTAL DIAS PROYECTO]]</f>
        <v>0</v>
      </c>
      <c r="R2921" s="12">
        <f>+Tabla1[[#This Row],[COSTO TOTAL ALOJAMIENTO]]+Tabla1[[#This Row],[COSTO TOTAL COCHE]]</f>
        <v>466.66666666666669</v>
      </c>
      <c r="S2921" s="2"/>
      <c r="T2921" s="2" t="s">
        <v>528</v>
      </c>
      <c r="U2921" s="14">
        <v>45829</v>
      </c>
      <c r="V2921" s="43">
        <v>45859</v>
      </c>
      <c r="W2921" s="2"/>
      <c r="X2921" s="2"/>
      <c r="Y2921" s="11"/>
      <c r="Z2921" s="2" t="s">
        <v>36</v>
      </c>
      <c r="AA2921" s="13" t="s">
        <v>10435</v>
      </c>
      <c r="AB2921" s="13">
        <v>42.136150000000001</v>
      </c>
    </row>
    <row r="2922" spans="1:28" ht="15" customHeight="1">
      <c r="A2922" s="2" t="s">
        <v>9741</v>
      </c>
      <c r="B2922" s="2" t="s">
        <v>978</v>
      </c>
      <c r="C2922" s="31" t="s">
        <v>4509</v>
      </c>
      <c r="D2922" s="2" t="s">
        <v>99</v>
      </c>
      <c r="E2922" s="2" t="s">
        <v>855</v>
      </c>
      <c r="F2922" s="11" t="s">
        <v>4510</v>
      </c>
      <c r="G2922" s="46" t="s">
        <v>4511</v>
      </c>
      <c r="H2922" s="2" t="s">
        <v>4111</v>
      </c>
      <c r="I2922" s="12" t="s">
        <v>4512</v>
      </c>
      <c r="J2922" s="41">
        <f>+Tabla1[[#This Row],[FECHA ENTRADA]]</f>
        <v>45799</v>
      </c>
      <c r="K2922" s="41">
        <v>45860</v>
      </c>
      <c r="L2922" s="42">
        <f>_xlfn.DAYS(Tabla1[[#This Row],[FECHA FIN ]],Tabla1[[#This Row],[FECHA INICIO]])</f>
        <v>61</v>
      </c>
      <c r="M2922" s="12"/>
      <c r="N2922" s="28">
        <v>350</v>
      </c>
      <c r="O2922" s="28">
        <f>(Tabla1[[#This Row],[COSTO FIJO ]]/30)*Tabla1[[#This Row],[TOTAL DIAS PROYECTO]]+(Tabla1[[#This Row],[COSTO TEMPORAL]])</f>
        <v>711.66666666666663</v>
      </c>
      <c r="P2922" s="12"/>
      <c r="Q2922" s="12">
        <f>+(Tabla1[[#This Row],[COSTO COCHE]]/30)*Tabla1[[#This Row],[TOTAL DIAS PROYECTO]]</f>
        <v>0</v>
      </c>
      <c r="R2922" s="12">
        <f>+Tabla1[[#This Row],[COSTO TOTAL ALOJAMIENTO]]+Tabla1[[#This Row],[COSTO TOTAL COCHE]]</f>
        <v>711.66666666666663</v>
      </c>
      <c r="S2922" s="2"/>
      <c r="T2922" s="14" t="s">
        <v>35</v>
      </c>
      <c r="U2922" s="14">
        <v>45799</v>
      </c>
      <c r="V2922" s="43"/>
      <c r="W2922" s="12"/>
      <c r="X2922" s="2">
        <v>1</v>
      </c>
      <c r="Y2922" s="11" t="s">
        <v>4513</v>
      </c>
      <c r="Z2922" s="2" t="s">
        <v>36</v>
      </c>
      <c r="AA2922" s="13" t="s">
        <v>10401</v>
      </c>
      <c r="AB2922" s="13" t="s">
        <v>10402</v>
      </c>
    </row>
    <row r="2923" spans="1:28" ht="15" customHeight="1">
      <c r="A2923" s="2" t="s">
        <v>9453</v>
      </c>
      <c r="B2923" s="2" t="s">
        <v>711</v>
      </c>
      <c r="C2923" s="11" t="s">
        <v>3228</v>
      </c>
      <c r="D2923" s="2" t="s">
        <v>99</v>
      </c>
      <c r="E2923" s="2" t="s">
        <v>1514</v>
      </c>
      <c r="F2923" s="11" t="s">
        <v>4242</v>
      </c>
      <c r="G2923" s="46" t="s">
        <v>4243</v>
      </c>
      <c r="H2923" s="2" t="s">
        <v>3693</v>
      </c>
      <c r="I2923" s="12" t="s">
        <v>506</v>
      </c>
      <c r="J2923" s="41">
        <f>+Tabla1[[#This Row],[FECHA ENTRADA]]</f>
        <v>45840</v>
      </c>
      <c r="K2923" s="41">
        <v>45860</v>
      </c>
      <c r="L2923" s="42">
        <f>_xlfn.DAYS(Tabla1[[#This Row],[FECHA FIN ]],Tabla1[[#This Row],[FECHA INICIO]])</f>
        <v>20</v>
      </c>
      <c r="M2923" s="12"/>
      <c r="N2923" s="12">
        <f>745.8/5</f>
        <v>149.16</v>
      </c>
      <c r="O2923" s="28">
        <f>(Tabla1[[#This Row],[COSTO FIJO ]]/30)*Tabla1[[#This Row],[TOTAL DIAS PROYECTO]]+(Tabla1[[#This Row],[COSTO TEMPORAL]])</f>
        <v>99.44</v>
      </c>
      <c r="P2923" s="12"/>
      <c r="Q2923" s="12">
        <f>+(Tabla1[[#This Row],[COSTO COCHE]]/30)*Tabla1[[#This Row],[TOTAL DIAS PROYECTO]]</f>
        <v>0</v>
      </c>
      <c r="R2923" s="12">
        <f>+Tabla1[[#This Row],[COSTO TOTAL ALOJAMIENTO]]+Tabla1[[#This Row],[COSTO TOTAL COCHE]]</f>
        <v>99.44</v>
      </c>
      <c r="S2923" s="2"/>
      <c r="T2923" s="2" t="s">
        <v>528</v>
      </c>
      <c r="U2923" s="14">
        <v>45840</v>
      </c>
      <c r="V2923" s="43">
        <v>45860</v>
      </c>
      <c r="W2923" s="12"/>
      <c r="X2923" s="2"/>
      <c r="Y2923" s="11"/>
      <c r="Z2923" s="2" t="s">
        <v>36</v>
      </c>
      <c r="AA2923" s="13" t="s">
        <v>10424</v>
      </c>
      <c r="AB2923" s="13">
        <v>398581</v>
      </c>
    </row>
    <row r="2924" spans="1:28" ht="15" customHeight="1">
      <c r="A2924" s="2" t="s">
        <v>9443</v>
      </c>
      <c r="B2924" s="2" t="s">
        <v>711</v>
      </c>
      <c r="C2924" s="11" t="s">
        <v>3196</v>
      </c>
      <c r="D2924" s="2" t="s">
        <v>99</v>
      </c>
      <c r="E2924" s="2" t="s">
        <v>1514</v>
      </c>
      <c r="F2924" s="11" t="s">
        <v>4242</v>
      </c>
      <c r="G2924" s="46" t="s">
        <v>4243</v>
      </c>
      <c r="H2924" s="2" t="s">
        <v>3693</v>
      </c>
      <c r="I2924" s="12" t="s">
        <v>506</v>
      </c>
      <c r="J2924" s="41">
        <f>+Tabla1[[#This Row],[FECHA ENTRADA]]</f>
        <v>45840</v>
      </c>
      <c r="K2924" s="41">
        <v>45860</v>
      </c>
      <c r="L2924" s="42">
        <f>_xlfn.DAYS(Tabla1[[#This Row],[FECHA FIN ]],Tabla1[[#This Row],[FECHA INICIO]])</f>
        <v>20</v>
      </c>
      <c r="M2924" s="12"/>
      <c r="N2924" s="12">
        <v>149.16</v>
      </c>
      <c r="O2924" s="28">
        <f>(Tabla1[[#This Row],[COSTO FIJO ]]/30)*Tabla1[[#This Row],[TOTAL DIAS PROYECTO]]+(Tabla1[[#This Row],[COSTO TEMPORAL]])</f>
        <v>99.44</v>
      </c>
      <c r="P2924" s="12"/>
      <c r="Q2924" s="12">
        <f>+(Tabla1[[#This Row],[COSTO COCHE]]/30)*Tabla1[[#This Row],[TOTAL DIAS PROYECTO]]</f>
        <v>0</v>
      </c>
      <c r="R2924" s="12">
        <f>+Tabla1[[#This Row],[COSTO TOTAL ALOJAMIENTO]]+Tabla1[[#This Row],[COSTO TOTAL COCHE]]</f>
        <v>99.44</v>
      </c>
      <c r="S2924" s="2"/>
      <c r="T2924" s="2" t="s">
        <v>528</v>
      </c>
      <c r="U2924" s="14">
        <v>45840</v>
      </c>
      <c r="V2924" s="43">
        <v>45860</v>
      </c>
      <c r="W2924" s="12"/>
      <c r="X2924" s="2"/>
      <c r="Y2924" s="11"/>
      <c r="Z2924" s="2" t="s">
        <v>36</v>
      </c>
      <c r="AA2924" s="13" t="s">
        <v>10424</v>
      </c>
      <c r="AB2924" s="13">
        <v>398581</v>
      </c>
    </row>
    <row r="2925" spans="1:28" ht="15" customHeight="1">
      <c r="A2925" s="2" t="s">
        <v>8848</v>
      </c>
      <c r="B2925" s="2" t="s">
        <v>711</v>
      </c>
      <c r="C2925" s="11" t="s">
        <v>1003</v>
      </c>
      <c r="D2925" s="2" t="s">
        <v>99</v>
      </c>
      <c r="E2925" s="2" t="s">
        <v>1514</v>
      </c>
      <c r="F2925" s="11" t="s">
        <v>4242</v>
      </c>
      <c r="G2925" s="46" t="s">
        <v>4243</v>
      </c>
      <c r="H2925" s="2" t="s">
        <v>3693</v>
      </c>
      <c r="I2925" s="12" t="s">
        <v>506</v>
      </c>
      <c r="J2925" s="41">
        <f>+Tabla1[[#This Row],[FECHA ENTRADA]]</f>
        <v>45840</v>
      </c>
      <c r="K2925" s="41">
        <v>45860</v>
      </c>
      <c r="L2925" s="42">
        <f>_xlfn.DAYS(Tabla1[[#This Row],[FECHA FIN ]],Tabla1[[#This Row],[FECHA INICIO]])</f>
        <v>20</v>
      </c>
      <c r="M2925" s="12"/>
      <c r="N2925" s="12">
        <v>149.16</v>
      </c>
      <c r="O2925" s="28">
        <f>(Tabla1[[#This Row],[COSTO FIJO ]]/30)*Tabla1[[#This Row],[TOTAL DIAS PROYECTO]]+(Tabla1[[#This Row],[COSTO TEMPORAL]])</f>
        <v>99.44</v>
      </c>
      <c r="P2925" s="12"/>
      <c r="Q2925" s="12">
        <f>+(Tabla1[[#This Row],[COSTO COCHE]]/30)*Tabla1[[#This Row],[TOTAL DIAS PROYECTO]]</f>
        <v>0</v>
      </c>
      <c r="R2925" s="12">
        <f>+Tabla1[[#This Row],[COSTO TOTAL ALOJAMIENTO]]+Tabla1[[#This Row],[COSTO TOTAL COCHE]]</f>
        <v>99.44</v>
      </c>
      <c r="S2925" s="2"/>
      <c r="T2925" s="2" t="s">
        <v>528</v>
      </c>
      <c r="U2925" s="14">
        <v>45840</v>
      </c>
      <c r="V2925" s="43">
        <v>45860</v>
      </c>
      <c r="W2925" s="12"/>
      <c r="X2925" s="2"/>
      <c r="Y2925" s="11"/>
      <c r="Z2925" s="2" t="s">
        <v>36</v>
      </c>
      <c r="AA2925" s="13" t="s">
        <v>10424</v>
      </c>
      <c r="AB2925" s="13">
        <v>398581</v>
      </c>
    </row>
    <row r="2926" spans="1:28" ht="15" customHeight="1">
      <c r="A2926" s="2" t="s">
        <v>9220</v>
      </c>
      <c r="B2926" s="2" t="s">
        <v>711</v>
      </c>
      <c r="C2926" s="11" t="s">
        <v>2489</v>
      </c>
      <c r="D2926" s="2" t="s">
        <v>78</v>
      </c>
      <c r="E2926" s="2" t="s">
        <v>4055</v>
      </c>
      <c r="F2926" s="11" t="s">
        <v>4514</v>
      </c>
      <c r="G2926" s="46" t="s">
        <v>4515</v>
      </c>
      <c r="H2926" s="2" t="s">
        <v>1391</v>
      </c>
      <c r="I2926" s="12" t="s">
        <v>800</v>
      </c>
      <c r="J2926" s="22">
        <f>+Tabla1[[#This Row],[FECHA ENTRADA]]</f>
        <v>45853</v>
      </c>
      <c r="K2926" s="22">
        <v>45860</v>
      </c>
      <c r="L2926" s="23">
        <f>_xlfn.DAYS(Tabla1[[#This Row],[FECHA FIN ]],Tabla1[[#This Row],[FECHA INICIO]])</f>
        <v>7</v>
      </c>
      <c r="M2926" s="12"/>
      <c r="N2926" s="12">
        <f>1178.3/4</f>
        <v>294.57499999999999</v>
      </c>
      <c r="O2926" s="24">
        <f>(Tabla1[[#This Row],[COSTO FIJO ]]/30)*Tabla1[[#This Row],[TOTAL DIAS PROYECTO]]+(Tabla1[[#This Row],[COSTO TEMPORAL]])</f>
        <v>68.734166666666667</v>
      </c>
      <c r="P2926" s="12"/>
      <c r="Q2926" s="12">
        <f>+(Tabla1[[#This Row],[COSTO COCHE]]/30)*Tabla1[[#This Row],[TOTAL DIAS PROYECTO]]</f>
        <v>0</v>
      </c>
      <c r="R2926" s="12">
        <f>+Tabla1[[#This Row],[COSTO TOTAL ALOJAMIENTO]]+Tabla1[[#This Row],[COSTO TOTAL COCHE]]</f>
        <v>68.734166666666667</v>
      </c>
      <c r="S2926" s="2"/>
      <c r="T2926" s="14" t="s">
        <v>44</v>
      </c>
      <c r="U2926" s="43">
        <v>45853</v>
      </c>
      <c r="V2926" s="25">
        <v>45870</v>
      </c>
      <c r="W2926" s="12"/>
      <c r="X2926" s="2"/>
      <c r="Y2926" s="11" t="s">
        <v>4427</v>
      </c>
      <c r="Z2926" s="2" t="s">
        <v>36</v>
      </c>
      <c r="AA2926" s="13" t="e">
        <v>#N/A</v>
      </c>
      <c r="AB2926" s="13" t="e">
        <v>#N/A</v>
      </c>
    </row>
    <row r="2927" spans="1:28" ht="15" customHeight="1">
      <c r="A2927" s="2" t="s">
        <v>8638</v>
      </c>
      <c r="B2927" s="2" t="s">
        <v>28</v>
      </c>
      <c r="C2927" s="86" t="s">
        <v>1158</v>
      </c>
      <c r="D2927" s="2" t="s">
        <v>30</v>
      </c>
      <c r="E2927" s="2" t="s">
        <v>253</v>
      </c>
      <c r="F2927" s="11" t="s">
        <v>1261</v>
      </c>
      <c r="G2927" s="11" t="s">
        <v>772</v>
      </c>
      <c r="H2927" s="2">
        <v>2023</v>
      </c>
      <c r="I2927" s="2" t="s">
        <v>582</v>
      </c>
      <c r="J2927" s="41">
        <f>+Tabla1[[#This Row],[FECHA ENTRADA]]</f>
        <v>45637</v>
      </c>
      <c r="K2927" s="8">
        <v>45861</v>
      </c>
      <c r="L2927" s="42">
        <f>_xlfn.DAYS(Tabla1[[#This Row],[FECHA FIN ]],Tabla1[[#This Row],[FECHA INICIO]])</f>
        <v>224</v>
      </c>
      <c r="M2927" s="12"/>
      <c r="N2927" s="12"/>
      <c r="O2927" s="28">
        <f>(Tabla1[[#This Row],[COSTO FIJO ]]/30)*Tabla1[[#This Row],[TOTAL DIAS PROYECTO]]+(Tabla1[[#This Row],[COSTO TEMPORAL]])</f>
        <v>0</v>
      </c>
      <c r="P2927" s="12">
        <f>1304.98/7</f>
        <v>186.42571428571429</v>
      </c>
      <c r="Q2927" s="12">
        <f>+(Tabla1[[#This Row],[COSTO COCHE]]/30)*Tabla1[[#This Row],[TOTAL DIAS PROYECTO]]</f>
        <v>1391.9786666666669</v>
      </c>
      <c r="R2927" s="12">
        <f>+Tabla1[[#This Row],[COSTO TOTAL ALOJAMIENTO]]+Tabla1[[#This Row],[COSTO TOTAL COCHE]]</f>
        <v>1391.9786666666669</v>
      </c>
      <c r="S2927" s="2"/>
      <c r="T2927" s="2" t="s">
        <v>35</v>
      </c>
      <c r="U2927" s="14">
        <v>45637</v>
      </c>
      <c r="V2927" s="43">
        <v>45862</v>
      </c>
      <c r="W2927" s="26"/>
      <c r="X2927" s="2">
        <v>5</v>
      </c>
      <c r="Y2927" s="11" t="s">
        <v>4516</v>
      </c>
      <c r="Z2927" s="2" t="s">
        <v>36</v>
      </c>
      <c r="AA2927" s="13" t="s">
        <v>10357</v>
      </c>
      <c r="AB2927" s="13" t="s">
        <v>10358</v>
      </c>
    </row>
    <row r="2928" spans="1:28" ht="15" customHeight="1">
      <c r="A2928" s="2" t="s">
        <v>9200</v>
      </c>
      <c r="B2928" s="2" t="s">
        <v>28</v>
      </c>
      <c r="C2928" s="11" t="s">
        <v>2415</v>
      </c>
      <c r="D2928" s="2" t="s">
        <v>99</v>
      </c>
      <c r="E2928" s="2" t="s">
        <v>253</v>
      </c>
      <c r="F2928" s="11" t="s">
        <v>1984</v>
      </c>
      <c r="G2928" s="46" t="s">
        <v>1985</v>
      </c>
      <c r="H2928" s="2" t="s">
        <v>1820</v>
      </c>
      <c r="I2928" s="12" t="s">
        <v>256</v>
      </c>
      <c r="J2928" s="22">
        <f>+Tabla1[[#This Row],[FECHA ENTRADA]]</f>
        <v>45837</v>
      </c>
      <c r="K2928" s="22">
        <v>45861</v>
      </c>
      <c r="L2928" s="23">
        <f>_xlfn.DAYS(Tabla1[[#This Row],[FECHA FIN ]],Tabla1[[#This Row],[FECHA INICIO]])</f>
        <v>24</v>
      </c>
      <c r="M2928" s="12"/>
      <c r="N2928" s="12"/>
      <c r="O2928" s="24">
        <f>(Tabla1[[#This Row],[COSTO FIJO ]]/30)*Tabla1[[#This Row],[TOTAL DIAS PROYECTO]]+(Tabla1[[#This Row],[COSTO TEMPORAL]])</f>
        <v>0</v>
      </c>
      <c r="P2928" s="12"/>
      <c r="Q2928" s="12">
        <f>+(Tabla1[[#This Row],[COSTO COCHE]]/30)*Tabla1[[#This Row],[TOTAL DIAS PROYECTO]]</f>
        <v>0</v>
      </c>
      <c r="R2928" s="12">
        <f>+Tabla1[[#This Row],[COSTO TOTAL ALOJAMIENTO]]+Tabla1[[#This Row],[COSTO TOTAL COCHE]]</f>
        <v>0</v>
      </c>
      <c r="S2928" s="2"/>
      <c r="T2928" s="14" t="s">
        <v>44</v>
      </c>
      <c r="U2928" s="14">
        <v>45837</v>
      </c>
      <c r="V2928" s="25">
        <v>45853</v>
      </c>
      <c r="W2928" s="12"/>
      <c r="X2928" s="2"/>
      <c r="Y2928" s="11"/>
      <c r="Z2928" s="2" t="s">
        <v>36</v>
      </c>
      <c r="AA2928" s="13" t="s">
        <v>10357</v>
      </c>
      <c r="AB2928" s="13" t="s">
        <v>10358</v>
      </c>
    </row>
    <row r="2929" spans="1:28" ht="15" customHeight="1">
      <c r="A2929" s="2" t="s">
        <v>9736</v>
      </c>
      <c r="B2929" s="2" t="s">
        <v>28</v>
      </c>
      <c r="C2929" s="18" t="s">
        <v>4495</v>
      </c>
      <c r="D2929" s="2" t="s">
        <v>30</v>
      </c>
      <c r="E2929" s="2" t="s">
        <v>686</v>
      </c>
      <c r="F2929" s="11" t="s">
        <v>4517</v>
      </c>
      <c r="G2929" s="21" t="s">
        <v>4518</v>
      </c>
      <c r="H2929" s="2" t="s">
        <v>4519</v>
      </c>
      <c r="I2929" s="12" t="s">
        <v>96</v>
      </c>
      <c r="J2929" s="22">
        <f>+Tabla1[[#This Row],[FECHA ENTRADA]]</f>
        <v>45683</v>
      </c>
      <c r="K2929" s="8">
        <v>45740</v>
      </c>
      <c r="L2929" s="23">
        <f>_xlfn.DAYS(Tabla1[[#This Row],[FECHA FIN ]],Tabla1[[#This Row],[FECHA INICIO]])</f>
        <v>57</v>
      </c>
      <c r="M2929" s="12">
        <f>146/2</f>
        <v>73</v>
      </c>
      <c r="N2929" s="20"/>
      <c r="O2929" s="24">
        <f>(Tabla1[[#This Row],[COSTO FIJO ]]/30)*Tabla1[[#This Row],[TOTAL DIAS PROYECTO]]+(Tabla1[[#This Row],[COSTO TEMPORAL]])</f>
        <v>73</v>
      </c>
      <c r="P2929" s="12"/>
      <c r="Q2929" s="12">
        <f>+(Tabla1[[#This Row],[COSTO COCHE]]/30)*Tabla1[[#This Row],[TOTAL DIAS PROYECTO]]</f>
        <v>0</v>
      </c>
      <c r="R2929" s="12">
        <f>+Tabla1[[#This Row],[COSTO TOTAL ALOJAMIENTO]]+Tabla1[[#This Row],[COSTO TOTAL COCHE]]</f>
        <v>73</v>
      </c>
      <c r="S2929" s="2"/>
      <c r="T2929" s="2" t="s">
        <v>44</v>
      </c>
      <c r="U2929" s="14">
        <v>45683</v>
      </c>
      <c r="V2929" s="79">
        <v>45688</v>
      </c>
      <c r="W2929" s="26"/>
      <c r="X2929" s="2"/>
      <c r="Y2929" s="11"/>
      <c r="Z2929" s="2" t="s">
        <v>36</v>
      </c>
      <c r="AA2929" s="13" t="s">
        <v>10393</v>
      </c>
      <c r="AB2929" s="13">
        <v>3834517</v>
      </c>
    </row>
    <row r="2930" spans="1:28" ht="15" customHeight="1">
      <c r="A2930" s="2" t="s">
        <v>9736</v>
      </c>
      <c r="B2930" s="2" t="s">
        <v>28</v>
      </c>
      <c r="C2930" s="11" t="s">
        <v>4495</v>
      </c>
      <c r="D2930" s="2" t="s">
        <v>30</v>
      </c>
      <c r="E2930" s="2" t="s">
        <v>686</v>
      </c>
      <c r="F2930" s="11" t="s">
        <v>3068</v>
      </c>
      <c r="G2930" s="21" t="s">
        <v>3069</v>
      </c>
      <c r="H2930" s="2" t="s">
        <v>4519</v>
      </c>
      <c r="I2930" s="12" t="s">
        <v>96</v>
      </c>
      <c r="J2930" s="22">
        <f>+Tabla1[[#This Row],[FECHA ENTRADA]]</f>
        <v>45688</v>
      </c>
      <c r="K2930" s="8">
        <v>45764</v>
      </c>
      <c r="L2930" s="23">
        <f>_xlfn.DAYS(Tabla1[[#This Row],[FECHA FIN ]],Tabla1[[#This Row],[FECHA INICIO]])</f>
        <v>76</v>
      </c>
      <c r="M2930" s="12">
        <f>1811.6/17</f>
        <v>106.56470588235294</v>
      </c>
      <c r="N2930" s="12"/>
      <c r="O2930" s="24">
        <f>(Tabla1[[#This Row],[COSTO FIJO ]]/30)*Tabla1[[#This Row],[TOTAL DIAS PROYECTO]]+(Tabla1[[#This Row],[COSTO TEMPORAL]])</f>
        <v>106.56470588235294</v>
      </c>
      <c r="P2930" s="12">
        <f>519.82/2</f>
        <v>259.91000000000003</v>
      </c>
      <c r="Q2930" s="12">
        <f>+(Tabla1[[#This Row],[COSTO COCHE]]/30)*Tabla1[[#This Row],[TOTAL DIAS PROYECTO]]</f>
        <v>658.43866666666679</v>
      </c>
      <c r="R2930" s="12">
        <f>+Tabla1[[#This Row],[COSTO TOTAL ALOJAMIENTO]]+Tabla1[[#This Row],[COSTO TOTAL COCHE]]</f>
        <v>765.00337254901979</v>
      </c>
      <c r="S2930" s="2" t="s">
        <v>84</v>
      </c>
      <c r="T2930" s="2" t="s">
        <v>44</v>
      </c>
      <c r="U2930" s="14">
        <v>45688</v>
      </c>
      <c r="V2930" s="79">
        <v>45764</v>
      </c>
      <c r="W2930" s="26"/>
      <c r="X2930" s="2"/>
      <c r="Y2930" s="11" t="s">
        <v>4520</v>
      </c>
      <c r="Z2930" s="2" t="s">
        <v>36</v>
      </c>
      <c r="AA2930" s="13" t="s">
        <v>10393</v>
      </c>
      <c r="AB2930" s="13">
        <v>3834517</v>
      </c>
    </row>
    <row r="2931" spans="1:28" ht="15" customHeight="1">
      <c r="A2931" s="2" t="s">
        <v>9506</v>
      </c>
      <c r="B2931" s="2" t="s">
        <v>978</v>
      </c>
      <c r="C2931" s="31" t="s">
        <v>3453</v>
      </c>
      <c r="D2931" s="2" t="s">
        <v>99</v>
      </c>
      <c r="E2931" s="2" t="s">
        <v>245</v>
      </c>
      <c r="F2931" s="11" t="s">
        <v>4521</v>
      </c>
      <c r="G2931" s="46" t="s">
        <v>981</v>
      </c>
      <c r="H2931" s="2" t="s">
        <v>1534</v>
      </c>
      <c r="I2931" s="12" t="s">
        <v>4522</v>
      </c>
      <c r="J2931" s="41">
        <f>+Tabla1[[#This Row],[FECHA ENTRADA]]</f>
        <v>45833</v>
      </c>
      <c r="K2931" s="41">
        <v>45917</v>
      </c>
      <c r="L2931" s="42">
        <f>_xlfn.DAYS(Tabla1[[#This Row],[FECHA FIN ]],Tabla1[[#This Row],[FECHA INICIO]])</f>
        <v>84</v>
      </c>
      <c r="M2931" s="12"/>
      <c r="N2931" s="12">
        <v>300</v>
      </c>
      <c r="O2931" s="28">
        <f>(Tabla1[[#This Row],[COSTO FIJO ]]/30)*Tabla1[[#This Row],[TOTAL DIAS PROYECTO]]+(Tabla1[[#This Row],[COSTO TEMPORAL]])</f>
        <v>840</v>
      </c>
      <c r="P2931" s="12"/>
      <c r="Q2931" s="12">
        <f>+(Tabla1[[#This Row],[COSTO COCHE]]/30)*Tabla1[[#This Row],[TOTAL DIAS PROYECTO]]</f>
        <v>0</v>
      </c>
      <c r="R2931" s="12">
        <f>+Tabla1[[#This Row],[COSTO TOTAL ALOJAMIENTO]]+Tabla1[[#This Row],[COSTO TOTAL COCHE]]</f>
        <v>840</v>
      </c>
      <c r="S2931" s="2"/>
      <c r="T2931" s="2" t="s">
        <v>35</v>
      </c>
      <c r="U2931" s="14">
        <v>45833</v>
      </c>
      <c r="V2931" s="43"/>
      <c r="W2931" s="12"/>
      <c r="X2931" s="2">
        <v>23</v>
      </c>
      <c r="Y2931" s="243" t="s">
        <v>4523</v>
      </c>
      <c r="Z2931" s="2" t="s">
        <v>36</v>
      </c>
      <c r="AA2931" s="13" t="s">
        <v>10355</v>
      </c>
      <c r="AB2931" s="13" t="s">
        <v>10356</v>
      </c>
    </row>
    <row r="2932" spans="1:28" ht="15" customHeight="1">
      <c r="A2932" s="2" t="s">
        <v>9742</v>
      </c>
      <c r="B2932" s="2" t="s">
        <v>368</v>
      </c>
      <c r="C2932" s="11" t="s">
        <v>4524</v>
      </c>
      <c r="D2932" s="2" t="s">
        <v>99</v>
      </c>
      <c r="E2932" s="2" t="s">
        <v>109</v>
      </c>
      <c r="F2932" s="11" t="s">
        <v>4434</v>
      </c>
      <c r="G2932" s="21">
        <v>973266788</v>
      </c>
      <c r="H2932" s="2" t="s">
        <v>3921</v>
      </c>
      <c r="I2932" s="12" t="s">
        <v>1830</v>
      </c>
      <c r="J2932" s="22">
        <f>+Tabla1[[#This Row],[FECHA ENTRADA]]</f>
        <v>45817</v>
      </c>
      <c r="K2932" s="22">
        <v>45868</v>
      </c>
      <c r="L2932" s="23">
        <f>_xlfn.DAYS(Tabla1[[#This Row],[FECHA FIN ]],Tabla1[[#This Row],[FECHA INICIO]])</f>
        <v>51</v>
      </c>
      <c r="M2932" s="12"/>
      <c r="N2932" s="12">
        <f>1745.79/4</f>
        <v>436.44749999999999</v>
      </c>
      <c r="O2932" s="24">
        <f>(Tabla1[[#This Row],[COSTO FIJO ]]/30)*Tabla1[[#This Row],[TOTAL DIAS PROYECTO]]+(Tabla1[[#This Row],[COSTO TEMPORAL]])</f>
        <v>741.96074999999996</v>
      </c>
      <c r="P2932" s="12"/>
      <c r="Q2932" s="12">
        <f>+(Tabla1[[#This Row],[COSTO COCHE]]/30)*Tabla1[[#This Row],[TOTAL DIAS PROYECTO]]</f>
        <v>0</v>
      </c>
      <c r="R2932" s="12">
        <f>+Tabla1[[#This Row],[COSTO TOTAL ALOJAMIENTO]]+Tabla1[[#This Row],[COSTO TOTAL COCHE]]</f>
        <v>741.96074999999996</v>
      </c>
      <c r="S2932" s="2"/>
      <c r="T2932" s="14" t="s">
        <v>44</v>
      </c>
      <c r="U2932" s="14">
        <v>45817</v>
      </c>
      <c r="V2932" s="79">
        <v>45868</v>
      </c>
      <c r="W2932" s="2"/>
      <c r="X2932" s="2"/>
      <c r="Y2932" s="11"/>
      <c r="Z2932" s="2" t="s">
        <v>36</v>
      </c>
      <c r="AA2932" s="13">
        <v>0.62217999999999996</v>
      </c>
      <c r="AB2932" s="13" t="s">
        <v>10339</v>
      </c>
    </row>
    <row r="2933" spans="1:28" ht="15" customHeight="1">
      <c r="A2933" s="2" t="s">
        <v>8642</v>
      </c>
      <c r="B2933" s="2" t="s">
        <v>978</v>
      </c>
      <c r="C2933" s="11" t="s">
        <v>4525</v>
      </c>
      <c r="D2933" s="2" t="s">
        <v>99</v>
      </c>
      <c r="E2933" s="2" t="s">
        <v>109</v>
      </c>
      <c r="F2933" s="11" t="s">
        <v>2161</v>
      </c>
      <c r="G2933" s="30" t="s">
        <v>2162</v>
      </c>
      <c r="H2933" s="2" t="s">
        <v>1461</v>
      </c>
      <c r="I2933" s="12" t="s">
        <v>4526</v>
      </c>
      <c r="J2933" s="41">
        <f>+Tabla1[[#This Row],[FECHA ENTRADA]]</f>
        <v>45820</v>
      </c>
      <c r="K2933" s="41">
        <v>45844</v>
      </c>
      <c r="L2933" s="42">
        <f>_xlfn.DAYS(Tabla1[[#This Row],[FECHA FIN ]],Tabla1[[#This Row],[FECHA INICIO]])</f>
        <v>24</v>
      </c>
      <c r="M2933" s="12"/>
      <c r="N2933" s="12">
        <v>466.66666666666669</v>
      </c>
      <c r="O2933" s="28">
        <f>(Tabla1[[#This Row],[COSTO FIJO ]]/30)*Tabla1[[#This Row],[TOTAL DIAS PROYECTO]]+(Tabla1[[#This Row],[COSTO TEMPORAL]])</f>
        <v>373.33333333333331</v>
      </c>
      <c r="P2933" s="12"/>
      <c r="Q2933" s="12">
        <f>+(Tabla1[[#This Row],[COSTO COCHE]]/30)*Tabla1[[#This Row],[TOTAL DIAS PROYECTO]]</f>
        <v>0</v>
      </c>
      <c r="R2933" s="12">
        <f>+Tabla1[[#This Row],[COSTO TOTAL ALOJAMIENTO]]+Tabla1[[#This Row],[COSTO TOTAL COCHE]]</f>
        <v>373.33333333333331</v>
      </c>
      <c r="S2933" s="2"/>
      <c r="T2933" s="14" t="s">
        <v>44</v>
      </c>
      <c r="U2933" s="14">
        <v>45820</v>
      </c>
      <c r="V2933" s="43">
        <v>45850</v>
      </c>
      <c r="W2933" s="12"/>
      <c r="X2933" s="2"/>
      <c r="Y2933" s="11" t="s">
        <v>4527</v>
      </c>
      <c r="Z2933" s="2" t="s">
        <v>36</v>
      </c>
      <c r="AA2933" s="13">
        <v>0.62217999999999996</v>
      </c>
      <c r="AB2933" s="13" t="s">
        <v>10339</v>
      </c>
    </row>
    <row r="2934" spans="1:28" ht="15" customHeight="1">
      <c r="A2934" s="2" t="s">
        <v>9255</v>
      </c>
      <c r="B2934" s="2" t="s">
        <v>368</v>
      </c>
      <c r="C2934" s="31" t="s">
        <v>2610</v>
      </c>
      <c r="D2934" s="2" t="s">
        <v>99</v>
      </c>
      <c r="E2934" s="2" t="s">
        <v>31</v>
      </c>
      <c r="F2934" s="11" t="s">
        <v>758</v>
      </c>
      <c r="G2934" s="11" t="s">
        <v>759</v>
      </c>
      <c r="H2934" s="2" t="s">
        <v>2609</v>
      </c>
      <c r="I2934" s="10" t="s">
        <v>1316</v>
      </c>
      <c r="J2934" s="22">
        <f>+Tabla1[[#This Row],[FECHA ENTRADA]]</f>
        <v>45819</v>
      </c>
      <c r="K2934" s="22">
        <v>45862</v>
      </c>
      <c r="L2934" s="23">
        <f>_xlfn.DAYS(Tabla1[[#This Row],[FECHA FIN ]],Tabla1[[#This Row],[FECHA INICIO]])</f>
        <v>43</v>
      </c>
      <c r="M2934" s="12"/>
      <c r="N2934" s="20">
        <v>141.66666666666666</v>
      </c>
      <c r="O2934" s="24">
        <f>(Tabla1[[#This Row],[COSTO FIJO ]]/30)*Tabla1[[#This Row],[TOTAL DIAS PROYECTO]]+(Tabla1[[#This Row],[COSTO TEMPORAL]])</f>
        <v>203.05555555555557</v>
      </c>
      <c r="P2934" s="12"/>
      <c r="Q2934" s="12">
        <f>+(Tabla1[[#This Row],[COSTO COCHE]]/30)*Tabla1[[#This Row],[TOTAL DIAS PROYECTO]]</f>
        <v>0</v>
      </c>
      <c r="R2934" s="12">
        <f>+Tabla1[[#This Row],[COSTO TOTAL ALOJAMIENTO]]+Tabla1[[#This Row],[COSTO TOTAL COCHE]]</f>
        <v>203.05555555555557</v>
      </c>
      <c r="S2934" s="2"/>
      <c r="T2934" s="14" t="s">
        <v>35</v>
      </c>
      <c r="U2934" s="14">
        <v>45819</v>
      </c>
      <c r="V2934" s="180"/>
      <c r="W2934" s="2"/>
      <c r="X2934" s="2">
        <v>1</v>
      </c>
      <c r="Y2934" s="11" t="s">
        <v>4528</v>
      </c>
      <c r="Z2934" s="2" t="s">
        <v>36</v>
      </c>
      <c r="AA2934" s="13" t="s">
        <v>10323</v>
      </c>
      <c r="AB2934" s="13" t="s">
        <v>10324</v>
      </c>
    </row>
    <row r="2935" spans="1:28" ht="15" customHeight="1">
      <c r="A2935" s="2" t="s">
        <v>9256</v>
      </c>
      <c r="B2935" s="2" t="s">
        <v>368</v>
      </c>
      <c r="C2935" s="31" t="s">
        <v>2611</v>
      </c>
      <c r="D2935" s="2" t="s">
        <v>99</v>
      </c>
      <c r="E2935" s="2" t="s">
        <v>31</v>
      </c>
      <c r="F2935" s="11" t="s">
        <v>758</v>
      </c>
      <c r="G2935" s="11" t="s">
        <v>759</v>
      </c>
      <c r="H2935" s="2" t="s">
        <v>2609</v>
      </c>
      <c r="I2935" s="10" t="s">
        <v>1316</v>
      </c>
      <c r="J2935" s="22">
        <f>+Tabla1[[#This Row],[FECHA ENTRADA]]</f>
        <v>45819</v>
      </c>
      <c r="K2935" s="22">
        <v>45862</v>
      </c>
      <c r="L2935" s="23">
        <f>_xlfn.DAYS(Tabla1[[#This Row],[FECHA FIN ]],Tabla1[[#This Row],[FECHA INICIO]])</f>
        <v>43</v>
      </c>
      <c r="M2935" s="12"/>
      <c r="N2935" s="20">
        <v>141.66666666666666</v>
      </c>
      <c r="O2935" s="24">
        <f>(Tabla1[[#This Row],[COSTO FIJO ]]/30)*Tabla1[[#This Row],[TOTAL DIAS PROYECTO]]+(Tabla1[[#This Row],[COSTO TEMPORAL]])</f>
        <v>203.05555555555557</v>
      </c>
      <c r="P2935" s="12"/>
      <c r="Q2935" s="12">
        <f>+(Tabla1[[#This Row],[COSTO COCHE]]/30)*Tabla1[[#This Row],[TOTAL DIAS PROYECTO]]</f>
        <v>0</v>
      </c>
      <c r="R2935" s="12">
        <f>+Tabla1[[#This Row],[COSTO TOTAL ALOJAMIENTO]]+Tabla1[[#This Row],[COSTO TOTAL COCHE]]</f>
        <v>203.05555555555557</v>
      </c>
      <c r="S2935" s="2"/>
      <c r="T2935" s="14" t="s">
        <v>35</v>
      </c>
      <c r="U2935" s="14">
        <v>45819</v>
      </c>
      <c r="V2935" s="180"/>
      <c r="W2935" s="2"/>
      <c r="X2935" s="2">
        <v>1</v>
      </c>
      <c r="Y2935" s="244" t="s">
        <v>4529</v>
      </c>
      <c r="Z2935" s="2" t="s">
        <v>36</v>
      </c>
      <c r="AA2935" s="13" t="s">
        <v>10323</v>
      </c>
      <c r="AB2935" s="13" t="s">
        <v>10324</v>
      </c>
    </row>
    <row r="2936" spans="1:28" ht="15" customHeight="1">
      <c r="A2936" s="2" t="s">
        <v>9161</v>
      </c>
      <c r="B2936" s="2" t="s">
        <v>28</v>
      </c>
      <c r="C2936" s="11" t="s">
        <v>2281</v>
      </c>
      <c r="D2936" s="2" t="s">
        <v>99</v>
      </c>
      <c r="E2936" s="2" t="s">
        <v>422</v>
      </c>
      <c r="F2936" s="11" t="s">
        <v>1983</v>
      </c>
      <c r="G2936" s="11" t="s">
        <v>2067</v>
      </c>
      <c r="H2936" s="2" t="s">
        <v>4326</v>
      </c>
      <c r="I2936" s="12" t="s">
        <v>4327</v>
      </c>
      <c r="J2936" s="22">
        <f>+Tabla1[[#This Row],[FECHA ENTRADA]]</f>
        <v>45812</v>
      </c>
      <c r="K2936" s="22">
        <v>45821</v>
      </c>
      <c r="L2936" s="23">
        <f>_xlfn.DAYS(Tabla1[[#This Row],[FECHA FIN ]],Tabla1[[#This Row],[FECHA INICIO]])</f>
        <v>9</v>
      </c>
      <c r="M2936" s="12"/>
      <c r="N2936" s="12">
        <v>133</v>
      </c>
      <c r="O2936" s="24">
        <f>(Tabla1[[#This Row],[COSTO FIJO ]]/30)*Tabla1[[#This Row],[TOTAL DIAS PROYECTO]]+(Tabla1[[#This Row],[COSTO TEMPORAL]])</f>
        <v>39.900000000000006</v>
      </c>
      <c r="P2936" s="12"/>
      <c r="Q2936" s="12">
        <f>+(Tabla1[[#This Row],[COSTO COCHE]]/30)*Tabla1[[#This Row],[TOTAL DIAS PROYECTO]]</f>
        <v>0</v>
      </c>
      <c r="R2936" s="12">
        <f>+Tabla1[[#This Row],[COSTO TOTAL ALOJAMIENTO]]+Tabla1[[#This Row],[COSTO TOTAL COCHE]]</f>
        <v>39.900000000000006</v>
      </c>
      <c r="S2936" s="2"/>
      <c r="T2936" s="14" t="s">
        <v>44</v>
      </c>
      <c r="U2936" s="22">
        <v>45812</v>
      </c>
      <c r="V2936" s="79">
        <v>45818</v>
      </c>
      <c r="W2936" s="2"/>
      <c r="X2936" s="2"/>
      <c r="Y2936" s="11"/>
      <c r="Z2936" s="2" t="s">
        <v>36</v>
      </c>
      <c r="AA2936" s="13">
        <v>-326.69799999999998</v>
      </c>
      <c r="AB2936" s="13" t="s">
        <v>10373</v>
      </c>
    </row>
    <row r="2937" spans="1:28" ht="15" customHeight="1">
      <c r="A2937" s="2" t="s">
        <v>9560</v>
      </c>
      <c r="B2937" s="2" t="s">
        <v>368</v>
      </c>
      <c r="C2937" s="11" t="s">
        <v>3649</v>
      </c>
      <c r="D2937" s="2" t="s">
        <v>30</v>
      </c>
      <c r="E2937" s="2" t="s">
        <v>87</v>
      </c>
      <c r="F2937" s="11" t="s">
        <v>1864</v>
      </c>
      <c r="G2937" s="11" t="s">
        <v>2195</v>
      </c>
      <c r="H2937" s="2" t="s">
        <v>2359</v>
      </c>
      <c r="I2937" s="10" t="s">
        <v>233</v>
      </c>
      <c r="J2937" s="41">
        <f>+Tabla1[[#This Row],[FECHA ENTRADA]]</f>
        <v>45803</v>
      </c>
      <c r="K2937" s="22">
        <v>45862</v>
      </c>
      <c r="L2937" s="42">
        <f>_xlfn.DAYS(Tabla1[[#This Row],[FECHA FIN ]],Tabla1[[#This Row],[FECHA INICIO]])</f>
        <v>59</v>
      </c>
      <c r="M2937" s="12"/>
      <c r="N2937" s="12">
        <v>370</v>
      </c>
      <c r="O2937" s="28">
        <f>(Tabla1[[#This Row],[COSTO FIJO ]]/30)*Tabla1[[#This Row],[TOTAL DIAS PROYECTO]]+(Tabla1[[#This Row],[COSTO TEMPORAL]])</f>
        <v>727.66666666666674</v>
      </c>
      <c r="P2937" s="12">
        <v>133.33000000000001</v>
      </c>
      <c r="Q2937" s="12">
        <f>+(Tabla1[[#This Row],[COSTO COCHE]]/30)*Tabla1[[#This Row],[TOTAL DIAS PROYECTO]]</f>
        <v>262.21566666666666</v>
      </c>
      <c r="R2937" s="12">
        <f>+Tabla1[[#This Row],[COSTO TOTAL ALOJAMIENTO]]+Tabla1[[#This Row],[COSTO TOTAL COCHE]]</f>
        <v>989.88233333333346</v>
      </c>
      <c r="S2937" s="2"/>
      <c r="T2937" s="14" t="s">
        <v>35</v>
      </c>
      <c r="U2937" s="14">
        <v>45803</v>
      </c>
      <c r="V2937" s="75"/>
      <c r="W2937" s="2"/>
      <c r="X2937" s="2">
        <v>5</v>
      </c>
      <c r="Y2937" s="11"/>
      <c r="Z2937" s="2" t="s">
        <v>36</v>
      </c>
      <c r="AA2937" s="13" t="s">
        <v>10335</v>
      </c>
      <c r="AB2937" s="13">
        <v>404.16500000000002</v>
      </c>
    </row>
    <row r="2938" spans="1:28" ht="15" customHeight="1">
      <c r="A2938" s="2" t="s">
        <v>9155</v>
      </c>
      <c r="B2938" s="2" t="s">
        <v>368</v>
      </c>
      <c r="C2938" s="11" t="s">
        <v>2253</v>
      </c>
      <c r="D2938" s="2" t="s">
        <v>78</v>
      </c>
      <c r="E2938" s="2" t="s">
        <v>1297</v>
      </c>
      <c r="F2938" s="11" t="s">
        <v>3251</v>
      </c>
      <c r="G2938" s="46" t="s">
        <v>3252</v>
      </c>
      <c r="H2938" s="2" t="s">
        <v>4530</v>
      </c>
      <c r="I2938" s="29" t="s">
        <v>1301</v>
      </c>
      <c r="J2938" s="41">
        <f>+Tabla1[[#This Row],[FECHA ENTRADA]]</f>
        <v>45797</v>
      </c>
      <c r="K2938" s="8">
        <v>45862</v>
      </c>
      <c r="L2938" s="42">
        <f>_xlfn.DAYS(Tabla1[[#This Row],[FECHA FIN ]],Tabla1[[#This Row],[FECHA INICIO]])</f>
        <v>65</v>
      </c>
      <c r="M2938" s="12"/>
      <c r="N2938" s="12"/>
      <c r="O2938" s="28">
        <f>(Tabla1[[#This Row],[COSTO FIJO ]]/30)*Tabla1[[#This Row],[TOTAL DIAS PROYECTO]]+(Tabla1[[#This Row],[COSTO TEMPORAL]])</f>
        <v>0</v>
      </c>
      <c r="P2938" s="12"/>
      <c r="Q2938" s="12">
        <f>+(Tabla1[[#This Row],[COSTO COCHE]]/30)*Tabla1[[#This Row],[TOTAL DIAS PROYECTO]]</f>
        <v>0</v>
      </c>
      <c r="R2938" s="12">
        <f>+Tabla1[[#This Row],[COSTO TOTAL ALOJAMIENTO]]+Tabla1[[#This Row],[COSTO TOTAL COCHE]]</f>
        <v>0</v>
      </c>
      <c r="S2938" s="2" t="s">
        <v>84</v>
      </c>
      <c r="T2938" s="2" t="s">
        <v>44</v>
      </c>
      <c r="U2938" s="14">
        <v>45797</v>
      </c>
      <c r="V2938" s="43">
        <v>45863</v>
      </c>
      <c r="W2938" s="2"/>
      <c r="X2938" s="2"/>
      <c r="Y2938" s="11" t="s">
        <v>1361</v>
      </c>
      <c r="Z2938" s="2" t="s">
        <v>36</v>
      </c>
      <c r="AA2938" s="13" t="s">
        <v>10414</v>
      </c>
      <c r="AB2938" s="13">
        <v>5094783</v>
      </c>
    </row>
    <row r="2939" spans="1:28" ht="15" customHeight="1">
      <c r="A2939" s="2" t="s">
        <v>9743</v>
      </c>
      <c r="B2939" s="2" t="s">
        <v>28</v>
      </c>
      <c r="C2939" s="31" t="s">
        <v>4531</v>
      </c>
      <c r="D2939" s="2" t="s">
        <v>99</v>
      </c>
      <c r="E2939" s="2" t="s">
        <v>31</v>
      </c>
      <c r="F2939" s="11" t="s">
        <v>1222</v>
      </c>
      <c r="G2939" s="49" t="s">
        <v>1223</v>
      </c>
      <c r="H2939" s="2" t="s">
        <v>4532</v>
      </c>
      <c r="I2939" s="29" t="s">
        <v>909</v>
      </c>
      <c r="J2939" s="41">
        <f>+Tabla1[[#This Row],[FECHA ENTRADA]]</f>
        <v>45748</v>
      </c>
      <c r="K2939" s="22">
        <v>45821</v>
      </c>
      <c r="L2939" s="42">
        <f>_xlfn.DAYS(Tabla1[[#This Row],[FECHA FIN ]],Tabla1[[#This Row],[FECHA INICIO]])</f>
        <v>73</v>
      </c>
      <c r="M2939" s="12"/>
      <c r="N2939" s="28"/>
      <c r="O2939" s="28">
        <f>(Tabla1[[#This Row],[COSTO FIJO ]]/30)*Tabla1[[#This Row],[TOTAL DIAS PROYECTO]]+(Tabla1[[#This Row],[COSTO TEMPORAL]])</f>
        <v>0</v>
      </c>
      <c r="P2939" s="12"/>
      <c r="Q2939" s="12">
        <f>+(Tabla1[[#This Row],[COSTO COCHE]]/30)*Tabla1[[#This Row],[TOTAL DIAS PROYECTO]]</f>
        <v>0</v>
      </c>
      <c r="R2939" s="12">
        <f>+Tabla1[[#This Row],[COSTO TOTAL ALOJAMIENTO]]+Tabla1[[#This Row],[COSTO TOTAL COCHE]]</f>
        <v>0</v>
      </c>
      <c r="S2939" s="2"/>
      <c r="T2939" s="2" t="s">
        <v>35</v>
      </c>
      <c r="U2939" s="14">
        <v>45748</v>
      </c>
      <c r="V2939" s="43"/>
      <c r="W2939" s="26">
        <v>695</v>
      </c>
      <c r="X2939" s="2">
        <v>1</v>
      </c>
      <c r="Y2939" s="30" t="s">
        <v>4533</v>
      </c>
      <c r="Z2939" s="2" t="s">
        <v>36</v>
      </c>
      <c r="AA2939" s="13" t="s">
        <v>10323</v>
      </c>
      <c r="AB2939" s="13" t="s">
        <v>10324</v>
      </c>
    </row>
    <row r="2940" spans="1:28" ht="15" customHeight="1">
      <c r="A2940" s="2" t="s">
        <v>9690</v>
      </c>
      <c r="B2940" s="2" t="s">
        <v>368</v>
      </c>
      <c r="C2940" s="11" t="s">
        <v>4248</v>
      </c>
      <c r="D2940" s="2" t="s">
        <v>30</v>
      </c>
      <c r="E2940" s="2" t="s">
        <v>985</v>
      </c>
      <c r="F2940" s="11" t="s">
        <v>4534</v>
      </c>
      <c r="G2940" s="46" t="s">
        <v>4535</v>
      </c>
      <c r="H2940" s="2" t="s">
        <v>2401</v>
      </c>
      <c r="I2940" s="12" t="s">
        <v>989</v>
      </c>
      <c r="J2940" s="41">
        <f>+Tabla1[[#This Row],[FECHA ENTRADA]]</f>
        <v>45856</v>
      </c>
      <c r="K2940" s="41">
        <v>45863</v>
      </c>
      <c r="L2940" s="42">
        <f>_xlfn.DAYS(Tabla1[[#This Row],[FECHA FIN ]],Tabla1[[#This Row],[FECHA INICIO]])</f>
        <v>7</v>
      </c>
      <c r="M2940" s="12"/>
      <c r="N2940" s="12">
        <v>250</v>
      </c>
      <c r="O2940" s="28">
        <f>(Tabla1[[#This Row],[COSTO FIJO ]]/30)*Tabla1[[#This Row],[TOTAL DIAS PROYECTO]]+(Tabla1[[#This Row],[COSTO TEMPORAL]])</f>
        <v>58.333333333333336</v>
      </c>
      <c r="P2940" s="12"/>
      <c r="Q2940" s="12">
        <f>+(Tabla1[[#This Row],[COSTO COCHE]]/30)*Tabla1[[#This Row],[TOTAL DIAS PROYECTO]]</f>
        <v>0</v>
      </c>
      <c r="R2940" s="12">
        <f>+Tabla1[[#This Row],[COSTO TOTAL ALOJAMIENTO]]+Tabla1[[#This Row],[COSTO TOTAL COCHE]]</f>
        <v>58.333333333333336</v>
      </c>
      <c r="S2940" s="2"/>
      <c r="T2940" s="14" t="s">
        <v>44</v>
      </c>
      <c r="U2940" s="14">
        <v>45856</v>
      </c>
      <c r="V2940" s="43">
        <v>45863</v>
      </c>
      <c r="W2940" s="12"/>
      <c r="X2940" s="2"/>
      <c r="Y2940" s="11" t="s">
        <v>2311</v>
      </c>
      <c r="Z2940" s="2" t="s">
        <v>36</v>
      </c>
      <c r="AA2940" s="13" t="s">
        <v>10407</v>
      </c>
      <c r="AB2940" s="13" t="s">
        <v>10408</v>
      </c>
    </row>
    <row r="2941" spans="1:28" ht="15" customHeight="1">
      <c r="A2941" s="2" t="s">
        <v>8642</v>
      </c>
      <c r="B2941" s="2" t="s">
        <v>368</v>
      </c>
      <c r="C2941" s="11" t="s">
        <v>4251</v>
      </c>
      <c r="D2941" s="2" t="s">
        <v>30</v>
      </c>
      <c r="E2941" s="2" t="s">
        <v>985</v>
      </c>
      <c r="F2941" s="11" t="s">
        <v>4534</v>
      </c>
      <c r="G2941" s="46" t="s">
        <v>4535</v>
      </c>
      <c r="H2941" s="2" t="s">
        <v>2401</v>
      </c>
      <c r="I2941" s="12" t="s">
        <v>989</v>
      </c>
      <c r="J2941" s="41">
        <f>+Tabla1[[#This Row],[FECHA ENTRADA]]</f>
        <v>45856</v>
      </c>
      <c r="K2941" s="41">
        <v>45863</v>
      </c>
      <c r="L2941" s="42">
        <f>_xlfn.DAYS(Tabla1[[#This Row],[FECHA FIN ]],Tabla1[[#This Row],[FECHA INICIO]])</f>
        <v>7</v>
      </c>
      <c r="M2941" s="12"/>
      <c r="N2941" s="12">
        <v>250</v>
      </c>
      <c r="O2941" s="28">
        <f>(Tabla1[[#This Row],[COSTO FIJO ]]/30)*Tabla1[[#This Row],[TOTAL DIAS PROYECTO]]+(Tabla1[[#This Row],[COSTO TEMPORAL]])</f>
        <v>58.333333333333336</v>
      </c>
      <c r="P2941" s="12"/>
      <c r="Q2941" s="12">
        <f>+(Tabla1[[#This Row],[COSTO COCHE]]/30)*Tabla1[[#This Row],[TOTAL DIAS PROYECTO]]</f>
        <v>0</v>
      </c>
      <c r="R2941" s="12">
        <f>+Tabla1[[#This Row],[COSTO TOTAL ALOJAMIENTO]]+Tabla1[[#This Row],[COSTO TOTAL COCHE]]</f>
        <v>58.333333333333336</v>
      </c>
      <c r="S2941" s="2"/>
      <c r="T2941" s="14" t="s">
        <v>44</v>
      </c>
      <c r="U2941" s="14">
        <v>45856</v>
      </c>
      <c r="V2941" s="43">
        <v>45863</v>
      </c>
      <c r="W2941" s="12"/>
      <c r="X2941" s="2"/>
      <c r="Y2941" s="11" t="s">
        <v>2311</v>
      </c>
      <c r="Z2941" s="2" t="s">
        <v>36</v>
      </c>
      <c r="AA2941" s="13" t="s">
        <v>10407</v>
      </c>
      <c r="AB2941" s="13" t="s">
        <v>10408</v>
      </c>
    </row>
    <row r="2942" spans="1:28" ht="15" customHeight="1">
      <c r="A2942" s="2" t="s">
        <v>9195</v>
      </c>
      <c r="B2942" s="2" t="s">
        <v>368</v>
      </c>
      <c r="C2942" s="11" t="s">
        <v>2400</v>
      </c>
      <c r="D2942" s="2" t="s">
        <v>30</v>
      </c>
      <c r="E2942" s="2" t="s">
        <v>985</v>
      </c>
      <c r="F2942" s="11" t="s">
        <v>4534</v>
      </c>
      <c r="G2942" s="46" t="s">
        <v>4535</v>
      </c>
      <c r="H2942" s="2" t="s">
        <v>2401</v>
      </c>
      <c r="I2942" s="12" t="s">
        <v>989</v>
      </c>
      <c r="J2942" s="41">
        <f>+Tabla1[[#This Row],[FECHA ENTRADA]]</f>
        <v>45856</v>
      </c>
      <c r="K2942" s="41">
        <v>45863</v>
      </c>
      <c r="L2942" s="42">
        <f>_xlfn.DAYS(Tabla1[[#This Row],[FECHA FIN ]],Tabla1[[#This Row],[FECHA INICIO]])</f>
        <v>7</v>
      </c>
      <c r="M2942" s="12"/>
      <c r="N2942" s="12">
        <v>250</v>
      </c>
      <c r="O2942" s="28">
        <f>(Tabla1[[#This Row],[COSTO FIJO ]]/30)*Tabla1[[#This Row],[TOTAL DIAS PROYECTO]]+(Tabla1[[#This Row],[COSTO TEMPORAL]])</f>
        <v>58.333333333333336</v>
      </c>
      <c r="P2942" s="12"/>
      <c r="Q2942" s="12">
        <f>+(Tabla1[[#This Row],[COSTO COCHE]]/30)*Tabla1[[#This Row],[TOTAL DIAS PROYECTO]]</f>
        <v>0</v>
      </c>
      <c r="R2942" s="12">
        <f>+Tabla1[[#This Row],[COSTO TOTAL ALOJAMIENTO]]+Tabla1[[#This Row],[COSTO TOTAL COCHE]]</f>
        <v>58.333333333333336</v>
      </c>
      <c r="S2942" s="2"/>
      <c r="T2942" s="14" t="s">
        <v>44</v>
      </c>
      <c r="U2942" s="14">
        <v>45856</v>
      </c>
      <c r="V2942" s="43">
        <v>45863</v>
      </c>
      <c r="W2942" s="12"/>
      <c r="X2942" s="2"/>
      <c r="Y2942" s="11" t="s">
        <v>2311</v>
      </c>
      <c r="Z2942" s="2" t="s">
        <v>36</v>
      </c>
      <c r="AA2942" s="13" t="s">
        <v>10407</v>
      </c>
      <c r="AB2942" s="13" t="s">
        <v>10408</v>
      </c>
    </row>
    <row r="2943" spans="1:28" ht="15.75" customHeight="1">
      <c r="A2943" s="2" t="s">
        <v>8976</v>
      </c>
      <c r="B2943" s="2" t="s">
        <v>368</v>
      </c>
      <c r="C2943" s="11" t="s">
        <v>1570</v>
      </c>
      <c r="D2943" s="2" t="s">
        <v>78</v>
      </c>
      <c r="E2943" s="2" t="s">
        <v>1297</v>
      </c>
      <c r="F2943" s="11" t="s">
        <v>3251</v>
      </c>
      <c r="G2943" s="46" t="s">
        <v>3252</v>
      </c>
      <c r="H2943" s="2" t="s">
        <v>4530</v>
      </c>
      <c r="I2943" s="10" t="s">
        <v>1301</v>
      </c>
      <c r="J2943" s="22">
        <f>+Tabla1[[#This Row],[FECHA ENTRADA]]</f>
        <v>45797</v>
      </c>
      <c r="K2943" s="22">
        <v>45863</v>
      </c>
      <c r="L2943" s="13">
        <f>_xlfn.DAYS(Tabla1[[#This Row],[FECHA FIN ]],Tabla1[[#This Row],[FECHA INICIO]])</f>
        <v>66</v>
      </c>
      <c r="M2943" s="12"/>
      <c r="N2943" s="12"/>
      <c r="O2943" s="12">
        <f>(Tabla1[[#This Row],[COSTO FIJO ]]/30)*Tabla1[[#This Row],[TOTAL DIAS PROYECTO]]+(Tabla1[[#This Row],[COSTO TEMPORAL]])</f>
        <v>0</v>
      </c>
      <c r="P2943" s="12"/>
      <c r="Q2943" s="12">
        <f>+(Tabla1[[#This Row],[COSTO COCHE]]/30)*Tabla1[[#This Row],[TOTAL DIAS PROYECTO]]</f>
        <v>0</v>
      </c>
      <c r="R2943" s="12">
        <f>+Tabla1[[#This Row],[COSTO TOTAL ALOJAMIENTO]]+Tabla1[[#This Row],[COSTO TOTAL COCHE]]</f>
        <v>0</v>
      </c>
      <c r="S2943" s="2" t="s">
        <v>84</v>
      </c>
      <c r="T2943" s="2" t="s">
        <v>528</v>
      </c>
      <c r="U2943" s="14">
        <v>45797</v>
      </c>
      <c r="V2943" s="14">
        <v>45863</v>
      </c>
      <c r="W2943" s="26"/>
      <c r="X2943" s="2"/>
      <c r="Y2943" s="31" t="s">
        <v>1361</v>
      </c>
      <c r="Z2943" s="2" t="s">
        <v>36</v>
      </c>
      <c r="AA2943" s="13" t="s">
        <v>10414</v>
      </c>
      <c r="AB2943" s="13">
        <v>5094783</v>
      </c>
    </row>
    <row r="2944" spans="1:28" ht="15" customHeight="1">
      <c r="A2944" s="2" t="s">
        <v>9084</v>
      </c>
      <c r="B2944" s="2" t="s">
        <v>368</v>
      </c>
      <c r="C2944" s="11" t="s">
        <v>1947</v>
      </c>
      <c r="D2944" s="2" t="s">
        <v>78</v>
      </c>
      <c r="E2944" s="2" t="s">
        <v>1297</v>
      </c>
      <c r="F2944" s="11" t="s">
        <v>3251</v>
      </c>
      <c r="G2944" s="46" t="s">
        <v>3252</v>
      </c>
      <c r="H2944" s="2" t="s">
        <v>2168</v>
      </c>
      <c r="I2944" s="10" t="s">
        <v>1301</v>
      </c>
      <c r="J2944" s="41">
        <f>+Tabla1[[#This Row],[FECHA ENTRADA]]</f>
        <v>45770</v>
      </c>
      <c r="K2944" s="8">
        <v>45863</v>
      </c>
      <c r="L2944" s="13">
        <f>_xlfn.DAYS(Tabla1[[#This Row],[FECHA FIN ]],Tabla1[[#This Row],[FECHA INICIO]])</f>
        <v>93</v>
      </c>
      <c r="M2944" s="12"/>
      <c r="N2944" s="12"/>
      <c r="O2944" s="12">
        <f>(Tabla1[[#This Row],[COSTO FIJO ]]/30)*Tabla1[[#This Row],[TOTAL DIAS PROYECTO]]+(Tabla1[[#This Row],[COSTO TEMPORAL]])</f>
        <v>0</v>
      </c>
      <c r="P2944" s="12"/>
      <c r="Q2944" s="12">
        <f>+(Tabla1[[#This Row],[COSTO COCHE]]/30)*Tabla1[[#This Row],[TOTAL DIAS PROYECTO]]</f>
        <v>0</v>
      </c>
      <c r="R2944" s="12">
        <f>+Tabla1[[#This Row],[COSTO TOTAL ALOJAMIENTO]]+Tabla1[[#This Row],[COSTO TOTAL COCHE]]</f>
        <v>0</v>
      </c>
      <c r="S2944" s="2" t="s">
        <v>84</v>
      </c>
      <c r="T2944" s="2" t="s">
        <v>44</v>
      </c>
      <c r="U2944" s="14">
        <v>45770</v>
      </c>
      <c r="V2944" s="43">
        <v>45863</v>
      </c>
      <c r="W2944" s="26"/>
      <c r="X2944" s="2"/>
      <c r="Y2944" s="31" t="s">
        <v>1361</v>
      </c>
      <c r="Z2944" s="2" t="s">
        <v>36</v>
      </c>
      <c r="AA2944" s="13" t="s">
        <v>10414</v>
      </c>
      <c r="AB2944" s="13">
        <v>5094783</v>
      </c>
    </row>
    <row r="2945" spans="1:28" ht="15" customHeight="1">
      <c r="A2945" s="2" t="s">
        <v>8944</v>
      </c>
      <c r="B2945" s="2" t="s">
        <v>368</v>
      </c>
      <c r="C2945" s="11" t="s">
        <v>1382</v>
      </c>
      <c r="D2945" s="2" t="s">
        <v>78</v>
      </c>
      <c r="E2945" s="2" t="s">
        <v>1297</v>
      </c>
      <c r="F2945" s="11" t="s">
        <v>3251</v>
      </c>
      <c r="G2945" s="46" t="s">
        <v>3252</v>
      </c>
      <c r="H2945" s="2" t="s">
        <v>1300</v>
      </c>
      <c r="I2945" s="29" t="s">
        <v>1301</v>
      </c>
      <c r="J2945" s="41">
        <f>+Tabla1[[#This Row],[FECHA ENTRADA]]</f>
        <v>45633</v>
      </c>
      <c r="K2945" s="8">
        <v>45863</v>
      </c>
      <c r="L2945" s="42">
        <f>_xlfn.DAYS(Tabla1[[#This Row],[FECHA FIN ]],Tabla1[[#This Row],[FECHA INICIO]])</f>
        <v>230</v>
      </c>
      <c r="M2945" s="12"/>
      <c r="N2945" s="12"/>
      <c r="O2945" s="28">
        <f>(Tabla1[[#This Row],[COSTO FIJO ]]/30)*Tabla1[[#This Row],[TOTAL DIAS PROYECTO]]+(Tabla1[[#This Row],[COSTO TEMPORAL]])</f>
        <v>0</v>
      </c>
      <c r="P2945" s="12">
        <f>651.96/5</f>
        <v>130.392</v>
      </c>
      <c r="Q2945" s="12">
        <f>+(Tabla1[[#This Row],[COSTO COCHE]]/30)*Tabla1[[#This Row],[TOTAL DIAS PROYECTO]]</f>
        <v>999.67200000000003</v>
      </c>
      <c r="R2945" s="12">
        <f>+Tabla1[[#This Row],[COSTO TOTAL ALOJAMIENTO]]+Tabla1[[#This Row],[COSTO TOTAL COCHE]]</f>
        <v>999.67200000000003</v>
      </c>
      <c r="S2945" s="2" t="s">
        <v>84</v>
      </c>
      <c r="T2945" s="2" t="s">
        <v>44</v>
      </c>
      <c r="U2945" s="14">
        <v>45633</v>
      </c>
      <c r="V2945" s="43">
        <v>45863</v>
      </c>
      <c r="W2945" s="26"/>
      <c r="X2945" s="2"/>
      <c r="Y2945" s="11" t="s">
        <v>1361</v>
      </c>
      <c r="Z2945" s="2" t="s">
        <v>36</v>
      </c>
      <c r="AA2945" s="13" t="s">
        <v>10414</v>
      </c>
      <c r="AB2945" s="13">
        <v>5094783</v>
      </c>
    </row>
    <row r="2946" spans="1:28" ht="15" customHeight="1">
      <c r="A2946" s="2" t="s">
        <v>9299</v>
      </c>
      <c r="B2946" s="2" t="s">
        <v>368</v>
      </c>
      <c r="C2946" s="11" t="s">
        <v>2743</v>
      </c>
      <c r="D2946" s="2" t="s">
        <v>78</v>
      </c>
      <c r="E2946" s="2" t="s">
        <v>1297</v>
      </c>
      <c r="F2946" s="11" t="s">
        <v>3251</v>
      </c>
      <c r="G2946" s="46" t="s">
        <v>3252</v>
      </c>
      <c r="H2946" s="2" t="s">
        <v>1300</v>
      </c>
      <c r="I2946" s="29" t="s">
        <v>1301</v>
      </c>
      <c r="J2946" s="41">
        <f>+Tabla1[[#This Row],[FECHA ENTRADA]]</f>
        <v>45633</v>
      </c>
      <c r="K2946" s="8">
        <v>45863</v>
      </c>
      <c r="L2946" s="42">
        <f>_xlfn.DAYS(Tabla1[[#This Row],[FECHA FIN ]],Tabla1[[#This Row],[FECHA INICIO]])</f>
        <v>230</v>
      </c>
      <c r="M2946" s="12"/>
      <c r="N2946" s="12"/>
      <c r="O2946" s="28">
        <f>(Tabla1[[#This Row],[COSTO FIJO ]]/30)*Tabla1[[#This Row],[TOTAL DIAS PROYECTO]]+(Tabla1[[#This Row],[COSTO TEMPORAL]])</f>
        <v>0</v>
      </c>
      <c r="P2946" s="12">
        <f>651.96/5</f>
        <v>130.392</v>
      </c>
      <c r="Q2946" s="12">
        <f>+(Tabla1[[#This Row],[COSTO COCHE]]/30)*Tabla1[[#This Row],[TOTAL DIAS PROYECTO]]</f>
        <v>999.67200000000003</v>
      </c>
      <c r="R2946" s="12">
        <f>+Tabla1[[#This Row],[COSTO TOTAL ALOJAMIENTO]]+Tabla1[[#This Row],[COSTO TOTAL COCHE]]</f>
        <v>999.67200000000003</v>
      </c>
      <c r="S2946" s="2" t="s">
        <v>84</v>
      </c>
      <c r="T2946" s="2" t="s">
        <v>44</v>
      </c>
      <c r="U2946" s="14">
        <v>45633</v>
      </c>
      <c r="V2946" s="43">
        <v>45863</v>
      </c>
      <c r="W2946" s="26"/>
      <c r="X2946" s="2"/>
      <c r="Y2946" s="11" t="s">
        <v>1361</v>
      </c>
      <c r="Z2946" s="2" t="s">
        <v>36</v>
      </c>
      <c r="AA2946" s="13" t="s">
        <v>10414</v>
      </c>
      <c r="AB2946" s="13">
        <v>5094783</v>
      </c>
    </row>
    <row r="2947" spans="1:28" ht="15" customHeight="1">
      <c r="A2947" s="2" t="s">
        <v>9744</v>
      </c>
      <c r="B2947" s="2" t="s">
        <v>978</v>
      </c>
      <c r="C2947" s="11" t="s">
        <v>4536</v>
      </c>
      <c r="D2947" s="2" t="s">
        <v>99</v>
      </c>
      <c r="E2947" s="2" t="s">
        <v>109</v>
      </c>
      <c r="F2947" s="11" t="s">
        <v>2161</v>
      </c>
      <c r="G2947" s="30" t="s">
        <v>2162</v>
      </c>
      <c r="H2947" s="2" t="s">
        <v>1461</v>
      </c>
      <c r="I2947" s="12" t="s">
        <v>4526</v>
      </c>
      <c r="J2947" s="41">
        <f>+Tabla1[[#This Row],[FECHA ENTRADA]]</f>
        <v>45820</v>
      </c>
      <c r="K2947" s="41">
        <v>45844</v>
      </c>
      <c r="L2947" s="42">
        <f>_xlfn.DAYS(Tabla1[[#This Row],[FECHA FIN ]],Tabla1[[#This Row],[FECHA INICIO]])</f>
        <v>24</v>
      </c>
      <c r="M2947" s="12"/>
      <c r="N2947" s="12">
        <v>466.66666666666669</v>
      </c>
      <c r="O2947" s="28">
        <f>(Tabla1[[#This Row],[COSTO FIJO ]]/30)*Tabla1[[#This Row],[TOTAL DIAS PROYECTO]]+(Tabla1[[#This Row],[COSTO TEMPORAL]])</f>
        <v>373.33333333333331</v>
      </c>
      <c r="P2947" s="12"/>
      <c r="Q2947" s="12">
        <f>+(Tabla1[[#This Row],[COSTO COCHE]]/30)*Tabla1[[#This Row],[TOTAL DIAS PROYECTO]]</f>
        <v>0</v>
      </c>
      <c r="R2947" s="12">
        <f>+Tabla1[[#This Row],[COSTO TOTAL ALOJAMIENTO]]+Tabla1[[#This Row],[COSTO TOTAL COCHE]]</f>
        <v>373.33333333333331</v>
      </c>
      <c r="S2947" s="2"/>
      <c r="T2947" s="14" t="s">
        <v>44</v>
      </c>
      <c r="U2947" s="14">
        <v>45820</v>
      </c>
      <c r="V2947" s="43">
        <v>45850</v>
      </c>
      <c r="W2947" s="12"/>
      <c r="X2947" s="2"/>
      <c r="Y2947" s="11" t="s">
        <v>4527</v>
      </c>
      <c r="Z2947" s="2" t="s">
        <v>36</v>
      </c>
      <c r="AA2947" s="13">
        <v>0.62217999999999996</v>
      </c>
      <c r="AB2947" s="13" t="s">
        <v>10339</v>
      </c>
    </row>
    <row r="2948" spans="1:28" ht="15" customHeight="1">
      <c r="A2948" s="2" t="s">
        <v>8841</v>
      </c>
      <c r="B2948" s="2" t="s">
        <v>28</v>
      </c>
      <c r="C2948" s="31" t="s">
        <v>975</v>
      </c>
      <c r="D2948" s="2" t="s">
        <v>99</v>
      </c>
      <c r="E2948" s="2" t="s">
        <v>31</v>
      </c>
      <c r="F2948" s="11" t="s">
        <v>758</v>
      </c>
      <c r="G2948" s="11" t="s">
        <v>759</v>
      </c>
      <c r="H2948" s="2" t="s">
        <v>4537</v>
      </c>
      <c r="I2948" s="12" t="s">
        <v>357</v>
      </c>
      <c r="J2948" s="22">
        <f>+Tabla1[[#This Row],[FECHA ENTRADA]]</f>
        <v>45860</v>
      </c>
      <c r="K2948" s="22">
        <v>45864</v>
      </c>
      <c r="L2948" s="23">
        <f>_xlfn.DAYS(Tabla1[[#This Row],[FECHA FIN ]],Tabla1[[#This Row],[FECHA INICIO]])</f>
        <v>4</v>
      </c>
      <c r="M2948" s="12"/>
      <c r="N2948" s="20">
        <v>141.66666666666666</v>
      </c>
      <c r="O2948" s="24">
        <f>(Tabla1[[#This Row],[COSTO FIJO ]]/30)*Tabla1[[#This Row],[TOTAL DIAS PROYECTO]]+(Tabla1[[#This Row],[COSTO TEMPORAL]])</f>
        <v>18.888888888888889</v>
      </c>
      <c r="P2948" s="12"/>
      <c r="Q2948" s="12">
        <f>+(Tabla1[[#This Row],[COSTO COCHE]]/30)*Tabla1[[#This Row],[TOTAL DIAS PROYECTO]]</f>
        <v>0</v>
      </c>
      <c r="R2948" s="12">
        <f>+Tabla1[[#This Row],[COSTO TOTAL ALOJAMIENTO]]+Tabla1[[#This Row],[COSTO TOTAL COCHE]]</f>
        <v>18.888888888888889</v>
      </c>
      <c r="S2948" s="2"/>
      <c r="T2948" s="14" t="s">
        <v>35</v>
      </c>
      <c r="U2948" s="37">
        <v>45860</v>
      </c>
      <c r="V2948" s="79"/>
      <c r="W2948" s="12"/>
      <c r="X2948" s="2">
        <v>1</v>
      </c>
      <c r="Y2948" s="11" t="s">
        <v>4538</v>
      </c>
      <c r="Z2948" s="2" t="s">
        <v>36</v>
      </c>
      <c r="AA2948" s="13" t="s">
        <v>10323</v>
      </c>
      <c r="AB2948" s="13" t="s">
        <v>10324</v>
      </c>
    </row>
    <row r="2949" spans="1:28" ht="15" customHeight="1">
      <c r="A2949" s="2" t="s">
        <v>9745</v>
      </c>
      <c r="B2949" s="2" t="s">
        <v>978</v>
      </c>
      <c r="C2949" s="31" t="s">
        <v>4539</v>
      </c>
      <c r="D2949" s="2" t="s">
        <v>99</v>
      </c>
      <c r="E2949" s="2" t="s">
        <v>245</v>
      </c>
      <c r="F2949" s="11" t="s">
        <v>4521</v>
      </c>
      <c r="G2949" s="46" t="s">
        <v>981</v>
      </c>
      <c r="H2949" s="2" t="s">
        <v>1534</v>
      </c>
      <c r="I2949" s="12" t="s">
        <v>4522</v>
      </c>
      <c r="J2949" s="41">
        <f>+Tabla1[[#This Row],[FECHA ENTRADA]]</f>
        <v>45833</v>
      </c>
      <c r="K2949" s="41">
        <v>45917</v>
      </c>
      <c r="L2949" s="42">
        <f>_xlfn.DAYS(Tabla1[[#This Row],[FECHA FIN ]],Tabla1[[#This Row],[FECHA INICIO]])</f>
        <v>84</v>
      </c>
      <c r="M2949" s="12"/>
      <c r="N2949" s="12">
        <v>300</v>
      </c>
      <c r="O2949" s="28">
        <f>(Tabla1[[#This Row],[COSTO FIJO ]]/30)*Tabla1[[#This Row],[TOTAL DIAS PROYECTO]]+(Tabla1[[#This Row],[COSTO TEMPORAL]])</f>
        <v>840</v>
      </c>
      <c r="P2949" s="12"/>
      <c r="Q2949" s="12">
        <f>+(Tabla1[[#This Row],[COSTO COCHE]]/30)*Tabla1[[#This Row],[TOTAL DIAS PROYECTO]]</f>
        <v>0</v>
      </c>
      <c r="R2949" s="12">
        <f>+Tabla1[[#This Row],[COSTO TOTAL ALOJAMIENTO]]+Tabla1[[#This Row],[COSTO TOTAL COCHE]]</f>
        <v>840</v>
      </c>
      <c r="S2949" s="2"/>
      <c r="T2949" s="2" t="s">
        <v>35</v>
      </c>
      <c r="U2949" s="14">
        <v>45833</v>
      </c>
      <c r="V2949" s="43"/>
      <c r="W2949" s="12"/>
      <c r="X2949" s="2">
        <v>23</v>
      </c>
      <c r="Y2949" s="11"/>
      <c r="Z2949" s="2" t="s">
        <v>36</v>
      </c>
      <c r="AA2949" s="13" t="s">
        <v>10355</v>
      </c>
      <c r="AB2949" s="13" t="s">
        <v>10356</v>
      </c>
    </row>
    <row r="2950" spans="1:28" ht="15" customHeight="1">
      <c r="A2950" s="2" t="s">
        <v>9668</v>
      </c>
      <c r="B2950" s="2" t="s">
        <v>368</v>
      </c>
      <c r="C2950" s="11" t="s">
        <v>4144</v>
      </c>
      <c r="D2950" s="2" t="s">
        <v>30</v>
      </c>
      <c r="E2950" s="2" t="s">
        <v>985</v>
      </c>
      <c r="F2950" s="11" t="s">
        <v>3889</v>
      </c>
      <c r="G2950" s="21" t="s">
        <v>987</v>
      </c>
      <c r="H2950" s="2" t="s">
        <v>988</v>
      </c>
      <c r="I2950" s="12" t="s">
        <v>989</v>
      </c>
      <c r="J2950" s="22">
        <f>+Tabla1[[#This Row],[FECHA ENTRADA]]</f>
        <v>45578</v>
      </c>
      <c r="K2950" s="41">
        <v>45866</v>
      </c>
      <c r="L2950" s="23">
        <f>_xlfn.DAYS(Tabla1[[#This Row],[FECHA FIN ]],Tabla1[[#This Row],[FECHA INICIO]])</f>
        <v>288</v>
      </c>
      <c r="M2950" s="12"/>
      <c r="N2950" s="20">
        <v>183.33333333333334</v>
      </c>
      <c r="O2950" s="24">
        <f>(Tabla1[[#This Row],[COSTO FIJO ]]/30)*Tabla1[[#This Row],[TOTAL DIAS PROYECTO]]+(Tabla1[[#This Row],[COSTO TEMPORAL]])</f>
        <v>1760.0000000000002</v>
      </c>
      <c r="P2950" s="12"/>
      <c r="Q2950" s="12">
        <f>+(Tabla1[[#This Row],[COSTO COCHE]]/30)*Tabla1[[#This Row],[TOTAL DIAS PROYECTO]]</f>
        <v>0</v>
      </c>
      <c r="R2950" s="12">
        <f>+Tabla1[[#This Row],[COSTO TOTAL ALOJAMIENTO]]+Tabla1[[#This Row],[COSTO TOTAL COCHE]]</f>
        <v>1760.0000000000002</v>
      </c>
      <c r="S2950" s="2"/>
      <c r="T2950" s="2" t="s">
        <v>44</v>
      </c>
      <c r="U2950" s="14">
        <v>45578</v>
      </c>
      <c r="V2950" s="43">
        <v>45866</v>
      </c>
      <c r="W2950" s="26"/>
      <c r="X2950" s="2">
        <v>22</v>
      </c>
      <c r="Y2950" s="11" t="s">
        <v>4540</v>
      </c>
      <c r="Z2950" s="2" t="s">
        <v>36</v>
      </c>
      <c r="AA2950" s="13" t="s">
        <v>10407</v>
      </c>
      <c r="AB2950" s="13" t="s">
        <v>10408</v>
      </c>
    </row>
    <row r="2951" spans="1:28" ht="15" customHeight="1">
      <c r="A2951" s="2" t="s">
        <v>9064</v>
      </c>
      <c r="B2951" s="2" t="s">
        <v>368</v>
      </c>
      <c r="C2951" s="11" t="s">
        <v>1847</v>
      </c>
      <c r="D2951" s="2" t="s">
        <v>30</v>
      </c>
      <c r="E2951" s="2" t="s">
        <v>985</v>
      </c>
      <c r="F2951" s="11" t="s">
        <v>3889</v>
      </c>
      <c r="G2951" s="21" t="s">
        <v>987</v>
      </c>
      <c r="H2951" s="2" t="s">
        <v>988</v>
      </c>
      <c r="I2951" s="12" t="s">
        <v>989</v>
      </c>
      <c r="J2951" s="22">
        <f>+Tabla1[[#This Row],[FECHA ENTRADA]]</f>
        <v>45807</v>
      </c>
      <c r="K2951" s="41">
        <v>45866</v>
      </c>
      <c r="L2951" s="23">
        <f>_xlfn.DAYS(Tabla1[[#This Row],[FECHA FIN ]],Tabla1[[#This Row],[FECHA INICIO]])</f>
        <v>59</v>
      </c>
      <c r="M2951" s="12"/>
      <c r="N2951" s="12"/>
      <c r="O2951" s="24">
        <f>(Tabla1[[#This Row],[COSTO FIJO ]]/30)*Tabla1[[#This Row],[TOTAL DIAS PROYECTO]]+(Tabla1[[#This Row],[COSTO TEMPORAL]])</f>
        <v>0</v>
      </c>
      <c r="P2951" s="12"/>
      <c r="Q2951" s="12">
        <f>+(Tabla1[[#This Row],[COSTO COCHE]]/30)*Tabla1[[#This Row],[TOTAL DIAS PROYECTO]]</f>
        <v>0</v>
      </c>
      <c r="R2951" s="12">
        <f>+Tabla1[[#This Row],[COSTO TOTAL ALOJAMIENTO]]+Tabla1[[#This Row],[COSTO TOTAL COCHE]]</f>
        <v>0</v>
      </c>
      <c r="S2951" s="2"/>
      <c r="T2951" s="2" t="s">
        <v>44</v>
      </c>
      <c r="U2951" s="14">
        <v>45807</v>
      </c>
      <c r="V2951" s="43">
        <v>45866</v>
      </c>
      <c r="W2951" s="2"/>
      <c r="X2951" s="2">
        <v>22</v>
      </c>
      <c r="Y2951" s="11"/>
      <c r="Z2951" s="2" t="s">
        <v>36</v>
      </c>
      <c r="AA2951" s="13" t="s">
        <v>10407</v>
      </c>
      <c r="AB2951" s="13" t="s">
        <v>10408</v>
      </c>
    </row>
    <row r="2952" spans="1:28" ht="15" customHeight="1">
      <c r="A2952" s="2" t="s">
        <v>8784</v>
      </c>
      <c r="B2952" s="2" t="s">
        <v>368</v>
      </c>
      <c r="C2952" s="11" t="s">
        <v>755</v>
      </c>
      <c r="D2952" s="2" t="s">
        <v>30</v>
      </c>
      <c r="E2952" s="2" t="s">
        <v>985</v>
      </c>
      <c r="F2952" s="11" t="s">
        <v>3889</v>
      </c>
      <c r="G2952" s="21" t="s">
        <v>987</v>
      </c>
      <c r="H2952" s="2" t="s">
        <v>988</v>
      </c>
      <c r="I2952" s="12" t="s">
        <v>989</v>
      </c>
      <c r="J2952" s="22">
        <f>+Tabla1[[#This Row],[FECHA ENTRADA]]</f>
        <v>45571</v>
      </c>
      <c r="K2952" s="41">
        <v>45866</v>
      </c>
      <c r="L2952" s="23">
        <f>_xlfn.DAYS(Tabla1[[#This Row],[FECHA FIN ]],Tabla1[[#This Row],[FECHA INICIO]])</f>
        <v>295</v>
      </c>
      <c r="M2952" s="12"/>
      <c r="N2952" s="12"/>
      <c r="O2952" s="24">
        <f>(Tabla1[[#This Row],[COSTO FIJO ]]/30)*Tabla1[[#This Row],[TOTAL DIAS PROYECTO]]+(Tabla1[[#This Row],[COSTO TEMPORAL]])</f>
        <v>0</v>
      </c>
      <c r="P2952" s="12"/>
      <c r="Q2952" s="12">
        <f>+(Tabla1[[#This Row],[COSTO COCHE]]/30)*Tabla1[[#This Row],[TOTAL DIAS PROYECTO]]</f>
        <v>0</v>
      </c>
      <c r="R2952" s="12">
        <f>+Tabla1[[#This Row],[COSTO TOTAL ALOJAMIENTO]]+Tabla1[[#This Row],[COSTO TOTAL COCHE]]</f>
        <v>0</v>
      </c>
      <c r="S2952" s="2"/>
      <c r="T2952" s="2" t="s">
        <v>44</v>
      </c>
      <c r="U2952" s="14">
        <v>45571</v>
      </c>
      <c r="V2952" s="43">
        <v>45866</v>
      </c>
      <c r="W2952" s="26">
        <v>550</v>
      </c>
      <c r="X2952" s="2">
        <v>22</v>
      </c>
      <c r="Y2952" s="11" t="s">
        <v>4541</v>
      </c>
      <c r="Z2952" s="2" t="s">
        <v>36</v>
      </c>
      <c r="AA2952" s="13" t="s">
        <v>10407</v>
      </c>
      <c r="AB2952" s="13" t="s">
        <v>10408</v>
      </c>
    </row>
    <row r="2953" spans="1:28" ht="15" customHeight="1">
      <c r="A2953" s="2" t="s">
        <v>9592</v>
      </c>
      <c r="B2953" s="10" t="s">
        <v>711</v>
      </c>
      <c r="C2953" s="11" t="s">
        <v>3788</v>
      </c>
      <c r="D2953" s="2" t="s">
        <v>99</v>
      </c>
      <c r="E2953" s="2" t="s">
        <v>538</v>
      </c>
      <c r="F2953" s="11" t="s">
        <v>4542</v>
      </c>
      <c r="G2953" t="s">
        <v>4543</v>
      </c>
      <c r="H2953" s="2" t="s">
        <v>4544</v>
      </c>
      <c r="I2953" s="12" t="s">
        <v>1392</v>
      </c>
      <c r="J2953" s="41">
        <f>+Tabla1[[#This Row],[FECHA ENTRADA]]</f>
        <v>45865</v>
      </c>
      <c r="K2953" s="41">
        <v>45867</v>
      </c>
      <c r="L2953" s="42">
        <f>_xlfn.DAYS(Tabla1[[#This Row],[FECHA FIN ]],Tabla1[[#This Row],[FECHA INICIO]])</f>
        <v>2</v>
      </c>
      <c r="M2953" s="12"/>
      <c r="N2953" s="12">
        <f>(180+90)/4</f>
        <v>67.5</v>
      </c>
      <c r="O2953" s="28">
        <f>(Tabla1[[#This Row],[COSTO FIJO ]]/30)*Tabla1[[#This Row],[TOTAL DIAS PROYECTO]]+(Tabla1[[#This Row],[COSTO TEMPORAL]])</f>
        <v>4.5</v>
      </c>
      <c r="P2953" s="12"/>
      <c r="Q2953" s="12">
        <f>+(Tabla1[[#This Row],[COSTO COCHE]]/30)*Tabla1[[#This Row],[TOTAL DIAS PROYECTO]]</f>
        <v>0</v>
      </c>
      <c r="R2953" s="12">
        <f>+Tabla1[[#This Row],[COSTO TOTAL ALOJAMIENTO]]+Tabla1[[#This Row],[COSTO TOTAL COCHE]]</f>
        <v>4.5</v>
      </c>
      <c r="S2953" s="2"/>
      <c r="T2953" s="14" t="s">
        <v>44</v>
      </c>
      <c r="U2953" s="14">
        <v>45865</v>
      </c>
      <c r="V2953" s="43">
        <v>45868</v>
      </c>
      <c r="W2953" s="12"/>
      <c r="X2953" s="2"/>
      <c r="Y2953" s="11" t="s">
        <v>4545</v>
      </c>
      <c r="Z2953" s="2" t="s">
        <v>36</v>
      </c>
      <c r="AA2953" s="13">
        <v>-378939</v>
      </c>
      <c r="AB2953" s="13">
        <v>3776578</v>
      </c>
    </row>
    <row r="2954" spans="1:28" ht="15" customHeight="1">
      <c r="A2954" s="2" t="s">
        <v>9083</v>
      </c>
      <c r="B2954" s="10" t="s">
        <v>711</v>
      </c>
      <c r="C2954" s="11" t="s">
        <v>1941</v>
      </c>
      <c r="D2954" s="2" t="s">
        <v>99</v>
      </c>
      <c r="E2954" s="2" t="s">
        <v>538</v>
      </c>
      <c r="F2954" s="11" t="s">
        <v>4542</v>
      </c>
      <c r="G2954" t="s">
        <v>4543</v>
      </c>
      <c r="H2954" s="2" t="s">
        <v>4544</v>
      </c>
      <c r="I2954" s="12" t="s">
        <v>1392</v>
      </c>
      <c r="J2954" s="41">
        <f>+Tabla1[[#This Row],[FECHA ENTRADA]]</f>
        <v>45865</v>
      </c>
      <c r="K2954" s="41">
        <v>45867</v>
      </c>
      <c r="L2954" s="42">
        <f>_xlfn.DAYS(Tabla1[[#This Row],[FECHA FIN ]],Tabla1[[#This Row],[FECHA INICIO]])</f>
        <v>2</v>
      </c>
      <c r="M2954" s="12"/>
      <c r="N2954" s="12">
        <f>(180+90)/4</f>
        <v>67.5</v>
      </c>
      <c r="O2954" s="28">
        <f>(Tabla1[[#This Row],[COSTO FIJO ]]/30)*Tabla1[[#This Row],[TOTAL DIAS PROYECTO]]+(Tabla1[[#This Row],[COSTO TEMPORAL]])</f>
        <v>4.5</v>
      </c>
      <c r="P2954" s="12"/>
      <c r="Q2954" s="12">
        <f>+(Tabla1[[#This Row],[COSTO COCHE]]/30)*Tabla1[[#This Row],[TOTAL DIAS PROYECTO]]</f>
        <v>0</v>
      </c>
      <c r="R2954" s="12">
        <f>+Tabla1[[#This Row],[COSTO TOTAL ALOJAMIENTO]]+Tabla1[[#This Row],[COSTO TOTAL COCHE]]</f>
        <v>4.5</v>
      </c>
      <c r="S2954" s="2"/>
      <c r="T2954" s="14" t="s">
        <v>44</v>
      </c>
      <c r="U2954" s="14">
        <v>45865</v>
      </c>
      <c r="V2954" s="43">
        <v>45868</v>
      </c>
      <c r="W2954" s="12"/>
      <c r="X2954" s="2"/>
      <c r="Y2954" s="11" t="s">
        <v>4545</v>
      </c>
      <c r="Z2954" s="2" t="s">
        <v>36</v>
      </c>
      <c r="AA2954" s="13">
        <v>-378939</v>
      </c>
      <c r="AB2954" s="13">
        <v>3776578</v>
      </c>
    </row>
    <row r="2955" spans="1:28" ht="15" customHeight="1">
      <c r="A2955" s="2" t="s">
        <v>9746</v>
      </c>
      <c r="B2955" s="10" t="s">
        <v>711</v>
      </c>
      <c r="C2955" s="31" t="s">
        <v>4546</v>
      </c>
      <c r="D2955" s="2" t="s">
        <v>99</v>
      </c>
      <c r="E2955" s="2" t="s">
        <v>538</v>
      </c>
      <c r="F2955" s="11" t="s">
        <v>4542</v>
      </c>
      <c r="G2955" t="s">
        <v>4543</v>
      </c>
      <c r="H2955" s="2" t="s">
        <v>4544</v>
      </c>
      <c r="I2955" s="12" t="s">
        <v>1392</v>
      </c>
      <c r="J2955" s="41">
        <f>+Tabla1[[#This Row],[FECHA ENTRADA]]</f>
        <v>45865</v>
      </c>
      <c r="K2955" s="41">
        <v>45867</v>
      </c>
      <c r="L2955" s="42">
        <f>_xlfn.DAYS(Tabla1[[#This Row],[FECHA FIN ]],Tabla1[[#This Row],[FECHA INICIO]])</f>
        <v>2</v>
      </c>
      <c r="M2955" s="12"/>
      <c r="N2955" s="12">
        <f>(180+90)/4</f>
        <v>67.5</v>
      </c>
      <c r="O2955" s="28">
        <f>(Tabla1[[#This Row],[COSTO FIJO ]]/30)*Tabla1[[#This Row],[TOTAL DIAS PROYECTO]]+(Tabla1[[#This Row],[COSTO TEMPORAL]])</f>
        <v>4.5</v>
      </c>
      <c r="P2955" s="12"/>
      <c r="Q2955" s="12">
        <f>+(Tabla1[[#This Row],[COSTO COCHE]]/30)*Tabla1[[#This Row],[TOTAL DIAS PROYECTO]]</f>
        <v>0</v>
      </c>
      <c r="R2955" s="12">
        <f>+Tabla1[[#This Row],[COSTO TOTAL ALOJAMIENTO]]+Tabla1[[#This Row],[COSTO TOTAL COCHE]]</f>
        <v>4.5</v>
      </c>
      <c r="S2955" s="2"/>
      <c r="T2955" s="14" t="s">
        <v>44</v>
      </c>
      <c r="U2955" s="14">
        <v>45865</v>
      </c>
      <c r="V2955" s="43">
        <v>45868</v>
      </c>
      <c r="W2955" s="12"/>
      <c r="X2955" s="2"/>
      <c r="Y2955" s="11" t="s">
        <v>4545</v>
      </c>
      <c r="Z2955" s="2" t="s">
        <v>36</v>
      </c>
      <c r="AA2955" s="13">
        <v>-378939</v>
      </c>
      <c r="AB2955" s="13">
        <v>3776578</v>
      </c>
    </row>
    <row r="2956" spans="1:28" ht="15" customHeight="1">
      <c r="A2956" s="2" t="s">
        <v>9747</v>
      </c>
      <c r="B2956" s="10" t="s">
        <v>711</v>
      </c>
      <c r="C2956" s="11" t="s">
        <v>4547</v>
      </c>
      <c r="D2956" s="2" t="s">
        <v>99</v>
      </c>
      <c r="E2956" s="2" t="s">
        <v>538</v>
      </c>
      <c r="F2956" s="11" t="s">
        <v>4542</v>
      </c>
      <c r="G2956" t="s">
        <v>4543</v>
      </c>
      <c r="H2956" s="2" t="s">
        <v>4544</v>
      </c>
      <c r="I2956" s="12" t="s">
        <v>1392</v>
      </c>
      <c r="J2956" s="41">
        <f>+Tabla1[[#This Row],[FECHA ENTRADA]]</f>
        <v>45865</v>
      </c>
      <c r="K2956" s="41">
        <v>45867</v>
      </c>
      <c r="L2956" s="42">
        <f>_xlfn.DAYS(Tabla1[[#This Row],[FECHA FIN ]],Tabla1[[#This Row],[FECHA INICIO]])</f>
        <v>2</v>
      </c>
      <c r="M2956" s="12"/>
      <c r="N2956" s="12">
        <f>(180+90)/4</f>
        <v>67.5</v>
      </c>
      <c r="O2956" s="28">
        <f>(Tabla1[[#This Row],[COSTO FIJO ]]/30)*Tabla1[[#This Row],[TOTAL DIAS PROYECTO]]+(Tabla1[[#This Row],[COSTO TEMPORAL]])</f>
        <v>4.5</v>
      </c>
      <c r="P2956" s="12"/>
      <c r="Q2956" s="12">
        <f>+(Tabla1[[#This Row],[COSTO COCHE]]/30)*Tabla1[[#This Row],[TOTAL DIAS PROYECTO]]</f>
        <v>0</v>
      </c>
      <c r="R2956" s="12">
        <f>+Tabla1[[#This Row],[COSTO TOTAL ALOJAMIENTO]]+Tabla1[[#This Row],[COSTO TOTAL COCHE]]</f>
        <v>4.5</v>
      </c>
      <c r="S2956" s="2"/>
      <c r="T2956" s="14" t="s">
        <v>44</v>
      </c>
      <c r="U2956" s="14">
        <v>45865</v>
      </c>
      <c r="V2956" s="43">
        <v>45868</v>
      </c>
      <c r="W2956" s="12"/>
      <c r="X2956" s="2"/>
      <c r="Y2956" s="11" t="s">
        <v>4545</v>
      </c>
      <c r="Z2956" s="2" t="s">
        <v>36</v>
      </c>
      <c r="AA2956" s="13">
        <v>-378939</v>
      </c>
      <c r="AB2956" s="13">
        <v>3776578</v>
      </c>
    </row>
    <row r="2957" spans="1:28" ht="15" customHeight="1">
      <c r="A2957" s="2" t="s">
        <v>9748</v>
      </c>
      <c r="B2957" s="2" t="s">
        <v>28</v>
      </c>
      <c r="C2957" s="11" t="s">
        <v>4548</v>
      </c>
      <c r="D2957" s="2" t="s">
        <v>99</v>
      </c>
      <c r="E2957" s="2" t="s">
        <v>626</v>
      </c>
      <c r="F2957" s="11" t="s">
        <v>2376</v>
      </c>
      <c r="G2957" s="30" t="s">
        <v>2377</v>
      </c>
      <c r="H2957" s="2" t="s">
        <v>4171</v>
      </c>
      <c r="I2957" s="12" t="s">
        <v>570</v>
      </c>
      <c r="J2957" s="22">
        <f>+Tabla1[[#This Row],[FECHA ENTRADA]]</f>
        <v>45804</v>
      </c>
      <c r="K2957" s="22">
        <v>45867</v>
      </c>
      <c r="L2957" s="23">
        <f>_xlfn.DAYS(Tabla1[[#This Row],[FECHA FIN ]],Tabla1[[#This Row],[FECHA INICIO]])</f>
        <v>63</v>
      </c>
      <c r="M2957" s="12"/>
      <c r="N2957" s="12"/>
      <c r="O2957" s="24">
        <f>(Tabla1[[#This Row],[COSTO FIJO ]]/30)*Tabla1[[#This Row],[TOTAL DIAS PROYECTO]]+(Tabla1[[#This Row],[COSTO TEMPORAL]])</f>
        <v>0</v>
      </c>
      <c r="P2957" s="12"/>
      <c r="Q2957" s="12">
        <f>+(Tabla1[[#This Row],[COSTO COCHE]]/30)*Tabla1[[#This Row],[TOTAL DIAS PROYECTO]]</f>
        <v>0</v>
      </c>
      <c r="R2957" s="12">
        <f>+Tabla1[[#This Row],[COSTO TOTAL ALOJAMIENTO]]+Tabla1[[#This Row],[COSTO TOTAL COCHE]]</f>
        <v>0</v>
      </c>
      <c r="S2957" s="2"/>
      <c r="T2957" s="2" t="s">
        <v>44</v>
      </c>
      <c r="U2957" s="14">
        <v>45804</v>
      </c>
      <c r="V2957" s="25">
        <v>45888</v>
      </c>
      <c r="W2957" s="2"/>
      <c r="X2957" s="2"/>
      <c r="Y2957" t="s">
        <v>4549</v>
      </c>
      <c r="Z2957" s="2" t="s">
        <v>36</v>
      </c>
      <c r="AA2957" s="13" t="s">
        <v>10385</v>
      </c>
      <c r="AB2957" s="13" t="s">
        <v>10386</v>
      </c>
    </row>
    <row r="2958" spans="1:28" ht="15" customHeight="1">
      <c r="A2958" s="2" t="s">
        <v>9247</v>
      </c>
      <c r="B2958" s="2" t="s">
        <v>28</v>
      </c>
      <c r="C2958" s="11" t="s">
        <v>2579</v>
      </c>
      <c r="D2958" s="2" t="s">
        <v>30</v>
      </c>
      <c r="E2958" s="2" t="s">
        <v>476</v>
      </c>
      <c r="F2958" s="11" t="s">
        <v>1488</v>
      </c>
      <c r="G2958" s="49" t="s">
        <v>483</v>
      </c>
      <c r="H2958" s="2" t="s">
        <v>2715</v>
      </c>
      <c r="I2958" s="65" t="s">
        <v>165</v>
      </c>
      <c r="J2958" s="41">
        <f>+Tabla1[[#This Row],[FECHA ENTRADA]]</f>
        <v>45725</v>
      </c>
      <c r="K2958" s="41">
        <v>45868</v>
      </c>
      <c r="L2958" s="42">
        <f>_xlfn.DAYS(Tabla1[[#This Row],[FECHA FIN ]],Tabla1[[#This Row],[FECHA INICIO]])</f>
        <v>143</v>
      </c>
      <c r="M2958" s="12"/>
      <c r="N2958" s="20">
        <v>340</v>
      </c>
      <c r="O2958" s="28">
        <f>(Tabla1[[#This Row],[COSTO FIJO ]]/30)*Tabla1[[#This Row],[TOTAL DIAS PROYECTO]]+(Tabla1[[#This Row],[COSTO TEMPORAL]])</f>
        <v>1620.6666666666667</v>
      </c>
      <c r="P2958" s="12">
        <f>542.69/4</f>
        <v>135.67250000000001</v>
      </c>
      <c r="Q2958" s="12">
        <f>+(Tabla1[[#This Row],[COSTO COCHE]]/30)*Tabla1[[#This Row],[TOTAL DIAS PROYECTO]]</f>
        <v>646.70558333333349</v>
      </c>
      <c r="R2958" s="12">
        <f>+Tabla1[[#This Row],[COSTO TOTAL ALOJAMIENTO]]+Tabla1[[#This Row],[COSTO TOTAL COCHE]]</f>
        <v>2267.3722500000003</v>
      </c>
      <c r="S2958" s="2"/>
      <c r="T2958" s="2" t="s">
        <v>35</v>
      </c>
      <c r="U2958" s="14">
        <v>45725</v>
      </c>
      <c r="V2958" s="43"/>
      <c r="W2958" s="26"/>
      <c r="X2958" s="2">
        <v>1</v>
      </c>
      <c r="Y2958" s="11"/>
      <c r="Z2958" s="2" t="s">
        <v>36</v>
      </c>
      <c r="AA2958" s="13">
        <v>-7.8640699999999999</v>
      </c>
      <c r="AB2958" s="13">
        <v>42.336689999999997</v>
      </c>
    </row>
    <row r="2959" spans="1:28" ht="15" customHeight="1">
      <c r="A2959" s="2" t="s">
        <v>8638</v>
      </c>
      <c r="B2959" s="2" t="s">
        <v>28</v>
      </c>
      <c r="C2959" s="11" t="s">
        <v>167</v>
      </c>
      <c r="D2959" s="2" t="s">
        <v>30</v>
      </c>
      <c r="E2959" s="2" t="s">
        <v>476</v>
      </c>
      <c r="F2959" s="11" t="s">
        <v>1488</v>
      </c>
      <c r="G2959" s="11" t="s">
        <v>483</v>
      </c>
      <c r="H2959" s="2" t="s">
        <v>1489</v>
      </c>
      <c r="I2959" s="12" t="s">
        <v>165</v>
      </c>
      <c r="J2959" s="8">
        <f>+Tabla1[[#This Row],[FECHA ENTRADA]]</f>
        <v>45386</v>
      </c>
      <c r="K2959" s="8">
        <v>45868</v>
      </c>
      <c r="L2959" s="13">
        <f>_xlfn.DAYS(Tabla1[[#This Row],[FECHA FIN ]],Tabla1[[#This Row],[FECHA INICIO]])</f>
        <v>482</v>
      </c>
      <c r="M2959" s="12"/>
      <c r="N2959" s="12">
        <v>340</v>
      </c>
      <c r="O2959" s="12">
        <f>(Tabla1[[#This Row],[COSTO FIJO ]]/30)*Tabla1[[#This Row],[TOTAL DIAS PROYECTO]]+(Tabla1[[#This Row],[COSTO TEMPORAL]])</f>
        <v>5462.666666666667</v>
      </c>
      <c r="P2959" s="12"/>
      <c r="Q2959" s="12">
        <f>+(Tabla1[[#This Row],[COSTO COCHE]]/30)*Tabla1[[#This Row],[TOTAL DIAS PROYECTO]]</f>
        <v>0</v>
      </c>
      <c r="R2959" s="12">
        <f>+Tabla1[[#This Row],[COSTO TOTAL ALOJAMIENTO]]+Tabla1[[#This Row],[COSTO TOTAL COCHE]]</f>
        <v>5462.666666666667</v>
      </c>
      <c r="S2959" s="2"/>
      <c r="T2959" s="2" t="s">
        <v>35</v>
      </c>
      <c r="U2959" s="14">
        <v>45386</v>
      </c>
      <c r="V2959" s="14"/>
      <c r="W2959" s="15">
        <v>1360</v>
      </c>
      <c r="X2959" s="16">
        <v>1</v>
      </c>
      <c r="Y2959" s="11" t="s">
        <v>1490</v>
      </c>
      <c r="Z2959" s="2" t="s">
        <v>36</v>
      </c>
      <c r="AA2959" s="13">
        <v>-7.8640699999999999</v>
      </c>
      <c r="AB2959" s="13">
        <v>42.336689999999997</v>
      </c>
    </row>
    <row r="2960" spans="1:28" ht="15" customHeight="1">
      <c r="A2960" s="2" t="s">
        <v>9130</v>
      </c>
      <c r="B2960" s="2" t="s">
        <v>28</v>
      </c>
      <c r="C2960" s="11" t="s">
        <v>2126</v>
      </c>
      <c r="D2960" s="2" t="s">
        <v>30</v>
      </c>
      <c r="E2960" s="2" t="s">
        <v>127</v>
      </c>
      <c r="F2960" s="11" t="s">
        <v>128</v>
      </c>
      <c r="G2960" s="46" t="s">
        <v>2111</v>
      </c>
      <c r="H2960" s="2" t="s">
        <v>4213</v>
      </c>
      <c r="I2960" s="12" t="s">
        <v>1201</v>
      </c>
      <c r="J2960" s="22">
        <f>+Tabla1[[#This Row],[FECHA ENTRADA]]</f>
        <v>45841</v>
      </c>
      <c r="K2960" s="22">
        <v>45868</v>
      </c>
      <c r="L2960" s="23">
        <f>_xlfn.DAYS(Tabla1[[#This Row],[FECHA FIN ]],Tabla1[[#This Row],[FECHA INICIO]])</f>
        <v>27</v>
      </c>
      <c r="M2960" s="12"/>
      <c r="N2960" s="24">
        <v>250</v>
      </c>
      <c r="O2960" s="24">
        <f>(Tabla1[[#This Row],[COSTO FIJO ]]/30)*Tabla1[[#This Row],[TOTAL DIAS PROYECTO]]+(Tabla1[[#This Row],[COSTO TEMPORAL]])</f>
        <v>225.00000000000003</v>
      </c>
      <c r="P2960" s="12"/>
      <c r="Q2960" s="12">
        <f>+(Tabla1[[#This Row],[COSTO COCHE]]/30)*Tabla1[[#This Row],[TOTAL DIAS PROYECTO]]</f>
        <v>0</v>
      </c>
      <c r="R2960" s="12">
        <f>+Tabla1[[#This Row],[COSTO TOTAL ALOJAMIENTO]]+Tabla1[[#This Row],[COSTO TOTAL COCHE]]</f>
        <v>225.00000000000003</v>
      </c>
      <c r="S2960" s="2"/>
      <c r="T2960" s="14" t="s">
        <v>35</v>
      </c>
      <c r="U2960" s="14">
        <v>45841</v>
      </c>
      <c r="V2960" s="25"/>
      <c r="W2960" s="2"/>
      <c r="X2960" s="2">
        <v>1</v>
      </c>
      <c r="Y2960" s="11"/>
      <c r="Z2960" s="2" t="s">
        <v>36</v>
      </c>
      <c r="AA2960" s="13" t="s">
        <v>10342</v>
      </c>
      <c r="AB2960" s="13" t="s">
        <v>10343</v>
      </c>
    </row>
    <row r="2961" spans="1:28" ht="15" customHeight="1">
      <c r="A2961" s="2" t="s">
        <v>9467</v>
      </c>
      <c r="B2961" s="2" t="s">
        <v>28</v>
      </c>
      <c r="C2961" s="11" t="s">
        <v>3288</v>
      </c>
      <c r="D2961" s="2" t="s">
        <v>30</v>
      </c>
      <c r="E2961" s="2" t="s">
        <v>127</v>
      </c>
      <c r="F2961" s="11" t="s">
        <v>128</v>
      </c>
      <c r="G2961" s="46" t="s">
        <v>2111</v>
      </c>
      <c r="H2961" s="2" t="s">
        <v>4213</v>
      </c>
      <c r="I2961" s="12" t="s">
        <v>1201</v>
      </c>
      <c r="J2961" s="22">
        <f>+Tabla1[[#This Row],[FECHA ENTRADA]]</f>
        <v>45841</v>
      </c>
      <c r="K2961" s="22">
        <v>45868</v>
      </c>
      <c r="L2961" s="23">
        <f>_xlfn.DAYS(Tabla1[[#This Row],[FECHA FIN ]],Tabla1[[#This Row],[FECHA INICIO]])</f>
        <v>27</v>
      </c>
      <c r="M2961" s="12"/>
      <c r="N2961" s="24">
        <v>250</v>
      </c>
      <c r="O2961" s="24">
        <f>(Tabla1[[#This Row],[COSTO FIJO ]]/30)*Tabla1[[#This Row],[TOTAL DIAS PROYECTO]]+(Tabla1[[#This Row],[COSTO TEMPORAL]])</f>
        <v>225.00000000000003</v>
      </c>
      <c r="P2961" s="12"/>
      <c r="Q2961" s="12">
        <f>+(Tabla1[[#This Row],[COSTO COCHE]]/30)*Tabla1[[#This Row],[TOTAL DIAS PROYECTO]]</f>
        <v>0</v>
      </c>
      <c r="R2961" s="12">
        <f>+Tabla1[[#This Row],[COSTO TOTAL ALOJAMIENTO]]+Tabla1[[#This Row],[COSTO TOTAL COCHE]]</f>
        <v>225.00000000000003</v>
      </c>
      <c r="S2961" s="2"/>
      <c r="T2961" s="14" t="s">
        <v>35</v>
      </c>
      <c r="U2961" s="14">
        <v>45841</v>
      </c>
      <c r="V2961" s="25"/>
      <c r="W2961" s="2"/>
      <c r="X2961" s="2">
        <v>1</v>
      </c>
      <c r="Y2961" s="11"/>
      <c r="Z2961" s="2" t="s">
        <v>36</v>
      </c>
      <c r="AA2961" s="13" t="s">
        <v>10342</v>
      </c>
      <c r="AB2961" s="13" t="s">
        <v>10343</v>
      </c>
    </row>
    <row r="2962" spans="1:28" ht="15" customHeight="1">
      <c r="A2962" s="2" t="s">
        <v>9498</v>
      </c>
      <c r="B2962" s="2" t="s">
        <v>28</v>
      </c>
      <c r="C2962" s="11" t="s">
        <v>3388</v>
      </c>
      <c r="D2962" s="2" t="s">
        <v>30</v>
      </c>
      <c r="E2962" s="2" t="s">
        <v>127</v>
      </c>
      <c r="F2962" s="11" t="s">
        <v>128</v>
      </c>
      <c r="G2962" s="46" t="s">
        <v>2111</v>
      </c>
      <c r="H2962" s="2" t="s">
        <v>4213</v>
      </c>
      <c r="I2962" s="12" t="s">
        <v>1201</v>
      </c>
      <c r="J2962" s="22">
        <f>+Tabla1[[#This Row],[FECHA ENTRADA]]</f>
        <v>45841</v>
      </c>
      <c r="K2962" s="22">
        <v>45868</v>
      </c>
      <c r="L2962" s="23">
        <f>_xlfn.DAYS(Tabla1[[#This Row],[FECHA FIN ]],Tabla1[[#This Row],[FECHA INICIO]])</f>
        <v>27</v>
      </c>
      <c r="M2962" s="12"/>
      <c r="N2962" s="24">
        <v>250</v>
      </c>
      <c r="O2962" s="24">
        <f>(Tabla1[[#This Row],[COSTO FIJO ]]/30)*Tabla1[[#This Row],[TOTAL DIAS PROYECTO]]+(Tabla1[[#This Row],[COSTO TEMPORAL]])</f>
        <v>225.00000000000003</v>
      </c>
      <c r="P2962" s="12"/>
      <c r="Q2962" s="12">
        <f>+(Tabla1[[#This Row],[COSTO COCHE]]/30)*Tabla1[[#This Row],[TOTAL DIAS PROYECTO]]</f>
        <v>0</v>
      </c>
      <c r="R2962" s="12">
        <f>+Tabla1[[#This Row],[COSTO TOTAL ALOJAMIENTO]]+Tabla1[[#This Row],[COSTO TOTAL COCHE]]</f>
        <v>225.00000000000003</v>
      </c>
      <c r="S2962" s="2"/>
      <c r="T2962" s="14" t="s">
        <v>35</v>
      </c>
      <c r="U2962" s="14">
        <v>45841</v>
      </c>
      <c r="V2962" s="25"/>
      <c r="W2962" s="2"/>
      <c r="X2962" s="2">
        <v>1</v>
      </c>
      <c r="Y2962" s="11"/>
      <c r="Z2962" s="2" t="s">
        <v>36</v>
      </c>
      <c r="AA2962" s="13" t="s">
        <v>10342</v>
      </c>
      <c r="AB2962" s="13" t="s">
        <v>10343</v>
      </c>
    </row>
    <row r="2963" spans="1:28" ht="15" customHeight="1">
      <c r="A2963" s="2" t="s">
        <v>9670</v>
      </c>
      <c r="B2963" s="2" t="s">
        <v>28</v>
      </c>
      <c r="C2963" s="11" t="s">
        <v>4155</v>
      </c>
      <c r="D2963" s="2" t="s">
        <v>30</v>
      </c>
      <c r="E2963" s="2" t="s">
        <v>127</v>
      </c>
      <c r="F2963" s="11" t="s">
        <v>128</v>
      </c>
      <c r="G2963" s="46" t="s">
        <v>2111</v>
      </c>
      <c r="H2963" s="2" t="s">
        <v>4213</v>
      </c>
      <c r="I2963" s="12" t="s">
        <v>1201</v>
      </c>
      <c r="J2963" s="22">
        <f>+Tabla1[[#This Row],[FECHA ENTRADA]]</f>
        <v>45841</v>
      </c>
      <c r="K2963" s="22">
        <v>45868</v>
      </c>
      <c r="L2963" s="23">
        <f>_xlfn.DAYS(Tabla1[[#This Row],[FECHA FIN ]],Tabla1[[#This Row],[FECHA INICIO]])</f>
        <v>27</v>
      </c>
      <c r="M2963" s="12"/>
      <c r="N2963" s="24">
        <v>250</v>
      </c>
      <c r="O2963" s="24">
        <f>(Tabla1[[#This Row],[COSTO FIJO ]]/30)*Tabla1[[#This Row],[TOTAL DIAS PROYECTO]]+(Tabla1[[#This Row],[COSTO TEMPORAL]])</f>
        <v>225.00000000000003</v>
      </c>
      <c r="P2963" s="12"/>
      <c r="Q2963" s="12">
        <f>+(Tabla1[[#This Row],[COSTO COCHE]]/30)*Tabla1[[#This Row],[TOTAL DIAS PROYECTO]]</f>
        <v>0</v>
      </c>
      <c r="R2963" s="12">
        <f>+Tabla1[[#This Row],[COSTO TOTAL ALOJAMIENTO]]+Tabla1[[#This Row],[COSTO TOTAL COCHE]]</f>
        <v>225.00000000000003</v>
      </c>
      <c r="S2963" s="2"/>
      <c r="T2963" s="14" t="s">
        <v>35</v>
      </c>
      <c r="U2963" s="14">
        <v>45841</v>
      </c>
      <c r="V2963" s="25"/>
      <c r="W2963" s="2"/>
      <c r="X2963" s="2">
        <v>1</v>
      </c>
      <c r="Y2963" s="11"/>
      <c r="Z2963" s="2" t="s">
        <v>36</v>
      </c>
      <c r="AA2963" s="13" t="s">
        <v>10342</v>
      </c>
      <c r="AB2963" s="13" t="s">
        <v>10343</v>
      </c>
    </row>
    <row r="2964" spans="1:28" ht="15" customHeight="1">
      <c r="A2964" s="2" t="s">
        <v>9617</v>
      </c>
      <c r="B2964" s="2" t="s">
        <v>28</v>
      </c>
      <c r="C2964" s="11" t="s">
        <v>3888</v>
      </c>
      <c r="D2964" s="2" t="s">
        <v>30</v>
      </c>
      <c r="E2964" s="2" t="s">
        <v>127</v>
      </c>
      <c r="F2964" s="11" t="s">
        <v>128</v>
      </c>
      <c r="G2964" s="46" t="s">
        <v>2111</v>
      </c>
      <c r="H2964" s="2" t="s">
        <v>2568</v>
      </c>
      <c r="I2964" s="12" t="s">
        <v>1201</v>
      </c>
      <c r="J2964" s="22">
        <f>+Tabla1[[#This Row],[FECHA ENTRADA]]</f>
        <v>45841</v>
      </c>
      <c r="K2964" s="22">
        <v>45868</v>
      </c>
      <c r="L2964" s="23">
        <f>_xlfn.DAYS(Tabla1[[#This Row],[FECHA FIN ]],Tabla1[[#This Row],[FECHA INICIO]])</f>
        <v>27</v>
      </c>
      <c r="M2964" s="12"/>
      <c r="N2964" s="24">
        <v>250</v>
      </c>
      <c r="O2964" s="24">
        <f>(Tabla1[[#This Row],[COSTO FIJO ]]/30)*Tabla1[[#This Row],[TOTAL DIAS PROYECTO]]+(Tabla1[[#This Row],[COSTO TEMPORAL]])</f>
        <v>225.00000000000003</v>
      </c>
      <c r="P2964" s="12"/>
      <c r="Q2964" s="12">
        <f>+(Tabla1[[#This Row],[COSTO COCHE]]/30)*Tabla1[[#This Row],[TOTAL DIAS PROYECTO]]</f>
        <v>0</v>
      </c>
      <c r="R2964" s="12">
        <f>+Tabla1[[#This Row],[COSTO TOTAL ALOJAMIENTO]]+Tabla1[[#This Row],[COSTO TOTAL COCHE]]</f>
        <v>225.00000000000003</v>
      </c>
      <c r="S2964" s="2"/>
      <c r="T2964" s="14" t="s">
        <v>35</v>
      </c>
      <c r="U2964" s="14">
        <v>45841</v>
      </c>
      <c r="V2964" s="25"/>
      <c r="W2964" s="2"/>
      <c r="X2964" s="2">
        <v>1</v>
      </c>
      <c r="Y2964" s="11"/>
      <c r="Z2964" s="2" t="s">
        <v>36</v>
      </c>
      <c r="AA2964" s="13" t="s">
        <v>10342</v>
      </c>
      <c r="AB2964" s="13" t="s">
        <v>10343</v>
      </c>
    </row>
    <row r="2965" spans="1:28" ht="15" customHeight="1">
      <c r="A2965" s="2" t="s">
        <v>9713</v>
      </c>
      <c r="B2965" s="2" t="s">
        <v>28</v>
      </c>
      <c r="C2965" s="11" t="s">
        <v>4366</v>
      </c>
      <c r="D2965" s="2" t="s">
        <v>749</v>
      </c>
      <c r="E2965" s="2" t="s">
        <v>288</v>
      </c>
      <c r="F2965" s="11" t="s">
        <v>928</v>
      </c>
      <c r="G2965" t="s">
        <v>1031</v>
      </c>
      <c r="H2965" s="2" t="s">
        <v>4378</v>
      </c>
      <c r="I2965" s="10" t="s">
        <v>753</v>
      </c>
      <c r="J2965" s="22">
        <f>+Tabla1[[#This Row],[FECHA ENTRADA]]</f>
        <v>45803</v>
      </c>
      <c r="K2965" s="8">
        <v>45821</v>
      </c>
      <c r="L2965" s="23">
        <f>_xlfn.DAYS(Tabla1[[#This Row],[FECHA FIN ]],Tabla1[[#This Row],[FECHA INICIO]])</f>
        <v>18</v>
      </c>
      <c r="M2965" s="12"/>
      <c r="N2965" s="24"/>
      <c r="O2965" s="24">
        <f>(Tabla1[[#This Row],[COSTO FIJO ]]/30)*Tabla1[[#This Row],[TOTAL DIAS PROYECTO]]+(Tabla1[[#This Row],[COSTO TEMPORAL]])</f>
        <v>0</v>
      </c>
      <c r="P2965" s="12"/>
      <c r="Q2965" s="12">
        <f>+(Tabla1[[#This Row],[COSTO COCHE]]/30)*Tabla1[[#This Row],[TOTAL DIAS PROYECTO]]</f>
        <v>0</v>
      </c>
      <c r="R2965" s="12">
        <f>+Tabla1[[#This Row],[COSTO TOTAL ALOJAMIENTO]]+Tabla1[[#This Row],[COSTO TOTAL COCHE]]</f>
        <v>0</v>
      </c>
      <c r="S2965" s="2"/>
      <c r="T2965" s="2" t="s">
        <v>44</v>
      </c>
      <c r="U2965" s="14">
        <v>45803</v>
      </c>
      <c r="V2965" s="25"/>
      <c r="W2965" s="2"/>
      <c r="X2965" s="2"/>
      <c r="Y2965" s="150"/>
      <c r="Z2965" s="2" t="s">
        <v>36</v>
      </c>
      <c r="AA2965" s="13" t="s">
        <v>10362</v>
      </c>
      <c r="AB2965" s="13" t="s">
        <v>10363</v>
      </c>
    </row>
    <row r="2966" spans="1:28" ht="15" customHeight="1">
      <c r="A2966" s="2" t="s">
        <v>9445</v>
      </c>
      <c r="B2966" s="2" t="s">
        <v>28</v>
      </c>
      <c r="C2966" s="11" t="s">
        <v>3209</v>
      </c>
      <c r="D2966" s="2" t="s">
        <v>99</v>
      </c>
      <c r="E2966" s="2" t="s">
        <v>415</v>
      </c>
      <c r="F2966" s="11" t="s">
        <v>487</v>
      </c>
      <c r="G2966" s="46" t="s">
        <v>2795</v>
      </c>
      <c r="H2966" s="2" t="s">
        <v>2796</v>
      </c>
      <c r="I2966" s="12" t="s">
        <v>2321</v>
      </c>
      <c r="J2966" s="41">
        <f>+Tabla1[[#This Row],[FECHA ENTRADA]]</f>
        <v>45720</v>
      </c>
      <c r="K2966" s="22">
        <v>45821</v>
      </c>
      <c r="L2966" s="42">
        <f>_xlfn.DAYS(Tabla1[[#This Row],[FECHA FIN ]],Tabla1[[#This Row],[FECHA INICIO]])</f>
        <v>101</v>
      </c>
      <c r="M2966" s="12"/>
      <c r="N2966" s="12"/>
      <c r="O2966" s="28">
        <f>(Tabla1[[#This Row],[COSTO FIJO ]]/30)*Tabla1[[#This Row],[TOTAL DIAS PROYECTO]]+(Tabla1[[#This Row],[COSTO TEMPORAL]])</f>
        <v>0</v>
      </c>
      <c r="P2966" s="12">
        <v>100</v>
      </c>
      <c r="Q2966" s="12">
        <f>+(Tabla1[[#This Row],[COSTO COCHE]]/30)*Tabla1[[#This Row],[TOTAL DIAS PROYECTO]]</f>
        <v>336.66666666666669</v>
      </c>
      <c r="R2966" s="12">
        <f>+Tabla1[[#This Row],[COSTO TOTAL ALOJAMIENTO]]+Tabla1[[#This Row],[COSTO TOTAL COCHE]]</f>
        <v>336.66666666666669</v>
      </c>
      <c r="S2966" s="2"/>
      <c r="T2966" s="2" t="s">
        <v>35</v>
      </c>
      <c r="U2966" s="14">
        <v>45720</v>
      </c>
      <c r="V2966" s="43"/>
      <c r="W2966" s="26"/>
      <c r="X2966" s="2">
        <v>1</v>
      </c>
      <c r="Y2966" s="11"/>
      <c r="Z2966" s="2" t="s">
        <v>36</v>
      </c>
      <c r="AA2966" s="13">
        <v>-0.37739</v>
      </c>
      <c r="AB2966" s="13" t="s">
        <v>10372</v>
      </c>
    </row>
    <row r="2967" spans="1:28" ht="15" customHeight="1">
      <c r="A2967" s="2" t="s">
        <v>9552</v>
      </c>
      <c r="B2967" s="2" t="s">
        <v>368</v>
      </c>
      <c r="C2967" s="11" t="s">
        <v>3599</v>
      </c>
      <c r="D2967" s="2" t="s">
        <v>99</v>
      </c>
      <c r="E2967" s="2" t="s">
        <v>572</v>
      </c>
      <c r="F2967" s="11" t="s">
        <v>4550</v>
      </c>
      <c r="G2967" s="11">
        <v>627516098</v>
      </c>
      <c r="H2967" s="2" t="s">
        <v>4551</v>
      </c>
      <c r="I2967" s="10" t="s">
        <v>2228</v>
      </c>
      <c r="J2967" s="41">
        <f>+Tabla1[[#This Row],[FECHA ENTRADA]]</f>
        <v>45818</v>
      </c>
      <c r="K2967" s="22">
        <v>45868</v>
      </c>
      <c r="L2967" s="42">
        <f>_xlfn.DAYS(Tabla1[[#This Row],[FECHA FIN ]],Tabla1[[#This Row],[FECHA INICIO]])</f>
        <v>50</v>
      </c>
      <c r="M2967" s="12"/>
      <c r="N2967" s="12"/>
      <c r="O2967" s="28">
        <f>(Tabla1[[#This Row],[COSTO FIJO ]]/30)*Tabla1[[#This Row],[TOTAL DIAS PROYECTO]]+(Tabla1[[#This Row],[COSTO TEMPORAL]])</f>
        <v>0</v>
      </c>
      <c r="P2967" s="12"/>
      <c r="Q2967" s="12">
        <f>+(Tabla1[[#This Row],[COSTO COCHE]]/30)*Tabla1[[#This Row],[TOTAL DIAS PROYECTO]]</f>
        <v>0</v>
      </c>
      <c r="R2967" s="12">
        <f>+Tabla1[[#This Row],[COSTO TOTAL ALOJAMIENTO]]+Tabla1[[#This Row],[COSTO TOTAL COCHE]]</f>
        <v>0</v>
      </c>
      <c r="S2967" s="2"/>
      <c r="T2967" s="2" t="s">
        <v>44</v>
      </c>
      <c r="U2967" s="14">
        <v>45818</v>
      </c>
      <c r="V2967" s="43">
        <v>45868</v>
      </c>
      <c r="W2967" s="2"/>
      <c r="X2967" s="2"/>
      <c r="Y2967" s="11" t="s">
        <v>4552</v>
      </c>
      <c r="Z2967" s="2" t="s">
        <v>36</v>
      </c>
      <c r="AA2967" s="13" t="s">
        <v>10380</v>
      </c>
      <c r="AB2967" s="13" t="s">
        <v>10381</v>
      </c>
    </row>
    <row r="2968" spans="1:28" ht="15" customHeight="1">
      <c r="A2968" s="2" t="s">
        <v>9554</v>
      </c>
      <c r="B2968" s="2" t="s">
        <v>368</v>
      </c>
      <c r="C2968" s="11" t="s">
        <v>3603</v>
      </c>
      <c r="D2968" s="2" t="s">
        <v>99</v>
      </c>
      <c r="E2968" s="2" t="s">
        <v>572</v>
      </c>
      <c r="F2968" s="11" t="s">
        <v>4550</v>
      </c>
      <c r="G2968" s="11">
        <v>627516098</v>
      </c>
      <c r="H2968" s="2" t="s">
        <v>4551</v>
      </c>
      <c r="I2968" s="10" t="s">
        <v>2228</v>
      </c>
      <c r="J2968" s="41">
        <f>+Tabla1[[#This Row],[FECHA ENTRADA]]</f>
        <v>45818</v>
      </c>
      <c r="K2968" s="22">
        <v>45868</v>
      </c>
      <c r="L2968" s="42">
        <f>_xlfn.DAYS(Tabla1[[#This Row],[FECHA FIN ]],Tabla1[[#This Row],[FECHA INICIO]])</f>
        <v>50</v>
      </c>
      <c r="M2968" s="12"/>
      <c r="N2968" s="12"/>
      <c r="O2968" s="28">
        <f>(Tabla1[[#This Row],[COSTO FIJO ]]/30)*Tabla1[[#This Row],[TOTAL DIAS PROYECTO]]+(Tabla1[[#This Row],[COSTO TEMPORAL]])</f>
        <v>0</v>
      </c>
      <c r="P2968" s="12"/>
      <c r="Q2968" s="12">
        <f>+(Tabla1[[#This Row],[COSTO COCHE]]/30)*Tabla1[[#This Row],[TOTAL DIAS PROYECTO]]</f>
        <v>0</v>
      </c>
      <c r="R2968" s="12">
        <f>+Tabla1[[#This Row],[COSTO TOTAL ALOJAMIENTO]]+Tabla1[[#This Row],[COSTO TOTAL COCHE]]</f>
        <v>0</v>
      </c>
      <c r="S2968" s="2"/>
      <c r="T2968" s="2" t="s">
        <v>44</v>
      </c>
      <c r="U2968" s="14">
        <v>45818</v>
      </c>
      <c r="V2968" s="43">
        <v>45868</v>
      </c>
      <c r="W2968" s="2"/>
      <c r="X2968" s="2"/>
      <c r="Y2968" s="11" t="s">
        <v>4552</v>
      </c>
      <c r="Z2968" s="2" t="s">
        <v>36</v>
      </c>
      <c r="AA2968" s="13" t="s">
        <v>10380</v>
      </c>
      <c r="AB2968" s="13" t="s">
        <v>10381</v>
      </c>
    </row>
    <row r="2969" spans="1:28" ht="15" customHeight="1">
      <c r="A2969" s="2" t="s">
        <v>9749</v>
      </c>
      <c r="B2969" s="2" t="s">
        <v>978</v>
      </c>
      <c r="C2969" s="11" t="s">
        <v>4553</v>
      </c>
      <c r="D2969" s="2" t="s">
        <v>30</v>
      </c>
      <c r="E2969" s="2" t="s">
        <v>253</v>
      </c>
      <c r="F2969" s="11" t="s">
        <v>1984</v>
      </c>
      <c r="G2969" s="46" t="s">
        <v>1985</v>
      </c>
      <c r="H2969" s="2" t="s">
        <v>2838</v>
      </c>
      <c r="I2969" s="12" t="s">
        <v>1155</v>
      </c>
      <c r="J2969" s="41">
        <f>+Tabla1[[#This Row],[FECHA ENTRADA]]</f>
        <v>45837</v>
      </c>
      <c r="K2969" s="41">
        <v>45868</v>
      </c>
      <c r="L2969" s="42">
        <f>_xlfn.DAYS(Tabla1[[#This Row],[FECHA FIN ]],Tabla1[[#This Row],[FECHA INICIO]])</f>
        <v>31</v>
      </c>
      <c r="M2969" s="12"/>
      <c r="N2969" s="12"/>
      <c r="O2969" s="28">
        <f>(Tabla1[[#This Row],[COSTO FIJO ]]/30)*Tabla1[[#This Row],[TOTAL DIAS PROYECTO]]+(Tabla1[[#This Row],[COSTO TEMPORAL]])</f>
        <v>0</v>
      </c>
      <c r="P2969" s="12"/>
      <c r="Q2969" s="12">
        <f>+(Tabla1[[#This Row],[COSTO COCHE]]/30)*Tabla1[[#This Row],[TOTAL DIAS PROYECTO]]</f>
        <v>0</v>
      </c>
      <c r="R2969" s="12">
        <f>+Tabla1[[#This Row],[COSTO TOTAL ALOJAMIENTO]]+Tabla1[[#This Row],[COSTO TOTAL COCHE]]</f>
        <v>0</v>
      </c>
      <c r="S2969" s="2"/>
      <c r="T2969" s="14" t="s">
        <v>44</v>
      </c>
      <c r="U2969" s="14">
        <v>45837</v>
      </c>
      <c r="V2969" s="43">
        <v>45868</v>
      </c>
      <c r="W2969" s="12"/>
      <c r="X2969" s="2"/>
      <c r="Y2969" s="11"/>
      <c r="Z2969" s="2" t="s">
        <v>36</v>
      </c>
      <c r="AA2969" s="13" t="s">
        <v>10357</v>
      </c>
      <c r="AB2969" s="13" t="s">
        <v>10358</v>
      </c>
    </row>
    <row r="2970" spans="1:28" ht="15" customHeight="1">
      <c r="A2970" s="2" t="s">
        <v>9750</v>
      </c>
      <c r="B2970" s="2" t="s">
        <v>978</v>
      </c>
      <c r="C2970" s="11" t="s">
        <v>4554</v>
      </c>
      <c r="D2970" s="2" t="s">
        <v>30</v>
      </c>
      <c r="E2970" s="2" t="s">
        <v>253</v>
      </c>
      <c r="F2970" s="11" t="s">
        <v>1984</v>
      </c>
      <c r="G2970" s="46" t="s">
        <v>1985</v>
      </c>
      <c r="H2970" s="2" t="s">
        <v>2838</v>
      </c>
      <c r="I2970" s="12" t="s">
        <v>1155</v>
      </c>
      <c r="J2970" s="41">
        <f>+Tabla1[[#This Row],[FECHA ENTRADA]]</f>
        <v>45837</v>
      </c>
      <c r="K2970" s="41">
        <v>45868</v>
      </c>
      <c r="L2970" s="42">
        <f>_xlfn.DAYS(Tabla1[[#This Row],[FECHA FIN ]],Tabla1[[#This Row],[FECHA INICIO]])</f>
        <v>31</v>
      </c>
      <c r="M2970" s="12"/>
      <c r="N2970" s="12"/>
      <c r="O2970" s="28">
        <f>(Tabla1[[#This Row],[COSTO FIJO ]]/30)*Tabla1[[#This Row],[TOTAL DIAS PROYECTO]]+(Tabla1[[#This Row],[COSTO TEMPORAL]])</f>
        <v>0</v>
      </c>
      <c r="P2970" s="12"/>
      <c r="Q2970" s="12">
        <f>+(Tabla1[[#This Row],[COSTO COCHE]]/30)*Tabla1[[#This Row],[TOTAL DIAS PROYECTO]]</f>
        <v>0</v>
      </c>
      <c r="R2970" s="12">
        <f>+Tabla1[[#This Row],[COSTO TOTAL ALOJAMIENTO]]+Tabla1[[#This Row],[COSTO TOTAL COCHE]]</f>
        <v>0</v>
      </c>
      <c r="S2970" s="2"/>
      <c r="T2970" s="14" t="s">
        <v>44</v>
      </c>
      <c r="U2970" s="14">
        <v>45837</v>
      </c>
      <c r="V2970" s="43">
        <v>45868</v>
      </c>
      <c r="W2970" s="12"/>
      <c r="X2970" s="2"/>
      <c r="Y2970" s="11" t="s">
        <v>1361</v>
      </c>
      <c r="Z2970" s="2" t="s">
        <v>36</v>
      </c>
      <c r="AA2970" s="13" t="s">
        <v>10357</v>
      </c>
      <c r="AB2970" s="13" t="s">
        <v>10358</v>
      </c>
    </row>
    <row r="2971" spans="1:28" ht="15" customHeight="1">
      <c r="A2971" s="2" t="s">
        <v>9751</v>
      </c>
      <c r="B2971" s="2" t="s">
        <v>978</v>
      </c>
      <c r="C2971" s="11" t="s">
        <v>4555</v>
      </c>
      <c r="D2971" s="2" t="s">
        <v>99</v>
      </c>
      <c r="E2971" s="2" t="s">
        <v>109</v>
      </c>
      <c r="F2971" s="11" t="s">
        <v>2161</v>
      </c>
      <c r="G2971" s="30" t="s">
        <v>2162</v>
      </c>
      <c r="H2971" s="2" t="s">
        <v>1461</v>
      </c>
      <c r="I2971" s="12" t="s">
        <v>4526</v>
      </c>
      <c r="J2971" s="41">
        <f>+Tabla1[[#This Row],[FECHA ENTRADA]]</f>
        <v>45820</v>
      </c>
      <c r="K2971" s="41">
        <v>45853</v>
      </c>
      <c r="L2971" s="42">
        <f>_xlfn.DAYS(Tabla1[[#This Row],[FECHA FIN ]],Tabla1[[#This Row],[FECHA INICIO]])</f>
        <v>33</v>
      </c>
      <c r="M2971" s="12"/>
      <c r="N2971" s="12">
        <v>280</v>
      </c>
      <c r="O2971" s="28">
        <f>(Tabla1[[#This Row],[COSTO FIJO ]]/30)*Tabla1[[#This Row],[TOTAL DIAS PROYECTO]]+(Tabla1[[#This Row],[COSTO TEMPORAL]])</f>
        <v>308</v>
      </c>
      <c r="P2971" s="12"/>
      <c r="Q2971" s="12">
        <f>+(Tabla1[[#This Row],[COSTO COCHE]]/30)*Tabla1[[#This Row],[TOTAL DIAS PROYECTO]]</f>
        <v>0</v>
      </c>
      <c r="R2971" s="12">
        <f>+Tabla1[[#This Row],[COSTO TOTAL ALOJAMIENTO]]+Tabla1[[#This Row],[COSTO TOTAL COCHE]]</f>
        <v>308</v>
      </c>
      <c r="S2971" s="2"/>
      <c r="T2971" s="14" t="s">
        <v>44</v>
      </c>
      <c r="U2971" s="14">
        <v>45820</v>
      </c>
      <c r="V2971" s="43">
        <v>45850</v>
      </c>
      <c r="W2971" s="12"/>
      <c r="X2971" s="2"/>
      <c r="Y2971" s="11" t="s">
        <v>4556</v>
      </c>
      <c r="Z2971" s="2" t="s">
        <v>36</v>
      </c>
      <c r="AA2971" s="13">
        <v>0.62217999999999996</v>
      </c>
      <c r="AB2971" s="13" t="s">
        <v>10339</v>
      </c>
    </row>
    <row r="2972" spans="1:28" ht="15" customHeight="1">
      <c r="A2972" s="2" t="s">
        <v>8868</v>
      </c>
      <c r="B2972" s="2" t="s">
        <v>28</v>
      </c>
      <c r="C2972" s="11" t="s">
        <v>1093</v>
      </c>
      <c r="D2972" s="2" t="s">
        <v>30</v>
      </c>
      <c r="E2972" s="2" t="s">
        <v>415</v>
      </c>
      <c r="F2972" s="11"/>
      <c r="G2972" s="46"/>
      <c r="H2972" s="2" t="s">
        <v>4557</v>
      </c>
      <c r="I2972" s="12" t="s">
        <v>419</v>
      </c>
      <c r="J2972" s="41">
        <f>+Tabla1[[#This Row],[FECHA ENTRADA]]</f>
        <v>45825</v>
      </c>
      <c r="K2972" s="8">
        <v>45868</v>
      </c>
      <c r="L2972" s="42">
        <f>_xlfn.DAYS(Tabla1[[#This Row],[FECHA FIN ]],Tabla1[[#This Row],[FECHA INICIO]])</f>
        <v>43</v>
      </c>
      <c r="M2972" s="12"/>
      <c r="N2972" s="12"/>
      <c r="O2972" s="28">
        <f>(Tabla1[[#This Row],[COSTO FIJO ]]/30)*Tabla1[[#This Row],[TOTAL DIAS PROYECTO]]+(Tabla1[[#This Row],[COSTO TEMPORAL]])</f>
        <v>0</v>
      </c>
      <c r="P2972" s="12"/>
      <c r="Q2972" s="12">
        <f>+(Tabla1[[#This Row],[COSTO COCHE]]/30)*Tabla1[[#This Row],[TOTAL DIAS PROYECTO]]</f>
        <v>0</v>
      </c>
      <c r="R2972" s="12">
        <f>+Tabla1[[#This Row],[COSTO TOTAL ALOJAMIENTO]]+Tabla1[[#This Row],[COSTO TOTAL COCHE]]</f>
        <v>0</v>
      </c>
      <c r="S2972" s="2"/>
      <c r="T2972" s="14" t="s">
        <v>58</v>
      </c>
      <c r="U2972" s="14">
        <v>45825</v>
      </c>
      <c r="V2972" s="43"/>
      <c r="W2972" s="2"/>
      <c r="X2972" s="2"/>
      <c r="Y2972" s="11" t="s">
        <v>4558</v>
      </c>
      <c r="Z2972" s="2" t="s">
        <v>36</v>
      </c>
      <c r="AA2972" s="13">
        <v>-0.37739</v>
      </c>
      <c r="AB2972" s="13" t="s">
        <v>10372</v>
      </c>
    </row>
    <row r="2973" spans="1:28" ht="15" customHeight="1">
      <c r="A2973" s="2" t="s">
        <v>9173</v>
      </c>
      <c r="B2973" s="2" t="s">
        <v>368</v>
      </c>
      <c r="C2973" s="11" t="s">
        <v>2315</v>
      </c>
      <c r="D2973" s="2" t="s">
        <v>30</v>
      </c>
      <c r="E2973" s="2" t="s">
        <v>1393</v>
      </c>
      <c r="F2973" s="11" t="s">
        <v>4559</v>
      </c>
      <c r="G2973" t="s">
        <v>4560</v>
      </c>
      <c r="H2973" s="2" t="s">
        <v>4561</v>
      </c>
      <c r="I2973" s="12" t="s">
        <v>1620</v>
      </c>
      <c r="J2973" s="41">
        <f>+Tabla1[[#This Row],[FECHA ENTRADA]]</f>
        <v>45797</v>
      </c>
      <c r="K2973" s="22">
        <v>45868</v>
      </c>
      <c r="L2973" s="23">
        <f>_xlfn.DAYS(Tabla1[[#This Row],[FECHA FIN ]],Tabla1[[#This Row],[FECHA INICIO]])</f>
        <v>71</v>
      </c>
      <c r="M2973" s="12"/>
      <c r="N2973" s="12"/>
      <c r="O2973" s="24">
        <f>(Tabla1[[#This Row],[COSTO FIJO ]]/30)*Tabla1[[#This Row],[TOTAL DIAS PROYECTO]]+(Tabla1[[#This Row],[COSTO TEMPORAL]])</f>
        <v>0</v>
      </c>
      <c r="P2973" s="12">
        <v>80</v>
      </c>
      <c r="Q2973" s="12">
        <f>+(Tabla1[[#This Row],[COSTO COCHE]]/30)*Tabla1[[#This Row],[TOTAL DIAS PROYECTO]]</f>
        <v>189.33333333333331</v>
      </c>
      <c r="R2973" s="12">
        <f>+Tabla1[[#This Row],[COSTO TOTAL ALOJAMIENTO]]+Tabla1[[#This Row],[COSTO TOTAL COCHE]]</f>
        <v>189.33333333333331</v>
      </c>
      <c r="S2973" s="2"/>
      <c r="T2973" s="2" t="s">
        <v>35</v>
      </c>
      <c r="U2973" s="14">
        <v>45797</v>
      </c>
      <c r="V2973" s="25">
        <v>45858</v>
      </c>
      <c r="W2973" s="26"/>
      <c r="X2973" s="2">
        <v>20</v>
      </c>
      <c r="Y2973" s="11"/>
      <c r="Z2973" s="2" t="s">
        <v>36</v>
      </c>
      <c r="AA2973" s="13" t="s">
        <v>10416</v>
      </c>
      <c r="AB2973" s="13" t="s">
        <v>10417</v>
      </c>
    </row>
    <row r="2974" spans="1:28" ht="15" customHeight="1">
      <c r="A2974" s="2" t="s">
        <v>9463</v>
      </c>
      <c r="B2974" s="2" t="s">
        <v>368</v>
      </c>
      <c r="C2974" s="11" t="s">
        <v>3276</v>
      </c>
      <c r="D2974" s="2" t="s">
        <v>99</v>
      </c>
      <c r="E2974" s="2" t="s">
        <v>1393</v>
      </c>
      <c r="F2974" s="11" t="s">
        <v>4559</v>
      </c>
      <c r="G2974" t="s">
        <v>4560</v>
      </c>
      <c r="H2974" s="2" t="s">
        <v>4562</v>
      </c>
      <c r="I2974" s="12" t="s">
        <v>1620</v>
      </c>
      <c r="J2974" s="41">
        <f>+Tabla1[[#This Row],[FECHA ENTRADA]]</f>
        <v>45797</v>
      </c>
      <c r="K2974" s="22">
        <v>45868</v>
      </c>
      <c r="L2974" s="23">
        <f>_xlfn.DAYS(Tabla1[[#This Row],[FECHA FIN ]],Tabla1[[#This Row],[FECHA INICIO]])</f>
        <v>71</v>
      </c>
      <c r="M2974" s="12"/>
      <c r="N2974" s="12"/>
      <c r="O2974" s="24">
        <f>(Tabla1[[#This Row],[COSTO FIJO ]]/30)*Tabla1[[#This Row],[TOTAL DIAS PROYECTO]]+(Tabla1[[#This Row],[COSTO TEMPORAL]])</f>
        <v>0</v>
      </c>
      <c r="P2974" s="12">
        <v>80</v>
      </c>
      <c r="Q2974" s="12">
        <f>+(Tabla1[[#This Row],[COSTO COCHE]]/30)*Tabla1[[#This Row],[TOTAL DIAS PROYECTO]]</f>
        <v>189.33333333333331</v>
      </c>
      <c r="R2974" s="12">
        <f>+Tabla1[[#This Row],[COSTO TOTAL ALOJAMIENTO]]+Tabla1[[#This Row],[COSTO TOTAL COCHE]]</f>
        <v>189.33333333333331</v>
      </c>
      <c r="S2974" s="2"/>
      <c r="T2974" s="2" t="s">
        <v>35</v>
      </c>
      <c r="U2974" s="14">
        <v>45797</v>
      </c>
      <c r="V2974" s="25">
        <v>45858</v>
      </c>
      <c r="W2974" s="26"/>
      <c r="X2974" s="2">
        <v>20</v>
      </c>
      <c r="Y2974" s="11"/>
      <c r="Z2974" s="2" t="s">
        <v>36</v>
      </c>
      <c r="AA2974" s="13" t="s">
        <v>10416</v>
      </c>
      <c r="AB2974" s="13" t="s">
        <v>10417</v>
      </c>
    </row>
    <row r="2975" spans="1:28" ht="15" customHeight="1">
      <c r="A2975" s="2" t="s">
        <v>9452</v>
      </c>
      <c r="B2975" s="2" t="s">
        <v>368</v>
      </c>
      <c r="C2975" s="11" t="s">
        <v>3226</v>
      </c>
      <c r="D2975" s="2" t="s">
        <v>30</v>
      </c>
      <c r="E2975" s="2" t="s">
        <v>1393</v>
      </c>
      <c r="F2975" s="11" t="s">
        <v>4559</v>
      </c>
      <c r="G2975" t="s">
        <v>4560</v>
      </c>
      <c r="H2975" s="2" t="s">
        <v>4563</v>
      </c>
      <c r="I2975" s="12" t="s">
        <v>1620</v>
      </c>
      <c r="J2975" s="41">
        <f>+Tabla1[[#This Row],[FECHA ENTRADA]]</f>
        <v>45797</v>
      </c>
      <c r="K2975" s="22">
        <v>45868</v>
      </c>
      <c r="L2975" s="23">
        <f>_xlfn.DAYS(Tabla1[[#This Row],[FECHA FIN ]],Tabla1[[#This Row],[FECHA INICIO]])</f>
        <v>71</v>
      </c>
      <c r="M2975" s="12"/>
      <c r="N2975" s="12"/>
      <c r="O2975" s="24">
        <f>(Tabla1[[#This Row],[COSTO FIJO ]]/30)*Tabla1[[#This Row],[TOTAL DIAS PROYECTO]]+(Tabla1[[#This Row],[COSTO TEMPORAL]])</f>
        <v>0</v>
      </c>
      <c r="P2975" s="12">
        <v>80</v>
      </c>
      <c r="Q2975" s="12">
        <f>+(Tabla1[[#This Row],[COSTO COCHE]]/30)*Tabla1[[#This Row],[TOTAL DIAS PROYECTO]]</f>
        <v>189.33333333333331</v>
      </c>
      <c r="R2975" s="12">
        <f>+Tabla1[[#This Row],[COSTO TOTAL ALOJAMIENTO]]+Tabla1[[#This Row],[COSTO TOTAL COCHE]]</f>
        <v>189.33333333333331</v>
      </c>
      <c r="S2975" s="2"/>
      <c r="T2975" s="2" t="s">
        <v>35</v>
      </c>
      <c r="U2975" s="14">
        <v>45797</v>
      </c>
      <c r="V2975" s="25">
        <v>45858</v>
      </c>
      <c r="W2975" s="26"/>
      <c r="X2975" s="2">
        <v>20</v>
      </c>
      <c r="Y2975" s="11"/>
      <c r="Z2975" s="2" t="s">
        <v>36</v>
      </c>
      <c r="AA2975" s="13" t="s">
        <v>10416</v>
      </c>
      <c r="AB2975" s="13" t="s">
        <v>10417</v>
      </c>
    </row>
    <row r="2976" spans="1:28" ht="15" customHeight="1">
      <c r="A2976" s="2" t="s">
        <v>9055</v>
      </c>
      <c r="B2976" s="2" t="s">
        <v>368</v>
      </c>
      <c r="C2976" s="11" t="s">
        <v>1816</v>
      </c>
      <c r="D2976" s="2" t="s">
        <v>30</v>
      </c>
      <c r="E2976" s="2" t="s">
        <v>1393</v>
      </c>
      <c r="F2976" s="11" t="s">
        <v>4559</v>
      </c>
      <c r="G2976" t="s">
        <v>4560</v>
      </c>
      <c r="H2976" s="2" t="s">
        <v>4561</v>
      </c>
      <c r="I2976" s="12" t="s">
        <v>1620</v>
      </c>
      <c r="J2976" s="41">
        <f>+Tabla1[[#This Row],[FECHA ENTRADA]]</f>
        <v>45797</v>
      </c>
      <c r="K2976" s="22">
        <v>45868</v>
      </c>
      <c r="L2976" s="23">
        <f>_xlfn.DAYS(Tabla1[[#This Row],[FECHA FIN ]],Tabla1[[#This Row],[FECHA INICIO]])</f>
        <v>71</v>
      </c>
      <c r="M2976" s="12"/>
      <c r="N2976" s="12"/>
      <c r="O2976" s="24">
        <f>(Tabla1[[#This Row],[COSTO FIJO ]]/30)*Tabla1[[#This Row],[TOTAL DIAS PROYECTO]]+(Tabla1[[#This Row],[COSTO TEMPORAL]])</f>
        <v>0</v>
      </c>
      <c r="P2976" s="12">
        <v>80</v>
      </c>
      <c r="Q2976" s="12">
        <f>+(Tabla1[[#This Row],[COSTO COCHE]]/30)*Tabla1[[#This Row],[TOTAL DIAS PROYECTO]]</f>
        <v>189.33333333333331</v>
      </c>
      <c r="R2976" s="12">
        <f>+Tabla1[[#This Row],[COSTO TOTAL ALOJAMIENTO]]+Tabla1[[#This Row],[COSTO TOTAL COCHE]]</f>
        <v>189.33333333333331</v>
      </c>
      <c r="S2976" s="2"/>
      <c r="T2976" s="2" t="s">
        <v>35</v>
      </c>
      <c r="U2976" s="14">
        <v>45797</v>
      </c>
      <c r="V2976" s="25">
        <v>45858</v>
      </c>
      <c r="W2976" s="26"/>
      <c r="X2976" s="2">
        <v>20</v>
      </c>
      <c r="Y2976" s="11"/>
      <c r="Z2976" s="2" t="s">
        <v>36</v>
      </c>
      <c r="AA2976" s="13" t="s">
        <v>10416</v>
      </c>
      <c r="AB2976" s="13" t="s">
        <v>10417</v>
      </c>
    </row>
    <row r="2977" spans="1:28" ht="15" customHeight="1">
      <c r="A2977" s="2" t="s">
        <v>8994</v>
      </c>
      <c r="B2977" s="2" t="s">
        <v>368</v>
      </c>
      <c r="C2977" s="11" t="s">
        <v>1617</v>
      </c>
      <c r="D2977" s="2" t="s">
        <v>30</v>
      </c>
      <c r="E2977" s="2" t="s">
        <v>1393</v>
      </c>
      <c r="F2977" s="11" t="s">
        <v>4559</v>
      </c>
      <c r="G2977" t="s">
        <v>4560</v>
      </c>
      <c r="H2977" s="2" t="s">
        <v>4563</v>
      </c>
      <c r="I2977" s="12" t="s">
        <v>1620</v>
      </c>
      <c r="J2977" s="41">
        <f>+Tabla1[[#This Row],[FECHA ENTRADA]]</f>
        <v>45797</v>
      </c>
      <c r="K2977" s="22">
        <v>45868</v>
      </c>
      <c r="L2977" s="23">
        <f>_xlfn.DAYS(Tabla1[[#This Row],[FECHA FIN ]],Tabla1[[#This Row],[FECHA INICIO]])</f>
        <v>71</v>
      </c>
      <c r="M2977" s="12"/>
      <c r="N2977" s="12"/>
      <c r="O2977" s="24">
        <f>(Tabla1[[#This Row],[COSTO FIJO ]]/30)*Tabla1[[#This Row],[TOTAL DIAS PROYECTO]]+(Tabla1[[#This Row],[COSTO TEMPORAL]])</f>
        <v>0</v>
      </c>
      <c r="P2977" s="12">
        <v>80</v>
      </c>
      <c r="Q2977" s="12">
        <f>+(Tabla1[[#This Row],[COSTO COCHE]]/30)*Tabla1[[#This Row],[TOTAL DIAS PROYECTO]]</f>
        <v>189.33333333333331</v>
      </c>
      <c r="R2977" s="12">
        <f>+Tabla1[[#This Row],[COSTO TOTAL ALOJAMIENTO]]+Tabla1[[#This Row],[COSTO TOTAL COCHE]]</f>
        <v>189.33333333333331</v>
      </c>
      <c r="S2977" s="2"/>
      <c r="T2977" s="2" t="s">
        <v>35</v>
      </c>
      <c r="U2977" s="14">
        <v>45797</v>
      </c>
      <c r="V2977" s="25">
        <v>45858</v>
      </c>
      <c r="W2977" s="26"/>
      <c r="X2977" s="2">
        <v>20</v>
      </c>
      <c r="Y2977" s="11"/>
      <c r="Z2977" s="2" t="s">
        <v>36</v>
      </c>
      <c r="AA2977" s="13" t="s">
        <v>10416</v>
      </c>
      <c r="AB2977" s="13" t="s">
        <v>10417</v>
      </c>
    </row>
    <row r="2978" spans="1:28" ht="15" customHeight="1">
      <c r="A2978" s="2" t="s">
        <v>9150</v>
      </c>
      <c r="B2978" s="2" t="s">
        <v>978</v>
      </c>
      <c r="C2978" s="11" t="s">
        <v>2230</v>
      </c>
      <c r="D2978" s="2" t="s">
        <v>99</v>
      </c>
      <c r="E2978" s="2" t="s">
        <v>259</v>
      </c>
      <c r="F2978" s="11" t="s">
        <v>516</v>
      </c>
      <c r="G2978" s="11" t="s">
        <v>517</v>
      </c>
      <c r="H2978" s="2" t="s">
        <v>1869</v>
      </c>
      <c r="I2978" s="12" t="s">
        <v>3356</v>
      </c>
      <c r="J2978" s="41">
        <f>+Tabla1[[#This Row],[FECHA ENTRADA]]</f>
        <v>45830</v>
      </c>
      <c r="K2978" s="41">
        <v>45868</v>
      </c>
      <c r="L2978" s="42">
        <f>_xlfn.DAYS(Tabla1[[#This Row],[FECHA FIN ]],Tabla1[[#This Row],[FECHA INICIO]])</f>
        <v>38</v>
      </c>
      <c r="M2978" s="12"/>
      <c r="N2978" s="12"/>
      <c r="O2978" s="28">
        <f>(Tabla1[[#This Row],[COSTO FIJO ]]/30)*Tabla1[[#This Row],[TOTAL DIAS PROYECTO]]+(Tabla1[[#This Row],[COSTO TEMPORAL]])</f>
        <v>0</v>
      </c>
      <c r="P2978" s="12"/>
      <c r="Q2978" s="12">
        <f>+(Tabla1[[#This Row],[COSTO COCHE]]/30)*Tabla1[[#This Row],[TOTAL DIAS PROYECTO]]</f>
        <v>0</v>
      </c>
      <c r="R2978" s="12">
        <f>+Tabla1[[#This Row],[COSTO TOTAL ALOJAMIENTO]]+Tabla1[[#This Row],[COSTO TOTAL COCHE]]</f>
        <v>0</v>
      </c>
      <c r="S2978" s="2"/>
      <c r="T2978" s="14" t="s">
        <v>35</v>
      </c>
      <c r="U2978" s="14">
        <v>45830</v>
      </c>
      <c r="V2978" s="43"/>
      <c r="W2978" s="12"/>
      <c r="X2978" s="2">
        <v>20</v>
      </c>
      <c r="Y2978" s="11"/>
      <c r="Z2978" s="2" t="s">
        <v>36</v>
      </c>
      <c r="AA2978" s="13">
        <v>-0.87734000000000001</v>
      </c>
      <c r="AB2978" s="13" t="s">
        <v>10359</v>
      </c>
    </row>
    <row r="2979" spans="1:28" ht="15" customHeight="1">
      <c r="A2979" s="2" t="s">
        <v>8638</v>
      </c>
      <c r="B2979" s="2" t="s">
        <v>28</v>
      </c>
      <c r="C2979" s="18" t="s">
        <v>2989</v>
      </c>
      <c r="D2979" s="2" t="s">
        <v>30</v>
      </c>
      <c r="E2979" s="2" t="s">
        <v>225</v>
      </c>
      <c r="F2979" s="11"/>
      <c r="G2979" s="49"/>
      <c r="H2979" s="2" t="s">
        <v>2911</v>
      </c>
      <c r="I2979" s="12" t="s">
        <v>228</v>
      </c>
      <c r="J2979" s="22">
        <f>+Tabla1[[#This Row],[FECHA ENTRADA]]</f>
        <v>45794</v>
      </c>
      <c r="K2979" s="22">
        <v>45831</v>
      </c>
      <c r="L2979" s="23">
        <f>_xlfn.DAYS(Tabla1[[#This Row],[FECHA FIN ]],Tabla1[[#This Row],[FECHA INICIO]])</f>
        <v>37</v>
      </c>
      <c r="M2979" s="12"/>
      <c r="N2979" s="12">
        <v>300</v>
      </c>
      <c r="O2979" s="24">
        <f>(Tabla1[[#This Row],[COSTO FIJO ]]/30)*Tabla1[[#This Row],[TOTAL DIAS PROYECTO]]+(Tabla1[[#This Row],[COSTO TEMPORAL]])</f>
        <v>370</v>
      </c>
      <c r="P2979" s="12"/>
      <c r="Q2979" s="12">
        <f>+(Tabla1[[#This Row],[COSTO COCHE]]/30)*Tabla1[[#This Row],[TOTAL DIAS PROYECTO]]</f>
        <v>0</v>
      </c>
      <c r="R2979" s="12">
        <f>+Tabla1[[#This Row],[COSTO TOTAL ALOJAMIENTO]]+Tabla1[[#This Row],[COSTO TOTAL COCHE]]</f>
        <v>370</v>
      </c>
      <c r="S2979" s="2"/>
      <c r="T2979" s="14" t="s">
        <v>58</v>
      </c>
      <c r="U2979" s="14">
        <v>45794</v>
      </c>
      <c r="V2979" s="98"/>
      <c r="W2979" s="2"/>
      <c r="X2979" s="2"/>
      <c r="Y2979" s="11"/>
      <c r="Z2979" s="2" t="s">
        <v>36</v>
      </c>
      <c r="AA2979" s="13" t="s">
        <v>10353</v>
      </c>
      <c r="AB2979" s="13" t="s">
        <v>10354</v>
      </c>
    </row>
    <row r="2980" spans="1:28" ht="15" customHeight="1">
      <c r="A2980" s="2" t="s">
        <v>9398</v>
      </c>
      <c r="B2980" s="2" t="s">
        <v>28</v>
      </c>
      <c r="C2980" s="11" t="s">
        <v>3039</v>
      </c>
      <c r="D2980" s="2" t="s">
        <v>99</v>
      </c>
      <c r="E2980" s="2" t="s">
        <v>225</v>
      </c>
      <c r="F2980" s="11" t="s">
        <v>226</v>
      </c>
      <c r="G2980" s="11" t="s">
        <v>227</v>
      </c>
      <c r="H2980" s="2" t="s">
        <v>4564</v>
      </c>
      <c r="I2980" s="12" t="s">
        <v>228</v>
      </c>
      <c r="J2980" s="22">
        <f>+Tabla1[[#This Row],[FECHA ENTRADA]]</f>
        <v>45795</v>
      </c>
      <c r="K2980" s="8">
        <v>45809</v>
      </c>
      <c r="L2980" s="13">
        <f>_xlfn.DAYS(Tabla1[[#This Row],[FECHA FIN ]],Tabla1[[#This Row],[FECHA INICIO]])</f>
        <v>14</v>
      </c>
      <c r="M2980" s="12"/>
      <c r="N2980" s="12">
        <f>1182.5/3</f>
        <v>394.16666666666669</v>
      </c>
      <c r="O2980" s="12">
        <f>(Tabla1[[#This Row],[COSTO FIJO ]]/30)*Tabla1[[#This Row],[TOTAL DIAS PROYECTO]]+(Tabla1[[#This Row],[COSTO TEMPORAL]])</f>
        <v>183.94444444444446</v>
      </c>
      <c r="P2980" s="12"/>
      <c r="Q2980" s="12">
        <f>+(Tabla1[[#This Row],[COSTO COCHE]]/30)*Tabla1[[#This Row],[TOTAL DIAS PROYECTO]]</f>
        <v>0</v>
      </c>
      <c r="R2980" s="12">
        <f>+Tabla1[[#This Row],[COSTO TOTAL ALOJAMIENTO]]+Tabla1[[#This Row],[COSTO TOTAL COCHE]]</f>
        <v>183.94444444444446</v>
      </c>
      <c r="S2980" s="2"/>
      <c r="T2980" s="2" t="s">
        <v>35</v>
      </c>
      <c r="U2980" s="14">
        <v>45795</v>
      </c>
      <c r="V2980" s="14"/>
      <c r="W2980" s="26"/>
      <c r="X2980" s="2">
        <v>1</v>
      </c>
      <c r="Y2980" s="11" t="s">
        <v>2429</v>
      </c>
      <c r="Z2980" s="2" t="s">
        <v>36</v>
      </c>
      <c r="AA2980" s="13" t="s">
        <v>10353</v>
      </c>
      <c r="AB2980" s="13" t="s">
        <v>10354</v>
      </c>
    </row>
    <row r="2981" spans="1:28" ht="15" customHeight="1">
      <c r="A2981" s="2" t="s">
        <v>8970</v>
      </c>
      <c r="B2981" s="2" t="s">
        <v>28</v>
      </c>
      <c r="C2981" s="11" t="s">
        <v>1543</v>
      </c>
      <c r="D2981" s="2" t="s">
        <v>30</v>
      </c>
      <c r="E2981" s="2" t="s">
        <v>151</v>
      </c>
      <c r="F2981" s="11" t="s">
        <v>2114</v>
      </c>
      <c r="G2981" s="11" t="s">
        <v>227</v>
      </c>
      <c r="H2981" s="2" t="s">
        <v>4052</v>
      </c>
      <c r="I2981" s="12" t="s">
        <v>228</v>
      </c>
      <c r="J2981" s="41">
        <f>+Tabla1[[#This Row],[FECHA ENTRADA]]</f>
        <v>45828</v>
      </c>
      <c r="K2981" s="41">
        <v>45868</v>
      </c>
      <c r="L2981" s="42">
        <f>_xlfn.DAYS(Tabla1[[#This Row],[FECHA FIN ]],Tabla1[[#This Row],[FECHA INICIO]])</f>
        <v>40</v>
      </c>
      <c r="M2981" s="12"/>
      <c r="N2981" s="12"/>
      <c r="O2981" s="28">
        <f>(Tabla1[[#This Row],[COSTO FIJO ]]/30)*Tabla1[[#This Row],[TOTAL DIAS PROYECTO]]+(Tabla1[[#This Row],[COSTO TEMPORAL]])</f>
        <v>0</v>
      </c>
      <c r="P2981" s="12"/>
      <c r="Q2981" s="12">
        <f>+(Tabla1[[#This Row],[COSTO COCHE]]/30)*Tabla1[[#This Row],[TOTAL DIAS PROYECTO]]</f>
        <v>0</v>
      </c>
      <c r="R2981" s="12">
        <f>+Tabla1[[#This Row],[COSTO TOTAL ALOJAMIENTO]]+Tabla1[[#This Row],[COSTO TOTAL COCHE]]</f>
        <v>0</v>
      </c>
      <c r="S2981" s="2"/>
      <c r="T2981" s="14" t="s">
        <v>35</v>
      </c>
      <c r="U2981" s="22">
        <v>45828</v>
      </c>
      <c r="V2981" s="43"/>
      <c r="W2981" s="2"/>
      <c r="X2981" s="2"/>
      <c r="Y2981" s="11"/>
      <c r="Z2981" s="2" t="s">
        <v>36</v>
      </c>
      <c r="AA2981" s="13" t="s">
        <v>10345</v>
      </c>
      <c r="AB2981" s="13" t="s">
        <v>10346</v>
      </c>
    </row>
    <row r="2982" spans="1:28" ht="15" customHeight="1">
      <c r="A2982" s="2" t="s">
        <v>9752</v>
      </c>
      <c r="B2982" s="2" t="s">
        <v>368</v>
      </c>
      <c r="C2982" s="11" t="s">
        <v>4565</v>
      </c>
      <c r="D2982" s="2" t="s">
        <v>30</v>
      </c>
      <c r="E2982" s="2" t="s">
        <v>1130</v>
      </c>
      <c r="F2982" s="11" t="s">
        <v>2012</v>
      </c>
      <c r="G2982" s="49" t="s">
        <v>2013</v>
      </c>
      <c r="H2982" s="2" t="s">
        <v>2787</v>
      </c>
      <c r="I2982" s="29" t="s">
        <v>2614</v>
      </c>
      <c r="J2982" s="22">
        <f>+Tabla1[[#This Row],[FECHA ENTRADA]]</f>
        <v>45691</v>
      </c>
      <c r="K2982" s="22">
        <v>45869</v>
      </c>
      <c r="L2982" s="23">
        <f>_xlfn.DAYS(Tabla1[[#This Row],[FECHA FIN ]],Tabla1[[#This Row],[FECHA INICIO]])</f>
        <v>178</v>
      </c>
      <c r="M2982" s="12"/>
      <c r="N2982" s="24">
        <v>350</v>
      </c>
      <c r="O2982" s="24">
        <f>(Tabla1[[#This Row],[COSTO FIJO ]]/30)*Tabla1[[#This Row],[TOTAL DIAS PROYECTO]]+(Tabla1[[#This Row],[COSTO TEMPORAL]])</f>
        <v>2076.6666666666665</v>
      </c>
      <c r="P2982" s="12">
        <v>100</v>
      </c>
      <c r="Q2982" s="12">
        <f>+(Tabla1[[#This Row],[COSTO COCHE]]/30)*Tabla1[[#This Row],[TOTAL DIAS PROYECTO]]</f>
        <v>593.33333333333337</v>
      </c>
      <c r="R2982" s="12">
        <f>+Tabla1[[#This Row],[COSTO TOTAL ALOJAMIENTO]]+Tabla1[[#This Row],[COSTO TOTAL COCHE]]</f>
        <v>2670</v>
      </c>
      <c r="S2982" s="2"/>
      <c r="T2982" s="2" t="s">
        <v>35</v>
      </c>
      <c r="U2982" s="14">
        <v>45691</v>
      </c>
      <c r="V2982" s="25">
        <v>45752</v>
      </c>
      <c r="W2982" s="26">
        <v>350</v>
      </c>
      <c r="X2982" s="2">
        <v>1</v>
      </c>
      <c r="Y2982" s="11"/>
      <c r="Z2982" s="2" t="s">
        <v>36</v>
      </c>
      <c r="AA2982" s="13" t="s">
        <v>10412</v>
      </c>
      <c r="AB2982" s="13">
        <v>4200955</v>
      </c>
    </row>
    <row r="2983" spans="1:28" ht="15" customHeight="1">
      <c r="A2983" s="2" t="s">
        <v>9753</v>
      </c>
      <c r="B2983" s="2" t="s">
        <v>28</v>
      </c>
      <c r="C2983" s="104" t="s">
        <v>4566</v>
      </c>
      <c r="D2983" s="2" t="s">
        <v>30</v>
      </c>
      <c r="E2983" s="2" t="s">
        <v>476</v>
      </c>
      <c r="F2983" s="11" t="s">
        <v>4567</v>
      </c>
      <c r="G2983" s="46" t="s">
        <v>483</v>
      </c>
      <c r="H2983" s="2" t="s">
        <v>2715</v>
      </c>
      <c r="I2983" s="65" t="s">
        <v>165</v>
      </c>
      <c r="J2983" s="41">
        <f>+Tabla1[[#This Row],[FECHA ENTRADA]]</f>
        <v>45725</v>
      </c>
      <c r="K2983" s="22">
        <v>45869</v>
      </c>
      <c r="L2983" s="42">
        <f>_xlfn.DAYS(Tabla1[[#This Row],[FECHA FIN ]],Tabla1[[#This Row],[FECHA INICIO]])</f>
        <v>144</v>
      </c>
      <c r="M2983" s="12"/>
      <c r="N2983" s="12">
        <v>211.66666666666666</v>
      </c>
      <c r="O2983" s="28">
        <f>(Tabla1[[#This Row],[COSTO FIJO ]]/30)*Tabla1[[#This Row],[TOTAL DIAS PROYECTO]]+(Tabla1[[#This Row],[COSTO TEMPORAL]])</f>
        <v>1016</v>
      </c>
      <c r="P2983" s="12">
        <f>542.69/4</f>
        <v>135.67250000000001</v>
      </c>
      <c r="Q2983" s="12">
        <f>+(Tabla1[[#This Row],[COSTO COCHE]]/30)*Tabla1[[#This Row],[TOTAL DIAS PROYECTO]]</f>
        <v>651.22800000000007</v>
      </c>
      <c r="R2983" s="12">
        <f>+Tabla1[[#This Row],[COSTO TOTAL ALOJAMIENTO]]+Tabla1[[#This Row],[COSTO TOTAL COCHE]]</f>
        <v>1667.2280000000001</v>
      </c>
      <c r="S2983" s="2"/>
      <c r="T2983" s="2" t="s">
        <v>35</v>
      </c>
      <c r="U2983" s="14">
        <v>45725</v>
      </c>
      <c r="V2983" s="43"/>
      <c r="W2983" s="26"/>
      <c r="X2983" s="2">
        <v>1</v>
      </c>
      <c r="Y2983" s="11"/>
      <c r="Z2983" s="2" t="s">
        <v>36</v>
      </c>
      <c r="AA2983" s="13">
        <v>-7.8640699999999999</v>
      </c>
      <c r="AB2983" s="13">
        <v>42.336689999999997</v>
      </c>
    </row>
    <row r="2984" spans="1:28">
      <c r="A2984" s="2" t="s">
        <v>9754</v>
      </c>
      <c r="B2984" s="2" t="s">
        <v>28</v>
      </c>
      <c r="C2984" s="31" t="s">
        <v>4568</v>
      </c>
      <c r="D2984" s="2" t="s">
        <v>30</v>
      </c>
      <c r="E2984" s="2" t="s">
        <v>626</v>
      </c>
      <c r="F2984" s="11" t="s">
        <v>1037</v>
      </c>
      <c r="G2984" s="46" t="s">
        <v>628</v>
      </c>
      <c r="H2984" s="2" t="s">
        <v>4569</v>
      </c>
      <c r="I2984" s="12" t="s">
        <v>570</v>
      </c>
      <c r="J2984" s="41">
        <f>+Tabla1[[#This Row],[FECHA ENTRADA]]</f>
        <v>45665</v>
      </c>
      <c r="K2984" s="8">
        <v>45763</v>
      </c>
      <c r="L2984" s="42">
        <f>_xlfn.DAYS(Tabla1[[#This Row],[FECHA FIN ]],Tabla1[[#This Row],[FECHA INICIO]])</f>
        <v>98</v>
      </c>
      <c r="M2984" s="12">
        <f>1811.6/17</f>
        <v>106.56470588235294</v>
      </c>
      <c r="N2984" s="28">
        <v>650</v>
      </c>
      <c r="O2984" s="28">
        <f>(Tabla1[[#This Row],[COSTO FIJO ]]/30)*Tabla1[[#This Row],[TOTAL DIAS PROYECTO]]+(Tabla1[[#This Row],[COSTO TEMPORAL]])</f>
        <v>2229.8980392156864</v>
      </c>
      <c r="P2984" s="12"/>
      <c r="Q2984" s="12">
        <f>+(Tabla1[[#This Row],[COSTO COCHE]]/30)*Tabla1[[#This Row],[TOTAL DIAS PROYECTO]]</f>
        <v>0</v>
      </c>
      <c r="R2984" s="12">
        <f>+Tabla1[[#This Row],[COSTO TOTAL ALOJAMIENTO]]+Tabla1[[#This Row],[COSTO TOTAL COCHE]]</f>
        <v>2229.8980392156864</v>
      </c>
      <c r="S2984" s="2"/>
      <c r="T2984" s="2" t="s">
        <v>35</v>
      </c>
      <c r="U2984" s="14">
        <v>45665</v>
      </c>
      <c r="V2984" s="43"/>
      <c r="W2984" s="26"/>
      <c r="X2984" s="2">
        <v>5</v>
      </c>
      <c r="Y2984" s="11" t="s">
        <v>4570</v>
      </c>
      <c r="Z2984" s="2" t="s">
        <v>36</v>
      </c>
      <c r="AA2984" s="13" t="s">
        <v>10385</v>
      </c>
      <c r="AB2984" s="13" t="s">
        <v>10386</v>
      </c>
    </row>
    <row r="2985" spans="1:28" ht="15" customHeight="1">
      <c r="A2985" s="2" t="s">
        <v>8638</v>
      </c>
      <c r="B2985" s="2" t="s">
        <v>28</v>
      </c>
      <c r="C2985" s="11" t="s">
        <v>4571</v>
      </c>
      <c r="D2985" s="2" t="s">
        <v>30</v>
      </c>
      <c r="E2985" s="2" t="s">
        <v>476</v>
      </c>
      <c r="F2985" s="11" t="s">
        <v>4567</v>
      </c>
      <c r="G2985" s="11" t="s">
        <v>483</v>
      </c>
      <c r="H2985" s="2">
        <v>2023</v>
      </c>
      <c r="I2985" s="2" t="s">
        <v>165</v>
      </c>
      <c r="J2985" s="8">
        <v>45206</v>
      </c>
      <c r="K2985" s="8">
        <v>45869</v>
      </c>
      <c r="L2985" s="13">
        <f>_xlfn.DAYS(Tabla1[[#This Row],[FECHA FIN ]],Tabla1[[#This Row],[FECHA INICIO]])</f>
        <v>663</v>
      </c>
      <c r="M2985" s="12"/>
      <c r="N2985" s="12">
        <v>211.66666666666666</v>
      </c>
      <c r="O2985" s="12">
        <f>(Tabla1[[#This Row],[COSTO FIJO ]]/30)*Tabla1[[#This Row],[TOTAL DIAS PROYECTO]]+(Tabla1[[#This Row],[COSTO TEMPORAL]])</f>
        <v>4677.833333333333</v>
      </c>
      <c r="P2985" s="12"/>
      <c r="Q2985" s="12">
        <f>+(Tabla1[[#This Row],[COSTO COCHE]]/30)*Tabla1[[#This Row],[TOTAL DIAS PROYECTO]]</f>
        <v>0</v>
      </c>
      <c r="R2985" s="12">
        <f>+Tabla1[[#This Row],[COSTO TOTAL ALOJAMIENTO]]+Tabla1[[#This Row],[COSTO TOTAL COCHE]]</f>
        <v>4677.833333333333</v>
      </c>
      <c r="S2985" s="2"/>
      <c r="T2985" s="2" t="s">
        <v>35</v>
      </c>
      <c r="U2985" s="14"/>
      <c r="V2985" s="14"/>
      <c r="W2985" s="15">
        <v>1270</v>
      </c>
      <c r="X2985" s="16">
        <v>1</v>
      </c>
      <c r="Y2985" s="11" t="s">
        <v>4572</v>
      </c>
      <c r="Z2985" s="2" t="s">
        <v>36</v>
      </c>
      <c r="AA2985" s="13">
        <v>-7.8640699999999999</v>
      </c>
      <c r="AB2985" s="13">
        <v>42.336689999999997</v>
      </c>
    </row>
    <row r="2986" spans="1:28" ht="15" customHeight="1">
      <c r="A2986" s="2" t="s">
        <v>9755</v>
      </c>
      <c r="B2986" s="2" t="s">
        <v>28</v>
      </c>
      <c r="C2986" s="11" t="s">
        <v>4573</v>
      </c>
      <c r="D2986" s="2" t="s">
        <v>30</v>
      </c>
      <c r="E2986" s="2" t="s">
        <v>476</v>
      </c>
      <c r="F2986" s="11" t="s">
        <v>4567</v>
      </c>
      <c r="G2986" s="46" t="s">
        <v>483</v>
      </c>
      <c r="H2986" s="2" t="s">
        <v>2715</v>
      </c>
      <c r="I2986" s="65" t="s">
        <v>165</v>
      </c>
      <c r="J2986" s="41">
        <f>+Tabla1[[#This Row],[FECHA ENTRADA]]</f>
        <v>45725</v>
      </c>
      <c r="K2986" s="41">
        <v>45869</v>
      </c>
      <c r="L2986" s="42">
        <f>_xlfn.DAYS(Tabla1[[#This Row],[FECHA FIN ]],Tabla1[[#This Row],[FECHA INICIO]])</f>
        <v>144</v>
      </c>
      <c r="M2986" s="12"/>
      <c r="N2986" s="12">
        <v>211.66666666666666</v>
      </c>
      <c r="O2986" s="28">
        <f>(Tabla1[[#This Row],[COSTO FIJO ]]/30)*Tabla1[[#This Row],[TOTAL DIAS PROYECTO]]+(Tabla1[[#This Row],[COSTO TEMPORAL]])</f>
        <v>1016</v>
      </c>
      <c r="P2986" s="12">
        <f>542.69/4</f>
        <v>135.67250000000001</v>
      </c>
      <c r="Q2986" s="12">
        <f>+(Tabla1[[#This Row],[COSTO COCHE]]/30)*Tabla1[[#This Row],[TOTAL DIAS PROYECTO]]</f>
        <v>651.22800000000007</v>
      </c>
      <c r="R2986" s="12">
        <f>+Tabla1[[#This Row],[COSTO TOTAL ALOJAMIENTO]]+Tabla1[[#This Row],[COSTO TOTAL COCHE]]</f>
        <v>1667.2280000000001</v>
      </c>
      <c r="S2986" s="2"/>
      <c r="T2986" s="2" t="s">
        <v>35</v>
      </c>
      <c r="U2986" s="14">
        <v>45725</v>
      </c>
      <c r="V2986" s="43"/>
      <c r="W2986" s="26"/>
      <c r="X2986" s="2">
        <v>1</v>
      </c>
      <c r="Y2986" s="11"/>
      <c r="Z2986" s="2" t="s">
        <v>36</v>
      </c>
      <c r="AA2986" s="13">
        <v>-7.8640699999999999</v>
      </c>
      <c r="AB2986" s="13">
        <v>42.336689999999997</v>
      </c>
    </row>
    <row r="2987" spans="1:28" ht="15" customHeight="1">
      <c r="A2987" s="2" t="s">
        <v>9756</v>
      </c>
      <c r="B2987" s="2" t="s">
        <v>978</v>
      </c>
      <c r="C2987" s="31" t="s">
        <v>4574</v>
      </c>
      <c r="D2987" s="2" t="s">
        <v>99</v>
      </c>
      <c r="E2987" s="2" t="s">
        <v>855</v>
      </c>
      <c r="F2987" s="11" t="s">
        <v>4510</v>
      </c>
      <c r="G2987" s="46" t="s">
        <v>4511</v>
      </c>
      <c r="H2987" s="2" t="s">
        <v>2677</v>
      </c>
      <c r="I2987" s="12" t="s">
        <v>4512</v>
      </c>
      <c r="J2987" s="41">
        <f>+Tabla1[[#This Row],[FECHA ENTRADA]]</f>
        <v>45799</v>
      </c>
      <c r="K2987" s="41">
        <v>45869</v>
      </c>
      <c r="L2987" s="42">
        <f>_xlfn.DAYS(Tabla1[[#This Row],[FECHA FIN ]],Tabla1[[#This Row],[FECHA INICIO]])</f>
        <v>70</v>
      </c>
      <c r="M2987" s="12"/>
      <c r="N2987" s="28">
        <v>350</v>
      </c>
      <c r="O2987" s="28">
        <f>(Tabla1[[#This Row],[COSTO FIJO ]]/30)*Tabla1[[#This Row],[TOTAL DIAS PROYECTO]]+(Tabla1[[#This Row],[COSTO TEMPORAL]])</f>
        <v>816.66666666666663</v>
      </c>
      <c r="P2987" s="12"/>
      <c r="Q2987" s="12">
        <f>+(Tabla1[[#This Row],[COSTO COCHE]]/30)*Tabla1[[#This Row],[TOTAL DIAS PROYECTO]]</f>
        <v>0</v>
      </c>
      <c r="R2987" s="12">
        <f>+Tabla1[[#This Row],[COSTO TOTAL ALOJAMIENTO]]+Tabla1[[#This Row],[COSTO TOTAL COCHE]]</f>
        <v>816.66666666666663</v>
      </c>
      <c r="S2987" s="2"/>
      <c r="T2987" s="14" t="s">
        <v>35</v>
      </c>
      <c r="U2987" s="14">
        <v>45799</v>
      </c>
      <c r="V2987" s="43"/>
      <c r="W2987" s="12">
        <v>1400</v>
      </c>
      <c r="X2987" s="2">
        <v>1</v>
      </c>
      <c r="Y2987" s="11" t="s">
        <v>4513</v>
      </c>
      <c r="Z2987" s="2" t="s">
        <v>36</v>
      </c>
      <c r="AA2987" s="13" t="s">
        <v>10401</v>
      </c>
      <c r="AB2987" s="13" t="s">
        <v>10402</v>
      </c>
    </row>
    <row r="2988" spans="1:28" ht="15" customHeight="1">
      <c r="A2988" s="2" t="s">
        <v>9757</v>
      </c>
      <c r="B2988" s="2" t="s">
        <v>978</v>
      </c>
      <c r="C2988" s="31" t="s">
        <v>4575</v>
      </c>
      <c r="D2988" s="2" t="s">
        <v>99</v>
      </c>
      <c r="E2988" s="2" t="s">
        <v>855</v>
      </c>
      <c r="F2988" s="11" t="s">
        <v>4510</v>
      </c>
      <c r="G2988" s="46" t="s">
        <v>4511</v>
      </c>
      <c r="H2988" s="2" t="s">
        <v>2677</v>
      </c>
      <c r="I2988" s="12" t="s">
        <v>4512</v>
      </c>
      <c r="J2988" s="41">
        <f>+Tabla1[[#This Row],[FECHA ENTRADA]]</f>
        <v>45799</v>
      </c>
      <c r="K2988" s="41">
        <v>45869</v>
      </c>
      <c r="L2988" s="42">
        <f>_xlfn.DAYS(Tabla1[[#This Row],[FECHA FIN ]],Tabla1[[#This Row],[FECHA INICIO]])</f>
        <v>70</v>
      </c>
      <c r="M2988" s="12"/>
      <c r="N2988" s="28">
        <v>350</v>
      </c>
      <c r="O2988" s="28">
        <f>(Tabla1[[#This Row],[COSTO FIJO ]]/30)*Tabla1[[#This Row],[TOTAL DIAS PROYECTO]]+(Tabla1[[#This Row],[COSTO TEMPORAL]])</f>
        <v>816.66666666666663</v>
      </c>
      <c r="P2988" s="12"/>
      <c r="Q2988" s="12">
        <f>+(Tabla1[[#This Row],[COSTO COCHE]]/30)*Tabla1[[#This Row],[TOTAL DIAS PROYECTO]]</f>
        <v>0</v>
      </c>
      <c r="R2988" s="12">
        <f>+Tabla1[[#This Row],[COSTO TOTAL ALOJAMIENTO]]+Tabla1[[#This Row],[COSTO TOTAL COCHE]]</f>
        <v>816.66666666666663</v>
      </c>
      <c r="S2988" s="2"/>
      <c r="T2988" s="14" t="s">
        <v>35</v>
      </c>
      <c r="U2988" s="14">
        <v>45799</v>
      </c>
      <c r="V2988" s="43"/>
      <c r="W2988" s="12"/>
      <c r="X2988" s="2">
        <v>1</v>
      </c>
      <c r="Y2988" s="11" t="s">
        <v>4513</v>
      </c>
      <c r="Z2988" s="2" t="s">
        <v>36</v>
      </c>
      <c r="AA2988" s="13" t="s">
        <v>10401</v>
      </c>
      <c r="AB2988" s="13" t="s">
        <v>10402</v>
      </c>
    </row>
    <row r="2989" spans="1:28" ht="15" customHeight="1">
      <c r="A2989" s="2" t="s">
        <v>9758</v>
      </c>
      <c r="B2989" s="2" t="s">
        <v>28</v>
      </c>
      <c r="C2989" s="11" t="s">
        <v>4576</v>
      </c>
      <c r="D2989" s="2" t="s">
        <v>30</v>
      </c>
      <c r="E2989" s="2" t="s">
        <v>31</v>
      </c>
      <c r="F2989" s="11" t="s">
        <v>4577</v>
      </c>
      <c r="G2989" s="46" t="s">
        <v>4400</v>
      </c>
      <c r="H2989" s="2" t="s">
        <v>4578</v>
      </c>
      <c r="I2989" s="12" t="s">
        <v>385</v>
      </c>
      <c r="J2989" s="41">
        <f>+Tabla1[[#This Row],[FECHA ENTRADA]]</f>
        <v>45660</v>
      </c>
      <c r="K2989" s="22">
        <v>45869</v>
      </c>
      <c r="L2989" s="42">
        <f>_xlfn.DAYS(Tabla1[[#This Row],[FECHA FIN ]],Tabla1[[#This Row],[FECHA INICIO]])</f>
        <v>209</v>
      </c>
      <c r="M2989" s="12"/>
      <c r="N2989" s="12">
        <v>395</v>
      </c>
      <c r="O2989" s="28">
        <f>(Tabla1[[#This Row],[COSTO FIJO ]]/30)*Tabla1[[#This Row],[TOTAL DIAS PROYECTO]]+(Tabla1[[#This Row],[COSTO TEMPORAL]])</f>
        <v>2751.833333333333</v>
      </c>
      <c r="P2989" s="12"/>
      <c r="Q2989" s="12">
        <f>+(Tabla1[[#This Row],[COSTO COCHE]]/30)*Tabla1[[#This Row],[TOTAL DIAS PROYECTO]]</f>
        <v>0</v>
      </c>
      <c r="R2989" s="12">
        <f>+Tabla1[[#This Row],[COSTO TOTAL ALOJAMIENTO]]+Tabla1[[#This Row],[COSTO TOTAL COCHE]]</f>
        <v>2751.833333333333</v>
      </c>
      <c r="S2989" s="2" t="s">
        <v>3706</v>
      </c>
      <c r="T2989" s="2" t="s">
        <v>35</v>
      </c>
      <c r="U2989" s="14">
        <v>45660</v>
      </c>
      <c r="V2989" s="43"/>
      <c r="W2989" s="26">
        <v>500</v>
      </c>
      <c r="X2989" s="2">
        <v>1</v>
      </c>
      <c r="Y2989" s="11" t="s">
        <v>4579</v>
      </c>
      <c r="Z2989" s="2" t="s">
        <v>36</v>
      </c>
      <c r="AA2989" s="13" t="s">
        <v>10323</v>
      </c>
      <c r="AB2989" s="13" t="s">
        <v>10324</v>
      </c>
    </row>
    <row r="2990" spans="1:28" ht="15" customHeight="1">
      <c r="A2990" s="2" t="s">
        <v>9056</v>
      </c>
      <c r="B2990" s="2" t="s">
        <v>28</v>
      </c>
      <c r="C2990" s="31" t="s">
        <v>1817</v>
      </c>
      <c r="D2990" s="2" t="s">
        <v>78</v>
      </c>
      <c r="E2990" s="2" t="s">
        <v>266</v>
      </c>
      <c r="F2990" s="11" t="s">
        <v>2779</v>
      </c>
      <c r="G2990" s="21" t="s">
        <v>1512</v>
      </c>
      <c r="H2990" s="2" t="s">
        <v>3398</v>
      </c>
      <c r="I2990" s="12" t="s">
        <v>270</v>
      </c>
      <c r="J2990" s="41">
        <f>+Tabla1[[#This Row],[FECHA ENTRADA]]</f>
        <v>45855</v>
      </c>
      <c r="K2990" s="41">
        <v>45869</v>
      </c>
      <c r="L2990" s="42">
        <f>_xlfn.DAYS(Tabla1[[#This Row],[FECHA FIN ]],Tabla1[[#This Row],[FECHA INICIO]])</f>
        <v>14</v>
      </c>
      <c r="M2990" s="12"/>
      <c r="N2990" s="28"/>
      <c r="O2990" s="28">
        <f>(Tabla1[[#This Row],[COSTO FIJO ]]/30)*Tabla1[[#This Row],[TOTAL DIAS PROYECTO]]+(Tabla1[[#This Row],[COSTO TEMPORAL]])</f>
        <v>0</v>
      </c>
      <c r="P2990" s="12"/>
      <c r="Q2990" s="12">
        <f>+(Tabla1[[#This Row],[COSTO COCHE]]/30)*Tabla1[[#This Row],[TOTAL DIAS PROYECTO]]</f>
        <v>0</v>
      </c>
      <c r="R2990" s="12">
        <f>+Tabla1[[#This Row],[COSTO TOTAL ALOJAMIENTO]]+Tabla1[[#This Row],[COSTO TOTAL COCHE]]</f>
        <v>0</v>
      </c>
      <c r="S2990" s="2"/>
      <c r="T2990" s="14" t="s">
        <v>35</v>
      </c>
      <c r="U2990" s="14">
        <v>45855</v>
      </c>
      <c r="V2990" s="43"/>
      <c r="W2990" s="12"/>
      <c r="X2990" s="2">
        <v>1</v>
      </c>
      <c r="Y2990" s="11" t="s">
        <v>4580</v>
      </c>
      <c r="Z2990" s="2" t="s">
        <v>36</v>
      </c>
      <c r="AA2990" s="13" t="s">
        <v>10360</v>
      </c>
      <c r="AB2990" s="13" t="s">
        <v>10361</v>
      </c>
    </row>
    <row r="2991" spans="1:28" ht="15" customHeight="1">
      <c r="A2991" s="2" t="s">
        <v>9736</v>
      </c>
      <c r="B2991" s="2" t="s">
        <v>28</v>
      </c>
      <c r="C2991" s="11" t="s">
        <v>4495</v>
      </c>
      <c r="D2991" s="2" t="s">
        <v>30</v>
      </c>
      <c r="E2991" s="2" t="s">
        <v>686</v>
      </c>
      <c r="F2991" s="11" t="s">
        <v>4581</v>
      </c>
      <c r="G2991" s="21" t="s">
        <v>4582</v>
      </c>
      <c r="H2991" s="2" t="s">
        <v>4519</v>
      </c>
      <c r="I2991" s="12" t="s">
        <v>96</v>
      </c>
      <c r="J2991" s="22">
        <f>+Tabla1[[#This Row],[FECHA ENTRADA]]</f>
        <v>45769</v>
      </c>
      <c r="K2991" s="8">
        <v>45770</v>
      </c>
      <c r="L2991" s="23">
        <f>_xlfn.DAYS(Tabla1[[#This Row],[FECHA FIN ]],Tabla1[[#This Row],[FECHA INICIO]])</f>
        <v>1</v>
      </c>
      <c r="M2991" s="12">
        <v>25</v>
      </c>
      <c r="N2991" s="20"/>
      <c r="O2991" s="24">
        <f>(Tabla1[[#This Row],[COSTO FIJO ]]/30)*Tabla1[[#This Row],[TOTAL DIAS PROYECTO]]+(Tabla1[[#This Row],[COSTO TEMPORAL]])</f>
        <v>25</v>
      </c>
      <c r="P2991" s="12"/>
      <c r="Q2991" s="12">
        <f>+(Tabla1[[#This Row],[COSTO COCHE]]/30)*Tabla1[[#This Row],[TOTAL DIAS PROYECTO]]</f>
        <v>0</v>
      </c>
      <c r="R2991" s="12">
        <f>+Tabla1[[#This Row],[COSTO TOTAL ALOJAMIENTO]]+Tabla1[[#This Row],[COSTO TOTAL COCHE]]</f>
        <v>25</v>
      </c>
      <c r="S2991" s="2"/>
      <c r="T2991" s="2" t="s">
        <v>44</v>
      </c>
      <c r="U2991" s="14">
        <v>45769</v>
      </c>
      <c r="V2991" s="79">
        <v>45770</v>
      </c>
      <c r="W2991" s="26"/>
      <c r="X2991" s="2"/>
      <c r="Y2991" s="11"/>
      <c r="Z2991" s="2" t="s">
        <v>36</v>
      </c>
      <c r="AA2991" s="13" t="s">
        <v>10393</v>
      </c>
      <c r="AB2991" s="13">
        <v>3834517</v>
      </c>
    </row>
    <row r="2992" spans="1:28" ht="15" customHeight="1">
      <c r="A2992" s="2" t="s">
        <v>8700</v>
      </c>
      <c r="B2992" s="2" t="s">
        <v>28</v>
      </c>
      <c r="C2992" s="11" t="s">
        <v>343</v>
      </c>
      <c r="D2992" s="2" t="s">
        <v>30</v>
      </c>
      <c r="E2992" s="2" t="s">
        <v>855</v>
      </c>
      <c r="F2992" s="11" t="s">
        <v>856</v>
      </c>
      <c r="G2992" s="21" t="s">
        <v>857</v>
      </c>
      <c r="H2992" s="2" t="s">
        <v>1475</v>
      </c>
      <c r="I2992" s="12" t="s">
        <v>1201</v>
      </c>
      <c r="J2992" s="41">
        <f>+Tabla1[[#This Row],[FECHA ENTRADA]]</f>
        <v>45749</v>
      </c>
      <c r="K2992" s="8">
        <v>45869</v>
      </c>
      <c r="L2992" s="42">
        <f>_xlfn.DAYS(Tabla1[[#This Row],[FECHA FIN ]],Tabla1[[#This Row],[FECHA INICIO]])</f>
        <v>120</v>
      </c>
      <c r="M2992" s="12"/>
      <c r="N2992" s="12">
        <v>300</v>
      </c>
      <c r="O2992" s="28">
        <f>(Tabla1[[#This Row],[COSTO FIJO ]]/30)*Tabla1[[#This Row],[TOTAL DIAS PROYECTO]]+(Tabla1[[#This Row],[COSTO TEMPORAL]])</f>
        <v>1200</v>
      </c>
      <c r="P2992" s="12">
        <f>654.76/4</f>
        <v>163.69</v>
      </c>
      <c r="Q2992" s="12">
        <f>+(Tabla1[[#This Row],[COSTO COCHE]]/30)*Tabla1[[#This Row],[TOTAL DIAS PROYECTO]]</f>
        <v>654.76</v>
      </c>
      <c r="R2992" s="12">
        <f>+Tabla1[[#This Row],[COSTO TOTAL ALOJAMIENTO]]+Tabla1[[#This Row],[COSTO TOTAL COCHE]]</f>
        <v>1854.76</v>
      </c>
      <c r="S2992" s="2"/>
      <c r="T2992" s="2" t="s">
        <v>35</v>
      </c>
      <c r="U2992" s="14">
        <v>45749</v>
      </c>
      <c r="V2992" s="43"/>
      <c r="W2992" s="26"/>
      <c r="X2992" s="2">
        <v>1</v>
      </c>
      <c r="Y2992" s="160"/>
      <c r="Z2992" s="2" t="s">
        <v>36</v>
      </c>
      <c r="AA2992" s="13" t="s">
        <v>10401</v>
      </c>
      <c r="AB2992" s="13" t="s">
        <v>10402</v>
      </c>
    </row>
    <row r="2993" spans="1:28" ht="15" customHeight="1">
      <c r="A2993" s="2" t="s">
        <v>8913</v>
      </c>
      <c r="B2993" s="2" t="s">
        <v>28</v>
      </c>
      <c r="C2993" s="11" t="s">
        <v>1257</v>
      </c>
      <c r="D2993" s="2" t="s">
        <v>30</v>
      </c>
      <c r="E2993" s="2" t="s">
        <v>855</v>
      </c>
      <c r="F2993" s="11" t="s">
        <v>856</v>
      </c>
      <c r="G2993" s="21" t="s">
        <v>857</v>
      </c>
      <c r="H2993" s="2" t="s">
        <v>1407</v>
      </c>
      <c r="I2993" s="12" t="s">
        <v>1201</v>
      </c>
      <c r="J2993" s="41">
        <f>+Tabla1[[#This Row],[FECHA ENTRADA]]</f>
        <v>45646</v>
      </c>
      <c r="K2993" s="8">
        <v>45869</v>
      </c>
      <c r="L2993" s="42">
        <f>_xlfn.DAYS(Tabla1[[#This Row],[FECHA FIN ]],Tabla1[[#This Row],[FECHA INICIO]])</f>
        <v>223</v>
      </c>
      <c r="M2993" s="12"/>
      <c r="N2993" s="12">
        <v>300</v>
      </c>
      <c r="O2993" s="28">
        <f>(Tabla1[[#This Row],[COSTO FIJO ]]/30)*Tabla1[[#This Row],[TOTAL DIAS PROYECTO]]+(Tabla1[[#This Row],[COSTO TEMPORAL]])</f>
        <v>2230</v>
      </c>
      <c r="P2993" s="12">
        <f>654.76/4</f>
        <v>163.69</v>
      </c>
      <c r="Q2993" s="12">
        <f>+(Tabla1[[#This Row],[COSTO COCHE]]/30)*Tabla1[[#This Row],[TOTAL DIAS PROYECTO]]</f>
        <v>1216.7623333333333</v>
      </c>
      <c r="R2993" s="12">
        <f>+Tabla1[[#This Row],[COSTO TOTAL ALOJAMIENTO]]+Tabla1[[#This Row],[COSTO TOTAL COCHE]]</f>
        <v>3446.7623333333331</v>
      </c>
      <c r="S2993" s="2"/>
      <c r="T2993" s="2" t="s">
        <v>35</v>
      </c>
      <c r="U2993" s="14">
        <v>45646</v>
      </c>
      <c r="V2993" s="43"/>
      <c r="W2993" s="26"/>
      <c r="X2993" s="2">
        <v>1</v>
      </c>
      <c r="Y2993" s="160"/>
      <c r="Z2993" s="2" t="s">
        <v>36</v>
      </c>
      <c r="AA2993" s="13" t="s">
        <v>10401</v>
      </c>
      <c r="AB2993" s="13" t="s">
        <v>10402</v>
      </c>
    </row>
    <row r="2994" spans="1:28" ht="15" customHeight="1">
      <c r="A2994" s="2" t="s">
        <v>9493</v>
      </c>
      <c r="B2994" s="2" t="s">
        <v>28</v>
      </c>
      <c r="C2994" s="31" t="s">
        <v>3373</v>
      </c>
      <c r="D2994" s="2" t="s">
        <v>99</v>
      </c>
      <c r="E2994" s="2" t="s">
        <v>720</v>
      </c>
      <c r="F2994" s="11" t="s">
        <v>4583</v>
      </c>
      <c r="G2994" t="s">
        <v>4584</v>
      </c>
      <c r="H2994" s="2" t="s">
        <v>4585</v>
      </c>
      <c r="I2994" s="12" t="s">
        <v>2176</v>
      </c>
      <c r="J2994" s="41">
        <f>+Tabla1[[#This Row],[FECHA ENTRADA]]</f>
        <v>45781</v>
      </c>
      <c r="K2994" s="22">
        <v>45869</v>
      </c>
      <c r="L2994" s="23">
        <f>_xlfn.DAYS(Tabla1[[#This Row],[FECHA FIN ]],Tabla1[[#This Row],[FECHA INICIO]])</f>
        <v>88</v>
      </c>
      <c r="M2994" s="12"/>
      <c r="N2994" s="20">
        <v>275</v>
      </c>
      <c r="O2994" s="24">
        <f>(Tabla1[[#This Row],[COSTO FIJO ]]/30)*Tabla1[[#This Row],[TOTAL DIAS PROYECTO]]+(Tabla1[[#This Row],[COSTO TEMPORAL]])</f>
        <v>806.66666666666663</v>
      </c>
      <c r="P2994" s="12"/>
      <c r="Q2994" s="12">
        <f>+(Tabla1[[#This Row],[COSTO COCHE]]/30)*Tabla1[[#This Row],[TOTAL DIAS PROYECTO]]</f>
        <v>0</v>
      </c>
      <c r="R2994" s="12">
        <f>+Tabla1[[#This Row],[COSTO TOTAL ALOJAMIENTO]]+Tabla1[[#This Row],[COSTO TOTAL COCHE]]</f>
        <v>806.66666666666663</v>
      </c>
      <c r="S2994" s="2"/>
      <c r="T2994" s="2" t="s">
        <v>35</v>
      </c>
      <c r="U2994" s="14">
        <v>45781</v>
      </c>
      <c r="V2994" s="25"/>
      <c r="W2994" s="26">
        <v>550</v>
      </c>
      <c r="X2994" s="2">
        <v>1</v>
      </c>
      <c r="Y2994" s="11" t="s">
        <v>4586</v>
      </c>
      <c r="Z2994" s="2" t="s">
        <v>36</v>
      </c>
      <c r="AA2994" s="13" t="s">
        <v>10394</v>
      </c>
      <c r="AB2994" s="13" t="s">
        <v>10395</v>
      </c>
    </row>
    <row r="2995" spans="1:28" ht="15" customHeight="1">
      <c r="A2995" s="2" t="s">
        <v>9729</v>
      </c>
      <c r="B2995" s="2" t="s">
        <v>368</v>
      </c>
      <c r="C2995" s="31" t="s">
        <v>4447</v>
      </c>
      <c r="D2995" s="2" t="s">
        <v>99</v>
      </c>
      <c r="E2995" s="2" t="s">
        <v>109</v>
      </c>
      <c r="F2995" s="11" t="s">
        <v>898</v>
      </c>
      <c r="G2995" s="21" t="s">
        <v>899</v>
      </c>
      <c r="H2995" s="2" t="s">
        <v>3921</v>
      </c>
      <c r="I2995" s="12" t="s">
        <v>1830</v>
      </c>
      <c r="J2995" s="22">
        <f>+Tabla1[[#This Row],[FECHA ENTRADA]]</f>
        <v>45925</v>
      </c>
      <c r="K2995" s="22">
        <v>45961</v>
      </c>
      <c r="L2995" s="23">
        <f>_xlfn.DAYS(Tabla1[[#This Row],[FECHA FIN ]],Tabla1[[#This Row],[FECHA INICIO]])</f>
        <v>36</v>
      </c>
      <c r="M2995" s="12"/>
      <c r="N2995" s="12">
        <v>200</v>
      </c>
      <c r="O2995" s="24">
        <f>(Tabla1[[#This Row],[COSTO FIJO ]]/30)*Tabla1[[#This Row],[TOTAL DIAS PROYECTO]]+(Tabla1[[#This Row],[COSTO TEMPORAL]])</f>
        <v>240</v>
      </c>
      <c r="P2995" s="12"/>
      <c r="Q2995" s="12">
        <f>+(Tabla1[[#This Row],[COSTO COCHE]]/30)*Tabla1[[#This Row],[TOTAL DIAS PROYECTO]]</f>
        <v>0</v>
      </c>
      <c r="R2995" s="12">
        <f>+Tabla1[[#This Row],[COSTO TOTAL ALOJAMIENTO]]+Tabla1[[#This Row],[COSTO TOTAL COCHE]]</f>
        <v>240</v>
      </c>
      <c r="S2995" s="2"/>
      <c r="T2995" s="14" t="s">
        <v>35</v>
      </c>
      <c r="U2995" s="14">
        <v>45925</v>
      </c>
      <c r="V2995" s="79"/>
      <c r="W2995" s="71"/>
      <c r="X2995" s="2">
        <v>1</v>
      </c>
      <c r="Y2995" s="202" t="s">
        <v>4587</v>
      </c>
      <c r="Z2995" s="2" t="s">
        <v>36</v>
      </c>
      <c r="AA2995" s="13">
        <v>0.62217999999999996</v>
      </c>
      <c r="AB2995" s="13" t="s">
        <v>10339</v>
      </c>
    </row>
    <row r="2996" spans="1:28" ht="15" customHeight="1">
      <c r="A2996" s="2" t="s">
        <v>9728</v>
      </c>
      <c r="B2996" s="2" t="s">
        <v>368</v>
      </c>
      <c r="C2996" s="31" t="s">
        <v>4446</v>
      </c>
      <c r="D2996" s="2" t="s">
        <v>99</v>
      </c>
      <c r="E2996" s="2" t="s">
        <v>109</v>
      </c>
      <c r="F2996" s="11" t="s">
        <v>898</v>
      </c>
      <c r="G2996" s="128" t="s">
        <v>899</v>
      </c>
      <c r="H2996" s="2" t="s">
        <v>3921</v>
      </c>
      <c r="I2996" s="12" t="s">
        <v>1830</v>
      </c>
      <c r="J2996" s="41">
        <f>+Tabla1[[#This Row],[FECHA ENTRADA]]</f>
        <v>45834</v>
      </c>
      <c r="K2996" s="22">
        <v>46054</v>
      </c>
      <c r="L2996" s="42">
        <f>_xlfn.DAYS(Tabla1[[#This Row],[FECHA FIN ]],Tabla1[[#This Row],[FECHA INICIO]])</f>
        <v>220</v>
      </c>
      <c r="M2996" s="12"/>
      <c r="N2996" s="12">
        <v>200</v>
      </c>
      <c r="O2996" s="28">
        <f>(Tabla1[[#This Row],[COSTO FIJO ]]/30)*Tabla1[[#This Row],[TOTAL DIAS PROYECTO]]+(Tabla1[[#This Row],[COSTO TEMPORAL]])</f>
        <v>1466.6666666666667</v>
      </c>
      <c r="P2996" s="12"/>
      <c r="Q2996" s="12">
        <f>+(Tabla1[[#This Row],[COSTO COCHE]]/30)*Tabla1[[#This Row],[TOTAL DIAS PROYECTO]]</f>
        <v>0</v>
      </c>
      <c r="R2996" s="12">
        <f>+Tabla1[[#This Row],[COSTO TOTAL ALOJAMIENTO]]+Tabla1[[#This Row],[COSTO TOTAL COCHE]]</f>
        <v>1466.6666666666667</v>
      </c>
      <c r="S2996" s="2"/>
      <c r="T2996" s="14" t="s">
        <v>35</v>
      </c>
      <c r="U2996" s="14">
        <v>45834</v>
      </c>
      <c r="V2996" s="43"/>
      <c r="W2996" s="2"/>
      <c r="X2996" s="2">
        <v>1</v>
      </c>
      <c r="Y2996" s="11" t="s">
        <v>4588</v>
      </c>
      <c r="Z2996" s="2" t="s">
        <v>36</v>
      </c>
      <c r="AA2996" s="13">
        <v>0.62217999999999996</v>
      </c>
      <c r="AB2996" s="13" t="s">
        <v>10339</v>
      </c>
    </row>
    <row r="2997" spans="1:28" ht="15" customHeight="1">
      <c r="A2997" s="2" t="s">
        <v>9729</v>
      </c>
      <c r="B2997" s="2" t="s">
        <v>368</v>
      </c>
      <c r="C2997" s="11" t="s">
        <v>4447</v>
      </c>
      <c r="D2997" s="2" t="s">
        <v>99</v>
      </c>
      <c r="E2997" s="2" t="s">
        <v>109</v>
      </c>
      <c r="F2997" s="11" t="s">
        <v>4434</v>
      </c>
      <c r="G2997" s="21">
        <v>973266788</v>
      </c>
      <c r="H2997" s="2" t="s">
        <v>3921</v>
      </c>
      <c r="I2997" s="12" t="s">
        <v>1830</v>
      </c>
      <c r="J2997" s="41">
        <f>+Tabla1[[#This Row],[FECHA ENTRADA]]</f>
        <v>45835</v>
      </c>
      <c r="K2997" s="41">
        <v>45925</v>
      </c>
      <c r="L2997" s="42">
        <f>_xlfn.DAYS(Tabla1[[#This Row],[FECHA FIN ]],Tabla1[[#This Row],[FECHA INICIO]])</f>
        <v>90</v>
      </c>
      <c r="M2997" s="12"/>
      <c r="N2997" s="12"/>
      <c r="O2997" s="28">
        <f>(Tabla1[[#This Row],[COSTO FIJO ]]/30)*Tabla1[[#This Row],[TOTAL DIAS PROYECTO]]+(Tabla1[[#This Row],[COSTO TEMPORAL]])</f>
        <v>0</v>
      </c>
      <c r="P2997" s="12"/>
      <c r="Q2997" s="12">
        <f>+(Tabla1[[#This Row],[COSTO COCHE]]/30)*Tabla1[[#This Row],[TOTAL DIAS PROYECTO]]</f>
        <v>0</v>
      </c>
      <c r="R2997" s="12">
        <f>+Tabla1[[#This Row],[COSTO TOTAL ALOJAMIENTO]]+Tabla1[[#This Row],[COSTO TOTAL COCHE]]</f>
        <v>0</v>
      </c>
      <c r="S2997" s="2"/>
      <c r="T2997" s="14" t="s">
        <v>44</v>
      </c>
      <c r="U2997" s="14">
        <v>45835</v>
      </c>
      <c r="V2997" s="25">
        <v>45926</v>
      </c>
      <c r="W2997" s="2"/>
      <c r="X2997" s="2"/>
      <c r="Y2997" s="11"/>
      <c r="Z2997" s="2" t="s">
        <v>36</v>
      </c>
      <c r="AA2997" s="13">
        <v>0.62217999999999996</v>
      </c>
      <c r="AB2997" s="13" t="s">
        <v>10339</v>
      </c>
    </row>
    <row r="2998" spans="1:28" ht="15" customHeight="1">
      <c r="A2998" s="2" t="s">
        <v>9759</v>
      </c>
      <c r="B2998" s="2" t="s">
        <v>978</v>
      </c>
      <c r="C2998" s="11" t="s">
        <v>4589</v>
      </c>
      <c r="D2998" s="2" t="s">
        <v>99</v>
      </c>
      <c r="E2998" s="2" t="s">
        <v>109</v>
      </c>
      <c r="F2998" s="11" t="s">
        <v>4434</v>
      </c>
      <c r="G2998" s="46">
        <v>34973266788</v>
      </c>
      <c r="H2998" s="2" t="s">
        <v>1551</v>
      </c>
      <c r="I2998" s="12" t="s">
        <v>4526</v>
      </c>
      <c r="J2998" s="41">
        <f>+Tabla1[[#This Row],[FECHA ENTRADA]]</f>
        <v>45838</v>
      </c>
      <c r="K2998" s="41">
        <v>45847</v>
      </c>
      <c r="L2998" s="42">
        <f>_xlfn.DAYS(Tabla1[[#This Row],[FECHA FIN ]],Tabla1[[#This Row],[FECHA INICIO]])</f>
        <v>9</v>
      </c>
      <c r="M2998" s="12"/>
      <c r="N2998" s="28"/>
      <c r="O2998" s="28">
        <f>(Tabla1[[#This Row],[COSTO FIJO ]]/30)*Tabla1[[#This Row],[TOTAL DIAS PROYECTO]]+(Tabla1[[#This Row],[COSTO TEMPORAL]])</f>
        <v>0</v>
      </c>
      <c r="P2998" s="12"/>
      <c r="Q2998" s="12">
        <f>+(Tabla1[[#This Row],[COSTO COCHE]]/30)*Tabla1[[#This Row],[TOTAL DIAS PROYECTO]]</f>
        <v>0</v>
      </c>
      <c r="R2998" s="12">
        <f>+Tabla1[[#This Row],[COSTO TOTAL ALOJAMIENTO]]+Tabla1[[#This Row],[COSTO TOTAL COCHE]]</f>
        <v>0</v>
      </c>
      <c r="S2998" s="2"/>
      <c r="T2998" s="14" t="s">
        <v>44</v>
      </c>
      <c r="U2998" s="14">
        <v>45838</v>
      </c>
      <c r="V2998" s="43"/>
      <c r="W2998" s="12"/>
      <c r="X2998" s="2"/>
      <c r="Y2998" s="11" t="s">
        <v>4527</v>
      </c>
      <c r="Z2998" s="2" t="s">
        <v>36</v>
      </c>
      <c r="AA2998" s="13">
        <v>0.62217999999999996</v>
      </c>
      <c r="AB2998" s="13" t="s">
        <v>10339</v>
      </c>
    </row>
    <row r="2999" spans="1:28" ht="15" customHeight="1">
      <c r="A2999" s="2" t="s">
        <v>9160</v>
      </c>
      <c r="B2999" s="2" t="s">
        <v>28</v>
      </c>
      <c r="C2999" s="11" t="s">
        <v>2277</v>
      </c>
      <c r="D2999" s="2" t="s">
        <v>30</v>
      </c>
      <c r="E2999" s="2" t="s">
        <v>855</v>
      </c>
      <c r="F2999" s="11" t="s">
        <v>856</v>
      </c>
      <c r="G2999" s="21" t="s">
        <v>857</v>
      </c>
      <c r="H2999" s="2" t="s">
        <v>4213</v>
      </c>
      <c r="I2999" s="12" t="s">
        <v>1201</v>
      </c>
      <c r="J2999" s="22">
        <f>+Tabla1[[#This Row],[FECHA ENTRADA]]</f>
        <v>45841</v>
      </c>
      <c r="K2999" s="8">
        <v>45869</v>
      </c>
      <c r="L2999" s="23">
        <f>_xlfn.DAYS(Tabla1[[#This Row],[FECHA FIN ]],Tabla1[[#This Row],[FECHA INICIO]])</f>
        <v>28</v>
      </c>
      <c r="M2999" s="12"/>
      <c r="N2999" s="12">
        <v>300</v>
      </c>
      <c r="O2999" s="24">
        <f>(Tabla1[[#This Row],[COSTO FIJO ]]/30)*Tabla1[[#This Row],[TOTAL DIAS PROYECTO]]+(Tabla1[[#This Row],[COSTO TEMPORAL]])</f>
        <v>280</v>
      </c>
      <c r="P2999" s="12"/>
      <c r="Q2999" s="12">
        <f>+(Tabla1[[#This Row],[COSTO COCHE]]/30)*Tabla1[[#This Row],[TOTAL DIAS PROYECTO]]</f>
        <v>0</v>
      </c>
      <c r="R2999" s="12">
        <f>+Tabla1[[#This Row],[COSTO TOTAL ALOJAMIENTO]]+Tabla1[[#This Row],[COSTO TOTAL COCHE]]</f>
        <v>280</v>
      </c>
      <c r="S2999" s="2"/>
      <c r="T2999" s="14" t="s">
        <v>35</v>
      </c>
      <c r="U2999" s="14">
        <v>45841</v>
      </c>
      <c r="V2999" s="25"/>
      <c r="W2999" s="2"/>
      <c r="X2999" s="2">
        <v>1</v>
      </c>
      <c r="Y2999" s="11"/>
      <c r="Z2999" s="2" t="s">
        <v>36</v>
      </c>
      <c r="AA2999" s="13" t="s">
        <v>10401</v>
      </c>
      <c r="AB2999" s="13" t="s">
        <v>10402</v>
      </c>
    </row>
    <row r="3000" spans="1:28">
      <c r="A3000" s="2" t="s">
        <v>9683</v>
      </c>
      <c r="B3000" s="2" t="s">
        <v>28</v>
      </c>
      <c r="C3000" s="11" t="s">
        <v>4223</v>
      </c>
      <c r="D3000" s="2" t="s">
        <v>30</v>
      </c>
      <c r="E3000" s="2" t="s">
        <v>855</v>
      </c>
      <c r="F3000" s="11" t="s">
        <v>856</v>
      </c>
      <c r="G3000" s="21" t="s">
        <v>857</v>
      </c>
      <c r="H3000" s="2" t="s">
        <v>4213</v>
      </c>
      <c r="I3000" s="12" t="s">
        <v>1201</v>
      </c>
      <c r="J3000" s="22">
        <f>+Tabla1[[#This Row],[FECHA ENTRADA]]</f>
        <v>45841</v>
      </c>
      <c r="K3000" s="8">
        <v>45869</v>
      </c>
      <c r="L3000" s="23">
        <f>_xlfn.DAYS(Tabla1[[#This Row],[FECHA FIN ]],Tabla1[[#This Row],[FECHA INICIO]])</f>
        <v>28</v>
      </c>
      <c r="M3000" s="12"/>
      <c r="N3000" s="12">
        <v>300</v>
      </c>
      <c r="O3000" s="24">
        <f>(Tabla1[[#This Row],[COSTO FIJO ]]/30)*Tabla1[[#This Row],[TOTAL DIAS PROYECTO]]+(Tabla1[[#This Row],[COSTO TEMPORAL]])</f>
        <v>280</v>
      </c>
      <c r="P3000" s="12"/>
      <c r="Q3000" s="12">
        <f>+(Tabla1[[#This Row],[COSTO COCHE]]/30)*Tabla1[[#This Row],[TOTAL DIAS PROYECTO]]</f>
        <v>0</v>
      </c>
      <c r="R3000" s="12">
        <f>+Tabla1[[#This Row],[COSTO TOTAL ALOJAMIENTO]]+Tabla1[[#This Row],[COSTO TOTAL COCHE]]</f>
        <v>280</v>
      </c>
      <c r="S3000" s="2"/>
      <c r="T3000" s="14" t="s">
        <v>35</v>
      </c>
      <c r="U3000" s="14">
        <v>45841</v>
      </c>
      <c r="V3000" s="25"/>
      <c r="W3000" s="2"/>
      <c r="X3000" s="2">
        <v>1</v>
      </c>
      <c r="Y3000" s="11"/>
      <c r="Z3000" s="2" t="s">
        <v>36</v>
      </c>
      <c r="AA3000" s="13" t="s">
        <v>10401</v>
      </c>
      <c r="AB3000" s="13" t="s">
        <v>10402</v>
      </c>
    </row>
    <row r="3001" spans="1:28" ht="15" customHeight="1">
      <c r="A3001" s="2" t="s">
        <v>9124</v>
      </c>
      <c r="B3001" s="2" t="s">
        <v>28</v>
      </c>
      <c r="C3001" s="11" t="s">
        <v>2096</v>
      </c>
      <c r="D3001" s="2" t="s">
        <v>30</v>
      </c>
      <c r="E3001" s="2" t="s">
        <v>626</v>
      </c>
      <c r="F3001" s="11" t="s">
        <v>1964</v>
      </c>
      <c r="G3001" s="146" t="s">
        <v>1409</v>
      </c>
      <c r="H3001" s="2" t="s">
        <v>2357</v>
      </c>
      <c r="I3001" s="12" t="s">
        <v>570</v>
      </c>
      <c r="J3001" s="22">
        <f>+Tabla1[[#This Row],[FECHA ENTRADA]]</f>
        <v>45802</v>
      </c>
      <c r="K3001" s="22">
        <v>45869</v>
      </c>
      <c r="L3001" s="23">
        <f>_xlfn.DAYS(Tabla1[[#This Row],[FECHA FIN ]],Tabla1[[#This Row],[FECHA INICIO]])</f>
        <v>67</v>
      </c>
      <c r="M3001" s="12"/>
      <c r="N3001" s="12">
        <v>400</v>
      </c>
      <c r="O3001" s="24">
        <f>(Tabla1[[#This Row],[COSTO FIJO ]]/30)*Tabla1[[#This Row],[TOTAL DIAS PROYECTO]]+(Tabla1[[#This Row],[COSTO TEMPORAL]])</f>
        <v>893.33333333333337</v>
      </c>
      <c r="P3001" s="12"/>
      <c r="Q3001" s="12">
        <f>+(Tabla1[[#This Row],[COSTO COCHE]]/30)*Tabla1[[#This Row],[TOTAL DIAS PROYECTO]]</f>
        <v>0</v>
      </c>
      <c r="R3001" s="12">
        <f>+Tabla1[[#This Row],[COSTO TOTAL ALOJAMIENTO]]+Tabla1[[#This Row],[COSTO TOTAL COCHE]]</f>
        <v>893.33333333333337</v>
      </c>
      <c r="S3001" s="2"/>
      <c r="T3001" s="2" t="s">
        <v>35</v>
      </c>
      <c r="U3001" s="14">
        <v>45802</v>
      </c>
      <c r="V3001" s="25"/>
      <c r="W3001" s="26"/>
      <c r="X3001" s="2">
        <v>5</v>
      </c>
      <c r="Y3001" s="11"/>
      <c r="Z3001" s="2" t="s">
        <v>36</v>
      </c>
      <c r="AA3001" s="13" t="s">
        <v>10385</v>
      </c>
      <c r="AB3001" s="13" t="s">
        <v>10386</v>
      </c>
    </row>
    <row r="3002" spans="1:28" ht="15" customHeight="1">
      <c r="A3002" s="2" t="s">
        <v>8642</v>
      </c>
      <c r="B3002" s="2" t="s">
        <v>368</v>
      </c>
      <c r="C3002" s="11" t="s">
        <v>3549</v>
      </c>
      <c r="D3002" s="2" t="s">
        <v>99</v>
      </c>
      <c r="E3002" s="2" t="s">
        <v>422</v>
      </c>
      <c r="F3002" s="11" t="s">
        <v>1983</v>
      </c>
      <c r="G3002" s="11" t="s">
        <v>2067</v>
      </c>
      <c r="H3002" s="2" t="s">
        <v>4499</v>
      </c>
      <c r="I3002" s="12" t="s">
        <v>1435</v>
      </c>
      <c r="J3002" s="22">
        <f>+Tabla1[[#This Row],[FECHA ENTRADA]]</f>
        <v>45812</v>
      </c>
      <c r="K3002" s="22">
        <v>45821</v>
      </c>
      <c r="L3002" s="23">
        <f>_xlfn.DAYS(Tabla1[[#This Row],[FECHA FIN ]],Tabla1[[#This Row],[FECHA INICIO]])</f>
        <v>9</v>
      </c>
      <c r="M3002" s="12"/>
      <c r="N3002" s="12">
        <v>133</v>
      </c>
      <c r="O3002" s="24">
        <f>(Tabla1[[#This Row],[COSTO FIJO ]]/30)*Tabla1[[#This Row],[TOTAL DIAS PROYECTO]]+(Tabla1[[#This Row],[COSTO TEMPORAL]])</f>
        <v>39.900000000000006</v>
      </c>
      <c r="P3002" s="12"/>
      <c r="Q3002" s="12">
        <f>+(Tabla1[[#This Row],[COSTO COCHE]]/30)*Tabla1[[#This Row],[TOTAL DIAS PROYECTO]]</f>
        <v>0</v>
      </c>
      <c r="R3002" s="12">
        <f>+Tabla1[[#This Row],[COSTO TOTAL ALOJAMIENTO]]+Tabla1[[#This Row],[COSTO TOTAL COCHE]]</f>
        <v>39.900000000000006</v>
      </c>
      <c r="S3002" s="2"/>
      <c r="T3002" s="14" t="s">
        <v>44</v>
      </c>
      <c r="U3002" s="22">
        <v>45812</v>
      </c>
      <c r="V3002" s="79">
        <v>45818</v>
      </c>
      <c r="W3002" s="2"/>
      <c r="X3002" s="2"/>
      <c r="Y3002" s="11"/>
      <c r="Z3002" s="2" t="s">
        <v>36</v>
      </c>
      <c r="AA3002" s="13">
        <v>-326.69799999999998</v>
      </c>
      <c r="AB3002" s="13" t="s">
        <v>10373</v>
      </c>
    </row>
    <row r="3003" spans="1:28" ht="15" customHeight="1">
      <c r="A3003" s="2" t="s">
        <v>9067</v>
      </c>
      <c r="B3003" s="2" t="s">
        <v>28</v>
      </c>
      <c r="C3003" s="11" t="s">
        <v>1860</v>
      </c>
      <c r="D3003" s="2" t="s">
        <v>30</v>
      </c>
      <c r="E3003" s="2" t="s">
        <v>626</v>
      </c>
      <c r="F3003" s="11" t="s">
        <v>1964</v>
      </c>
      <c r="G3003" s="146" t="s">
        <v>1409</v>
      </c>
      <c r="H3003" s="2" t="s">
        <v>868</v>
      </c>
      <c r="I3003" s="12" t="s">
        <v>570</v>
      </c>
      <c r="J3003" s="22">
        <f>+Tabla1[[#This Row],[FECHA ENTRADA]]</f>
        <v>45802</v>
      </c>
      <c r="K3003" s="22">
        <v>45869</v>
      </c>
      <c r="L3003" s="23">
        <f>_xlfn.DAYS(Tabla1[[#This Row],[FECHA FIN ]],Tabla1[[#This Row],[FECHA INICIO]])</f>
        <v>67</v>
      </c>
      <c r="M3003" s="12"/>
      <c r="N3003" s="12">
        <v>400</v>
      </c>
      <c r="O3003" s="24">
        <f>(Tabla1[[#This Row],[COSTO FIJO ]]/30)*Tabla1[[#This Row],[TOTAL DIAS PROYECTO]]+(Tabla1[[#This Row],[COSTO TEMPORAL]])</f>
        <v>893.33333333333337</v>
      </c>
      <c r="P3003" s="12"/>
      <c r="Q3003" s="12">
        <f>+(Tabla1[[#This Row],[COSTO COCHE]]/30)*Tabla1[[#This Row],[TOTAL DIAS PROYECTO]]</f>
        <v>0</v>
      </c>
      <c r="R3003" s="12">
        <f>+Tabla1[[#This Row],[COSTO TOTAL ALOJAMIENTO]]+Tabla1[[#This Row],[COSTO TOTAL COCHE]]</f>
        <v>893.33333333333337</v>
      </c>
      <c r="S3003" s="2"/>
      <c r="T3003" s="2" t="s">
        <v>35</v>
      </c>
      <c r="U3003" s="14">
        <v>45802</v>
      </c>
      <c r="V3003" s="25"/>
      <c r="W3003" s="26"/>
      <c r="X3003" s="2">
        <v>5</v>
      </c>
      <c r="Y3003" s="11" t="s">
        <v>4590</v>
      </c>
      <c r="Z3003" s="2" t="s">
        <v>36</v>
      </c>
      <c r="AA3003" s="13" t="s">
        <v>10385</v>
      </c>
      <c r="AB3003" s="13" t="s">
        <v>10386</v>
      </c>
    </row>
    <row r="3004" spans="1:28" ht="15" customHeight="1">
      <c r="A3004" s="2" t="s">
        <v>9359</v>
      </c>
      <c r="B3004" s="2" t="s">
        <v>28</v>
      </c>
      <c r="C3004" s="11" t="s">
        <v>2925</v>
      </c>
      <c r="D3004" s="2" t="s">
        <v>99</v>
      </c>
      <c r="E3004" s="2" t="s">
        <v>422</v>
      </c>
      <c r="F3004" s="11" t="s">
        <v>1983</v>
      </c>
      <c r="G3004" s="11" t="s">
        <v>2067</v>
      </c>
      <c r="H3004" s="2" t="s">
        <v>4326</v>
      </c>
      <c r="I3004" s="12" t="s">
        <v>4327</v>
      </c>
      <c r="J3004" s="22">
        <f>+Tabla1[[#This Row],[FECHA ENTRADA]]</f>
        <v>45812</v>
      </c>
      <c r="K3004" s="22">
        <v>45821</v>
      </c>
      <c r="L3004" s="23">
        <f>_xlfn.DAYS(Tabla1[[#This Row],[FECHA FIN ]],Tabla1[[#This Row],[FECHA INICIO]])</f>
        <v>9</v>
      </c>
      <c r="M3004" s="12"/>
      <c r="N3004" s="12">
        <v>133</v>
      </c>
      <c r="O3004" s="24">
        <f>(Tabla1[[#This Row],[COSTO FIJO ]]/30)*Tabla1[[#This Row],[TOTAL DIAS PROYECTO]]+(Tabla1[[#This Row],[COSTO TEMPORAL]])</f>
        <v>39.900000000000006</v>
      </c>
      <c r="P3004" s="12"/>
      <c r="Q3004" s="12">
        <f>+(Tabla1[[#This Row],[COSTO COCHE]]/30)*Tabla1[[#This Row],[TOTAL DIAS PROYECTO]]</f>
        <v>0</v>
      </c>
      <c r="R3004" s="12">
        <f>+Tabla1[[#This Row],[COSTO TOTAL ALOJAMIENTO]]+Tabla1[[#This Row],[COSTO TOTAL COCHE]]</f>
        <v>39.900000000000006</v>
      </c>
      <c r="S3004" s="2"/>
      <c r="T3004" s="14" t="s">
        <v>44</v>
      </c>
      <c r="U3004" s="22">
        <v>45812</v>
      </c>
      <c r="V3004" s="79">
        <v>45818</v>
      </c>
      <c r="W3004" s="2"/>
      <c r="X3004" s="2"/>
      <c r="Y3004" s="11"/>
      <c r="Z3004" s="2" t="s">
        <v>36</v>
      </c>
      <c r="AA3004" s="13">
        <v>-326.69799999999998</v>
      </c>
      <c r="AB3004" s="13" t="s">
        <v>10373</v>
      </c>
    </row>
    <row r="3005" spans="1:28" ht="15" customHeight="1">
      <c r="A3005" s="2" t="s">
        <v>8814</v>
      </c>
      <c r="B3005" s="2" t="s">
        <v>28</v>
      </c>
      <c r="C3005" s="11" t="s">
        <v>870</v>
      </c>
      <c r="D3005" s="2" t="s">
        <v>99</v>
      </c>
      <c r="E3005" s="2" t="s">
        <v>626</v>
      </c>
      <c r="F3005" s="11" t="s">
        <v>1408</v>
      </c>
      <c r="G3005" s="146" t="s">
        <v>1409</v>
      </c>
      <c r="H3005" s="2" t="s">
        <v>2580</v>
      </c>
      <c r="I3005" s="2" t="s">
        <v>570</v>
      </c>
      <c r="J3005" s="41">
        <f>+Tabla1[[#This Row],[FECHA ENTRADA]]</f>
        <v>45839</v>
      </c>
      <c r="K3005" s="22">
        <v>45869</v>
      </c>
      <c r="L3005" s="42">
        <f>_xlfn.DAYS(Tabla1[[#This Row],[FECHA FIN ]],Tabla1[[#This Row],[FECHA INICIO]])</f>
        <v>30</v>
      </c>
      <c r="M3005" s="12"/>
      <c r="N3005" s="12">
        <v>360</v>
      </c>
      <c r="O3005" s="28">
        <f>(Tabla1[[#This Row],[COSTO FIJO ]]/30)*Tabla1[[#This Row],[TOTAL DIAS PROYECTO]]+(Tabla1[[#This Row],[COSTO TEMPORAL]])</f>
        <v>360</v>
      </c>
      <c r="P3005" s="12"/>
      <c r="Q3005" s="12">
        <f>+(Tabla1[[#This Row],[COSTO COCHE]]/30)*Tabla1[[#This Row],[TOTAL DIAS PROYECTO]]</f>
        <v>0</v>
      </c>
      <c r="R3005" s="12">
        <f>+Tabla1[[#This Row],[COSTO TOTAL ALOJAMIENTO]]+Tabla1[[#This Row],[COSTO TOTAL COCHE]]</f>
        <v>360</v>
      </c>
      <c r="S3005" s="2"/>
      <c r="T3005" s="14" t="s">
        <v>35</v>
      </c>
      <c r="U3005" s="14">
        <v>45839</v>
      </c>
      <c r="V3005" s="43"/>
      <c r="W3005" s="2"/>
      <c r="X3005" s="2">
        <v>5</v>
      </c>
      <c r="Y3005" s="11"/>
      <c r="Z3005" s="2" t="s">
        <v>36</v>
      </c>
      <c r="AA3005" s="13" t="s">
        <v>10385</v>
      </c>
      <c r="AB3005" s="13" t="s">
        <v>10386</v>
      </c>
    </row>
    <row r="3006" spans="1:28" ht="15" customHeight="1">
      <c r="A3006" s="2" t="s">
        <v>9652</v>
      </c>
      <c r="B3006" s="2" t="s">
        <v>368</v>
      </c>
      <c r="C3006" s="11" t="s">
        <v>4070</v>
      </c>
      <c r="D3006" s="2" t="s">
        <v>30</v>
      </c>
      <c r="E3006" s="2" t="s">
        <v>855</v>
      </c>
      <c r="F3006" s="11" t="s">
        <v>4374</v>
      </c>
      <c r="G3006" s="46" t="s">
        <v>4375</v>
      </c>
      <c r="H3006" s="2" t="s">
        <v>2988</v>
      </c>
      <c r="I3006" s="12" t="s">
        <v>1288</v>
      </c>
      <c r="J3006" s="41">
        <f>+Tabla1[[#This Row],[FECHA ENTRADA]]</f>
        <v>45840</v>
      </c>
      <c r="K3006" s="41">
        <v>45869</v>
      </c>
      <c r="L3006" s="42">
        <f>_xlfn.DAYS(Tabla1[[#This Row],[FECHA FIN ]],Tabla1[[#This Row],[FECHA INICIO]])</f>
        <v>29</v>
      </c>
      <c r="M3006" s="12"/>
      <c r="N3006" s="12"/>
      <c r="O3006" s="28">
        <f>(Tabla1[[#This Row],[COSTO FIJO ]]/30)*Tabla1[[#This Row],[TOTAL DIAS PROYECTO]]+(Tabla1[[#This Row],[COSTO TEMPORAL]])</f>
        <v>0</v>
      </c>
      <c r="P3006" s="12"/>
      <c r="Q3006" s="12">
        <f>+(Tabla1[[#This Row],[COSTO COCHE]]/30)*Tabla1[[#This Row],[TOTAL DIAS PROYECTO]]</f>
        <v>0</v>
      </c>
      <c r="R3006" s="12">
        <f>+Tabla1[[#This Row],[COSTO TOTAL ALOJAMIENTO]]+Tabla1[[#This Row],[COSTO TOTAL COCHE]]</f>
        <v>0</v>
      </c>
      <c r="S3006" s="2"/>
      <c r="T3006" s="14" t="s">
        <v>35</v>
      </c>
      <c r="U3006" s="14">
        <v>45840</v>
      </c>
      <c r="V3006" s="43">
        <v>45899</v>
      </c>
      <c r="W3006" s="2"/>
      <c r="X3006" s="2">
        <v>5</v>
      </c>
      <c r="Y3006" s="11" t="s">
        <v>4376</v>
      </c>
      <c r="Z3006" s="2" t="s">
        <v>36</v>
      </c>
      <c r="AA3006" s="13" t="s">
        <v>10401</v>
      </c>
      <c r="AB3006" s="13" t="s">
        <v>10402</v>
      </c>
    </row>
    <row r="3007" spans="1:28" ht="15" customHeight="1">
      <c r="A3007" s="2" t="s">
        <v>9651</v>
      </c>
      <c r="B3007" s="2" t="s">
        <v>368</v>
      </c>
      <c r="C3007" s="11" t="s">
        <v>4069</v>
      </c>
      <c r="D3007" s="2" t="s">
        <v>30</v>
      </c>
      <c r="E3007" s="2" t="s">
        <v>855</v>
      </c>
      <c r="F3007" s="11" t="s">
        <v>4591</v>
      </c>
      <c r="G3007" s="46" t="s">
        <v>4592</v>
      </c>
      <c r="H3007" s="2" t="s">
        <v>1898</v>
      </c>
      <c r="I3007" s="12" t="s">
        <v>1288</v>
      </c>
      <c r="J3007" s="41">
        <f>+Tabla1[[#This Row],[FECHA ENTRADA]]</f>
        <v>45840</v>
      </c>
      <c r="K3007" s="41">
        <v>45869</v>
      </c>
      <c r="L3007" s="42">
        <f>_xlfn.DAYS(Tabla1[[#This Row],[FECHA FIN ]],Tabla1[[#This Row],[FECHA INICIO]])</f>
        <v>29</v>
      </c>
      <c r="M3007" s="12"/>
      <c r="N3007" s="12">
        <v>400</v>
      </c>
      <c r="O3007" s="28">
        <f>(Tabla1[[#This Row],[COSTO FIJO ]]/30)*Tabla1[[#This Row],[TOTAL DIAS PROYECTO]]+(Tabla1[[#This Row],[COSTO TEMPORAL]])</f>
        <v>386.66666666666669</v>
      </c>
      <c r="P3007" s="12"/>
      <c r="Q3007" s="12">
        <f>+(Tabla1[[#This Row],[COSTO COCHE]]/30)*Tabla1[[#This Row],[TOTAL DIAS PROYECTO]]</f>
        <v>0</v>
      </c>
      <c r="R3007" s="12">
        <f>+Tabla1[[#This Row],[COSTO TOTAL ALOJAMIENTO]]+Tabla1[[#This Row],[COSTO TOTAL COCHE]]</f>
        <v>386.66666666666669</v>
      </c>
      <c r="S3007" s="2"/>
      <c r="T3007" s="14" t="s">
        <v>35</v>
      </c>
      <c r="U3007" s="14">
        <v>45840</v>
      </c>
      <c r="V3007" s="43"/>
      <c r="W3007" s="2">
        <v>500</v>
      </c>
      <c r="X3007" s="2">
        <v>5</v>
      </c>
      <c r="Y3007" s="11"/>
      <c r="Z3007" s="2" t="s">
        <v>36</v>
      </c>
      <c r="AA3007" s="13" t="s">
        <v>10401</v>
      </c>
      <c r="AB3007" s="13" t="s">
        <v>10402</v>
      </c>
    </row>
    <row r="3008" spans="1:28" ht="15" customHeight="1">
      <c r="A3008" s="2" t="s">
        <v>9143</v>
      </c>
      <c r="B3008" s="2" t="s">
        <v>368</v>
      </c>
      <c r="C3008" s="11" t="s">
        <v>2194</v>
      </c>
      <c r="D3008" s="2" t="s">
        <v>99</v>
      </c>
      <c r="E3008" s="2" t="s">
        <v>855</v>
      </c>
      <c r="F3008" s="11" t="s">
        <v>4591</v>
      </c>
      <c r="G3008" s="46" t="s">
        <v>4592</v>
      </c>
      <c r="H3008" s="2" t="s">
        <v>2196</v>
      </c>
      <c r="I3008" s="12" t="s">
        <v>1288</v>
      </c>
      <c r="J3008" s="41">
        <f>+Tabla1[[#This Row],[FECHA ENTRADA]]</f>
        <v>45840</v>
      </c>
      <c r="K3008" s="41">
        <v>45869</v>
      </c>
      <c r="L3008" s="42">
        <f>_xlfn.DAYS(Tabla1[[#This Row],[FECHA FIN ]],Tabla1[[#This Row],[FECHA INICIO]])</f>
        <v>29</v>
      </c>
      <c r="M3008" s="12"/>
      <c r="N3008" s="12">
        <v>400</v>
      </c>
      <c r="O3008" s="28">
        <f>(Tabla1[[#This Row],[COSTO FIJO ]]/30)*Tabla1[[#This Row],[TOTAL DIAS PROYECTO]]+(Tabla1[[#This Row],[COSTO TEMPORAL]])</f>
        <v>386.66666666666669</v>
      </c>
      <c r="P3008" s="12"/>
      <c r="Q3008" s="12">
        <f>+(Tabla1[[#This Row],[COSTO COCHE]]/30)*Tabla1[[#This Row],[TOTAL DIAS PROYECTO]]</f>
        <v>0</v>
      </c>
      <c r="R3008" s="12">
        <f>+Tabla1[[#This Row],[COSTO TOTAL ALOJAMIENTO]]+Tabla1[[#This Row],[COSTO TOTAL COCHE]]</f>
        <v>386.66666666666669</v>
      </c>
      <c r="S3008" s="2"/>
      <c r="T3008" s="14" t="s">
        <v>35</v>
      </c>
      <c r="U3008" s="14">
        <v>45840</v>
      </c>
      <c r="V3008" s="43"/>
      <c r="W3008" s="2"/>
      <c r="X3008" s="2">
        <v>5</v>
      </c>
      <c r="Y3008" s="11"/>
      <c r="Z3008" s="2" t="s">
        <v>36</v>
      </c>
      <c r="AA3008" s="13" t="s">
        <v>10401</v>
      </c>
      <c r="AB3008" s="13" t="s">
        <v>10402</v>
      </c>
    </row>
    <row r="3009" spans="1:28" ht="15" customHeight="1">
      <c r="A3009" s="2" t="s">
        <v>8642</v>
      </c>
      <c r="B3009" s="2" t="s">
        <v>368</v>
      </c>
      <c r="C3009" s="11" t="s">
        <v>2186</v>
      </c>
      <c r="D3009" s="2" t="s">
        <v>99</v>
      </c>
      <c r="E3009" s="2" t="s">
        <v>855</v>
      </c>
      <c r="F3009" s="11" t="s">
        <v>4591</v>
      </c>
      <c r="G3009" s="46" t="s">
        <v>4592</v>
      </c>
      <c r="H3009" s="2" t="s">
        <v>2187</v>
      </c>
      <c r="I3009" s="12" t="s">
        <v>1288</v>
      </c>
      <c r="J3009" s="41">
        <f>+Tabla1[[#This Row],[FECHA ENTRADA]]</f>
        <v>45840</v>
      </c>
      <c r="K3009" s="41">
        <v>45869</v>
      </c>
      <c r="L3009" s="42">
        <f>_xlfn.DAYS(Tabla1[[#This Row],[FECHA FIN ]],Tabla1[[#This Row],[FECHA INICIO]])</f>
        <v>29</v>
      </c>
      <c r="M3009" s="12"/>
      <c r="N3009" s="12">
        <v>400</v>
      </c>
      <c r="O3009" s="28">
        <f>(Tabla1[[#This Row],[COSTO FIJO ]]/30)*Tabla1[[#This Row],[TOTAL DIAS PROYECTO]]+(Tabla1[[#This Row],[COSTO TEMPORAL]])</f>
        <v>386.66666666666669</v>
      </c>
      <c r="P3009" s="12"/>
      <c r="Q3009" s="12">
        <f>+(Tabla1[[#This Row],[COSTO COCHE]]/30)*Tabla1[[#This Row],[TOTAL DIAS PROYECTO]]</f>
        <v>0</v>
      </c>
      <c r="R3009" s="12">
        <f>+Tabla1[[#This Row],[COSTO TOTAL ALOJAMIENTO]]+Tabla1[[#This Row],[COSTO TOTAL COCHE]]</f>
        <v>386.66666666666669</v>
      </c>
      <c r="S3009" s="2"/>
      <c r="T3009" s="14" t="s">
        <v>35</v>
      </c>
      <c r="U3009" s="14">
        <v>45840</v>
      </c>
      <c r="V3009" s="43"/>
      <c r="W3009" s="2"/>
      <c r="X3009" s="2">
        <v>5</v>
      </c>
      <c r="Y3009" s="11"/>
      <c r="Z3009" s="2" t="s">
        <v>36</v>
      </c>
      <c r="AA3009" s="13" t="s">
        <v>10401</v>
      </c>
      <c r="AB3009" s="13" t="s">
        <v>10402</v>
      </c>
    </row>
    <row r="3010" spans="1:28" ht="15" customHeight="1">
      <c r="A3010" s="2" t="s">
        <v>9073</v>
      </c>
      <c r="B3010" s="2" t="s">
        <v>368</v>
      </c>
      <c r="C3010" s="11" t="s">
        <v>1897</v>
      </c>
      <c r="D3010" s="2" t="s">
        <v>30</v>
      </c>
      <c r="E3010" s="2" t="s">
        <v>855</v>
      </c>
      <c r="F3010" s="11" t="s">
        <v>4374</v>
      </c>
      <c r="G3010" s="46" t="s">
        <v>4375</v>
      </c>
      <c r="H3010" s="2" t="s">
        <v>2988</v>
      </c>
      <c r="I3010" s="2" t="s">
        <v>1288</v>
      </c>
      <c r="J3010" s="41">
        <f>+Tabla1[[#This Row],[FECHA ENTRADA]]</f>
        <v>45840</v>
      </c>
      <c r="K3010" s="41">
        <v>45869</v>
      </c>
      <c r="L3010" s="42">
        <f>_xlfn.DAYS(Tabla1[[#This Row],[FECHA FIN ]],Tabla1[[#This Row],[FECHA INICIO]])</f>
        <v>29</v>
      </c>
      <c r="M3010" s="12"/>
      <c r="N3010" s="12"/>
      <c r="O3010" s="28">
        <f>(Tabla1[[#This Row],[COSTO FIJO ]]/30)*Tabla1[[#This Row],[TOTAL DIAS PROYECTO]]+(Tabla1[[#This Row],[COSTO TEMPORAL]])</f>
        <v>0</v>
      </c>
      <c r="P3010" s="12"/>
      <c r="Q3010" s="12">
        <f>+(Tabla1[[#This Row],[COSTO COCHE]]/30)*Tabla1[[#This Row],[TOTAL DIAS PROYECTO]]</f>
        <v>0</v>
      </c>
      <c r="R3010" s="12">
        <f>+Tabla1[[#This Row],[COSTO TOTAL ALOJAMIENTO]]+Tabla1[[#This Row],[COSTO TOTAL COCHE]]</f>
        <v>0</v>
      </c>
      <c r="S3010" s="2"/>
      <c r="T3010" s="14" t="s">
        <v>35</v>
      </c>
      <c r="U3010" s="14">
        <v>45840</v>
      </c>
      <c r="V3010" s="43">
        <v>45899</v>
      </c>
      <c r="W3010" s="2"/>
      <c r="X3010" s="2">
        <v>5</v>
      </c>
      <c r="Y3010" s="11" t="s">
        <v>4376</v>
      </c>
      <c r="Z3010" s="2" t="s">
        <v>36</v>
      </c>
      <c r="AA3010" s="13" t="s">
        <v>10401</v>
      </c>
      <c r="AB3010" s="13" t="s">
        <v>10402</v>
      </c>
    </row>
    <row r="3011" spans="1:28" ht="15" customHeight="1">
      <c r="A3011" s="2" t="s">
        <v>9442</v>
      </c>
      <c r="B3011" s="2" t="s">
        <v>368</v>
      </c>
      <c r="C3011" s="11" t="s">
        <v>3191</v>
      </c>
      <c r="D3011" s="2" t="s">
        <v>99</v>
      </c>
      <c r="E3011" s="2" t="s">
        <v>855</v>
      </c>
      <c r="F3011" s="11" t="s">
        <v>4593</v>
      </c>
      <c r="G3011" s="46" t="s">
        <v>4594</v>
      </c>
      <c r="H3011" s="2" t="s">
        <v>2196</v>
      </c>
      <c r="I3011" s="12" t="s">
        <v>1288</v>
      </c>
      <c r="J3011" s="41">
        <f>+Tabla1[[#This Row],[FECHA ENTRADA]]</f>
        <v>45840</v>
      </c>
      <c r="K3011" s="41">
        <v>45869</v>
      </c>
      <c r="L3011" s="42">
        <f>_xlfn.DAYS(Tabla1[[#This Row],[FECHA FIN ]],Tabla1[[#This Row],[FECHA INICIO]])</f>
        <v>29</v>
      </c>
      <c r="M3011" s="12"/>
      <c r="N3011" s="12"/>
      <c r="O3011" s="28">
        <f>(Tabla1[[#This Row],[COSTO FIJO ]]/30)*Tabla1[[#This Row],[TOTAL DIAS PROYECTO]]+(Tabla1[[#This Row],[COSTO TEMPORAL]])</f>
        <v>0</v>
      </c>
      <c r="P3011" s="12"/>
      <c r="Q3011" s="12">
        <f>+(Tabla1[[#This Row],[COSTO COCHE]]/30)*Tabla1[[#This Row],[TOTAL DIAS PROYECTO]]</f>
        <v>0</v>
      </c>
      <c r="R3011" s="12">
        <f>+Tabla1[[#This Row],[COSTO TOTAL ALOJAMIENTO]]+Tabla1[[#This Row],[COSTO TOTAL COCHE]]</f>
        <v>0</v>
      </c>
      <c r="S3011" s="2"/>
      <c r="T3011" s="14" t="s">
        <v>35</v>
      </c>
      <c r="U3011" s="14">
        <v>45840</v>
      </c>
      <c r="V3011" s="43"/>
      <c r="W3011" s="2"/>
      <c r="X3011" s="2">
        <v>5</v>
      </c>
      <c r="Y3011" s="11" t="s">
        <v>4595</v>
      </c>
      <c r="Z3011" s="2" t="s">
        <v>36</v>
      </c>
      <c r="AA3011" s="13" t="s">
        <v>10401</v>
      </c>
      <c r="AB3011" s="13" t="s">
        <v>10402</v>
      </c>
    </row>
    <row r="3012" spans="1:28" ht="15" customHeight="1">
      <c r="A3012" s="2" t="s">
        <v>8642</v>
      </c>
      <c r="B3012" s="2" t="s">
        <v>368</v>
      </c>
      <c r="C3012" s="11" t="s">
        <v>3660</v>
      </c>
      <c r="D3012" s="2" t="s">
        <v>99</v>
      </c>
      <c r="E3012" s="2" t="s">
        <v>855</v>
      </c>
      <c r="F3012" s="11" t="s">
        <v>4593</v>
      </c>
      <c r="G3012" s="46" t="s">
        <v>4594</v>
      </c>
      <c r="H3012" s="2" t="s">
        <v>2187</v>
      </c>
      <c r="I3012" s="12" t="s">
        <v>1288</v>
      </c>
      <c r="J3012" s="41">
        <f>+Tabla1[[#This Row],[FECHA ENTRADA]]</f>
        <v>45840</v>
      </c>
      <c r="K3012" s="41">
        <v>45869</v>
      </c>
      <c r="L3012" s="42">
        <f>_xlfn.DAYS(Tabla1[[#This Row],[FECHA FIN ]],Tabla1[[#This Row],[FECHA INICIO]])</f>
        <v>29</v>
      </c>
      <c r="M3012" s="12"/>
      <c r="N3012" s="12"/>
      <c r="O3012" s="28">
        <f>(Tabla1[[#This Row],[COSTO FIJO ]]/30)*Tabla1[[#This Row],[TOTAL DIAS PROYECTO]]+(Tabla1[[#This Row],[COSTO TEMPORAL]])</f>
        <v>0</v>
      </c>
      <c r="P3012" s="12"/>
      <c r="Q3012" s="12">
        <f>+(Tabla1[[#This Row],[COSTO COCHE]]/30)*Tabla1[[#This Row],[TOTAL DIAS PROYECTO]]</f>
        <v>0</v>
      </c>
      <c r="R3012" s="12">
        <f>+Tabla1[[#This Row],[COSTO TOTAL ALOJAMIENTO]]+Tabla1[[#This Row],[COSTO TOTAL COCHE]]</f>
        <v>0</v>
      </c>
      <c r="S3012" s="2"/>
      <c r="T3012" s="14" t="s">
        <v>35</v>
      </c>
      <c r="U3012" s="14">
        <v>45840</v>
      </c>
      <c r="V3012" s="43"/>
      <c r="W3012" s="2"/>
      <c r="X3012" s="2">
        <v>5</v>
      </c>
      <c r="Y3012" s="11" t="s">
        <v>4595</v>
      </c>
      <c r="Z3012" s="2" t="s">
        <v>36</v>
      </c>
      <c r="AA3012" s="13" t="s">
        <v>10401</v>
      </c>
      <c r="AB3012" s="13" t="s">
        <v>10402</v>
      </c>
    </row>
    <row r="3013" spans="1:28" ht="15" customHeight="1">
      <c r="A3013" s="2" t="s">
        <v>8642</v>
      </c>
      <c r="B3013" s="2" t="s">
        <v>368</v>
      </c>
      <c r="C3013" s="11" t="s">
        <v>3516</v>
      </c>
      <c r="D3013" s="2" t="s">
        <v>99</v>
      </c>
      <c r="E3013" s="2" t="s">
        <v>855</v>
      </c>
      <c r="F3013" s="11" t="s">
        <v>4593</v>
      </c>
      <c r="G3013" s="46" t="s">
        <v>4594</v>
      </c>
      <c r="H3013" s="2" t="s">
        <v>2196</v>
      </c>
      <c r="I3013" s="12" t="s">
        <v>1288</v>
      </c>
      <c r="J3013" s="41">
        <f>+Tabla1[[#This Row],[FECHA ENTRADA]]</f>
        <v>45840</v>
      </c>
      <c r="K3013" s="41">
        <v>45869</v>
      </c>
      <c r="L3013" s="42">
        <f>_xlfn.DAYS(Tabla1[[#This Row],[FECHA FIN ]],Tabla1[[#This Row],[FECHA INICIO]])</f>
        <v>29</v>
      </c>
      <c r="M3013" s="12"/>
      <c r="N3013" s="12"/>
      <c r="O3013" s="28">
        <f>(Tabla1[[#This Row],[COSTO FIJO ]]/30)*Tabla1[[#This Row],[TOTAL DIAS PROYECTO]]+(Tabla1[[#This Row],[COSTO TEMPORAL]])</f>
        <v>0</v>
      </c>
      <c r="P3013" s="12"/>
      <c r="Q3013" s="12">
        <f>+(Tabla1[[#This Row],[COSTO COCHE]]/30)*Tabla1[[#This Row],[TOTAL DIAS PROYECTO]]</f>
        <v>0</v>
      </c>
      <c r="R3013" s="12">
        <f>+Tabla1[[#This Row],[COSTO TOTAL ALOJAMIENTO]]+Tabla1[[#This Row],[COSTO TOTAL COCHE]]</f>
        <v>0</v>
      </c>
      <c r="S3013" s="2"/>
      <c r="T3013" s="14" t="s">
        <v>35</v>
      </c>
      <c r="U3013" s="14">
        <v>45840</v>
      </c>
      <c r="V3013" s="43"/>
      <c r="W3013" s="2"/>
      <c r="X3013" s="2">
        <v>5</v>
      </c>
      <c r="Y3013" s="11" t="s">
        <v>4595</v>
      </c>
      <c r="Z3013" s="2" t="s">
        <v>36</v>
      </c>
      <c r="AA3013" s="13" t="s">
        <v>10401</v>
      </c>
      <c r="AB3013" s="13" t="s">
        <v>10402</v>
      </c>
    </row>
    <row r="3014" spans="1:28" ht="15" customHeight="1">
      <c r="A3014" s="2" t="s">
        <v>9672</v>
      </c>
      <c r="B3014" s="2" t="s">
        <v>28</v>
      </c>
      <c r="C3014" s="31" t="s">
        <v>4170</v>
      </c>
      <c r="D3014" s="2" t="s">
        <v>99</v>
      </c>
      <c r="E3014" s="2" t="s">
        <v>626</v>
      </c>
      <c r="F3014" s="11" t="s">
        <v>1408</v>
      </c>
      <c r="G3014" s="146" t="s">
        <v>1409</v>
      </c>
      <c r="H3014" s="2" t="s">
        <v>4171</v>
      </c>
      <c r="I3014" s="12" t="s">
        <v>570</v>
      </c>
      <c r="J3014" s="41">
        <f>+Tabla1[[#This Row],[FECHA ENTRADA]]</f>
        <v>45839</v>
      </c>
      <c r="K3014" s="22">
        <v>45869</v>
      </c>
      <c r="L3014" s="42">
        <f>_xlfn.DAYS(Tabla1[[#This Row],[FECHA FIN ]],Tabla1[[#This Row],[FECHA INICIO]])</f>
        <v>30</v>
      </c>
      <c r="M3014" s="12"/>
      <c r="N3014" s="12">
        <v>360</v>
      </c>
      <c r="O3014" s="28">
        <f>(Tabla1[[#This Row],[COSTO FIJO ]]/30)*Tabla1[[#This Row],[TOTAL DIAS PROYECTO]]+(Tabla1[[#This Row],[COSTO TEMPORAL]])</f>
        <v>360</v>
      </c>
      <c r="P3014" s="12"/>
      <c r="Q3014" s="12">
        <f>+(Tabla1[[#This Row],[COSTO COCHE]]/30)*Tabla1[[#This Row],[TOTAL DIAS PROYECTO]]</f>
        <v>0</v>
      </c>
      <c r="R3014" s="12">
        <f>+Tabla1[[#This Row],[COSTO TOTAL ALOJAMIENTO]]+Tabla1[[#This Row],[COSTO TOTAL COCHE]]</f>
        <v>360</v>
      </c>
      <c r="S3014" s="2"/>
      <c r="T3014" s="14" t="s">
        <v>35</v>
      </c>
      <c r="U3014" s="14">
        <v>45839</v>
      </c>
      <c r="V3014" s="43"/>
      <c r="W3014" s="12"/>
      <c r="X3014" s="2">
        <v>5</v>
      </c>
      <c r="Y3014" t="s">
        <v>4596</v>
      </c>
      <c r="Z3014" s="2" t="s">
        <v>36</v>
      </c>
      <c r="AA3014" s="13" t="s">
        <v>10385</v>
      </c>
      <c r="AB3014" s="13" t="s">
        <v>10386</v>
      </c>
    </row>
    <row r="3015" spans="1:28" ht="15" customHeight="1">
      <c r="A3015" s="2" t="s">
        <v>8642</v>
      </c>
      <c r="B3015" s="10" t="s">
        <v>711</v>
      </c>
      <c r="C3015" s="11" t="s">
        <v>4597</v>
      </c>
      <c r="D3015" s="2" t="s">
        <v>749</v>
      </c>
      <c r="E3015" s="2" t="s">
        <v>4598</v>
      </c>
      <c r="F3015" s="11" t="s">
        <v>4599</v>
      </c>
      <c r="G3015" s="49" t="s">
        <v>4600</v>
      </c>
      <c r="H3015" s="2" t="s">
        <v>4601</v>
      </c>
      <c r="I3015" s="12" t="s">
        <v>4602</v>
      </c>
      <c r="J3015" s="22">
        <f>+Tabla1[[#This Row],[FECHA ENTRADA]]</f>
        <v>46242</v>
      </c>
      <c r="K3015" s="22">
        <v>46252</v>
      </c>
      <c r="L3015" s="23">
        <f>_xlfn.DAYS(Tabla1[[#This Row],[FECHA FIN ]],Tabla1[[#This Row],[FECHA INICIO]])</f>
        <v>10</v>
      </c>
      <c r="M3015" s="12">
        <v>309.5</v>
      </c>
      <c r="N3015" s="24"/>
      <c r="O3015" s="24">
        <f>(Tabla1[[#This Row],[COSTO FIJO ]]/30)*Tabla1[[#This Row],[TOTAL DIAS PROYECTO]]+(Tabla1[[#This Row],[COSTO TEMPORAL]])</f>
        <v>309.5</v>
      </c>
      <c r="P3015" s="12"/>
      <c r="Q3015" s="12">
        <f>+(Tabla1[[#This Row],[COSTO COCHE]]/30)*Tabla1[[#This Row],[TOTAL DIAS PROYECTO]]</f>
        <v>0</v>
      </c>
      <c r="R3015" s="12">
        <f>+Tabla1[[#This Row],[COSTO TOTAL ALOJAMIENTO]]+Tabla1[[#This Row],[COSTO TOTAL COCHE]]</f>
        <v>309.5</v>
      </c>
      <c r="S3015" s="2" t="s">
        <v>84</v>
      </c>
      <c r="T3015" s="14" t="s">
        <v>44</v>
      </c>
      <c r="U3015" s="14">
        <v>46242</v>
      </c>
      <c r="V3015" s="25">
        <v>46252</v>
      </c>
      <c r="W3015" s="12"/>
      <c r="X3015" s="2"/>
      <c r="Y3015" s="11"/>
      <c r="Z3015" s="2" t="s">
        <v>36</v>
      </c>
      <c r="AA3015" s="13">
        <v>10.50447</v>
      </c>
      <c r="AB3015" s="13">
        <v>43.843690000000002</v>
      </c>
    </row>
    <row r="3016" spans="1:28" ht="15" customHeight="1">
      <c r="A3016" s="2" t="s">
        <v>9275</v>
      </c>
      <c r="B3016" s="2" t="s">
        <v>28</v>
      </c>
      <c r="C3016" s="11" t="s">
        <v>2678</v>
      </c>
      <c r="D3016" s="2" t="s">
        <v>30</v>
      </c>
      <c r="E3016" s="2" t="s">
        <v>31</v>
      </c>
      <c r="F3016" s="11"/>
      <c r="G3016" s="49"/>
      <c r="H3016" s="2" t="s">
        <v>3781</v>
      </c>
      <c r="I3016" s="12" t="s">
        <v>1101</v>
      </c>
      <c r="J3016" s="22">
        <f>+Tabla1[[#This Row],[FECHA ENTRADA]]</f>
        <v>45823</v>
      </c>
      <c r="K3016" s="22">
        <v>45869</v>
      </c>
      <c r="L3016" s="23">
        <f>_xlfn.DAYS(Tabla1[[#This Row],[FECHA FIN ]],Tabla1[[#This Row],[FECHA INICIO]])</f>
        <v>46</v>
      </c>
      <c r="M3016" s="12"/>
      <c r="N3016" s="12"/>
      <c r="O3016" s="24">
        <f>(Tabla1[[#This Row],[COSTO FIJO ]]/30)*Tabla1[[#This Row],[TOTAL DIAS PROYECTO]]+(Tabla1[[#This Row],[COSTO TEMPORAL]])</f>
        <v>0</v>
      </c>
      <c r="P3016" s="12"/>
      <c r="Q3016" s="12">
        <f>+(Tabla1[[#This Row],[COSTO COCHE]]/30)*Tabla1[[#This Row],[TOTAL DIAS PROYECTO]]</f>
        <v>0</v>
      </c>
      <c r="R3016" s="12">
        <f>+Tabla1[[#This Row],[COSTO TOTAL ALOJAMIENTO]]+Tabla1[[#This Row],[COSTO TOTAL COCHE]]</f>
        <v>0</v>
      </c>
      <c r="S3016" s="2"/>
      <c r="T3016" s="14" t="s">
        <v>58</v>
      </c>
      <c r="U3016" s="14">
        <v>45823</v>
      </c>
      <c r="V3016" s="25"/>
      <c r="W3016" s="2"/>
      <c r="X3016" s="2"/>
      <c r="Y3016" t="s">
        <v>4603</v>
      </c>
      <c r="Z3016" s="2" t="s">
        <v>36</v>
      </c>
      <c r="AA3016" s="13" t="s">
        <v>10323</v>
      </c>
      <c r="AB3016" s="13" t="s">
        <v>10324</v>
      </c>
    </row>
    <row r="3017" spans="1:28" ht="15" customHeight="1">
      <c r="A3017" s="2" t="s">
        <v>9027</v>
      </c>
      <c r="B3017" s="2" t="s">
        <v>28</v>
      </c>
      <c r="C3017" s="11" t="s">
        <v>1732</v>
      </c>
      <c r="D3017" s="2" t="s">
        <v>30</v>
      </c>
      <c r="E3017" s="2" t="s">
        <v>213</v>
      </c>
      <c r="F3017" s="11" t="s">
        <v>1841</v>
      </c>
      <c r="G3017" t="s">
        <v>1197</v>
      </c>
      <c r="H3017" s="2" t="s">
        <v>1735</v>
      </c>
      <c r="I3017" s="12" t="s">
        <v>1043</v>
      </c>
      <c r="J3017" s="22">
        <f>+Tabla1[[#This Row],[FECHA ENTRADA]]</f>
        <v>45726</v>
      </c>
      <c r="K3017" s="22">
        <v>45869</v>
      </c>
      <c r="L3017" s="23">
        <f>_xlfn.DAYS(Tabla1[[#This Row],[FECHA FIN ]],Tabla1[[#This Row],[FECHA INICIO]])</f>
        <v>143</v>
      </c>
      <c r="M3017" s="12"/>
      <c r="N3017" s="12"/>
      <c r="O3017" s="24">
        <f>(Tabla1[[#This Row],[COSTO FIJO ]]/30)*Tabla1[[#This Row],[TOTAL DIAS PROYECTO]]+(Tabla1[[#This Row],[COSTO TEMPORAL]])</f>
        <v>0</v>
      </c>
      <c r="P3017" s="12"/>
      <c r="Q3017" s="12">
        <f>+(Tabla1[[#This Row],[COSTO COCHE]]/30)*Tabla1[[#This Row],[TOTAL DIAS PROYECTO]]</f>
        <v>0</v>
      </c>
      <c r="R3017" s="12">
        <f>+Tabla1[[#This Row],[COSTO TOTAL ALOJAMIENTO]]+Tabla1[[#This Row],[COSTO TOTAL COCHE]]</f>
        <v>0</v>
      </c>
      <c r="S3017" s="2"/>
      <c r="T3017" s="2" t="s">
        <v>44</v>
      </c>
      <c r="U3017" s="14">
        <v>45726</v>
      </c>
      <c r="V3017" s="25">
        <v>45869</v>
      </c>
      <c r="W3017" s="26"/>
      <c r="X3017" s="2">
        <v>1</v>
      </c>
      <c r="Y3017" s="11" t="s">
        <v>1361</v>
      </c>
      <c r="Z3017" s="2" t="s">
        <v>36</v>
      </c>
      <c r="AA3017" s="13" t="s">
        <v>10349</v>
      </c>
      <c r="AB3017" s="13" t="s">
        <v>10350</v>
      </c>
    </row>
    <row r="3018" spans="1:28" ht="15" customHeight="1">
      <c r="A3018" s="2" t="s">
        <v>9028</v>
      </c>
      <c r="B3018" s="2" t="s">
        <v>28</v>
      </c>
      <c r="C3018" s="11" t="s">
        <v>1737</v>
      </c>
      <c r="D3018" s="2" t="s">
        <v>30</v>
      </c>
      <c r="E3018" s="10" t="s">
        <v>213</v>
      </c>
      <c r="F3018" s="11" t="s">
        <v>1841</v>
      </c>
      <c r="G3018" t="s">
        <v>1197</v>
      </c>
      <c r="H3018" s="2" t="s">
        <v>1738</v>
      </c>
      <c r="I3018" s="12" t="s">
        <v>1043</v>
      </c>
      <c r="J3018" s="22">
        <f>+Tabla1[[#This Row],[FECHA ENTRADA]]</f>
        <v>45726</v>
      </c>
      <c r="K3018" s="22">
        <v>45869</v>
      </c>
      <c r="L3018" s="23">
        <f>_xlfn.DAYS(Tabla1[[#This Row],[FECHA FIN ]],Tabla1[[#This Row],[FECHA INICIO]])</f>
        <v>143</v>
      </c>
      <c r="M3018" s="12"/>
      <c r="N3018" s="12"/>
      <c r="O3018" s="24">
        <f>(Tabla1[[#This Row],[COSTO FIJO ]]/30)*Tabla1[[#This Row],[TOTAL DIAS PROYECTO]]+(Tabla1[[#This Row],[COSTO TEMPORAL]])</f>
        <v>0</v>
      </c>
      <c r="P3018" s="12"/>
      <c r="Q3018" s="12">
        <f>+(Tabla1[[#This Row],[COSTO COCHE]]/30)*Tabla1[[#This Row],[TOTAL DIAS PROYECTO]]</f>
        <v>0</v>
      </c>
      <c r="R3018" s="12">
        <f>+Tabla1[[#This Row],[COSTO TOTAL ALOJAMIENTO]]+Tabla1[[#This Row],[COSTO TOTAL COCHE]]</f>
        <v>0</v>
      </c>
      <c r="S3018" s="2"/>
      <c r="T3018" s="2" t="s">
        <v>44</v>
      </c>
      <c r="U3018" s="14">
        <v>45726</v>
      </c>
      <c r="V3018" s="25">
        <v>45869</v>
      </c>
      <c r="W3018" s="26"/>
      <c r="X3018" s="2">
        <v>1</v>
      </c>
      <c r="Y3018" s="11" t="s">
        <v>1120</v>
      </c>
      <c r="Z3018" s="2" t="s">
        <v>36</v>
      </c>
      <c r="AA3018" s="13" t="s">
        <v>10349</v>
      </c>
      <c r="AB3018" s="13" t="s">
        <v>10350</v>
      </c>
    </row>
    <row r="3019" spans="1:28" ht="15" customHeight="1">
      <c r="A3019" s="2" t="s">
        <v>9450</v>
      </c>
      <c r="B3019" s="2" t="s">
        <v>368</v>
      </c>
      <c r="C3019" s="11" t="s">
        <v>3224</v>
      </c>
      <c r="D3019" s="2" t="s">
        <v>30</v>
      </c>
      <c r="E3019" s="2" t="s">
        <v>855</v>
      </c>
      <c r="F3019" s="11" t="s">
        <v>4604</v>
      </c>
      <c r="G3019" s="30" t="s">
        <v>4011</v>
      </c>
      <c r="H3019" s="2" t="s">
        <v>1741</v>
      </c>
      <c r="I3019" s="2" t="s">
        <v>1288</v>
      </c>
      <c r="J3019" s="22">
        <f>+Tabla1[[#This Row],[FECHA ENTRADA]]</f>
        <v>45750</v>
      </c>
      <c r="K3019" s="8">
        <v>45869</v>
      </c>
      <c r="L3019" s="23">
        <f>_xlfn.DAYS(Tabla1[[#This Row],[FECHA FIN ]],Tabla1[[#This Row],[FECHA INICIO]])</f>
        <v>119</v>
      </c>
      <c r="M3019" s="12"/>
      <c r="N3019" s="12"/>
      <c r="O3019" s="24">
        <f>(Tabla1[[#This Row],[COSTO FIJO ]]/30)*Tabla1[[#This Row],[TOTAL DIAS PROYECTO]]+(Tabla1[[#This Row],[COSTO TEMPORAL]])</f>
        <v>0</v>
      </c>
      <c r="P3019" s="12">
        <v>83.333333333333329</v>
      </c>
      <c r="Q3019" s="12">
        <f>+(Tabla1[[#This Row],[COSTO COCHE]]/30)*Tabla1[[#This Row],[TOTAL DIAS PROYECTO]]</f>
        <v>330.55555555555554</v>
      </c>
      <c r="R3019" s="12">
        <f>+Tabla1[[#This Row],[COSTO TOTAL ALOJAMIENTO]]+Tabla1[[#This Row],[COSTO TOTAL COCHE]]</f>
        <v>330.55555555555554</v>
      </c>
      <c r="S3019" s="2"/>
      <c r="T3019" s="2" t="s">
        <v>44</v>
      </c>
      <c r="U3019" s="14">
        <v>45750</v>
      </c>
      <c r="V3019" s="25">
        <v>45869</v>
      </c>
      <c r="W3019" s="26"/>
      <c r="X3019" s="2">
        <v>2</v>
      </c>
      <c r="Y3019" s="11" t="s">
        <v>4605</v>
      </c>
      <c r="Z3019" s="2" t="s">
        <v>36</v>
      </c>
      <c r="AA3019" s="13" t="s">
        <v>10401</v>
      </c>
      <c r="AB3019" s="13" t="s">
        <v>10402</v>
      </c>
    </row>
    <row r="3020" spans="1:28" ht="15" customHeight="1">
      <c r="A3020" s="2" t="s">
        <v>9415</v>
      </c>
      <c r="B3020" s="2" t="s">
        <v>368</v>
      </c>
      <c r="C3020" s="11" t="s">
        <v>3099</v>
      </c>
      <c r="D3020" s="2" t="s">
        <v>30</v>
      </c>
      <c r="E3020" s="2" t="s">
        <v>855</v>
      </c>
      <c r="F3020" s="11" t="s">
        <v>4604</v>
      </c>
      <c r="G3020" t="s">
        <v>4011</v>
      </c>
      <c r="H3020" s="2" t="s">
        <v>1741</v>
      </c>
      <c r="I3020" s="2" t="s">
        <v>1288</v>
      </c>
      <c r="J3020" s="22">
        <f>+Tabla1[[#This Row],[FECHA ENTRADA]]</f>
        <v>45750</v>
      </c>
      <c r="K3020" s="8">
        <v>45869</v>
      </c>
      <c r="L3020" s="23">
        <f>_xlfn.DAYS(Tabla1[[#This Row],[FECHA FIN ]],Tabla1[[#This Row],[FECHA INICIO]])</f>
        <v>119</v>
      </c>
      <c r="M3020" s="12"/>
      <c r="N3020" s="12"/>
      <c r="O3020" s="24">
        <f>(Tabla1[[#This Row],[COSTO FIJO ]]/30)*Tabla1[[#This Row],[TOTAL DIAS PROYECTO]]+(Tabla1[[#This Row],[COSTO TEMPORAL]])</f>
        <v>0</v>
      </c>
      <c r="P3020" s="12">
        <v>83.333333333333329</v>
      </c>
      <c r="Q3020" s="12">
        <f>+(Tabla1[[#This Row],[COSTO COCHE]]/30)*Tabla1[[#This Row],[TOTAL DIAS PROYECTO]]</f>
        <v>330.55555555555554</v>
      </c>
      <c r="R3020" s="12">
        <f>+Tabla1[[#This Row],[COSTO TOTAL ALOJAMIENTO]]+Tabla1[[#This Row],[COSTO TOTAL COCHE]]</f>
        <v>330.55555555555554</v>
      </c>
      <c r="S3020" s="2"/>
      <c r="T3020" s="2" t="s">
        <v>44</v>
      </c>
      <c r="U3020" s="14">
        <v>45750</v>
      </c>
      <c r="V3020" s="25">
        <v>45869</v>
      </c>
      <c r="W3020" s="26"/>
      <c r="X3020" s="2">
        <v>2</v>
      </c>
      <c r="Y3020" s="11" t="s">
        <v>4605</v>
      </c>
      <c r="Z3020" s="2" t="s">
        <v>36</v>
      </c>
      <c r="AA3020" s="13" t="s">
        <v>10401</v>
      </c>
      <c r="AB3020" s="13" t="s">
        <v>10402</v>
      </c>
    </row>
    <row r="3021" spans="1:28" ht="15" customHeight="1">
      <c r="A3021" s="2" t="s">
        <v>9029</v>
      </c>
      <c r="B3021" s="2" t="s">
        <v>368</v>
      </c>
      <c r="C3021" s="11" t="s">
        <v>1739</v>
      </c>
      <c r="D3021" s="2" t="s">
        <v>30</v>
      </c>
      <c r="E3021" s="2" t="s">
        <v>855</v>
      </c>
      <c r="F3021" s="11" t="s">
        <v>4604</v>
      </c>
      <c r="G3021" s="30" t="s">
        <v>4011</v>
      </c>
      <c r="H3021" s="2" t="s">
        <v>1741</v>
      </c>
      <c r="I3021" s="2" t="s">
        <v>1288</v>
      </c>
      <c r="J3021" s="22">
        <f>+Tabla1[[#This Row],[FECHA ENTRADA]]</f>
        <v>45750</v>
      </c>
      <c r="K3021" s="8">
        <v>45869</v>
      </c>
      <c r="L3021" s="23">
        <f>_xlfn.DAYS(Tabla1[[#This Row],[FECHA FIN ]],Tabla1[[#This Row],[FECHA INICIO]])</f>
        <v>119</v>
      </c>
      <c r="M3021" s="12"/>
      <c r="N3021" s="12"/>
      <c r="O3021" s="24">
        <f>(Tabla1[[#This Row],[COSTO FIJO ]]/30)*Tabla1[[#This Row],[TOTAL DIAS PROYECTO]]+(Tabla1[[#This Row],[COSTO TEMPORAL]])</f>
        <v>0</v>
      </c>
      <c r="P3021" s="12">
        <v>83.333333333333329</v>
      </c>
      <c r="Q3021" s="12">
        <f>+(Tabla1[[#This Row],[COSTO COCHE]]/30)*Tabla1[[#This Row],[TOTAL DIAS PROYECTO]]</f>
        <v>330.55555555555554</v>
      </c>
      <c r="R3021" s="12">
        <f>+Tabla1[[#This Row],[COSTO TOTAL ALOJAMIENTO]]+Tabla1[[#This Row],[COSTO TOTAL COCHE]]</f>
        <v>330.55555555555554</v>
      </c>
      <c r="S3021" s="2"/>
      <c r="T3021" s="2" t="s">
        <v>44</v>
      </c>
      <c r="U3021" s="14">
        <v>45750</v>
      </c>
      <c r="V3021" s="25">
        <v>45869</v>
      </c>
      <c r="W3021" s="26"/>
      <c r="X3021" s="2">
        <v>2</v>
      </c>
      <c r="Y3021" s="11" t="s">
        <v>4605</v>
      </c>
      <c r="Z3021" s="2" t="s">
        <v>36</v>
      </c>
      <c r="AA3021" s="13" t="s">
        <v>10401</v>
      </c>
      <c r="AB3021" s="13" t="s">
        <v>10402</v>
      </c>
    </row>
    <row r="3022" spans="1:28" ht="15" customHeight="1">
      <c r="A3022" s="2" t="s">
        <v>9030</v>
      </c>
      <c r="B3022" s="2" t="s">
        <v>368</v>
      </c>
      <c r="C3022" s="11" t="s">
        <v>1742</v>
      </c>
      <c r="D3022" s="2" t="s">
        <v>30</v>
      </c>
      <c r="E3022" s="2" t="s">
        <v>855</v>
      </c>
      <c r="F3022" s="11" t="s">
        <v>4604</v>
      </c>
      <c r="G3022" t="s">
        <v>4011</v>
      </c>
      <c r="H3022" s="2" t="s">
        <v>1741</v>
      </c>
      <c r="I3022" s="2" t="s">
        <v>1288</v>
      </c>
      <c r="J3022" s="22">
        <f>+Tabla1[[#This Row],[FECHA ENTRADA]]</f>
        <v>45750</v>
      </c>
      <c r="K3022" s="8">
        <v>45869</v>
      </c>
      <c r="L3022" s="23">
        <f>_xlfn.DAYS(Tabla1[[#This Row],[FECHA FIN ]],Tabla1[[#This Row],[FECHA INICIO]])</f>
        <v>119</v>
      </c>
      <c r="M3022" s="12"/>
      <c r="N3022" s="12"/>
      <c r="O3022" s="24">
        <f>(Tabla1[[#This Row],[COSTO FIJO ]]/30)*Tabla1[[#This Row],[TOTAL DIAS PROYECTO]]+(Tabla1[[#This Row],[COSTO TEMPORAL]])</f>
        <v>0</v>
      </c>
      <c r="P3022" s="12">
        <v>83.333333333333329</v>
      </c>
      <c r="Q3022" s="12">
        <f>+(Tabla1[[#This Row],[COSTO COCHE]]/30)*Tabla1[[#This Row],[TOTAL DIAS PROYECTO]]</f>
        <v>330.55555555555554</v>
      </c>
      <c r="R3022" s="12">
        <f>+Tabla1[[#This Row],[COSTO TOTAL ALOJAMIENTO]]+Tabla1[[#This Row],[COSTO TOTAL COCHE]]</f>
        <v>330.55555555555554</v>
      </c>
      <c r="S3022" s="2"/>
      <c r="T3022" s="2" t="s">
        <v>44</v>
      </c>
      <c r="U3022" s="14">
        <v>45750</v>
      </c>
      <c r="V3022" s="25">
        <v>45869</v>
      </c>
      <c r="W3022" s="26">
        <v>900</v>
      </c>
      <c r="X3022" s="2">
        <v>2</v>
      </c>
      <c r="Y3022" s="11" t="s">
        <v>4605</v>
      </c>
      <c r="Z3022" s="2" t="s">
        <v>36</v>
      </c>
      <c r="AA3022" s="13" t="s">
        <v>10401</v>
      </c>
      <c r="AB3022" s="13" t="s">
        <v>10402</v>
      </c>
    </row>
    <row r="3023" spans="1:28" ht="15" customHeight="1">
      <c r="A3023" s="2" t="s">
        <v>8786</v>
      </c>
      <c r="B3023" s="2" t="s">
        <v>978</v>
      </c>
      <c r="C3023" s="11" t="s">
        <v>762</v>
      </c>
      <c r="D3023" s="2" t="s">
        <v>99</v>
      </c>
      <c r="E3023" s="2" t="s">
        <v>1443</v>
      </c>
      <c r="F3023" s="11" t="s">
        <v>4606</v>
      </c>
      <c r="G3023" s="46" t="s">
        <v>4607</v>
      </c>
      <c r="H3023" s="2" t="s">
        <v>1866</v>
      </c>
      <c r="I3023" s="12" t="s">
        <v>4477</v>
      </c>
      <c r="J3023" s="41">
        <f>+Tabla1[[#This Row],[FECHA ENTRADA]]</f>
        <v>45817</v>
      </c>
      <c r="K3023" s="41">
        <v>45869</v>
      </c>
      <c r="L3023" s="42">
        <f>_xlfn.DAYS(Tabla1[[#This Row],[FECHA FIN ]],Tabla1[[#This Row],[FECHA INICIO]])</f>
        <v>52</v>
      </c>
      <c r="M3023" s="12"/>
      <c r="N3023" s="12"/>
      <c r="O3023" s="28">
        <f>(Tabla1[[#This Row],[COSTO FIJO ]]/30)*Tabla1[[#This Row],[TOTAL DIAS PROYECTO]]+(Tabla1[[#This Row],[COSTO TEMPORAL]])</f>
        <v>0</v>
      </c>
      <c r="P3023" s="12"/>
      <c r="Q3023" s="12">
        <f>+(Tabla1[[#This Row],[COSTO COCHE]]/30)*Tabla1[[#This Row],[TOTAL DIAS PROYECTO]]</f>
        <v>0</v>
      </c>
      <c r="R3023" s="12">
        <f>+Tabla1[[#This Row],[COSTO TOTAL ALOJAMIENTO]]+Tabla1[[#This Row],[COSTO TOTAL COCHE]]</f>
        <v>0</v>
      </c>
      <c r="S3023" s="2"/>
      <c r="T3023" s="14" t="s">
        <v>44</v>
      </c>
      <c r="U3023" s="14">
        <v>45817</v>
      </c>
      <c r="V3023" s="43">
        <v>45869</v>
      </c>
      <c r="W3023" s="12"/>
      <c r="X3023" s="2"/>
      <c r="Y3023" s="11"/>
      <c r="Z3023" s="2" t="s">
        <v>36</v>
      </c>
      <c r="AA3023" s="13" t="s">
        <v>10420</v>
      </c>
      <c r="AB3023" s="13">
        <v>3907741</v>
      </c>
    </row>
    <row r="3024" spans="1:28" ht="15" customHeight="1">
      <c r="A3024" s="2" t="s">
        <v>9405</v>
      </c>
      <c r="B3024" s="2" t="s">
        <v>978</v>
      </c>
      <c r="C3024" s="11" t="s">
        <v>3074</v>
      </c>
      <c r="D3024" s="2" t="s">
        <v>99</v>
      </c>
      <c r="E3024" s="2" t="s">
        <v>1443</v>
      </c>
      <c r="F3024" s="11" t="s">
        <v>4606</v>
      </c>
      <c r="G3024" s="46" t="s">
        <v>4607</v>
      </c>
      <c r="H3024" s="2" t="s">
        <v>1866</v>
      </c>
      <c r="I3024" s="12" t="s">
        <v>4477</v>
      </c>
      <c r="J3024" s="41">
        <f>+Tabla1[[#This Row],[FECHA ENTRADA]]</f>
        <v>45817</v>
      </c>
      <c r="K3024" s="41">
        <v>45869</v>
      </c>
      <c r="L3024" s="42">
        <f>_xlfn.DAYS(Tabla1[[#This Row],[FECHA FIN ]],Tabla1[[#This Row],[FECHA INICIO]])</f>
        <v>52</v>
      </c>
      <c r="M3024" s="12"/>
      <c r="N3024" s="12"/>
      <c r="O3024" s="28">
        <f>(Tabla1[[#This Row],[COSTO FIJO ]]/30)*Tabla1[[#This Row],[TOTAL DIAS PROYECTO]]+(Tabla1[[#This Row],[COSTO TEMPORAL]])</f>
        <v>0</v>
      </c>
      <c r="P3024" s="12"/>
      <c r="Q3024" s="12">
        <f>+(Tabla1[[#This Row],[COSTO COCHE]]/30)*Tabla1[[#This Row],[TOTAL DIAS PROYECTO]]</f>
        <v>0</v>
      </c>
      <c r="R3024" s="12">
        <f>+Tabla1[[#This Row],[COSTO TOTAL ALOJAMIENTO]]+Tabla1[[#This Row],[COSTO TOTAL COCHE]]</f>
        <v>0</v>
      </c>
      <c r="S3024" s="2"/>
      <c r="T3024" s="14" t="s">
        <v>44</v>
      </c>
      <c r="U3024" s="14">
        <v>45817</v>
      </c>
      <c r="V3024" s="43">
        <v>45869</v>
      </c>
      <c r="W3024" s="12"/>
      <c r="X3024" s="2"/>
      <c r="Y3024" s="11"/>
      <c r="Z3024" s="2" t="s">
        <v>36</v>
      </c>
      <c r="AA3024" s="13" t="s">
        <v>10420</v>
      </c>
      <c r="AB3024" s="13">
        <v>3907741</v>
      </c>
    </row>
    <row r="3025" spans="1:28" ht="15" customHeight="1">
      <c r="A3025" s="2" t="s">
        <v>9224</v>
      </c>
      <c r="B3025" s="2" t="s">
        <v>978</v>
      </c>
      <c r="C3025" s="11" t="s">
        <v>2497</v>
      </c>
      <c r="D3025" s="2" t="s">
        <v>99</v>
      </c>
      <c r="E3025" s="2" t="s">
        <v>1443</v>
      </c>
      <c r="F3025" s="11" t="s">
        <v>4606</v>
      </c>
      <c r="G3025" s="46" t="s">
        <v>4607</v>
      </c>
      <c r="H3025" s="2" t="s">
        <v>2007</v>
      </c>
      <c r="I3025" s="12" t="s">
        <v>4477</v>
      </c>
      <c r="J3025" s="41">
        <f>+Tabla1[[#This Row],[FECHA ENTRADA]]</f>
        <v>45817</v>
      </c>
      <c r="K3025" s="41">
        <v>45869</v>
      </c>
      <c r="L3025" s="42">
        <f>_xlfn.DAYS(Tabla1[[#This Row],[FECHA FIN ]],Tabla1[[#This Row],[FECHA INICIO]])</f>
        <v>52</v>
      </c>
      <c r="M3025" s="12"/>
      <c r="N3025" s="12"/>
      <c r="O3025" s="28">
        <f>(Tabla1[[#This Row],[COSTO FIJO ]]/30)*Tabla1[[#This Row],[TOTAL DIAS PROYECTO]]+(Tabla1[[#This Row],[COSTO TEMPORAL]])</f>
        <v>0</v>
      </c>
      <c r="P3025" s="12"/>
      <c r="Q3025" s="12">
        <f>+(Tabla1[[#This Row],[COSTO COCHE]]/30)*Tabla1[[#This Row],[TOTAL DIAS PROYECTO]]</f>
        <v>0</v>
      </c>
      <c r="R3025" s="12">
        <f>+Tabla1[[#This Row],[COSTO TOTAL ALOJAMIENTO]]+Tabla1[[#This Row],[COSTO TOTAL COCHE]]</f>
        <v>0</v>
      </c>
      <c r="S3025" s="2"/>
      <c r="T3025" s="14" t="s">
        <v>44</v>
      </c>
      <c r="U3025" s="14">
        <v>45817</v>
      </c>
      <c r="V3025" s="43">
        <v>45869</v>
      </c>
      <c r="W3025" s="12"/>
      <c r="X3025" s="2"/>
      <c r="Y3025" s="11"/>
      <c r="Z3025" s="2" t="s">
        <v>36</v>
      </c>
      <c r="AA3025" s="13" t="s">
        <v>10420</v>
      </c>
      <c r="AB3025" s="13">
        <v>3907741</v>
      </c>
    </row>
    <row r="3026" spans="1:28" ht="15" customHeight="1">
      <c r="A3026" s="2" t="s">
        <v>9250</v>
      </c>
      <c r="B3026" s="2" t="s">
        <v>978</v>
      </c>
      <c r="C3026" s="11" t="s">
        <v>2595</v>
      </c>
      <c r="D3026" s="2" t="s">
        <v>99</v>
      </c>
      <c r="E3026" s="2" t="s">
        <v>1443</v>
      </c>
      <c r="F3026" s="11" t="s">
        <v>4606</v>
      </c>
      <c r="G3026" s="46" t="s">
        <v>4607</v>
      </c>
      <c r="H3026" s="2" t="s">
        <v>4608</v>
      </c>
      <c r="I3026" s="12" t="s">
        <v>4477</v>
      </c>
      <c r="J3026" s="41">
        <f>+Tabla1[[#This Row],[FECHA ENTRADA]]</f>
        <v>45839</v>
      </c>
      <c r="K3026" s="41">
        <v>45869</v>
      </c>
      <c r="L3026" s="42">
        <f>_xlfn.DAYS(Tabla1[[#This Row],[FECHA FIN ]],Tabla1[[#This Row],[FECHA INICIO]])</f>
        <v>30</v>
      </c>
      <c r="M3026" s="12"/>
      <c r="N3026" s="12"/>
      <c r="O3026" s="28">
        <f>(Tabla1[[#This Row],[COSTO FIJO ]]/30)*Tabla1[[#This Row],[TOTAL DIAS PROYECTO]]+(Tabla1[[#This Row],[COSTO TEMPORAL]])</f>
        <v>0</v>
      </c>
      <c r="P3026" s="12"/>
      <c r="Q3026" s="12">
        <f>+(Tabla1[[#This Row],[COSTO COCHE]]/30)*Tabla1[[#This Row],[TOTAL DIAS PROYECTO]]</f>
        <v>0</v>
      </c>
      <c r="R3026" s="12">
        <f>+Tabla1[[#This Row],[COSTO TOTAL ALOJAMIENTO]]+Tabla1[[#This Row],[COSTO TOTAL COCHE]]</f>
        <v>0</v>
      </c>
      <c r="S3026" s="2"/>
      <c r="T3026" s="14" t="s">
        <v>44</v>
      </c>
      <c r="U3026" s="14">
        <v>45839</v>
      </c>
      <c r="V3026" s="43">
        <v>45869</v>
      </c>
      <c r="W3026" s="12"/>
      <c r="X3026" s="2"/>
      <c r="Y3026" s="11"/>
      <c r="Z3026" s="2" t="s">
        <v>36</v>
      </c>
      <c r="AA3026" s="13" t="s">
        <v>10420</v>
      </c>
      <c r="AB3026" s="13">
        <v>3907741</v>
      </c>
    </row>
    <row r="3027" spans="1:28" ht="15" customHeight="1">
      <c r="A3027" s="2" t="s">
        <v>9023</v>
      </c>
      <c r="B3027" s="2" t="s">
        <v>978</v>
      </c>
      <c r="C3027" s="11" t="s">
        <v>1718</v>
      </c>
      <c r="D3027" s="2" t="s">
        <v>99</v>
      </c>
      <c r="E3027" s="2" t="s">
        <v>1443</v>
      </c>
      <c r="F3027" s="11" t="s">
        <v>4606</v>
      </c>
      <c r="G3027" s="46" t="s">
        <v>4607</v>
      </c>
      <c r="H3027" s="2" t="s">
        <v>4608</v>
      </c>
      <c r="I3027" s="12" t="s">
        <v>4477</v>
      </c>
      <c r="J3027" s="41">
        <f>+Tabla1[[#This Row],[FECHA ENTRADA]]</f>
        <v>45839</v>
      </c>
      <c r="K3027" s="41">
        <v>45869</v>
      </c>
      <c r="L3027" s="42">
        <f>_xlfn.DAYS(Tabla1[[#This Row],[FECHA FIN ]],Tabla1[[#This Row],[FECHA INICIO]])</f>
        <v>30</v>
      </c>
      <c r="M3027" s="12"/>
      <c r="N3027" s="12"/>
      <c r="O3027" s="28">
        <f>(Tabla1[[#This Row],[COSTO FIJO ]]/30)*Tabla1[[#This Row],[TOTAL DIAS PROYECTO]]+(Tabla1[[#This Row],[COSTO TEMPORAL]])</f>
        <v>0</v>
      </c>
      <c r="P3027" s="12"/>
      <c r="Q3027" s="12">
        <f>+(Tabla1[[#This Row],[COSTO COCHE]]/30)*Tabla1[[#This Row],[TOTAL DIAS PROYECTO]]</f>
        <v>0</v>
      </c>
      <c r="R3027" s="12">
        <f>+Tabla1[[#This Row],[COSTO TOTAL ALOJAMIENTO]]+Tabla1[[#This Row],[COSTO TOTAL COCHE]]</f>
        <v>0</v>
      </c>
      <c r="S3027" s="2"/>
      <c r="T3027" s="14" t="s">
        <v>44</v>
      </c>
      <c r="U3027" s="14">
        <v>45839</v>
      </c>
      <c r="V3027" s="43">
        <v>45869</v>
      </c>
      <c r="W3027" s="12"/>
      <c r="X3027" s="2"/>
      <c r="Y3027" s="11"/>
      <c r="Z3027" s="2" t="s">
        <v>36</v>
      </c>
      <c r="AA3027" s="13" t="s">
        <v>10420</v>
      </c>
      <c r="AB3027" s="13">
        <v>3907741</v>
      </c>
    </row>
    <row r="3028" spans="1:28" ht="15" customHeight="1">
      <c r="A3028" s="2" t="s">
        <v>8929</v>
      </c>
      <c r="B3028" s="2" t="s">
        <v>978</v>
      </c>
      <c r="C3028" s="11" t="s">
        <v>1323</v>
      </c>
      <c r="D3028" s="2" t="s">
        <v>99</v>
      </c>
      <c r="E3028" s="2" t="s">
        <v>1443</v>
      </c>
      <c r="F3028" s="11" t="s">
        <v>4606</v>
      </c>
      <c r="G3028" s="46" t="s">
        <v>4607</v>
      </c>
      <c r="H3028" s="2" t="s">
        <v>4188</v>
      </c>
      <c r="I3028" s="12" t="s">
        <v>4477</v>
      </c>
      <c r="J3028" s="41">
        <f>+Tabla1[[#This Row],[FECHA ENTRADA]]</f>
        <v>45839</v>
      </c>
      <c r="K3028" s="41">
        <v>45869</v>
      </c>
      <c r="L3028" s="42">
        <f>_xlfn.DAYS(Tabla1[[#This Row],[FECHA FIN ]],Tabla1[[#This Row],[FECHA INICIO]])</f>
        <v>30</v>
      </c>
      <c r="M3028" s="12"/>
      <c r="N3028" s="12"/>
      <c r="O3028" s="28">
        <f>(Tabla1[[#This Row],[COSTO FIJO ]]/30)*Tabla1[[#This Row],[TOTAL DIAS PROYECTO]]+(Tabla1[[#This Row],[COSTO TEMPORAL]])</f>
        <v>0</v>
      </c>
      <c r="P3028" s="12"/>
      <c r="Q3028" s="12">
        <f>+(Tabla1[[#This Row],[COSTO COCHE]]/30)*Tabla1[[#This Row],[TOTAL DIAS PROYECTO]]</f>
        <v>0</v>
      </c>
      <c r="R3028" s="12">
        <f>+Tabla1[[#This Row],[COSTO TOTAL ALOJAMIENTO]]+Tabla1[[#This Row],[COSTO TOTAL COCHE]]</f>
        <v>0</v>
      </c>
      <c r="S3028" s="2"/>
      <c r="T3028" s="14" t="s">
        <v>44</v>
      </c>
      <c r="U3028" s="14">
        <v>45839</v>
      </c>
      <c r="V3028" s="43">
        <v>45869</v>
      </c>
      <c r="W3028" s="12"/>
      <c r="X3028" s="2"/>
      <c r="Y3028" s="11"/>
      <c r="Z3028" s="2" t="s">
        <v>36</v>
      </c>
      <c r="AA3028" s="13" t="s">
        <v>10420</v>
      </c>
      <c r="AB3028" s="13">
        <v>3907741</v>
      </c>
    </row>
    <row r="3029" spans="1:28" ht="15" customHeight="1">
      <c r="A3029" s="2" t="s">
        <v>8708</v>
      </c>
      <c r="B3029" s="2" t="s">
        <v>978</v>
      </c>
      <c r="C3029" s="11" t="s">
        <v>388</v>
      </c>
      <c r="D3029" s="2" t="s">
        <v>99</v>
      </c>
      <c r="E3029" s="2" t="s">
        <v>1443</v>
      </c>
      <c r="F3029" s="11" t="s">
        <v>4606</v>
      </c>
      <c r="G3029" s="46" t="s">
        <v>4607</v>
      </c>
      <c r="H3029" s="2" t="s">
        <v>4188</v>
      </c>
      <c r="I3029" s="12" t="s">
        <v>4477</v>
      </c>
      <c r="J3029" s="41">
        <f>+Tabla1[[#This Row],[FECHA ENTRADA]]</f>
        <v>45839</v>
      </c>
      <c r="K3029" s="41">
        <v>45869</v>
      </c>
      <c r="L3029" s="42">
        <f>_xlfn.DAYS(Tabla1[[#This Row],[FECHA FIN ]],Tabla1[[#This Row],[FECHA INICIO]])</f>
        <v>30</v>
      </c>
      <c r="M3029" s="12"/>
      <c r="N3029" s="12"/>
      <c r="O3029" s="28">
        <f>(Tabla1[[#This Row],[COSTO FIJO ]]/30)*Tabla1[[#This Row],[TOTAL DIAS PROYECTO]]+(Tabla1[[#This Row],[COSTO TEMPORAL]])</f>
        <v>0</v>
      </c>
      <c r="P3029" s="12"/>
      <c r="Q3029" s="12">
        <f>+(Tabla1[[#This Row],[COSTO COCHE]]/30)*Tabla1[[#This Row],[TOTAL DIAS PROYECTO]]</f>
        <v>0</v>
      </c>
      <c r="R3029" s="12">
        <f>+Tabla1[[#This Row],[COSTO TOTAL ALOJAMIENTO]]+Tabla1[[#This Row],[COSTO TOTAL COCHE]]</f>
        <v>0</v>
      </c>
      <c r="S3029" s="2"/>
      <c r="T3029" s="14" t="s">
        <v>44</v>
      </c>
      <c r="U3029" s="14">
        <v>45839</v>
      </c>
      <c r="V3029" s="43">
        <v>45869</v>
      </c>
      <c r="W3029" s="12"/>
      <c r="X3029" s="2"/>
      <c r="Y3029" s="11"/>
      <c r="Z3029" s="2" t="s">
        <v>36</v>
      </c>
      <c r="AA3029" s="13" t="s">
        <v>10420</v>
      </c>
      <c r="AB3029" s="13">
        <v>3907741</v>
      </c>
    </row>
    <row r="3030" spans="1:28" ht="15" customHeight="1">
      <c r="A3030" s="2" t="s">
        <v>9663</v>
      </c>
      <c r="B3030" s="2" t="s">
        <v>711</v>
      </c>
      <c r="C3030" s="11" t="s">
        <v>4110</v>
      </c>
      <c r="D3030" s="2" t="s">
        <v>78</v>
      </c>
      <c r="E3030" s="2" t="s">
        <v>4055</v>
      </c>
      <c r="F3030" s="11" t="s">
        <v>4514</v>
      </c>
      <c r="G3030" s="46" t="s">
        <v>4515</v>
      </c>
      <c r="H3030" s="2" t="s">
        <v>4428</v>
      </c>
      <c r="I3030" s="12" t="s">
        <v>800</v>
      </c>
      <c r="J3030" s="22">
        <f>+Tabla1[[#This Row],[FECHA ENTRADA]]</f>
        <v>45853</v>
      </c>
      <c r="K3030" s="22">
        <v>45869</v>
      </c>
      <c r="L3030" s="23">
        <f>_xlfn.DAYS(Tabla1[[#This Row],[FECHA FIN ]],Tabla1[[#This Row],[FECHA INICIO]])</f>
        <v>16</v>
      </c>
      <c r="M3030" s="12"/>
      <c r="N3030" s="12">
        <f>1178.3/4</f>
        <v>294.57499999999999</v>
      </c>
      <c r="O3030" s="24">
        <f>(Tabla1[[#This Row],[COSTO FIJO ]]/30)*Tabla1[[#This Row],[TOTAL DIAS PROYECTO]]+(Tabla1[[#This Row],[COSTO TEMPORAL]])</f>
        <v>157.10666666666665</v>
      </c>
      <c r="P3030" s="12"/>
      <c r="Q3030" s="12">
        <f>+(Tabla1[[#This Row],[COSTO COCHE]]/30)*Tabla1[[#This Row],[TOTAL DIAS PROYECTO]]</f>
        <v>0</v>
      </c>
      <c r="R3030" s="12">
        <f>+Tabla1[[#This Row],[COSTO TOTAL ALOJAMIENTO]]+Tabla1[[#This Row],[COSTO TOTAL COCHE]]</f>
        <v>157.10666666666665</v>
      </c>
      <c r="S3030" s="2"/>
      <c r="T3030" s="14" t="s">
        <v>44</v>
      </c>
      <c r="U3030" s="43">
        <v>45853</v>
      </c>
      <c r="V3030" s="25">
        <v>45870</v>
      </c>
      <c r="W3030" s="12"/>
      <c r="X3030" s="2"/>
      <c r="Y3030" s="11" t="s">
        <v>4609</v>
      </c>
      <c r="Z3030" s="2" t="s">
        <v>36</v>
      </c>
      <c r="AA3030" s="13" t="e">
        <v>#N/A</v>
      </c>
      <c r="AB3030" s="13" t="e">
        <v>#N/A</v>
      </c>
    </row>
    <row r="3031" spans="1:28" ht="15" customHeight="1">
      <c r="A3031" s="2" t="s">
        <v>9328</v>
      </c>
      <c r="B3031" s="2" t="s">
        <v>978</v>
      </c>
      <c r="C3031" s="11" t="s">
        <v>2837</v>
      </c>
      <c r="D3031" s="2" t="s">
        <v>99</v>
      </c>
      <c r="E3031" s="2" t="s">
        <v>1443</v>
      </c>
      <c r="F3031" s="11" t="s">
        <v>4610</v>
      </c>
      <c r="G3031" s="49" t="s">
        <v>4611</v>
      </c>
      <c r="H3031" s="2" t="s">
        <v>4612</v>
      </c>
      <c r="I3031" s="12" t="s">
        <v>4477</v>
      </c>
      <c r="J3031" s="22">
        <f>+Tabla1[[#This Row],[FECHA ENTRADA]]</f>
        <v>45867</v>
      </c>
      <c r="K3031" s="8">
        <v>45869</v>
      </c>
      <c r="L3031" s="23">
        <f>_xlfn.DAYS(Tabla1[[#This Row],[FECHA FIN ]],Tabla1[[#This Row],[FECHA INICIO]])</f>
        <v>2</v>
      </c>
      <c r="M3031" s="12"/>
      <c r="N3031" s="12">
        <v>82.5</v>
      </c>
      <c r="O3031" s="24">
        <f>(Tabla1[[#This Row],[COSTO FIJO ]]/30)*Tabla1[[#This Row],[TOTAL DIAS PROYECTO]]+(Tabla1[[#This Row],[COSTO TEMPORAL]])</f>
        <v>5.5</v>
      </c>
      <c r="P3031" s="12"/>
      <c r="Q3031" s="12">
        <f>+(Tabla1[[#This Row],[COSTO COCHE]]/30)*Tabla1[[#This Row],[TOTAL DIAS PROYECTO]]</f>
        <v>0</v>
      </c>
      <c r="R3031" s="12">
        <f>+Tabla1[[#This Row],[COSTO TOTAL ALOJAMIENTO]]+Tabla1[[#This Row],[COSTO TOTAL COCHE]]</f>
        <v>5.5</v>
      </c>
      <c r="S3031" s="2" t="s">
        <v>403</v>
      </c>
      <c r="T3031" s="14" t="s">
        <v>44</v>
      </c>
      <c r="U3031" s="14">
        <v>45867</v>
      </c>
      <c r="V3031" s="25">
        <v>45870</v>
      </c>
      <c r="W3031" s="12"/>
      <c r="X3031" s="2"/>
      <c r="Y3031" s="11"/>
      <c r="Z3031" s="2" t="s">
        <v>36</v>
      </c>
      <c r="AA3031" s="13" t="s">
        <v>10420</v>
      </c>
      <c r="AB3031" s="13">
        <v>3907741</v>
      </c>
    </row>
    <row r="3032" spans="1:28" ht="15" customHeight="1">
      <c r="A3032" s="2" t="s">
        <v>9756</v>
      </c>
      <c r="B3032" s="2" t="s">
        <v>978</v>
      </c>
      <c r="C3032" s="11" t="s">
        <v>4574</v>
      </c>
      <c r="D3032" s="2" t="s">
        <v>99</v>
      </c>
      <c r="E3032" s="2" t="s">
        <v>1443</v>
      </c>
      <c r="F3032" s="11" t="s">
        <v>4610</v>
      </c>
      <c r="G3032" s="49" t="s">
        <v>4611</v>
      </c>
      <c r="H3032" s="2" t="s">
        <v>4612</v>
      </c>
      <c r="I3032" s="12" t="s">
        <v>4477</v>
      </c>
      <c r="J3032" s="22">
        <f>+Tabla1[[#This Row],[FECHA ENTRADA]]</f>
        <v>45867</v>
      </c>
      <c r="K3032" s="8">
        <v>45869</v>
      </c>
      <c r="L3032" s="23">
        <f>_xlfn.DAYS(Tabla1[[#This Row],[FECHA FIN ]],Tabla1[[#This Row],[FECHA INICIO]])</f>
        <v>2</v>
      </c>
      <c r="M3032" s="12"/>
      <c r="N3032" s="12">
        <v>82.5</v>
      </c>
      <c r="O3032" s="24">
        <f>(Tabla1[[#This Row],[COSTO FIJO ]]/30)*Tabla1[[#This Row],[TOTAL DIAS PROYECTO]]+(Tabla1[[#This Row],[COSTO TEMPORAL]])</f>
        <v>5.5</v>
      </c>
      <c r="P3032" s="12"/>
      <c r="Q3032" s="12">
        <f>+(Tabla1[[#This Row],[COSTO COCHE]]/30)*Tabla1[[#This Row],[TOTAL DIAS PROYECTO]]</f>
        <v>0</v>
      </c>
      <c r="R3032" s="12">
        <f>+Tabla1[[#This Row],[COSTO TOTAL ALOJAMIENTO]]+Tabla1[[#This Row],[COSTO TOTAL COCHE]]</f>
        <v>5.5</v>
      </c>
      <c r="S3032" s="2" t="s">
        <v>403</v>
      </c>
      <c r="T3032" s="14" t="s">
        <v>44</v>
      </c>
      <c r="U3032" s="14">
        <v>45867</v>
      </c>
      <c r="V3032" s="25">
        <v>45870</v>
      </c>
      <c r="W3032" s="12"/>
      <c r="X3032" s="2"/>
      <c r="Y3032" s="11"/>
      <c r="Z3032" s="2" t="s">
        <v>36</v>
      </c>
      <c r="AA3032" s="13" t="s">
        <v>10420</v>
      </c>
      <c r="AB3032" s="13">
        <v>3907741</v>
      </c>
    </row>
    <row r="3033" spans="1:28" ht="15" customHeight="1">
      <c r="A3033" s="2" t="s">
        <v>9555</v>
      </c>
      <c r="B3033" s="2" t="s">
        <v>368</v>
      </c>
      <c r="C3033" s="11" t="s">
        <v>3604</v>
      </c>
      <c r="D3033" s="2" t="s">
        <v>99</v>
      </c>
      <c r="E3033" s="2" t="s">
        <v>422</v>
      </c>
      <c r="F3033" s="11" t="s">
        <v>1983</v>
      </c>
      <c r="G3033" s="11" t="s">
        <v>2067</v>
      </c>
      <c r="H3033" s="2" t="s">
        <v>4499</v>
      </c>
      <c r="I3033" s="12" t="s">
        <v>1435</v>
      </c>
      <c r="J3033" s="22">
        <f>+Tabla1[[#This Row],[FECHA ENTRADA]]</f>
        <v>45812</v>
      </c>
      <c r="K3033" s="22">
        <v>45821</v>
      </c>
      <c r="L3033" s="23">
        <f>_xlfn.DAYS(Tabla1[[#This Row],[FECHA FIN ]],Tabla1[[#This Row],[FECHA INICIO]])</f>
        <v>9</v>
      </c>
      <c r="M3033" s="12"/>
      <c r="N3033" s="20"/>
      <c r="O3033" s="24">
        <f>(Tabla1[[#This Row],[COSTO FIJO ]]/30)*Tabla1[[#This Row],[TOTAL DIAS PROYECTO]]+(Tabla1[[#This Row],[COSTO TEMPORAL]])</f>
        <v>0</v>
      </c>
      <c r="P3033" s="12"/>
      <c r="Q3033" s="12">
        <f>+(Tabla1[[#This Row],[COSTO COCHE]]/30)*Tabla1[[#This Row],[TOTAL DIAS PROYECTO]]</f>
        <v>0</v>
      </c>
      <c r="R3033" s="12">
        <f>+Tabla1[[#This Row],[COSTO TOTAL ALOJAMIENTO]]+Tabla1[[#This Row],[COSTO TOTAL COCHE]]</f>
        <v>0</v>
      </c>
      <c r="S3033" s="2"/>
      <c r="T3033" s="14" t="s">
        <v>44</v>
      </c>
      <c r="U3033" s="22">
        <v>45812</v>
      </c>
      <c r="V3033" s="79">
        <v>45818</v>
      </c>
      <c r="W3033" s="2"/>
      <c r="X3033" s="2"/>
      <c r="Y3033" s="11"/>
      <c r="Z3033" s="2" t="s">
        <v>36</v>
      </c>
      <c r="AA3033" s="13">
        <v>-326.69799999999998</v>
      </c>
      <c r="AB3033" s="13" t="s">
        <v>10373</v>
      </c>
    </row>
    <row r="3034" spans="1:28" ht="15" customHeight="1">
      <c r="A3034" s="2" t="s">
        <v>8642</v>
      </c>
      <c r="B3034" s="2" t="s">
        <v>28</v>
      </c>
      <c r="C3034" s="11" t="s">
        <v>4613</v>
      </c>
      <c r="D3034" s="2" t="s">
        <v>30</v>
      </c>
      <c r="E3034" s="2" t="s">
        <v>31</v>
      </c>
      <c r="F3034" s="11" t="s">
        <v>4614</v>
      </c>
      <c r="G3034" s="21" t="s">
        <v>4615</v>
      </c>
      <c r="H3034" s="2" t="s">
        <v>4616</v>
      </c>
      <c r="I3034" s="12" t="s">
        <v>385</v>
      </c>
      <c r="J3034" s="22">
        <f>+Tabla1[[#This Row],[FECHA ENTRADA]]</f>
        <v>45860</v>
      </c>
      <c r="K3034" s="22">
        <v>45869</v>
      </c>
      <c r="L3034" s="23">
        <f>_xlfn.DAYS(Tabla1[[#This Row],[FECHA FIN ]],Tabla1[[#This Row],[FECHA INICIO]])</f>
        <v>9</v>
      </c>
      <c r="M3034" s="12"/>
      <c r="N3034" s="12"/>
      <c r="O3034" s="24">
        <f>(Tabla1[[#This Row],[COSTO FIJO ]]/30)*Tabla1[[#This Row],[TOTAL DIAS PROYECTO]]+(Tabla1[[#This Row],[COSTO TEMPORAL]])</f>
        <v>0</v>
      </c>
      <c r="P3034" s="12"/>
      <c r="Q3034" s="12">
        <f>+(Tabla1[[#This Row],[COSTO COCHE]]/30)*Tabla1[[#This Row],[TOTAL DIAS PROYECTO]]</f>
        <v>0</v>
      </c>
      <c r="R3034" s="12">
        <f>+Tabla1[[#This Row],[COSTO TOTAL ALOJAMIENTO]]+Tabla1[[#This Row],[COSTO TOTAL COCHE]]</f>
        <v>0</v>
      </c>
      <c r="S3034" s="2"/>
      <c r="T3034" s="14" t="s">
        <v>44</v>
      </c>
      <c r="U3034" s="14">
        <v>45860</v>
      </c>
      <c r="V3034" s="79">
        <v>45875</v>
      </c>
      <c r="W3034" s="12"/>
      <c r="X3034" s="2"/>
      <c r="Y3034" s="11"/>
      <c r="Z3034" s="2" t="s">
        <v>36</v>
      </c>
      <c r="AA3034" s="13" t="s">
        <v>10323</v>
      </c>
      <c r="AB3034" s="13" t="s">
        <v>10324</v>
      </c>
    </row>
    <row r="3035" spans="1:28" ht="15" customHeight="1">
      <c r="A3035" s="2" t="s">
        <v>9241</v>
      </c>
      <c r="B3035" s="2" t="s">
        <v>711</v>
      </c>
      <c r="C3035" s="212" t="s">
        <v>2559</v>
      </c>
      <c r="D3035" s="2" t="s">
        <v>30</v>
      </c>
      <c r="E3035" s="2" t="s">
        <v>422</v>
      </c>
      <c r="F3035" s="11" t="s">
        <v>4617</v>
      </c>
      <c r="G3035" s="68" t="s">
        <v>4618</v>
      </c>
      <c r="H3035" s="2" t="s">
        <v>2442</v>
      </c>
      <c r="I3035" s="91" t="s">
        <v>2443</v>
      </c>
      <c r="J3035" s="41">
        <f>+Tabla1[[#This Row],[FECHA ENTRADA]]</f>
        <v>45815</v>
      </c>
      <c r="K3035" s="22">
        <v>46081</v>
      </c>
      <c r="L3035" s="42">
        <f>_xlfn.DAYS(Tabla1[[#This Row],[FECHA FIN ]],Tabla1[[#This Row],[FECHA INICIO]])</f>
        <v>266</v>
      </c>
      <c r="M3035" s="12"/>
      <c r="N3035" s="12">
        <v>396</v>
      </c>
      <c r="O3035" s="28">
        <f>(Tabla1[[#This Row],[COSTO FIJO ]]/30)*Tabla1[[#This Row],[TOTAL DIAS PROYECTO]]+(Tabla1[[#This Row],[COSTO TEMPORAL]])</f>
        <v>3511.2</v>
      </c>
      <c r="P3035" s="12"/>
      <c r="Q3035" s="12">
        <f>+(Tabla1[[#This Row],[COSTO COCHE]]/30)*Tabla1[[#This Row],[TOTAL DIAS PROYECTO]]</f>
        <v>0</v>
      </c>
      <c r="R3035" s="12">
        <f>+Tabla1[[#This Row],[COSTO TOTAL ALOJAMIENTO]]+Tabla1[[#This Row],[COSTO TOTAL COCHE]]</f>
        <v>3511.2</v>
      </c>
      <c r="S3035" s="2"/>
      <c r="T3035" s="14" t="s">
        <v>35</v>
      </c>
      <c r="U3035" s="14">
        <v>45815</v>
      </c>
      <c r="V3035" s="75"/>
      <c r="W3035" s="2"/>
      <c r="X3035" s="2">
        <v>5</v>
      </c>
      <c r="Y3035" s="11" t="s">
        <v>4619</v>
      </c>
      <c r="Z3035" s="2" t="s">
        <v>36</v>
      </c>
      <c r="AA3035" s="13">
        <v>-326.69799999999998</v>
      </c>
      <c r="AB3035" s="13" t="s">
        <v>10373</v>
      </c>
    </row>
    <row r="3036" spans="1:28" ht="15" customHeight="1">
      <c r="A3036" s="2" t="s">
        <v>9132</v>
      </c>
      <c r="B3036" s="2" t="s">
        <v>606</v>
      </c>
      <c r="C3036" s="11" t="s">
        <v>2138</v>
      </c>
      <c r="D3036" s="2" t="s">
        <v>99</v>
      </c>
      <c r="E3036" s="2" t="s">
        <v>31</v>
      </c>
      <c r="F3036" s="11" t="s">
        <v>530</v>
      </c>
      <c r="G3036" s="197" t="s">
        <v>531</v>
      </c>
      <c r="H3036" s="2" t="s">
        <v>3116</v>
      </c>
      <c r="I3036" s="29" t="s">
        <v>1480</v>
      </c>
      <c r="J3036" s="22">
        <f>+Tabla1[[#This Row],[FECHA ENTRADA]]</f>
        <v>45791</v>
      </c>
      <c r="K3036" s="8">
        <v>46190</v>
      </c>
      <c r="L3036" s="13">
        <f>_xlfn.DAYS(Tabla1[[#This Row],[FECHA FIN ]],Tabla1[[#This Row],[FECHA INICIO]])</f>
        <v>399</v>
      </c>
      <c r="M3036" s="12"/>
      <c r="N3036" s="12">
        <v>1815</v>
      </c>
      <c r="O3036" s="12">
        <f>(Tabla1[[#This Row],[COSTO FIJO ]]/30)*Tabla1[[#This Row],[TOTAL DIAS PROYECTO]]+(Tabla1[[#This Row],[COSTO TEMPORAL]])</f>
        <v>24139.5</v>
      </c>
      <c r="P3036" s="12"/>
      <c r="Q3036" s="12">
        <f>+(Tabla1[[#This Row],[COSTO COCHE]]/30)*Tabla1[[#This Row],[TOTAL DIAS PROYECTO]]</f>
        <v>0</v>
      </c>
      <c r="R3036" s="12">
        <f>+Tabla1[[#This Row],[COSTO TOTAL ALOJAMIENTO]]+Tabla1[[#This Row],[COSTO TOTAL COCHE]]</f>
        <v>24139.5</v>
      </c>
      <c r="S3036" s="2"/>
      <c r="T3036" s="2" t="s">
        <v>35</v>
      </c>
      <c r="U3036" s="14">
        <v>45791</v>
      </c>
      <c r="V3036" s="14"/>
      <c r="W3036" s="12"/>
      <c r="X3036" s="16">
        <v>1</v>
      </c>
      <c r="Y3036" s="11" t="s">
        <v>4620</v>
      </c>
      <c r="Z3036" s="2" t="s">
        <v>36</v>
      </c>
      <c r="AA3036" s="13" t="s">
        <v>10323</v>
      </c>
      <c r="AB3036" s="13" t="s">
        <v>10324</v>
      </c>
    </row>
    <row r="3037" spans="1:28">
      <c r="A3037" s="2" t="s">
        <v>9603</v>
      </c>
      <c r="B3037" s="2" t="s">
        <v>28</v>
      </c>
      <c r="C3037" s="11" t="s">
        <v>3830</v>
      </c>
      <c r="D3037" s="2" t="s">
        <v>99</v>
      </c>
      <c r="E3037" s="2" t="s">
        <v>213</v>
      </c>
      <c r="F3037" s="11" t="s">
        <v>1728</v>
      </c>
      <c r="G3037" s="11" t="s">
        <v>1729</v>
      </c>
      <c r="H3037" s="2" t="s">
        <v>4621</v>
      </c>
      <c r="I3037" s="29" t="s">
        <v>560</v>
      </c>
      <c r="J3037" s="41">
        <f>+Tabla1[[#This Row],[FECHA ENTRADA]]</f>
        <v>45810</v>
      </c>
      <c r="K3037" s="22">
        <v>45869</v>
      </c>
      <c r="L3037" s="23">
        <f>_xlfn.DAYS(Tabla1[[#This Row],[FECHA FIN ]],Tabla1[[#This Row],[FECHA INICIO]])</f>
        <v>59</v>
      </c>
      <c r="M3037" s="12"/>
      <c r="N3037" s="12"/>
      <c r="O3037" s="24">
        <f>(Tabla1[[#This Row],[COSTO FIJO ]]/30)*Tabla1[[#This Row],[TOTAL DIAS PROYECTO]]+(Tabla1[[#This Row],[COSTO TEMPORAL]])</f>
        <v>0</v>
      </c>
      <c r="P3037" s="12"/>
      <c r="Q3037" s="12">
        <f>+(Tabla1[[#This Row],[COSTO COCHE]]/30)*Tabla1[[#This Row],[TOTAL DIAS PROYECTO]]</f>
        <v>0</v>
      </c>
      <c r="R3037" s="12">
        <f>+Tabla1[[#This Row],[COSTO TOTAL ALOJAMIENTO]]+Tabla1[[#This Row],[COSTO TOTAL COCHE]]</f>
        <v>0</v>
      </c>
      <c r="S3037" s="2"/>
      <c r="T3037" s="2" t="s">
        <v>35</v>
      </c>
      <c r="U3037" s="14">
        <v>45810</v>
      </c>
      <c r="V3037" s="25"/>
      <c r="W3037" s="26"/>
      <c r="X3037" s="2"/>
      <c r="Y3037" s="11" t="s">
        <v>4622</v>
      </c>
      <c r="Z3037" s="2" t="s">
        <v>36</v>
      </c>
      <c r="AA3037" s="13" t="s">
        <v>10349</v>
      </c>
      <c r="AB3037" s="13" t="s">
        <v>10350</v>
      </c>
    </row>
    <row r="3038" spans="1:28" ht="15" customHeight="1">
      <c r="A3038" s="2" t="s">
        <v>9760</v>
      </c>
      <c r="B3038" s="2" t="s">
        <v>28</v>
      </c>
      <c r="C3038" s="11" t="s">
        <v>4623</v>
      </c>
      <c r="D3038" s="2" t="s">
        <v>30</v>
      </c>
      <c r="E3038" s="2" t="s">
        <v>213</v>
      </c>
      <c r="F3038" s="11" t="s">
        <v>916</v>
      </c>
      <c r="G3038" s="11" t="s">
        <v>4624</v>
      </c>
      <c r="H3038" s="2">
        <v>2023</v>
      </c>
      <c r="I3038" s="2" t="s">
        <v>918</v>
      </c>
      <c r="J3038" s="8">
        <f>+Tabla1[[#This Row],[FECHA ENTRADA]]</f>
        <v>45403</v>
      </c>
      <c r="K3038" s="8">
        <v>45869</v>
      </c>
      <c r="L3038" s="13">
        <f>_xlfn.DAYS(Tabla1[[#This Row],[FECHA FIN ]],Tabla1[[#This Row],[FECHA INICIO]])</f>
        <v>466</v>
      </c>
      <c r="M3038" s="12"/>
      <c r="N3038" s="2"/>
      <c r="O3038" s="12">
        <f>(Tabla1[[#This Row],[COSTO FIJO ]]/30)*Tabla1[[#This Row],[TOTAL DIAS PROYECTO]]+(Tabla1[[#This Row],[COSTO TEMPORAL]])</f>
        <v>0</v>
      </c>
      <c r="P3038" s="12"/>
      <c r="Q3038" s="12">
        <f>+(Tabla1[[#This Row],[COSTO COCHE]]/30)*Tabla1[[#This Row],[TOTAL DIAS PROYECTO]]</f>
        <v>0</v>
      </c>
      <c r="R3038" s="12">
        <f>+Tabla1[[#This Row],[COSTO TOTAL ALOJAMIENTO]]+Tabla1[[#This Row],[COSTO TOTAL COCHE]]</f>
        <v>0</v>
      </c>
      <c r="S3038" s="2"/>
      <c r="T3038" s="2" t="s">
        <v>35</v>
      </c>
      <c r="U3038" s="14">
        <v>45403</v>
      </c>
      <c r="V3038" s="14"/>
      <c r="W3038" s="2"/>
      <c r="X3038" s="2"/>
      <c r="Y3038" s="11" t="s">
        <v>4609</v>
      </c>
      <c r="Z3038" s="2" t="s">
        <v>36</v>
      </c>
      <c r="AA3038" s="13" t="s">
        <v>10349</v>
      </c>
      <c r="AB3038" s="13" t="s">
        <v>10350</v>
      </c>
    </row>
    <row r="3039" spans="1:28" ht="15" customHeight="1">
      <c r="A3039" s="2" t="s">
        <v>9245</v>
      </c>
      <c r="B3039" s="2" t="s">
        <v>28</v>
      </c>
      <c r="C3039" s="11" t="s">
        <v>2569</v>
      </c>
      <c r="D3039" s="2" t="s">
        <v>99</v>
      </c>
      <c r="E3039" s="2" t="s">
        <v>31</v>
      </c>
      <c r="F3039" s="11" t="s">
        <v>32</v>
      </c>
      <c r="G3039" s="11" t="s">
        <v>33</v>
      </c>
      <c r="H3039" s="2" t="s">
        <v>4537</v>
      </c>
      <c r="I3039" s="12" t="s">
        <v>357</v>
      </c>
      <c r="J3039" s="22">
        <f>+Tabla1[[#This Row],[FECHA ENTRADA]]</f>
        <v>45860</v>
      </c>
      <c r="K3039" s="22">
        <v>45870</v>
      </c>
      <c r="L3039" s="23">
        <f>_xlfn.DAYS(Tabla1[[#This Row],[FECHA FIN ]],Tabla1[[#This Row],[FECHA INICIO]])</f>
        <v>10</v>
      </c>
      <c r="M3039" s="12"/>
      <c r="N3039" s="12">
        <f>875.5/4</f>
        <v>218.875</v>
      </c>
      <c r="O3039" s="24">
        <f>(Tabla1[[#This Row],[COSTO FIJO ]]/30)*Tabla1[[#This Row],[TOTAL DIAS PROYECTO]]+(Tabla1[[#This Row],[COSTO TEMPORAL]])</f>
        <v>72.958333333333329</v>
      </c>
      <c r="P3039" s="12"/>
      <c r="Q3039" s="12">
        <f>+(Tabla1[[#This Row],[COSTO COCHE]]/30)*Tabla1[[#This Row],[TOTAL DIAS PROYECTO]]</f>
        <v>0</v>
      </c>
      <c r="R3039" s="12">
        <f>+Tabla1[[#This Row],[COSTO TOTAL ALOJAMIENTO]]+Tabla1[[#This Row],[COSTO TOTAL COCHE]]</f>
        <v>72.958333333333329</v>
      </c>
      <c r="S3039" s="2"/>
      <c r="T3039" s="14" t="s">
        <v>35</v>
      </c>
      <c r="U3039" s="14">
        <v>45860</v>
      </c>
      <c r="V3039" s="79"/>
      <c r="W3039" s="12"/>
      <c r="X3039" s="2">
        <v>1</v>
      </c>
      <c r="Y3039" s="11"/>
      <c r="Z3039" s="2" t="s">
        <v>36</v>
      </c>
      <c r="AA3039" s="13" t="s">
        <v>10323</v>
      </c>
      <c r="AB3039" s="13" t="s">
        <v>10324</v>
      </c>
    </row>
    <row r="3040" spans="1:28" ht="15" customHeight="1">
      <c r="A3040" s="2" t="s">
        <v>8905</v>
      </c>
      <c r="B3040" s="2" t="s">
        <v>368</v>
      </c>
      <c r="C3040" s="11" t="s">
        <v>1221</v>
      </c>
      <c r="D3040" s="2" t="s">
        <v>99</v>
      </c>
      <c r="E3040" s="2" t="s">
        <v>415</v>
      </c>
      <c r="F3040" s="11" t="s">
        <v>3088</v>
      </c>
      <c r="G3040" s="46" t="s">
        <v>1390</v>
      </c>
      <c r="H3040" s="2" t="s">
        <v>3089</v>
      </c>
      <c r="I3040" s="12" t="s">
        <v>2200</v>
      </c>
      <c r="J3040" s="41">
        <f>+Tabla1[[#This Row],[FECHA ENTRADA]]</f>
        <v>45711</v>
      </c>
      <c r="K3040" s="22">
        <v>45870</v>
      </c>
      <c r="L3040" s="42">
        <f>_xlfn.DAYS(Tabla1[[#This Row],[FECHA FIN ]],Tabla1[[#This Row],[FECHA INICIO]])</f>
        <v>159</v>
      </c>
      <c r="M3040" s="12"/>
      <c r="N3040" s="12"/>
      <c r="O3040" s="28">
        <f>(Tabla1[[#This Row],[COSTO FIJO ]]/30)*Tabla1[[#This Row],[TOTAL DIAS PROYECTO]]+(Tabla1[[#This Row],[COSTO TEMPORAL]])</f>
        <v>0</v>
      </c>
      <c r="P3040" s="12">
        <v>80</v>
      </c>
      <c r="Q3040" s="12">
        <f>+(Tabla1[[#This Row],[COSTO COCHE]]/30)*Tabla1[[#This Row],[TOTAL DIAS PROYECTO]]</f>
        <v>424</v>
      </c>
      <c r="R3040" s="12">
        <f>+Tabla1[[#This Row],[COSTO TOTAL ALOJAMIENTO]]+Tabla1[[#This Row],[COSTO TOTAL COCHE]]</f>
        <v>424</v>
      </c>
      <c r="S3040" s="2"/>
      <c r="T3040" s="2" t="s">
        <v>44</v>
      </c>
      <c r="U3040" s="14">
        <v>45711</v>
      </c>
      <c r="V3040" s="43">
        <v>45870</v>
      </c>
      <c r="W3040" s="26"/>
      <c r="X3040" s="2">
        <v>1</v>
      </c>
      <c r="Y3040" t="s">
        <v>4625</v>
      </c>
      <c r="Z3040" s="2" t="s">
        <v>36</v>
      </c>
      <c r="AA3040" s="13">
        <v>-0.37739</v>
      </c>
      <c r="AB3040" s="13" t="s">
        <v>10372</v>
      </c>
    </row>
    <row r="3041" spans="1:28" ht="15" customHeight="1">
      <c r="A3041" s="2" t="s">
        <v>9761</v>
      </c>
      <c r="B3041" s="2" t="s">
        <v>368</v>
      </c>
      <c r="C3041" s="11" t="s">
        <v>4626</v>
      </c>
      <c r="D3041" s="2" t="s">
        <v>99</v>
      </c>
      <c r="E3041" s="2" t="s">
        <v>415</v>
      </c>
      <c r="F3041" s="11" t="s">
        <v>3088</v>
      </c>
      <c r="G3041" s="46" t="s">
        <v>1390</v>
      </c>
      <c r="H3041" s="2" t="s">
        <v>4627</v>
      </c>
      <c r="I3041" s="12" t="s">
        <v>2200</v>
      </c>
      <c r="J3041" s="22">
        <f>+Tabla1[[#This Row],[FECHA ENTRADA]]</f>
        <v>45711</v>
      </c>
      <c r="K3041" s="22">
        <v>45870</v>
      </c>
      <c r="L3041" s="23">
        <f>_xlfn.DAYS(Tabla1[[#This Row],[FECHA FIN ]],Tabla1[[#This Row],[FECHA INICIO]])</f>
        <v>159</v>
      </c>
      <c r="M3041" s="12"/>
      <c r="N3041" s="12"/>
      <c r="O3041" s="24">
        <f>(Tabla1[[#This Row],[COSTO FIJO ]]/30)*Tabla1[[#This Row],[TOTAL DIAS PROYECTO]]+(Tabla1[[#This Row],[COSTO TEMPORAL]])</f>
        <v>0</v>
      </c>
      <c r="P3041" s="12">
        <v>80</v>
      </c>
      <c r="Q3041" s="12">
        <f>+(Tabla1[[#This Row],[COSTO COCHE]]/30)*Tabla1[[#This Row],[TOTAL DIAS PROYECTO]]</f>
        <v>424</v>
      </c>
      <c r="R3041" s="12">
        <f>+Tabla1[[#This Row],[COSTO TOTAL ALOJAMIENTO]]+Tabla1[[#This Row],[COSTO TOTAL COCHE]]</f>
        <v>424</v>
      </c>
      <c r="S3041" s="2"/>
      <c r="T3041" s="2" t="s">
        <v>44</v>
      </c>
      <c r="U3041" s="14">
        <v>45711</v>
      </c>
      <c r="V3041" s="43">
        <v>45870</v>
      </c>
      <c r="W3041" s="26"/>
      <c r="X3041" s="2">
        <v>1</v>
      </c>
      <c r="Y3041" t="s">
        <v>4628</v>
      </c>
      <c r="Z3041" s="2" t="s">
        <v>36</v>
      </c>
      <c r="AA3041" s="13">
        <v>-0.37739</v>
      </c>
      <c r="AB3041" s="13" t="s">
        <v>10372</v>
      </c>
    </row>
    <row r="3042" spans="1:28" ht="15" customHeight="1">
      <c r="A3042" s="2" t="s">
        <v>9762</v>
      </c>
      <c r="B3042" s="2" t="s">
        <v>368</v>
      </c>
      <c r="C3042" s="11" t="s">
        <v>4629</v>
      </c>
      <c r="D3042" s="2" t="s">
        <v>99</v>
      </c>
      <c r="E3042" s="2" t="s">
        <v>415</v>
      </c>
      <c r="F3042" s="11" t="s">
        <v>3088</v>
      </c>
      <c r="G3042" s="46" t="s">
        <v>1390</v>
      </c>
      <c r="H3042" s="2" t="s">
        <v>4627</v>
      </c>
      <c r="I3042" s="12" t="s">
        <v>2200</v>
      </c>
      <c r="J3042" s="22">
        <f>+Tabla1[[#This Row],[FECHA ENTRADA]]</f>
        <v>45711</v>
      </c>
      <c r="K3042" s="22">
        <v>45870</v>
      </c>
      <c r="L3042" s="23">
        <f>_xlfn.DAYS(Tabla1[[#This Row],[FECHA FIN ]],Tabla1[[#This Row],[FECHA INICIO]])</f>
        <v>159</v>
      </c>
      <c r="M3042" s="12"/>
      <c r="N3042" s="12"/>
      <c r="O3042" s="24">
        <f>(Tabla1[[#This Row],[COSTO FIJO ]]/30)*Tabla1[[#This Row],[TOTAL DIAS PROYECTO]]+(Tabla1[[#This Row],[COSTO TEMPORAL]])</f>
        <v>0</v>
      </c>
      <c r="P3042" s="12">
        <v>80</v>
      </c>
      <c r="Q3042" s="12">
        <f>+(Tabla1[[#This Row],[COSTO COCHE]]/30)*Tabla1[[#This Row],[TOTAL DIAS PROYECTO]]</f>
        <v>424</v>
      </c>
      <c r="R3042" s="12">
        <f>+Tabla1[[#This Row],[COSTO TOTAL ALOJAMIENTO]]+Tabla1[[#This Row],[COSTO TOTAL COCHE]]</f>
        <v>424</v>
      </c>
      <c r="S3042" s="2"/>
      <c r="T3042" s="2" t="s">
        <v>44</v>
      </c>
      <c r="U3042" s="14">
        <v>45711</v>
      </c>
      <c r="V3042" s="43">
        <v>45870</v>
      </c>
      <c r="W3042" s="26"/>
      <c r="X3042" s="2">
        <v>1</v>
      </c>
      <c r="Y3042" t="s">
        <v>4625</v>
      </c>
      <c r="Z3042" s="2" t="s">
        <v>36</v>
      </c>
      <c r="AA3042" s="13">
        <v>-0.37739</v>
      </c>
      <c r="AB3042" s="13" t="s">
        <v>10372</v>
      </c>
    </row>
    <row r="3043" spans="1:28" ht="15" customHeight="1">
      <c r="A3043" s="2" t="s">
        <v>9763</v>
      </c>
      <c r="B3043" s="2" t="s">
        <v>368</v>
      </c>
      <c r="C3043" s="11" t="s">
        <v>4630</v>
      </c>
      <c r="D3043" s="2" t="s">
        <v>30</v>
      </c>
      <c r="E3043" s="2" t="s">
        <v>415</v>
      </c>
      <c r="F3043" s="11" t="s">
        <v>3088</v>
      </c>
      <c r="G3043" s="46" t="s">
        <v>1390</v>
      </c>
      <c r="H3043" s="2" t="s">
        <v>2203</v>
      </c>
      <c r="I3043" s="12" t="s">
        <v>2200</v>
      </c>
      <c r="J3043" s="41">
        <f>+Tabla1[[#This Row],[FECHA ENTRADA]]</f>
        <v>45727</v>
      </c>
      <c r="K3043" s="22">
        <v>45870</v>
      </c>
      <c r="L3043" s="42">
        <f>_xlfn.DAYS(Tabla1[[#This Row],[FECHA FIN ]],Tabla1[[#This Row],[FECHA INICIO]])</f>
        <v>143</v>
      </c>
      <c r="M3043" s="12"/>
      <c r="N3043" s="12"/>
      <c r="O3043" s="28">
        <f>(Tabla1[[#This Row],[COSTO FIJO ]]/30)*Tabla1[[#This Row],[TOTAL DIAS PROYECTO]]+(Tabla1[[#This Row],[COSTO TEMPORAL]])</f>
        <v>0</v>
      </c>
      <c r="P3043" s="12">
        <v>80</v>
      </c>
      <c r="Q3043" s="12">
        <f>+(Tabla1[[#This Row],[COSTO COCHE]]/30)*Tabla1[[#This Row],[TOTAL DIAS PROYECTO]]</f>
        <v>381.33333333333331</v>
      </c>
      <c r="R3043" s="12">
        <f>+Tabla1[[#This Row],[COSTO TOTAL ALOJAMIENTO]]+Tabla1[[#This Row],[COSTO TOTAL COCHE]]</f>
        <v>381.33333333333331</v>
      </c>
      <c r="S3043" s="2"/>
      <c r="T3043" s="2" t="s">
        <v>44</v>
      </c>
      <c r="U3043" s="14">
        <v>45727</v>
      </c>
      <c r="V3043" s="43">
        <v>45870</v>
      </c>
      <c r="W3043" s="26"/>
      <c r="X3043" s="2">
        <v>1</v>
      </c>
      <c r="Y3043" t="s">
        <v>4625</v>
      </c>
      <c r="Z3043" s="2" t="s">
        <v>36</v>
      </c>
      <c r="AA3043" s="13">
        <v>-0.37739</v>
      </c>
      <c r="AB3043" s="13" t="s">
        <v>10372</v>
      </c>
    </row>
    <row r="3044" spans="1:28" ht="15" customHeight="1">
      <c r="A3044" s="2" t="s">
        <v>9694</v>
      </c>
      <c r="B3044" s="2" t="s">
        <v>978</v>
      </c>
      <c r="C3044" s="11" t="s">
        <v>4273</v>
      </c>
      <c r="D3044" s="2" t="s">
        <v>30</v>
      </c>
      <c r="E3044" s="2" t="s">
        <v>415</v>
      </c>
      <c r="F3044" s="11" t="s">
        <v>4631</v>
      </c>
      <c r="G3044" s="46" t="s">
        <v>4632</v>
      </c>
      <c r="H3044" s="2" t="s">
        <v>1363</v>
      </c>
      <c r="I3044" s="12" t="s">
        <v>4276</v>
      </c>
      <c r="J3044" s="41">
        <f>+Tabla1[[#This Row],[FECHA ENTRADA]]</f>
        <v>45846</v>
      </c>
      <c r="K3044" s="41">
        <v>45870</v>
      </c>
      <c r="L3044" s="42">
        <f>_xlfn.DAYS(Tabla1[[#This Row],[FECHA FIN ]],Tabla1[[#This Row],[FECHA INICIO]])</f>
        <v>24</v>
      </c>
      <c r="M3044" s="12"/>
      <c r="N3044" s="12"/>
      <c r="O3044" s="28">
        <f>(Tabla1[[#This Row],[COSTO FIJO ]]/30)*Tabla1[[#This Row],[TOTAL DIAS PROYECTO]]+(Tabla1[[#This Row],[COSTO TEMPORAL]])</f>
        <v>0</v>
      </c>
      <c r="P3044" s="12"/>
      <c r="Q3044" s="12">
        <f>+(Tabla1[[#This Row],[COSTO COCHE]]/30)*Tabla1[[#This Row],[TOTAL DIAS PROYECTO]]</f>
        <v>0</v>
      </c>
      <c r="R3044" s="12">
        <f>+Tabla1[[#This Row],[COSTO TOTAL ALOJAMIENTO]]+Tabla1[[#This Row],[COSTO TOTAL COCHE]]</f>
        <v>0</v>
      </c>
      <c r="S3044" s="2" t="s">
        <v>84</v>
      </c>
      <c r="T3044" s="14" t="s">
        <v>44</v>
      </c>
      <c r="U3044" s="14">
        <v>45846</v>
      </c>
      <c r="V3044" s="43">
        <v>45870</v>
      </c>
      <c r="W3044" s="12"/>
      <c r="X3044" s="2"/>
      <c r="Y3044" s="11"/>
      <c r="Z3044" s="2" t="s">
        <v>36</v>
      </c>
      <c r="AA3044" s="13">
        <v>-0.37739</v>
      </c>
      <c r="AB3044" s="13" t="s">
        <v>10372</v>
      </c>
    </row>
    <row r="3045" spans="1:28" ht="15" customHeight="1">
      <c r="A3045" s="2" t="s">
        <v>9695</v>
      </c>
      <c r="B3045" s="2" t="s">
        <v>978</v>
      </c>
      <c r="C3045" s="11" t="s">
        <v>4277</v>
      </c>
      <c r="D3045" s="2" t="s">
        <v>30</v>
      </c>
      <c r="E3045" s="2" t="s">
        <v>415</v>
      </c>
      <c r="F3045" s="11" t="s">
        <v>4631</v>
      </c>
      <c r="G3045" s="46" t="s">
        <v>4632</v>
      </c>
      <c r="H3045" s="2" t="s">
        <v>1363</v>
      </c>
      <c r="I3045" s="12" t="s">
        <v>4276</v>
      </c>
      <c r="J3045" s="41">
        <f>+Tabla1[[#This Row],[FECHA ENTRADA]]</f>
        <v>45846</v>
      </c>
      <c r="K3045" s="22">
        <v>45870</v>
      </c>
      <c r="L3045" s="42">
        <f>_xlfn.DAYS(Tabla1[[#This Row],[FECHA FIN ]],Tabla1[[#This Row],[FECHA INICIO]])</f>
        <v>24</v>
      </c>
      <c r="M3045" s="12"/>
      <c r="N3045" s="12"/>
      <c r="O3045" s="28">
        <f>(Tabla1[[#This Row],[COSTO FIJO ]]/30)*Tabla1[[#This Row],[TOTAL DIAS PROYECTO]]+(Tabla1[[#This Row],[COSTO TEMPORAL]])</f>
        <v>0</v>
      </c>
      <c r="P3045" s="12"/>
      <c r="Q3045" s="12">
        <f>+(Tabla1[[#This Row],[COSTO COCHE]]/30)*Tabla1[[#This Row],[TOTAL DIAS PROYECTO]]</f>
        <v>0</v>
      </c>
      <c r="R3045" s="12">
        <f>+Tabla1[[#This Row],[COSTO TOTAL ALOJAMIENTO]]+Tabla1[[#This Row],[COSTO TOTAL COCHE]]</f>
        <v>0</v>
      </c>
      <c r="S3045" s="2" t="s">
        <v>84</v>
      </c>
      <c r="T3045" s="14" t="s">
        <v>44</v>
      </c>
      <c r="U3045" s="14">
        <v>45846</v>
      </c>
      <c r="V3045" s="43">
        <v>45870</v>
      </c>
      <c r="W3045" s="12"/>
      <c r="X3045" s="2"/>
      <c r="Y3045" s="11"/>
      <c r="Z3045" s="2" t="s">
        <v>36</v>
      </c>
      <c r="AA3045" s="13">
        <v>-0.37739</v>
      </c>
      <c r="AB3045" s="13" t="s">
        <v>10372</v>
      </c>
    </row>
    <row r="3046" spans="1:28" ht="15" customHeight="1">
      <c r="A3046" s="2" t="s">
        <v>9422</v>
      </c>
      <c r="B3046" s="2" t="s">
        <v>978</v>
      </c>
      <c r="C3046" s="11" t="s">
        <v>3118</v>
      </c>
      <c r="D3046" s="2" t="s">
        <v>30</v>
      </c>
      <c r="E3046" s="2" t="s">
        <v>415</v>
      </c>
      <c r="F3046" s="11" t="s">
        <v>4631</v>
      </c>
      <c r="G3046" s="46" t="s">
        <v>4632</v>
      </c>
      <c r="H3046" s="2" t="s">
        <v>1363</v>
      </c>
      <c r="I3046" s="12" t="s">
        <v>4276</v>
      </c>
      <c r="J3046" s="41">
        <f>+Tabla1[[#This Row],[FECHA ENTRADA]]</f>
        <v>45846</v>
      </c>
      <c r="K3046" s="22">
        <v>45870</v>
      </c>
      <c r="L3046" s="42">
        <f>_xlfn.DAYS(Tabla1[[#This Row],[FECHA FIN ]],Tabla1[[#This Row],[FECHA INICIO]])</f>
        <v>24</v>
      </c>
      <c r="M3046" s="12"/>
      <c r="N3046" s="12"/>
      <c r="O3046" s="28">
        <f>(Tabla1[[#This Row],[COSTO FIJO ]]/30)*Tabla1[[#This Row],[TOTAL DIAS PROYECTO]]+(Tabla1[[#This Row],[COSTO TEMPORAL]])</f>
        <v>0</v>
      </c>
      <c r="P3046" s="12"/>
      <c r="Q3046" s="12">
        <f>+(Tabla1[[#This Row],[COSTO COCHE]]/30)*Tabla1[[#This Row],[TOTAL DIAS PROYECTO]]</f>
        <v>0</v>
      </c>
      <c r="R3046" s="12">
        <f>+Tabla1[[#This Row],[COSTO TOTAL ALOJAMIENTO]]+Tabla1[[#This Row],[COSTO TOTAL COCHE]]</f>
        <v>0</v>
      </c>
      <c r="S3046" s="2" t="s">
        <v>84</v>
      </c>
      <c r="T3046" s="14" t="s">
        <v>44</v>
      </c>
      <c r="U3046" s="14">
        <v>45846</v>
      </c>
      <c r="V3046" s="43">
        <v>45870</v>
      </c>
      <c r="W3046" s="12"/>
      <c r="X3046" s="2"/>
      <c r="Y3046" s="11"/>
      <c r="Z3046" s="2" t="s">
        <v>36</v>
      </c>
      <c r="AA3046" s="13">
        <v>-0.37739</v>
      </c>
      <c r="AB3046" s="13" t="s">
        <v>10372</v>
      </c>
    </row>
    <row r="3047" spans="1:28" ht="15" customHeight="1">
      <c r="A3047" s="2" t="s">
        <v>9696</v>
      </c>
      <c r="B3047" s="2" t="s">
        <v>978</v>
      </c>
      <c r="C3047" s="11" t="s">
        <v>4278</v>
      </c>
      <c r="D3047" s="2" t="s">
        <v>30</v>
      </c>
      <c r="E3047" s="2" t="s">
        <v>415</v>
      </c>
      <c r="F3047" s="11" t="s">
        <v>4631</v>
      </c>
      <c r="G3047" s="46" t="s">
        <v>4632</v>
      </c>
      <c r="H3047" s="2" t="s">
        <v>4279</v>
      </c>
      <c r="I3047" s="12" t="s">
        <v>4276</v>
      </c>
      <c r="J3047" s="41">
        <f>+Tabla1[[#This Row],[FECHA ENTRADA]]</f>
        <v>45846</v>
      </c>
      <c r="K3047" s="22">
        <v>45870</v>
      </c>
      <c r="L3047" s="42">
        <f>_xlfn.DAYS(Tabla1[[#This Row],[FECHA FIN ]],Tabla1[[#This Row],[FECHA INICIO]])</f>
        <v>24</v>
      </c>
      <c r="M3047" s="12"/>
      <c r="N3047" s="12"/>
      <c r="O3047" s="28">
        <f>(Tabla1[[#This Row],[COSTO FIJO ]]/30)*Tabla1[[#This Row],[TOTAL DIAS PROYECTO]]+(Tabla1[[#This Row],[COSTO TEMPORAL]])</f>
        <v>0</v>
      </c>
      <c r="P3047" s="12"/>
      <c r="Q3047" s="12">
        <f>+(Tabla1[[#This Row],[COSTO COCHE]]/30)*Tabla1[[#This Row],[TOTAL DIAS PROYECTO]]</f>
        <v>0</v>
      </c>
      <c r="R3047" s="12">
        <f>+Tabla1[[#This Row],[COSTO TOTAL ALOJAMIENTO]]+Tabla1[[#This Row],[COSTO TOTAL COCHE]]</f>
        <v>0</v>
      </c>
      <c r="S3047" s="2" t="s">
        <v>84</v>
      </c>
      <c r="T3047" s="14" t="s">
        <v>44</v>
      </c>
      <c r="U3047" s="14">
        <v>45846</v>
      </c>
      <c r="V3047" s="43">
        <v>45870</v>
      </c>
      <c r="W3047" s="12"/>
      <c r="X3047" s="2"/>
      <c r="Y3047" s="11"/>
      <c r="Z3047" s="2" t="s">
        <v>36</v>
      </c>
      <c r="AA3047" s="13">
        <v>-0.37739</v>
      </c>
      <c r="AB3047" s="13" t="s">
        <v>10372</v>
      </c>
    </row>
    <row r="3048" spans="1:28" ht="15" customHeight="1">
      <c r="A3048" s="2" t="s">
        <v>8642</v>
      </c>
      <c r="B3048" s="2" t="s">
        <v>978</v>
      </c>
      <c r="C3048" s="11" t="s">
        <v>4633</v>
      </c>
      <c r="D3048" s="2" t="s">
        <v>30</v>
      </c>
      <c r="E3048" s="2" t="s">
        <v>415</v>
      </c>
      <c r="F3048" s="11" t="s">
        <v>4631</v>
      </c>
      <c r="G3048" s="46" t="s">
        <v>4632</v>
      </c>
      <c r="H3048" s="2" t="s">
        <v>4279</v>
      </c>
      <c r="I3048" s="12" t="s">
        <v>4276</v>
      </c>
      <c r="J3048" s="41">
        <f>+Tabla1[[#This Row],[FECHA ENTRADA]]</f>
        <v>45856</v>
      </c>
      <c r="K3048" s="22">
        <v>45870</v>
      </c>
      <c r="L3048" s="42">
        <f>_xlfn.DAYS(Tabla1[[#This Row],[FECHA FIN ]],Tabla1[[#This Row],[FECHA INICIO]])</f>
        <v>14</v>
      </c>
      <c r="M3048" s="12"/>
      <c r="N3048" s="12"/>
      <c r="O3048" s="28">
        <f>(Tabla1[[#This Row],[COSTO FIJO ]]/30)*Tabla1[[#This Row],[TOTAL DIAS PROYECTO]]+(Tabla1[[#This Row],[COSTO TEMPORAL]])</f>
        <v>0</v>
      </c>
      <c r="P3048" s="12"/>
      <c r="Q3048" s="12">
        <f>+(Tabla1[[#This Row],[COSTO COCHE]]/30)*Tabla1[[#This Row],[TOTAL DIAS PROYECTO]]</f>
        <v>0</v>
      </c>
      <c r="R3048" s="12">
        <f>+Tabla1[[#This Row],[COSTO TOTAL ALOJAMIENTO]]+Tabla1[[#This Row],[COSTO TOTAL COCHE]]</f>
        <v>0</v>
      </c>
      <c r="S3048" s="2" t="s">
        <v>84</v>
      </c>
      <c r="T3048" s="14" t="s">
        <v>44</v>
      </c>
      <c r="U3048" s="14">
        <v>45856</v>
      </c>
      <c r="V3048" s="25">
        <v>45870</v>
      </c>
      <c r="W3048" s="12"/>
      <c r="X3048" s="2"/>
      <c r="Y3048" s="11"/>
      <c r="Z3048" s="2" t="s">
        <v>36</v>
      </c>
      <c r="AA3048" s="13">
        <v>-0.37739</v>
      </c>
      <c r="AB3048" s="13" t="s">
        <v>10372</v>
      </c>
    </row>
    <row r="3049" spans="1:28" ht="15" customHeight="1">
      <c r="A3049" s="2" t="s">
        <v>8869</v>
      </c>
      <c r="B3049" s="2" t="s">
        <v>711</v>
      </c>
      <c r="C3049" s="11" t="s">
        <v>1097</v>
      </c>
      <c r="D3049" s="2" t="s">
        <v>78</v>
      </c>
      <c r="E3049" s="2" t="s">
        <v>4055</v>
      </c>
      <c r="F3049" s="11" t="s">
        <v>4514</v>
      </c>
      <c r="G3049" s="46" t="s">
        <v>4515</v>
      </c>
      <c r="H3049" s="2" t="s">
        <v>1391</v>
      </c>
      <c r="I3049" s="12" t="s">
        <v>800</v>
      </c>
      <c r="J3049" s="22">
        <f>+Tabla1[[#This Row],[FECHA ENTRADA]]</f>
        <v>45853</v>
      </c>
      <c r="K3049" s="22">
        <v>45870</v>
      </c>
      <c r="L3049" s="23">
        <f>_xlfn.DAYS(Tabla1[[#This Row],[FECHA FIN ]],Tabla1[[#This Row],[FECHA INICIO]])</f>
        <v>17</v>
      </c>
      <c r="M3049" s="12"/>
      <c r="N3049" s="12">
        <f>1178.3/4</f>
        <v>294.57499999999999</v>
      </c>
      <c r="O3049" s="24">
        <f>(Tabla1[[#This Row],[COSTO FIJO ]]/30)*Tabla1[[#This Row],[TOTAL DIAS PROYECTO]]+(Tabla1[[#This Row],[COSTO TEMPORAL]])</f>
        <v>166.92583333333332</v>
      </c>
      <c r="P3049" s="12"/>
      <c r="Q3049" s="12">
        <f>+(Tabla1[[#This Row],[COSTO COCHE]]/30)*Tabla1[[#This Row],[TOTAL DIAS PROYECTO]]</f>
        <v>0</v>
      </c>
      <c r="R3049" s="12">
        <f>+Tabla1[[#This Row],[COSTO TOTAL ALOJAMIENTO]]+Tabla1[[#This Row],[COSTO TOTAL COCHE]]</f>
        <v>166.92583333333332</v>
      </c>
      <c r="S3049" s="2"/>
      <c r="T3049" s="14" t="s">
        <v>44</v>
      </c>
      <c r="U3049" s="43">
        <v>45853</v>
      </c>
      <c r="V3049" s="25">
        <v>45870</v>
      </c>
      <c r="W3049" s="12"/>
      <c r="X3049" s="2"/>
      <c r="Y3049" s="11" t="s">
        <v>1361</v>
      </c>
      <c r="Z3049" s="2" t="s">
        <v>36</v>
      </c>
      <c r="AA3049" s="13" t="e">
        <v>#N/A</v>
      </c>
      <c r="AB3049" s="13" t="e">
        <v>#N/A</v>
      </c>
    </row>
    <row r="3050" spans="1:28" ht="15" customHeight="1">
      <c r="A3050" s="2" t="s">
        <v>9649</v>
      </c>
      <c r="B3050" s="2" t="s">
        <v>711</v>
      </c>
      <c r="C3050" s="11" t="s">
        <v>4058</v>
      </c>
      <c r="D3050" s="2" t="s">
        <v>78</v>
      </c>
      <c r="E3050" s="2" t="s">
        <v>4055</v>
      </c>
      <c r="F3050" s="11" t="s">
        <v>4514</v>
      </c>
      <c r="G3050" s="46" t="s">
        <v>4515</v>
      </c>
      <c r="H3050" s="2" t="s">
        <v>1391</v>
      </c>
      <c r="I3050" s="12" t="s">
        <v>800</v>
      </c>
      <c r="J3050" s="22">
        <f>+Tabla1[[#This Row],[FECHA ENTRADA]]</f>
        <v>45853</v>
      </c>
      <c r="K3050" s="22">
        <v>45870</v>
      </c>
      <c r="L3050" s="23">
        <f>_xlfn.DAYS(Tabla1[[#This Row],[FECHA FIN ]],Tabla1[[#This Row],[FECHA INICIO]])</f>
        <v>17</v>
      </c>
      <c r="M3050" s="12"/>
      <c r="N3050" s="12">
        <f>1178.3/4</f>
        <v>294.57499999999999</v>
      </c>
      <c r="O3050" s="24">
        <f>(Tabla1[[#This Row],[COSTO FIJO ]]/30)*Tabla1[[#This Row],[TOTAL DIAS PROYECTO]]+(Tabla1[[#This Row],[COSTO TEMPORAL]])</f>
        <v>166.92583333333332</v>
      </c>
      <c r="P3050" s="12"/>
      <c r="Q3050" s="12">
        <f>+(Tabla1[[#This Row],[COSTO COCHE]]/30)*Tabla1[[#This Row],[TOTAL DIAS PROYECTO]]</f>
        <v>0</v>
      </c>
      <c r="R3050" s="12">
        <f>+Tabla1[[#This Row],[COSTO TOTAL ALOJAMIENTO]]+Tabla1[[#This Row],[COSTO TOTAL COCHE]]</f>
        <v>166.92583333333332</v>
      </c>
      <c r="S3050" s="2"/>
      <c r="T3050" s="14" t="s">
        <v>44</v>
      </c>
      <c r="U3050" s="43">
        <v>45853</v>
      </c>
      <c r="V3050" s="25">
        <v>45870</v>
      </c>
      <c r="W3050" s="12"/>
      <c r="X3050" s="2"/>
      <c r="Y3050" s="11" t="s">
        <v>1361</v>
      </c>
      <c r="Z3050" s="2" t="s">
        <v>36</v>
      </c>
      <c r="AA3050" s="13" t="e">
        <v>#N/A</v>
      </c>
      <c r="AB3050" s="13" t="e">
        <v>#N/A</v>
      </c>
    </row>
    <row r="3051" spans="1:28" ht="15" customHeight="1">
      <c r="A3051" s="2" t="s">
        <v>9736</v>
      </c>
      <c r="B3051" s="2" t="s">
        <v>28</v>
      </c>
      <c r="C3051" s="18" t="s">
        <v>4495</v>
      </c>
      <c r="D3051" s="2" t="s">
        <v>30</v>
      </c>
      <c r="E3051" s="2" t="s">
        <v>92</v>
      </c>
      <c r="F3051" s="11" t="s">
        <v>3144</v>
      </c>
      <c r="G3051" s="11" t="s">
        <v>3145</v>
      </c>
      <c r="H3051" s="2" t="s">
        <v>2459</v>
      </c>
      <c r="I3051" s="12" t="s">
        <v>96</v>
      </c>
      <c r="J3051" s="8">
        <f>+Tabla1[[#This Row],[FECHA ENTRADA]]</f>
        <v>45375</v>
      </c>
      <c r="K3051" s="8">
        <v>45564</v>
      </c>
      <c r="L3051" s="13">
        <f>_xlfn.DAYS(Tabla1[[#This Row],[FECHA FIN ]],Tabla1[[#This Row],[FECHA INICIO]])</f>
        <v>189</v>
      </c>
      <c r="M3051" s="12"/>
      <c r="N3051" s="12">
        <v>312.5</v>
      </c>
      <c r="O3051" s="12">
        <f>(Tabla1[[#This Row],[COSTO FIJO ]]/30)*Tabla1[[#This Row],[TOTAL DIAS PROYECTO]]+(Tabla1[[#This Row],[COSTO TEMPORAL]])</f>
        <v>1968.75</v>
      </c>
      <c r="P3051" s="12"/>
      <c r="Q3051" s="12">
        <f>+(Tabla1[[#This Row],[COSTO COCHE]]/30)*Tabla1[[#This Row],[TOTAL DIAS PROYECTO]]</f>
        <v>0</v>
      </c>
      <c r="R3051" s="12">
        <f>+Tabla1[[#This Row],[COSTO TOTAL ALOJAMIENTO]]+Tabla1[[#This Row],[COSTO TOTAL COCHE]]</f>
        <v>1968.75</v>
      </c>
      <c r="S3051" s="2"/>
      <c r="T3051" s="2" t="s">
        <v>44</v>
      </c>
      <c r="U3051" s="14">
        <v>45375</v>
      </c>
      <c r="V3051" s="14"/>
      <c r="W3051" s="15"/>
      <c r="X3051" s="16">
        <v>11</v>
      </c>
      <c r="Y3051" s="11" t="s">
        <v>4634</v>
      </c>
      <c r="Z3051" s="2" t="s">
        <v>36</v>
      </c>
      <c r="AA3051" s="13" t="s">
        <v>10336</v>
      </c>
      <c r="AB3051" s="13" t="s">
        <v>10337</v>
      </c>
    </row>
    <row r="3052" spans="1:28" ht="15" customHeight="1">
      <c r="A3052" s="2" t="s">
        <v>9736</v>
      </c>
      <c r="B3052" s="2" t="s">
        <v>28</v>
      </c>
      <c r="C3052" s="11" t="s">
        <v>4495</v>
      </c>
      <c r="D3052" s="2" t="s">
        <v>30</v>
      </c>
      <c r="E3052" s="2" t="s">
        <v>686</v>
      </c>
      <c r="F3052" s="11" t="s">
        <v>3068</v>
      </c>
      <c r="G3052" s="21" t="s">
        <v>3069</v>
      </c>
      <c r="H3052" s="2" t="s">
        <v>4519</v>
      </c>
      <c r="I3052" s="12" t="s">
        <v>96</v>
      </c>
      <c r="J3052" s="22">
        <f>+Tabla1[[#This Row],[FECHA ENTRADA]]</f>
        <v>45770</v>
      </c>
      <c r="K3052" s="8">
        <v>45841</v>
      </c>
      <c r="L3052" s="23">
        <f>_xlfn.DAYS(Tabla1[[#This Row],[FECHA FIN ]],Tabla1[[#This Row],[FECHA INICIO]])</f>
        <v>71</v>
      </c>
      <c r="M3052" s="12"/>
      <c r="N3052" s="12"/>
      <c r="O3052" s="24">
        <f>(Tabla1[[#This Row],[COSTO FIJO ]]/30)*Tabla1[[#This Row],[TOTAL DIAS PROYECTO]]+(Tabla1[[#This Row],[COSTO TEMPORAL]])</f>
        <v>0</v>
      </c>
      <c r="P3052" s="12">
        <f>519.82/2</f>
        <v>259.91000000000003</v>
      </c>
      <c r="Q3052" s="12">
        <f>+(Tabla1[[#This Row],[COSTO COCHE]]/30)*Tabla1[[#This Row],[TOTAL DIAS PROYECTO]]</f>
        <v>615.12033333333341</v>
      </c>
      <c r="R3052" s="12">
        <f>+Tabla1[[#This Row],[COSTO TOTAL ALOJAMIENTO]]+Tabla1[[#This Row],[COSTO TOTAL COCHE]]</f>
        <v>615.12033333333341</v>
      </c>
      <c r="S3052" s="2"/>
      <c r="T3052" s="2" t="s">
        <v>35</v>
      </c>
      <c r="U3052" s="14">
        <v>45770</v>
      </c>
      <c r="V3052" s="79"/>
      <c r="W3052" s="26"/>
      <c r="X3052" s="2">
        <v>19</v>
      </c>
      <c r="Y3052" s="11" t="s">
        <v>689</v>
      </c>
      <c r="Z3052" s="2" t="s">
        <v>36</v>
      </c>
      <c r="AA3052" s="13" t="s">
        <v>10393</v>
      </c>
      <c r="AB3052" s="13">
        <v>3834517</v>
      </c>
    </row>
    <row r="3053" spans="1:28" ht="15" customHeight="1">
      <c r="A3053" s="2" t="s">
        <v>9736</v>
      </c>
      <c r="B3053" s="2" t="s">
        <v>28</v>
      </c>
      <c r="C3053" s="11" t="s">
        <v>4495</v>
      </c>
      <c r="D3053" s="2" t="s">
        <v>30</v>
      </c>
      <c r="E3053" s="2" t="s">
        <v>686</v>
      </c>
      <c r="F3053" s="11" t="s">
        <v>4635</v>
      </c>
      <c r="G3053" s="30" t="s">
        <v>4636</v>
      </c>
      <c r="H3053" s="2" t="s">
        <v>4519</v>
      </c>
      <c r="I3053" s="12" t="s">
        <v>96</v>
      </c>
      <c r="J3053" s="41">
        <f>+Tabla1[[#This Row],[FECHA ENTRADA]]</f>
        <v>45841</v>
      </c>
      <c r="K3053" s="41">
        <v>45842</v>
      </c>
      <c r="L3053" s="42">
        <f>_xlfn.DAYS(Tabla1[[#This Row],[FECHA FIN ]],Tabla1[[#This Row],[FECHA INICIO]])</f>
        <v>1</v>
      </c>
      <c r="M3053" s="12"/>
      <c r="N3053" s="12">
        <v>37.5</v>
      </c>
      <c r="O3053" s="28">
        <f>(Tabla1[[#This Row],[COSTO FIJO ]]/30)*Tabla1[[#This Row],[TOTAL DIAS PROYECTO]]+(Tabla1[[#This Row],[COSTO TEMPORAL]])</f>
        <v>1.25</v>
      </c>
      <c r="P3053" s="12"/>
      <c r="Q3053" s="12">
        <f>+(Tabla1[[#This Row],[COSTO COCHE]]/30)*Tabla1[[#This Row],[TOTAL DIAS PROYECTO]]</f>
        <v>0</v>
      </c>
      <c r="R3053" s="12">
        <f>+Tabla1[[#This Row],[COSTO TOTAL ALOJAMIENTO]]+Tabla1[[#This Row],[COSTO TOTAL COCHE]]</f>
        <v>1.25</v>
      </c>
      <c r="S3053" s="2"/>
      <c r="T3053" s="14" t="s">
        <v>44</v>
      </c>
      <c r="U3053" s="14">
        <v>45841</v>
      </c>
      <c r="V3053" s="43">
        <v>45842</v>
      </c>
      <c r="W3053" s="12"/>
      <c r="X3053" s="2"/>
      <c r="Y3053" s="11" t="s">
        <v>689</v>
      </c>
      <c r="Z3053" s="2" t="s">
        <v>36</v>
      </c>
      <c r="AA3053" s="13" t="s">
        <v>10393</v>
      </c>
      <c r="AB3053" s="13">
        <v>3834517</v>
      </c>
    </row>
    <row r="3054" spans="1:28" ht="15" customHeight="1">
      <c r="A3054" s="2" t="s">
        <v>9046</v>
      </c>
      <c r="B3054" s="2" t="s">
        <v>711</v>
      </c>
      <c r="C3054" s="31" t="s">
        <v>1803</v>
      </c>
      <c r="D3054" s="2" t="s">
        <v>78</v>
      </c>
      <c r="E3054" s="2" t="s">
        <v>4027</v>
      </c>
      <c r="F3054" s="11" t="s">
        <v>4028</v>
      </c>
      <c r="G3054" s="46" t="s">
        <v>4029</v>
      </c>
      <c r="H3054" s="2" t="s">
        <v>4637</v>
      </c>
      <c r="I3054" s="29" t="s">
        <v>4030</v>
      </c>
      <c r="J3054" s="41">
        <f>+Tabla1[[#This Row],[FECHA ENTRADA]]</f>
        <v>45855</v>
      </c>
      <c r="K3054" s="8">
        <v>45870</v>
      </c>
      <c r="L3054" s="42">
        <f>_xlfn.DAYS(Tabla1[[#This Row],[FECHA FIN ]],Tabla1[[#This Row],[FECHA INICIO]])</f>
        <v>15</v>
      </c>
      <c r="M3054" s="12">
        <f>1261.94/2</f>
        <v>630.97</v>
      </c>
      <c r="N3054" s="28"/>
      <c r="O3054" s="28">
        <f>(Tabla1[[#This Row],[COSTO FIJO ]]/30)*Tabla1[[#This Row],[TOTAL DIAS PROYECTO]]+(Tabla1[[#This Row],[COSTO TEMPORAL]])</f>
        <v>630.97</v>
      </c>
      <c r="P3054" s="12"/>
      <c r="Q3054" s="12">
        <f>+(Tabla1[[#This Row],[COSTO COCHE]]/30)*Tabla1[[#This Row],[TOTAL DIAS PROYECTO]]</f>
        <v>0</v>
      </c>
      <c r="R3054" s="12">
        <f>+Tabla1[[#This Row],[COSTO TOTAL ALOJAMIENTO]]+Tabla1[[#This Row],[COSTO TOTAL COCHE]]</f>
        <v>630.97</v>
      </c>
      <c r="S3054" s="2" t="s">
        <v>84</v>
      </c>
      <c r="T3054" s="2" t="s">
        <v>44</v>
      </c>
      <c r="U3054" s="14">
        <v>45855</v>
      </c>
      <c r="V3054" s="43">
        <v>45953</v>
      </c>
      <c r="W3054" s="12"/>
      <c r="X3054" s="2"/>
      <c r="Y3054" s="11"/>
      <c r="Z3054" s="2" t="s">
        <v>36</v>
      </c>
      <c r="AA3054" s="13" t="e">
        <v>#N/A</v>
      </c>
      <c r="AB3054" s="13" t="e">
        <v>#N/A</v>
      </c>
    </row>
    <row r="3055" spans="1:28" ht="15" customHeight="1">
      <c r="A3055" s="2" t="s">
        <v>9305</v>
      </c>
      <c r="B3055" s="2" t="s">
        <v>978</v>
      </c>
      <c r="C3055" s="11" t="s">
        <v>2759</v>
      </c>
      <c r="D3055" s="2" t="s">
        <v>99</v>
      </c>
      <c r="E3055" s="2" t="s">
        <v>31</v>
      </c>
      <c r="F3055" s="11" t="s">
        <v>4638</v>
      </c>
      <c r="G3055" s="11" t="s">
        <v>4639</v>
      </c>
      <c r="H3055" s="2" t="s">
        <v>4640</v>
      </c>
      <c r="I3055" s="10" t="s">
        <v>4641</v>
      </c>
      <c r="J3055" s="22">
        <f>+Tabla1[[#This Row],[FECHA ENTRADA]]</f>
        <v>45866</v>
      </c>
      <c r="K3055" s="22">
        <v>45870</v>
      </c>
      <c r="L3055" s="23">
        <f>_xlfn.DAYS(Tabla1[[#This Row],[FECHA FIN ]],Tabla1[[#This Row],[FECHA INICIO]])</f>
        <v>4</v>
      </c>
      <c r="M3055" s="12"/>
      <c r="N3055" s="12"/>
      <c r="O3055" s="24">
        <f>(Tabla1[[#This Row],[COSTO FIJO ]]/30)*Tabla1[[#This Row],[TOTAL DIAS PROYECTO]]+(Tabla1[[#This Row],[COSTO TEMPORAL]])</f>
        <v>0</v>
      </c>
      <c r="P3055" s="12"/>
      <c r="Q3055" s="12">
        <f>+(Tabla1[[#This Row],[COSTO COCHE]]/30)*Tabla1[[#This Row],[TOTAL DIAS PROYECTO]]</f>
        <v>0</v>
      </c>
      <c r="R3055" s="12">
        <f>+Tabla1[[#This Row],[COSTO TOTAL ALOJAMIENTO]]+Tabla1[[#This Row],[COSTO TOTAL COCHE]]</f>
        <v>0</v>
      </c>
      <c r="S3055" s="2"/>
      <c r="T3055" s="14" t="s">
        <v>35</v>
      </c>
      <c r="U3055" s="14">
        <v>45866</v>
      </c>
      <c r="V3055" s="25"/>
      <c r="W3055" s="12"/>
      <c r="X3055" s="2">
        <v>26</v>
      </c>
      <c r="Y3055" s="11" t="s">
        <v>4642</v>
      </c>
      <c r="Z3055" s="2" t="s">
        <v>36</v>
      </c>
      <c r="AA3055" s="13" t="s">
        <v>10323</v>
      </c>
      <c r="AB3055" s="13" t="s">
        <v>10324</v>
      </c>
    </row>
    <row r="3056" spans="1:28" ht="15" customHeight="1">
      <c r="A3056" s="2" t="s">
        <v>9764</v>
      </c>
      <c r="B3056" s="2" t="s">
        <v>368</v>
      </c>
      <c r="C3056" s="31" t="s">
        <v>4643</v>
      </c>
      <c r="D3056" s="2" t="s">
        <v>99</v>
      </c>
      <c r="E3056" s="2" t="s">
        <v>415</v>
      </c>
      <c r="F3056" s="11" t="s">
        <v>1290</v>
      </c>
      <c r="G3056" t="s">
        <v>1291</v>
      </c>
      <c r="H3056" s="2" t="s">
        <v>4441</v>
      </c>
      <c r="I3056" s="10" t="s">
        <v>4165</v>
      </c>
      <c r="J3056" s="22">
        <f>+Tabla1[[#This Row],[FECHA ENTRADA]]</f>
        <v>45802</v>
      </c>
      <c r="K3056" s="8">
        <v>45871</v>
      </c>
      <c r="L3056" s="13">
        <f>_xlfn.DAYS(Tabla1[[#This Row],[FECHA FIN ]],Tabla1[[#This Row],[FECHA INICIO]])</f>
        <v>69</v>
      </c>
      <c r="M3056" s="12"/>
      <c r="N3056" s="12">
        <v>193.33333333333334</v>
      </c>
      <c r="O3056" s="12">
        <f>(Tabla1[[#This Row],[COSTO FIJO ]]/30)*Tabla1[[#This Row],[TOTAL DIAS PROYECTO]]+(Tabla1[[#This Row],[COSTO TEMPORAL]])</f>
        <v>444.66666666666669</v>
      </c>
      <c r="P3056" s="12"/>
      <c r="Q3056" s="12">
        <f>+(Tabla1[[#This Row],[COSTO COCHE]]/30)*Tabla1[[#This Row],[TOTAL DIAS PROYECTO]]</f>
        <v>0</v>
      </c>
      <c r="R3056" s="12">
        <f>+Tabla1[[#This Row],[COSTO TOTAL ALOJAMIENTO]]+Tabla1[[#This Row],[COSTO TOTAL COCHE]]</f>
        <v>444.66666666666669</v>
      </c>
      <c r="S3056" s="2"/>
      <c r="T3056" s="2" t="s">
        <v>35</v>
      </c>
      <c r="U3056" s="14">
        <v>45802</v>
      </c>
      <c r="V3056" s="14"/>
      <c r="W3056" s="26"/>
      <c r="X3056" s="16">
        <v>1</v>
      </c>
      <c r="Y3056" s="18" t="s">
        <v>4644</v>
      </c>
      <c r="Z3056" s="2" t="s">
        <v>36</v>
      </c>
      <c r="AA3056" s="13">
        <v>-0.37739</v>
      </c>
      <c r="AB3056" s="13" t="s">
        <v>10372</v>
      </c>
    </row>
    <row r="3057" spans="1:28" ht="15" customHeight="1">
      <c r="A3057" s="2" t="s">
        <v>9694</v>
      </c>
      <c r="B3057" s="2" t="s">
        <v>978</v>
      </c>
      <c r="C3057" s="11" t="s">
        <v>4273</v>
      </c>
      <c r="D3057" s="2" t="s">
        <v>30</v>
      </c>
      <c r="E3057" s="2" t="s">
        <v>415</v>
      </c>
      <c r="F3057" s="11" t="s">
        <v>4645</v>
      </c>
      <c r="G3057" s="49" t="s">
        <v>4646</v>
      </c>
      <c r="H3057" s="2" t="s">
        <v>1363</v>
      </c>
      <c r="I3057" s="12" t="s">
        <v>4276</v>
      </c>
      <c r="J3057" s="41">
        <f>+Tabla1[[#This Row],[FECHA ENTRADA]]</f>
        <v>45870</v>
      </c>
      <c r="K3057" s="22">
        <v>45871</v>
      </c>
      <c r="L3057" s="42">
        <f>_xlfn.DAYS(Tabla1[[#This Row],[FECHA FIN ]],Tabla1[[#This Row],[FECHA INICIO]])</f>
        <v>1</v>
      </c>
      <c r="M3057" s="12"/>
      <c r="N3057" s="12"/>
      <c r="O3057" s="28">
        <f>(Tabla1[[#This Row],[COSTO FIJO ]]/30)*Tabla1[[#This Row],[TOTAL DIAS PROYECTO]]+(Tabla1[[#This Row],[COSTO TEMPORAL]])</f>
        <v>0</v>
      </c>
      <c r="P3057" s="12"/>
      <c r="Q3057" s="12">
        <f>+(Tabla1[[#This Row],[COSTO COCHE]]/30)*Tabla1[[#This Row],[TOTAL DIAS PROYECTO]]</f>
        <v>0</v>
      </c>
      <c r="R3057" s="12">
        <f>+Tabla1[[#This Row],[COSTO TOTAL ALOJAMIENTO]]+Tabla1[[#This Row],[COSTO TOTAL COCHE]]</f>
        <v>0</v>
      </c>
      <c r="S3057" s="2"/>
      <c r="T3057" s="14" t="s">
        <v>44</v>
      </c>
      <c r="U3057" s="14">
        <v>45870</v>
      </c>
      <c r="V3057" s="43">
        <v>45881</v>
      </c>
      <c r="W3057" s="12"/>
      <c r="X3057" s="2"/>
      <c r="Y3057" s="11" t="s">
        <v>4647</v>
      </c>
      <c r="Z3057" s="2" t="s">
        <v>36</v>
      </c>
      <c r="AA3057" s="13">
        <v>-0.37739</v>
      </c>
      <c r="AB3057" s="13" t="s">
        <v>10372</v>
      </c>
    </row>
    <row r="3058" spans="1:28" ht="15" customHeight="1">
      <c r="A3058" s="2" t="s">
        <v>9695</v>
      </c>
      <c r="B3058" s="2" t="s">
        <v>978</v>
      </c>
      <c r="C3058" s="11" t="s">
        <v>4277</v>
      </c>
      <c r="D3058" s="2" t="s">
        <v>30</v>
      </c>
      <c r="E3058" s="2" t="s">
        <v>415</v>
      </c>
      <c r="F3058" s="11" t="s">
        <v>4645</v>
      </c>
      <c r="G3058" s="49" t="s">
        <v>4646</v>
      </c>
      <c r="H3058" s="2" t="s">
        <v>1363</v>
      </c>
      <c r="I3058" s="12" t="s">
        <v>4276</v>
      </c>
      <c r="J3058" s="41">
        <f>+Tabla1[[#This Row],[FECHA ENTRADA]]</f>
        <v>45870</v>
      </c>
      <c r="K3058" s="22">
        <v>45871</v>
      </c>
      <c r="L3058" s="42">
        <f>_xlfn.DAYS(Tabla1[[#This Row],[FECHA FIN ]],Tabla1[[#This Row],[FECHA INICIO]])</f>
        <v>1</v>
      </c>
      <c r="M3058" s="12"/>
      <c r="N3058" s="12"/>
      <c r="O3058" s="28">
        <f>(Tabla1[[#This Row],[COSTO FIJO ]]/30)*Tabla1[[#This Row],[TOTAL DIAS PROYECTO]]+(Tabla1[[#This Row],[COSTO TEMPORAL]])</f>
        <v>0</v>
      </c>
      <c r="P3058" s="12"/>
      <c r="Q3058" s="12">
        <f>+(Tabla1[[#This Row],[COSTO COCHE]]/30)*Tabla1[[#This Row],[TOTAL DIAS PROYECTO]]</f>
        <v>0</v>
      </c>
      <c r="R3058" s="12">
        <f>+Tabla1[[#This Row],[COSTO TOTAL ALOJAMIENTO]]+Tabla1[[#This Row],[COSTO TOTAL COCHE]]</f>
        <v>0</v>
      </c>
      <c r="S3058" s="2"/>
      <c r="T3058" s="14" t="s">
        <v>44</v>
      </c>
      <c r="U3058" s="14">
        <v>45870</v>
      </c>
      <c r="V3058" s="43">
        <v>45881</v>
      </c>
      <c r="W3058" s="12"/>
      <c r="X3058" s="2"/>
      <c r="Y3058" s="11" t="s">
        <v>4647</v>
      </c>
      <c r="Z3058" s="2" t="s">
        <v>36</v>
      </c>
      <c r="AA3058" s="13">
        <v>-0.37739</v>
      </c>
      <c r="AB3058" s="13" t="s">
        <v>10372</v>
      </c>
    </row>
    <row r="3059" spans="1:28" ht="15" customHeight="1">
      <c r="A3059" s="2" t="s">
        <v>9422</v>
      </c>
      <c r="B3059" s="2" t="s">
        <v>978</v>
      </c>
      <c r="C3059" s="11" t="s">
        <v>3118</v>
      </c>
      <c r="D3059" s="2" t="s">
        <v>30</v>
      </c>
      <c r="E3059" s="2" t="s">
        <v>415</v>
      </c>
      <c r="F3059" s="11" t="s">
        <v>4645</v>
      </c>
      <c r="G3059" s="49" t="s">
        <v>4646</v>
      </c>
      <c r="H3059" s="2" t="s">
        <v>1363</v>
      </c>
      <c r="I3059" s="12" t="s">
        <v>4276</v>
      </c>
      <c r="J3059" s="41">
        <f>+Tabla1[[#This Row],[FECHA ENTRADA]]</f>
        <v>45870</v>
      </c>
      <c r="K3059" s="22">
        <v>45871</v>
      </c>
      <c r="L3059" s="42">
        <f>_xlfn.DAYS(Tabla1[[#This Row],[FECHA FIN ]],Tabla1[[#This Row],[FECHA INICIO]])</f>
        <v>1</v>
      </c>
      <c r="M3059" s="12"/>
      <c r="N3059" s="12"/>
      <c r="O3059" s="28">
        <f>(Tabla1[[#This Row],[COSTO FIJO ]]/30)*Tabla1[[#This Row],[TOTAL DIAS PROYECTO]]+(Tabla1[[#This Row],[COSTO TEMPORAL]])</f>
        <v>0</v>
      </c>
      <c r="P3059" s="12"/>
      <c r="Q3059" s="12">
        <f>+(Tabla1[[#This Row],[COSTO COCHE]]/30)*Tabla1[[#This Row],[TOTAL DIAS PROYECTO]]</f>
        <v>0</v>
      </c>
      <c r="R3059" s="12">
        <f>+Tabla1[[#This Row],[COSTO TOTAL ALOJAMIENTO]]+Tabla1[[#This Row],[COSTO TOTAL COCHE]]</f>
        <v>0</v>
      </c>
      <c r="S3059" s="2"/>
      <c r="T3059" s="14" t="s">
        <v>44</v>
      </c>
      <c r="U3059" s="14">
        <v>45870</v>
      </c>
      <c r="V3059" s="43">
        <v>45881</v>
      </c>
      <c r="W3059" s="12"/>
      <c r="X3059" s="2"/>
      <c r="Y3059" s="11" t="s">
        <v>4647</v>
      </c>
      <c r="Z3059" s="2" t="s">
        <v>36</v>
      </c>
      <c r="AA3059" s="13">
        <v>-0.37739</v>
      </c>
      <c r="AB3059" s="13" t="s">
        <v>10372</v>
      </c>
    </row>
    <row r="3060" spans="1:28" ht="15" customHeight="1">
      <c r="A3060" s="2" t="s">
        <v>9696</v>
      </c>
      <c r="B3060" s="2" t="s">
        <v>978</v>
      </c>
      <c r="C3060" s="11" t="s">
        <v>4278</v>
      </c>
      <c r="D3060" s="2" t="s">
        <v>30</v>
      </c>
      <c r="E3060" s="2" t="s">
        <v>415</v>
      </c>
      <c r="F3060" s="11" t="s">
        <v>4645</v>
      </c>
      <c r="G3060" s="49" t="s">
        <v>4646</v>
      </c>
      <c r="H3060" s="2" t="s">
        <v>4279</v>
      </c>
      <c r="I3060" s="12" t="s">
        <v>4276</v>
      </c>
      <c r="J3060" s="41">
        <f>+Tabla1[[#This Row],[FECHA ENTRADA]]</f>
        <v>45870</v>
      </c>
      <c r="K3060" s="22">
        <v>45871</v>
      </c>
      <c r="L3060" s="42">
        <f>_xlfn.DAYS(Tabla1[[#This Row],[FECHA FIN ]],Tabla1[[#This Row],[FECHA INICIO]])</f>
        <v>1</v>
      </c>
      <c r="M3060" s="12"/>
      <c r="N3060" s="12"/>
      <c r="O3060" s="28">
        <f>(Tabla1[[#This Row],[COSTO FIJO ]]/30)*Tabla1[[#This Row],[TOTAL DIAS PROYECTO]]+(Tabla1[[#This Row],[COSTO TEMPORAL]])</f>
        <v>0</v>
      </c>
      <c r="P3060" s="12"/>
      <c r="Q3060" s="12">
        <f>+(Tabla1[[#This Row],[COSTO COCHE]]/30)*Tabla1[[#This Row],[TOTAL DIAS PROYECTO]]</f>
        <v>0</v>
      </c>
      <c r="R3060" s="12">
        <f>+Tabla1[[#This Row],[COSTO TOTAL ALOJAMIENTO]]+Tabla1[[#This Row],[COSTO TOTAL COCHE]]</f>
        <v>0</v>
      </c>
      <c r="S3060" s="2"/>
      <c r="T3060" s="14" t="s">
        <v>44</v>
      </c>
      <c r="U3060" s="14">
        <v>45870</v>
      </c>
      <c r="V3060" s="43">
        <v>45881</v>
      </c>
      <c r="W3060" s="12"/>
      <c r="X3060" s="2"/>
      <c r="Y3060" s="11" t="s">
        <v>4647</v>
      </c>
      <c r="Z3060" s="2" t="s">
        <v>36</v>
      </c>
      <c r="AA3060" s="13">
        <v>-0.37739</v>
      </c>
      <c r="AB3060" s="13" t="s">
        <v>10372</v>
      </c>
    </row>
    <row r="3061" spans="1:28" ht="15" customHeight="1">
      <c r="A3061" s="2" t="s">
        <v>9765</v>
      </c>
      <c r="B3061" s="2" t="s">
        <v>978</v>
      </c>
      <c r="C3061" s="11" t="s">
        <v>4648</v>
      </c>
      <c r="D3061" s="2" t="s">
        <v>30</v>
      </c>
      <c r="E3061" s="2" t="s">
        <v>415</v>
      </c>
      <c r="F3061" s="11" t="s">
        <v>4645</v>
      </c>
      <c r="G3061" s="49" t="s">
        <v>4646</v>
      </c>
      <c r="H3061" s="2" t="s">
        <v>4279</v>
      </c>
      <c r="I3061" s="12" t="s">
        <v>4276</v>
      </c>
      <c r="J3061" s="41">
        <f>+Tabla1[[#This Row],[FECHA ENTRADA]]</f>
        <v>45870</v>
      </c>
      <c r="K3061" s="22">
        <v>45871</v>
      </c>
      <c r="L3061" s="42">
        <f>_xlfn.DAYS(Tabla1[[#This Row],[FECHA FIN ]],Tabla1[[#This Row],[FECHA INICIO]])</f>
        <v>1</v>
      </c>
      <c r="M3061" s="12"/>
      <c r="N3061" s="12"/>
      <c r="O3061" s="28">
        <f>(Tabla1[[#This Row],[COSTO FIJO ]]/30)*Tabla1[[#This Row],[TOTAL DIAS PROYECTO]]+(Tabla1[[#This Row],[COSTO TEMPORAL]])</f>
        <v>0</v>
      </c>
      <c r="P3061" s="12"/>
      <c r="Q3061" s="12">
        <f>+(Tabla1[[#This Row],[COSTO COCHE]]/30)*Tabla1[[#This Row],[TOTAL DIAS PROYECTO]]</f>
        <v>0</v>
      </c>
      <c r="R3061" s="12">
        <f>+Tabla1[[#This Row],[COSTO TOTAL ALOJAMIENTO]]+Tabla1[[#This Row],[COSTO TOTAL COCHE]]</f>
        <v>0</v>
      </c>
      <c r="S3061" s="2"/>
      <c r="T3061" s="14" t="s">
        <v>44</v>
      </c>
      <c r="U3061" s="14">
        <v>45870</v>
      </c>
      <c r="V3061" s="43">
        <v>45881</v>
      </c>
      <c r="W3061" s="12"/>
      <c r="X3061" s="2"/>
      <c r="Y3061" s="11" t="s">
        <v>4647</v>
      </c>
      <c r="Z3061" s="2" t="s">
        <v>36</v>
      </c>
      <c r="AA3061" s="13">
        <v>-0.37739</v>
      </c>
      <c r="AB3061" s="13" t="s">
        <v>10372</v>
      </c>
    </row>
    <row r="3062" spans="1:28" ht="15" customHeight="1">
      <c r="A3062" s="2" t="s">
        <v>8970</v>
      </c>
      <c r="B3062" s="2" t="s">
        <v>28</v>
      </c>
      <c r="C3062" s="11" t="s">
        <v>1543</v>
      </c>
      <c r="D3062" s="2" t="s">
        <v>30</v>
      </c>
      <c r="E3062" s="2" t="s">
        <v>790</v>
      </c>
      <c r="F3062" s="11" t="s">
        <v>4649</v>
      </c>
      <c r="G3062" t="s">
        <v>4317</v>
      </c>
      <c r="H3062" s="2" t="s">
        <v>4650</v>
      </c>
      <c r="I3062" s="10" t="s">
        <v>292</v>
      </c>
      <c r="J3062" s="22">
        <f>+Tabla1[[#This Row],[FECHA ENTRADA]]</f>
        <v>45872</v>
      </c>
      <c r="K3062" s="22">
        <v>45872</v>
      </c>
      <c r="L3062" s="23">
        <f>_xlfn.DAYS(Tabla1[[#This Row],[FECHA FIN ]],Tabla1[[#This Row],[FECHA INICIO]])</f>
        <v>0</v>
      </c>
      <c r="M3062" s="12"/>
      <c r="N3062" s="20">
        <v>250</v>
      </c>
      <c r="O3062" s="24">
        <f>(Tabla1[[#This Row],[COSTO FIJO ]]/30)*Tabla1[[#This Row],[TOTAL DIAS PROYECTO]]+(Tabla1[[#This Row],[COSTO TEMPORAL]])</f>
        <v>0</v>
      </c>
      <c r="P3062" s="12"/>
      <c r="Q3062" s="12">
        <f>+(Tabla1[[#This Row],[COSTO COCHE]]/30)*Tabla1[[#This Row],[TOTAL DIAS PROYECTO]]</f>
        <v>0</v>
      </c>
      <c r="R3062" s="12">
        <f>+Tabla1[[#This Row],[COSTO TOTAL ALOJAMIENTO]]+Tabla1[[#This Row],[COSTO TOTAL COCHE]]</f>
        <v>0</v>
      </c>
      <c r="S3062" s="2"/>
      <c r="T3062" s="14" t="s">
        <v>35</v>
      </c>
      <c r="U3062" s="14">
        <v>45872</v>
      </c>
      <c r="V3062" s="79"/>
      <c r="W3062" s="12"/>
      <c r="X3062" s="2">
        <v>1</v>
      </c>
      <c r="Y3062" s="11" t="s">
        <v>4651</v>
      </c>
      <c r="Z3062" s="2" t="s">
        <v>36</v>
      </c>
      <c r="AA3062" s="13">
        <v>-574377</v>
      </c>
      <c r="AB3062" s="13">
        <v>4150368</v>
      </c>
    </row>
    <row r="3063" spans="1:28" ht="15" customHeight="1">
      <c r="A3063" s="2" t="s">
        <v>9766</v>
      </c>
      <c r="B3063" s="2" t="s">
        <v>28</v>
      </c>
      <c r="C3063" s="11" t="s">
        <v>4652</v>
      </c>
      <c r="D3063" s="2" t="s">
        <v>30</v>
      </c>
      <c r="E3063" s="2" t="s">
        <v>790</v>
      </c>
      <c r="F3063" s="11" t="s">
        <v>4649</v>
      </c>
      <c r="G3063" t="s">
        <v>4317</v>
      </c>
      <c r="H3063" s="2" t="s">
        <v>4650</v>
      </c>
      <c r="I3063" s="29" t="s">
        <v>292</v>
      </c>
      <c r="J3063" s="22">
        <f>+Tabla1[[#This Row],[FECHA ENTRADA]]</f>
        <v>45872</v>
      </c>
      <c r="K3063" s="22">
        <v>45872</v>
      </c>
      <c r="L3063" s="23">
        <f>_xlfn.DAYS(Tabla1[[#This Row],[FECHA FIN ]],Tabla1[[#This Row],[FECHA INICIO]])</f>
        <v>0</v>
      </c>
      <c r="M3063" s="12"/>
      <c r="N3063" s="20">
        <v>250</v>
      </c>
      <c r="O3063" s="24">
        <f>(Tabla1[[#This Row],[COSTO FIJO ]]/30)*Tabla1[[#This Row],[TOTAL DIAS PROYECTO]]+(Tabla1[[#This Row],[COSTO TEMPORAL]])</f>
        <v>0</v>
      </c>
      <c r="P3063" s="12"/>
      <c r="Q3063" s="12">
        <f>+(Tabla1[[#This Row],[COSTO COCHE]]/30)*Tabla1[[#This Row],[TOTAL DIAS PROYECTO]]</f>
        <v>0</v>
      </c>
      <c r="R3063" s="12">
        <f>+Tabla1[[#This Row],[COSTO TOTAL ALOJAMIENTO]]+Tabla1[[#This Row],[COSTO TOTAL COCHE]]</f>
        <v>0</v>
      </c>
      <c r="S3063" s="2"/>
      <c r="T3063" s="14" t="s">
        <v>35</v>
      </c>
      <c r="U3063" s="14">
        <v>45872</v>
      </c>
      <c r="V3063" s="79"/>
      <c r="W3063" s="12"/>
      <c r="X3063" s="2">
        <v>1</v>
      </c>
      <c r="Y3063" s="11" t="s">
        <v>4651</v>
      </c>
      <c r="Z3063" s="2" t="s">
        <v>36</v>
      </c>
      <c r="AA3063" s="13">
        <v>-574377</v>
      </c>
      <c r="AB3063" s="13">
        <v>4150368</v>
      </c>
    </row>
    <row r="3064" spans="1:28" ht="15" customHeight="1">
      <c r="A3064" s="2" t="s">
        <v>9767</v>
      </c>
      <c r="B3064" s="2" t="s">
        <v>28</v>
      </c>
      <c r="C3064" s="11" t="s">
        <v>4653</v>
      </c>
      <c r="D3064" s="2" t="s">
        <v>30</v>
      </c>
      <c r="E3064" s="2" t="s">
        <v>790</v>
      </c>
      <c r="F3064" s="11" t="s">
        <v>4649</v>
      </c>
      <c r="G3064" t="s">
        <v>4317</v>
      </c>
      <c r="H3064" s="2" t="s">
        <v>4650</v>
      </c>
      <c r="I3064" s="10" t="s">
        <v>292</v>
      </c>
      <c r="J3064" s="22">
        <f>+Tabla1[[#This Row],[FECHA ENTRADA]]</f>
        <v>45872</v>
      </c>
      <c r="K3064" s="22">
        <v>45872</v>
      </c>
      <c r="L3064" s="23">
        <f>_xlfn.DAYS(Tabla1[[#This Row],[FECHA FIN ]],Tabla1[[#This Row],[FECHA INICIO]])</f>
        <v>0</v>
      </c>
      <c r="M3064" s="12"/>
      <c r="N3064" s="20">
        <v>250</v>
      </c>
      <c r="O3064" s="24">
        <f>(Tabla1[[#This Row],[COSTO FIJO ]]/30)*Tabla1[[#This Row],[TOTAL DIAS PROYECTO]]+(Tabla1[[#This Row],[COSTO TEMPORAL]])</f>
        <v>0</v>
      </c>
      <c r="P3064" s="12"/>
      <c r="Q3064" s="12">
        <f>+(Tabla1[[#This Row],[COSTO COCHE]]/30)*Tabla1[[#This Row],[TOTAL DIAS PROYECTO]]</f>
        <v>0</v>
      </c>
      <c r="R3064" s="12">
        <f>+Tabla1[[#This Row],[COSTO TOTAL ALOJAMIENTO]]+Tabla1[[#This Row],[COSTO TOTAL COCHE]]</f>
        <v>0</v>
      </c>
      <c r="S3064" s="2"/>
      <c r="T3064" s="14" t="s">
        <v>35</v>
      </c>
      <c r="U3064" s="14">
        <v>45872</v>
      </c>
      <c r="V3064" s="79"/>
      <c r="W3064" s="12"/>
      <c r="X3064" s="2">
        <v>1</v>
      </c>
      <c r="Y3064" s="11" t="s">
        <v>4651</v>
      </c>
      <c r="Z3064" s="2" t="s">
        <v>36</v>
      </c>
      <c r="AA3064" s="13">
        <v>-574377</v>
      </c>
      <c r="AB3064" s="13">
        <v>4150368</v>
      </c>
    </row>
    <row r="3065" spans="1:28" ht="15" customHeight="1">
      <c r="A3065" s="2" t="s">
        <v>9768</v>
      </c>
      <c r="B3065" s="2" t="s">
        <v>28</v>
      </c>
      <c r="C3065" s="11" t="s">
        <v>4654</v>
      </c>
      <c r="D3065" s="2" t="s">
        <v>30</v>
      </c>
      <c r="E3065" s="2" t="s">
        <v>790</v>
      </c>
      <c r="F3065" s="11" t="s">
        <v>4649</v>
      </c>
      <c r="G3065" t="s">
        <v>4317</v>
      </c>
      <c r="H3065" s="2" t="s">
        <v>4655</v>
      </c>
      <c r="I3065" s="10" t="s">
        <v>292</v>
      </c>
      <c r="J3065" s="22">
        <f>+Tabla1[[#This Row],[FECHA ENTRADA]]</f>
        <v>45872</v>
      </c>
      <c r="K3065" s="22">
        <v>45872</v>
      </c>
      <c r="L3065" s="23">
        <f>_xlfn.DAYS(Tabla1[[#This Row],[FECHA FIN ]],Tabla1[[#This Row],[FECHA INICIO]])</f>
        <v>0</v>
      </c>
      <c r="M3065" s="12"/>
      <c r="N3065" s="20">
        <v>250</v>
      </c>
      <c r="O3065" s="24">
        <f>(Tabla1[[#This Row],[COSTO FIJO ]]/30)*Tabla1[[#This Row],[TOTAL DIAS PROYECTO]]+(Tabla1[[#This Row],[COSTO TEMPORAL]])</f>
        <v>0</v>
      </c>
      <c r="P3065" s="12"/>
      <c r="Q3065" s="12">
        <f>+(Tabla1[[#This Row],[COSTO COCHE]]/30)*Tabla1[[#This Row],[TOTAL DIAS PROYECTO]]</f>
        <v>0</v>
      </c>
      <c r="R3065" s="12">
        <f>+Tabla1[[#This Row],[COSTO TOTAL ALOJAMIENTO]]+Tabla1[[#This Row],[COSTO TOTAL COCHE]]</f>
        <v>0</v>
      </c>
      <c r="S3065" s="2"/>
      <c r="T3065" s="14" t="s">
        <v>35</v>
      </c>
      <c r="U3065" s="14">
        <v>45872</v>
      </c>
      <c r="V3065" s="79"/>
      <c r="W3065" s="12"/>
      <c r="X3065" s="2">
        <v>1</v>
      </c>
      <c r="Y3065" s="11" t="s">
        <v>4651</v>
      </c>
      <c r="Z3065" s="2" t="s">
        <v>36</v>
      </c>
      <c r="AA3065" s="13">
        <v>-574377</v>
      </c>
      <c r="AB3065" s="13">
        <v>4150368</v>
      </c>
    </row>
    <row r="3066" spans="1:28" ht="15" customHeight="1">
      <c r="A3066" s="2" t="s">
        <v>9693</v>
      </c>
      <c r="B3066" s="2" t="s">
        <v>28</v>
      </c>
      <c r="C3066" s="31" t="s">
        <v>4272</v>
      </c>
      <c r="D3066" s="2" t="s">
        <v>99</v>
      </c>
      <c r="E3066" s="2" t="s">
        <v>626</v>
      </c>
      <c r="F3066" s="11" t="s">
        <v>1964</v>
      </c>
      <c r="G3066" s="146" t="s">
        <v>1409</v>
      </c>
      <c r="H3066" s="2" t="s">
        <v>4171</v>
      </c>
      <c r="I3066" s="12" t="s">
        <v>570</v>
      </c>
      <c r="J3066" s="41">
        <f>+Tabla1[[#This Row],[FECHA ENTRADA]]</f>
        <v>45846</v>
      </c>
      <c r="K3066" s="22">
        <v>45872</v>
      </c>
      <c r="L3066" s="42">
        <f>_xlfn.DAYS(Tabla1[[#This Row],[FECHA FIN ]],Tabla1[[#This Row],[FECHA INICIO]])</f>
        <v>26</v>
      </c>
      <c r="M3066" s="12"/>
      <c r="N3066" s="12">
        <v>400</v>
      </c>
      <c r="O3066" s="28">
        <f>(Tabla1[[#This Row],[COSTO FIJO ]]/30)*Tabla1[[#This Row],[TOTAL DIAS PROYECTO]]+(Tabla1[[#This Row],[COSTO TEMPORAL]])</f>
        <v>346.66666666666669</v>
      </c>
      <c r="P3066" s="12"/>
      <c r="Q3066" s="12">
        <f>+(Tabla1[[#This Row],[COSTO COCHE]]/30)*Tabla1[[#This Row],[TOTAL DIAS PROYECTO]]</f>
        <v>0</v>
      </c>
      <c r="R3066" s="12">
        <f>+Tabla1[[#This Row],[COSTO TOTAL ALOJAMIENTO]]+Tabla1[[#This Row],[COSTO TOTAL COCHE]]</f>
        <v>346.66666666666669</v>
      </c>
      <c r="S3066" s="2"/>
      <c r="T3066" s="14" t="s">
        <v>35</v>
      </c>
      <c r="U3066" s="14">
        <v>45846</v>
      </c>
      <c r="V3066" s="43"/>
      <c r="W3066" s="12"/>
      <c r="X3066" s="2">
        <v>1</v>
      </c>
      <c r="Y3066" t="s">
        <v>4596</v>
      </c>
      <c r="Z3066" s="2" t="s">
        <v>36</v>
      </c>
      <c r="AA3066" s="13" t="s">
        <v>10385</v>
      </c>
      <c r="AB3066" s="13" t="s">
        <v>10386</v>
      </c>
    </row>
    <row r="3067" spans="1:28" ht="15" customHeight="1">
      <c r="A3067" s="2" t="s">
        <v>9437</v>
      </c>
      <c r="B3067" s="2" t="s">
        <v>711</v>
      </c>
      <c r="C3067" s="11" t="s">
        <v>3176</v>
      </c>
      <c r="D3067" s="2" t="s">
        <v>99</v>
      </c>
      <c r="E3067" s="2" t="s">
        <v>790</v>
      </c>
      <c r="F3067" s="11" t="s">
        <v>4438</v>
      </c>
      <c r="G3067" t="s">
        <v>4439</v>
      </c>
      <c r="H3067" s="2" t="s">
        <v>3311</v>
      </c>
      <c r="I3067" s="116" t="s">
        <v>506</v>
      </c>
      <c r="J3067" s="22">
        <f>+Tabla1[[#This Row],[FECHA ENTRADA]]</f>
        <v>45850</v>
      </c>
      <c r="K3067" s="22">
        <v>45872</v>
      </c>
      <c r="L3067" s="23">
        <f>_xlfn.DAYS(Tabla1[[#This Row],[FECHA FIN ]],Tabla1[[#This Row],[FECHA INICIO]])</f>
        <v>22</v>
      </c>
      <c r="M3067" s="12"/>
      <c r="N3067" s="12">
        <v>420</v>
      </c>
      <c r="O3067" s="24">
        <f>(Tabla1[[#This Row],[COSTO FIJO ]]/30)*Tabla1[[#This Row],[TOTAL DIAS PROYECTO]]+(Tabla1[[#This Row],[COSTO TEMPORAL]])</f>
        <v>308</v>
      </c>
      <c r="P3067" s="12"/>
      <c r="Q3067" s="12">
        <f>+(Tabla1[[#This Row],[COSTO COCHE]]/30)*Tabla1[[#This Row],[TOTAL DIAS PROYECTO]]</f>
        <v>0</v>
      </c>
      <c r="R3067" s="12">
        <f>+Tabla1[[#This Row],[COSTO TOTAL ALOJAMIENTO]]+Tabla1[[#This Row],[COSTO TOTAL COCHE]]</f>
        <v>308</v>
      </c>
      <c r="S3067" s="2"/>
      <c r="T3067" s="14" t="s">
        <v>44</v>
      </c>
      <c r="U3067" s="14">
        <v>45850</v>
      </c>
      <c r="V3067" s="25">
        <v>45870</v>
      </c>
      <c r="W3067" s="12"/>
      <c r="X3067" s="2"/>
      <c r="Y3067" s="11" t="s">
        <v>1361</v>
      </c>
      <c r="Z3067" s="2" t="s">
        <v>36</v>
      </c>
      <c r="AA3067" s="13">
        <v>-574377</v>
      </c>
      <c r="AB3067" s="13">
        <v>4150368</v>
      </c>
    </row>
    <row r="3068" spans="1:28" ht="15" customHeight="1">
      <c r="A3068" s="2" t="s">
        <v>9274</v>
      </c>
      <c r="B3068" s="2" t="s">
        <v>711</v>
      </c>
      <c r="C3068" s="11" t="s">
        <v>2676</v>
      </c>
      <c r="D3068" s="2" t="s">
        <v>99</v>
      </c>
      <c r="E3068" s="2" t="s">
        <v>790</v>
      </c>
      <c r="F3068" s="11" t="s">
        <v>4438</v>
      </c>
      <c r="G3068" t="s">
        <v>4439</v>
      </c>
      <c r="H3068" s="2" t="s">
        <v>3311</v>
      </c>
      <c r="I3068" s="116" t="s">
        <v>506</v>
      </c>
      <c r="J3068" s="22">
        <f>+Tabla1[[#This Row],[FECHA ENTRADA]]</f>
        <v>45850</v>
      </c>
      <c r="K3068" s="22">
        <v>45872</v>
      </c>
      <c r="L3068" s="23">
        <f>_xlfn.DAYS(Tabla1[[#This Row],[FECHA FIN ]],Tabla1[[#This Row],[FECHA INICIO]])</f>
        <v>22</v>
      </c>
      <c r="M3068" s="12"/>
      <c r="N3068" s="12">
        <v>420</v>
      </c>
      <c r="O3068" s="24">
        <f>(Tabla1[[#This Row],[COSTO FIJO ]]/30)*Tabla1[[#This Row],[TOTAL DIAS PROYECTO]]+(Tabla1[[#This Row],[COSTO TEMPORAL]])</f>
        <v>308</v>
      </c>
      <c r="P3068" s="12"/>
      <c r="Q3068" s="12">
        <f>+(Tabla1[[#This Row],[COSTO COCHE]]/30)*Tabla1[[#This Row],[TOTAL DIAS PROYECTO]]</f>
        <v>0</v>
      </c>
      <c r="R3068" s="12">
        <f>+Tabla1[[#This Row],[COSTO TOTAL ALOJAMIENTO]]+Tabla1[[#This Row],[COSTO TOTAL COCHE]]</f>
        <v>308</v>
      </c>
      <c r="S3068" s="2"/>
      <c r="T3068" s="14" t="s">
        <v>44</v>
      </c>
      <c r="U3068" s="14">
        <v>45850</v>
      </c>
      <c r="V3068" s="25">
        <v>45870</v>
      </c>
      <c r="W3068" s="12"/>
      <c r="X3068" s="2"/>
      <c r="Y3068" s="11" t="s">
        <v>1361</v>
      </c>
      <c r="Z3068" s="2" t="s">
        <v>36</v>
      </c>
      <c r="AA3068" s="13">
        <v>-574377</v>
      </c>
      <c r="AB3068" s="13">
        <v>4150368</v>
      </c>
    </row>
    <row r="3069" spans="1:28" ht="15" customHeight="1">
      <c r="A3069" s="2" t="s">
        <v>8848</v>
      </c>
      <c r="B3069" s="2" t="s">
        <v>711</v>
      </c>
      <c r="C3069" s="11" t="s">
        <v>1003</v>
      </c>
      <c r="D3069" s="2" t="s">
        <v>99</v>
      </c>
      <c r="E3069" s="2" t="s">
        <v>790</v>
      </c>
      <c r="F3069" s="11" t="s">
        <v>4438</v>
      </c>
      <c r="G3069" t="s">
        <v>4439</v>
      </c>
      <c r="H3069" s="2" t="s">
        <v>3693</v>
      </c>
      <c r="I3069" s="12" t="s">
        <v>506</v>
      </c>
      <c r="J3069" s="22">
        <f>+Tabla1[[#This Row],[FECHA ENTRADA]]</f>
        <v>45856</v>
      </c>
      <c r="K3069" s="22">
        <v>45872</v>
      </c>
      <c r="L3069" s="23">
        <f>_xlfn.DAYS(Tabla1[[#This Row],[FECHA FIN ]],Tabla1[[#This Row],[FECHA INICIO]])</f>
        <v>16</v>
      </c>
      <c r="M3069" s="12"/>
      <c r="N3069" s="12">
        <v>420</v>
      </c>
      <c r="O3069" s="24">
        <f>(Tabla1[[#This Row],[COSTO FIJO ]]/30)*Tabla1[[#This Row],[TOTAL DIAS PROYECTO]]+(Tabla1[[#This Row],[COSTO TEMPORAL]])</f>
        <v>224</v>
      </c>
      <c r="P3069" s="12"/>
      <c r="Q3069" s="12">
        <f>+(Tabla1[[#This Row],[COSTO COCHE]]/30)*Tabla1[[#This Row],[TOTAL DIAS PROYECTO]]</f>
        <v>0</v>
      </c>
      <c r="R3069" s="12">
        <f>+Tabla1[[#This Row],[COSTO TOTAL ALOJAMIENTO]]+Tabla1[[#This Row],[COSTO TOTAL COCHE]]</f>
        <v>224</v>
      </c>
      <c r="S3069" s="2"/>
      <c r="T3069" s="2" t="s">
        <v>44</v>
      </c>
      <c r="U3069" s="14">
        <v>45856</v>
      </c>
      <c r="V3069" s="25">
        <v>45870</v>
      </c>
      <c r="W3069" s="16">
        <f>Tabla1[[#This Row],[FECHA SALIDA]]-Tabla1[[#This Row],[FECHA ENTRADA]]</f>
        <v>14</v>
      </c>
      <c r="X3069" s="2"/>
      <c r="Y3069" s="11" t="s">
        <v>4656</v>
      </c>
      <c r="Z3069" s="2" t="s">
        <v>36</v>
      </c>
      <c r="AA3069" s="13">
        <v>-574377</v>
      </c>
      <c r="AB3069" s="13">
        <v>4150368</v>
      </c>
    </row>
    <row r="3070" spans="1:28" ht="15" customHeight="1">
      <c r="A3070" s="2" t="s">
        <v>9736</v>
      </c>
      <c r="B3070" s="2" t="s">
        <v>28</v>
      </c>
      <c r="C3070" s="11" t="s">
        <v>4495</v>
      </c>
      <c r="D3070" s="2" t="s">
        <v>30</v>
      </c>
      <c r="E3070" s="2" t="s">
        <v>686</v>
      </c>
      <c r="F3070" s="11" t="s">
        <v>4233</v>
      </c>
      <c r="G3070" s="46" t="s">
        <v>4234</v>
      </c>
      <c r="H3070" s="2" t="s">
        <v>4519</v>
      </c>
      <c r="I3070" s="12" t="s">
        <v>96</v>
      </c>
      <c r="J3070" s="41">
        <f>+Tabla1[[#This Row],[FECHA ENTRADA]]</f>
        <v>45842</v>
      </c>
      <c r="K3070" s="41">
        <v>45872</v>
      </c>
      <c r="L3070" s="42">
        <f>_xlfn.DAYS(Tabla1[[#This Row],[FECHA FIN ]],Tabla1[[#This Row],[FECHA INICIO]])</f>
        <v>30</v>
      </c>
      <c r="M3070" s="12"/>
      <c r="N3070" s="12">
        <f>1556.67/3</f>
        <v>518.89</v>
      </c>
      <c r="O3070" s="28">
        <f>(Tabla1[[#This Row],[COSTO FIJO ]]/30)*Tabla1[[#This Row],[TOTAL DIAS PROYECTO]]+(Tabla1[[#This Row],[COSTO TEMPORAL]])</f>
        <v>518.89</v>
      </c>
      <c r="P3070" s="12"/>
      <c r="Q3070" s="12">
        <f>+(Tabla1[[#This Row],[COSTO COCHE]]/30)*Tabla1[[#This Row],[TOTAL DIAS PROYECTO]]</f>
        <v>0</v>
      </c>
      <c r="R3070" s="12">
        <f>+Tabla1[[#This Row],[COSTO TOTAL ALOJAMIENTO]]+Tabla1[[#This Row],[COSTO TOTAL COCHE]]</f>
        <v>518.89</v>
      </c>
      <c r="S3070" s="2"/>
      <c r="T3070" s="14" t="s">
        <v>44</v>
      </c>
      <c r="U3070" s="60">
        <v>45842</v>
      </c>
      <c r="V3070" s="43">
        <v>45872</v>
      </c>
      <c r="W3070" s="12"/>
      <c r="X3070" s="2"/>
      <c r="Y3070" s="238" t="s">
        <v>4657</v>
      </c>
      <c r="Z3070" s="2" t="s">
        <v>36</v>
      </c>
      <c r="AA3070" s="13" t="s">
        <v>10393</v>
      </c>
      <c r="AB3070" s="13">
        <v>3834517</v>
      </c>
    </row>
    <row r="3071" spans="1:28" ht="15" customHeight="1">
      <c r="A3071" s="2" t="s">
        <v>9736</v>
      </c>
      <c r="B3071" s="2" t="s">
        <v>28</v>
      </c>
      <c r="C3071" s="11" t="s">
        <v>4495</v>
      </c>
      <c r="D3071" s="2" t="s">
        <v>30</v>
      </c>
      <c r="E3071" s="2" t="s">
        <v>686</v>
      </c>
      <c r="F3071" s="11" t="s">
        <v>687</v>
      </c>
      <c r="G3071" s="46" t="s">
        <v>688</v>
      </c>
      <c r="H3071" s="2" t="s">
        <v>4519</v>
      </c>
      <c r="I3071" s="12" t="s">
        <v>96</v>
      </c>
      <c r="J3071" s="41">
        <f>+Tabla1[[#This Row],[FECHA ENTRADA]]</f>
        <v>45872</v>
      </c>
      <c r="K3071" s="41">
        <v>45892</v>
      </c>
      <c r="L3071" s="42">
        <f>_xlfn.DAYS(Tabla1[[#This Row],[FECHA FIN ]],Tabla1[[#This Row],[FECHA INICIO]])</f>
        <v>20</v>
      </c>
      <c r="M3071" s="12"/>
      <c r="N3071" s="12">
        <f>1503.88/3+120/2</f>
        <v>561.29333333333329</v>
      </c>
      <c r="O3071" s="28">
        <f>(Tabla1[[#This Row],[COSTO FIJO ]]/30)*Tabla1[[#This Row],[TOTAL DIAS PROYECTO]]+(Tabla1[[#This Row],[COSTO TEMPORAL]])</f>
        <v>374.19555555555553</v>
      </c>
      <c r="P3071" s="12"/>
      <c r="Q3071" s="12">
        <f>+(Tabla1[[#This Row],[COSTO COCHE]]/30)*Tabla1[[#This Row],[TOTAL DIAS PROYECTO]]</f>
        <v>0</v>
      </c>
      <c r="R3071" s="12">
        <f>+Tabla1[[#This Row],[COSTO TOTAL ALOJAMIENTO]]+Tabla1[[#This Row],[COSTO TOTAL COCHE]]</f>
        <v>374.19555555555553</v>
      </c>
      <c r="S3071" s="2" t="s">
        <v>84</v>
      </c>
      <c r="T3071" s="14" t="s">
        <v>44</v>
      </c>
      <c r="U3071" s="14">
        <v>45872</v>
      </c>
      <c r="V3071" s="43">
        <v>45890</v>
      </c>
      <c r="W3071" s="12"/>
      <c r="X3071" s="2"/>
      <c r="Y3071" s="67" t="s">
        <v>689</v>
      </c>
      <c r="Z3071" s="2" t="s">
        <v>36</v>
      </c>
      <c r="AA3071" s="13" t="s">
        <v>10393</v>
      </c>
      <c r="AB3071" s="13">
        <v>3834517</v>
      </c>
    </row>
    <row r="3072" spans="1:28" ht="15" customHeight="1">
      <c r="A3072" s="2" t="s">
        <v>9769</v>
      </c>
      <c r="B3072" s="2" t="s">
        <v>978</v>
      </c>
      <c r="C3072" s="11" t="s">
        <v>4658</v>
      </c>
      <c r="D3072" s="2" t="s">
        <v>99</v>
      </c>
      <c r="E3072" s="2" t="s">
        <v>31</v>
      </c>
      <c r="F3072" s="11" t="s">
        <v>4659</v>
      </c>
      <c r="G3072" s="11" t="s">
        <v>4660</v>
      </c>
      <c r="H3072" s="2" t="s">
        <v>4640</v>
      </c>
      <c r="I3072" s="10" t="s">
        <v>4641</v>
      </c>
      <c r="J3072" s="22">
        <f>+Tabla1[[#This Row],[FECHA ENTRADA]]</f>
        <v>45866</v>
      </c>
      <c r="K3072" s="22">
        <v>45872</v>
      </c>
      <c r="L3072" s="23">
        <f>_xlfn.DAYS(Tabla1[[#This Row],[FECHA FIN ]],Tabla1[[#This Row],[FECHA INICIO]])</f>
        <v>6</v>
      </c>
      <c r="M3072" s="12"/>
      <c r="N3072" s="12">
        <v>188.29</v>
      </c>
      <c r="O3072" s="24">
        <f>(Tabla1[[#This Row],[COSTO FIJO ]]/30)*Tabla1[[#This Row],[TOTAL DIAS PROYECTO]]+(Tabla1[[#This Row],[COSTO TEMPORAL]])</f>
        <v>37.657999999999994</v>
      </c>
      <c r="P3072" s="12"/>
      <c r="Q3072" s="12">
        <f>+(Tabla1[[#This Row],[COSTO COCHE]]/30)*Tabla1[[#This Row],[TOTAL DIAS PROYECTO]]</f>
        <v>0</v>
      </c>
      <c r="R3072" s="12">
        <f>+Tabla1[[#This Row],[COSTO TOTAL ALOJAMIENTO]]+Tabla1[[#This Row],[COSTO TOTAL COCHE]]</f>
        <v>37.657999999999994</v>
      </c>
      <c r="S3072" s="2" t="s">
        <v>84</v>
      </c>
      <c r="T3072" s="14" t="s">
        <v>44</v>
      </c>
      <c r="U3072" s="14">
        <v>45866</v>
      </c>
      <c r="V3072" s="25">
        <v>45883</v>
      </c>
      <c r="W3072" s="12"/>
      <c r="X3072" s="2"/>
      <c r="Y3072" s="11" t="s">
        <v>4642</v>
      </c>
      <c r="Z3072" s="2" t="s">
        <v>36</v>
      </c>
      <c r="AA3072" s="13" t="s">
        <v>10323</v>
      </c>
      <c r="AB3072" s="13" t="s">
        <v>10324</v>
      </c>
    </row>
    <row r="3073" spans="1:29" ht="15" customHeight="1">
      <c r="A3073" s="2" t="s">
        <v>9770</v>
      </c>
      <c r="B3073" s="2" t="s">
        <v>606</v>
      </c>
      <c r="C3073" s="11" t="s">
        <v>4661</v>
      </c>
      <c r="D3073" s="2" t="s">
        <v>30</v>
      </c>
      <c r="E3073" s="2" t="s">
        <v>648</v>
      </c>
      <c r="F3073" s="11" t="s">
        <v>712</v>
      </c>
      <c r="G3073" t="s">
        <v>713</v>
      </c>
      <c r="H3073" s="2" t="s">
        <v>4662</v>
      </c>
      <c r="I3073" s="12" t="s">
        <v>4663</v>
      </c>
      <c r="J3073" s="22">
        <f>+Tabla1[[#This Row],[FECHA ENTRADA]]</f>
        <v>46110</v>
      </c>
      <c r="K3073" s="22">
        <v>46172</v>
      </c>
      <c r="L3073" s="23">
        <f>_xlfn.DAYS(Tabla1[[#This Row],[FECHA FIN ]],Tabla1[[#This Row],[FECHA INICIO]])</f>
        <v>62</v>
      </c>
      <c r="M3073" s="12"/>
      <c r="N3073" s="24">
        <v>133.33333333333334</v>
      </c>
      <c r="O3073" s="24">
        <f>(Tabla1[[#This Row],[COSTO FIJO ]]/30)*Tabla1[[#This Row],[TOTAL DIAS PROYECTO]]+(Tabla1[[#This Row],[COSTO TEMPORAL]])</f>
        <v>275.55555555555554</v>
      </c>
      <c r="P3073" s="12"/>
      <c r="Q3073" s="12">
        <f>+(Tabla1[[#This Row],[COSTO COCHE]]/30)*Tabla1[[#This Row],[TOTAL DIAS PROYECTO]]</f>
        <v>0</v>
      </c>
      <c r="R3073" s="12">
        <f>+Tabla1[[#This Row],[COSTO TOTAL ALOJAMIENTO]]+Tabla1[[#This Row],[COSTO TOTAL COCHE]]</f>
        <v>275.55555555555554</v>
      </c>
      <c r="S3073" s="2"/>
      <c r="T3073" s="14" t="s">
        <v>35</v>
      </c>
      <c r="U3073" s="14">
        <v>46110</v>
      </c>
      <c r="V3073" s="79"/>
      <c r="W3073" s="12"/>
      <c r="X3073" s="2">
        <v>14</v>
      </c>
      <c r="Y3073" s="11" t="s">
        <v>4664</v>
      </c>
      <c r="Z3073" s="2" t="s">
        <v>36</v>
      </c>
      <c r="AA3073" s="13" t="s">
        <v>10387</v>
      </c>
      <c r="AB3073" s="13" t="s">
        <v>10388</v>
      </c>
    </row>
    <row r="3074" spans="1:29" ht="15" customHeight="1">
      <c r="A3074" s="2" t="s">
        <v>9771</v>
      </c>
      <c r="B3074" s="2" t="s">
        <v>368</v>
      </c>
      <c r="C3074" s="11" t="s">
        <v>4665</v>
      </c>
      <c r="D3074" s="2" t="s">
        <v>99</v>
      </c>
      <c r="E3074" s="2" t="s">
        <v>1130</v>
      </c>
      <c r="F3074" s="11" t="s">
        <v>2012</v>
      </c>
      <c r="G3074" s="21" t="s">
        <v>2013</v>
      </c>
      <c r="H3074" s="2" t="s">
        <v>4666</v>
      </c>
      <c r="I3074" s="12" t="s">
        <v>4667</v>
      </c>
      <c r="J3074" s="22">
        <f>+Tabla1[[#This Row],[FECHA ENTRADA]]</f>
        <v>45817</v>
      </c>
      <c r="K3074" s="22">
        <v>45873</v>
      </c>
      <c r="L3074" s="23">
        <f>_xlfn.DAYS(Tabla1[[#This Row],[FECHA FIN ]],Tabla1[[#This Row],[FECHA INICIO]])</f>
        <v>56</v>
      </c>
      <c r="M3074" s="12"/>
      <c r="N3074" s="20">
        <v>350</v>
      </c>
      <c r="O3074" s="24">
        <f>(Tabla1[[#This Row],[COSTO FIJO ]]/30)*Tabla1[[#This Row],[TOTAL DIAS PROYECTO]]+(Tabla1[[#This Row],[COSTO TEMPORAL]])</f>
        <v>653.33333333333326</v>
      </c>
      <c r="P3074" s="12"/>
      <c r="Q3074" s="12">
        <f>+(Tabla1[[#This Row],[COSTO COCHE]]/30)*Tabla1[[#This Row],[TOTAL DIAS PROYECTO]]</f>
        <v>0</v>
      </c>
      <c r="R3074" s="12">
        <f>+Tabla1[[#This Row],[COSTO TOTAL ALOJAMIENTO]]+Tabla1[[#This Row],[COSTO TOTAL COCHE]]</f>
        <v>653.33333333333326</v>
      </c>
      <c r="S3074" s="2"/>
      <c r="T3074" s="14" t="s">
        <v>35</v>
      </c>
      <c r="U3074" s="14">
        <v>45817</v>
      </c>
      <c r="V3074" s="180"/>
      <c r="W3074" s="2"/>
      <c r="X3074" s="2">
        <v>1</v>
      </c>
      <c r="Y3074" s="11" t="s">
        <v>4668</v>
      </c>
      <c r="Z3074" s="2" t="s">
        <v>36</v>
      </c>
      <c r="AA3074" s="13" t="s">
        <v>10412</v>
      </c>
      <c r="AB3074" s="13">
        <v>4200955</v>
      </c>
    </row>
    <row r="3075" spans="1:29" ht="15" customHeight="1">
      <c r="A3075" s="2" t="s">
        <v>9242</v>
      </c>
      <c r="B3075" s="2" t="s">
        <v>978</v>
      </c>
      <c r="C3075" s="31" t="s">
        <v>2560</v>
      </c>
      <c r="D3075" s="2" t="s">
        <v>30</v>
      </c>
      <c r="E3075" s="2" t="s">
        <v>31</v>
      </c>
      <c r="F3075" s="11" t="s">
        <v>1004</v>
      </c>
      <c r="G3075" s="245" t="s">
        <v>1005</v>
      </c>
      <c r="H3075" s="2" t="s">
        <v>4669</v>
      </c>
      <c r="I3075" s="12" t="s">
        <v>2391</v>
      </c>
      <c r="J3075" s="41">
        <f>+Tabla1[[#This Row],[FECHA ENTRADA]]</f>
        <v>45841</v>
      </c>
      <c r="K3075" s="22">
        <v>45845</v>
      </c>
      <c r="L3075" s="42">
        <f>_xlfn.DAYS(Tabla1[[#This Row],[FECHA FIN ]],Tabla1[[#This Row],[FECHA INICIO]])</f>
        <v>4</v>
      </c>
      <c r="M3075" s="12"/>
      <c r="N3075" s="28">
        <v>400</v>
      </c>
      <c r="O3075" s="28">
        <f>(Tabla1[[#This Row],[COSTO FIJO ]]/30)*Tabla1[[#This Row],[TOTAL DIAS PROYECTO]]+(Tabla1[[#This Row],[COSTO TEMPORAL]])</f>
        <v>53.333333333333336</v>
      </c>
      <c r="P3075" s="12"/>
      <c r="Q3075" s="12">
        <f>+(Tabla1[[#This Row],[COSTO COCHE]]/30)*Tabla1[[#This Row],[TOTAL DIAS PROYECTO]]</f>
        <v>0</v>
      </c>
      <c r="R3075" s="12">
        <f>+Tabla1[[#This Row],[COSTO TOTAL ALOJAMIENTO]]+Tabla1[[#This Row],[COSTO TOTAL COCHE]]</f>
        <v>53.333333333333336</v>
      </c>
      <c r="S3075" s="2"/>
      <c r="T3075" s="14" t="s">
        <v>35</v>
      </c>
      <c r="U3075" s="14">
        <v>45841</v>
      </c>
      <c r="V3075" s="43"/>
      <c r="W3075" s="12"/>
      <c r="X3075" s="2">
        <v>1</v>
      </c>
      <c r="Y3075" s="11"/>
      <c r="Z3075" s="2" t="s">
        <v>36</v>
      </c>
      <c r="AA3075" s="13" t="s">
        <v>10323</v>
      </c>
      <c r="AB3075" s="13" t="s">
        <v>10324</v>
      </c>
    </row>
    <row r="3076" spans="1:29" ht="15" customHeight="1">
      <c r="A3076" s="2" t="s">
        <v>9199</v>
      </c>
      <c r="B3076" s="2" t="s">
        <v>28</v>
      </c>
      <c r="C3076" s="11" t="s">
        <v>2412</v>
      </c>
      <c r="D3076" s="2" t="s">
        <v>30</v>
      </c>
      <c r="E3076" s="2" t="s">
        <v>31</v>
      </c>
      <c r="F3076" s="11" t="s">
        <v>758</v>
      </c>
      <c r="G3076" s="11" t="s">
        <v>759</v>
      </c>
      <c r="H3076" s="2" t="s">
        <v>4670</v>
      </c>
      <c r="I3076" s="12" t="s">
        <v>34</v>
      </c>
      <c r="J3076" s="41">
        <f>+Tabla1[[#This Row],[FECHA ENTRADA]]</f>
        <v>45873</v>
      </c>
      <c r="K3076" s="22">
        <v>45873</v>
      </c>
      <c r="L3076" s="42">
        <f>_xlfn.DAYS(Tabla1[[#This Row],[FECHA FIN ]],Tabla1[[#This Row],[FECHA INICIO]])</f>
        <v>0</v>
      </c>
      <c r="M3076" s="12"/>
      <c r="N3076" s="20">
        <v>141.66999999999999</v>
      </c>
      <c r="O3076" s="28">
        <f>(Tabla1[[#This Row],[COSTO FIJO ]]/30)*Tabla1[[#This Row],[TOTAL DIAS PROYECTO]]+(Tabla1[[#This Row],[COSTO TEMPORAL]])</f>
        <v>0</v>
      </c>
      <c r="P3076" s="12"/>
      <c r="Q3076" s="12">
        <f>+(Tabla1[[#This Row],[COSTO COCHE]]/30)*Tabla1[[#This Row],[TOTAL DIAS PROYECTO]]</f>
        <v>0</v>
      </c>
      <c r="R3076" s="12">
        <f>+Tabla1[[#This Row],[COSTO TOTAL ALOJAMIENTO]]+Tabla1[[#This Row],[COSTO TOTAL COCHE]]</f>
        <v>0</v>
      </c>
      <c r="S3076" s="2"/>
      <c r="T3076" s="14" t="s">
        <v>35</v>
      </c>
      <c r="U3076" s="14">
        <v>45873</v>
      </c>
      <c r="V3076" s="43"/>
      <c r="W3076" s="12"/>
      <c r="X3076" s="2">
        <v>1</v>
      </c>
      <c r="Y3076" s="11" t="s">
        <v>4671</v>
      </c>
      <c r="Z3076" s="2" t="s">
        <v>36</v>
      </c>
      <c r="AA3076" s="13" t="s">
        <v>10323</v>
      </c>
      <c r="AB3076" s="13" t="s">
        <v>10324</v>
      </c>
      <c r="AC3076" s="47"/>
    </row>
    <row r="3077" spans="1:29" ht="15" customHeight="1">
      <c r="A3077" s="2" t="s">
        <v>9240</v>
      </c>
      <c r="B3077" s="2" t="s">
        <v>711</v>
      </c>
      <c r="C3077" s="11" t="s">
        <v>2558</v>
      </c>
      <c r="D3077" s="2" t="s">
        <v>30</v>
      </c>
      <c r="E3077" s="2" t="s">
        <v>422</v>
      </c>
      <c r="F3077" s="11" t="s">
        <v>4617</v>
      </c>
      <c r="G3077" s="46" t="s">
        <v>4618</v>
      </c>
      <c r="H3077" s="2" t="s">
        <v>2442</v>
      </c>
      <c r="I3077" s="91" t="s">
        <v>2443</v>
      </c>
      <c r="J3077" s="41">
        <f>+Tabla1[[#This Row],[FECHA ENTRADA]]</f>
        <v>45815</v>
      </c>
      <c r="K3077" s="22">
        <v>46124</v>
      </c>
      <c r="L3077" s="42">
        <f>_xlfn.DAYS(Tabla1[[#This Row],[FECHA FIN ]],Tabla1[[#This Row],[FECHA INICIO]])</f>
        <v>309</v>
      </c>
      <c r="M3077" s="12"/>
      <c r="N3077" s="12">
        <v>396</v>
      </c>
      <c r="O3077" s="28">
        <f>(Tabla1[[#This Row],[COSTO FIJO ]]/30)*Tabla1[[#This Row],[TOTAL DIAS PROYECTO]]+(Tabla1[[#This Row],[COSTO TEMPORAL]])</f>
        <v>4078.7999999999997</v>
      </c>
      <c r="P3077" s="12"/>
      <c r="Q3077" s="12">
        <f>+(Tabla1[[#This Row],[COSTO COCHE]]/30)*Tabla1[[#This Row],[TOTAL DIAS PROYECTO]]</f>
        <v>0</v>
      </c>
      <c r="R3077" s="12">
        <f>+Tabla1[[#This Row],[COSTO TOTAL ALOJAMIENTO]]+Tabla1[[#This Row],[COSTO TOTAL COCHE]]</f>
        <v>4078.7999999999997</v>
      </c>
      <c r="S3077" s="2"/>
      <c r="T3077" s="14" t="s">
        <v>35</v>
      </c>
      <c r="U3077" s="14">
        <v>45815</v>
      </c>
      <c r="V3077" s="75"/>
      <c r="W3077" s="12"/>
      <c r="X3077" s="2">
        <v>5</v>
      </c>
      <c r="Y3077" s="11" t="s">
        <v>4672</v>
      </c>
      <c r="Z3077" s="2" t="s">
        <v>36</v>
      </c>
      <c r="AA3077" s="13">
        <v>-326.69799999999998</v>
      </c>
      <c r="AB3077" s="13" t="s">
        <v>10373</v>
      </c>
      <c r="AC3077" s="47"/>
    </row>
    <row r="3078" spans="1:29">
      <c r="A3078" s="2" t="s">
        <v>9117</v>
      </c>
      <c r="B3078" s="2" t="s">
        <v>28</v>
      </c>
      <c r="C3078" s="11" t="s">
        <v>2068</v>
      </c>
      <c r="D3078" s="2" t="s">
        <v>30</v>
      </c>
      <c r="E3078" s="2" t="s">
        <v>87</v>
      </c>
      <c r="F3078" s="11" t="s">
        <v>1864</v>
      </c>
      <c r="G3078" s="11" t="s">
        <v>2195</v>
      </c>
      <c r="H3078" s="2" t="s">
        <v>4017</v>
      </c>
      <c r="I3078" s="12" t="s">
        <v>34</v>
      </c>
      <c r="J3078" s="41">
        <f>+Tabla1[[#This Row],[FECHA ENTRADA]]</f>
        <v>45817</v>
      </c>
      <c r="K3078" s="22">
        <v>45873</v>
      </c>
      <c r="L3078" s="42">
        <f>_xlfn.DAYS(Tabla1[[#This Row],[FECHA FIN ]],Tabla1[[#This Row],[FECHA INICIO]])</f>
        <v>56</v>
      </c>
      <c r="M3078" s="12"/>
      <c r="N3078" s="20">
        <v>350.4</v>
      </c>
      <c r="O3078" s="28">
        <f>(Tabla1[[#This Row],[COSTO FIJO ]]/30)*Tabla1[[#This Row],[TOTAL DIAS PROYECTO]]+(Tabla1[[#This Row],[COSTO TEMPORAL]])</f>
        <v>654.07999999999993</v>
      </c>
      <c r="P3078" s="12"/>
      <c r="Q3078" s="12">
        <f>+(Tabla1[[#This Row],[COSTO COCHE]]/30)*Tabla1[[#This Row],[TOTAL DIAS PROYECTO]]</f>
        <v>0</v>
      </c>
      <c r="R3078" s="12">
        <f>+Tabla1[[#This Row],[COSTO TOTAL ALOJAMIENTO]]+Tabla1[[#This Row],[COSTO TOTAL COCHE]]</f>
        <v>654.07999999999993</v>
      </c>
      <c r="S3078" s="2"/>
      <c r="T3078" s="2" t="s">
        <v>35</v>
      </c>
      <c r="U3078" s="14">
        <v>45817</v>
      </c>
      <c r="V3078" s="43"/>
      <c r="W3078" s="2"/>
      <c r="X3078" s="2">
        <v>5</v>
      </c>
      <c r="Y3078" s="11" t="s">
        <v>4673</v>
      </c>
      <c r="Z3078" s="2" t="s">
        <v>36</v>
      </c>
      <c r="AA3078" s="13" t="s">
        <v>10335</v>
      </c>
      <c r="AB3078" s="13">
        <v>404.16500000000002</v>
      </c>
      <c r="AC3078" s="47"/>
    </row>
    <row r="3079" spans="1:29" ht="15" customHeight="1">
      <c r="A3079" s="2" t="s">
        <v>9199</v>
      </c>
      <c r="B3079" s="2" t="s">
        <v>28</v>
      </c>
      <c r="C3079" s="11" t="s">
        <v>2412</v>
      </c>
      <c r="D3079" s="2" t="s">
        <v>30</v>
      </c>
      <c r="E3079" s="2" t="s">
        <v>87</v>
      </c>
      <c r="F3079" s="11" t="s">
        <v>946</v>
      </c>
      <c r="G3079" s="11" t="s">
        <v>947</v>
      </c>
      <c r="H3079" s="2" t="s">
        <v>4017</v>
      </c>
      <c r="I3079" s="12" t="s">
        <v>34</v>
      </c>
      <c r="J3079" s="41">
        <f>+Tabla1[[#This Row],[FECHA ENTRADA]]</f>
        <v>45817</v>
      </c>
      <c r="K3079" s="22">
        <v>45873</v>
      </c>
      <c r="L3079" s="42">
        <f>_xlfn.DAYS(Tabla1[[#This Row],[FECHA FIN ]],Tabla1[[#This Row],[FECHA INICIO]])</f>
        <v>56</v>
      </c>
      <c r="M3079" s="12"/>
      <c r="N3079" s="24">
        <f>1682.5/4</f>
        <v>420.625</v>
      </c>
      <c r="O3079" s="28">
        <f>(Tabla1[[#This Row],[COSTO FIJO ]]/30)*Tabla1[[#This Row],[TOTAL DIAS PROYECTO]]+(Tabla1[[#This Row],[COSTO TEMPORAL]])</f>
        <v>785.16666666666674</v>
      </c>
      <c r="P3079" s="12"/>
      <c r="Q3079" s="12">
        <f>+(Tabla1[[#This Row],[COSTO COCHE]]/30)*Tabla1[[#This Row],[TOTAL DIAS PROYECTO]]</f>
        <v>0</v>
      </c>
      <c r="R3079" s="12">
        <f>+Tabla1[[#This Row],[COSTO TOTAL ALOJAMIENTO]]+Tabla1[[#This Row],[COSTO TOTAL COCHE]]</f>
        <v>785.16666666666674</v>
      </c>
      <c r="S3079" s="2"/>
      <c r="T3079" s="2" t="s">
        <v>35</v>
      </c>
      <c r="U3079" s="14">
        <v>45817</v>
      </c>
      <c r="V3079" s="43"/>
      <c r="W3079" s="80">
        <v>950</v>
      </c>
      <c r="X3079" s="2">
        <v>5</v>
      </c>
      <c r="Y3079" s="11" t="s">
        <v>4673</v>
      </c>
      <c r="Z3079" s="2" t="s">
        <v>36</v>
      </c>
      <c r="AA3079" s="13" t="s">
        <v>10335</v>
      </c>
      <c r="AB3079" s="13">
        <v>404.16500000000002</v>
      </c>
      <c r="AC3079" s="47"/>
    </row>
    <row r="3080" spans="1:29" ht="15" customHeight="1">
      <c r="A3080" s="2" t="s">
        <v>9541</v>
      </c>
      <c r="B3080" s="2" t="s">
        <v>711</v>
      </c>
      <c r="C3080" s="11" t="s">
        <v>3581</v>
      </c>
      <c r="D3080" s="2" t="s">
        <v>30</v>
      </c>
      <c r="E3080" s="2" t="s">
        <v>422</v>
      </c>
      <c r="F3080" s="11" t="s">
        <v>4617</v>
      </c>
      <c r="G3080" s="46" t="s">
        <v>4618</v>
      </c>
      <c r="H3080" s="2" t="s">
        <v>2442</v>
      </c>
      <c r="I3080" s="91" t="s">
        <v>2443</v>
      </c>
      <c r="J3080" s="41">
        <f>+Tabla1[[#This Row],[FECHA ENTRADA]]</f>
        <v>45815</v>
      </c>
      <c r="K3080" s="22">
        <v>46124</v>
      </c>
      <c r="L3080" s="42">
        <f>_xlfn.DAYS(Tabla1[[#This Row],[FECHA FIN ]],Tabla1[[#This Row],[FECHA INICIO]])</f>
        <v>309</v>
      </c>
      <c r="M3080" s="12"/>
      <c r="N3080" s="12">
        <v>396</v>
      </c>
      <c r="O3080" s="28">
        <f>(Tabla1[[#This Row],[COSTO FIJO ]]/30)*Tabla1[[#This Row],[TOTAL DIAS PROYECTO]]+(Tabla1[[#This Row],[COSTO TEMPORAL]])</f>
        <v>4078.7999999999997</v>
      </c>
      <c r="P3080" s="12"/>
      <c r="Q3080" s="12">
        <f>+(Tabla1[[#This Row],[COSTO COCHE]]/30)*Tabla1[[#This Row],[TOTAL DIAS PROYECTO]]</f>
        <v>0</v>
      </c>
      <c r="R3080" s="12">
        <f>+Tabla1[[#This Row],[COSTO TOTAL ALOJAMIENTO]]+Tabla1[[#This Row],[COSTO TOTAL COCHE]]</f>
        <v>4078.7999999999997</v>
      </c>
      <c r="S3080" s="2"/>
      <c r="T3080" s="14" t="s">
        <v>35</v>
      </c>
      <c r="U3080" s="14">
        <v>45815</v>
      </c>
      <c r="V3080" s="75"/>
      <c r="W3080" s="12"/>
      <c r="X3080" s="2">
        <v>5</v>
      </c>
      <c r="Y3080" s="11" t="s">
        <v>4672</v>
      </c>
      <c r="Z3080" s="2" t="s">
        <v>36</v>
      </c>
      <c r="AA3080" s="13">
        <v>-326.69799999999998</v>
      </c>
      <c r="AB3080" s="13" t="s">
        <v>10373</v>
      </c>
      <c r="AC3080" s="47"/>
    </row>
    <row r="3081" spans="1:29" ht="15" customHeight="1">
      <c r="A3081" s="2" t="s">
        <v>9772</v>
      </c>
      <c r="B3081" s="2" t="s">
        <v>978</v>
      </c>
      <c r="C3081" s="11" t="s">
        <v>4674</v>
      </c>
      <c r="D3081" s="2" t="s">
        <v>99</v>
      </c>
      <c r="E3081" s="2" t="s">
        <v>109</v>
      </c>
      <c r="F3081" s="11" t="s">
        <v>4434</v>
      </c>
      <c r="G3081" s="46">
        <v>34973266788</v>
      </c>
      <c r="H3081" s="2" t="s">
        <v>3114</v>
      </c>
      <c r="I3081" s="12" t="s">
        <v>4526</v>
      </c>
      <c r="J3081" s="41">
        <f>+Tabla1[[#This Row],[FECHA ENTRADA]]</f>
        <v>45838</v>
      </c>
      <c r="K3081" s="41">
        <v>45847</v>
      </c>
      <c r="L3081" s="42">
        <f>_xlfn.DAYS(Tabla1[[#This Row],[FECHA FIN ]],Tabla1[[#This Row],[FECHA INICIO]])</f>
        <v>9</v>
      </c>
      <c r="M3081" s="12"/>
      <c r="N3081" s="28"/>
      <c r="O3081" s="28">
        <f>(Tabla1[[#This Row],[COSTO FIJO ]]/30)*Tabla1[[#This Row],[TOTAL DIAS PROYECTO]]+(Tabla1[[#This Row],[COSTO TEMPORAL]])</f>
        <v>0</v>
      </c>
      <c r="P3081" s="12"/>
      <c r="Q3081" s="12">
        <f>+(Tabla1[[#This Row],[COSTO COCHE]]/30)*Tabla1[[#This Row],[TOTAL DIAS PROYECTO]]</f>
        <v>0</v>
      </c>
      <c r="R3081" s="12">
        <f>+Tabla1[[#This Row],[COSTO TOTAL ALOJAMIENTO]]+Tabla1[[#This Row],[COSTO TOTAL COCHE]]</f>
        <v>0</v>
      </c>
      <c r="S3081" s="2"/>
      <c r="T3081" s="14" t="s">
        <v>44</v>
      </c>
      <c r="U3081" s="14">
        <v>45838</v>
      </c>
      <c r="V3081" s="43"/>
      <c r="W3081" s="12"/>
      <c r="X3081" s="2"/>
      <c r="Y3081" s="11" t="s">
        <v>4556</v>
      </c>
      <c r="Z3081" s="2" t="s">
        <v>36</v>
      </c>
      <c r="AA3081" s="13">
        <v>0.62217999999999996</v>
      </c>
      <c r="AB3081" s="13" t="s">
        <v>10339</v>
      </c>
      <c r="AC3081" s="47"/>
    </row>
    <row r="3082" spans="1:29" ht="15" customHeight="1">
      <c r="A3082" s="2" t="s">
        <v>9773</v>
      </c>
      <c r="B3082" s="2" t="s">
        <v>978</v>
      </c>
      <c r="C3082" s="11" t="s">
        <v>4675</v>
      </c>
      <c r="D3082" s="2" t="s">
        <v>99</v>
      </c>
      <c r="E3082" s="2" t="s">
        <v>109</v>
      </c>
      <c r="F3082" s="11" t="s">
        <v>4434</v>
      </c>
      <c r="G3082" s="46">
        <v>34973266788</v>
      </c>
      <c r="H3082" s="2" t="s">
        <v>3114</v>
      </c>
      <c r="I3082" s="12" t="s">
        <v>4526</v>
      </c>
      <c r="J3082" s="41">
        <f>+Tabla1[[#This Row],[FECHA ENTRADA]]</f>
        <v>45838</v>
      </c>
      <c r="K3082" s="41">
        <v>45847</v>
      </c>
      <c r="L3082" s="42">
        <f>_xlfn.DAYS(Tabla1[[#This Row],[FECHA FIN ]],Tabla1[[#This Row],[FECHA INICIO]])</f>
        <v>9</v>
      </c>
      <c r="M3082" s="12"/>
      <c r="N3082" s="28"/>
      <c r="O3082" s="28">
        <f>(Tabla1[[#This Row],[COSTO FIJO ]]/30)*Tabla1[[#This Row],[TOTAL DIAS PROYECTO]]+(Tabla1[[#This Row],[COSTO TEMPORAL]])</f>
        <v>0</v>
      </c>
      <c r="P3082" s="12"/>
      <c r="Q3082" s="12">
        <f>+(Tabla1[[#This Row],[COSTO COCHE]]/30)*Tabla1[[#This Row],[TOTAL DIAS PROYECTO]]</f>
        <v>0</v>
      </c>
      <c r="R3082" s="12">
        <f>+Tabla1[[#This Row],[COSTO TOTAL ALOJAMIENTO]]+Tabla1[[#This Row],[COSTO TOTAL COCHE]]</f>
        <v>0</v>
      </c>
      <c r="S3082" s="2"/>
      <c r="T3082" s="14" t="s">
        <v>44</v>
      </c>
      <c r="U3082" s="14">
        <v>45838</v>
      </c>
      <c r="V3082" s="43"/>
      <c r="W3082" s="12"/>
      <c r="X3082" s="2"/>
      <c r="Y3082" s="11" t="s">
        <v>4556</v>
      </c>
      <c r="Z3082" s="2" t="s">
        <v>36</v>
      </c>
      <c r="AA3082" s="13">
        <v>0.62217999999999996</v>
      </c>
      <c r="AB3082" s="13" t="s">
        <v>10339</v>
      </c>
      <c r="AC3082" s="47"/>
    </row>
    <row r="3083" spans="1:29" ht="15" customHeight="1">
      <c r="A3083" s="2" t="s">
        <v>9774</v>
      </c>
      <c r="B3083" s="2" t="s">
        <v>978</v>
      </c>
      <c r="C3083" s="11" t="s">
        <v>4676</v>
      </c>
      <c r="D3083" s="2" t="s">
        <v>99</v>
      </c>
      <c r="E3083" s="2" t="s">
        <v>109</v>
      </c>
      <c r="F3083" s="11" t="s">
        <v>4434</v>
      </c>
      <c r="G3083" s="46">
        <v>34973266788</v>
      </c>
      <c r="H3083" s="2" t="s">
        <v>1551</v>
      </c>
      <c r="I3083" s="12" t="s">
        <v>4526</v>
      </c>
      <c r="J3083" s="41">
        <f>+Tabla1[[#This Row],[FECHA ENTRADA]]</f>
        <v>45838</v>
      </c>
      <c r="K3083" s="41">
        <v>45847</v>
      </c>
      <c r="L3083" s="42">
        <f>_xlfn.DAYS(Tabla1[[#This Row],[FECHA FIN ]],Tabla1[[#This Row],[FECHA INICIO]])</f>
        <v>9</v>
      </c>
      <c r="M3083" s="12"/>
      <c r="N3083" s="28"/>
      <c r="O3083" s="28">
        <f>(Tabla1[[#This Row],[COSTO FIJO ]]/30)*Tabla1[[#This Row],[TOTAL DIAS PROYECTO]]+(Tabla1[[#This Row],[COSTO TEMPORAL]])</f>
        <v>0</v>
      </c>
      <c r="P3083" s="12"/>
      <c r="Q3083" s="12">
        <f>+(Tabla1[[#This Row],[COSTO COCHE]]/30)*Tabla1[[#This Row],[TOTAL DIAS PROYECTO]]</f>
        <v>0</v>
      </c>
      <c r="R3083" s="12">
        <f>+Tabla1[[#This Row],[COSTO TOTAL ALOJAMIENTO]]+Tabla1[[#This Row],[COSTO TOTAL COCHE]]</f>
        <v>0</v>
      </c>
      <c r="S3083" s="2"/>
      <c r="T3083" s="14" t="s">
        <v>44</v>
      </c>
      <c r="U3083" s="14">
        <v>45838</v>
      </c>
      <c r="V3083" s="43"/>
      <c r="W3083" s="12"/>
      <c r="X3083" s="2"/>
      <c r="Y3083" s="11" t="s">
        <v>4556</v>
      </c>
      <c r="Z3083" s="2" t="s">
        <v>36</v>
      </c>
      <c r="AA3083" s="13">
        <v>0.62217999999999996</v>
      </c>
      <c r="AB3083" s="13" t="s">
        <v>10339</v>
      </c>
      <c r="AC3083" s="47"/>
    </row>
    <row r="3084" spans="1:29" ht="15" customHeight="1">
      <c r="A3084" s="2" t="s">
        <v>9775</v>
      </c>
      <c r="B3084" s="2" t="s">
        <v>978</v>
      </c>
      <c r="C3084" s="11" t="s">
        <v>4677</v>
      </c>
      <c r="D3084" s="2" t="s">
        <v>30</v>
      </c>
      <c r="E3084" s="2" t="s">
        <v>109</v>
      </c>
      <c r="F3084" s="11" t="s">
        <v>4678</v>
      </c>
      <c r="G3084" s="46" t="s">
        <v>4679</v>
      </c>
      <c r="H3084" s="2" t="s">
        <v>4680</v>
      </c>
      <c r="I3084" s="116" t="s">
        <v>4681</v>
      </c>
      <c r="J3084" s="41">
        <f>+Tabla1[[#This Row],[FECHA ENTRADA]]</f>
        <v>45839</v>
      </c>
      <c r="K3084" s="22">
        <v>45839</v>
      </c>
      <c r="L3084" s="42">
        <f>_xlfn.DAYS(Tabla1[[#This Row],[FECHA FIN ]],Tabla1[[#This Row],[FECHA INICIO]])</f>
        <v>0</v>
      </c>
      <c r="M3084" s="12"/>
      <c r="N3084" s="12"/>
      <c r="O3084" s="28">
        <f>(Tabla1[[#This Row],[COSTO FIJO ]]/30)*Tabla1[[#This Row],[TOTAL DIAS PROYECTO]]+(Tabla1[[#This Row],[COSTO TEMPORAL]])</f>
        <v>0</v>
      </c>
      <c r="P3084" s="12"/>
      <c r="Q3084" s="12">
        <f>+(Tabla1[[#This Row],[COSTO COCHE]]/30)*Tabla1[[#This Row],[TOTAL DIAS PROYECTO]]</f>
        <v>0</v>
      </c>
      <c r="R3084" s="12">
        <f>+Tabla1[[#This Row],[COSTO TOTAL ALOJAMIENTO]]+Tabla1[[#This Row],[COSTO TOTAL COCHE]]</f>
        <v>0</v>
      </c>
      <c r="S3084" s="2"/>
      <c r="T3084" s="14" t="s">
        <v>44</v>
      </c>
      <c r="U3084" s="14">
        <v>45839</v>
      </c>
      <c r="V3084" s="43">
        <v>45848</v>
      </c>
      <c r="W3084" s="2"/>
      <c r="X3084" s="2"/>
      <c r="Y3084" s="11"/>
      <c r="Z3084" s="2" t="s">
        <v>36</v>
      </c>
      <c r="AA3084" s="13">
        <v>0.62217999999999996</v>
      </c>
      <c r="AB3084" s="13" t="s">
        <v>10339</v>
      </c>
      <c r="AC3084" s="47"/>
    </row>
    <row r="3085" spans="1:29" ht="15" customHeight="1">
      <c r="A3085" s="2" t="s">
        <v>9533</v>
      </c>
      <c r="B3085" s="2" t="s">
        <v>711</v>
      </c>
      <c r="C3085" s="11" t="s">
        <v>3563</v>
      </c>
      <c r="D3085" s="2" t="s">
        <v>99</v>
      </c>
      <c r="E3085" s="2" t="s">
        <v>4467</v>
      </c>
      <c r="F3085" s="11" t="s">
        <v>4468</v>
      </c>
      <c r="G3085" s="11" t="s">
        <v>4469</v>
      </c>
      <c r="H3085" s="2" t="s">
        <v>4470</v>
      </c>
      <c r="I3085" s="12" t="s">
        <v>1994</v>
      </c>
      <c r="J3085" s="22">
        <f>+Tabla1[[#This Row],[FECHA ENTRADA]]</f>
        <v>45809</v>
      </c>
      <c r="K3085" s="8">
        <v>45873</v>
      </c>
      <c r="L3085" s="23">
        <f>_xlfn.DAYS(Tabla1[[#This Row],[FECHA FIN ]],Tabla1[[#This Row],[FECHA INICIO]])</f>
        <v>64</v>
      </c>
      <c r="M3085" s="12"/>
      <c r="N3085" s="12">
        <f>1105.07/3</f>
        <v>368.35666666666663</v>
      </c>
      <c r="O3085" s="24">
        <f>(Tabla1[[#This Row],[COSTO FIJO ]]/30)*Tabla1[[#This Row],[TOTAL DIAS PROYECTO]]+(Tabla1[[#This Row],[COSTO TEMPORAL]])</f>
        <v>785.82755555555548</v>
      </c>
      <c r="P3085" s="12"/>
      <c r="Q3085" s="12">
        <f>+(Tabla1[[#This Row],[COSTO COCHE]]/30)*Tabla1[[#This Row],[TOTAL DIAS PROYECTO]]</f>
        <v>0</v>
      </c>
      <c r="R3085" s="12">
        <f>+Tabla1[[#This Row],[COSTO TOTAL ALOJAMIENTO]]+Tabla1[[#This Row],[COSTO TOTAL COCHE]]</f>
        <v>785.82755555555548</v>
      </c>
      <c r="S3085" s="2" t="s">
        <v>84</v>
      </c>
      <c r="T3085" s="14" t="s">
        <v>44</v>
      </c>
      <c r="U3085" s="14">
        <v>45809</v>
      </c>
      <c r="V3085" s="25">
        <v>45885</v>
      </c>
      <c r="W3085" s="2"/>
      <c r="X3085" s="2"/>
      <c r="Y3085" s="11" t="s">
        <v>4682</v>
      </c>
      <c r="Z3085" s="2" t="s">
        <v>36</v>
      </c>
      <c r="AA3085" s="13" t="s">
        <v>10447</v>
      </c>
      <c r="AB3085" s="13" t="s">
        <v>10448</v>
      </c>
      <c r="AC3085" s="47"/>
    </row>
    <row r="3086" spans="1:29" ht="15" customHeight="1">
      <c r="A3086" s="2" t="s">
        <v>8972</v>
      </c>
      <c r="B3086" s="2" t="s">
        <v>28</v>
      </c>
      <c r="C3086" s="11" t="s">
        <v>1555</v>
      </c>
      <c r="D3086" s="2" t="s">
        <v>99</v>
      </c>
      <c r="E3086" s="2" t="s">
        <v>1130</v>
      </c>
      <c r="F3086" s="11" t="s">
        <v>1131</v>
      </c>
      <c r="G3086" s="11" t="s">
        <v>1132</v>
      </c>
      <c r="H3086" s="2" t="s">
        <v>3452</v>
      </c>
      <c r="I3086" s="12" t="s">
        <v>794</v>
      </c>
      <c r="J3086" s="41">
        <f>+Tabla1[[#This Row],[FECHA ENTRADA]]</f>
        <v>45829</v>
      </c>
      <c r="K3086" s="22">
        <v>45873</v>
      </c>
      <c r="L3086" s="42">
        <f>_xlfn.DAYS(Tabla1[[#This Row],[FECHA FIN ]],Tabla1[[#This Row],[FECHA INICIO]])</f>
        <v>44</v>
      </c>
      <c r="M3086" s="12"/>
      <c r="N3086" s="24">
        <v>250</v>
      </c>
      <c r="O3086" s="28">
        <f>(Tabla1[[#This Row],[COSTO FIJO ]]/30)*Tabla1[[#This Row],[TOTAL DIAS PROYECTO]]+(Tabla1[[#This Row],[COSTO TEMPORAL]])</f>
        <v>366.66666666666669</v>
      </c>
      <c r="P3086" s="12"/>
      <c r="Q3086" s="12">
        <f>+(Tabla1[[#This Row],[COSTO COCHE]]/30)*Tabla1[[#This Row],[TOTAL DIAS PROYECTO]]</f>
        <v>0</v>
      </c>
      <c r="R3086" s="12">
        <f>+Tabla1[[#This Row],[COSTO TOTAL ALOJAMIENTO]]+Tabla1[[#This Row],[COSTO TOTAL COCHE]]</f>
        <v>366.66666666666669</v>
      </c>
      <c r="S3086" s="2"/>
      <c r="T3086" s="14" t="s">
        <v>35</v>
      </c>
      <c r="U3086" s="14">
        <v>45829</v>
      </c>
      <c r="V3086" s="43"/>
      <c r="W3086" s="2"/>
      <c r="X3086" s="2">
        <v>14</v>
      </c>
      <c r="Y3086" s="11" t="s">
        <v>4683</v>
      </c>
      <c r="Z3086" s="2" t="s">
        <v>36</v>
      </c>
      <c r="AA3086" s="13" t="s">
        <v>10412</v>
      </c>
      <c r="AB3086" s="13">
        <v>4200955</v>
      </c>
      <c r="AC3086" s="47"/>
    </row>
    <row r="3087" spans="1:29" ht="15" customHeight="1">
      <c r="A3087" s="2" t="s">
        <v>9387</v>
      </c>
      <c r="B3087" s="2" t="s">
        <v>28</v>
      </c>
      <c r="C3087" s="11" t="s">
        <v>3010</v>
      </c>
      <c r="D3087" s="2" t="s">
        <v>99</v>
      </c>
      <c r="E3087" s="2" t="s">
        <v>1130</v>
      </c>
      <c r="F3087" s="11" t="s">
        <v>2012</v>
      </c>
      <c r="G3087" s="21" t="s">
        <v>2013</v>
      </c>
      <c r="H3087" s="2" t="s">
        <v>3452</v>
      </c>
      <c r="I3087" s="12" t="s">
        <v>794</v>
      </c>
      <c r="J3087" s="22">
        <f>+Tabla1[[#This Row],[FECHA ENTRADA]]</f>
        <v>45800</v>
      </c>
      <c r="K3087" s="22">
        <v>45873</v>
      </c>
      <c r="L3087" s="23">
        <f>_xlfn.DAYS(Tabla1[[#This Row],[FECHA FIN ]],Tabla1[[#This Row],[FECHA INICIO]])</f>
        <v>73</v>
      </c>
      <c r="M3087" s="12"/>
      <c r="N3087" s="12"/>
      <c r="O3087" s="24">
        <f>(Tabla1[[#This Row],[COSTO FIJO ]]/30)*Tabla1[[#This Row],[TOTAL DIAS PROYECTO]]+(Tabla1[[#This Row],[COSTO TEMPORAL]])</f>
        <v>0</v>
      </c>
      <c r="P3087" s="12"/>
      <c r="Q3087" s="12">
        <f>+(Tabla1[[#This Row],[COSTO COCHE]]/30)*Tabla1[[#This Row],[TOTAL DIAS PROYECTO]]</f>
        <v>0</v>
      </c>
      <c r="R3087" s="12">
        <f>+Tabla1[[#This Row],[COSTO TOTAL ALOJAMIENTO]]+Tabla1[[#This Row],[COSTO TOTAL COCHE]]</f>
        <v>0</v>
      </c>
      <c r="S3087" s="2"/>
      <c r="T3087" s="2" t="s">
        <v>35</v>
      </c>
      <c r="U3087" s="14">
        <v>45800</v>
      </c>
      <c r="V3087" s="25"/>
      <c r="W3087" s="26">
        <v>350</v>
      </c>
      <c r="X3087" s="2">
        <v>22</v>
      </c>
      <c r="Y3087" s="11" t="s">
        <v>4683</v>
      </c>
      <c r="Z3087" s="2" t="s">
        <v>36</v>
      </c>
      <c r="AA3087" s="13" t="s">
        <v>10412</v>
      </c>
      <c r="AB3087" s="13">
        <v>4200955</v>
      </c>
      <c r="AC3087" s="47"/>
    </row>
    <row r="3088" spans="1:29">
      <c r="A3088" s="2" t="s">
        <v>9544</v>
      </c>
      <c r="B3088" s="2" t="s">
        <v>711</v>
      </c>
      <c r="C3088" s="11" t="s">
        <v>3586</v>
      </c>
      <c r="D3088" s="2" t="s">
        <v>99</v>
      </c>
      <c r="E3088" s="2" t="s">
        <v>422</v>
      </c>
      <c r="F3088" s="11" t="s">
        <v>4617</v>
      </c>
      <c r="G3088" s="46" t="s">
        <v>4618</v>
      </c>
      <c r="H3088" s="2" t="s">
        <v>2442</v>
      </c>
      <c r="I3088" s="91" t="s">
        <v>2443</v>
      </c>
      <c r="J3088" s="41">
        <f>+Tabla1[[#This Row],[FECHA ENTRADA]]</f>
        <v>45815</v>
      </c>
      <c r="K3088" s="22">
        <v>46124</v>
      </c>
      <c r="L3088" s="42">
        <f>_xlfn.DAYS(Tabla1[[#This Row],[FECHA FIN ]],Tabla1[[#This Row],[FECHA INICIO]])</f>
        <v>309</v>
      </c>
      <c r="M3088" s="12"/>
      <c r="N3088" s="12">
        <v>396</v>
      </c>
      <c r="O3088" s="28">
        <f>(Tabla1[[#This Row],[COSTO FIJO ]]/30)*Tabla1[[#This Row],[TOTAL DIAS PROYECTO]]+(Tabla1[[#This Row],[COSTO TEMPORAL]])</f>
        <v>4078.7999999999997</v>
      </c>
      <c r="P3088" s="12"/>
      <c r="Q3088" s="12">
        <f>+(Tabla1[[#This Row],[COSTO COCHE]]/30)*Tabla1[[#This Row],[TOTAL DIAS PROYECTO]]</f>
        <v>0</v>
      </c>
      <c r="R3088" s="12">
        <f>+Tabla1[[#This Row],[COSTO TOTAL ALOJAMIENTO]]+Tabla1[[#This Row],[COSTO TOTAL COCHE]]</f>
        <v>4078.7999999999997</v>
      </c>
      <c r="S3088" s="2"/>
      <c r="T3088" s="14" t="s">
        <v>35</v>
      </c>
      <c r="U3088" s="14">
        <v>45815</v>
      </c>
      <c r="V3088" s="75"/>
      <c r="W3088" s="12"/>
      <c r="X3088" s="2">
        <v>5</v>
      </c>
      <c r="Y3088" s="11" t="s">
        <v>4672</v>
      </c>
      <c r="Z3088" s="2" t="s">
        <v>36</v>
      </c>
      <c r="AA3088" s="13">
        <v>-326.69799999999998</v>
      </c>
      <c r="AB3088" s="13" t="s">
        <v>10373</v>
      </c>
      <c r="AC3088" s="47"/>
    </row>
    <row r="3089" spans="1:29" ht="15" customHeight="1">
      <c r="A3089" s="2" t="s">
        <v>9776</v>
      </c>
      <c r="B3089" s="2" t="s">
        <v>368</v>
      </c>
      <c r="C3089" s="11" t="s">
        <v>4684</v>
      </c>
      <c r="D3089" s="2" t="s">
        <v>30</v>
      </c>
      <c r="E3089" s="2" t="s">
        <v>422</v>
      </c>
      <c r="F3089" s="11" t="s">
        <v>1375</v>
      </c>
      <c r="G3089" t="s">
        <v>1376</v>
      </c>
      <c r="H3089" s="2" t="s">
        <v>3514</v>
      </c>
      <c r="I3089" s="10" t="s">
        <v>3515</v>
      </c>
      <c r="J3089" s="22">
        <f>+Tabla1[[#This Row],[FECHA ENTRADA]]</f>
        <v>45797</v>
      </c>
      <c r="K3089" s="22">
        <v>45816</v>
      </c>
      <c r="L3089" s="42">
        <f>_xlfn.DAYS(Tabla1[[#This Row],[FECHA FIN ]],Tabla1[[#This Row],[FECHA INICIO]])</f>
        <v>19</v>
      </c>
      <c r="M3089" s="12"/>
      <c r="N3089" s="24">
        <v>233.33333333333334</v>
      </c>
      <c r="O3089" s="28">
        <f>(Tabla1[[#This Row],[COSTO FIJO ]]/30)*Tabla1[[#This Row],[TOTAL DIAS PROYECTO]]+(Tabla1[[#This Row],[COSTO TEMPORAL]])</f>
        <v>147.77777777777777</v>
      </c>
      <c r="P3089" s="12"/>
      <c r="Q3089" s="12">
        <f>+(Tabla1[[#This Row],[COSTO COCHE]]/30)*Tabla1[[#This Row],[TOTAL DIAS PROYECTO]]</f>
        <v>0</v>
      </c>
      <c r="R3089" s="12">
        <f>+Tabla1[[#This Row],[COSTO TOTAL ALOJAMIENTO]]+Tabla1[[#This Row],[COSTO TOTAL COCHE]]</f>
        <v>147.77777777777777</v>
      </c>
      <c r="S3089" s="2"/>
      <c r="T3089" s="2" t="s">
        <v>35</v>
      </c>
      <c r="U3089" s="14">
        <v>45797</v>
      </c>
      <c r="V3089" s="43"/>
      <c r="W3089" s="26"/>
      <c r="X3089" s="2">
        <v>5</v>
      </c>
      <c r="Y3089" s="11"/>
      <c r="Z3089" s="2" t="s">
        <v>36</v>
      </c>
      <c r="AA3089" s="13">
        <v>-326.69799999999998</v>
      </c>
      <c r="AB3089" s="13" t="s">
        <v>10373</v>
      </c>
      <c r="AC3089" s="47"/>
    </row>
    <row r="3090" spans="1:29" ht="15" customHeight="1">
      <c r="A3090" s="2" t="s">
        <v>9136</v>
      </c>
      <c r="B3090" s="2" t="s">
        <v>28</v>
      </c>
      <c r="C3090" s="11" t="s">
        <v>2152</v>
      </c>
      <c r="D3090" s="2" t="s">
        <v>30</v>
      </c>
      <c r="E3090" s="2" t="s">
        <v>87</v>
      </c>
      <c r="F3090" s="11" t="s">
        <v>1864</v>
      </c>
      <c r="G3090" s="11" t="s">
        <v>2195</v>
      </c>
      <c r="H3090" s="2" t="s">
        <v>4017</v>
      </c>
      <c r="I3090" s="12" t="s">
        <v>34</v>
      </c>
      <c r="J3090" s="41">
        <f>+Tabla1[[#This Row],[FECHA ENTRADA]]</f>
        <v>45817</v>
      </c>
      <c r="K3090" s="22">
        <v>45874</v>
      </c>
      <c r="L3090" s="42">
        <f>_xlfn.DAYS(Tabla1[[#This Row],[FECHA FIN ]],Tabla1[[#This Row],[FECHA INICIO]])</f>
        <v>57</v>
      </c>
      <c r="M3090" s="12"/>
      <c r="N3090" s="20">
        <v>350.4</v>
      </c>
      <c r="O3090" s="28">
        <f>(Tabla1[[#This Row],[COSTO FIJO ]]/30)*Tabla1[[#This Row],[TOTAL DIAS PROYECTO]]+(Tabla1[[#This Row],[COSTO TEMPORAL]])</f>
        <v>665.76</v>
      </c>
      <c r="P3090" s="12"/>
      <c r="Q3090" s="12">
        <f>+(Tabla1[[#This Row],[COSTO COCHE]]/30)*Tabla1[[#This Row],[TOTAL DIAS PROYECTO]]</f>
        <v>0</v>
      </c>
      <c r="R3090" s="12">
        <f>+Tabla1[[#This Row],[COSTO TOTAL ALOJAMIENTO]]+Tabla1[[#This Row],[COSTO TOTAL COCHE]]</f>
        <v>665.76</v>
      </c>
      <c r="S3090" s="2"/>
      <c r="T3090" s="2" t="s">
        <v>35</v>
      </c>
      <c r="U3090" s="14">
        <v>45817</v>
      </c>
      <c r="V3090" s="43"/>
      <c r="W3090" s="2"/>
      <c r="X3090" s="2">
        <v>5</v>
      </c>
      <c r="Y3090" s="11"/>
      <c r="Z3090" s="2" t="s">
        <v>36</v>
      </c>
      <c r="AA3090" s="13" t="s">
        <v>10335</v>
      </c>
      <c r="AB3090" s="13">
        <v>404.16500000000002</v>
      </c>
      <c r="AC3090" s="47"/>
    </row>
    <row r="3091" spans="1:29" ht="15" customHeight="1">
      <c r="A3091" s="2" t="s">
        <v>9097</v>
      </c>
      <c r="B3091" s="2" t="s">
        <v>368</v>
      </c>
      <c r="C3091" s="239" t="s">
        <v>2017</v>
      </c>
      <c r="D3091" s="2" t="s">
        <v>30</v>
      </c>
      <c r="E3091" s="2" t="s">
        <v>87</v>
      </c>
      <c r="F3091" s="11" t="s">
        <v>1668</v>
      </c>
      <c r="G3091" s="128" t="s">
        <v>1669</v>
      </c>
      <c r="H3091" s="2" t="s">
        <v>4685</v>
      </c>
      <c r="I3091" s="12" t="s">
        <v>1392</v>
      </c>
      <c r="J3091" s="22">
        <f>+Tabla1[[#This Row],[FECHA ENTRADA]]</f>
        <v>45760</v>
      </c>
      <c r="K3091" s="22">
        <v>45970</v>
      </c>
      <c r="L3091" s="23">
        <f>_xlfn.DAYS(Tabla1[[#This Row],[FECHA FIN ]],Tabla1[[#This Row],[FECHA INICIO]])</f>
        <v>210</v>
      </c>
      <c r="M3091" s="12"/>
      <c r="N3091" s="12">
        <v>268.83333333333331</v>
      </c>
      <c r="O3091" s="24">
        <f>(Tabla1[[#This Row],[COSTO FIJO ]]/30)*Tabla1[[#This Row],[TOTAL DIAS PROYECTO]]+(Tabla1[[#This Row],[COSTO TEMPORAL]])</f>
        <v>1881.8333333333333</v>
      </c>
      <c r="P3091" s="12">
        <f>613.83/5</f>
        <v>122.76600000000001</v>
      </c>
      <c r="Q3091" s="12">
        <f>+(Tabla1[[#This Row],[COSTO COCHE]]/30)*Tabla1[[#This Row],[TOTAL DIAS PROYECTO]]</f>
        <v>859.36199999999997</v>
      </c>
      <c r="R3091" s="12">
        <f>+Tabla1[[#This Row],[COSTO TOTAL ALOJAMIENTO]]+Tabla1[[#This Row],[COSTO TOTAL COCHE]]</f>
        <v>2741.1953333333331</v>
      </c>
      <c r="S3091" s="2"/>
      <c r="T3091" s="2" t="s">
        <v>35</v>
      </c>
      <c r="U3091" s="14">
        <v>45760</v>
      </c>
      <c r="V3091" s="25"/>
      <c r="W3091" s="26">
        <v>1613</v>
      </c>
      <c r="X3091" s="2">
        <v>5</v>
      </c>
      <c r="Y3091" s="30" t="s">
        <v>3606</v>
      </c>
      <c r="Z3091" s="2" t="s">
        <v>36</v>
      </c>
      <c r="AA3091" s="13" t="s">
        <v>10335</v>
      </c>
      <c r="AB3091" s="13">
        <v>404.16500000000002</v>
      </c>
      <c r="AC3091" s="47"/>
    </row>
    <row r="3092" spans="1:29" ht="15" customHeight="1">
      <c r="A3092" s="2" t="s">
        <v>9049</v>
      </c>
      <c r="B3092" s="2" t="s">
        <v>368</v>
      </c>
      <c r="C3092" s="11" t="s">
        <v>1808</v>
      </c>
      <c r="D3092" s="2" t="s">
        <v>99</v>
      </c>
      <c r="E3092" s="2" t="s">
        <v>422</v>
      </c>
      <c r="F3092" s="11" t="s">
        <v>1375</v>
      </c>
      <c r="G3092" t="s">
        <v>1376</v>
      </c>
      <c r="H3092" s="2" t="s">
        <v>4686</v>
      </c>
      <c r="I3092" s="186" t="s">
        <v>2638</v>
      </c>
      <c r="J3092" s="22">
        <f>+Tabla1[[#This Row],[FECHA ENTRADA]]</f>
        <v>45817</v>
      </c>
      <c r="K3092" s="22">
        <v>45820</v>
      </c>
      <c r="L3092" s="23">
        <f>_xlfn.DAYS(Tabla1[[#This Row],[FECHA FIN ]],Tabla1[[#This Row],[FECHA INICIO]])</f>
        <v>3</v>
      </c>
      <c r="M3092" s="12"/>
      <c r="N3092" s="12"/>
      <c r="O3092" s="24">
        <f>(Tabla1[[#This Row],[COSTO FIJO ]]/30)*Tabla1[[#This Row],[TOTAL DIAS PROYECTO]]+(Tabla1[[#This Row],[COSTO TEMPORAL]])</f>
        <v>0</v>
      </c>
      <c r="P3092" s="12"/>
      <c r="Q3092" s="12">
        <f>+(Tabla1[[#This Row],[COSTO COCHE]]/30)*Tabla1[[#This Row],[TOTAL DIAS PROYECTO]]</f>
        <v>0</v>
      </c>
      <c r="R3092" s="12">
        <f>+Tabla1[[#This Row],[COSTO TOTAL ALOJAMIENTO]]+Tabla1[[#This Row],[COSTO TOTAL COCHE]]</f>
        <v>0</v>
      </c>
      <c r="S3092" s="2"/>
      <c r="T3092" s="14" t="s">
        <v>35</v>
      </c>
      <c r="U3092" s="14">
        <v>45817</v>
      </c>
      <c r="V3092" s="180"/>
      <c r="W3092" s="2"/>
      <c r="X3092" s="2">
        <v>5</v>
      </c>
      <c r="Y3092" s="11"/>
      <c r="Z3092" s="2" t="s">
        <v>36</v>
      </c>
      <c r="AA3092" s="13">
        <v>-326.69799999999998</v>
      </c>
      <c r="AB3092" s="13" t="s">
        <v>10373</v>
      </c>
      <c r="AC3092" s="47"/>
    </row>
    <row r="3093" spans="1:29" ht="15" customHeight="1">
      <c r="A3093" s="2" t="s">
        <v>9777</v>
      </c>
      <c r="B3093" s="2" t="s">
        <v>711</v>
      </c>
      <c r="C3093" s="11" t="s">
        <v>4687</v>
      </c>
      <c r="D3093" s="2" t="s">
        <v>78</v>
      </c>
      <c r="E3093" s="2" t="s">
        <v>4055</v>
      </c>
      <c r="F3093" s="11" t="s">
        <v>4688</v>
      </c>
      <c r="G3093" s="21" t="s">
        <v>4689</v>
      </c>
      <c r="H3093" s="2" t="s">
        <v>4690</v>
      </c>
      <c r="I3093" s="12" t="s">
        <v>800</v>
      </c>
      <c r="J3093" s="41">
        <f>+Tabla1[[#This Row],[FECHA ENTRADA]]</f>
        <v>45874</v>
      </c>
      <c r="K3093" s="41">
        <v>45874</v>
      </c>
      <c r="L3093" s="42">
        <f>_xlfn.DAYS(Tabla1[[#This Row],[FECHA FIN ]],Tabla1[[#This Row],[FECHA INICIO]])</f>
        <v>0</v>
      </c>
      <c r="M3093" s="12"/>
      <c r="N3093" s="12">
        <v>595</v>
      </c>
      <c r="O3093" s="28">
        <f>(Tabla1[[#This Row],[COSTO FIJO ]]/30)*Tabla1[[#This Row],[TOTAL DIAS PROYECTO]]+(Tabla1[[#This Row],[COSTO TEMPORAL]])</f>
        <v>0</v>
      </c>
      <c r="P3093" s="12"/>
      <c r="Q3093" s="12">
        <f>+(Tabla1[[#This Row],[COSTO COCHE]]/30)*Tabla1[[#This Row],[TOTAL DIAS PROYECTO]]</f>
        <v>0</v>
      </c>
      <c r="R3093" s="12">
        <f>+Tabla1[[#This Row],[COSTO TOTAL ALOJAMIENTO]]+Tabla1[[#This Row],[COSTO TOTAL COCHE]]</f>
        <v>0</v>
      </c>
      <c r="S3093" s="2"/>
      <c r="T3093" s="14" t="s">
        <v>44</v>
      </c>
      <c r="U3093" s="14">
        <v>45874</v>
      </c>
      <c r="V3093" s="43">
        <v>45884</v>
      </c>
      <c r="W3093" s="12"/>
      <c r="X3093" s="2"/>
      <c r="Y3093" s="11" t="s">
        <v>4691</v>
      </c>
      <c r="Z3093" s="2" t="s">
        <v>36</v>
      </c>
      <c r="AA3093" s="13" t="e">
        <v>#N/A</v>
      </c>
      <c r="AB3093" s="13" t="e">
        <v>#N/A</v>
      </c>
    </row>
    <row r="3094" spans="1:29" ht="15" customHeight="1">
      <c r="A3094" s="2" t="s">
        <v>9778</v>
      </c>
      <c r="B3094" s="2" t="s">
        <v>978</v>
      </c>
      <c r="C3094" s="11" t="s">
        <v>4692</v>
      </c>
      <c r="D3094" s="2" t="s">
        <v>30</v>
      </c>
      <c r="E3094" s="2" t="s">
        <v>253</v>
      </c>
      <c r="F3094" s="11" t="s">
        <v>4693</v>
      </c>
      <c r="G3094" s="49" t="s">
        <v>4694</v>
      </c>
      <c r="H3094" s="2" t="s">
        <v>4695</v>
      </c>
      <c r="I3094" s="10" t="s">
        <v>4696</v>
      </c>
      <c r="J3094" s="22">
        <f>+Tabla1[[#This Row],[FECHA ENTRADA]]</f>
        <v>45874</v>
      </c>
      <c r="K3094" s="22">
        <v>45874</v>
      </c>
      <c r="L3094" s="23">
        <f>_xlfn.DAYS(Tabla1[[#This Row],[FECHA FIN ]],Tabla1[[#This Row],[FECHA INICIO]])</f>
        <v>0</v>
      </c>
      <c r="M3094" s="12"/>
      <c r="N3094" s="12"/>
      <c r="O3094" s="24">
        <f>(Tabla1[[#This Row],[COSTO FIJO ]]/30)*Tabla1[[#This Row],[TOTAL DIAS PROYECTO]]+(Tabla1[[#This Row],[COSTO TEMPORAL]])</f>
        <v>0</v>
      </c>
      <c r="P3094" s="12"/>
      <c r="Q3094" s="12">
        <f>+(Tabla1[[#This Row],[COSTO COCHE]]/30)*Tabla1[[#This Row],[TOTAL DIAS PROYECTO]]</f>
        <v>0</v>
      </c>
      <c r="R3094" s="12">
        <f>+Tabla1[[#This Row],[COSTO TOTAL ALOJAMIENTO]]+Tabla1[[#This Row],[COSTO TOTAL COCHE]]</f>
        <v>0</v>
      </c>
      <c r="S3094" s="2"/>
      <c r="T3094" s="14" t="s">
        <v>44</v>
      </c>
      <c r="U3094" s="14">
        <v>45874</v>
      </c>
      <c r="V3094" s="25">
        <v>45905</v>
      </c>
      <c r="W3094" s="12"/>
      <c r="X3094" s="2"/>
      <c r="Y3094" s="11" t="s">
        <v>4697</v>
      </c>
      <c r="Z3094" s="2" t="s">
        <v>36</v>
      </c>
      <c r="AA3094" s="13" t="s">
        <v>10357</v>
      </c>
      <c r="AB3094" s="13" t="s">
        <v>10358</v>
      </c>
    </row>
    <row r="3095" spans="1:29">
      <c r="A3095" s="2" t="s">
        <v>9779</v>
      </c>
      <c r="B3095" s="2" t="s">
        <v>978</v>
      </c>
      <c r="C3095" s="11" t="s">
        <v>4698</v>
      </c>
      <c r="D3095" s="2" t="s">
        <v>30</v>
      </c>
      <c r="E3095" s="2" t="s">
        <v>877</v>
      </c>
      <c r="F3095" s="11" t="s">
        <v>2248</v>
      </c>
      <c r="G3095" s="49" t="s">
        <v>2249</v>
      </c>
      <c r="H3095" s="2" t="s">
        <v>4699</v>
      </c>
      <c r="I3095" s="12" t="s">
        <v>4700</v>
      </c>
      <c r="J3095" s="41">
        <f>+Tabla1[[#This Row],[FECHA ENTRADA]]</f>
        <v>45869</v>
      </c>
      <c r="K3095" s="41">
        <v>45874</v>
      </c>
      <c r="L3095" s="42">
        <f>_xlfn.DAYS(Tabla1[[#This Row],[FECHA FIN ]],Tabla1[[#This Row],[FECHA INICIO]])</f>
        <v>5</v>
      </c>
      <c r="M3095" s="12"/>
      <c r="N3095" s="12"/>
      <c r="O3095" s="28">
        <f>(Tabla1[[#This Row],[COSTO FIJO ]]/30)*Tabla1[[#This Row],[TOTAL DIAS PROYECTO]]+(Tabla1[[#This Row],[COSTO TEMPORAL]])</f>
        <v>0</v>
      </c>
      <c r="P3095" s="12"/>
      <c r="Q3095" s="12">
        <f>+(Tabla1[[#This Row],[COSTO COCHE]]/30)*Tabla1[[#This Row],[TOTAL DIAS PROYECTO]]</f>
        <v>0</v>
      </c>
      <c r="R3095" s="12">
        <f>+Tabla1[[#This Row],[COSTO TOTAL ALOJAMIENTO]]+Tabla1[[#This Row],[COSTO TOTAL COCHE]]</f>
        <v>0</v>
      </c>
      <c r="S3095" s="2"/>
      <c r="T3095" s="14" t="s">
        <v>35</v>
      </c>
      <c r="U3095" s="14">
        <v>45869</v>
      </c>
      <c r="V3095" s="14"/>
      <c r="W3095" s="14"/>
      <c r="X3095" s="2">
        <v>30</v>
      </c>
      <c r="Y3095" s="14"/>
      <c r="Z3095" s="14" t="s">
        <v>36</v>
      </c>
      <c r="AA3095" s="13" t="s">
        <v>10403</v>
      </c>
      <c r="AB3095" s="13" t="s">
        <v>10404</v>
      </c>
    </row>
    <row r="3096" spans="1:29" ht="15" customHeight="1">
      <c r="A3096" s="2" t="s">
        <v>8821</v>
      </c>
      <c r="B3096" s="2" t="s">
        <v>4701</v>
      </c>
      <c r="C3096" s="99" t="s">
        <v>893</v>
      </c>
      <c r="D3096" s="2" t="s">
        <v>30</v>
      </c>
      <c r="E3096" s="2" t="s">
        <v>213</v>
      </c>
      <c r="F3096" s="11"/>
      <c r="G3096" s="11"/>
      <c r="H3096" s="2" t="s">
        <v>4702</v>
      </c>
      <c r="I3096" s="12" t="s">
        <v>918</v>
      </c>
      <c r="J3096" s="8">
        <f>+Tabla1[[#This Row],[FECHA ENTRADA]]</f>
        <v>45410</v>
      </c>
      <c r="K3096" s="22">
        <v>45869</v>
      </c>
      <c r="L3096" s="13">
        <f>_xlfn.DAYS(Tabla1[[#This Row],[FECHA FIN ]],Tabla1[[#This Row],[FECHA INICIO]])</f>
        <v>459</v>
      </c>
      <c r="M3096" s="12"/>
      <c r="N3096" s="12"/>
      <c r="O3096" s="12">
        <f>(Tabla1[[#This Row],[COSTO FIJO ]]/30)*Tabla1[[#This Row],[TOTAL DIAS PROYECTO]]+(Tabla1[[#This Row],[COSTO TEMPORAL]])</f>
        <v>0</v>
      </c>
      <c r="P3096" s="12"/>
      <c r="Q3096" s="12">
        <f>+(Tabla1[[#This Row],[COSTO COCHE]]/30)*Tabla1[[#This Row],[TOTAL DIAS PROYECTO]]</f>
        <v>0</v>
      </c>
      <c r="R3096" s="12">
        <f>+Tabla1[[#This Row],[COSTO TOTAL ALOJAMIENTO]]+Tabla1[[#This Row],[COSTO TOTAL COCHE]]</f>
        <v>0</v>
      </c>
      <c r="S3096" s="2"/>
      <c r="T3096" s="2" t="s">
        <v>58</v>
      </c>
      <c r="U3096" s="14">
        <v>45410</v>
      </c>
      <c r="V3096" s="14"/>
      <c r="W3096" s="2"/>
      <c r="X3096" s="2"/>
      <c r="Y3096" s="11" t="s">
        <v>4703</v>
      </c>
      <c r="Z3096" s="2" t="s">
        <v>36</v>
      </c>
      <c r="AA3096" s="13" t="s">
        <v>10349</v>
      </c>
      <c r="AB3096" s="13" t="s">
        <v>10350</v>
      </c>
    </row>
    <row r="3097" spans="1:29" ht="15" customHeight="1">
      <c r="A3097" s="2" t="s">
        <v>9714</v>
      </c>
      <c r="B3097" s="2" t="s">
        <v>978</v>
      </c>
      <c r="C3097" s="11" t="s">
        <v>4369</v>
      </c>
      <c r="D3097" s="2" t="s">
        <v>30</v>
      </c>
      <c r="E3097" s="2" t="s">
        <v>31</v>
      </c>
      <c r="F3097" s="11" t="s">
        <v>715</v>
      </c>
      <c r="G3097" s="11" t="s">
        <v>716</v>
      </c>
      <c r="H3097" s="2" t="s">
        <v>1575</v>
      </c>
      <c r="I3097" s="12" t="s">
        <v>2391</v>
      </c>
      <c r="J3097" s="22">
        <f>+Tabla1[[#This Row],[FECHA ENTRADA]]</f>
        <v>45851</v>
      </c>
      <c r="K3097" s="22">
        <v>45875</v>
      </c>
      <c r="L3097" s="23">
        <f>_xlfn.DAYS(Tabla1[[#This Row],[FECHA FIN ]],Tabla1[[#This Row],[FECHA INICIO]])</f>
        <v>24</v>
      </c>
      <c r="M3097" s="12"/>
      <c r="N3097" s="12">
        <v>160</v>
      </c>
      <c r="O3097" s="24">
        <f>(Tabla1[[#This Row],[COSTO FIJO ]]/30)*Tabla1[[#This Row],[TOTAL DIAS PROYECTO]]+(Tabla1[[#This Row],[COSTO TEMPORAL]])</f>
        <v>128</v>
      </c>
      <c r="P3097" s="12"/>
      <c r="Q3097" s="12">
        <f>+(Tabla1[[#This Row],[COSTO COCHE]]/30)*Tabla1[[#This Row],[TOTAL DIAS PROYECTO]]</f>
        <v>0</v>
      </c>
      <c r="R3097" s="12">
        <f>+Tabla1[[#This Row],[COSTO TOTAL ALOJAMIENTO]]+Tabla1[[#This Row],[COSTO TOTAL COCHE]]</f>
        <v>128</v>
      </c>
      <c r="S3097" s="2"/>
      <c r="T3097" s="14" t="s">
        <v>35</v>
      </c>
      <c r="U3097" s="14">
        <v>45851</v>
      </c>
      <c r="V3097" s="79"/>
      <c r="W3097" s="12"/>
      <c r="X3097" s="2">
        <v>1</v>
      </c>
      <c r="Y3097" s="11"/>
      <c r="Z3097" s="2" t="s">
        <v>36</v>
      </c>
      <c r="AA3097" s="13" t="s">
        <v>10323</v>
      </c>
      <c r="AB3097" s="13" t="s">
        <v>10324</v>
      </c>
    </row>
    <row r="3098" spans="1:29">
      <c r="A3098" s="2" t="s">
        <v>9019</v>
      </c>
      <c r="B3098" s="2" t="s">
        <v>368</v>
      </c>
      <c r="C3098" s="11" t="s">
        <v>1710</v>
      </c>
      <c r="D3098" s="2" t="s">
        <v>99</v>
      </c>
      <c r="E3098" s="2" t="s">
        <v>422</v>
      </c>
      <c r="F3098" s="11" t="s">
        <v>1375</v>
      </c>
      <c r="G3098" t="s">
        <v>1376</v>
      </c>
      <c r="H3098" s="2" t="s">
        <v>4686</v>
      </c>
      <c r="I3098" s="186" t="s">
        <v>2638</v>
      </c>
      <c r="J3098" s="22">
        <f>+Tabla1[[#This Row],[FECHA ENTRADA]]</f>
        <v>45817</v>
      </c>
      <c r="K3098" s="22">
        <v>45820</v>
      </c>
      <c r="L3098" s="23">
        <f>_xlfn.DAYS(Tabla1[[#This Row],[FECHA FIN ]],Tabla1[[#This Row],[FECHA INICIO]])</f>
        <v>3</v>
      </c>
      <c r="M3098" s="12"/>
      <c r="N3098" s="24">
        <v>233.33333333333334</v>
      </c>
      <c r="O3098" s="24">
        <f>(Tabla1[[#This Row],[COSTO FIJO ]]/30)*Tabla1[[#This Row],[TOTAL DIAS PROYECTO]]+(Tabla1[[#This Row],[COSTO TEMPORAL]])</f>
        <v>23.333333333333332</v>
      </c>
      <c r="P3098" s="12"/>
      <c r="Q3098" s="12">
        <f>+(Tabla1[[#This Row],[COSTO COCHE]]/30)*Tabla1[[#This Row],[TOTAL DIAS PROYECTO]]</f>
        <v>0</v>
      </c>
      <c r="R3098" s="12">
        <f>+Tabla1[[#This Row],[COSTO TOTAL ALOJAMIENTO]]+Tabla1[[#This Row],[COSTO TOTAL COCHE]]</f>
        <v>23.333333333333332</v>
      </c>
      <c r="S3098" s="2"/>
      <c r="T3098" s="14" t="s">
        <v>35</v>
      </c>
      <c r="U3098" s="14">
        <v>45817</v>
      </c>
      <c r="V3098" s="180"/>
      <c r="W3098" s="2"/>
      <c r="X3098" s="2">
        <v>5</v>
      </c>
      <c r="Y3098" s="11"/>
      <c r="Z3098" s="2" t="s">
        <v>36</v>
      </c>
      <c r="AA3098" s="13">
        <v>-326.69799999999998</v>
      </c>
      <c r="AB3098" s="13" t="s">
        <v>10373</v>
      </c>
    </row>
    <row r="3099" spans="1:29" ht="15" customHeight="1">
      <c r="A3099" s="2" t="s">
        <v>8995</v>
      </c>
      <c r="B3099" s="2" t="s">
        <v>978</v>
      </c>
      <c r="C3099" s="11" t="s">
        <v>1621</v>
      </c>
      <c r="D3099" s="2" t="s">
        <v>30</v>
      </c>
      <c r="E3099" s="2" t="s">
        <v>109</v>
      </c>
      <c r="F3099" s="11" t="s">
        <v>4678</v>
      </c>
      <c r="G3099" s="46" t="s">
        <v>4679</v>
      </c>
      <c r="H3099" s="2" t="s">
        <v>4680</v>
      </c>
      <c r="I3099" s="116" t="s">
        <v>4681</v>
      </c>
      <c r="J3099" s="41">
        <f>+Tabla1[[#This Row],[FECHA ENTRADA]]</f>
        <v>45839</v>
      </c>
      <c r="K3099" s="22">
        <v>45854</v>
      </c>
      <c r="L3099" s="42">
        <f>_xlfn.DAYS(Tabla1[[#This Row],[FECHA FIN ]],Tabla1[[#This Row],[FECHA INICIO]])</f>
        <v>15</v>
      </c>
      <c r="M3099" s="12"/>
      <c r="N3099" s="28">
        <f>738.74/4</f>
        <v>184.685</v>
      </c>
      <c r="O3099" s="28">
        <f>(Tabla1[[#This Row],[COSTO FIJO ]]/30)*Tabla1[[#This Row],[TOTAL DIAS PROYECTO]]+(Tabla1[[#This Row],[COSTO TEMPORAL]])</f>
        <v>92.342500000000001</v>
      </c>
      <c r="P3099" s="12"/>
      <c r="Q3099" s="12">
        <f>+(Tabla1[[#This Row],[COSTO COCHE]]/30)*Tabla1[[#This Row],[TOTAL DIAS PROYECTO]]</f>
        <v>0</v>
      </c>
      <c r="R3099" s="12">
        <f>+Tabla1[[#This Row],[COSTO TOTAL ALOJAMIENTO]]+Tabla1[[#This Row],[COSTO TOTAL COCHE]]</f>
        <v>92.342500000000001</v>
      </c>
      <c r="S3099" s="2"/>
      <c r="T3099" s="14" t="s">
        <v>44</v>
      </c>
      <c r="U3099" s="14">
        <v>45839</v>
      </c>
      <c r="V3099" s="43">
        <v>45854</v>
      </c>
      <c r="W3099" s="2"/>
      <c r="X3099" s="2"/>
      <c r="Y3099" s="11"/>
      <c r="Z3099" s="2" t="s">
        <v>36</v>
      </c>
      <c r="AA3099" s="13">
        <v>0.62217999999999996</v>
      </c>
      <c r="AB3099" s="13" t="s">
        <v>10339</v>
      </c>
    </row>
    <row r="3100" spans="1:29" ht="15" customHeight="1">
      <c r="A3100" s="2" t="s">
        <v>8994</v>
      </c>
      <c r="B3100" s="2" t="s">
        <v>978</v>
      </c>
      <c r="C3100" s="11" t="s">
        <v>1617</v>
      </c>
      <c r="D3100" s="2" t="s">
        <v>30</v>
      </c>
      <c r="E3100" s="2" t="s">
        <v>109</v>
      </c>
      <c r="F3100" s="11" t="s">
        <v>4678</v>
      </c>
      <c r="G3100" s="46" t="s">
        <v>4679</v>
      </c>
      <c r="H3100" s="2" t="s">
        <v>4680</v>
      </c>
      <c r="I3100" s="116" t="s">
        <v>4681</v>
      </c>
      <c r="J3100" s="41">
        <f>+Tabla1[[#This Row],[FECHA ENTRADA]]</f>
        <v>45839</v>
      </c>
      <c r="K3100" s="22">
        <v>45854</v>
      </c>
      <c r="L3100" s="42">
        <f>_xlfn.DAYS(Tabla1[[#This Row],[FECHA FIN ]],Tabla1[[#This Row],[FECHA INICIO]])</f>
        <v>15</v>
      </c>
      <c r="M3100" s="12"/>
      <c r="N3100" s="28">
        <f>738.74/4</f>
        <v>184.685</v>
      </c>
      <c r="O3100" s="28">
        <f>(Tabla1[[#This Row],[COSTO FIJO ]]/30)*Tabla1[[#This Row],[TOTAL DIAS PROYECTO]]+(Tabla1[[#This Row],[COSTO TEMPORAL]])</f>
        <v>92.342500000000001</v>
      </c>
      <c r="P3100" s="12"/>
      <c r="Q3100" s="12">
        <f>+(Tabla1[[#This Row],[COSTO COCHE]]/30)*Tabla1[[#This Row],[TOTAL DIAS PROYECTO]]</f>
        <v>0</v>
      </c>
      <c r="R3100" s="12">
        <f>+Tabla1[[#This Row],[COSTO TOTAL ALOJAMIENTO]]+Tabla1[[#This Row],[COSTO TOTAL COCHE]]</f>
        <v>92.342500000000001</v>
      </c>
      <c r="S3100" s="2"/>
      <c r="T3100" s="14" t="s">
        <v>44</v>
      </c>
      <c r="U3100" s="14">
        <v>45839</v>
      </c>
      <c r="V3100" s="43">
        <v>45854</v>
      </c>
      <c r="W3100" s="2"/>
      <c r="X3100" s="2"/>
      <c r="Y3100" s="11"/>
      <c r="Z3100" s="2" t="s">
        <v>36</v>
      </c>
      <c r="AA3100" s="13">
        <v>0.62217999999999996</v>
      </c>
      <c r="AB3100" s="13" t="s">
        <v>10339</v>
      </c>
    </row>
    <row r="3101" spans="1:29" ht="15" customHeight="1">
      <c r="A3101" s="2" t="s">
        <v>9539</v>
      </c>
      <c r="B3101" s="2" t="s">
        <v>978</v>
      </c>
      <c r="C3101" s="11" t="s">
        <v>3579</v>
      </c>
      <c r="D3101" s="2" t="s">
        <v>30</v>
      </c>
      <c r="E3101" s="2" t="s">
        <v>109</v>
      </c>
      <c r="F3101" s="11" t="s">
        <v>4678</v>
      </c>
      <c r="G3101" s="46" t="s">
        <v>4679</v>
      </c>
      <c r="H3101" s="2" t="s">
        <v>4680</v>
      </c>
      <c r="I3101" s="116" t="s">
        <v>4681</v>
      </c>
      <c r="J3101" s="41">
        <f>+Tabla1[[#This Row],[FECHA ENTRADA]]</f>
        <v>45839</v>
      </c>
      <c r="K3101" s="22">
        <v>45854</v>
      </c>
      <c r="L3101" s="42">
        <f>_xlfn.DAYS(Tabla1[[#This Row],[FECHA FIN ]],Tabla1[[#This Row],[FECHA INICIO]])</f>
        <v>15</v>
      </c>
      <c r="M3101" s="12"/>
      <c r="N3101" s="28">
        <f>738.74/4</f>
        <v>184.685</v>
      </c>
      <c r="O3101" s="28">
        <f>(Tabla1[[#This Row],[COSTO FIJO ]]/30)*Tabla1[[#This Row],[TOTAL DIAS PROYECTO]]+(Tabla1[[#This Row],[COSTO TEMPORAL]])</f>
        <v>92.342500000000001</v>
      </c>
      <c r="P3101" s="12"/>
      <c r="Q3101" s="12">
        <f>+(Tabla1[[#This Row],[COSTO COCHE]]/30)*Tabla1[[#This Row],[TOTAL DIAS PROYECTO]]</f>
        <v>0</v>
      </c>
      <c r="R3101" s="12">
        <f>+Tabla1[[#This Row],[COSTO TOTAL ALOJAMIENTO]]+Tabla1[[#This Row],[COSTO TOTAL COCHE]]</f>
        <v>92.342500000000001</v>
      </c>
      <c r="S3101" s="2"/>
      <c r="T3101" s="14" t="s">
        <v>44</v>
      </c>
      <c r="U3101" s="14">
        <v>45839</v>
      </c>
      <c r="V3101" s="43">
        <v>45854</v>
      </c>
      <c r="W3101" s="2"/>
      <c r="X3101" s="2"/>
      <c r="Y3101" s="11"/>
      <c r="Z3101" s="2" t="s">
        <v>36</v>
      </c>
      <c r="AA3101" s="13">
        <v>0.62217999999999996</v>
      </c>
      <c r="AB3101" s="13" t="s">
        <v>10339</v>
      </c>
    </row>
    <row r="3102" spans="1:29" ht="15" customHeight="1">
      <c r="A3102" s="2" t="s">
        <v>9294</v>
      </c>
      <c r="B3102" s="2" t="s">
        <v>28</v>
      </c>
      <c r="C3102" s="31" t="s">
        <v>2731</v>
      </c>
      <c r="D3102" s="2" t="s">
        <v>99</v>
      </c>
      <c r="E3102" s="2" t="s">
        <v>415</v>
      </c>
      <c r="F3102" s="11" t="s">
        <v>487</v>
      </c>
      <c r="G3102" s="100" t="s">
        <v>2795</v>
      </c>
      <c r="H3102" s="2" t="s">
        <v>2199</v>
      </c>
      <c r="I3102" s="12" t="s">
        <v>2473</v>
      </c>
      <c r="J3102" s="41">
        <f>+Tabla1[[#This Row],[FECHA ENTRADA]]</f>
        <v>45720</v>
      </c>
      <c r="K3102" s="22">
        <v>45821</v>
      </c>
      <c r="L3102" s="42">
        <f>_xlfn.DAYS(Tabla1[[#This Row],[FECHA FIN ]],Tabla1[[#This Row],[FECHA INICIO]])</f>
        <v>101</v>
      </c>
      <c r="M3102" s="12"/>
      <c r="N3102" s="20">
        <v>400</v>
      </c>
      <c r="O3102" s="28">
        <f>(Tabla1[[#This Row],[COSTO FIJO ]]/30)*Tabla1[[#This Row],[TOTAL DIAS PROYECTO]]+(Tabla1[[#This Row],[COSTO TEMPORAL]])</f>
        <v>1346.6666666666667</v>
      </c>
      <c r="P3102" s="12">
        <v>100</v>
      </c>
      <c r="Q3102" s="12">
        <f>+(Tabla1[[#This Row],[COSTO COCHE]]/30)*Tabla1[[#This Row],[TOTAL DIAS PROYECTO]]</f>
        <v>336.66666666666669</v>
      </c>
      <c r="R3102" s="12">
        <f>+Tabla1[[#This Row],[COSTO TOTAL ALOJAMIENTO]]+Tabla1[[#This Row],[COSTO TOTAL COCHE]]</f>
        <v>1683.3333333333335</v>
      </c>
      <c r="S3102" s="2"/>
      <c r="T3102" s="2" t="s">
        <v>35</v>
      </c>
      <c r="U3102" s="14">
        <v>45720</v>
      </c>
      <c r="V3102" s="43"/>
      <c r="W3102" s="26"/>
      <c r="X3102" s="2">
        <v>1</v>
      </c>
      <c r="Y3102" s="11"/>
      <c r="Z3102" s="2" t="s">
        <v>36</v>
      </c>
      <c r="AA3102" s="13">
        <v>-0.37739</v>
      </c>
      <c r="AB3102" s="13" t="s">
        <v>10372</v>
      </c>
    </row>
    <row r="3103" spans="1:29" ht="15" customHeight="1">
      <c r="A3103" s="2" t="s">
        <v>9681</v>
      </c>
      <c r="B3103" s="2" t="s">
        <v>978</v>
      </c>
      <c r="C3103" s="11" t="s">
        <v>4202</v>
      </c>
      <c r="D3103" s="2" t="s">
        <v>30</v>
      </c>
      <c r="E3103" s="2" t="s">
        <v>109</v>
      </c>
      <c r="F3103" s="11" t="s">
        <v>4678</v>
      </c>
      <c r="G3103" s="46" t="s">
        <v>4679</v>
      </c>
      <c r="H3103" s="2" t="s">
        <v>4704</v>
      </c>
      <c r="I3103" s="116" t="s">
        <v>4681</v>
      </c>
      <c r="J3103" s="41">
        <f>+Tabla1[[#This Row],[FECHA ENTRADA]]</f>
        <v>45841</v>
      </c>
      <c r="K3103" s="22">
        <v>45854</v>
      </c>
      <c r="L3103" s="42">
        <f>_xlfn.DAYS(Tabla1[[#This Row],[FECHA FIN ]],Tabla1[[#This Row],[FECHA INICIO]])</f>
        <v>13</v>
      </c>
      <c r="M3103" s="12"/>
      <c r="N3103" s="28">
        <f>738.74/4</f>
        <v>184.685</v>
      </c>
      <c r="O3103" s="28">
        <f>(Tabla1[[#This Row],[COSTO FIJO ]]/30)*Tabla1[[#This Row],[TOTAL DIAS PROYECTO]]+(Tabla1[[#This Row],[COSTO TEMPORAL]])</f>
        <v>80.030166666666659</v>
      </c>
      <c r="P3103" s="12"/>
      <c r="Q3103" s="12">
        <f>+(Tabla1[[#This Row],[COSTO COCHE]]/30)*Tabla1[[#This Row],[TOTAL DIAS PROYECTO]]</f>
        <v>0</v>
      </c>
      <c r="R3103" s="12">
        <f>+Tabla1[[#This Row],[COSTO TOTAL ALOJAMIENTO]]+Tabla1[[#This Row],[COSTO TOTAL COCHE]]</f>
        <v>80.030166666666659</v>
      </c>
      <c r="S3103" s="2"/>
      <c r="T3103" s="14" t="s">
        <v>44</v>
      </c>
      <c r="U3103" s="14">
        <v>45841</v>
      </c>
      <c r="V3103" s="43">
        <v>45854</v>
      </c>
      <c r="W3103" s="12"/>
      <c r="X3103" s="2"/>
      <c r="Y3103" s="11"/>
      <c r="Z3103" s="2" t="s">
        <v>36</v>
      </c>
      <c r="AA3103" s="13">
        <v>0.62217999999999996</v>
      </c>
      <c r="AB3103" s="13" t="s">
        <v>10339</v>
      </c>
    </row>
    <row r="3104" spans="1:29" ht="15" customHeight="1">
      <c r="A3104" s="2" t="s">
        <v>8678</v>
      </c>
      <c r="B3104" s="2" t="s">
        <v>978</v>
      </c>
      <c r="C3104" s="11" t="s">
        <v>251</v>
      </c>
      <c r="D3104" s="2" t="s">
        <v>99</v>
      </c>
      <c r="E3104" s="2" t="s">
        <v>109</v>
      </c>
      <c r="F3104" s="11" t="s">
        <v>1980</v>
      </c>
      <c r="G3104" s="46" t="s">
        <v>1981</v>
      </c>
      <c r="H3104" s="2" t="s">
        <v>4705</v>
      </c>
      <c r="I3104" s="12" t="s">
        <v>4420</v>
      </c>
      <c r="J3104" s="41">
        <f>+Tabla1[[#This Row],[FECHA ENTRADA]]</f>
        <v>45841</v>
      </c>
      <c r="K3104" s="22">
        <v>45862</v>
      </c>
      <c r="L3104" s="42">
        <f>_xlfn.DAYS(Tabla1[[#This Row],[FECHA FIN ]],Tabla1[[#This Row],[FECHA INICIO]])</f>
        <v>21</v>
      </c>
      <c r="M3104" s="12"/>
      <c r="N3104" s="28"/>
      <c r="O3104" s="28">
        <f>(Tabla1[[#This Row],[COSTO FIJO ]]/30)*Tabla1[[#This Row],[TOTAL DIAS PROYECTO]]+(Tabla1[[#This Row],[COSTO TEMPORAL]])</f>
        <v>0</v>
      </c>
      <c r="P3104" s="12"/>
      <c r="Q3104" s="12">
        <f>+(Tabla1[[#This Row],[COSTO COCHE]]/30)*Tabla1[[#This Row],[TOTAL DIAS PROYECTO]]</f>
        <v>0</v>
      </c>
      <c r="R3104" s="12">
        <f>+Tabla1[[#This Row],[COSTO TOTAL ALOJAMIENTO]]+Tabla1[[#This Row],[COSTO TOTAL COCHE]]</f>
        <v>0</v>
      </c>
      <c r="S3104" s="2"/>
      <c r="T3104" s="14" t="s">
        <v>35</v>
      </c>
      <c r="U3104" s="14">
        <v>45841</v>
      </c>
      <c r="V3104" s="43">
        <v>45872</v>
      </c>
      <c r="W3104" s="12"/>
      <c r="X3104" s="2">
        <v>1</v>
      </c>
      <c r="Y3104" s="240" t="s">
        <v>4706</v>
      </c>
      <c r="Z3104" s="2" t="s">
        <v>36</v>
      </c>
      <c r="AA3104" s="13">
        <v>0.62217999999999996</v>
      </c>
      <c r="AB3104" s="13" t="s">
        <v>10339</v>
      </c>
    </row>
    <row r="3105" spans="1:28" ht="15" customHeight="1">
      <c r="A3105" s="2" t="s">
        <v>9780</v>
      </c>
      <c r="B3105" s="2" t="s">
        <v>606</v>
      </c>
      <c r="C3105" s="31" t="s">
        <v>4707</v>
      </c>
      <c r="D3105" s="2" t="s">
        <v>30</v>
      </c>
      <c r="E3105" s="2" t="s">
        <v>55</v>
      </c>
      <c r="F3105" s="11" t="s">
        <v>4473</v>
      </c>
      <c r="G3105" s="118" t="s">
        <v>106</v>
      </c>
      <c r="H3105" s="2" t="s">
        <v>4126</v>
      </c>
      <c r="I3105" s="12" t="s">
        <v>4120</v>
      </c>
      <c r="J3105" s="22">
        <f>+Tabla1[[#This Row],[FECHA ENTRADA]]</f>
        <v>45811</v>
      </c>
      <c r="K3105" s="41">
        <v>46117</v>
      </c>
      <c r="L3105" s="23">
        <f>_xlfn.DAYS(Tabla1[[#This Row],[FECHA FIN ]],Tabla1[[#This Row],[FECHA INICIO]])</f>
        <v>306</v>
      </c>
      <c r="M3105" s="12"/>
      <c r="N3105" s="12">
        <v>483.33333333333331</v>
      </c>
      <c r="O3105" s="24">
        <f>(Tabla1[[#This Row],[COSTO FIJO ]]/30)*Tabla1[[#This Row],[TOTAL DIAS PROYECTO]]+(Tabla1[[#This Row],[COSTO TEMPORAL]])</f>
        <v>4930</v>
      </c>
      <c r="P3105" s="12"/>
      <c r="Q3105" s="12">
        <f>+(Tabla1[[#This Row],[COSTO COCHE]]/30)*Tabla1[[#This Row],[TOTAL DIAS PROYECTO]]</f>
        <v>0</v>
      </c>
      <c r="R3105" s="12">
        <f>+Tabla1[[#This Row],[COSTO TOTAL ALOJAMIENTO]]+Tabla1[[#This Row],[COSTO TOTAL COCHE]]</f>
        <v>4930</v>
      </c>
      <c r="S3105" s="2"/>
      <c r="T3105" s="8" t="s">
        <v>35</v>
      </c>
      <c r="U3105" s="14">
        <v>45811</v>
      </c>
      <c r="V3105" s="89"/>
      <c r="W3105" s="12"/>
      <c r="X3105" s="2">
        <v>1</v>
      </c>
      <c r="Y3105" t="s">
        <v>4708</v>
      </c>
      <c r="Z3105" s="2" t="s">
        <v>36</v>
      </c>
      <c r="AA3105" s="13" t="s">
        <v>10327</v>
      </c>
      <c r="AB3105" s="13" t="s">
        <v>10328</v>
      </c>
    </row>
    <row r="3106" spans="1:28" ht="15" customHeight="1">
      <c r="A3106" s="2" t="s">
        <v>9670</v>
      </c>
      <c r="B3106" s="2" t="s">
        <v>606</v>
      </c>
      <c r="C3106" s="31" t="s">
        <v>4155</v>
      </c>
      <c r="D3106" s="2" t="s">
        <v>99</v>
      </c>
      <c r="E3106" s="2" t="s">
        <v>31</v>
      </c>
      <c r="F3106" s="11" t="s">
        <v>530</v>
      </c>
      <c r="G3106" s="197" t="s">
        <v>531</v>
      </c>
      <c r="H3106" s="2" t="s">
        <v>4709</v>
      </c>
      <c r="I3106" s="12" t="s">
        <v>1480</v>
      </c>
      <c r="J3106" s="41">
        <f>+Tabla1[[#This Row],[FECHA ENTRADA]]</f>
        <v>45865</v>
      </c>
      <c r="K3106" s="41">
        <v>46150</v>
      </c>
      <c r="L3106" s="42">
        <f>_xlfn.DAYS(Tabla1[[#This Row],[FECHA FIN ]],Tabla1[[#This Row],[FECHA INICIO]])</f>
        <v>285</v>
      </c>
      <c r="M3106" s="12"/>
      <c r="N3106" s="12">
        <v>907.5</v>
      </c>
      <c r="O3106" s="28">
        <f>(Tabla1[[#This Row],[COSTO FIJO ]]/30)*Tabla1[[#This Row],[TOTAL DIAS PROYECTO]]+(Tabla1[[#This Row],[COSTO TEMPORAL]])</f>
        <v>8621.25</v>
      </c>
      <c r="P3106" s="12"/>
      <c r="Q3106" s="12">
        <f>+(Tabla1[[#This Row],[COSTO COCHE]]/30)*Tabla1[[#This Row],[TOTAL DIAS PROYECTO]]</f>
        <v>0</v>
      </c>
      <c r="R3106" s="12">
        <f>+Tabla1[[#This Row],[COSTO TOTAL ALOJAMIENTO]]+Tabla1[[#This Row],[COSTO TOTAL COCHE]]</f>
        <v>8621.25</v>
      </c>
      <c r="S3106" s="2"/>
      <c r="T3106" s="14" t="s">
        <v>35</v>
      </c>
      <c r="U3106" s="14">
        <v>45865</v>
      </c>
      <c r="V3106" s="43"/>
      <c r="W3106" s="12"/>
      <c r="X3106" s="2">
        <v>1</v>
      </c>
      <c r="Y3106" s="11" t="s">
        <v>4710</v>
      </c>
      <c r="Z3106" s="2" t="s">
        <v>36</v>
      </c>
      <c r="AA3106" s="13" t="s">
        <v>10323</v>
      </c>
      <c r="AB3106" s="13" t="s">
        <v>10324</v>
      </c>
    </row>
    <row r="3107" spans="1:28" ht="15" customHeight="1">
      <c r="A3107" s="2" t="s">
        <v>9429</v>
      </c>
      <c r="B3107" s="10" t="s">
        <v>978</v>
      </c>
      <c r="C3107" s="11" t="s">
        <v>3142</v>
      </c>
      <c r="D3107" s="2" t="s">
        <v>30</v>
      </c>
      <c r="E3107" s="2" t="s">
        <v>476</v>
      </c>
      <c r="F3107" s="11" t="s">
        <v>4711</v>
      </c>
      <c r="G3107" s="46" t="s">
        <v>4712</v>
      </c>
      <c r="H3107" s="2" t="s">
        <v>4713</v>
      </c>
      <c r="I3107" s="12" t="s">
        <v>4714</v>
      </c>
      <c r="J3107" s="41">
        <f>+Tabla1[[#This Row],[FECHA ENTRADA]]</f>
        <v>45872</v>
      </c>
      <c r="K3107" s="41">
        <v>45875</v>
      </c>
      <c r="L3107" s="42">
        <f>_xlfn.DAYS(Tabla1[[#This Row],[FECHA FIN ]],Tabla1[[#This Row],[FECHA INICIO]])</f>
        <v>3</v>
      </c>
      <c r="M3107" s="12"/>
      <c r="N3107" s="12">
        <f>115.85/2</f>
        <v>57.924999999999997</v>
      </c>
      <c r="O3107" s="28">
        <f>(Tabla1[[#This Row],[COSTO FIJO ]]/30)*Tabla1[[#This Row],[TOTAL DIAS PROYECTO]]+(Tabla1[[#This Row],[COSTO TEMPORAL]])</f>
        <v>5.7924999999999995</v>
      </c>
      <c r="P3107" s="12"/>
      <c r="Q3107" s="12">
        <f>+(Tabla1[[#This Row],[COSTO COCHE]]/30)*Tabla1[[#This Row],[TOTAL DIAS PROYECTO]]</f>
        <v>0</v>
      </c>
      <c r="R3107" s="12">
        <f>+Tabla1[[#This Row],[COSTO TOTAL ALOJAMIENTO]]+Tabla1[[#This Row],[COSTO TOTAL COCHE]]</f>
        <v>5.7924999999999995</v>
      </c>
      <c r="S3107" s="2"/>
      <c r="T3107" s="14" t="s">
        <v>44</v>
      </c>
      <c r="U3107" s="14">
        <v>45872</v>
      </c>
      <c r="V3107" s="43">
        <v>45875</v>
      </c>
      <c r="W3107" s="12"/>
      <c r="X3107" s="2"/>
      <c r="Y3107" s="11" t="s">
        <v>4545</v>
      </c>
      <c r="Z3107" s="2" t="s">
        <v>36</v>
      </c>
      <c r="AA3107" s="13">
        <v>-7.8640699999999999</v>
      </c>
      <c r="AB3107" s="13">
        <v>42.336689999999997</v>
      </c>
    </row>
    <row r="3108" spans="1:28" ht="15" customHeight="1">
      <c r="A3108" s="2" t="s">
        <v>9769</v>
      </c>
      <c r="B3108" s="10" t="s">
        <v>978</v>
      </c>
      <c r="C3108" s="11" t="s">
        <v>4658</v>
      </c>
      <c r="D3108" s="2" t="s">
        <v>30</v>
      </c>
      <c r="E3108" s="2" t="s">
        <v>476</v>
      </c>
      <c r="F3108" s="11" t="s">
        <v>4711</v>
      </c>
      <c r="G3108" s="46" t="s">
        <v>4712</v>
      </c>
      <c r="H3108" s="2" t="s">
        <v>4713</v>
      </c>
      <c r="I3108" s="12" t="s">
        <v>4714</v>
      </c>
      <c r="J3108" s="41">
        <f>+Tabla1[[#This Row],[FECHA ENTRADA]]</f>
        <v>45872</v>
      </c>
      <c r="K3108" s="41">
        <v>45875</v>
      </c>
      <c r="L3108" s="42">
        <f>_xlfn.DAYS(Tabla1[[#This Row],[FECHA FIN ]],Tabla1[[#This Row],[FECHA INICIO]])</f>
        <v>3</v>
      </c>
      <c r="M3108" s="12"/>
      <c r="N3108" s="12">
        <f>115.85/2</f>
        <v>57.924999999999997</v>
      </c>
      <c r="O3108" s="28">
        <f>(Tabla1[[#This Row],[COSTO FIJO ]]/30)*Tabla1[[#This Row],[TOTAL DIAS PROYECTO]]+(Tabla1[[#This Row],[COSTO TEMPORAL]])</f>
        <v>5.7924999999999995</v>
      </c>
      <c r="P3108" s="12"/>
      <c r="Q3108" s="12">
        <f>+(Tabla1[[#This Row],[COSTO COCHE]]/30)*Tabla1[[#This Row],[TOTAL DIAS PROYECTO]]</f>
        <v>0</v>
      </c>
      <c r="R3108" s="12">
        <f>+Tabla1[[#This Row],[COSTO TOTAL ALOJAMIENTO]]+Tabla1[[#This Row],[COSTO TOTAL COCHE]]</f>
        <v>5.7924999999999995</v>
      </c>
      <c r="S3108" s="2"/>
      <c r="T3108" s="14" t="s">
        <v>44</v>
      </c>
      <c r="U3108" s="14">
        <v>45872</v>
      </c>
      <c r="V3108" s="43">
        <v>45875</v>
      </c>
      <c r="W3108" s="12"/>
      <c r="X3108" s="2"/>
      <c r="Y3108" s="11" t="s">
        <v>4545</v>
      </c>
      <c r="Z3108" s="2" t="s">
        <v>36</v>
      </c>
      <c r="AA3108" s="13">
        <v>-7.8640699999999999</v>
      </c>
      <c r="AB3108" s="13">
        <v>42.336689999999997</v>
      </c>
    </row>
    <row r="3109" spans="1:28" ht="15" customHeight="1">
      <c r="A3109" s="2" t="s">
        <v>9533</v>
      </c>
      <c r="B3109" s="2" t="s">
        <v>978</v>
      </c>
      <c r="C3109" s="11" t="s">
        <v>3563</v>
      </c>
      <c r="D3109" s="2" t="s">
        <v>99</v>
      </c>
      <c r="E3109" s="2" t="s">
        <v>87</v>
      </c>
      <c r="F3109" s="11" t="s">
        <v>4715</v>
      </c>
      <c r="G3109" s="49" t="s">
        <v>4716</v>
      </c>
      <c r="H3109" s="2" t="s">
        <v>4717</v>
      </c>
      <c r="I3109" s="12" t="s">
        <v>4718</v>
      </c>
      <c r="J3109" s="22">
        <f>+Tabla1[[#This Row],[FECHA ENTRADA]]</f>
        <v>45867</v>
      </c>
      <c r="K3109" s="22">
        <v>45875</v>
      </c>
      <c r="L3109" s="23">
        <f>_xlfn.DAYS(Tabla1[[#This Row],[FECHA FIN ]],Tabla1[[#This Row],[FECHA INICIO]])</f>
        <v>8</v>
      </c>
      <c r="M3109" s="12"/>
      <c r="N3109" s="12">
        <v>179.14</v>
      </c>
      <c r="O3109" s="24">
        <f>(Tabla1[[#This Row],[COSTO FIJO ]]/30)*Tabla1[[#This Row],[TOTAL DIAS PROYECTO]]+(Tabla1[[#This Row],[COSTO TEMPORAL]])</f>
        <v>47.770666666666664</v>
      </c>
      <c r="P3109" s="12"/>
      <c r="Q3109" s="12">
        <f>+(Tabla1[[#This Row],[COSTO COCHE]]/30)*Tabla1[[#This Row],[TOTAL DIAS PROYECTO]]</f>
        <v>0</v>
      </c>
      <c r="R3109" s="12">
        <f>+Tabla1[[#This Row],[COSTO TOTAL ALOJAMIENTO]]+Tabla1[[#This Row],[COSTO TOTAL COCHE]]</f>
        <v>47.770666666666664</v>
      </c>
      <c r="S3109" s="2"/>
      <c r="T3109" s="14" t="s">
        <v>44</v>
      </c>
      <c r="U3109" s="14">
        <v>45867</v>
      </c>
      <c r="V3109" s="25">
        <v>45875</v>
      </c>
      <c r="W3109" s="12"/>
      <c r="X3109" s="2"/>
      <c r="Y3109" s="11" t="s">
        <v>4719</v>
      </c>
      <c r="Z3109" s="2" t="s">
        <v>36</v>
      </c>
      <c r="AA3109" s="13" t="s">
        <v>10335</v>
      </c>
      <c r="AB3109" s="13">
        <v>404.16500000000002</v>
      </c>
    </row>
    <row r="3110" spans="1:28" ht="15" customHeight="1">
      <c r="A3110" s="2" t="s">
        <v>9781</v>
      </c>
      <c r="B3110" s="2" t="s">
        <v>28</v>
      </c>
      <c r="C3110" s="31" t="s">
        <v>4720</v>
      </c>
      <c r="D3110" s="2" t="s">
        <v>30</v>
      </c>
      <c r="E3110" s="2" t="s">
        <v>259</v>
      </c>
      <c r="F3110" s="11" t="s">
        <v>691</v>
      </c>
      <c r="G3110" s="11" t="s">
        <v>692</v>
      </c>
      <c r="H3110" s="2" t="s">
        <v>4721</v>
      </c>
      <c r="I3110" s="12" t="s">
        <v>4722</v>
      </c>
      <c r="J3110" s="41">
        <f>+Tabla1[[#This Row],[FECHA ENTRADA]]</f>
        <v>45873</v>
      </c>
      <c r="K3110" s="41">
        <v>45876</v>
      </c>
      <c r="L3110" s="42">
        <f>_xlfn.DAYS(Tabla1[[#This Row],[FECHA FIN ]],Tabla1[[#This Row],[FECHA INICIO]])</f>
        <v>3</v>
      </c>
      <c r="M3110" s="12"/>
      <c r="N3110" s="28">
        <v>297.5</v>
      </c>
      <c r="O3110" s="28">
        <f>(Tabla1[[#This Row],[COSTO FIJO ]]/30)*Tabla1[[#This Row],[TOTAL DIAS PROYECTO]]+(Tabla1[[#This Row],[COSTO TEMPORAL]])</f>
        <v>29.75</v>
      </c>
      <c r="P3110" s="12"/>
      <c r="Q3110" s="12">
        <f>+(Tabla1[[#This Row],[COSTO COCHE]]/30)*Tabla1[[#This Row],[TOTAL DIAS PROYECTO]]</f>
        <v>0</v>
      </c>
      <c r="R3110" s="12">
        <f>+Tabla1[[#This Row],[COSTO TOTAL ALOJAMIENTO]]+Tabla1[[#This Row],[COSTO TOTAL COCHE]]</f>
        <v>29.75</v>
      </c>
      <c r="S3110" s="2"/>
      <c r="T3110" s="14" t="s">
        <v>35</v>
      </c>
      <c r="U3110" s="14">
        <v>45873</v>
      </c>
      <c r="V3110" s="43"/>
      <c r="W3110" s="12"/>
      <c r="X3110" s="2">
        <v>1</v>
      </c>
      <c r="Y3110" s="11" t="s">
        <v>4723</v>
      </c>
      <c r="Z3110" s="2" t="s">
        <v>36</v>
      </c>
      <c r="AA3110" s="13">
        <v>-0.87734000000000001</v>
      </c>
      <c r="AB3110" s="13" t="s">
        <v>10359</v>
      </c>
    </row>
    <row r="3111" spans="1:28" ht="15" customHeight="1">
      <c r="A3111" s="2" t="s">
        <v>9064</v>
      </c>
      <c r="B3111" s="2" t="s">
        <v>368</v>
      </c>
      <c r="C3111" s="11" t="s">
        <v>1847</v>
      </c>
      <c r="D3111" s="2" t="s">
        <v>30</v>
      </c>
      <c r="E3111" s="2" t="s">
        <v>985</v>
      </c>
      <c r="F3111" s="11" t="s">
        <v>4145</v>
      </c>
      <c r="G3111" t="s">
        <v>4146</v>
      </c>
      <c r="H3111" s="2" t="s">
        <v>988</v>
      </c>
      <c r="I3111" s="12" t="s">
        <v>989</v>
      </c>
      <c r="J3111" s="22">
        <f>+Tabla1[[#This Row],[FECHA ENTRADA]]</f>
        <v>45866</v>
      </c>
      <c r="K3111" s="22">
        <v>45876</v>
      </c>
      <c r="L3111" s="23">
        <f>_xlfn.DAYS(Tabla1[[#This Row],[FECHA FIN ]],Tabla1[[#This Row],[FECHA INICIO]])</f>
        <v>10</v>
      </c>
      <c r="M3111" s="12"/>
      <c r="N3111" s="12">
        <v>363.66666666666669</v>
      </c>
      <c r="O3111" s="24">
        <f>(Tabla1[[#This Row],[COSTO FIJO ]]/30)*Tabla1[[#This Row],[TOTAL DIAS PROYECTO]]+(Tabla1[[#This Row],[COSTO TEMPORAL]])</f>
        <v>121.22222222222223</v>
      </c>
      <c r="P3111" s="12"/>
      <c r="Q3111" s="12">
        <f>+(Tabla1[[#This Row],[COSTO COCHE]]/30)*Tabla1[[#This Row],[TOTAL DIAS PROYECTO]]</f>
        <v>0</v>
      </c>
      <c r="R3111" s="12">
        <f>+Tabla1[[#This Row],[COSTO TOTAL ALOJAMIENTO]]+Tabla1[[#This Row],[COSTO TOTAL COCHE]]</f>
        <v>121.22222222222223</v>
      </c>
      <c r="S3111" s="2"/>
      <c r="T3111" s="14" t="s">
        <v>44</v>
      </c>
      <c r="U3111" s="14">
        <v>45866</v>
      </c>
      <c r="V3111" s="25">
        <v>45876</v>
      </c>
      <c r="W3111" s="12"/>
      <c r="X3111" s="2"/>
      <c r="Y3111" s="11" t="s">
        <v>4147</v>
      </c>
      <c r="Z3111" s="2" t="s">
        <v>36</v>
      </c>
      <c r="AA3111" s="13" t="s">
        <v>10407</v>
      </c>
      <c r="AB3111" s="13" t="s">
        <v>10408</v>
      </c>
    </row>
    <row r="3112" spans="1:28" ht="15" customHeight="1">
      <c r="A3112" s="2" t="s">
        <v>8784</v>
      </c>
      <c r="B3112" s="2" t="s">
        <v>368</v>
      </c>
      <c r="C3112" s="11" t="s">
        <v>755</v>
      </c>
      <c r="D3112" s="2" t="s">
        <v>30</v>
      </c>
      <c r="E3112" s="2" t="s">
        <v>985</v>
      </c>
      <c r="F3112" s="11" t="s">
        <v>4145</v>
      </c>
      <c r="G3112" t="s">
        <v>4146</v>
      </c>
      <c r="H3112" s="2" t="s">
        <v>988</v>
      </c>
      <c r="I3112" s="12" t="s">
        <v>989</v>
      </c>
      <c r="J3112" s="22">
        <f>+Tabla1[[#This Row],[FECHA ENTRADA]]</f>
        <v>45866</v>
      </c>
      <c r="K3112" s="22">
        <v>45876</v>
      </c>
      <c r="L3112" s="23">
        <f>_xlfn.DAYS(Tabla1[[#This Row],[FECHA FIN ]],Tabla1[[#This Row],[FECHA INICIO]])</f>
        <v>10</v>
      </c>
      <c r="M3112" s="12"/>
      <c r="N3112" s="12">
        <v>363.66666666666669</v>
      </c>
      <c r="O3112" s="24">
        <f>(Tabla1[[#This Row],[COSTO FIJO ]]/30)*Tabla1[[#This Row],[TOTAL DIAS PROYECTO]]+(Tabla1[[#This Row],[COSTO TEMPORAL]])</f>
        <v>121.22222222222223</v>
      </c>
      <c r="P3112" s="12"/>
      <c r="Q3112" s="12">
        <f>+(Tabla1[[#This Row],[COSTO COCHE]]/30)*Tabla1[[#This Row],[TOTAL DIAS PROYECTO]]</f>
        <v>0</v>
      </c>
      <c r="R3112" s="12">
        <f>+Tabla1[[#This Row],[COSTO TOTAL ALOJAMIENTO]]+Tabla1[[#This Row],[COSTO TOTAL COCHE]]</f>
        <v>121.22222222222223</v>
      </c>
      <c r="S3112" s="2"/>
      <c r="T3112" s="14" t="s">
        <v>44</v>
      </c>
      <c r="U3112" s="14">
        <v>45866</v>
      </c>
      <c r="V3112" s="25">
        <v>45876</v>
      </c>
      <c r="W3112" s="12"/>
      <c r="X3112" s="2"/>
      <c r="Y3112" s="11" t="s">
        <v>4724</v>
      </c>
      <c r="Z3112" s="2" t="s">
        <v>36</v>
      </c>
      <c r="AA3112" s="13" t="s">
        <v>10407</v>
      </c>
      <c r="AB3112" s="13" t="s">
        <v>10408</v>
      </c>
    </row>
    <row r="3113" spans="1:28" ht="15" customHeight="1">
      <c r="A3113" s="2" t="s">
        <v>9782</v>
      </c>
      <c r="B3113" s="2" t="s">
        <v>28</v>
      </c>
      <c r="C3113" s="11" t="s">
        <v>4725</v>
      </c>
      <c r="D3113" s="2" t="s">
        <v>99</v>
      </c>
      <c r="E3113" s="2" t="s">
        <v>626</v>
      </c>
      <c r="F3113" s="11" t="s">
        <v>4726</v>
      </c>
      <c r="G3113" s="21" t="s">
        <v>4727</v>
      </c>
      <c r="H3113" s="2" t="s">
        <v>4728</v>
      </c>
      <c r="I3113" s="10" t="s">
        <v>570</v>
      </c>
      <c r="J3113" s="22">
        <f>+Tabla1[[#This Row],[FECHA ENTRADA]]</f>
        <v>45874</v>
      </c>
      <c r="K3113" s="22">
        <v>45876</v>
      </c>
      <c r="L3113" s="23">
        <f>_xlfn.DAYS(Tabla1[[#This Row],[FECHA FIN ]],Tabla1[[#This Row],[FECHA INICIO]])</f>
        <v>2</v>
      </c>
      <c r="M3113" s="12"/>
      <c r="N3113" s="12"/>
      <c r="O3113" s="24">
        <f>(Tabla1[[#This Row],[COSTO FIJO ]]/30)*Tabla1[[#This Row],[TOTAL DIAS PROYECTO]]+(Tabla1[[#This Row],[COSTO TEMPORAL]])</f>
        <v>0</v>
      </c>
      <c r="P3113" s="12"/>
      <c r="Q3113" s="12">
        <f>+(Tabla1[[#This Row],[COSTO COCHE]]/30)*Tabla1[[#This Row],[TOTAL DIAS PROYECTO]]</f>
        <v>0</v>
      </c>
      <c r="R3113" s="12">
        <f>+Tabla1[[#This Row],[COSTO TOTAL ALOJAMIENTO]]+Tabla1[[#This Row],[COSTO TOTAL COCHE]]</f>
        <v>0</v>
      </c>
      <c r="S3113" s="2"/>
      <c r="T3113" s="14" t="s">
        <v>44</v>
      </c>
      <c r="U3113" s="14">
        <v>45874</v>
      </c>
      <c r="V3113" s="25">
        <v>45881</v>
      </c>
      <c r="W3113" s="12"/>
      <c r="X3113" s="2"/>
      <c r="Y3113" s="11" t="s">
        <v>4729</v>
      </c>
      <c r="Z3113" s="2" t="s">
        <v>36</v>
      </c>
      <c r="AA3113" s="13" t="s">
        <v>10385</v>
      </c>
      <c r="AB3113" s="13" t="s">
        <v>10386</v>
      </c>
    </row>
    <row r="3114" spans="1:28" ht="15" customHeight="1">
      <c r="A3114" s="2" t="s">
        <v>9545</v>
      </c>
      <c r="B3114" s="2" t="s">
        <v>28</v>
      </c>
      <c r="C3114" s="11" t="s">
        <v>3589</v>
      </c>
      <c r="D3114" s="2" t="s">
        <v>99</v>
      </c>
      <c r="E3114" s="2" t="s">
        <v>626</v>
      </c>
      <c r="F3114" s="11" t="s">
        <v>4726</v>
      </c>
      <c r="G3114" s="21" t="s">
        <v>4727</v>
      </c>
      <c r="H3114" s="2" t="s">
        <v>4728</v>
      </c>
      <c r="I3114" s="10" t="s">
        <v>570</v>
      </c>
      <c r="J3114" s="22">
        <f>+Tabla1[[#This Row],[FECHA ENTRADA]]</f>
        <v>45874</v>
      </c>
      <c r="K3114" s="22">
        <v>45876</v>
      </c>
      <c r="L3114" s="23">
        <f>_xlfn.DAYS(Tabla1[[#This Row],[FECHA FIN ]],Tabla1[[#This Row],[FECHA INICIO]])</f>
        <v>2</v>
      </c>
      <c r="M3114" s="12"/>
      <c r="N3114" s="12"/>
      <c r="O3114" s="24">
        <f>(Tabla1[[#This Row],[COSTO FIJO ]]/30)*Tabla1[[#This Row],[TOTAL DIAS PROYECTO]]+(Tabla1[[#This Row],[COSTO TEMPORAL]])</f>
        <v>0</v>
      </c>
      <c r="P3114" s="12"/>
      <c r="Q3114" s="12">
        <f>+(Tabla1[[#This Row],[COSTO COCHE]]/30)*Tabla1[[#This Row],[TOTAL DIAS PROYECTO]]</f>
        <v>0</v>
      </c>
      <c r="R3114" s="12">
        <f>+Tabla1[[#This Row],[COSTO TOTAL ALOJAMIENTO]]+Tabla1[[#This Row],[COSTO TOTAL COCHE]]</f>
        <v>0</v>
      </c>
      <c r="S3114" s="2"/>
      <c r="T3114" s="14" t="s">
        <v>44</v>
      </c>
      <c r="U3114" s="14">
        <v>45874</v>
      </c>
      <c r="V3114" s="25">
        <v>45881</v>
      </c>
      <c r="W3114" s="12"/>
      <c r="X3114" s="2"/>
      <c r="Y3114" s="11" t="s">
        <v>4729</v>
      </c>
      <c r="Z3114" s="2" t="s">
        <v>36</v>
      </c>
      <c r="AA3114" s="13" t="s">
        <v>10385</v>
      </c>
      <c r="AB3114" s="13" t="s">
        <v>10386</v>
      </c>
    </row>
    <row r="3115" spans="1:28" ht="15" customHeight="1">
      <c r="A3115" s="2" t="s">
        <v>9770</v>
      </c>
      <c r="B3115" s="2" t="s">
        <v>28</v>
      </c>
      <c r="C3115" s="11" t="s">
        <v>4661</v>
      </c>
      <c r="D3115" s="2" t="s">
        <v>99</v>
      </c>
      <c r="E3115" s="2" t="s">
        <v>626</v>
      </c>
      <c r="F3115" s="11" t="s">
        <v>4726</v>
      </c>
      <c r="G3115" s="21" t="s">
        <v>4727</v>
      </c>
      <c r="H3115" s="2" t="s">
        <v>4728</v>
      </c>
      <c r="I3115" s="10" t="s">
        <v>570</v>
      </c>
      <c r="J3115" s="22">
        <f>+Tabla1[[#This Row],[FECHA ENTRADA]]</f>
        <v>45874</v>
      </c>
      <c r="K3115" s="22">
        <v>45876</v>
      </c>
      <c r="L3115" s="23">
        <f>_xlfn.DAYS(Tabla1[[#This Row],[FECHA FIN ]],Tabla1[[#This Row],[FECHA INICIO]])</f>
        <v>2</v>
      </c>
      <c r="M3115" s="12"/>
      <c r="N3115" s="12"/>
      <c r="O3115" s="24">
        <f>(Tabla1[[#This Row],[COSTO FIJO ]]/30)*Tabla1[[#This Row],[TOTAL DIAS PROYECTO]]+(Tabla1[[#This Row],[COSTO TEMPORAL]])</f>
        <v>0</v>
      </c>
      <c r="P3115" s="12"/>
      <c r="Q3115" s="12">
        <f>+(Tabla1[[#This Row],[COSTO COCHE]]/30)*Tabla1[[#This Row],[TOTAL DIAS PROYECTO]]</f>
        <v>0</v>
      </c>
      <c r="R3115" s="12">
        <f>+Tabla1[[#This Row],[COSTO TOTAL ALOJAMIENTO]]+Tabla1[[#This Row],[COSTO TOTAL COCHE]]</f>
        <v>0</v>
      </c>
      <c r="S3115" s="2"/>
      <c r="T3115" s="14" t="s">
        <v>44</v>
      </c>
      <c r="U3115" s="14">
        <v>45874</v>
      </c>
      <c r="V3115" s="25">
        <v>45881</v>
      </c>
      <c r="W3115" s="12"/>
      <c r="X3115" s="2"/>
      <c r="Y3115" s="11" t="s">
        <v>4729</v>
      </c>
      <c r="Z3115" s="2" t="s">
        <v>36</v>
      </c>
      <c r="AA3115" s="13" t="s">
        <v>10385</v>
      </c>
      <c r="AB3115" s="13" t="s">
        <v>10386</v>
      </c>
    </row>
    <row r="3116" spans="1:28" ht="15" customHeight="1">
      <c r="A3116" s="2" t="s">
        <v>9685</v>
      </c>
      <c r="B3116" s="2" t="s">
        <v>28</v>
      </c>
      <c r="C3116" s="11" t="s">
        <v>4228</v>
      </c>
      <c r="D3116" s="2" t="s">
        <v>99</v>
      </c>
      <c r="E3116" s="2" t="s">
        <v>626</v>
      </c>
      <c r="F3116" s="11" t="s">
        <v>4730</v>
      </c>
      <c r="G3116" s="30" t="s">
        <v>2377</v>
      </c>
      <c r="H3116" s="2" t="s">
        <v>4731</v>
      </c>
      <c r="I3116" s="12" t="s">
        <v>570</v>
      </c>
      <c r="J3116" s="22">
        <f>+Tabla1[[#This Row],[FECHA ENTRADA]]</f>
        <v>45860</v>
      </c>
      <c r="K3116" s="22">
        <v>45876</v>
      </c>
      <c r="L3116" s="23">
        <f>_xlfn.DAYS(Tabla1[[#This Row],[FECHA FIN ]],Tabla1[[#This Row],[FECHA INICIO]])</f>
        <v>16</v>
      </c>
      <c r="M3116" s="12"/>
      <c r="N3116" s="12"/>
      <c r="O3116" s="24">
        <f>(Tabla1[[#This Row],[COSTO FIJO ]]/30)*Tabla1[[#This Row],[TOTAL DIAS PROYECTO]]+(Tabla1[[#This Row],[COSTO TEMPORAL]])</f>
        <v>0</v>
      </c>
      <c r="P3116" s="12"/>
      <c r="Q3116" s="12">
        <f>+(Tabla1[[#This Row],[COSTO COCHE]]/30)*Tabla1[[#This Row],[TOTAL DIAS PROYECTO]]</f>
        <v>0</v>
      </c>
      <c r="R3116" s="12">
        <f>+Tabla1[[#This Row],[COSTO TOTAL ALOJAMIENTO]]+Tabla1[[#This Row],[COSTO TOTAL COCHE]]</f>
        <v>0</v>
      </c>
      <c r="S3116" s="2"/>
      <c r="T3116" s="14" t="s">
        <v>44</v>
      </c>
      <c r="U3116" s="14">
        <v>45860</v>
      </c>
      <c r="V3116" s="79">
        <v>45888</v>
      </c>
      <c r="W3116" s="12"/>
      <c r="X3116" s="2"/>
      <c r="Y3116" s="11" t="s">
        <v>4732</v>
      </c>
      <c r="Z3116" s="2" t="s">
        <v>36</v>
      </c>
      <c r="AA3116" s="13" t="s">
        <v>10385</v>
      </c>
      <c r="AB3116" s="13" t="s">
        <v>10386</v>
      </c>
    </row>
    <row r="3117" spans="1:28">
      <c r="A3117" s="2" t="s">
        <v>9783</v>
      </c>
      <c r="B3117" s="2" t="s">
        <v>978</v>
      </c>
      <c r="C3117" s="11" t="s">
        <v>4733</v>
      </c>
      <c r="D3117" s="2" t="s">
        <v>99</v>
      </c>
      <c r="E3117" s="2" t="s">
        <v>855</v>
      </c>
      <c r="F3117" s="11" t="s">
        <v>4734</v>
      </c>
      <c r="G3117" s="46" t="s">
        <v>4511</v>
      </c>
      <c r="H3117" s="2" t="s">
        <v>2677</v>
      </c>
      <c r="I3117" s="12" t="s">
        <v>4512</v>
      </c>
      <c r="J3117" s="41">
        <f>+Tabla1[[#This Row],[FECHA ENTRADA]]</f>
        <v>45800</v>
      </c>
      <c r="K3117" s="41">
        <v>45876</v>
      </c>
      <c r="L3117" s="42">
        <f>_xlfn.DAYS(Tabla1[[#This Row],[FECHA FIN ]],Tabla1[[#This Row],[FECHA INICIO]])</f>
        <v>76</v>
      </c>
      <c r="M3117" s="12"/>
      <c r="N3117" s="12"/>
      <c r="O3117" s="28">
        <f>(Tabla1[[#This Row],[COSTO FIJO ]]/30)*Tabla1[[#This Row],[TOTAL DIAS PROYECTO]]+(Tabla1[[#This Row],[COSTO TEMPORAL]])</f>
        <v>0</v>
      </c>
      <c r="P3117" s="12"/>
      <c r="Q3117" s="12">
        <f>+(Tabla1[[#This Row],[COSTO COCHE]]/30)*Tabla1[[#This Row],[TOTAL DIAS PROYECTO]]</f>
        <v>0</v>
      </c>
      <c r="R3117" s="12">
        <f>+Tabla1[[#This Row],[COSTO TOTAL ALOJAMIENTO]]+Tabla1[[#This Row],[COSTO TOTAL COCHE]]</f>
        <v>0</v>
      </c>
      <c r="S3117" s="2"/>
      <c r="T3117" s="14" t="s">
        <v>35</v>
      </c>
      <c r="U3117" s="14">
        <v>45800</v>
      </c>
      <c r="V3117" s="43"/>
      <c r="W3117" s="12"/>
      <c r="X3117" s="2">
        <v>20</v>
      </c>
      <c r="Y3117" s="11" t="s">
        <v>4735</v>
      </c>
      <c r="Z3117" s="2" t="s">
        <v>36</v>
      </c>
      <c r="AA3117" s="13" t="s">
        <v>10401</v>
      </c>
      <c r="AB3117" s="13" t="s">
        <v>10402</v>
      </c>
    </row>
    <row r="3118" spans="1:28" ht="15" customHeight="1">
      <c r="A3118" s="2" t="s">
        <v>9454</v>
      </c>
      <c r="B3118" s="2" t="s">
        <v>978</v>
      </c>
      <c r="C3118" s="11" t="s">
        <v>3230</v>
      </c>
      <c r="D3118" s="2" t="s">
        <v>99</v>
      </c>
      <c r="E3118" s="2" t="s">
        <v>855</v>
      </c>
      <c r="F3118" s="11" t="s">
        <v>4734</v>
      </c>
      <c r="G3118" s="46" t="s">
        <v>4511</v>
      </c>
      <c r="H3118" s="2" t="s">
        <v>2677</v>
      </c>
      <c r="I3118" s="12" t="s">
        <v>4512</v>
      </c>
      <c r="J3118" s="41">
        <f>+Tabla1[[#This Row],[FECHA ENTRADA]]</f>
        <v>45800</v>
      </c>
      <c r="K3118" s="22">
        <v>45876</v>
      </c>
      <c r="L3118" s="42">
        <f>_xlfn.DAYS(Tabla1[[#This Row],[FECHA FIN ]],Tabla1[[#This Row],[FECHA INICIO]])</f>
        <v>76</v>
      </c>
      <c r="M3118" s="12"/>
      <c r="N3118" s="12"/>
      <c r="O3118" s="28">
        <f>(Tabla1[[#This Row],[COSTO FIJO ]]/30)*Tabla1[[#This Row],[TOTAL DIAS PROYECTO]]+(Tabla1[[#This Row],[COSTO TEMPORAL]])</f>
        <v>0</v>
      </c>
      <c r="P3118" s="12"/>
      <c r="Q3118" s="12">
        <f>+(Tabla1[[#This Row],[COSTO COCHE]]/30)*Tabla1[[#This Row],[TOTAL DIAS PROYECTO]]</f>
        <v>0</v>
      </c>
      <c r="R3118" s="12">
        <f>+Tabla1[[#This Row],[COSTO TOTAL ALOJAMIENTO]]+Tabla1[[#This Row],[COSTO TOTAL COCHE]]</f>
        <v>0</v>
      </c>
      <c r="S3118" s="2"/>
      <c r="T3118" s="14" t="s">
        <v>35</v>
      </c>
      <c r="U3118" s="14">
        <v>45800</v>
      </c>
      <c r="V3118" s="43"/>
      <c r="W3118" s="12"/>
      <c r="X3118" s="2">
        <v>20</v>
      </c>
      <c r="Y3118" s="11"/>
      <c r="Z3118" s="2" t="s">
        <v>36</v>
      </c>
      <c r="AA3118" s="13" t="s">
        <v>10401</v>
      </c>
      <c r="AB3118" s="13" t="s">
        <v>10402</v>
      </c>
    </row>
    <row r="3119" spans="1:28" ht="15" customHeight="1">
      <c r="A3119" s="2" t="s">
        <v>9784</v>
      </c>
      <c r="B3119" s="2" t="s">
        <v>978</v>
      </c>
      <c r="C3119" s="11" t="s">
        <v>4736</v>
      </c>
      <c r="D3119" s="2" t="s">
        <v>99</v>
      </c>
      <c r="E3119" s="2" t="s">
        <v>855</v>
      </c>
      <c r="F3119" s="11" t="s">
        <v>4734</v>
      </c>
      <c r="G3119" s="46" t="s">
        <v>4511</v>
      </c>
      <c r="H3119" s="2" t="s">
        <v>2677</v>
      </c>
      <c r="I3119" s="12" t="s">
        <v>4512</v>
      </c>
      <c r="J3119" s="41">
        <f>+Tabla1[[#This Row],[FECHA ENTRADA]]</f>
        <v>45800</v>
      </c>
      <c r="K3119" s="41">
        <v>45876</v>
      </c>
      <c r="L3119" s="42">
        <f>_xlfn.DAYS(Tabla1[[#This Row],[FECHA FIN ]],Tabla1[[#This Row],[FECHA INICIO]])</f>
        <v>76</v>
      </c>
      <c r="M3119" s="12"/>
      <c r="N3119" s="12"/>
      <c r="O3119" s="28">
        <f>(Tabla1[[#This Row],[COSTO FIJO ]]/30)*Tabla1[[#This Row],[TOTAL DIAS PROYECTO]]+(Tabla1[[#This Row],[COSTO TEMPORAL]])</f>
        <v>0</v>
      </c>
      <c r="P3119" s="12"/>
      <c r="Q3119" s="12">
        <f>+(Tabla1[[#This Row],[COSTO COCHE]]/30)*Tabla1[[#This Row],[TOTAL DIAS PROYECTO]]</f>
        <v>0</v>
      </c>
      <c r="R3119" s="12">
        <f>+Tabla1[[#This Row],[COSTO TOTAL ALOJAMIENTO]]+Tabla1[[#This Row],[COSTO TOTAL COCHE]]</f>
        <v>0</v>
      </c>
      <c r="S3119" s="2"/>
      <c r="T3119" s="14" t="s">
        <v>35</v>
      </c>
      <c r="U3119" s="14">
        <v>45800</v>
      </c>
      <c r="V3119" s="43"/>
      <c r="W3119" s="12">
        <v>1000</v>
      </c>
      <c r="X3119" s="2">
        <v>20</v>
      </c>
      <c r="Y3119" s="11"/>
      <c r="Z3119" s="2" t="s">
        <v>36</v>
      </c>
      <c r="AA3119" s="13" t="s">
        <v>10401</v>
      </c>
      <c r="AB3119" s="13" t="s">
        <v>10402</v>
      </c>
    </row>
    <row r="3120" spans="1:28">
      <c r="A3120" s="2" t="s">
        <v>8642</v>
      </c>
      <c r="B3120" s="2" t="s">
        <v>978</v>
      </c>
      <c r="C3120" s="11" t="s">
        <v>4737</v>
      </c>
      <c r="D3120" s="2" t="s">
        <v>99</v>
      </c>
      <c r="E3120" s="2" t="s">
        <v>855</v>
      </c>
      <c r="F3120" s="11" t="s">
        <v>4734</v>
      </c>
      <c r="G3120" s="46" t="s">
        <v>4511</v>
      </c>
      <c r="H3120" s="2" t="s">
        <v>2677</v>
      </c>
      <c r="I3120" s="12" t="s">
        <v>4512</v>
      </c>
      <c r="J3120" s="41">
        <f>+Tabla1[[#This Row],[FECHA ENTRADA]]</f>
        <v>45800</v>
      </c>
      <c r="K3120" s="41">
        <v>45876</v>
      </c>
      <c r="L3120" s="42">
        <f>_xlfn.DAYS(Tabla1[[#This Row],[FECHA FIN ]],Tabla1[[#This Row],[FECHA INICIO]])</f>
        <v>76</v>
      </c>
      <c r="M3120" s="12"/>
      <c r="N3120" s="12"/>
      <c r="O3120" s="28">
        <f>(Tabla1[[#This Row],[COSTO FIJO ]]/30)*Tabla1[[#This Row],[TOTAL DIAS PROYECTO]]+(Tabla1[[#This Row],[COSTO TEMPORAL]])</f>
        <v>0</v>
      </c>
      <c r="P3120" s="12"/>
      <c r="Q3120" s="12">
        <f>+(Tabla1[[#This Row],[COSTO COCHE]]/30)*Tabla1[[#This Row],[TOTAL DIAS PROYECTO]]</f>
        <v>0</v>
      </c>
      <c r="R3120" s="12">
        <f>+Tabla1[[#This Row],[COSTO TOTAL ALOJAMIENTO]]+Tabla1[[#This Row],[COSTO TOTAL COCHE]]</f>
        <v>0</v>
      </c>
      <c r="S3120" s="2"/>
      <c r="T3120" s="14" t="s">
        <v>35</v>
      </c>
      <c r="U3120" s="14">
        <v>45800</v>
      </c>
      <c r="V3120" s="43"/>
      <c r="W3120" s="12"/>
      <c r="X3120" s="2">
        <v>20</v>
      </c>
      <c r="Y3120" s="11"/>
      <c r="Z3120" s="2" t="s">
        <v>36</v>
      </c>
      <c r="AA3120" s="13" t="s">
        <v>10401</v>
      </c>
      <c r="AB3120" s="13" t="s">
        <v>10402</v>
      </c>
    </row>
    <row r="3121" spans="1:28" ht="15" customHeight="1">
      <c r="A3121" s="2" t="s">
        <v>9785</v>
      </c>
      <c r="B3121" s="2" t="s">
        <v>978</v>
      </c>
      <c r="C3121" s="11" t="s">
        <v>4738</v>
      </c>
      <c r="D3121" s="2" t="s">
        <v>99</v>
      </c>
      <c r="E3121" s="2" t="s">
        <v>855</v>
      </c>
      <c r="F3121" s="11" t="s">
        <v>4734</v>
      </c>
      <c r="G3121" s="46" t="s">
        <v>4511</v>
      </c>
      <c r="H3121" s="2" t="s">
        <v>2677</v>
      </c>
      <c r="I3121" s="12" t="s">
        <v>4512</v>
      </c>
      <c r="J3121" s="41">
        <f>+Tabla1[[#This Row],[FECHA ENTRADA]]</f>
        <v>45800</v>
      </c>
      <c r="K3121" s="41">
        <v>45876</v>
      </c>
      <c r="L3121" s="42">
        <f>_xlfn.DAYS(Tabla1[[#This Row],[FECHA FIN ]],Tabla1[[#This Row],[FECHA INICIO]])</f>
        <v>76</v>
      </c>
      <c r="M3121" s="12"/>
      <c r="N3121" s="12"/>
      <c r="O3121" s="28">
        <f>(Tabla1[[#This Row],[COSTO FIJO ]]/30)*Tabla1[[#This Row],[TOTAL DIAS PROYECTO]]+(Tabla1[[#This Row],[COSTO TEMPORAL]])</f>
        <v>0</v>
      </c>
      <c r="P3121" s="12"/>
      <c r="Q3121" s="12">
        <f>+(Tabla1[[#This Row],[COSTO COCHE]]/30)*Tabla1[[#This Row],[TOTAL DIAS PROYECTO]]</f>
        <v>0</v>
      </c>
      <c r="R3121" s="12">
        <f>+Tabla1[[#This Row],[COSTO TOTAL ALOJAMIENTO]]+Tabla1[[#This Row],[COSTO TOTAL COCHE]]</f>
        <v>0</v>
      </c>
      <c r="S3121" s="2"/>
      <c r="T3121" s="14" t="s">
        <v>35</v>
      </c>
      <c r="U3121" s="14">
        <v>45800</v>
      </c>
      <c r="V3121" s="43"/>
      <c r="W3121" s="12"/>
      <c r="X3121" s="2">
        <v>20</v>
      </c>
      <c r="Y3121" s="11"/>
      <c r="Z3121" s="2" t="s">
        <v>36</v>
      </c>
      <c r="AA3121" s="13" t="s">
        <v>10401</v>
      </c>
      <c r="AB3121" s="13" t="s">
        <v>10402</v>
      </c>
    </row>
    <row r="3122" spans="1:28" ht="15" customHeight="1">
      <c r="A3122" s="2" t="s">
        <v>9786</v>
      </c>
      <c r="B3122" s="2" t="s">
        <v>978</v>
      </c>
      <c r="C3122" s="11" t="s">
        <v>4739</v>
      </c>
      <c r="D3122" s="2" t="s">
        <v>99</v>
      </c>
      <c r="E3122" s="2" t="s">
        <v>855</v>
      </c>
      <c r="F3122" s="11" t="s">
        <v>4734</v>
      </c>
      <c r="G3122" s="46" t="s">
        <v>4511</v>
      </c>
      <c r="H3122" s="2" t="s">
        <v>2677</v>
      </c>
      <c r="I3122" s="12" t="s">
        <v>4512</v>
      </c>
      <c r="J3122" s="41">
        <f>+Tabla1[[#This Row],[FECHA ENTRADA]]</f>
        <v>45800</v>
      </c>
      <c r="K3122" s="41">
        <v>45876</v>
      </c>
      <c r="L3122" s="42">
        <f>_xlfn.DAYS(Tabla1[[#This Row],[FECHA FIN ]],Tabla1[[#This Row],[FECHA INICIO]])</f>
        <v>76</v>
      </c>
      <c r="M3122" s="12"/>
      <c r="N3122" s="12"/>
      <c r="O3122" s="28">
        <f>(Tabla1[[#This Row],[COSTO FIJO ]]/30)*Tabla1[[#This Row],[TOTAL DIAS PROYECTO]]+(Tabla1[[#This Row],[COSTO TEMPORAL]])</f>
        <v>0</v>
      </c>
      <c r="P3122" s="12"/>
      <c r="Q3122" s="12">
        <f>+(Tabla1[[#This Row],[COSTO COCHE]]/30)*Tabla1[[#This Row],[TOTAL DIAS PROYECTO]]</f>
        <v>0</v>
      </c>
      <c r="R3122" s="12">
        <f>+Tabla1[[#This Row],[COSTO TOTAL ALOJAMIENTO]]+Tabla1[[#This Row],[COSTO TOTAL COCHE]]</f>
        <v>0</v>
      </c>
      <c r="S3122" s="2"/>
      <c r="T3122" s="14" t="s">
        <v>35</v>
      </c>
      <c r="U3122" s="14">
        <v>45800</v>
      </c>
      <c r="V3122" s="43"/>
      <c r="W3122" s="12"/>
      <c r="X3122" s="2">
        <v>20</v>
      </c>
      <c r="Y3122" s="11"/>
      <c r="Z3122" s="2" t="s">
        <v>36</v>
      </c>
      <c r="AA3122" s="13" t="s">
        <v>10401</v>
      </c>
      <c r="AB3122" s="13" t="s">
        <v>10402</v>
      </c>
    </row>
    <row r="3123" spans="1:28" ht="15" customHeight="1">
      <c r="A3123" s="2" t="s">
        <v>9787</v>
      </c>
      <c r="B3123" s="10" t="s">
        <v>978</v>
      </c>
      <c r="C3123" s="11" t="s">
        <v>4740</v>
      </c>
      <c r="D3123" s="2" t="s">
        <v>30</v>
      </c>
      <c r="E3123" s="2" t="s">
        <v>608</v>
      </c>
      <c r="F3123" s="11" t="s">
        <v>4741</v>
      </c>
      <c r="G3123" s="30" t="s">
        <v>4742</v>
      </c>
      <c r="H3123" s="2" t="s">
        <v>2142</v>
      </c>
      <c r="I3123" s="12" t="s">
        <v>4255</v>
      </c>
      <c r="J3123" s="41">
        <f>+Tabla1[[#This Row],[FECHA ENTRADA]]</f>
        <v>45809</v>
      </c>
      <c r="K3123" s="41">
        <v>45877</v>
      </c>
      <c r="L3123" s="42">
        <f>_xlfn.DAYS(Tabla1[[#This Row],[FECHA FIN ]],Tabla1[[#This Row],[FECHA INICIO]])</f>
        <v>68</v>
      </c>
      <c r="M3123" s="12"/>
      <c r="N3123" s="28">
        <v>450</v>
      </c>
      <c r="O3123" s="28">
        <f>(Tabla1[[#This Row],[COSTO FIJO ]]/30)*Tabla1[[#This Row],[TOTAL DIAS PROYECTO]]+(Tabla1[[#This Row],[COSTO TEMPORAL]])</f>
        <v>1020</v>
      </c>
      <c r="P3123" s="12"/>
      <c r="Q3123" s="12">
        <f>+(Tabla1[[#This Row],[COSTO COCHE]]/30)*Tabla1[[#This Row],[TOTAL DIAS PROYECTO]]</f>
        <v>0</v>
      </c>
      <c r="R3123" s="12">
        <f>+Tabla1[[#This Row],[COSTO TOTAL ALOJAMIENTO]]+Tabla1[[#This Row],[COSTO TOTAL COCHE]]</f>
        <v>1020</v>
      </c>
      <c r="S3123" s="2"/>
      <c r="T3123" s="14" t="s">
        <v>35</v>
      </c>
      <c r="U3123" s="14">
        <v>45809</v>
      </c>
      <c r="V3123" s="43"/>
      <c r="W3123" s="12">
        <v>450</v>
      </c>
      <c r="X3123" s="2">
        <v>1</v>
      </c>
      <c r="Y3123" s="11" t="s">
        <v>4743</v>
      </c>
      <c r="Z3123" s="2" t="s">
        <v>36</v>
      </c>
      <c r="AA3123" s="13" t="s">
        <v>10383</v>
      </c>
      <c r="AB3123" s="13" t="s">
        <v>10384</v>
      </c>
    </row>
    <row r="3124" spans="1:28" ht="15" customHeight="1">
      <c r="A3124" s="2" t="s">
        <v>9788</v>
      </c>
      <c r="B3124" s="10" t="s">
        <v>978</v>
      </c>
      <c r="C3124" s="11" t="s">
        <v>4744</v>
      </c>
      <c r="D3124" s="2" t="s">
        <v>30</v>
      </c>
      <c r="E3124" s="2" t="s">
        <v>608</v>
      </c>
      <c r="F3124" s="11" t="s">
        <v>4741</v>
      </c>
      <c r="G3124" s="30" t="s">
        <v>4742</v>
      </c>
      <c r="H3124" s="2" t="s">
        <v>2142</v>
      </c>
      <c r="I3124" s="12" t="s">
        <v>4255</v>
      </c>
      <c r="J3124" s="41">
        <f>+Tabla1[[#This Row],[FECHA ENTRADA]]</f>
        <v>45809</v>
      </c>
      <c r="K3124" s="41">
        <v>45877</v>
      </c>
      <c r="L3124" s="42">
        <f>_xlfn.DAYS(Tabla1[[#This Row],[FECHA FIN ]],Tabla1[[#This Row],[FECHA INICIO]])</f>
        <v>68</v>
      </c>
      <c r="M3124" s="12"/>
      <c r="N3124" s="28">
        <v>450</v>
      </c>
      <c r="O3124" s="28">
        <f>(Tabla1[[#This Row],[COSTO FIJO ]]/30)*Tabla1[[#This Row],[TOTAL DIAS PROYECTO]]+(Tabla1[[#This Row],[COSTO TEMPORAL]])</f>
        <v>1020</v>
      </c>
      <c r="P3124" s="12"/>
      <c r="Q3124" s="12">
        <f>+(Tabla1[[#This Row],[COSTO COCHE]]/30)*Tabla1[[#This Row],[TOTAL DIAS PROYECTO]]</f>
        <v>0</v>
      </c>
      <c r="R3124" s="12">
        <f>+Tabla1[[#This Row],[COSTO TOTAL ALOJAMIENTO]]+Tabla1[[#This Row],[COSTO TOTAL COCHE]]</f>
        <v>1020</v>
      </c>
      <c r="S3124" s="2"/>
      <c r="T3124" s="14" t="s">
        <v>35</v>
      </c>
      <c r="U3124" s="14">
        <v>45809</v>
      </c>
      <c r="V3124" s="43"/>
      <c r="W3124" s="12">
        <v>450</v>
      </c>
      <c r="X3124" s="2">
        <v>1</v>
      </c>
      <c r="Y3124" s="11" t="s">
        <v>4743</v>
      </c>
      <c r="Z3124" s="2" t="s">
        <v>36</v>
      </c>
      <c r="AA3124" s="13" t="s">
        <v>10383</v>
      </c>
      <c r="AB3124" s="13" t="s">
        <v>10384</v>
      </c>
    </row>
    <row r="3125" spans="1:28" ht="15" customHeight="1">
      <c r="A3125" s="2" t="s">
        <v>9789</v>
      </c>
      <c r="B3125" s="2" t="s">
        <v>28</v>
      </c>
      <c r="C3125" s="11" t="s">
        <v>4745</v>
      </c>
      <c r="D3125" s="2" t="s">
        <v>749</v>
      </c>
      <c r="E3125" s="2" t="s">
        <v>288</v>
      </c>
      <c r="F3125" s="11" t="s">
        <v>928</v>
      </c>
      <c r="G3125" t="s">
        <v>1031</v>
      </c>
      <c r="H3125" s="2" t="s">
        <v>4378</v>
      </c>
      <c r="I3125" s="10" t="s">
        <v>753</v>
      </c>
      <c r="J3125" s="22">
        <f>+Tabla1[[#This Row],[FECHA ENTRADA]]</f>
        <v>45803</v>
      </c>
      <c r="K3125" s="8">
        <v>45845</v>
      </c>
      <c r="L3125" s="23">
        <f>_xlfn.DAYS(Tabla1[[#This Row],[FECHA FIN ]],Tabla1[[#This Row],[FECHA INICIO]])</f>
        <v>42</v>
      </c>
      <c r="M3125" s="12"/>
      <c r="N3125" s="24"/>
      <c r="O3125" s="24">
        <f>(Tabla1[[#This Row],[COSTO FIJO ]]/30)*Tabla1[[#This Row],[TOTAL DIAS PROYECTO]]+(Tabla1[[#This Row],[COSTO TEMPORAL]])</f>
        <v>0</v>
      </c>
      <c r="P3125" s="12"/>
      <c r="Q3125" s="12">
        <f>+(Tabla1[[#This Row],[COSTO COCHE]]/30)*Tabla1[[#This Row],[TOTAL DIAS PROYECTO]]</f>
        <v>0</v>
      </c>
      <c r="R3125" s="12">
        <f>+Tabla1[[#This Row],[COSTO TOTAL ALOJAMIENTO]]+Tabla1[[#This Row],[COSTO TOTAL COCHE]]</f>
        <v>0</v>
      </c>
      <c r="S3125" s="2"/>
      <c r="T3125" s="2" t="s">
        <v>44</v>
      </c>
      <c r="U3125" s="14">
        <v>45803</v>
      </c>
      <c r="V3125" s="25"/>
      <c r="W3125" s="2"/>
      <c r="X3125" s="2"/>
      <c r="Y3125" s="150" t="s">
        <v>4746</v>
      </c>
      <c r="Z3125" s="2" t="s">
        <v>36</v>
      </c>
      <c r="AA3125" s="13" t="s">
        <v>10362</v>
      </c>
      <c r="AB3125" s="13" t="s">
        <v>10363</v>
      </c>
    </row>
    <row r="3126" spans="1:28" ht="15" customHeight="1">
      <c r="A3126" s="2" t="s">
        <v>9790</v>
      </c>
      <c r="B3126" s="2" t="s">
        <v>28</v>
      </c>
      <c r="C3126" s="11" t="s">
        <v>4747</v>
      </c>
      <c r="D3126" s="2" t="s">
        <v>749</v>
      </c>
      <c r="E3126" s="2" t="s">
        <v>288</v>
      </c>
      <c r="F3126" s="11" t="s">
        <v>928</v>
      </c>
      <c r="G3126" t="s">
        <v>1031</v>
      </c>
      <c r="H3126" s="2" t="s">
        <v>4378</v>
      </c>
      <c r="I3126" s="10" t="s">
        <v>753</v>
      </c>
      <c r="J3126" s="22">
        <f>+Tabla1[[#This Row],[FECHA ENTRADA]]</f>
        <v>45803</v>
      </c>
      <c r="K3126" s="8">
        <v>45845</v>
      </c>
      <c r="L3126" s="23">
        <f>_xlfn.DAYS(Tabla1[[#This Row],[FECHA FIN ]],Tabla1[[#This Row],[FECHA INICIO]])</f>
        <v>42</v>
      </c>
      <c r="M3126" s="12"/>
      <c r="N3126" s="24"/>
      <c r="O3126" s="24">
        <f>(Tabla1[[#This Row],[COSTO FIJO ]]/30)*Tabla1[[#This Row],[TOTAL DIAS PROYECTO]]+(Tabla1[[#This Row],[COSTO TEMPORAL]])</f>
        <v>0</v>
      </c>
      <c r="P3126" s="12"/>
      <c r="Q3126" s="12">
        <f>+(Tabla1[[#This Row],[COSTO COCHE]]/30)*Tabla1[[#This Row],[TOTAL DIAS PROYECTO]]</f>
        <v>0</v>
      </c>
      <c r="R3126" s="12">
        <f>+Tabla1[[#This Row],[COSTO TOTAL ALOJAMIENTO]]+Tabla1[[#This Row],[COSTO TOTAL COCHE]]</f>
        <v>0</v>
      </c>
      <c r="S3126" s="2"/>
      <c r="T3126" s="2" t="s">
        <v>44</v>
      </c>
      <c r="U3126" s="14">
        <v>45803</v>
      </c>
      <c r="V3126" s="25"/>
      <c r="W3126" s="2"/>
      <c r="X3126" s="2"/>
      <c r="Y3126" s="150" t="s">
        <v>4748</v>
      </c>
      <c r="Z3126" s="2" t="s">
        <v>36</v>
      </c>
      <c r="AA3126" s="13" t="s">
        <v>10362</v>
      </c>
      <c r="AB3126" s="13" t="s">
        <v>10363</v>
      </c>
    </row>
    <row r="3127" spans="1:28" ht="15" customHeight="1">
      <c r="A3127" s="2" t="s">
        <v>9791</v>
      </c>
      <c r="B3127" s="2" t="s">
        <v>28</v>
      </c>
      <c r="C3127" s="11" t="s">
        <v>4749</v>
      </c>
      <c r="D3127" s="2" t="s">
        <v>749</v>
      </c>
      <c r="E3127" s="2" t="s">
        <v>288</v>
      </c>
      <c r="F3127" s="11" t="s">
        <v>928</v>
      </c>
      <c r="G3127" t="s">
        <v>1031</v>
      </c>
      <c r="H3127" s="2" t="s">
        <v>4378</v>
      </c>
      <c r="I3127" s="29" t="s">
        <v>753</v>
      </c>
      <c r="J3127" s="22">
        <f>+Tabla1[[#This Row],[FECHA ENTRADA]]</f>
        <v>45803</v>
      </c>
      <c r="K3127" s="8">
        <v>45845</v>
      </c>
      <c r="L3127" s="23">
        <f>_xlfn.DAYS(Tabla1[[#This Row],[FECHA FIN ]],Tabla1[[#This Row],[FECHA INICIO]])</f>
        <v>42</v>
      </c>
      <c r="M3127" s="12"/>
      <c r="N3127" s="24"/>
      <c r="O3127" s="24">
        <f>(Tabla1[[#This Row],[COSTO FIJO ]]/30)*Tabla1[[#This Row],[TOTAL DIAS PROYECTO]]+(Tabla1[[#This Row],[COSTO TEMPORAL]])</f>
        <v>0</v>
      </c>
      <c r="P3127" s="12"/>
      <c r="Q3127" s="12">
        <f>+(Tabla1[[#This Row],[COSTO COCHE]]/30)*Tabla1[[#This Row],[TOTAL DIAS PROYECTO]]</f>
        <v>0</v>
      </c>
      <c r="R3127" s="12">
        <f>+Tabla1[[#This Row],[COSTO TOTAL ALOJAMIENTO]]+Tabla1[[#This Row],[COSTO TOTAL COCHE]]</f>
        <v>0</v>
      </c>
      <c r="S3127" s="2"/>
      <c r="T3127" s="2" t="s">
        <v>44</v>
      </c>
      <c r="U3127" s="14">
        <v>45803</v>
      </c>
      <c r="V3127" s="25"/>
      <c r="W3127" s="2"/>
      <c r="X3127" s="2"/>
      <c r="Y3127" s="150" t="s">
        <v>4746</v>
      </c>
      <c r="Z3127" s="2" t="s">
        <v>36</v>
      </c>
      <c r="AA3127" s="13" t="s">
        <v>10362</v>
      </c>
      <c r="AB3127" s="13" t="s">
        <v>10363</v>
      </c>
    </row>
    <row r="3128" spans="1:28" ht="15" customHeight="1">
      <c r="A3128" s="2" t="s">
        <v>8975</v>
      </c>
      <c r="B3128" s="2" t="s">
        <v>28</v>
      </c>
      <c r="C3128" s="31" t="s">
        <v>1567</v>
      </c>
      <c r="D3128" s="2" t="s">
        <v>749</v>
      </c>
      <c r="E3128" s="2" t="s">
        <v>288</v>
      </c>
      <c r="F3128" s="11" t="s">
        <v>928</v>
      </c>
      <c r="G3128" t="s">
        <v>1031</v>
      </c>
      <c r="H3128" s="2" t="s">
        <v>4378</v>
      </c>
      <c r="I3128" s="10" t="s">
        <v>753</v>
      </c>
      <c r="J3128" s="22">
        <f>+Tabla1[[#This Row],[FECHA ENTRADA]]</f>
        <v>45803</v>
      </c>
      <c r="K3128" s="8">
        <v>45850</v>
      </c>
      <c r="L3128" s="23">
        <f>_xlfn.DAYS(Tabla1[[#This Row],[FECHA FIN ]],Tabla1[[#This Row],[FECHA INICIO]])</f>
        <v>47</v>
      </c>
      <c r="M3128" s="12"/>
      <c r="N3128" s="24"/>
      <c r="O3128" s="24">
        <f>(Tabla1[[#This Row],[COSTO FIJO ]]/30)*Tabla1[[#This Row],[TOTAL DIAS PROYECTO]]+(Tabla1[[#This Row],[COSTO TEMPORAL]])</f>
        <v>0</v>
      </c>
      <c r="P3128" s="12"/>
      <c r="Q3128" s="12">
        <f>+(Tabla1[[#This Row],[COSTO COCHE]]/30)*Tabla1[[#This Row],[TOTAL DIAS PROYECTO]]</f>
        <v>0</v>
      </c>
      <c r="R3128" s="12">
        <f>+Tabla1[[#This Row],[COSTO TOTAL ALOJAMIENTO]]+Tabla1[[#This Row],[COSTO TOTAL COCHE]]</f>
        <v>0</v>
      </c>
      <c r="S3128" s="2"/>
      <c r="T3128" s="2" t="s">
        <v>44</v>
      </c>
      <c r="U3128" s="14">
        <v>45803</v>
      </c>
      <c r="V3128" s="25"/>
      <c r="W3128" s="2"/>
      <c r="X3128" s="2"/>
      <c r="Y3128" s="150"/>
      <c r="Z3128" s="2" t="s">
        <v>36</v>
      </c>
      <c r="AA3128" s="13" t="s">
        <v>10362</v>
      </c>
      <c r="AB3128" s="13" t="s">
        <v>10363</v>
      </c>
    </row>
    <row r="3129" spans="1:28" ht="15" customHeight="1">
      <c r="A3129" s="2" t="s">
        <v>9792</v>
      </c>
      <c r="B3129" s="2" t="s">
        <v>28</v>
      </c>
      <c r="C3129" s="31" t="s">
        <v>4750</v>
      </c>
      <c r="D3129" s="2" t="s">
        <v>749</v>
      </c>
      <c r="E3129" s="2" t="s">
        <v>288</v>
      </c>
      <c r="F3129" s="11" t="s">
        <v>928</v>
      </c>
      <c r="G3129" t="s">
        <v>1031</v>
      </c>
      <c r="H3129" s="2" t="s">
        <v>4378</v>
      </c>
      <c r="I3129" s="10" t="s">
        <v>753</v>
      </c>
      <c r="J3129" s="22">
        <f>+Tabla1[[#This Row],[FECHA ENTRADA]]</f>
        <v>45803</v>
      </c>
      <c r="K3129" s="8">
        <v>45850</v>
      </c>
      <c r="L3129" s="23">
        <f>_xlfn.DAYS(Tabla1[[#This Row],[FECHA FIN ]],Tabla1[[#This Row],[FECHA INICIO]])</f>
        <v>47</v>
      </c>
      <c r="M3129" s="12"/>
      <c r="N3129" s="24"/>
      <c r="O3129" s="24">
        <f>(Tabla1[[#This Row],[COSTO FIJO ]]/30)*Tabla1[[#This Row],[TOTAL DIAS PROYECTO]]+(Tabla1[[#This Row],[COSTO TEMPORAL]])</f>
        <v>0</v>
      </c>
      <c r="P3129" s="12"/>
      <c r="Q3129" s="12">
        <f>+(Tabla1[[#This Row],[COSTO COCHE]]/30)*Tabla1[[#This Row],[TOTAL DIAS PROYECTO]]</f>
        <v>0</v>
      </c>
      <c r="R3129" s="12">
        <f>+Tabla1[[#This Row],[COSTO TOTAL ALOJAMIENTO]]+Tabla1[[#This Row],[COSTO TOTAL COCHE]]</f>
        <v>0</v>
      </c>
      <c r="S3129" s="2"/>
      <c r="T3129" s="2" t="s">
        <v>44</v>
      </c>
      <c r="U3129" s="14">
        <v>45803</v>
      </c>
      <c r="V3129" s="25"/>
      <c r="W3129" s="2"/>
      <c r="X3129" s="2"/>
      <c r="Y3129" s="150"/>
      <c r="Z3129" s="2" t="s">
        <v>36</v>
      </c>
      <c r="AA3129" s="13" t="s">
        <v>10362</v>
      </c>
      <c r="AB3129" s="13" t="s">
        <v>10363</v>
      </c>
    </row>
    <row r="3130" spans="1:28" ht="15" customHeight="1">
      <c r="A3130" s="2" t="s">
        <v>8638</v>
      </c>
      <c r="B3130" s="2" t="s">
        <v>28</v>
      </c>
      <c r="C3130" s="31" t="s">
        <v>2058</v>
      </c>
      <c r="D3130" s="2" t="s">
        <v>749</v>
      </c>
      <c r="E3130" s="2" t="s">
        <v>288</v>
      </c>
      <c r="F3130" s="11" t="s">
        <v>4751</v>
      </c>
      <c r="G3130" s="21" t="s">
        <v>4752</v>
      </c>
      <c r="H3130" s="2" t="s">
        <v>4753</v>
      </c>
      <c r="I3130" s="10" t="s">
        <v>753</v>
      </c>
      <c r="J3130" s="22">
        <f>+Tabla1[[#This Row],[FECHA ENTRADA]]</f>
        <v>45810</v>
      </c>
      <c r="K3130" s="8">
        <v>45836</v>
      </c>
      <c r="L3130" s="23">
        <f>_xlfn.DAYS(Tabla1[[#This Row],[FECHA FIN ]],Tabla1[[#This Row],[FECHA INICIO]])</f>
        <v>26</v>
      </c>
      <c r="M3130" s="12"/>
      <c r="N3130" s="12">
        <v>450</v>
      </c>
      <c r="O3130" s="24">
        <f>(Tabla1[[#This Row],[COSTO FIJO ]]/30)*Tabla1[[#This Row],[TOTAL DIAS PROYECTO]]+(Tabla1[[#This Row],[COSTO TEMPORAL]])</f>
        <v>390</v>
      </c>
      <c r="P3130" s="12"/>
      <c r="Q3130" s="12">
        <f>+(Tabla1[[#This Row],[COSTO COCHE]]/30)*Tabla1[[#This Row],[TOTAL DIAS PROYECTO]]</f>
        <v>0</v>
      </c>
      <c r="R3130" s="12">
        <f>+Tabla1[[#This Row],[COSTO TOTAL ALOJAMIENTO]]+Tabla1[[#This Row],[COSTO TOTAL COCHE]]</f>
        <v>390</v>
      </c>
      <c r="S3130" s="2"/>
      <c r="T3130" s="2" t="s">
        <v>44</v>
      </c>
      <c r="U3130" s="14">
        <v>45810</v>
      </c>
      <c r="V3130" s="79">
        <v>45840</v>
      </c>
      <c r="W3130" s="2"/>
      <c r="X3130" s="2"/>
      <c r="Y3130" s="11" t="s">
        <v>4754</v>
      </c>
      <c r="Z3130" s="2" t="s">
        <v>36</v>
      </c>
      <c r="AA3130" s="13" t="s">
        <v>10362</v>
      </c>
      <c r="AB3130" s="13" t="s">
        <v>10363</v>
      </c>
    </row>
    <row r="3131" spans="1:28" ht="15" customHeight="1">
      <c r="A3131" s="2" t="s">
        <v>9793</v>
      </c>
      <c r="B3131" s="2" t="s">
        <v>28</v>
      </c>
      <c r="C3131" s="11" t="s">
        <v>4755</v>
      </c>
      <c r="D3131" s="2" t="s">
        <v>749</v>
      </c>
      <c r="E3131" s="2" t="s">
        <v>288</v>
      </c>
      <c r="F3131" s="11" t="s">
        <v>4751</v>
      </c>
      <c r="G3131" s="21" t="s">
        <v>4752</v>
      </c>
      <c r="H3131" s="2" t="s">
        <v>4753</v>
      </c>
      <c r="I3131" s="10" t="s">
        <v>753</v>
      </c>
      <c r="J3131" s="22">
        <f>+Tabla1[[#This Row],[FECHA ENTRADA]]</f>
        <v>45810</v>
      </c>
      <c r="K3131" s="8">
        <v>45838</v>
      </c>
      <c r="L3131" s="23">
        <f>_xlfn.DAYS(Tabla1[[#This Row],[FECHA FIN ]],Tabla1[[#This Row],[FECHA INICIO]])</f>
        <v>28</v>
      </c>
      <c r="M3131" s="12"/>
      <c r="N3131" s="12">
        <v>450</v>
      </c>
      <c r="O3131" s="24">
        <f>(Tabla1[[#This Row],[COSTO FIJO ]]/30)*Tabla1[[#This Row],[TOTAL DIAS PROYECTO]]+(Tabla1[[#This Row],[COSTO TEMPORAL]])</f>
        <v>420</v>
      </c>
      <c r="P3131" s="12"/>
      <c r="Q3131" s="12">
        <f>+(Tabla1[[#This Row],[COSTO COCHE]]/30)*Tabla1[[#This Row],[TOTAL DIAS PROYECTO]]</f>
        <v>0</v>
      </c>
      <c r="R3131" s="12">
        <f>+Tabla1[[#This Row],[COSTO TOTAL ALOJAMIENTO]]+Tabla1[[#This Row],[COSTO TOTAL COCHE]]</f>
        <v>420</v>
      </c>
      <c r="S3131" s="2"/>
      <c r="T3131" s="2" t="s">
        <v>44</v>
      </c>
      <c r="U3131" s="14">
        <v>45810</v>
      </c>
      <c r="V3131" s="79">
        <v>45840</v>
      </c>
      <c r="W3131" s="2"/>
      <c r="X3131" s="2"/>
      <c r="Y3131" s="11" t="s">
        <v>4756</v>
      </c>
      <c r="Z3131" s="2" t="s">
        <v>36</v>
      </c>
      <c r="AA3131" s="13" t="s">
        <v>10362</v>
      </c>
      <c r="AB3131" s="13" t="s">
        <v>10363</v>
      </c>
    </row>
    <row r="3132" spans="1:28" ht="15" customHeight="1">
      <c r="A3132" s="2" t="s">
        <v>9122</v>
      </c>
      <c r="B3132" s="2" t="s">
        <v>28</v>
      </c>
      <c r="C3132" s="11" t="s">
        <v>2093</v>
      </c>
      <c r="D3132" s="2" t="s">
        <v>749</v>
      </c>
      <c r="E3132" s="2" t="s">
        <v>288</v>
      </c>
      <c r="F3132" s="11" t="s">
        <v>4751</v>
      </c>
      <c r="G3132" s="21" t="s">
        <v>4752</v>
      </c>
      <c r="H3132" s="2" t="s">
        <v>4753</v>
      </c>
      <c r="I3132" s="10" t="s">
        <v>753</v>
      </c>
      <c r="J3132" s="22">
        <f>+Tabla1[[#This Row],[FECHA ENTRADA]]</f>
        <v>45810</v>
      </c>
      <c r="K3132" s="8">
        <v>45852</v>
      </c>
      <c r="L3132" s="23">
        <f>_xlfn.DAYS(Tabla1[[#This Row],[FECHA FIN ]],Tabla1[[#This Row],[FECHA INICIO]])</f>
        <v>42</v>
      </c>
      <c r="M3132" s="12"/>
      <c r="N3132" s="12">
        <v>450</v>
      </c>
      <c r="O3132" s="24">
        <f>(Tabla1[[#This Row],[COSTO FIJO ]]/30)*Tabla1[[#This Row],[TOTAL DIAS PROYECTO]]+(Tabla1[[#This Row],[COSTO TEMPORAL]])</f>
        <v>630</v>
      </c>
      <c r="P3132" s="12"/>
      <c r="Q3132" s="12">
        <f>+(Tabla1[[#This Row],[COSTO COCHE]]/30)*Tabla1[[#This Row],[TOTAL DIAS PROYECTO]]</f>
        <v>0</v>
      </c>
      <c r="R3132" s="12">
        <f>+Tabla1[[#This Row],[COSTO TOTAL ALOJAMIENTO]]+Tabla1[[#This Row],[COSTO TOTAL COCHE]]</f>
        <v>630</v>
      </c>
      <c r="S3132" s="2"/>
      <c r="T3132" s="2" t="s">
        <v>44</v>
      </c>
      <c r="U3132" s="14">
        <v>45810</v>
      </c>
      <c r="V3132" s="79">
        <v>45840</v>
      </c>
      <c r="W3132" s="2"/>
      <c r="X3132" s="2"/>
      <c r="Y3132" s="11"/>
      <c r="Z3132" s="2" t="s">
        <v>36</v>
      </c>
      <c r="AA3132" s="13" t="s">
        <v>10362</v>
      </c>
      <c r="AB3132" s="13" t="s">
        <v>10363</v>
      </c>
    </row>
    <row r="3133" spans="1:28" ht="15" customHeight="1">
      <c r="A3133" s="2" t="s">
        <v>9556</v>
      </c>
      <c r="B3133" s="2" t="s">
        <v>28</v>
      </c>
      <c r="C3133" s="11" t="s">
        <v>3607</v>
      </c>
      <c r="D3133" s="2" t="s">
        <v>749</v>
      </c>
      <c r="E3133" s="2" t="s">
        <v>288</v>
      </c>
      <c r="F3133" s="11" t="s">
        <v>4751</v>
      </c>
      <c r="G3133" s="21" t="s">
        <v>4752</v>
      </c>
      <c r="H3133" s="2" t="s">
        <v>4753</v>
      </c>
      <c r="I3133" s="10" t="s">
        <v>753</v>
      </c>
      <c r="J3133" s="22">
        <f>+Tabla1[[#This Row],[FECHA ENTRADA]]</f>
        <v>45810</v>
      </c>
      <c r="K3133" s="8">
        <v>45889</v>
      </c>
      <c r="L3133" s="23">
        <f>_xlfn.DAYS(Tabla1[[#This Row],[FECHA FIN ]],Tabla1[[#This Row],[FECHA INICIO]])</f>
        <v>79</v>
      </c>
      <c r="M3133" s="12"/>
      <c r="N3133" s="12">
        <v>591.42857142857144</v>
      </c>
      <c r="O3133" s="24">
        <f>(Tabla1[[#This Row],[COSTO FIJO ]]/30)*Tabla1[[#This Row],[TOTAL DIAS PROYECTO]]+(Tabla1[[#This Row],[COSTO TEMPORAL]])</f>
        <v>1557.4285714285716</v>
      </c>
      <c r="P3133" s="12"/>
      <c r="Q3133" s="12">
        <f>+(Tabla1[[#This Row],[COSTO COCHE]]/30)*Tabla1[[#This Row],[TOTAL DIAS PROYECTO]]</f>
        <v>0</v>
      </c>
      <c r="R3133" s="12">
        <f>+Tabla1[[#This Row],[COSTO TOTAL ALOJAMIENTO]]+Tabla1[[#This Row],[COSTO TOTAL COCHE]]</f>
        <v>1557.4285714285716</v>
      </c>
      <c r="S3133" s="2"/>
      <c r="T3133" s="2" t="s">
        <v>44</v>
      </c>
      <c r="U3133" s="14">
        <v>45810</v>
      </c>
      <c r="V3133" s="79">
        <v>45889</v>
      </c>
      <c r="W3133" s="2"/>
      <c r="X3133" s="2"/>
      <c r="Y3133" s="11" t="s">
        <v>3465</v>
      </c>
      <c r="Z3133" s="2" t="s">
        <v>36</v>
      </c>
      <c r="AA3133" s="13" t="s">
        <v>10362</v>
      </c>
      <c r="AB3133" s="13" t="s">
        <v>10363</v>
      </c>
    </row>
    <row r="3134" spans="1:28" ht="15" customHeight="1">
      <c r="A3134" s="2" t="s">
        <v>9239</v>
      </c>
      <c r="B3134" s="2" t="s">
        <v>368</v>
      </c>
      <c r="C3134" s="240" t="s">
        <v>2553</v>
      </c>
      <c r="D3134" s="2" t="s">
        <v>99</v>
      </c>
      <c r="E3134" s="2" t="s">
        <v>415</v>
      </c>
      <c r="F3134" s="11" t="s">
        <v>487</v>
      </c>
      <c r="G3134" s="49" t="s">
        <v>488</v>
      </c>
      <c r="H3134" s="2" t="s">
        <v>4757</v>
      </c>
      <c r="I3134" s="12" t="s">
        <v>1415</v>
      </c>
      <c r="J3134" s="41">
        <f>+Tabla1[[#This Row],[FECHA ENTRADA]]</f>
        <v>45824</v>
      </c>
      <c r="K3134" s="41">
        <v>45846</v>
      </c>
      <c r="L3134" s="42">
        <f>_xlfn.DAYS(Tabla1[[#This Row],[FECHA FIN ]],Tabla1[[#This Row],[FECHA INICIO]])</f>
        <v>22</v>
      </c>
      <c r="M3134" s="12"/>
      <c r="N3134" s="12">
        <v>460</v>
      </c>
      <c r="O3134" s="28">
        <f>(Tabla1[[#This Row],[COSTO FIJO ]]/30)*Tabla1[[#This Row],[TOTAL DIAS PROYECTO]]+(Tabla1[[#This Row],[COSTO TEMPORAL]])</f>
        <v>337.33333333333337</v>
      </c>
      <c r="P3134" s="12"/>
      <c r="Q3134" s="12">
        <f>+(Tabla1[[#This Row],[COSTO COCHE]]/30)*Tabla1[[#This Row],[TOTAL DIAS PROYECTO]]</f>
        <v>0</v>
      </c>
      <c r="R3134" s="12">
        <f>+Tabla1[[#This Row],[COSTO TOTAL ALOJAMIENTO]]+Tabla1[[#This Row],[COSTO TOTAL COCHE]]</f>
        <v>337.33333333333337</v>
      </c>
      <c r="S3134" s="2"/>
      <c r="T3134" s="14" t="s">
        <v>35</v>
      </c>
      <c r="U3134" s="14">
        <v>45824</v>
      </c>
      <c r="V3134" s="43"/>
      <c r="W3134" s="2"/>
      <c r="X3134" s="2">
        <v>5</v>
      </c>
      <c r="Y3134" s="11"/>
      <c r="Z3134" s="2" t="s">
        <v>36</v>
      </c>
      <c r="AA3134" s="13">
        <v>-0.37739</v>
      </c>
      <c r="AB3134" s="13" t="s">
        <v>10372</v>
      </c>
    </row>
    <row r="3135" spans="1:28" ht="15" customHeight="1">
      <c r="A3135" s="2" t="s">
        <v>9794</v>
      </c>
      <c r="B3135" s="2" t="s">
        <v>28</v>
      </c>
      <c r="C3135" s="99" t="s">
        <v>4758</v>
      </c>
      <c r="D3135" s="2" t="s">
        <v>30</v>
      </c>
      <c r="E3135" s="2" t="s">
        <v>415</v>
      </c>
      <c r="F3135" s="11" t="s">
        <v>487</v>
      </c>
      <c r="G3135" s="11" t="s">
        <v>488</v>
      </c>
      <c r="H3135" s="2" t="s">
        <v>4759</v>
      </c>
      <c r="I3135" s="12" t="s">
        <v>419</v>
      </c>
      <c r="J3135" s="8">
        <f>+Tabla1[[#This Row],[FECHA ENTRADA]]</f>
        <v>45420</v>
      </c>
      <c r="K3135" s="8">
        <v>45868</v>
      </c>
      <c r="L3135" s="13">
        <f>_xlfn.DAYS(Tabla1[[#This Row],[FECHA FIN ]],Tabla1[[#This Row],[FECHA INICIO]])</f>
        <v>448</v>
      </c>
      <c r="M3135" s="12"/>
      <c r="N3135" s="12">
        <v>460</v>
      </c>
      <c r="O3135" s="12">
        <f>(Tabla1[[#This Row],[COSTO FIJO ]]/30)*Tabla1[[#This Row],[TOTAL DIAS PROYECTO]]+(Tabla1[[#This Row],[COSTO TEMPORAL]])</f>
        <v>6869.3333333333339</v>
      </c>
      <c r="P3135" s="12"/>
      <c r="Q3135" s="12">
        <f>+(Tabla1[[#This Row],[COSTO COCHE]]/30)*Tabla1[[#This Row],[TOTAL DIAS PROYECTO]]</f>
        <v>0</v>
      </c>
      <c r="R3135" s="12">
        <f>+Tabla1[[#This Row],[COSTO TOTAL ALOJAMIENTO]]+Tabla1[[#This Row],[COSTO TOTAL COCHE]]</f>
        <v>6869.3333333333339</v>
      </c>
      <c r="S3135" s="2"/>
      <c r="T3135" s="2" t="s">
        <v>35</v>
      </c>
      <c r="U3135" s="14">
        <v>45420</v>
      </c>
      <c r="V3135" s="14"/>
      <c r="W3135" s="2"/>
      <c r="X3135" s="2">
        <v>5</v>
      </c>
      <c r="Y3135" s="246" t="s">
        <v>4760</v>
      </c>
      <c r="Z3135" s="2" t="s">
        <v>36</v>
      </c>
      <c r="AA3135" s="13">
        <v>-0.37739</v>
      </c>
      <c r="AB3135" s="13" t="s">
        <v>10372</v>
      </c>
    </row>
    <row r="3136" spans="1:28">
      <c r="A3136" s="2" t="s">
        <v>8858</v>
      </c>
      <c r="B3136" s="2" t="s">
        <v>368</v>
      </c>
      <c r="C3136" s="99" t="s">
        <v>1048</v>
      </c>
      <c r="D3136" s="2" t="s">
        <v>30</v>
      </c>
      <c r="E3136" s="2" t="s">
        <v>415</v>
      </c>
      <c r="F3136" s="11" t="s">
        <v>487</v>
      </c>
      <c r="G3136" s="46" t="s">
        <v>488</v>
      </c>
      <c r="H3136" s="2" t="s">
        <v>4761</v>
      </c>
      <c r="I3136" s="12" t="s">
        <v>1415</v>
      </c>
      <c r="J3136" s="41">
        <f>+Tabla1[[#This Row],[FECHA ENTRADA]]</f>
        <v>45634</v>
      </c>
      <c r="K3136" s="41">
        <v>45877</v>
      </c>
      <c r="L3136" s="42">
        <f>_xlfn.DAYS(Tabla1[[#This Row],[FECHA FIN ]],Tabla1[[#This Row],[FECHA INICIO]])</f>
        <v>243</v>
      </c>
      <c r="M3136" s="12"/>
      <c r="N3136" s="12"/>
      <c r="O3136" s="28">
        <f>(Tabla1[[#This Row],[COSTO FIJO ]]/30)*Tabla1[[#This Row],[TOTAL DIAS PROYECTO]]+(Tabla1[[#This Row],[COSTO TEMPORAL]])</f>
        <v>0</v>
      </c>
      <c r="P3136" s="12">
        <v>133.33333333333334</v>
      </c>
      <c r="Q3136" s="12">
        <f>+(Tabla1[[#This Row],[COSTO COCHE]]/30)*Tabla1[[#This Row],[TOTAL DIAS PROYECTO]]</f>
        <v>1080</v>
      </c>
      <c r="R3136" s="12">
        <f>+Tabla1[[#This Row],[COSTO TOTAL ALOJAMIENTO]]+Tabla1[[#This Row],[COSTO TOTAL COCHE]]</f>
        <v>1080</v>
      </c>
      <c r="S3136" s="2"/>
      <c r="T3136" s="2" t="s">
        <v>35</v>
      </c>
      <c r="U3136" s="14">
        <v>45634</v>
      </c>
      <c r="V3136" s="43"/>
      <c r="W3136" s="26"/>
      <c r="X3136" s="2">
        <v>5</v>
      </c>
      <c r="Y3136" s="11" t="s">
        <v>4762</v>
      </c>
      <c r="Z3136" s="2" t="s">
        <v>36</v>
      </c>
      <c r="AA3136" s="13">
        <v>-0.37739</v>
      </c>
      <c r="AB3136" s="13" t="s">
        <v>10372</v>
      </c>
    </row>
    <row r="3137" spans="1:28" ht="15" customHeight="1">
      <c r="A3137" s="2" t="s">
        <v>9432</v>
      </c>
      <c r="B3137" s="2" t="s">
        <v>368</v>
      </c>
      <c r="C3137" s="11" t="s">
        <v>3169</v>
      </c>
      <c r="D3137" s="2" t="s">
        <v>30</v>
      </c>
      <c r="E3137" s="2" t="s">
        <v>1987</v>
      </c>
      <c r="F3137" s="11" t="s">
        <v>4763</v>
      </c>
      <c r="G3137" s="46" t="s">
        <v>4764</v>
      </c>
      <c r="H3137" s="2" t="s">
        <v>2351</v>
      </c>
      <c r="I3137" s="12" t="s">
        <v>2073</v>
      </c>
      <c r="J3137" s="41">
        <f>+Tabla1[[#This Row],[FECHA ENTRADA]]</f>
        <v>45859</v>
      </c>
      <c r="K3137" s="41">
        <v>45877</v>
      </c>
      <c r="L3137" s="42">
        <f>_xlfn.DAYS(Tabla1[[#This Row],[FECHA FIN ]],Tabla1[[#This Row],[FECHA INICIO]])</f>
        <v>18</v>
      </c>
      <c r="M3137" s="12"/>
      <c r="N3137" s="12"/>
      <c r="O3137" s="28">
        <f>(Tabla1[[#This Row],[COSTO FIJO ]]/30)*Tabla1[[#This Row],[TOTAL DIAS PROYECTO]]+(Tabla1[[#This Row],[COSTO TEMPORAL]])</f>
        <v>0</v>
      </c>
      <c r="P3137" s="12"/>
      <c r="Q3137" s="12">
        <f>+(Tabla1[[#This Row],[COSTO COCHE]]/30)*Tabla1[[#This Row],[TOTAL DIAS PROYECTO]]</f>
        <v>0</v>
      </c>
      <c r="R3137" s="12">
        <f>+Tabla1[[#This Row],[COSTO TOTAL ALOJAMIENTO]]+Tabla1[[#This Row],[COSTO TOTAL COCHE]]</f>
        <v>0</v>
      </c>
      <c r="S3137" s="2"/>
      <c r="T3137" s="2" t="s">
        <v>528</v>
      </c>
      <c r="U3137" s="14">
        <v>45859</v>
      </c>
      <c r="V3137" s="43">
        <v>45877</v>
      </c>
      <c r="W3137" s="12"/>
      <c r="X3137" s="2"/>
      <c r="Y3137" s="11" t="s">
        <v>4765</v>
      </c>
      <c r="Z3137" s="2" t="s">
        <v>36</v>
      </c>
      <c r="AA3137" s="13" t="s">
        <v>10435</v>
      </c>
      <c r="AB3137" s="13">
        <v>42.136150000000001</v>
      </c>
    </row>
    <row r="3138" spans="1:28" ht="15" customHeight="1">
      <c r="A3138" s="2" t="s">
        <v>8684</v>
      </c>
      <c r="B3138" s="2" t="s">
        <v>368</v>
      </c>
      <c r="C3138" s="11" t="s">
        <v>282</v>
      </c>
      <c r="D3138" s="2" t="s">
        <v>30</v>
      </c>
      <c r="E3138" s="2" t="s">
        <v>1987</v>
      </c>
      <c r="F3138" s="11" t="s">
        <v>4763</v>
      </c>
      <c r="G3138" s="46" t="s">
        <v>4764</v>
      </c>
      <c r="H3138" s="2" t="s">
        <v>2351</v>
      </c>
      <c r="I3138" s="12" t="s">
        <v>2073</v>
      </c>
      <c r="J3138" s="41">
        <f>+Tabla1[[#This Row],[FECHA ENTRADA]]</f>
        <v>45859</v>
      </c>
      <c r="K3138" s="41">
        <v>45877</v>
      </c>
      <c r="L3138" s="42">
        <f>_xlfn.DAYS(Tabla1[[#This Row],[FECHA FIN ]],Tabla1[[#This Row],[FECHA INICIO]])</f>
        <v>18</v>
      </c>
      <c r="M3138" s="12"/>
      <c r="N3138" s="12"/>
      <c r="O3138" s="28">
        <f>(Tabla1[[#This Row],[COSTO FIJO ]]/30)*Tabla1[[#This Row],[TOTAL DIAS PROYECTO]]+(Tabla1[[#This Row],[COSTO TEMPORAL]])</f>
        <v>0</v>
      </c>
      <c r="P3138" s="12"/>
      <c r="Q3138" s="12">
        <f>+(Tabla1[[#This Row],[COSTO COCHE]]/30)*Tabla1[[#This Row],[TOTAL DIAS PROYECTO]]</f>
        <v>0</v>
      </c>
      <c r="R3138" s="12">
        <f>+Tabla1[[#This Row],[COSTO TOTAL ALOJAMIENTO]]+Tabla1[[#This Row],[COSTO TOTAL COCHE]]</f>
        <v>0</v>
      </c>
      <c r="S3138" s="2"/>
      <c r="T3138" s="2" t="s">
        <v>528</v>
      </c>
      <c r="U3138" s="14">
        <v>45859</v>
      </c>
      <c r="V3138" s="43">
        <v>45877</v>
      </c>
      <c r="W3138" s="12"/>
      <c r="X3138" s="2"/>
      <c r="Y3138" s="11" t="s">
        <v>4765</v>
      </c>
      <c r="Z3138" s="2" t="s">
        <v>36</v>
      </c>
      <c r="AA3138" s="13" t="s">
        <v>10435</v>
      </c>
      <c r="AB3138" s="13">
        <v>42.136150000000001</v>
      </c>
    </row>
    <row r="3139" spans="1:28" ht="15" customHeight="1">
      <c r="A3139" s="2" t="s">
        <v>9120</v>
      </c>
      <c r="B3139" s="2" t="s">
        <v>368</v>
      </c>
      <c r="C3139" s="11" t="s">
        <v>2082</v>
      </c>
      <c r="D3139" s="2" t="s">
        <v>30</v>
      </c>
      <c r="E3139" s="2" t="s">
        <v>1987</v>
      </c>
      <c r="F3139" s="11" t="s">
        <v>4763</v>
      </c>
      <c r="G3139" s="46" t="s">
        <v>4764</v>
      </c>
      <c r="H3139" s="2" t="s">
        <v>2351</v>
      </c>
      <c r="I3139" s="12" t="s">
        <v>2073</v>
      </c>
      <c r="J3139" s="41">
        <f>+Tabla1[[#This Row],[FECHA ENTRADA]]</f>
        <v>45859</v>
      </c>
      <c r="K3139" s="41">
        <v>45877</v>
      </c>
      <c r="L3139" s="42">
        <f>_xlfn.DAYS(Tabla1[[#This Row],[FECHA FIN ]],Tabla1[[#This Row],[FECHA INICIO]])</f>
        <v>18</v>
      </c>
      <c r="M3139" s="12"/>
      <c r="N3139" s="12"/>
      <c r="O3139" s="28">
        <f>(Tabla1[[#This Row],[COSTO FIJO ]]/30)*Tabla1[[#This Row],[TOTAL DIAS PROYECTO]]+(Tabla1[[#This Row],[COSTO TEMPORAL]])</f>
        <v>0</v>
      </c>
      <c r="P3139" s="12"/>
      <c r="Q3139" s="12">
        <f>+(Tabla1[[#This Row],[COSTO COCHE]]/30)*Tabla1[[#This Row],[TOTAL DIAS PROYECTO]]</f>
        <v>0</v>
      </c>
      <c r="R3139" s="12">
        <f>+Tabla1[[#This Row],[COSTO TOTAL ALOJAMIENTO]]+Tabla1[[#This Row],[COSTO TOTAL COCHE]]</f>
        <v>0</v>
      </c>
      <c r="S3139" s="2"/>
      <c r="T3139" s="2" t="s">
        <v>528</v>
      </c>
      <c r="U3139" s="14">
        <v>45859</v>
      </c>
      <c r="V3139" s="43">
        <v>45877</v>
      </c>
      <c r="W3139" s="12"/>
      <c r="X3139" s="2"/>
      <c r="Y3139" s="11" t="s">
        <v>4765</v>
      </c>
      <c r="Z3139" s="2" t="s">
        <v>36</v>
      </c>
      <c r="AA3139" s="13" t="s">
        <v>10435</v>
      </c>
      <c r="AB3139" s="13">
        <v>42.136150000000001</v>
      </c>
    </row>
    <row r="3140" spans="1:28" ht="15" customHeight="1">
      <c r="A3140" s="2" t="s">
        <v>9052</v>
      </c>
      <c r="B3140" s="10" t="s">
        <v>978</v>
      </c>
      <c r="C3140" s="11" t="s">
        <v>1813</v>
      </c>
      <c r="D3140" s="2" t="s">
        <v>99</v>
      </c>
      <c r="E3140" s="2" t="s">
        <v>3335</v>
      </c>
      <c r="F3140" s="11" t="s">
        <v>4766</v>
      </c>
      <c r="G3140" s="46" t="s">
        <v>4767</v>
      </c>
      <c r="H3140" s="2" t="s">
        <v>4768</v>
      </c>
      <c r="I3140" s="12" t="s">
        <v>4714</v>
      </c>
      <c r="J3140" s="41">
        <f>+Tabla1[[#This Row],[FECHA ENTRADA]]</f>
        <v>45872</v>
      </c>
      <c r="K3140" s="22">
        <v>45877</v>
      </c>
      <c r="L3140" s="42">
        <f>_xlfn.DAYS(Tabla1[[#This Row],[FECHA FIN ]],Tabla1[[#This Row],[FECHA INICIO]])</f>
        <v>5</v>
      </c>
      <c r="M3140" s="12"/>
      <c r="N3140" s="12"/>
      <c r="O3140" s="28">
        <f>(Tabla1[[#This Row],[COSTO FIJO ]]/30)*Tabla1[[#This Row],[TOTAL DIAS PROYECTO]]+(Tabla1[[#This Row],[COSTO TEMPORAL]])</f>
        <v>0</v>
      </c>
      <c r="P3140" s="12"/>
      <c r="Q3140" s="12">
        <f>+(Tabla1[[#This Row],[COSTO COCHE]]/30)*Tabla1[[#This Row],[TOTAL DIAS PROYECTO]]</f>
        <v>0</v>
      </c>
      <c r="R3140" s="12">
        <f>+Tabla1[[#This Row],[COSTO TOTAL ALOJAMIENTO]]+Tabla1[[#This Row],[COSTO TOTAL COCHE]]</f>
        <v>0</v>
      </c>
      <c r="S3140" s="2"/>
      <c r="T3140" s="14" t="s">
        <v>44</v>
      </c>
      <c r="U3140" s="14">
        <v>45872</v>
      </c>
      <c r="V3140" s="43">
        <v>45877</v>
      </c>
      <c r="W3140" s="12"/>
      <c r="X3140" s="2"/>
      <c r="Y3140" s="11" t="s">
        <v>4769</v>
      </c>
      <c r="Z3140" s="2" t="s">
        <v>36</v>
      </c>
      <c r="AA3140" s="13" t="e">
        <v>#N/A</v>
      </c>
      <c r="AB3140" s="13" t="e">
        <v>#N/A</v>
      </c>
    </row>
    <row r="3141" spans="1:28" ht="15" customHeight="1">
      <c r="A3141" s="2" t="s">
        <v>9051</v>
      </c>
      <c r="B3141" s="10" t="s">
        <v>978</v>
      </c>
      <c r="C3141" s="11" t="s">
        <v>1812</v>
      </c>
      <c r="D3141" s="2" t="s">
        <v>99</v>
      </c>
      <c r="E3141" s="2" t="s">
        <v>3335</v>
      </c>
      <c r="F3141" s="11" t="s">
        <v>4766</v>
      </c>
      <c r="G3141" s="46" t="s">
        <v>4767</v>
      </c>
      <c r="H3141" s="2" t="s">
        <v>4768</v>
      </c>
      <c r="I3141" s="12" t="s">
        <v>4714</v>
      </c>
      <c r="J3141" s="41">
        <f>+Tabla1[[#This Row],[FECHA ENTRADA]]</f>
        <v>45872</v>
      </c>
      <c r="K3141" s="22">
        <v>45877</v>
      </c>
      <c r="L3141" s="42">
        <f>_xlfn.DAYS(Tabla1[[#This Row],[FECHA FIN ]],Tabla1[[#This Row],[FECHA INICIO]])</f>
        <v>5</v>
      </c>
      <c r="M3141" s="12"/>
      <c r="N3141" s="12"/>
      <c r="O3141" s="28">
        <f>(Tabla1[[#This Row],[COSTO FIJO ]]/30)*Tabla1[[#This Row],[TOTAL DIAS PROYECTO]]+(Tabla1[[#This Row],[COSTO TEMPORAL]])</f>
        <v>0</v>
      </c>
      <c r="P3141" s="12"/>
      <c r="Q3141" s="12">
        <f>+(Tabla1[[#This Row],[COSTO COCHE]]/30)*Tabla1[[#This Row],[TOTAL DIAS PROYECTO]]</f>
        <v>0</v>
      </c>
      <c r="R3141" s="12">
        <f>+Tabla1[[#This Row],[COSTO TOTAL ALOJAMIENTO]]+Tabla1[[#This Row],[COSTO TOTAL COCHE]]</f>
        <v>0</v>
      </c>
      <c r="S3141" s="2"/>
      <c r="T3141" s="14" t="s">
        <v>44</v>
      </c>
      <c r="U3141" s="14">
        <v>45872</v>
      </c>
      <c r="V3141" s="43">
        <v>45877</v>
      </c>
      <c r="W3141" s="12"/>
      <c r="X3141" s="2"/>
      <c r="Y3141" s="11" t="s">
        <v>4769</v>
      </c>
      <c r="Z3141" s="2" t="s">
        <v>36</v>
      </c>
      <c r="AA3141" s="13" t="e">
        <v>#N/A</v>
      </c>
      <c r="AB3141" s="13" t="e">
        <v>#N/A</v>
      </c>
    </row>
    <row r="3142" spans="1:28" ht="15" customHeight="1">
      <c r="A3142" s="2" t="s">
        <v>9795</v>
      </c>
      <c r="B3142" s="10" t="s">
        <v>978</v>
      </c>
      <c r="C3142" s="11" t="s">
        <v>4770</v>
      </c>
      <c r="D3142" s="2" t="s">
        <v>99</v>
      </c>
      <c r="E3142" s="2" t="s">
        <v>3335</v>
      </c>
      <c r="F3142" s="11" t="s">
        <v>4766</v>
      </c>
      <c r="G3142" s="46" t="s">
        <v>4767</v>
      </c>
      <c r="H3142" s="2" t="s">
        <v>4768</v>
      </c>
      <c r="I3142" s="12" t="s">
        <v>4714</v>
      </c>
      <c r="J3142" s="41">
        <f>+Tabla1[[#This Row],[FECHA ENTRADA]]</f>
        <v>45872</v>
      </c>
      <c r="K3142" s="22">
        <v>45877</v>
      </c>
      <c r="L3142" s="42">
        <f>_xlfn.DAYS(Tabla1[[#This Row],[FECHA FIN ]],Tabla1[[#This Row],[FECHA INICIO]])</f>
        <v>5</v>
      </c>
      <c r="M3142" s="12"/>
      <c r="N3142" s="12"/>
      <c r="O3142" s="28">
        <f>(Tabla1[[#This Row],[COSTO FIJO ]]/30)*Tabla1[[#This Row],[TOTAL DIAS PROYECTO]]+(Tabla1[[#This Row],[COSTO TEMPORAL]])</f>
        <v>0</v>
      </c>
      <c r="P3142" s="12"/>
      <c r="Q3142" s="12">
        <f>+(Tabla1[[#This Row],[COSTO COCHE]]/30)*Tabla1[[#This Row],[TOTAL DIAS PROYECTO]]</f>
        <v>0</v>
      </c>
      <c r="R3142" s="12">
        <f>+Tabla1[[#This Row],[COSTO TOTAL ALOJAMIENTO]]+Tabla1[[#This Row],[COSTO TOTAL COCHE]]</f>
        <v>0</v>
      </c>
      <c r="S3142" s="2"/>
      <c r="T3142" s="14" t="s">
        <v>44</v>
      </c>
      <c r="U3142" s="14">
        <v>45872</v>
      </c>
      <c r="V3142" s="43">
        <v>45877</v>
      </c>
      <c r="W3142" s="12"/>
      <c r="X3142" s="2"/>
      <c r="Y3142" s="11" t="s">
        <v>4769</v>
      </c>
      <c r="Z3142" s="2" t="s">
        <v>36</v>
      </c>
      <c r="AA3142" s="13" t="e">
        <v>#N/A</v>
      </c>
      <c r="AB3142" s="13" t="e">
        <v>#N/A</v>
      </c>
    </row>
    <row r="3143" spans="1:28" ht="15" customHeight="1">
      <c r="A3143" s="2" t="s">
        <v>9792</v>
      </c>
      <c r="B3143" s="10" t="s">
        <v>978</v>
      </c>
      <c r="C3143" s="11" t="s">
        <v>4750</v>
      </c>
      <c r="D3143" s="2" t="s">
        <v>99</v>
      </c>
      <c r="E3143" s="2" t="s">
        <v>3335</v>
      </c>
      <c r="F3143" s="11" t="s">
        <v>4766</v>
      </c>
      <c r="G3143" s="46" t="s">
        <v>4767</v>
      </c>
      <c r="H3143" s="2" t="s">
        <v>4768</v>
      </c>
      <c r="I3143" s="12" t="s">
        <v>4714</v>
      </c>
      <c r="J3143" s="41">
        <f>+Tabla1[[#This Row],[FECHA ENTRADA]]</f>
        <v>45872</v>
      </c>
      <c r="K3143" s="22">
        <v>45877</v>
      </c>
      <c r="L3143" s="42">
        <f>_xlfn.DAYS(Tabla1[[#This Row],[FECHA FIN ]],Tabla1[[#This Row],[FECHA INICIO]])</f>
        <v>5</v>
      </c>
      <c r="M3143" s="12"/>
      <c r="N3143" s="12"/>
      <c r="O3143" s="28">
        <f>(Tabla1[[#This Row],[COSTO FIJO ]]/30)*Tabla1[[#This Row],[TOTAL DIAS PROYECTO]]+(Tabla1[[#This Row],[COSTO TEMPORAL]])</f>
        <v>0</v>
      </c>
      <c r="P3143" s="12"/>
      <c r="Q3143" s="12">
        <f>+(Tabla1[[#This Row],[COSTO COCHE]]/30)*Tabla1[[#This Row],[TOTAL DIAS PROYECTO]]</f>
        <v>0</v>
      </c>
      <c r="R3143" s="12">
        <f>+Tabla1[[#This Row],[COSTO TOTAL ALOJAMIENTO]]+Tabla1[[#This Row],[COSTO TOTAL COCHE]]</f>
        <v>0</v>
      </c>
      <c r="S3143" s="2"/>
      <c r="T3143" s="14" t="s">
        <v>44</v>
      </c>
      <c r="U3143" s="14">
        <v>45872</v>
      </c>
      <c r="V3143" s="43">
        <v>45877</v>
      </c>
      <c r="W3143" s="12"/>
      <c r="X3143" s="2"/>
      <c r="Y3143" s="11" t="s">
        <v>4769</v>
      </c>
      <c r="Z3143" s="2" t="s">
        <v>36</v>
      </c>
      <c r="AA3143" s="13" t="e">
        <v>#N/A</v>
      </c>
      <c r="AB3143" s="13" t="e">
        <v>#N/A</v>
      </c>
    </row>
    <row r="3144" spans="1:28" ht="15" customHeight="1">
      <c r="A3144" s="2" t="s">
        <v>9277</v>
      </c>
      <c r="B3144" s="2" t="s">
        <v>368</v>
      </c>
      <c r="C3144" s="11" t="s">
        <v>2683</v>
      </c>
      <c r="D3144" s="2" t="s">
        <v>99</v>
      </c>
      <c r="E3144" s="2" t="s">
        <v>626</v>
      </c>
      <c r="F3144" s="11" t="s">
        <v>2376</v>
      </c>
      <c r="G3144" t="s">
        <v>2377</v>
      </c>
      <c r="H3144" s="2" t="s">
        <v>4771</v>
      </c>
      <c r="I3144" s="12" t="s">
        <v>630</v>
      </c>
      <c r="J3144" s="41">
        <f>+Tabla1[[#This Row],[FECHA ENTRADA]]</f>
        <v>45859</v>
      </c>
      <c r="K3144" s="41">
        <v>45877</v>
      </c>
      <c r="L3144" s="42">
        <f>_xlfn.DAYS(Tabla1[[#This Row],[FECHA FIN ]],Tabla1[[#This Row],[FECHA INICIO]])</f>
        <v>18</v>
      </c>
      <c r="M3144" s="12"/>
      <c r="N3144" s="12"/>
      <c r="O3144" s="28">
        <f>(Tabla1[[#This Row],[COSTO FIJO ]]/30)*Tabla1[[#This Row],[TOTAL DIAS PROYECTO]]+(Tabla1[[#This Row],[COSTO TEMPORAL]])</f>
        <v>0</v>
      </c>
      <c r="P3144" s="12"/>
      <c r="Q3144" s="12">
        <f>+(Tabla1[[#This Row],[COSTO COCHE]]/30)*Tabla1[[#This Row],[TOTAL DIAS PROYECTO]]</f>
        <v>0</v>
      </c>
      <c r="R3144" s="12">
        <f>+Tabla1[[#This Row],[COSTO TOTAL ALOJAMIENTO]]+Tabla1[[#This Row],[COSTO TOTAL COCHE]]</f>
        <v>0</v>
      </c>
      <c r="S3144" s="2"/>
      <c r="T3144" s="14" t="s">
        <v>44</v>
      </c>
      <c r="U3144" s="14">
        <v>45859</v>
      </c>
      <c r="V3144" s="25">
        <v>45888</v>
      </c>
      <c r="W3144" s="12"/>
      <c r="X3144" s="2"/>
      <c r="Y3144" s="11"/>
      <c r="Z3144" s="2" t="s">
        <v>36</v>
      </c>
      <c r="AA3144" s="13" t="s">
        <v>10385</v>
      </c>
      <c r="AB3144" s="13" t="s">
        <v>10386</v>
      </c>
    </row>
    <row r="3145" spans="1:28">
      <c r="A3145" s="2" t="s">
        <v>9731</v>
      </c>
      <c r="B3145" s="10" t="s">
        <v>978</v>
      </c>
      <c r="C3145" s="11" t="s">
        <v>4461</v>
      </c>
      <c r="D3145" s="2" t="s">
        <v>30</v>
      </c>
      <c r="E3145" s="2" t="s">
        <v>608</v>
      </c>
      <c r="F3145" s="11" t="s">
        <v>1918</v>
      </c>
      <c r="G3145" s="46" t="s">
        <v>4772</v>
      </c>
      <c r="H3145" s="2" t="s">
        <v>2142</v>
      </c>
      <c r="I3145" s="12" t="s">
        <v>4255</v>
      </c>
      <c r="J3145" s="41">
        <f>+Tabla1[[#This Row],[FECHA ENTRADA]]</f>
        <v>45828</v>
      </c>
      <c r="K3145" s="41">
        <v>45877</v>
      </c>
      <c r="L3145" s="42">
        <f>_xlfn.DAYS(Tabla1[[#This Row],[FECHA FIN ]],Tabla1[[#This Row],[FECHA INICIO]])</f>
        <v>49</v>
      </c>
      <c r="M3145" s="12"/>
      <c r="N3145" s="12"/>
      <c r="O3145" s="28">
        <f>(Tabla1[[#This Row],[COSTO FIJO ]]/30)*Tabla1[[#This Row],[TOTAL DIAS PROYECTO]]+(Tabla1[[#This Row],[COSTO TEMPORAL]])</f>
        <v>0</v>
      </c>
      <c r="P3145" s="12"/>
      <c r="Q3145" s="12">
        <f>+(Tabla1[[#This Row],[COSTO COCHE]]/30)*Tabla1[[#This Row],[TOTAL DIAS PROYECTO]]</f>
        <v>0</v>
      </c>
      <c r="R3145" s="12">
        <f>+Tabla1[[#This Row],[COSTO TOTAL ALOJAMIENTO]]+Tabla1[[#This Row],[COSTO TOTAL COCHE]]</f>
        <v>0</v>
      </c>
      <c r="S3145" s="2"/>
      <c r="T3145" s="14" t="s">
        <v>35</v>
      </c>
      <c r="U3145" s="14">
        <v>45828</v>
      </c>
      <c r="V3145" s="43"/>
      <c r="W3145" s="12"/>
      <c r="X3145" s="2">
        <v>15</v>
      </c>
      <c r="Y3145" s="11" t="s">
        <v>4743</v>
      </c>
      <c r="Z3145" s="2" t="s">
        <v>36</v>
      </c>
      <c r="AA3145" s="13" t="s">
        <v>10383</v>
      </c>
      <c r="AB3145" s="13" t="s">
        <v>10384</v>
      </c>
    </row>
    <row r="3146" spans="1:28" ht="15" customHeight="1">
      <c r="A3146" s="2" t="s">
        <v>9796</v>
      </c>
      <c r="B3146" s="10" t="s">
        <v>978</v>
      </c>
      <c r="C3146" s="11" t="s">
        <v>4773</v>
      </c>
      <c r="D3146" s="2" t="s">
        <v>30</v>
      </c>
      <c r="E3146" s="2" t="s">
        <v>608</v>
      </c>
      <c r="F3146" s="11" t="s">
        <v>1918</v>
      </c>
      <c r="G3146" s="46" t="s">
        <v>4772</v>
      </c>
      <c r="H3146" s="2" t="s">
        <v>2142</v>
      </c>
      <c r="I3146" s="12" t="s">
        <v>4255</v>
      </c>
      <c r="J3146" s="41">
        <f>+Tabla1[[#This Row],[FECHA ENTRADA]]</f>
        <v>45828</v>
      </c>
      <c r="K3146" s="41">
        <v>45877</v>
      </c>
      <c r="L3146" s="42">
        <f>_xlfn.DAYS(Tabla1[[#This Row],[FECHA FIN ]],Tabla1[[#This Row],[FECHA INICIO]])</f>
        <v>49</v>
      </c>
      <c r="M3146" s="12"/>
      <c r="N3146" s="12"/>
      <c r="O3146" s="28">
        <f>(Tabla1[[#This Row],[COSTO FIJO ]]/30)*Tabla1[[#This Row],[TOTAL DIAS PROYECTO]]+(Tabla1[[#This Row],[COSTO TEMPORAL]])</f>
        <v>0</v>
      </c>
      <c r="P3146" s="12"/>
      <c r="Q3146" s="12">
        <f>+(Tabla1[[#This Row],[COSTO COCHE]]/30)*Tabla1[[#This Row],[TOTAL DIAS PROYECTO]]</f>
        <v>0</v>
      </c>
      <c r="R3146" s="12">
        <f>+Tabla1[[#This Row],[COSTO TOTAL ALOJAMIENTO]]+Tabla1[[#This Row],[COSTO TOTAL COCHE]]</f>
        <v>0</v>
      </c>
      <c r="S3146" s="2"/>
      <c r="T3146" s="14" t="s">
        <v>35</v>
      </c>
      <c r="U3146" s="14">
        <v>45828</v>
      </c>
      <c r="V3146" s="43"/>
      <c r="W3146" s="12"/>
      <c r="X3146" s="2">
        <v>15</v>
      </c>
      <c r="Y3146" s="11" t="s">
        <v>4743</v>
      </c>
      <c r="Z3146" s="2" t="s">
        <v>36</v>
      </c>
      <c r="AA3146" s="13" t="s">
        <v>10383</v>
      </c>
      <c r="AB3146" s="13" t="s">
        <v>10384</v>
      </c>
    </row>
    <row r="3147" spans="1:28" ht="15" customHeight="1">
      <c r="A3147" s="2" t="s">
        <v>9128</v>
      </c>
      <c r="B3147" s="2" t="s">
        <v>28</v>
      </c>
      <c r="C3147" s="11" t="s">
        <v>2116</v>
      </c>
      <c r="D3147" s="2" t="s">
        <v>99</v>
      </c>
      <c r="E3147" s="2" t="s">
        <v>259</v>
      </c>
      <c r="F3147" s="11" t="s">
        <v>260</v>
      </c>
      <c r="G3147" s="11" t="s">
        <v>261</v>
      </c>
      <c r="H3147" s="2" t="s">
        <v>2118</v>
      </c>
      <c r="I3147" t="s">
        <v>2119</v>
      </c>
      <c r="J3147" s="22">
        <f>+Tabla1[[#This Row],[FECHA ENTRADA]]</f>
        <v>45819</v>
      </c>
      <c r="K3147" s="22">
        <v>45877</v>
      </c>
      <c r="L3147" s="23">
        <f>_xlfn.DAYS(Tabla1[[#This Row],[FECHA FIN ]],Tabla1[[#This Row],[FECHA INICIO]])</f>
        <v>58</v>
      </c>
      <c r="M3147" s="12"/>
      <c r="N3147" s="12"/>
      <c r="O3147" s="24">
        <f>(Tabla1[[#This Row],[COSTO FIJO ]]/30)*Tabla1[[#This Row],[TOTAL DIAS PROYECTO]]+(Tabla1[[#This Row],[COSTO TEMPORAL]])</f>
        <v>0</v>
      </c>
      <c r="P3147" s="12"/>
      <c r="Q3147" s="12">
        <f>+(Tabla1[[#This Row],[COSTO COCHE]]/30)*Tabla1[[#This Row],[TOTAL DIAS PROYECTO]]</f>
        <v>0</v>
      </c>
      <c r="R3147" s="12">
        <f>+Tabla1[[#This Row],[COSTO TOTAL ALOJAMIENTO]]+Tabla1[[#This Row],[COSTO TOTAL COCHE]]</f>
        <v>0</v>
      </c>
      <c r="S3147" s="2"/>
      <c r="T3147" s="14" t="s">
        <v>35</v>
      </c>
      <c r="U3147" s="14">
        <v>45819</v>
      </c>
      <c r="V3147" s="180"/>
      <c r="W3147" s="2"/>
      <c r="X3147" s="2"/>
      <c r="Y3147" s="11" t="s">
        <v>4774</v>
      </c>
      <c r="Z3147" s="2" t="s">
        <v>36</v>
      </c>
      <c r="AA3147" s="13">
        <v>-0.87734000000000001</v>
      </c>
      <c r="AB3147" s="13" t="s">
        <v>10359</v>
      </c>
    </row>
    <row r="3148" spans="1:28">
      <c r="A3148" s="2" t="s">
        <v>9014</v>
      </c>
      <c r="B3148" s="2" t="s">
        <v>28</v>
      </c>
      <c r="C3148" s="11" t="s">
        <v>1701</v>
      </c>
      <c r="D3148" s="2" t="s">
        <v>99</v>
      </c>
      <c r="E3148" s="2" t="s">
        <v>259</v>
      </c>
      <c r="F3148" s="11" t="s">
        <v>260</v>
      </c>
      <c r="G3148" s="11" t="s">
        <v>261</v>
      </c>
      <c r="H3148" s="2" t="s">
        <v>2118</v>
      </c>
      <c r="I3148" t="s">
        <v>2119</v>
      </c>
      <c r="J3148" s="22">
        <f>+Tabla1[[#This Row],[FECHA ENTRADA]]</f>
        <v>45819</v>
      </c>
      <c r="K3148" s="22">
        <v>45877</v>
      </c>
      <c r="L3148" s="23">
        <f>_xlfn.DAYS(Tabla1[[#This Row],[FECHA FIN ]],Tabla1[[#This Row],[FECHA INICIO]])</f>
        <v>58</v>
      </c>
      <c r="M3148" s="12"/>
      <c r="N3148" s="12"/>
      <c r="O3148" s="24">
        <f>(Tabla1[[#This Row],[COSTO FIJO ]]/30)*Tabla1[[#This Row],[TOTAL DIAS PROYECTO]]+(Tabla1[[#This Row],[COSTO TEMPORAL]])</f>
        <v>0</v>
      </c>
      <c r="P3148" s="12"/>
      <c r="Q3148" s="12">
        <f>+(Tabla1[[#This Row],[COSTO COCHE]]/30)*Tabla1[[#This Row],[TOTAL DIAS PROYECTO]]</f>
        <v>0</v>
      </c>
      <c r="R3148" s="12">
        <f>+Tabla1[[#This Row],[COSTO TOTAL ALOJAMIENTO]]+Tabla1[[#This Row],[COSTO TOTAL COCHE]]</f>
        <v>0</v>
      </c>
      <c r="S3148" s="2"/>
      <c r="T3148" s="14" t="s">
        <v>35</v>
      </c>
      <c r="U3148" s="14">
        <v>45819</v>
      </c>
      <c r="V3148" s="180"/>
      <c r="W3148" s="2"/>
      <c r="X3148" s="2"/>
      <c r="Y3148" s="11" t="s">
        <v>4774</v>
      </c>
      <c r="Z3148" s="2" t="s">
        <v>36</v>
      </c>
      <c r="AA3148" s="13">
        <v>-0.87734000000000001</v>
      </c>
      <c r="AB3148" s="13" t="s">
        <v>10359</v>
      </c>
    </row>
    <row r="3149" spans="1:28">
      <c r="A3149" s="2" t="s">
        <v>9484</v>
      </c>
      <c r="B3149" s="2" t="s">
        <v>28</v>
      </c>
      <c r="C3149" s="11" t="s">
        <v>3351</v>
      </c>
      <c r="D3149" s="2" t="s">
        <v>99</v>
      </c>
      <c r="E3149" s="2" t="s">
        <v>259</v>
      </c>
      <c r="F3149" s="11" t="s">
        <v>260</v>
      </c>
      <c r="G3149" s="11" t="s">
        <v>261</v>
      </c>
      <c r="H3149" s="2" t="s">
        <v>4775</v>
      </c>
      <c r="I3149" t="s">
        <v>2119</v>
      </c>
      <c r="J3149" s="41">
        <f>+Tabla1[[#This Row],[FECHA ENTRADA]]</f>
        <v>45826</v>
      </c>
      <c r="K3149" s="22">
        <v>45877</v>
      </c>
      <c r="L3149" s="42">
        <f>_xlfn.DAYS(Tabla1[[#This Row],[FECHA FIN ]],Tabla1[[#This Row],[FECHA INICIO]])</f>
        <v>51</v>
      </c>
      <c r="M3149" s="12"/>
      <c r="N3149" s="12"/>
      <c r="O3149" s="28">
        <f>(Tabla1[[#This Row],[COSTO FIJO ]]/30)*Tabla1[[#This Row],[TOTAL DIAS PROYECTO]]+(Tabla1[[#This Row],[COSTO TEMPORAL]])</f>
        <v>0</v>
      </c>
      <c r="P3149" s="12"/>
      <c r="Q3149" s="12">
        <f>+(Tabla1[[#This Row],[COSTO COCHE]]/30)*Tabla1[[#This Row],[TOTAL DIAS PROYECTO]]</f>
        <v>0</v>
      </c>
      <c r="R3149" s="12">
        <f>+Tabla1[[#This Row],[COSTO TOTAL ALOJAMIENTO]]+Tabla1[[#This Row],[COSTO TOTAL COCHE]]</f>
        <v>0</v>
      </c>
      <c r="S3149" s="2"/>
      <c r="T3149" s="14" t="s">
        <v>35</v>
      </c>
      <c r="U3149" s="14">
        <v>45826</v>
      </c>
      <c r="V3149" s="43"/>
      <c r="W3149" s="2"/>
      <c r="X3149" s="2"/>
      <c r="Y3149" s="11" t="s">
        <v>4774</v>
      </c>
      <c r="Z3149" s="2" t="s">
        <v>36</v>
      </c>
      <c r="AA3149" s="13">
        <v>-0.87734000000000001</v>
      </c>
      <c r="AB3149" s="13" t="s">
        <v>10359</v>
      </c>
    </row>
    <row r="3150" spans="1:28" ht="15" customHeight="1">
      <c r="A3150" s="2" t="s">
        <v>9281</v>
      </c>
      <c r="B3150" s="2" t="s">
        <v>368</v>
      </c>
      <c r="C3150" s="11" t="s">
        <v>2689</v>
      </c>
      <c r="D3150" s="2" t="s">
        <v>99</v>
      </c>
      <c r="E3150" s="2" t="s">
        <v>31</v>
      </c>
      <c r="F3150" s="11" t="s">
        <v>344</v>
      </c>
      <c r="G3150" s="11" t="s">
        <v>345</v>
      </c>
      <c r="H3150" s="2" t="s">
        <v>4776</v>
      </c>
      <c r="I3150" s="12" t="s">
        <v>4777</v>
      </c>
      <c r="J3150" s="22">
        <f>+Tabla1[[#This Row],[FECHA ENTRADA]]</f>
        <v>45864</v>
      </c>
      <c r="K3150" s="22">
        <v>45877</v>
      </c>
      <c r="L3150" s="23">
        <f>_xlfn.DAYS(Tabla1[[#This Row],[FECHA FIN ]],Tabla1[[#This Row],[FECHA INICIO]])</f>
        <v>13</v>
      </c>
      <c r="M3150" s="12"/>
      <c r="N3150" s="12"/>
      <c r="O3150" s="24">
        <f>(Tabla1[[#This Row],[COSTO FIJO ]]/30)*Tabla1[[#This Row],[TOTAL DIAS PROYECTO]]+(Tabla1[[#This Row],[COSTO TEMPORAL]])</f>
        <v>0</v>
      </c>
      <c r="P3150" s="12"/>
      <c r="Q3150" s="12">
        <f>+(Tabla1[[#This Row],[COSTO COCHE]]/30)*Tabla1[[#This Row],[TOTAL DIAS PROYECTO]]</f>
        <v>0</v>
      </c>
      <c r="R3150" s="12">
        <f>+Tabla1[[#This Row],[COSTO TOTAL ALOJAMIENTO]]+Tabla1[[#This Row],[COSTO TOTAL COCHE]]</f>
        <v>0</v>
      </c>
      <c r="S3150" s="2"/>
      <c r="T3150" s="14" t="s">
        <v>35</v>
      </c>
      <c r="U3150" s="14">
        <v>45864</v>
      </c>
      <c r="V3150" s="25"/>
      <c r="W3150" s="12"/>
      <c r="X3150" s="2"/>
      <c r="Y3150" s="11"/>
      <c r="Z3150" s="2" t="s">
        <v>36</v>
      </c>
      <c r="AA3150" s="13" t="s">
        <v>10323</v>
      </c>
      <c r="AB3150" s="13" t="s">
        <v>10324</v>
      </c>
    </row>
    <row r="3151" spans="1:28" ht="15" customHeight="1">
      <c r="A3151" s="117" t="s">
        <v>9797</v>
      </c>
      <c r="B3151" s="117" t="s">
        <v>711</v>
      </c>
      <c r="C3151" s="118" t="s">
        <v>4778</v>
      </c>
      <c r="D3151" s="117" t="s">
        <v>30</v>
      </c>
      <c r="E3151" s="117" t="s">
        <v>648</v>
      </c>
      <c r="F3151" s="11" t="s">
        <v>2219</v>
      </c>
      <c r="G3151" s="68" t="s">
        <v>2220</v>
      </c>
      <c r="H3151" s="117" t="s">
        <v>2221</v>
      </c>
      <c r="I3151" s="119" t="s">
        <v>96</v>
      </c>
      <c r="J3151" s="120">
        <f>+Tabla1[[#This Row],[FECHA ENTRADA]]</f>
        <v>45963</v>
      </c>
      <c r="K3151" s="120">
        <v>45968</v>
      </c>
      <c r="L3151" s="122">
        <f>_xlfn.DAYS(Tabla1[[#This Row],[FECHA FIN ]],Tabla1[[#This Row],[FECHA INICIO]])</f>
        <v>5</v>
      </c>
      <c r="M3151" s="119">
        <v>86.666666666666671</v>
      </c>
      <c r="N3151" s="123"/>
      <c r="O3151" s="123">
        <f>(Tabla1[[#This Row],[COSTO FIJO ]]/30)*Tabla1[[#This Row],[TOTAL DIAS PROYECTO]]+(Tabla1[[#This Row],[COSTO TEMPORAL]])</f>
        <v>86.666666666666671</v>
      </c>
      <c r="P3151" s="119"/>
      <c r="Q3151" s="119">
        <f>+(Tabla1[[#This Row],[COSTO COCHE]]/30)*Tabla1[[#This Row],[TOTAL DIAS PROYECTO]]</f>
        <v>0</v>
      </c>
      <c r="R3151" s="119">
        <f>+Tabla1[[#This Row],[COSTO TOTAL ALOJAMIENTO]]+Tabla1[[#This Row],[COSTO TOTAL COCHE]]</f>
        <v>86.666666666666671</v>
      </c>
      <c r="S3151" s="117"/>
      <c r="T3151" s="124" t="s">
        <v>44</v>
      </c>
      <c r="U3151" s="124">
        <v>45963</v>
      </c>
      <c r="V3151" s="159">
        <v>45968</v>
      </c>
      <c r="W3151" s="126"/>
      <c r="X3151" s="117"/>
      <c r="Y3151" s="118" t="s">
        <v>2222</v>
      </c>
      <c r="Z3151" s="117" t="s">
        <v>36</v>
      </c>
      <c r="AA3151" s="127" t="s">
        <v>10387</v>
      </c>
      <c r="AB3151" s="127" t="s">
        <v>10388</v>
      </c>
    </row>
    <row r="3152" spans="1:28">
      <c r="A3152" s="2" t="s">
        <v>8791</v>
      </c>
      <c r="B3152" s="2" t="s">
        <v>368</v>
      </c>
      <c r="C3152" s="11" t="s">
        <v>782</v>
      </c>
      <c r="D3152" s="2" t="s">
        <v>99</v>
      </c>
      <c r="E3152" s="2" t="s">
        <v>55</v>
      </c>
      <c r="F3152" s="11" t="s">
        <v>1653</v>
      </c>
      <c r="G3152" s="11" t="s">
        <v>1440</v>
      </c>
      <c r="H3152" s="2" t="s">
        <v>4779</v>
      </c>
      <c r="I3152" s="12" t="s">
        <v>233</v>
      </c>
      <c r="J3152" s="22">
        <f>+Tabla1[[#This Row],[FECHA ENTRADA]]</f>
        <v>45732</v>
      </c>
      <c r="K3152" s="22">
        <v>45879</v>
      </c>
      <c r="L3152" s="23">
        <f>_xlfn.DAYS(Tabla1[[#This Row],[FECHA FIN ]],Tabla1[[#This Row],[FECHA INICIO]])</f>
        <v>147</v>
      </c>
      <c r="M3152" s="12"/>
      <c r="N3152" s="12">
        <v>500</v>
      </c>
      <c r="O3152" s="24">
        <f>(Tabla1[[#This Row],[COSTO FIJO ]]/30)*Tabla1[[#This Row],[TOTAL DIAS PROYECTO]]+(Tabla1[[#This Row],[COSTO TEMPORAL]])</f>
        <v>2450</v>
      </c>
      <c r="P3152" s="12"/>
      <c r="Q3152" s="12">
        <f>+(Tabla1[[#This Row],[COSTO COCHE]]/30)*Tabla1[[#This Row],[TOTAL DIAS PROYECTO]]</f>
        <v>0</v>
      </c>
      <c r="R3152" s="12">
        <f>+Tabla1[[#This Row],[COSTO TOTAL ALOJAMIENTO]]+Tabla1[[#This Row],[COSTO TOTAL COCHE]]</f>
        <v>2450</v>
      </c>
      <c r="S3152" s="2"/>
      <c r="T3152" s="2" t="s">
        <v>35</v>
      </c>
      <c r="U3152" s="14">
        <v>45732</v>
      </c>
      <c r="V3152" s="25"/>
      <c r="W3152" s="26"/>
      <c r="X3152" s="2">
        <v>1</v>
      </c>
      <c r="Y3152" s="11"/>
      <c r="Z3152" s="2" t="s">
        <v>36</v>
      </c>
      <c r="AA3152" s="13" t="s">
        <v>10327</v>
      </c>
      <c r="AB3152" s="13" t="s">
        <v>10328</v>
      </c>
    </row>
    <row r="3153" spans="1:28" ht="15" customHeight="1">
      <c r="A3153" s="2" t="s">
        <v>9797</v>
      </c>
      <c r="B3153" s="2" t="s">
        <v>711</v>
      </c>
      <c r="C3153" s="11" t="s">
        <v>4778</v>
      </c>
      <c r="D3153" s="2" t="s">
        <v>30</v>
      </c>
      <c r="E3153" s="2" t="s">
        <v>648</v>
      </c>
      <c r="F3153" s="11" t="s">
        <v>2250</v>
      </c>
      <c r="G3153" s="46" t="s">
        <v>2251</v>
      </c>
      <c r="H3153" s="2" t="s">
        <v>2221</v>
      </c>
      <c r="I3153" s="12" t="s">
        <v>96</v>
      </c>
      <c r="J3153" s="41">
        <f>+Tabla1[[#This Row],[FECHA ENTRADA]]</f>
        <v>45968</v>
      </c>
      <c r="K3153" s="22">
        <v>45982</v>
      </c>
      <c r="L3153" s="42">
        <f>_xlfn.DAYS(Tabla1[[#This Row],[FECHA FIN ]],Tabla1[[#This Row],[FECHA INICIO]])</f>
        <v>14</v>
      </c>
      <c r="M3153" s="12">
        <f>678.13/3</f>
        <v>226.04333333333332</v>
      </c>
      <c r="N3153" s="28"/>
      <c r="O3153" s="28">
        <f>(Tabla1[[#This Row],[COSTO FIJO ]]/30)*Tabla1[[#This Row],[TOTAL DIAS PROYECTO]]+(Tabla1[[#This Row],[COSTO TEMPORAL]])</f>
        <v>226.04333333333332</v>
      </c>
      <c r="P3153" s="12"/>
      <c r="Q3153" s="12">
        <f>+(Tabla1[[#This Row],[COSTO COCHE]]/30)*Tabla1[[#This Row],[TOTAL DIAS PROYECTO]]</f>
        <v>0</v>
      </c>
      <c r="R3153" s="12">
        <f>+Tabla1[[#This Row],[COSTO TOTAL ALOJAMIENTO]]+Tabla1[[#This Row],[COSTO TOTAL COCHE]]</f>
        <v>226.04333333333332</v>
      </c>
      <c r="S3153" s="2" t="s">
        <v>403</v>
      </c>
      <c r="T3153" s="14" t="s">
        <v>44</v>
      </c>
      <c r="U3153" s="14">
        <v>45968</v>
      </c>
      <c r="V3153" s="43">
        <v>45986</v>
      </c>
      <c r="W3153" s="71"/>
      <c r="X3153" s="2"/>
      <c r="Y3153" s="11" t="s">
        <v>2252</v>
      </c>
      <c r="Z3153" s="2" t="s">
        <v>36</v>
      </c>
      <c r="AA3153" s="13" t="s">
        <v>10387</v>
      </c>
      <c r="AB3153" s="13" t="s">
        <v>10388</v>
      </c>
    </row>
    <row r="3154" spans="1:28" ht="15" customHeight="1">
      <c r="A3154" s="2" t="s">
        <v>8761</v>
      </c>
      <c r="B3154" s="2" t="s">
        <v>368</v>
      </c>
      <c r="C3154" s="31" t="s">
        <v>633</v>
      </c>
      <c r="D3154" s="2" t="s">
        <v>99</v>
      </c>
      <c r="E3154" s="2" t="s">
        <v>31</v>
      </c>
      <c r="F3154" s="11" t="s">
        <v>32</v>
      </c>
      <c r="G3154" s="11" t="s">
        <v>33</v>
      </c>
      <c r="H3154" s="2" t="s">
        <v>4776</v>
      </c>
      <c r="I3154" s="12" t="s">
        <v>4777</v>
      </c>
      <c r="J3154" s="22">
        <f>+Tabla1[[#This Row],[FECHA ENTRADA]]</f>
        <v>45864</v>
      </c>
      <c r="K3154" s="22">
        <v>45880</v>
      </c>
      <c r="L3154" s="23">
        <f>_xlfn.DAYS(Tabla1[[#This Row],[FECHA FIN ]],Tabla1[[#This Row],[FECHA INICIO]])</f>
        <v>16</v>
      </c>
      <c r="M3154" s="12"/>
      <c r="N3154" s="12">
        <f>875.5/4</f>
        <v>218.875</v>
      </c>
      <c r="O3154" s="24">
        <f>(Tabla1[[#This Row],[COSTO FIJO ]]/30)*Tabla1[[#This Row],[TOTAL DIAS PROYECTO]]+(Tabla1[[#This Row],[COSTO TEMPORAL]])</f>
        <v>116.73333333333333</v>
      </c>
      <c r="P3154" s="12"/>
      <c r="Q3154" s="12">
        <f>+(Tabla1[[#This Row],[COSTO COCHE]]/30)*Tabla1[[#This Row],[TOTAL DIAS PROYECTO]]</f>
        <v>0</v>
      </c>
      <c r="R3154" s="12">
        <f>+Tabla1[[#This Row],[COSTO TOTAL ALOJAMIENTO]]+Tabla1[[#This Row],[COSTO TOTAL COCHE]]</f>
        <v>116.73333333333333</v>
      </c>
      <c r="S3154" s="2"/>
      <c r="T3154" s="14" t="s">
        <v>35</v>
      </c>
      <c r="U3154" s="14">
        <v>45864</v>
      </c>
      <c r="V3154" s="25"/>
      <c r="W3154" s="12"/>
      <c r="X3154" s="2">
        <v>1</v>
      </c>
      <c r="Y3154" s="11" t="s">
        <v>4780</v>
      </c>
      <c r="Z3154" s="2" t="s">
        <v>36</v>
      </c>
      <c r="AA3154" s="13" t="s">
        <v>10323</v>
      </c>
      <c r="AB3154" s="13" t="s">
        <v>10324</v>
      </c>
    </row>
    <row r="3155" spans="1:28" ht="15.75" customHeight="1">
      <c r="A3155" s="2" t="s">
        <v>9221</v>
      </c>
      <c r="B3155" s="2" t="s">
        <v>978</v>
      </c>
      <c r="C3155" s="31" t="s">
        <v>2491</v>
      </c>
      <c r="D3155" s="2" t="s">
        <v>30</v>
      </c>
      <c r="E3155" s="2" t="s">
        <v>55</v>
      </c>
      <c r="F3155" s="11" t="s">
        <v>231</v>
      </c>
      <c r="G3155" s="18" t="s">
        <v>106</v>
      </c>
      <c r="H3155" s="2" t="s">
        <v>2092</v>
      </c>
      <c r="I3155" s="12" t="s">
        <v>4120</v>
      </c>
      <c r="J3155" s="41">
        <f>+Tabla1[[#This Row],[FECHA ENTRADA]]</f>
        <v>45830</v>
      </c>
      <c r="K3155" s="41">
        <v>45880</v>
      </c>
      <c r="L3155" s="42">
        <f>_xlfn.DAYS(Tabla1[[#This Row],[FECHA FIN ]],Tabla1[[#This Row],[FECHA INICIO]])</f>
        <v>50</v>
      </c>
      <c r="M3155" s="12"/>
      <c r="N3155" s="12">
        <v>500</v>
      </c>
      <c r="O3155" s="28">
        <f>(Tabla1[[#This Row],[COSTO FIJO ]]/30)*Tabla1[[#This Row],[TOTAL DIAS PROYECTO]]+(Tabla1[[#This Row],[COSTO TEMPORAL]])</f>
        <v>833.33333333333337</v>
      </c>
      <c r="P3155" s="12"/>
      <c r="Q3155" s="12">
        <f>+(Tabla1[[#This Row],[COSTO COCHE]]/30)*Tabla1[[#This Row],[TOTAL DIAS PROYECTO]]</f>
        <v>0</v>
      </c>
      <c r="R3155" s="12">
        <f>+Tabla1[[#This Row],[COSTO TOTAL ALOJAMIENTO]]+Tabla1[[#This Row],[COSTO TOTAL COCHE]]</f>
        <v>833.33333333333337</v>
      </c>
      <c r="S3155" s="2"/>
      <c r="T3155" s="8" t="s">
        <v>35</v>
      </c>
      <c r="U3155" s="14">
        <v>45830</v>
      </c>
      <c r="V3155" s="43"/>
      <c r="W3155" s="2"/>
      <c r="X3155" s="2">
        <v>1</v>
      </c>
      <c r="Y3155" s="11" t="s">
        <v>4781</v>
      </c>
      <c r="Z3155" s="2" t="s">
        <v>36</v>
      </c>
      <c r="AA3155" s="13" t="s">
        <v>10327</v>
      </c>
      <c r="AB3155" s="13" t="s">
        <v>10328</v>
      </c>
    </row>
    <row r="3156" spans="1:28" ht="15.75" customHeight="1">
      <c r="A3156" s="2" t="s">
        <v>8976</v>
      </c>
      <c r="B3156" s="2" t="s">
        <v>368</v>
      </c>
      <c r="C3156" s="11" t="s">
        <v>1570</v>
      </c>
      <c r="D3156" s="2" t="s">
        <v>78</v>
      </c>
      <c r="E3156" s="2" t="s">
        <v>1297</v>
      </c>
      <c r="F3156" s="11" t="s">
        <v>4782</v>
      </c>
      <c r="G3156" s="21" t="s">
        <v>4783</v>
      </c>
      <c r="H3156" s="2" t="s">
        <v>4530</v>
      </c>
      <c r="I3156" s="12" t="s">
        <v>1301</v>
      </c>
      <c r="J3156" s="22">
        <f>+Tabla1[[#This Row],[FECHA ENTRADA]]</f>
        <v>45863</v>
      </c>
      <c r="K3156" s="22">
        <v>45880</v>
      </c>
      <c r="L3156" s="23">
        <f>_xlfn.DAYS(Tabla1[[#This Row],[FECHA FIN ]],Tabla1[[#This Row],[FECHA INICIO]])</f>
        <v>17</v>
      </c>
      <c r="M3156" s="12"/>
      <c r="N3156" s="12">
        <f>1028.37/4</f>
        <v>257.09249999999997</v>
      </c>
      <c r="O3156" s="24">
        <f>(Tabla1[[#This Row],[COSTO FIJO ]]/30)*Tabla1[[#This Row],[TOTAL DIAS PROYECTO]]+(Tabla1[[#This Row],[COSTO TEMPORAL]])</f>
        <v>145.68574999999998</v>
      </c>
      <c r="P3156" s="12"/>
      <c r="Q3156" s="12">
        <f>+(Tabla1[[#This Row],[COSTO COCHE]]/30)*Tabla1[[#This Row],[TOTAL DIAS PROYECTO]]</f>
        <v>0</v>
      </c>
      <c r="R3156" s="12">
        <f>+Tabla1[[#This Row],[COSTO TOTAL ALOJAMIENTO]]+Tabla1[[#This Row],[COSTO TOTAL COCHE]]</f>
        <v>145.68574999999998</v>
      </c>
      <c r="S3156" s="2" t="s">
        <v>84</v>
      </c>
      <c r="T3156" s="14" t="s">
        <v>44</v>
      </c>
      <c r="U3156" s="14">
        <v>45863</v>
      </c>
      <c r="V3156" s="79">
        <v>45880</v>
      </c>
      <c r="W3156" s="12"/>
      <c r="X3156" s="2"/>
      <c r="Y3156" s="11"/>
      <c r="Z3156" s="2" t="s">
        <v>36</v>
      </c>
      <c r="AA3156" s="13" t="s">
        <v>10414</v>
      </c>
      <c r="AB3156" s="13">
        <v>5094783</v>
      </c>
    </row>
    <row r="3157" spans="1:28" ht="15" customHeight="1">
      <c r="A3157" s="2" t="s">
        <v>9084</v>
      </c>
      <c r="B3157" s="2" t="s">
        <v>368</v>
      </c>
      <c r="C3157" s="11" t="s">
        <v>1947</v>
      </c>
      <c r="D3157" s="2" t="s">
        <v>78</v>
      </c>
      <c r="E3157" s="2" t="s">
        <v>1297</v>
      </c>
      <c r="F3157" s="11" t="s">
        <v>4782</v>
      </c>
      <c r="G3157" s="21" t="s">
        <v>4783</v>
      </c>
      <c r="H3157" s="2" t="s">
        <v>2168</v>
      </c>
      <c r="I3157" s="12" t="s">
        <v>1301</v>
      </c>
      <c r="J3157" s="22">
        <f>+Tabla1[[#This Row],[FECHA ENTRADA]]</f>
        <v>45863</v>
      </c>
      <c r="K3157" s="22">
        <v>45880</v>
      </c>
      <c r="L3157" s="23">
        <f>_xlfn.DAYS(Tabla1[[#This Row],[FECHA FIN ]],Tabla1[[#This Row],[FECHA INICIO]])</f>
        <v>17</v>
      </c>
      <c r="M3157" s="12"/>
      <c r="N3157" s="12">
        <f>1028.37/4</f>
        <v>257.09249999999997</v>
      </c>
      <c r="O3157" s="24">
        <f>(Tabla1[[#This Row],[COSTO FIJO ]]/30)*Tabla1[[#This Row],[TOTAL DIAS PROYECTO]]+(Tabla1[[#This Row],[COSTO TEMPORAL]])</f>
        <v>145.68574999999998</v>
      </c>
      <c r="P3157" s="12"/>
      <c r="Q3157" s="12">
        <f>+(Tabla1[[#This Row],[COSTO COCHE]]/30)*Tabla1[[#This Row],[TOTAL DIAS PROYECTO]]</f>
        <v>0</v>
      </c>
      <c r="R3157" s="12">
        <f>+Tabla1[[#This Row],[COSTO TOTAL ALOJAMIENTO]]+Tabla1[[#This Row],[COSTO TOTAL COCHE]]</f>
        <v>145.68574999999998</v>
      </c>
      <c r="S3157" s="2" t="s">
        <v>84</v>
      </c>
      <c r="T3157" s="14" t="s">
        <v>44</v>
      </c>
      <c r="U3157" s="14">
        <v>45863</v>
      </c>
      <c r="V3157" s="79">
        <v>45880</v>
      </c>
      <c r="W3157" s="12"/>
      <c r="X3157" s="2"/>
      <c r="Y3157" s="11"/>
      <c r="Z3157" s="2" t="s">
        <v>36</v>
      </c>
      <c r="AA3157" s="13" t="s">
        <v>10414</v>
      </c>
      <c r="AB3157" s="13">
        <v>5094783</v>
      </c>
    </row>
    <row r="3158" spans="1:28" ht="15.75" customHeight="1">
      <c r="A3158" s="2" t="s">
        <v>8944</v>
      </c>
      <c r="B3158" s="2" t="s">
        <v>368</v>
      </c>
      <c r="C3158" s="11" t="s">
        <v>1382</v>
      </c>
      <c r="D3158" s="2" t="s">
        <v>78</v>
      </c>
      <c r="E3158" s="2" t="s">
        <v>1297</v>
      </c>
      <c r="F3158" s="11" t="s">
        <v>4782</v>
      </c>
      <c r="G3158" s="21" t="s">
        <v>4783</v>
      </c>
      <c r="H3158" s="2" t="s">
        <v>1300</v>
      </c>
      <c r="I3158" s="12" t="s">
        <v>1301</v>
      </c>
      <c r="J3158" s="22">
        <f>+Tabla1[[#This Row],[FECHA ENTRADA]]</f>
        <v>45863</v>
      </c>
      <c r="K3158" s="22">
        <v>45880</v>
      </c>
      <c r="L3158" s="23">
        <f>_xlfn.DAYS(Tabla1[[#This Row],[FECHA FIN ]],Tabla1[[#This Row],[FECHA INICIO]])</f>
        <v>17</v>
      </c>
      <c r="M3158" s="12"/>
      <c r="N3158" s="12">
        <f>1028.37/4</f>
        <v>257.09249999999997</v>
      </c>
      <c r="O3158" s="24">
        <f>(Tabla1[[#This Row],[COSTO FIJO ]]/30)*Tabla1[[#This Row],[TOTAL DIAS PROYECTO]]+(Tabla1[[#This Row],[COSTO TEMPORAL]])</f>
        <v>145.68574999999998</v>
      </c>
      <c r="P3158" s="12"/>
      <c r="Q3158" s="12">
        <f>+(Tabla1[[#This Row],[COSTO COCHE]]/30)*Tabla1[[#This Row],[TOTAL DIAS PROYECTO]]</f>
        <v>0</v>
      </c>
      <c r="R3158" s="12">
        <f>+Tabla1[[#This Row],[COSTO TOTAL ALOJAMIENTO]]+Tabla1[[#This Row],[COSTO TOTAL COCHE]]</f>
        <v>145.68574999999998</v>
      </c>
      <c r="S3158" s="2" t="s">
        <v>84</v>
      </c>
      <c r="T3158" s="14" t="s">
        <v>44</v>
      </c>
      <c r="U3158" s="14">
        <v>45863</v>
      </c>
      <c r="V3158" s="79">
        <v>45880</v>
      </c>
      <c r="W3158" s="12"/>
      <c r="X3158" s="2"/>
      <c r="Y3158" s="11"/>
      <c r="Z3158" s="2" t="s">
        <v>36</v>
      </c>
      <c r="AA3158" s="13" t="s">
        <v>10414</v>
      </c>
      <c r="AB3158" s="13">
        <v>5094783</v>
      </c>
    </row>
    <row r="3159" spans="1:28" ht="15" customHeight="1">
      <c r="A3159" s="2" t="s">
        <v>9299</v>
      </c>
      <c r="B3159" s="2" t="s">
        <v>368</v>
      </c>
      <c r="C3159" s="11" t="s">
        <v>2743</v>
      </c>
      <c r="D3159" s="2" t="s">
        <v>78</v>
      </c>
      <c r="E3159" s="2" t="s">
        <v>1297</v>
      </c>
      <c r="F3159" s="11" t="s">
        <v>4782</v>
      </c>
      <c r="G3159" s="21" t="s">
        <v>4783</v>
      </c>
      <c r="H3159" s="2" t="s">
        <v>1300</v>
      </c>
      <c r="I3159" s="12" t="s">
        <v>1301</v>
      </c>
      <c r="J3159" s="22">
        <f>+Tabla1[[#This Row],[FECHA ENTRADA]]</f>
        <v>45863</v>
      </c>
      <c r="K3159" s="22">
        <v>45880</v>
      </c>
      <c r="L3159" s="23">
        <f>_xlfn.DAYS(Tabla1[[#This Row],[FECHA FIN ]],Tabla1[[#This Row],[FECHA INICIO]])</f>
        <v>17</v>
      </c>
      <c r="M3159" s="12"/>
      <c r="N3159" s="12">
        <f>1028.37/4</f>
        <v>257.09249999999997</v>
      </c>
      <c r="O3159" s="24">
        <f>(Tabla1[[#This Row],[COSTO FIJO ]]/30)*Tabla1[[#This Row],[TOTAL DIAS PROYECTO]]+(Tabla1[[#This Row],[COSTO TEMPORAL]])</f>
        <v>145.68574999999998</v>
      </c>
      <c r="P3159" s="12"/>
      <c r="Q3159" s="12">
        <f>+(Tabla1[[#This Row],[COSTO COCHE]]/30)*Tabla1[[#This Row],[TOTAL DIAS PROYECTO]]</f>
        <v>0</v>
      </c>
      <c r="R3159" s="12">
        <f>+Tabla1[[#This Row],[COSTO TOTAL ALOJAMIENTO]]+Tabla1[[#This Row],[COSTO TOTAL COCHE]]</f>
        <v>145.68574999999998</v>
      </c>
      <c r="S3159" s="2" t="s">
        <v>84</v>
      </c>
      <c r="T3159" s="14" t="s">
        <v>44</v>
      </c>
      <c r="U3159" s="14">
        <v>45863</v>
      </c>
      <c r="V3159" s="79">
        <v>45880</v>
      </c>
      <c r="W3159" s="12"/>
      <c r="X3159" s="2"/>
      <c r="Y3159" s="11"/>
      <c r="Z3159" s="2" t="s">
        <v>36</v>
      </c>
      <c r="AA3159" s="13" t="s">
        <v>10414</v>
      </c>
      <c r="AB3159" s="13">
        <v>5094783</v>
      </c>
    </row>
    <row r="3160" spans="1:28" ht="15" customHeight="1">
      <c r="A3160" s="2" t="s">
        <v>9726</v>
      </c>
      <c r="B3160" s="2" t="s">
        <v>978</v>
      </c>
      <c r="C3160" s="11" t="s">
        <v>4422</v>
      </c>
      <c r="D3160" s="2" t="s">
        <v>30</v>
      </c>
      <c r="E3160" s="2" t="s">
        <v>626</v>
      </c>
      <c r="F3160" s="11" t="s">
        <v>2376</v>
      </c>
      <c r="G3160" s="30" t="s">
        <v>2377</v>
      </c>
      <c r="H3160" s="2" t="s">
        <v>4425</v>
      </c>
      <c r="I3160" s="10" t="s">
        <v>3364</v>
      </c>
      <c r="J3160" s="22">
        <f>+Tabla1[[#This Row],[FECHA ENTRADA]]</f>
        <v>45853</v>
      </c>
      <c r="K3160" s="41">
        <v>45880</v>
      </c>
      <c r="L3160" s="23">
        <f>_xlfn.DAYS(Tabla1[[#This Row],[FECHA FIN ]],Tabla1[[#This Row],[FECHA INICIO]])</f>
        <v>27</v>
      </c>
      <c r="M3160" s="12"/>
      <c r="N3160" s="12"/>
      <c r="O3160" s="24">
        <f>(Tabla1[[#This Row],[COSTO FIJO ]]/30)*Tabla1[[#This Row],[TOTAL DIAS PROYECTO]]+(Tabla1[[#This Row],[COSTO TEMPORAL]])</f>
        <v>0</v>
      </c>
      <c r="P3160" s="12"/>
      <c r="Q3160" s="12">
        <f>+(Tabla1[[#This Row],[COSTO COCHE]]/30)*Tabla1[[#This Row],[TOTAL DIAS PROYECTO]]</f>
        <v>0</v>
      </c>
      <c r="R3160" s="12">
        <f>+Tabla1[[#This Row],[COSTO TOTAL ALOJAMIENTO]]+Tabla1[[#This Row],[COSTO TOTAL COCHE]]</f>
        <v>0</v>
      </c>
      <c r="S3160" s="2"/>
      <c r="T3160" s="14" t="s">
        <v>44</v>
      </c>
      <c r="U3160" s="14">
        <v>45853</v>
      </c>
      <c r="V3160" s="25">
        <v>45881</v>
      </c>
      <c r="W3160" s="12"/>
      <c r="X3160" s="2"/>
      <c r="Y3160" s="11" t="s">
        <v>4784</v>
      </c>
      <c r="Z3160" s="2" t="s">
        <v>36</v>
      </c>
      <c r="AA3160" s="13" t="s">
        <v>10385</v>
      </c>
      <c r="AB3160" s="13" t="s">
        <v>10386</v>
      </c>
    </row>
    <row r="3161" spans="1:28" ht="15" customHeight="1">
      <c r="A3161" s="2" t="s">
        <v>9142</v>
      </c>
      <c r="B3161" s="2" t="s">
        <v>978</v>
      </c>
      <c r="C3161" s="11" t="s">
        <v>2192</v>
      </c>
      <c r="D3161" s="2" t="s">
        <v>30</v>
      </c>
      <c r="E3161" s="2" t="s">
        <v>626</v>
      </c>
      <c r="F3161" s="11" t="s">
        <v>2376</v>
      </c>
      <c r="G3161" s="30" t="s">
        <v>2377</v>
      </c>
      <c r="H3161" s="2" t="s">
        <v>4425</v>
      </c>
      <c r="I3161" s="10" t="s">
        <v>3364</v>
      </c>
      <c r="J3161" s="22">
        <f>+Tabla1[[#This Row],[FECHA ENTRADA]]</f>
        <v>45853</v>
      </c>
      <c r="K3161" s="41">
        <v>45880</v>
      </c>
      <c r="L3161" s="23">
        <f>_xlfn.DAYS(Tabla1[[#This Row],[FECHA FIN ]],Tabla1[[#This Row],[FECHA INICIO]])</f>
        <v>27</v>
      </c>
      <c r="M3161" s="12"/>
      <c r="N3161" s="12"/>
      <c r="O3161" s="24">
        <f>(Tabla1[[#This Row],[COSTO FIJO ]]/30)*Tabla1[[#This Row],[TOTAL DIAS PROYECTO]]+(Tabla1[[#This Row],[COSTO TEMPORAL]])</f>
        <v>0</v>
      </c>
      <c r="P3161" s="12"/>
      <c r="Q3161" s="12">
        <f>+(Tabla1[[#This Row],[COSTO COCHE]]/30)*Tabla1[[#This Row],[TOTAL DIAS PROYECTO]]</f>
        <v>0</v>
      </c>
      <c r="R3161" s="12">
        <f>+Tabla1[[#This Row],[COSTO TOTAL ALOJAMIENTO]]+Tabla1[[#This Row],[COSTO TOTAL COCHE]]</f>
        <v>0</v>
      </c>
      <c r="S3161" s="2"/>
      <c r="T3161" s="14" t="s">
        <v>44</v>
      </c>
      <c r="U3161" s="14">
        <v>45853</v>
      </c>
      <c r="V3161" s="25">
        <v>45881</v>
      </c>
      <c r="W3161" s="12"/>
      <c r="X3161" s="2"/>
      <c r="Y3161" s="11" t="s">
        <v>4784</v>
      </c>
      <c r="Z3161" s="2" t="s">
        <v>36</v>
      </c>
      <c r="AA3161" s="13" t="s">
        <v>10385</v>
      </c>
      <c r="AB3161" s="13" t="s">
        <v>10386</v>
      </c>
    </row>
    <row r="3162" spans="1:28">
      <c r="A3162" s="2" t="s">
        <v>9136</v>
      </c>
      <c r="B3162" s="2" t="s">
        <v>28</v>
      </c>
      <c r="C3162" s="11" t="s">
        <v>2152</v>
      </c>
      <c r="D3162" s="2" t="s">
        <v>30</v>
      </c>
      <c r="E3162" s="2" t="s">
        <v>31</v>
      </c>
      <c r="F3162" s="11" t="s">
        <v>715</v>
      </c>
      <c r="G3162" s="11" t="s">
        <v>716</v>
      </c>
      <c r="H3162" s="2" t="s">
        <v>4785</v>
      </c>
      <c r="I3162" s="12" t="s">
        <v>34</v>
      </c>
      <c r="J3162" s="22">
        <f>+Tabla1[[#This Row],[FECHA ENTRADA]]</f>
        <v>45874</v>
      </c>
      <c r="K3162" s="22">
        <v>45881</v>
      </c>
      <c r="L3162" s="23">
        <f>_xlfn.DAYS(Tabla1[[#This Row],[FECHA FIN ]],Tabla1[[#This Row],[FECHA INICIO]])</f>
        <v>7</v>
      </c>
      <c r="M3162" s="12"/>
      <c r="N3162" s="12">
        <v>160</v>
      </c>
      <c r="O3162" s="24">
        <f>(Tabla1[[#This Row],[COSTO FIJO ]]/30)*Tabla1[[#This Row],[TOTAL DIAS PROYECTO]]+(Tabla1[[#This Row],[COSTO TEMPORAL]])</f>
        <v>37.333333333333329</v>
      </c>
      <c r="P3162" s="12"/>
      <c r="Q3162" s="12">
        <f>+(Tabla1[[#This Row],[COSTO COCHE]]/30)*Tabla1[[#This Row],[TOTAL DIAS PROYECTO]]</f>
        <v>0</v>
      </c>
      <c r="R3162" s="12">
        <f>+Tabla1[[#This Row],[COSTO TOTAL ALOJAMIENTO]]+Tabla1[[#This Row],[COSTO TOTAL COCHE]]</f>
        <v>37.333333333333329</v>
      </c>
      <c r="S3162" s="2"/>
      <c r="T3162" s="14" t="s">
        <v>613</v>
      </c>
      <c r="U3162" s="14">
        <v>45874</v>
      </c>
      <c r="V3162" s="25"/>
      <c r="W3162" s="12"/>
      <c r="X3162" s="2">
        <v>1</v>
      </c>
      <c r="Y3162" s="11"/>
      <c r="Z3162" s="2" t="s">
        <v>36</v>
      </c>
      <c r="AA3162" s="13" t="s">
        <v>10323</v>
      </c>
      <c r="AB3162" s="13" t="s">
        <v>10324</v>
      </c>
    </row>
    <row r="3163" spans="1:28">
      <c r="A3163" s="2" t="s">
        <v>9526</v>
      </c>
      <c r="B3163" s="2" t="s">
        <v>368</v>
      </c>
      <c r="C3163" s="31" t="s">
        <v>3539</v>
      </c>
      <c r="D3163" s="2" t="s">
        <v>99</v>
      </c>
      <c r="E3163" s="2" t="s">
        <v>422</v>
      </c>
      <c r="F3163" s="11" t="s">
        <v>4786</v>
      </c>
      <c r="G3163" s="49" t="s">
        <v>4787</v>
      </c>
      <c r="H3163" s="2" t="s">
        <v>4499</v>
      </c>
      <c r="I3163" s="12" t="s">
        <v>1435</v>
      </c>
      <c r="J3163" s="22">
        <f>+Tabla1[[#This Row],[FECHA ENTRADA]]</f>
        <v>45819</v>
      </c>
      <c r="K3163" s="22">
        <v>45821</v>
      </c>
      <c r="L3163" s="23">
        <f>_xlfn.DAYS(Tabla1[[#This Row],[FECHA FIN ]],Tabla1[[#This Row],[FECHA INICIO]])</f>
        <v>2</v>
      </c>
      <c r="M3163" s="12"/>
      <c r="N3163" s="24">
        <v>400</v>
      </c>
      <c r="O3163" s="24">
        <f>(Tabla1[[#This Row],[COSTO FIJO ]]/30)*Tabla1[[#This Row],[TOTAL DIAS PROYECTO]]+(Tabla1[[#This Row],[COSTO TEMPORAL]])</f>
        <v>26.666666666666668</v>
      </c>
      <c r="P3163" s="12"/>
      <c r="Q3163" s="12">
        <f>+(Tabla1[[#This Row],[COSTO COCHE]]/30)*Tabla1[[#This Row],[TOTAL DIAS PROYECTO]]</f>
        <v>0</v>
      </c>
      <c r="R3163" s="12">
        <f>+Tabla1[[#This Row],[COSTO TOTAL ALOJAMIENTO]]+Tabla1[[#This Row],[COSTO TOTAL COCHE]]</f>
        <v>26.666666666666668</v>
      </c>
      <c r="S3163" s="2"/>
      <c r="T3163" s="14" t="s">
        <v>35</v>
      </c>
      <c r="U3163" s="14">
        <v>45819</v>
      </c>
      <c r="V3163" s="98"/>
      <c r="W3163" s="247"/>
      <c r="X3163" s="2">
        <v>5</v>
      </c>
      <c r="Y3163" s="11"/>
      <c r="Z3163" s="2" t="s">
        <v>36</v>
      </c>
      <c r="AA3163" s="13">
        <v>-326.69799999999998</v>
      </c>
      <c r="AB3163" s="13" t="s">
        <v>10373</v>
      </c>
    </row>
    <row r="3164" spans="1:28" ht="15" customHeight="1">
      <c r="A3164" s="2" t="s">
        <v>9278</v>
      </c>
      <c r="B3164" s="2" t="s">
        <v>28</v>
      </c>
      <c r="C3164" s="11" t="s">
        <v>2684</v>
      </c>
      <c r="D3164" s="2" t="s">
        <v>30</v>
      </c>
      <c r="E3164" s="2" t="s">
        <v>31</v>
      </c>
      <c r="F3164" s="11"/>
      <c r="G3164" s="11"/>
      <c r="H3164" s="2" t="s">
        <v>4788</v>
      </c>
      <c r="I3164" s="12" t="s">
        <v>909</v>
      </c>
      <c r="J3164" s="8">
        <f>+Tabla1[[#This Row],[FECHA ENTRADA]]</f>
        <v>45473</v>
      </c>
      <c r="K3164" s="22">
        <v>45881</v>
      </c>
      <c r="L3164" s="13">
        <f>_xlfn.DAYS(Tabla1[[#This Row],[FECHA FIN ]],Tabla1[[#This Row],[FECHA INICIO]])</f>
        <v>408</v>
      </c>
      <c r="M3164" s="12"/>
      <c r="N3164" s="12"/>
      <c r="O3164" s="12">
        <f>(Tabla1[[#This Row],[COSTO FIJO ]]/30)*Tabla1[[#This Row],[TOTAL DIAS PROYECTO]]+(Tabla1[[#This Row],[COSTO TEMPORAL]])</f>
        <v>0</v>
      </c>
      <c r="P3164" s="12"/>
      <c r="Q3164" s="12">
        <f>+(Tabla1[[#This Row],[COSTO COCHE]]/30)*Tabla1[[#This Row],[TOTAL DIAS PROYECTO]]</f>
        <v>0</v>
      </c>
      <c r="R3164" s="12">
        <f>+Tabla1[[#This Row],[COSTO TOTAL ALOJAMIENTO]]+Tabla1[[#This Row],[COSTO TOTAL COCHE]]</f>
        <v>0</v>
      </c>
      <c r="S3164" s="2"/>
      <c r="T3164" s="2" t="s">
        <v>58</v>
      </c>
      <c r="U3164" s="14">
        <v>45473</v>
      </c>
      <c r="V3164" s="14"/>
      <c r="W3164" s="26"/>
      <c r="X3164" s="2">
        <v>1</v>
      </c>
      <c r="Y3164" s="31" t="s">
        <v>4789</v>
      </c>
      <c r="Z3164" s="2" t="s">
        <v>36</v>
      </c>
      <c r="AA3164" s="13" t="s">
        <v>10323</v>
      </c>
      <c r="AB3164" s="13" t="s">
        <v>10324</v>
      </c>
    </row>
    <row r="3165" spans="1:28" ht="15" customHeight="1">
      <c r="A3165" s="2" t="s">
        <v>8972</v>
      </c>
      <c r="B3165" s="2" t="s">
        <v>28</v>
      </c>
      <c r="C3165" s="11" t="s">
        <v>1555</v>
      </c>
      <c r="D3165" s="2" t="s">
        <v>99</v>
      </c>
      <c r="E3165" s="2" t="s">
        <v>790</v>
      </c>
      <c r="F3165" s="11" t="s">
        <v>4790</v>
      </c>
      <c r="G3165" t="s">
        <v>4791</v>
      </c>
      <c r="H3165" s="2" t="s">
        <v>4792</v>
      </c>
      <c r="I3165" s="12" t="s">
        <v>794</v>
      </c>
      <c r="J3165" s="41">
        <f>+Tabla1[[#This Row],[FECHA ENTRADA]]</f>
        <v>45873</v>
      </c>
      <c r="K3165" s="41">
        <v>45881</v>
      </c>
      <c r="L3165" s="42">
        <f>_xlfn.DAYS(Tabla1[[#This Row],[FECHA FIN ]],Tabla1[[#This Row],[FECHA INICIO]])</f>
        <v>8</v>
      </c>
      <c r="M3165" s="12"/>
      <c r="N3165" s="12">
        <v>236.5</v>
      </c>
      <c r="O3165" s="28">
        <f>(Tabla1[[#This Row],[COSTO FIJO ]]/30)*Tabla1[[#This Row],[TOTAL DIAS PROYECTO]]+(Tabla1[[#This Row],[COSTO TEMPORAL]])</f>
        <v>63.06666666666667</v>
      </c>
      <c r="P3165" s="12"/>
      <c r="Q3165" s="12">
        <f>+(Tabla1[[#This Row],[COSTO COCHE]]/30)*Tabla1[[#This Row],[TOTAL DIAS PROYECTO]]</f>
        <v>0</v>
      </c>
      <c r="R3165" s="12">
        <f>+Tabla1[[#This Row],[COSTO TOTAL ALOJAMIENTO]]+Tabla1[[#This Row],[COSTO TOTAL COCHE]]</f>
        <v>63.06666666666667</v>
      </c>
      <c r="S3165" s="2"/>
      <c r="T3165" s="14" t="s">
        <v>44</v>
      </c>
      <c r="U3165" s="14">
        <v>45873</v>
      </c>
      <c r="V3165" s="43">
        <v>45881</v>
      </c>
      <c r="W3165" s="12"/>
      <c r="X3165" s="2"/>
      <c r="Y3165" s="11" t="s">
        <v>1361</v>
      </c>
      <c r="Z3165" s="2" t="s">
        <v>36</v>
      </c>
      <c r="AA3165" s="13">
        <v>-574377</v>
      </c>
      <c r="AB3165" s="13">
        <v>4150368</v>
      </c>
    </row>
    <row r="3166" spans="1:28" ht="15" customHeight="1">
      <c r="A3166" s="2" t="s">
        <v>9387</v>
      </c>
      <c r="B3166" s="2" t="s">
        <v>28</v>
      </c>
      <c r="C3166" s="11" t="s">
        <v>3010</v>
      </c>
      <c r="D3166" s="2" t="s">
        <v>99</v>
      </c>
      <c r="E3166" s="2" t="s">
        <v>790</v>
      </c>
      <c r="F3166" s="11" t="s">
        <v>4790</v>
      </c>
      <c r="G3166" t="s">
        <v>4791</v>
      </c>
      <c r="H3166" s="2" t="s">
        <v>4792</v>
      </c>
      <c r="I3166" s="12" t="s">
        <v>794</v>
      </c>
      <c r="J3166" s="41">
        <f>+Tabla1[[#This Row],[FECHA ENTRADA]]</f>
        <v>45873</v>
      </c>
      <c r="K3166" s="41">
        <v>45881</v>
      </c>
      <c r="L3166" s="42">
        <f>_xlfn.DAYS(Tabla1[[#This Row],[FECHA FIN ]],Tabla1[[#This Row],[FECHA INICIO]])</f>
        <v>8</v>
      </c>
      <c r="M3166" s="12"/>
      <c r="N3166" s="12">
        <v>236.5</v>
      </c>
      <c r="O3166" s="28">
        <f>(Tabla1[[#This Row],[COSTO FIJO ]]/30)*Tabla1[[#This Row],[TOTAL DIAS PROYECTO]]+(Tabla1[[#This Row],[COSTO TEMPORAL]])</f>
        <v>63.06666666666667</v>
      </c>
      <c r="P3166" s="12"/>
      <c r="Q3166" s="12">
        <f>+(Tabla1[[#This Row],[COSTO COCHE]]/30)*Tabla1[[#This Row],[TOTAL DIAS PROYECTO]]</f>
        <v>0</v>
      </c>
      <c r="R3166" s="12">
        <f>+Tabla1[[#This Row],[COSTO TOTAL ALOJAMIENTO]]+Tabla1[[#This Row],[COSTO TOTAL COCHE]]</f>
        <v>63.06666666666667</v>
      </c>
      <c r="S3166" s="2"/>
      <c r="T3166" s="14" t="s">
        <v>44</v>
      </c>
      <c r="U3166" s="14">
        <v>45873</v>
      </c>
      <c r="V3166" s="43">
        <v>45881</v>
      </c>
      <c r="W3166" s="12"/>
      <c r="X3166" s="2"/>
      <c r="Y3166" s="11" t="s">
        <v>1361</v>
      </c>
      <c r="Z3166" s="2" t="s">
        <v>36</v>
      </c>
      <c r="AA3166" s="13">
        <v>-574377</v>
      </c>
      <c r="AB3166" s="13">
        <v>4150368</v>
      </c>
    </row>
    <row r="3167" spans="1:28" ht="15" customHeight="1">
      <c r="A3167" s="2" t="s">
        <v>8642</v>
      </c>
      <c r="B3167" s="2" t="s">
        <v>978</v>
      </c>
      <c r="C3167" s="11" t="s">
        <v>4476</v>
      </c>
      <c r="D3167" s="2" t="s">
        <v>99</v>
      </c>
      <c r="E3167" s="2" t="s">
        <v>1443</v>
      </c>
      <c r="F3167" s="11" t="s">
        <v>4793</v>
      </c>
      <c r="G3167" s="46" t="s">
        <v>4794</v>
      </c>
      <c r="H3167" s="2" t="s">
        <v>1738</v>
      </c>
      <c r="I3167" s="12" t="s">
        <v>4477</v>
      </c>
      <c r="J3167" s="41">
        <f>+Tabla1[[#This Row],[FECHA ENTRADA]]</f>
        <v>45856</v>
      </c>
      <c r="K3167" s="8">
        <v>45881</v>
      </c>
      <c r="L3167" s="42">
        <f>_xlfn.DAYS(Tabla1[[#This Row],[FECHA FIN ]],Tabla1[[#This Row],[FECHA INICIO]])</f>
        <v>25</v>
      </c>
      <c r="M3167" s="12"/>
      <c r="N3167" s="12">
        <f>(120+461)/4</f>
        <v>145.25</v>
      </c>
      <c r="O3167" s="28">
        <f>(Tabla1[[#This Row],[COSTO FIJO ]]/30)*Tabla1[[#This Row],[TOTAL DIAS PROYECTO]]+(Tabla1[[#This Row],[COSTO TEMPORAL]])</f>
        <v>121.04166666666667</v>
      </c>
      <c r="P3167" s="12"/>
      <c r="Q3167" s="12">
        <f>+(Tabla1[[#This Row],[COSTO COCHE]]/30)*Tabla1[[#This Row],[TOTAL DIAS PROYECTO]]</f>
        <v>0</v>
      </c>
      <c r="R3167" s="12">
        <f>+Tabla1[[#This Row],[COSTO TOTAL ALOJAMIENTO]]+Tabla1[[#This Row],[COSTO TOTAL COCHE]]</f>
        <v>121.04166666666667</v>
      </c>
      <c r="S3167" s="2" t="s">
        <v>84</v>
      </c>
      <c r="T3167" s="14" t="s">
        <v>44</v>
      </c>
      <c r="U3167" s="14">
        <v>45856</v>
      </c>
      <c r="V3167" s="43">
        <v>45881</v>
      </c>
      <c r="W3167" s="12">
        <v>100</v>
      </c>
      <c r="X3167" s="2"/>
      <c r="Y3167" s="11" t="s">
        <v>4795</v>
      </c>
      <c r="Z3167" s="2" t="s">
        <v>36</v>
      </c>
      <c r="AA3167" s="13" t="s">
        <v>10420</v>
      </c>
      <c r="AB3167" s="13">
        <v>3907741</v>
      </c>
    </row>
    <row r="3168" spans="1:28" ht="15" customHeight="1">
      <c r="A3168" s="2" t="s">
        <v>9733</v>
      </c>
      <c r="B3168" s="2" t="s">
        <v>978</v>
      </c>
      <c r="C3168" s="11" t="s">
        <v>4478</v>
      </c>
      <c r="D3168" s="2" t="s">
        <v>99</v>
      </c>
      <c r="E3168" s="2" t="s">
        <v>1443</v>
      </c>
      <c r="F3168" s="11" t="s">
        <v>4793</v>
      </c>
      <c r="G3168" s="49" t="s">
        <v>4794</v>
      </c>
      <c r="H3168" s="2" t="s">
        <v>1738</v>
      </c>
      <c r="I3168" s="12" t="s">
        <v>4477</v>
      </c>
      <c r="J3168" s="41">
        <f>+Tabla1[[#This Row],[FECHA ENTRADA]]</f>
        <v>45856</v>
      </c>
      <c r="K3168" s="8">
        <v>45881</v>
      </c>
      <c r="L3168" s="42">
        <f>_xlfn.DAYS(Tabla1[[#This Row],[FECHA FIN ]],Tabla1[[#This Row],[FECHA INICIO]])</f>
        <v>25</v>
      </c>
      <c r="M3168" s="12"/>
      <c r="N3168" s="12">
        <f>(120+461)/4</f>
        <v>145.25</v>
      </c>
      <c r="O3168" s="28">
        <f>(Tabla1[[#This Row],[COSTO FIJO ]]/30)*Tabla1[[#This Row],[TOTAL DIAS PROYECTO]]+(Tabla1[[#This Row],[COSTO TEMPORAL]])</f>
        <v>121.04166666666667</v>
      </c>
      <c r="P3168" s="12"/>
      <c r="Q3168" s="12">
        <f>+(Tabla1[[#This Row],[COSTO COCHE]]/30)*Tabla1[[#This Row],[TOTAL DIAS PROYECTO]]</f>
        <v>0</v>
      </c>
      <c r="R3168" s="12">
        <f>+Tabla1[[#This Row],[COSTO TOTAL ALOJAMIENTO]]+Tabla1[[#This Row],[COSTO TOTAL COCHE]]</f>
        <v>121.04166666666667</v>
      </c>
      <c r="S3168" s="2" t="s">
        <v>84</v>
      </c>
      <c r="T3168" s="14" t="s">
        <v>44</v>
      </c>
      <c r="U3168" s="14">
        <v>45856</v>
      </c>
      <c r="V3168" s="43">
        <v>45881</v>
      </c>
      <c r="W3168" s="12"/>
      <c r="X3168" s="2"/>
      <c r="Y3168" s="11" t="s">
        <v>4795</v>
      </c>
      <c r="Z3168" s="2" t="s">
        <v>36</v>
      </c>
      <c r="AA3168" s="13" t="s">
        <v>10420</v>
      </c>
      <c r="AB3168" s="13">
        <v>3907741</v>
      </c>
    </row>
    <row r="3169" spans="1:28" ht="15" customHeight="1">
      <c r="A3169" s="2" t="s">
        <v>9328</v>
      </c>
      <c r="B3169" s="2" t="s">
        <v>978</v>
      </c>
      <c r="C3169" s="11" t="s">
        <v>2837</v>
      </c>
      <c r="D3169" s="2" t="s">
        <v>99</v>
      </c>
      <c r="E3169" s="2" t="s">
        <v>1443</v>
      </c>
      <c r="F3169" s="11" t="s">
        <v>4793</v>
      </c>
      <c r="G3169" t="s">
        <v>4796</v>
      </c>
      <c r="H3169" s="2" t="s">
        <v>4612</v>
      </c>
      <c r="I3169" s="12" t="s">
        <v>4477</v>
      </c>
      <c r="J3169" s="41">
        <f>+Tabla1[[#This Row],[FECHA ENTRADA]]</f>
        <v>45869</v>
      </c>
      <c r="K3169" s="41">
        <v>45881</v>
      </c>
      <c r="L3169" s="42">
        <f>_xlfn.DAYS(Tabla1[[#This Row],[FECHA FIN ]],Tabla1[[#This Row],[FECHA INICIO]])</f>
        <v>12</v>
      </c>
      <c r="M3169" s="12"/>
      <c r="N3169" s="12">
        <f>(120+461)/4</f>
        <v>145.25</v>
      </c>
      <c r="O3169" s="28">
        <f>(Tabla1[[#This Row],[COSTO FIJO ]]/30)*Tabla1[[#This Row],[TOTAL DIAS PROYECTO]]+(Tabla1[[#This Row],[COSTO TEMPORAL]])</f>
        <v>58.1</v>
      </c>
      <c r="P3169" s="12"/>
      <c r="Q3169" s="12">
        <f>+(Tabla1[[#This Row],[COSTO COCHE]]/30)*Tabla1[[#This Row],[TOTAL DIAS PROYECTO]]</f>
        <v>0</v>
      </c>
      <c r="R3169" s="12">
        <f>+Tabla1[[#This Row],[COSTO TOTAL ALOJAMIENTO]]+Tabla1[[#This Row],[COSTO TOTAL COCHE]]</f>
        <v>58.1</v>
      </c>
      <c r="S3169" s="2" t="s">
        <v>84</v>
      </c>
      <c r="T3169" s="14" t="s">
        <v>44</v>
      </c>
      <c r="U3169" s="14">
        <v>45869</v>
      </c>
      <c r="V3169" s="43">
        <v>45881</v>
      </c>
      <c r="W3169" s="12"/>
      <c r="X3169" s="2"/>
      <c r="Y3169" s="11" t="s">
        <v>4795</v>
      </c>
      <c r="Z3169" s="2" t="s">
        <v>36</v>
      </c>
      <c r="AA3169" s="13" t="s">
        <v>10420</v>
      </c>
      <c r="AB3169" s="13">
        <v>3907741</v>
      </c>
    </row>
    <row r="3170" spans="1:28" ht="15" customHeight="1">
      <c r="A3170" s="2" t="s">
        <v>9756</v>
      </c>
      <c r="B3170" s="2" t="s">
        <v>978</v>
      </c>
      <c r="C3170" s="11" t="s">
        <v>4574</v>
      </c>
      <c r="D3170" s="2" t="s">
        <v>99</v>
      </c>
      <c r="E3170" s="2" t="s">
        <v>1443</v>
      </c>
      <c r="F3170" s="11" t="s">
        <v>4793</v>
      </c>
      <c r="G3170" t="s">
        <v>4796</v>
      </c>
      <c r="H3170" s="2" t="s">
        <v>4612</v>
      </c>
      <c r="I3170" s="12" t="s">
        <v>4477</v>
      </c>
      <c r="J3170" s="41">
        <f>+Tabla1[[#This Row],[FECHA ENTRADA]]</f>
        <v>45869</v>
      </c>
      <c r="K3170" s="41">
        <v>45881</v>
      </c>
      <c r="L3170" s="42">
        <f>_xlfn.DAYS(Tabla1[[#This Row],[FECHA FIN ]],Tabla1[[#This Row],[FECHA INICIO]])</f>
        <v>12</v>
      </c>
      <c r="M3170" s="12"/>
      <c r="N3170" s="12">
        <f>(120+461)/4</f>
        <v>145.25</v>
      </c>
      <c r="O3170" s="28">
        <f>(Tabla1[[#This Row],[COSTO FIJO ]]/30)*Tabla1[[#This Row],[TOTAL DIAS PROYECTO]]+(Tabla1[[#This Row],[COSTO TEMPORAL]])</f>
        <v>58.1</v>
      </c>
      <c r="P3170" s="12"/>
      <c r="Q3170" s="12">
        <f>+(Tabla1[[#This Row],[COSTO COCHE]]/30)*Tabla1[[#This Row],[TOTAL DIAS PROYECTO]]</f>
        <v>0</v>
      </c>
      <c r="R3170" s="12">
        <f>+Tabla1[[#This Row],[COSTO TOTAL ALOJAMIENTO]]+Tabla1[[#This Row],[COSTO TOTAL COCHE]]</f>
        <v>58.1</v>
      </c>
      <c r="S3170" s="2" t="s">
        <v>84</v>
      </c>
      <c r="T3170" s="14" t="s">
        <v>44</v>
      </c>
      <c r="U3170" s="14">
        <v>45869</v>
      </c>
      <c r="V3170" s="43">
        <v>45881</v>
      </c>
      <c r="W3170" s="12"/>
      <c r="X3170" s="2"/>
      <c r="Y3170" s="11" t="s">
        <v>4795</v>
      </c>
      <c r="Z3170" s="2" t="s">
        <v>36</v>
      </c>
      <c r="AA3170" s="13" t="s">
        <v>10420</v>
      </c>
      <c r="AB3170" s="13">
        <v>3907741</v>
      </c>
    </row>
    <row r="3171" spans="1:28" ht="15" customHeight="1">
      <c r="A3171" s="2" t="s">
        <v>9064</v>
      </c>
      <c r="B3171" s="2" t="s">
        <v>368</v>
      </c>
      <c r="C3171" s="11" t="s">
        <v>1847</v>
      </c>
      <c r="D3171" s="2" t="s">
        <v>30</v>
      </c>
      <c r="E3171" s="2" t="s">
        <v>985</v>
      </c>
      <c r="F3171" s="11" t="s">
        <v>4797</v>
      </c>
      <c r="G3171" s="49">
        <v>682284361</v>
      </c>
      <c r="H3171" s="2" t="s">
        <v>988</v>
      </c>
      <c r="I3171" s="12" t="s">
        <v>989</v>
      </c>
      <c r="J3171" s="22">
        <f>+Tabla1[[#This Row],[FECHA ENTRADA]]</f>
        <v>45876</v>
      </c>
      <c r="K3171" s="22">
        <v>45881</v>
      </c>
      <c r="L3171" s="23">
        <f>_xlfn.DAYS(Tabla1[[#This Row],[FECHA FIN ]],Tabla1[[#This Row],[FECHA INICIO]])</f>
        <v>5</v>
      </c>
      <c r="M3171" s="12"/>
      <c r="N3171" s="12"/>
      <c r="O3171" s="24">
        <f>(Tabla1[[#This Row],[COSTO FIJO ]]/30)*Tabla1[[#This Row],[TOTAL DIAS PROYECTO]]+(Tabla1[[#This Row],[COSTO TEMPORAL]])</f>
        <v>0</v>
      </c>
      <c r="P3171" s="12"/>
      <c r="Q3171" s="12">
        <f>+(Tabla1[[#This Row],[COSTO COCHE]]/30)*Tabla1[[#This Row],[TOTAL DIAS PROYECTO]]</f>
        <v>0</v>
      </c>
      <c r="R3171" s="12">
        <f>+Tabla1[[#This Row],[COSTO TOTAL ALOJAMIENTO]]+Tabla1[[#This Row],[COSTO TOTAL COCHE]]</f>
        <v>0</v>
      </c>
      <c r="S3171" s="2"/>
      <c r="T3171" s="14" t="s">
        <v>44</v>
      </c>
      <c r="U3171" s="14">
        <v>45876</v>
      </c>
      <c r="V3171" s="25">
        <v>45881</v>
      </c>
      <c r="W3171" s="12"/>
      <c r="X3171" s="2"/>
      <c r="Y3171" s="11" t="s">
        <v>1361</v>
      </c>
      <c r="Z3171" s="2" t="s">
        <v>36</v>
      </c>
      <c r="AA3171" s="13" t="s">
        <v>10407</v>
      </c>
      <c r="AB3171" s="13" t="s">
        <v>10408</v>
      </c>
    </row>
    <row r="3172" spans="1:28" ht="15" customHeight="1">
      <c r="A3172" s="2" t="s">
        <v>9726</v>
      </c>
      <c r="B3172" s="2" t="s">
        <v>978</v>
      </c>
      <c r="C3172" s="11" t="s">
        <v>4422</v>
      </c>
      <c r="D3172" s="2" t="s">
        <v>30</v>
      </c>
      <c r="E3172" s="2" t="s">
        <v>31</v>
      </c>
      <c r="F3172" s="11" t="s">
        <v>4614</v>
      </c>
      <c r="G3172" s="21" t="s">
        <v>4615</v>
      </c>
      <c r="H3172" s="2" t="s">
        <v>4798</v>
      </c>
      <c r="I3172" s="10" t="s">
        <v>3364</v>
      </c>
      <c r="J3172" s="22">
        <f>+Tabla1[[#This Row],[FECHA ENTRADA]]</f>
        <v>45880</v>
      </c>
      <c r="K3172" s="22">
        <v>45881</v>
      </c>
      <c r="L3172" s="23">
        <f>_xlfn.DAYS(Tabla1[[#This Row],[FECHA FIN ]],Tabla1[[#This Row],[FECHA INICIO]])</f>
        <v>1</v>
      </c>
      <c r="M3172" s="12"/>
      <c r="N3172" s="12"/>
      <c r="O3172" s="24">
        <f>(Tabla1[[#This Row],[COSTO FIJO ]]/30)*Tabla1[[#This Row],[TOTAL DIAS PROYECTO]]+(Tabla1[[#This Row],[COSTO TEMPORAL]])</f>
        <v>0</v>
      </c>
      <c r="P3172" s="12"/>
      <c r="Q3172" s="12">
        <f>+(Tabla1[[#This Row],[COSTO COCHE]]/30)*Tabla1[[#This Row],[TOTAL DIAS PROYECTO]]</f>
        <v>0</v>
      </c>
      <c r="R3172" s="12">
        <f>+Tabla1[[#This Row],[COSTO TOTAL ALOJAMIENTO]]+Tabla1[[#This Row],[COSTO TOTAL COCHE]]</f>
        <v>0</v>
      </c>
      <c r="S3172" s="2"/>
      <c r="T3172" s="14" t="s">
        <v>44</v>
      </c>
      <c r="U3172" s="14">
        <v>45880</v>
      </c>
      <c r="V3172" s="25">
        <v>45888</v>
      </c>
      <c r="W3172" s="12"/>
      <c r="X3172" s="2"/>
      <c r="Y3172" s="11" t="s">
        <v>1166</v>
      </c>
      <c r="Z3172" s="2" t="s">
        <v>36</v>
      </c>
      <c r="AA3172" s="13" t="s">
        <v>10323</v>
      </c>
      <c r="AB3172" s="13" t="s">
        <v>10324</v>
      </c>
    </row>
    <row r="3173" spans="1:28" ht="15" customHeight="1">
      <c r="A3173" s="2" t="s">
        <v>9142</v>
      </c>
      <c r="B3173" s="2" t="s">
        <v>978</v>
      </c>
      <c r="C3173" s="11" t="s">
        <v>2192</v>
      </c>
      <c r="D3173" s="2" t="s">
        <v>30</v>
      </c>
      <c r="E3173" s="2" t="s">
        <v>31</v>
      </c>
      <c r="F3173" s="11" t="s">
        <v>4614</v>
      </c>
      <c r="G3173" s="21" t="s">
        <v>4615</v>
      </c>
      <c r="H3173" s="2" t="s">
        <v>4798</v>
      </c>
      <c r="I3173" s="10" t="s">
        <v>3364</v>
      </c>
      <c r="J3173" s="22">
        <f>+Tabla1[[#This Row],[FECHA ENTRADA]]</f>
        <v>45880</v>
      </c>
      <c r="K3173" s="22">
        <v>45881</v>
      </c>
      <c r="L3173" s="23">
        <f>_xlfn.DAYS(Tabla1[[#This Row],[FECHA FIN ]],Tabla1[[#This Row],[FECHA INICIO]])</f>
        <v>1</v>
      </c>
      <c r="M3173" s="12"/>
      <c r="N3173" s="12"/>
      <c r="O3173" s="24">
        <f>(Tabla1[[#This Row],[COSTO FIJO ]]/30)*Tabla1[[#This Row],[TOTAL DIAS PROYECTO]]+(Tabla1[[#This Row],[COSTO TEMPORAL]])</f>
        <v>0</v>
      </c>
      <c r="P3173" s="12"/>
      <c r="Q3173" s="12">
        <f>+(Tabla1[[#This Row],[COSTO COCHE]]/30)*Tabla1[[#This Row],[TOTAL DIAS PROYECTO]]</f>
        <v>0</v>
      </c>
      <c r="R3173" s="12">
        <f>+Tabla1[[#This Row],[COSTO TOTAL ALOJAMIENTO]]+Tabla1[[#This Row],[COSTO TOTAL COCHE]]</f>
        <v>0</v>
      </c>
      <c r="S3173" s="2"/>
      <c r="T3173" s="14" t="s">
        <v>44</v>
      </c>
      <c r="U3173" s="14">
        <v>45880</v>
      </c>
      <c r="V3173" s="25">
        <v>45888</v>
      </c>
      <c r="W3173" s="12"/>
      <c r="X3173" s="2"/>
      <c r="Y3173" s="11" t="s">
        <v>1166</v>
      </c>
      <c r="Z3173" s="2" t="s">
        <v>36</v>
      </c>
      <c r="AA3173" s="13" t="s">
        <v>10323</v>
      </c>
      <c r="AB3173" s="13" t="s">
        <v>10324</v>
      </c>
    </row>
    <row r="3174" spans="1:28" ht="15" customHeight="1">
      <c r="A3174" s="2" t="s">
        <v>8642</v>
      </c>
      <c r="B3174" s="2" t="s">
        <v>368</v>
      </c>
      <c r="C3174" s="31" t="s">
        <v>3549</v>
      </c>
      <c r="D3174" s="2" t="s">
        <v>99</v>
      </c>
      <c r="E3174" s="2" t="s">
        <v>422</v>
      </c>
      <c r="F3174" s="11" t="s">
        <v>4786</v>
      </c>
      <c r="G3174" s="49" t="s">
        <v>4787</v>
      </c>
      <c r="H3174" s="2" t="s">
        <v>4499</v>
      </c>
      <c r="I3174" s="12" t="s">
        <v>1435</v>
      </c>
      <c r="J3174" s="22">
        <f>+Tabla1[[#This Row],[FECHA ENTRADA]]</f>
        <v>45819</v>
      </c>
      <c r="K3174" s="22">
        <v>45821</v>
      </c>
      <c r="L3174" s="23">
        <f>_xlfn.DAYS(Tabla1[[#This Row],[FECHA FIN ]],Tabla1[[#This Row],[FECHA INICIO]])</f>
        <v>2</v>
      </c>
      <c r="M3174" s="12"/>
      <c r="N3174" s="24">
        <v>400</v>
      </c>
      <c r="O3174" s="24">
        <f>(Tabla1[[#This Row],[COSTO FIJO ]]/30)*Tabla1[[#This Row],[TOTAL DIAS PROYECTO]]+(Tabla1[[#This Row],[COSTO TEMPORAL]])</f>
        <v>26.666666666666668</v>
      </c>
      <c r="P3174" s="12"/>
      <c r="Q3174" s="12">
        <f>+(Tabla1[[#This Row],[COSTO COCHE]]/30)*Tabla1[[#This Row],[TOTAL DIAS PROYECTO]]</f>
        <v>0</v>
      </c>
      <c r="R3174" s="12">
        <f>+Tabla1[[#This Row],[COSTO TOTAL ALOJAMIENTO]]+Tabla1[[#This Row],[COSTO TOTAL COCHE]]</f>
        <v>26.666666666666668</v>
      </c>
      <c r="S3174" s="2"/>
      <c r="T3174" s="14" t="s">
        <v>35</v>
      </c>
      <c r="U3174" s="14">
        <v>45819</v>
      </c>
      <c r="V3174" s="98"/>
      <c r="W3174" s="2"/>
      <c r="X3174" s="2">
        <v>5</v>
      </c>
      <c r="Y3174" s="11"/>
      <c r="Z3174" s="2" t="s">
        <v>36</v>
      </c>
      <c r="AA3174" s="13">
        <v>-326.69799999999998</v>
      </c>
      <c r="AB3174" s="13" t="s">
        <v>10373</v>
      </c>
    </row>
    <row r="3175" spans="1:28" ht="15" customHeight="1">
      <c r="A3175" s="2" t="s">
        <v>9555</v>
      </c>
      <c r="B3175" s="2" t="s">
        <v>368</v>
      </c>
      <c r="C3175" s="31" t="s">
        <v>3604</v>
      </c>
      <c r="D3175" s="2" t="s">
        <v>99</v>
      </c>
      <c r="E3175" s="2" t="s">
        <v>422</v>
      </c>
      <c r="F3175" s="11" t="s">
        <v>4786</v>
      </c>
      <c r="G3175" s="49" t="s">
        <v>4787</v>
      </c>
      <c r="H3175" s="2" t="s">
        <v>4499</v>
      </c>
      <c r="I3175" s="12" t="s">
        <v>1435</v>
      </c>
      <c r="J3175" s="22">
        <f>+Tabla1[[#This Row],[FECHA ENTRADA]]</f>
        <v>45819</v>
      </c>
      <c r="K3175" s="22">
        <v>45821</v>
      </c>
      <c r="L3175" s="23">
        <f>_xlfn.DAYS(Tabla1[[#This Row],[FECHA FIN ]],Tabla1[[#This Row],[FECHA INICIO]])</f>
        <v>2</v>
      </c>
      <c r="M3175" s="12"/>
      <c r="N3175" s="24">
        <v>400</v>
      </c>
      <c r="O3175" s="24">
        <f>(Tabla1[[#This Row],[COSTO FIJO ]]/30)*Tabla1[[#This Row],[TOTAL DIAS PROYECTO]]+(Tabla1[[#This Row],[COSTO TEMPORAL]])</f>
        <v>26.666666666666668</v>
      </c>
      <c r="P3175" s="12"/>
      <c r="Q3175" s="12">
        <f>+(Tabla1[[#This Row],[COSTO COCHE]]/30)*Tabla1[[#This Row],[TOTAL DIAS PROYECTO]]</f>
        <v>0</v>
      </c>
      <c r="R3175" s="12">
        <f>+Tabla1[[#This Row],[COSTO TOTAL ALOJAMIENTO]]+Tabla1[[#This Row],[COSTO TOTAL COCHE]]</f>
        <v>26.666666666666668</v>
      </c>
      <c r="S3175" s="2"/>
      <c r="T3175" s="14" t="s">
        <v>35</v>
      </c>
      <c r="U3175" s="14">
        <v>45819</v>
      </c>
      <c r="V3175" s="98"/>
      <c r="W3175" s="2"/>
      <c r="X3175" s="2">
        <v>5</v>
      </c>
      <c r="Y3175" s="11"/>
      <c r="Z3175" s="2" t="s">
        <v>36</v>
      </c>
      <c r="AA3175" s="13">
        <v>-326.69799999999998</v>
      </c>
      <c r="AB3175" s="13" t="s">
        <v>10373</v>
      </c>
    </row>
    <row r="3176" spans="1:28" ht="15" customHeight="1">
      <c r="A3176" s="2">
        <v>0</v>
      </c>
      <c r="B3176" s="2" t="s">
        <v>28</v>
      </c>
      <c r="C3176" s="11" t="s">
        <v>2212</v>
      </c>
      <c r="D3176" s="2" t="s">
        <v>99</v>
      </c>
      <c r="E3176" s="2" t="s">
        <v>31</v>
      </c>
      <c r="F3176" s="11" t="s">
        <v>4614</v>
      </c>
      <c r="G3176" s="21" t="s">
        <v>4615</v>
      </c>
      <c r="H3176" s="2" t="s">
        <v>4799</v>
      </c>
      <c r="I3176" s="12" t="s">
        <v>181</v>
      </c>
      <c r="J3176" s="41">
        <f>+Tabla1[[#This Row],[FECHA ENTRADA]]</f>
        <v>45874</v>
      </c>
      <c r="K3176" s="41">
        <v>45882</v>
      </c>
      <c r="L3176" s="42">
        <f>_xlfn.DAYS(Tabla1[[#This Row],[FECHA FIN ]],Tabla1[[#This Row],[FECHA INICIO]])</f>
        <v>8</v>
      </c>
      <c r="M3176" s="12"/>
      <c r="N3176" s="12"/>
      <c r="O3176" s="28">
        <f>(Tabla1[[#This Row],[COSTO FIJO ]]/30)*Tabla1[[#This Row],[TOTAL DIAS PROYECTO]]+(Tabla1[[#This Row],[COSTO TEMPORAL]])</f>
        <v>0</v>
      </c>
      <c r="P3176" s="12"/>
      <c r="Q3176" s="12">
        <f>+(Tabla1[[#This Row],[COSTO COCHE]]/30)*Tabla1[[#This Row],[TOTAL DIAS PROYECTO]]</f>
        <v>0</v>
      </c>
      <c r="R3176" s="12">
        <f>+Tabla1[[#This Row],[COSTO TOTAL ALOJAMIENTO]]+Tabla1[[#This Row],[COSTO TOTAL COCHE]]</f>
        <v>0</v>
      </c>
      <c r="S3176" s="2"/>
      <c r="T3176" s="14" t="s">
        <v>44</v>
      </c>
      <c r="U3176" s="14">
        <v>45874</v>
      </c>
      <c r="V3176" s="43">
        <v>45888</v>
      </c>
      <c r="W3176" s="12"/>
      <c r="X3176" s="2"/>
      <c r="Y3176" s="11" t="s">
        <v>1361</v>
      </c>
      <c r="Z3176" s="2" t="s">
        <v>36</v>
      </c>
      <c r="AA3176" s="13" t="s">
        <v>10323</v>
      </c>
      <c r="AB3176" s="13" t="s">
        <v>10324</v>
      </c>
    </row>
    <row r="3177" spans="1:28" ht="15" customHeight="1">
      <c r="A3177" s="2" t="s">
        <v>9798</v>
      </c>
      <c r="B3177" s="2" t="s">
        <v>28</v>
      </c>
      <c r="C3177" s="11" t="s">
        <v>4800</v>
      </c>
      <c r="D3177" s="2" t="s">
        <v>99</v>
      </c>
      <c r="E3177" s="2" t="s">
        <v>31</v>
      </c>
      <c r="F3177" s="11" t="s">
        <v>4614</v>
      </c>
      <c r="G3177" s="21" t="s">
        <v>4615</v>
      </c>
      <c r="H3177" s="2" t="s">
        <v>4799</v>
      </c>
      <c r="I3177" s="12" t="s">
        <v>181</v>
      </c>
      <c r="J3177" s="41">
        <f>+Tabla1[[#This Row],[FECHA ENTRADA]]</f>
        <v>45874</v>
      </c>
      <c r="K3177" s="22">
        <v>45882</v>
      </c>
      <c r="L3177" s="42">
        <f>_xlfn.DAYS(Tabla1[[#This Row],[FECHA FIN ]],Tabla1[[#This Row],[FECHA INICIO]])</f>
        <v>8</v>
      </c>
      <c r="M3177" s="12"/>
      <c r="N3177" s="12"/>
      <c r="O3177" s="28">
        <f>(Tabla1[[#This Row],[COSTO FIJO ]]/30)*Tabla1[[#This Row],[TOTAL DIAS PROYECTO]]+(Tabla1[[#This Row],[COSTO TEMPORAL]])</f>
        <v>0</v>
      </c>
      <c r="P3177" s="12"/>
      <c r="Q3177" s="12">
        <f>+(Tabla1[[#This Row],[COSTO COCHE]]/30)*Tabla1[[#This Row],[TOTAL DIAS PROYECTO]]</f>
        <v>0</v>
      </c>
      <c r="R3177" s="12">
        <f>+Tabla1[[#This Row],[COSTO TOTAL ALOJAMIENTO]]+Tabla1[[#This Row],[COSTO TOTAL COCHE]]</f>
        <v>0</v>
      </c>
      <c r="S3177" s="2"/>
      <c r="T3177" s="14" t="s">
        <v>44</v>
      </c>
      <c r="U3177" s="14">
        <v>45874</v>
      </c>
      <c r="V3177" s="79">
        <v>45888</v>
      </c>
      <c r="W3177" s="12"/>
      <c r="X3177" s="2"/>
      <c r="Y3177" s="11" t="s">
        <v>1361</v>
      </c>
      <c r="Z3177" s="2" t="s">
        <v>36</v>
      </c>
      <c r="AA3177" s="13" t="s">
        <v>10323</v>
      </c>
      <c r="AB3177" s="13" t="s">
        <v>10324</v>
      </c>
    </row>
    <row r="3178" spans="1:28" ht="15" customHeight="1">
      <c r="A3178" s="2" t="s">
        <v>9153</v>
      </c>
      <c r="B3178" s="2" t="s">
        <v>28</v>
      </c>
      <c r="C3178" s="11" t="s">
        <v>2245</v>
      </c>
      <c r="D3178" s="2" t="s">
        <v>99</v>
      </c>
      <c r="E3178" s="2" t="s">
        <v>31</v>
      </c>
      <c r="F3178" s="11" t="s">
        <v>4614</v>
      </c>
      <c r="G3178" s="21" t="s">
        <v>4615</v>
      </c>
      <c r="H3178" s="2" t="s">
        <v>4799</v>
      </c>
      <c r="I3178" s="12" t="s">
        <v>181</v>
      </c>
      <c r="J3178" s="41">
        <f>+Tabla1[[#This Row],[FECHA ENTRADA]]</f>
        <v>45874</v>
      </c>
      <c r="K3178" s="41">
        <v>45882</v>
      </c>
      <c r="L3178" s="42">
        <f>_xlfn.DAYS(Tabla1[[#This Row],[FECHA FIN ]],Tabla1[[#This Row],[FECHA INICIO]])</f>
        <v>8</v>
      </c>
      <c r="M3178" s="12"/>
      <c r="N3178" s="12"/>
      <c r="O3178" s="28">
        <f>(Tabla1[[#This Row],[COSTO FIJO ]]/30)*Tabla1[[#This Row],[TOTAL DIAS PROYECTO]]+(Tabla1[[#This Row],[COSTO TEMPORAL]])</f>
        <v>0</v>
      </c>
      <c r="P3178" s="12"/>
      <c r="Q3178" s="12">
        <f>+(Tabla1[[#This Row],[COSTO COCHE]]/30)*Tabla1[[#This Row],[TOTAL DIAS PROYECTO]]</f>
        <v>0</v>
      </c>
      <c r="R3178" s="12">
        <f>+Tabla1[[#This Row],[COSTO TOTAL ALOJAMIENTO]]+Tabla1[[#This Row],[COSTO TOTAL COCHE]]</f>
        <v>0</v>
      </c>
      <c r="S3178" s="2"/>
      <c r="T3178" s="14" t="s">
        <v>44</v>
      </c>
      <c r="U3178" s="14">
        <v>45874</v>
      </c>
      <c r="V3178" s="43">
        <v>45888</v>
      </c>
      <c r="W3178" s="12"/>
      <c r="X3178" s="2"/>
      <c r="Y3178" s="11" t="s">
        <v>1361</v>
      </c>
      <c r="Z3178" s="2" t="s">
        <v>36</v>
      </c>
      <c r="AA3178" s="13" t="s">
        <v>10323</v>
      </c>
      <c r="AB3178" s="13" t="s">
        <v>10324</v>
      </c>
    </row>
    <row r="3179" spans="1:28" ht="15" customHeight="1">
      <c r="A3179" s="2" t="s">
        <v>9799</v>
      </c>
      <c r="B3179" s="2" t="s">
        <v>28</v>
      </c>
      <c r="C3179" s="11" t="s">
        <v>4801</v>
      </c>
      <c r="D3179" s="2" t="s">
        <v>99</v>
      </c>
      <c r="E3179" s="2" t="s">
        <v>31</v>
      </c>
      <c r="F3179" s="11" t="s">
        <v>4614</v>
      </c>
      <c r="G3179" s="21" t="s">
        <v>4615</v>
      </c>
      <c r="H3179" s="2" t="s">
        <v>4799</v>
      </c>
      <c r="I3179" s="12" t="s">
        <v>181</v>
      </c>
      <c r="J3179" s="41">
        <f>+Tabla1[[#This Row],[FECHA ENTRADA]]</f>
        <v>45874</v>
      </c>
      <c r="K3179" s="41">
        <v>45882</v>
      </c>
      <c r="L3179" s="42">
        <f>_xlfn.DAYS(Tabla1[[#This Row],[FECHA FIN ]],Tabla1[[#This Row],[FECHA INICIO]])</f>
        <v>8</v>
      </c>
      <c r="M3179" s="12"/>
      <c r="N3179" s="12"/>
      <c r="O3179" s="28">
        <f>(Tabla1[[#This Row],[COSTO FIJO ]]/30)*Tabla1[[#This Row],[TOTAL DIAS PROYECTO]]+(Tabla1[[#This Row],[COSTO TEMPORAL]])</f>
        <v>0</v>
      </c>
      <c r="P3179" s="12"/>
      <c r="Q3179" s="12">
        <f>+(Tabla1[[#This Row],[COSTO COCHE]]/30)*Tabla1[[#This Row],[TOTAL DIAS PROYECTO]]</f>
        <v>0</v>
      </c>
      <c r="R3179" s="12">
        <f>+Tabla1[[#This Row],[COSTO TOTAL ALOJAMIENTO]]+Tabla1[[#This Row],[COSTO TOTAL COCHE]]</f>
        <v>0</v>
      </c>
      <c r="S3179" s="2"/>
      <c r="T3179" s="14" t="s">
        <v>44</v>
      </c>
      <c r="U3179" s="14">
        <v>45874</v>
      </c>
      <c r="V3179" s="43">
        <v>45888</v>
      </c>
      <c r="W3179" s="12"/>
      <c r="X3179" s="2"/>
      <c r="Y3179" s="11" t="s">
        <v>1361</v>
      </c>
      <c r="Z3179" s="2" t="s">
        <v>36</v>
      </c>
      <c r="AA3179" s="13" t="s">
        <v>10323</v>
      </c>
      <c r="AB3179" s="13" t="s">
        <v>10324</v>
      </c>
    </row>
    <row r="3180" spans="1:28" ht="15" customHeight="1">
      <c r="A3180" s="2" t="s">
        <v>9096</v>
      </c>
      <c r="B3180" s="2" t="s">
        <v>978</v>
      </c>
      <c r="C3180" s="11" t="s">
        <v>2011</v>
      </c>
      <c r="D3180" s="2" t="s">
        <v>99</v>
      </c>
      <c r="E3180" s="2" t="s">
        <v>855</v>
      </c>
      <c r="F3180" s="11" t="s">
        <v>4802</v>
      </c>
      <c r="G3180" s="46" t="s">
        <v>4511</v>
      </c>
      <c r="H3180" s="2" t="s">
        <v>4111</v>
      </c>
      <c r="I3180" s="12" t="s">
        <v>4512</v>
      </c>
      <c r="J3180" s="41">
        <f>+Tabla1[[#This Row],[FECHA ENTRADA]]</f>
        <v>45785</v>
      </c>
      <c r="K3180" s="41">
        <v>45882</v>
      </c>
      <c r="L3180" s="42">
        <f>_xlfn.DAYS(Tabla1[[#This Row],[FECHA FIN ]],Tabla1[[#This Row],[FECHA INICIO]])</f>
        <v>97</v>
      </c>
      <c r="M3180" s="12"/>
      <c r="N3180" s="12"/>
      <c r="O3180" s="28">
        <f>(Tabla1[[#This Row],[COSTO FIJO ]]/30)*Tabla1[[#This Row],[TOTAL DIAS PROYECTO]]+(Tabla1[[#This Row],[COSTO TEMPORAL]])</f>
        <v>0</v>
      </c>
      <c r="P3180" s="12"/>
      <c r="Q3180" s="12">
        <f>+(Tabla1[[#This Row],[COSTO COCHE]]/30)*Tabla1[[#This Row],[TOTAL DIAS PROYECTO]]</f>
        <v>0</v>
      </c>
      <c r="R3180" s="12">
        <f>+Tabla1[[#This Row],[COSTO TOTAL ALOJAMIENTO]]+Tabla1[[#This Row],[COSTO TOTAL COCHE]]</f>
        <v>0</v>
      </c>
      <c r="S3180" s="2"/>
      <c r="T3180" s="14" t="s">
        <v>44</v>
      </c>
      <c r="U3180" s="14">
        <v>45785</v>
      </c>
      <c r="V3180" s="43">
        <v>45899</v>
      </c>
      <c r="W3180" s="12"/>
      <c r="X3180" s="2">
        <v>5</v>
      </c>
      <c r="Y3180" s="11" t="s">
        <v>4513</v>
      </c>
      <c r="Z3180" s="2" t="s">
        <v>36</v>
      </c>
      <c r="AA3180" s="13" t="s">
        <v>10401</v>
      </c>
      <c r="AB3180" s="13" t="s">
        <v>10402</v>
      </c>
    </row>
    <row r="3181" spans="1:28">
      <c r="A3181" s="2" t="s">
        <v>9800</v>
      </c>
      <c r="B3181" s="2" t="s">
        <v>28</v>
      </c>
      <c r="C3181" s="31" t="s">
        <v>4803</v>
      </c>
      <c r="D3181" s="2" t="s">
        <v>99</v>
      </c>
      <c r="E3181" s="2" t="s">
        <v>31</v>
      </c>
      <c r="F3181" s="11" t="s">
        <v>715</v>
      </c>
      <c r="G3181" s="11" t="s">
        <v>716</v>
      </c>
      <c r="H3181" s="2" t="s">
        <v>4804</v>
      </c>
      <c r="I3181" s="12" t="s">
        <v>2062</v>
      </c>
      <c r="J3181" s="41">
        <f>+Tabla1[[#This Row],[FECHA ENTRADA]]</f>
        <v>45858</v>
      </c>
      <c r="K3181" s="41">
        <v>45883</v>
      </c>
      <c r="L3181" s="42">
        <f>_xlfn.DAYS(Tabla1[[#This Row],[FECHA FIN ]],Tabla1[[#This Row],[FECHA INICIO]])</f>
        <v>25</v>
      </c>
      <c r="M3181" s="12"/>
      <c r="N3181" s="12">
        <v>160</v>
      </c>
      <c r="O3181" s="28">
        <f>(Tabla1[[#This Row],[COSTO FIJO ]]/30)*Tabla1[[#This Row],[TOTAL DIAS PROYECTO]]+(Tabla1[[#This Row],[COSTO TEMPORAL]])</f>
        <v>133.33333333333331</v>
      </c>
      <c r="P3181" s="12"/>
      <c r="Q3181" s="12">
        <f>+(Tabla1[[#This Row],[COSTO COCHE]]/30)*Tabla1[[#This Row],[TOTAL DIAS PROYECTO]]</f>
        <v>0</v>
      </c>
      <c r="R3181" s="12">
        <f>+Tabla1[[#This Row],[COSTO TOTAL ALOJAMIENTO]]+Tabla1[[#This Row],[COSTO TOTAL COCHE]]</f>
        <v>133.33333333333331</v>
      </c>
      <c r="S3181" s="2"/>
      <c r="T3181" s="14" t="s">
        <v>613</v>
      </c>
      <c r="U3181" s="14">
        <v>45858</v>
      </c>
      <c r="V3181" s="43"/>
      <c r="W3181" s="12"/>
      <c r="X3181" s="2">
        <v>1</v>
      </c>
      <c r="Y3181" s="11" t="s">
        <v>4805</v>
      </c>
      <c r="Z3181" s="2" t="s">
        <v>36</v>
      </c>
      <c r="AA3181" s="13" t="s">
        <v>10323</v>
      </c>
      <c r="AB3181" s="13" t="s">
        <v>10324</v>
      </c>
    </row>
    <row r="3182" spans="1:28" ht="15" customHeight="1">
      <c r="A3182" s="2" t="s">
        <v>8974</v>
      </c>
      <c r="B3182" s="2" t="s">
        <v>28</v>
      </c>
      <c r="C3182" s="11" t="s">
        <v>1564</v>
      </c>
      <c r="D3182" s="2" t="s">
        <v>30</v>
      </c>
      <c r="E3182" s="2" t="s">
        <v>114</v>
      </c>
      <c r="F3182" s="11" t="s">
        <v>4806</v>
      </c>
      <c r="G3182" s="11" t="s">
        <v>4807</v>
      </c>
      <c r="H3182" s="2" t="s">
        <v>4808</v>
      </c>
      <c r="I3182" s="2" t="s">
        <v>118</v>
      </c>
      <c r="J3182" s="22">
        <f>+Tabla1[[#This Row],[FECHA ENTRADA]]</f>
        <v>45881</v>
      </c>
      <c r="K3182" s="22">
        <v>45883</v>
      </c>
      <c r="L3182" s="23">
        <f>_xlfn.DAYS(Tabla1[[#This Row],[FECHA FIN ]],Tabla1[[#This Row],[FECHA INICIO]])</f>
        <v>2</v>
      </c>
      <c r="M3182" s="12"/>
      <c r="N3182" s="12">
        <f>100.42/2</f>
        <v>50.21</v>
      </c>
      <c r="O3182" s="24">
        <f>(Tabla1[[#This Row],[COSTO FIJO ]]/30)*Tabla1[[#This Row],[TOTAL DIAS PROYECTO]]+(Tabla1[[#This Row],[COSTO TEMPORAL]])</f>
        <v>3.3473333333333333</v>
      </c>
      <c r="P3182" s="12"/>
      <c r="Q3182" s="12">
        <f>+(Tabla1[[#This Row],[COSTO COCHE]]/30)*Tabla1[[#This Row],[TOTAL DIAS PROYECTO]]</f>
        <v>0</v>
      </c>
      <c r="R3182" s="12">
        <f>+Tabla1[[#This Row],[COSTO TOTAL ALOJAMIENTO]]+Tabla1[[#This Row],[COSTO TOTAL COCHE]]</f>
        <v>3.3473333333333333</v>
      </c>
      <c r="S3182" s="2" t="s">
        <v>84</v>
      </c>
      <c r="T3182" s="14" t="s">
        <v>44</v>
      </c>
      <c r="U3182" s="14">
        <v>45881</v>
      </c>
      <c r="V3182" s="25">
        <v>45883</v>
      </c>
      <c r="W3182" s="26"/>
      <c r="X3182" s="12"/>
      <c r="Y3182" s="11"/>
      <c r="Z3182" s="2" t="s">
        <v>36</v>
      </c>
      <c r="AA3182" s="13" t="s">
        <v>10340</v>
      </c>
      <c r="AB3182" s="13" t="s">
        <v>10341</v>
      </c>
    </row>
    <row r="3183" spans="1:28" ht="15" customHeight="1">
      <c r="A3183" s="2" t="s">
        <v>9801</v>
      </c>
      <c r="B3183" s="2" t="s">
        <v>28</v>
      </c>
      <c r="C3183" s="11" t="s">
        <v>4809</v>
      </c>
      <c r="D3183" s="2" t="s">
        <v>99</v>
      </c>
      <c r="E3183" s="2" t="s">
        <v>55</v>
      </c>
      <c r="F3183" s="11" t="s">
        <v>4810</v>
      </c>
      <c r="G3183" s="11">
        <v>948322299</v>
      </c>
      <c r="H3183" s="2" t="s">
        <v>4811</v>
      </c>
      <c r="I3183" s="12" t="s">
        <v>57</v>
      </c>
      <c r="J3183" s="22">
        <f>+Tabla1[[#This Row],[FECHA ENTRADA]]</f>
        <v>45867</v>
      </c>
      <c r="K3183" s="8">
        <v>45883</v>
      </c>
      <c r="L3183" s="23">
        <f>_xlfn.DAYS(Tabla1[[#This Row],[FECHA FIN ]],Tabla1[[#This Row],[FECHA INICIO]])</f>
        <v>16</v>
      </c>
      <c r="M3183" s="12"/>
      <c r="N3183" s="12"/>
      <c r="O3183" s="24">
        <f>(Tabla1[[#This Row],[COSTO FIJO ]]/30)*Tabla1[[#This Row],[TOTAL DIAS PROYECTO]]+(Tabla1[[#This Row],[COSTO TEMPORAL]])</f>
        <v>0</v>
      </c>
      <c r="P3183" s="12"/>
      <c r="Q3183" s="12">
        <f>+(Tabla1[[#This Row],[COSTO COCHE]]/30)*Tabla1[[#This Row],[TOTAL DIAS PROYECTO]]</f>
        <v>0</v>
      </c>
      <c r="R3183" s="12">
        <f>+Tabla1[[#This Row],[COSTO TOTAL ALOJAMIENTO]]+Tabla1[[#This Row],[COSTO TOTAL COCHE]]</f>
        <v>0</v>
      </c>
      <c r="S3183" s="2"/>
      <c r="T3183" s="14" t="s">
        <v>44</v>
      </c>
      <c r="U3183" s="14">
        <v>45867</v>
      </c>
      <c r="V3183" s="25">
        <v>45888</v>
      </c>
      <c r="W3183" s="12"/>
      <c r="X3183" s="2"/>
      <c r="Y3183" s="11" t="s">
        <v>4812</v>
      </c>
      <c r="Z3183" s="2" t="s">
        <v>36</v>
      </c>
      <c r="AA3183" s="13" t="s">
        <v>10327</v>
      </c>
      <c r="AB3183" s="13" t="s">
        <v>10328</v>
      </c>
    </row>
    <row r="3184" spans="1:28" ht="15" customHeight="1">
      <c r="A3184" s="2" t="s">
        <v>9639</v>
      </c>
      <c r="B3184" s="2" t="s">
        <v>28</v>
      </c>
      <c r="C3184" s="11" t="s">
        <v>4038</v>
      </c>
      <c r="D3184" s="2" t="s">
        <v>99</v>
      </c>
      <c r="E3184" s="2" t="s">
        <v>55</v>
      </c>
      <c r="F3184" s="11" t="s">
        <v>4810</v>
      </c>
      <c r="G3184" s="11">
        <v>948322299</v>
      </c>
      <c r="H3184" s="2" t="s">
        <v>4811</v>
      </c>
      <c r="I3184" s="12" t="s">
        <v>57</v>
      </c>
      <c r="J3184" s="22">
        <f>+Tabla1[[#This Row],[FECHA ENTRADA]]</f>
        <v>45867</v>
      </c>
      <c r="K3184" s="8">
        <v>45883</v>
      </c>
      <c r="L3184" s="23">
        <f>_xlfn.DAYS(Tabla1[[#This Row],[FECHA FIN ]],Tabla1[[#This Row],[FECHA INICIO]])</f>
        <v>16</v>
      </c>
      <c r="M3184" s="12"/>
      <c r="N3184" s="12"/>
      <c r="O3184" s="24">
        <f>(Tabla1[[#This Row],[COSTO FIJO ]]/30)*Tabla1[[#This Row],[TOTAL DIAS PROYECTO]]+(Tabla1[[#This Row],[COSTO TEMPORAL]])</f>
        <v>0</v>
      </c>
      <c r="P3184" s="12"/>
      <c r="Q3184" s="12">
        <f>+(Tabla1[[#This Row],[COSTO COCHE]]/30)*Tabla1[[#This Row],[TOTAL DIAS PROYECTO]]</f>
        <v>0</v>
      </c>
      <c r="R3184" s="12">
        <f>+Tabla1[[#This Row],[COSTO TOTAL ALOJAMIENTO]]+Tabla1[[#This Row],[COSTO TOTAL COCHE]]</f>
        <v>0</v>
      </c>
      <c r="S3184" s="2"/>
      <c r="T3184" s="14" t="s">
        <v>44</v>
      </c>
      <c r="U3184" s="14">
        <v>45867</v>
      </c>
      <c r="V3184" s="25">
        <v>45888</v>
      </c>
      <c r="W3184" s="12"/>
      <c r="X3184" s="2"/>
      <c r="Y3184" s="11" t="s">
        <v>4812</v>
      </c>
      <c r="Z3184" s="2" t="s">
        <v>36</v>
      </c>
      <c r="AA3184" s="13" t="s">
        <v>10327</v>
      </c>
      <c r="AB3184" s="13" t="s">
        <v>10328</v>
      </c>
    </row>
    <row r="3185" spans="1:28" ht="15" customHeight="1">
      <c r="A3185" s="2" t="s">
        <v>9129</v>
      </c>
      <c r="B3185" s="2" t="s">
        <v>28</v>
      </c>
      <c r="C3185" s="31" t="s">
        <v>2121</v>
      </c>
      <c r="D3185" s="2" t="s">
        <v>30</v>
      </c>
      <c r="E3185" s="2" t="s">
        <v>127</v>
      </c>
      <c r="F3185" s="11" t="s">
        <v>820</v>
      </c>
      <c r="G3185" s="21" t="s">
        <v>1234</v>
      </c>
      <c r="H3185" s="2" t="s">
        <v>1509</v>
      </c>
      <c r="I3185" s="12" t="s">
        <v>96</v>
      </c>
      <c r="J3185" s="22">
        <f>+Tabla1[[#This Row],[FECHA ENTRADA]]</f>
        <v>45700</v>
      </c>
      <c r="K3185" s="22">
        <v>45751</v>
      </c>
      <c r="L3185" s="23">
        <f>_xlfn.DAYS(Tabla1[[#This Row],[FECHA FIN ]],Tabla1[[#This Row],[FECHA INICIO]])</f>
        <v>51</v>
      </c>
      <c r="M3185" s="12"/>
      <c r="N3185" s="12"/>
      <c r="O3185" s="24">
        <f>(Tabla1[[#This Row],[COSTO FIJO ]]/30)*Tabla1[[#This Row],[TOTAL DIAS PROYECTO]]+(Tabla1[[#This Row],[COSTO TEMPORAL]])</f>
        <v>0</v>
      </c>
      <c r="P3185" s="12"/>
      <c r="Q3185" s="12">
        <f>+(Tabla1[[#This Row],[COSTO COCHE]]/30)*Tabla1[[#This Row],[TOTAL DIAS PROYECTO]]</f>
        <v>0</v>
      </c>
      <c r="R3185" s="12">
        <f>+Tabla1[[#This Row],[COSTO TOTAL ALOJAMIENTO]]+Tabla1[[#This Row],[COSTO TOTAL COCHE]]</f>
        <v>0</v>
      </c>
      <c r="S3185" s="2"/>
      <c r="T3185" s="2" t="s">
        <v>44</v>
      </c>
      <c r="U3185" s="14">
        <v>45700</v>
      </c>
      <c r="V3185" s="79">
        <v>45768</v>
      </c>
      <c r="W3185" s="26"/>
      <c r="X3185" s="2"/>
      <c r="Y3185" s="11"/>
      <c r="Z3185" s="2" t="s">
        <v>36</v>
      </c>
      <c r="AA3185" s="13" t="s">
        <v>10342</v>
      </c>
      <c r="AB3185" s="13" t="s">
        <v>10343</v>
      </c>
    </row>
    <row r="3186" spans="1:28" ht="15" customHeight="1">
      <c r="A3186" s="2" t="s">
        <v>9013</v>
      </c>
      <c r="B3186" s="2" t="s">
        <v>368</v>
      </c>
      <c r="C3186" s="11" t="s">
        <v>1697</v>
      </c>
      <c r="D3186" s="2" t="s">
        <v>99</v>
      </c>
      <c r="E3186" s="2" t="s">
        <v>4161</v>
      </c>
      <c r="F3186" s="11" t="s">
        <v>4391</v>
      </c>
      <c r="G3186" s="248" t="s">
        <v>4392</v>
      </c>
      <c r="H3186" s="2" t="s">
        <v>4813</v>
      </c>
      <c r="I3186" s="10" t="s">
        <v>4165</v>
      </c>
      <c r="J3186" s="22">
        <f>+Tabla1[[#This Row],[FECHA ENTRADA]]</f>
        <v>45861</v>
      </c>
      <c r="K3186" s="22">
        <v>45883</v>
      </c>
      <c r="L3186" s="23">
        <f>_xlfn.DAYS(Tabla1[[#This Row],[FECHA FIN ]],Tabla1[[#This Row],[FECHA INICIO]])</f>
        <v>22</v>
      </c>
      <c r="M3186" s="12"/>
      <c r="N3186" s="24">
        <v>300</v>
      </c>
      <c r="O3186" s="24">
        <f>(Tabla1[[#This Row],[COSTO FIJO ]]/30)*Tabla1[[#This Row],[TOTAL DIAS PROYECTO]]+(Tabla1[[#This Row],[COSTO TEMPORAL]])</f>
        <v>220</v>
      </c>
      <c r="P3186" s="12"/>
      <c r="Q3186" s="12">
        <f>+(Tabla1[[#This Row],[COSTO COCHE]]/30)*Tabla1[[#This Row],[TOTAL DIAS PROYECTO]]</f>
        <v>0</v>
      </c>
      <c r="R3186" s="12">
        <f>+Tabla1[[#This Row],[COSTO TOTAL ALOJAMIENTO]]+Tabla1[[#This Row],[COSTO TOTAL COCHE]]</f>
        <v>220</v>
      </c>
      <c r="S3186" s="2"/>
      <c r="T3186" s="14" t="s">
        <v>35</v>
      </c>
      <c r="U3186" s="14">
        <v>45861</v>
      </c>
      <c r="V3186" s="25"/>
      <c r="W3186" s="12"/>
      <c r="X3186" s="2"/>
      <c r="Y3186" s="11" t="s">
        <v>3971</v>
      </c>
      <c r="Z3186" s="2" t="s">
        <v>36</v>
      </c>
      <c r="AA3186" s="13" t="e">
        <v>#N/A</v>
      </c>
      <c r="AB3186" s="13" t="e">
        <v>#N/A</v>
      </c>
    </row>
    <row r="3187" spans="1:28" ht="15" customHeight="1">
      <c r="A3187" s="2" t="s">
        <v>9239</v>
      </c>
      <c r="B3187" s="2" t="s">
        <v>978</v>
      </c>
      <c r="C3187" s="31" t="s">
        <v>2553</v>
      </c>
      <c r="D3187" s="2" t="s">
        <v>30</v>
      </c>
      <c r="E3187" s="2" t="s">
        <v>55</v>
      </c>
      <c r="F3187" s="11" t="s">
        <v>2127</v>
      </c>
      <c r="G3187" s="46" t="s">
        <v>2128</v>
      </c>
      <c r="H3187" s="2" t="s">
        <v>4498</v>
      </c>
      <c r="I3187" s="12" t="s">
        <v>4120</v>
      </c>
      <c r="J3187" s="41">
        <f>+Tabla1[[#This Row],[FECHA ENTRADA]]</f>
        <v>45858</v>
      </c>
      <c r="K3187" s="41">
        <v>45884</v>
      </c>
      <c r="L3187" s="42">
        <f>_xlfn.DAYS(Tabla1[[#This Row],[FECHA FIN ]],Tabla1[[#This Row],[FECHA INICIO]])</f>
        <v>26</v>
      </c>
      <c r="M3187" s="12"/>
      <c r="N3187" s="28">
        <v>400</v>
      </c>
      <c r="O3187" s="28">
        <f>(Tabla1[[#This Row],[COSTO FIJO ]]/30)*Tabla1[[#This Row],[TOTAL DIAS PROYECTO]]+(Tabla1[[#This Row],[COSTO TEMPORAL]])</f>
        <v>346.66666666666669</v>
      </c>
      <c r="P3187" s="12"/>
      <c r="Q3187" s="12">
        <f>+(Tabla1[[#This Row],[COSTO COCHE]]/30)*Tabla1[[#This Row],[TOTAL DIAS PROYECTO]]</f>
        <v>0</v>
      </c>
      <c r="R3187" s="12">
        <f>+Tabla1[[#This Row],[COSTO TOTAL ALOJAMIENTO]]+Tabla1[[#This Row],[COSTO TOTAL COCHE]]</f>
        <v>346.66666666666669</v>
      </c>
      <c r="S3187" s="2"/>
      <c r="T3187" s="14" t="s">
        <v>35</v>
      </c>
      <c r="U3187" s="14">
        <v>45858</v>
      </c>
      <c r="V3187" s="43"/>
      <c r="W3187" s="12"/>
      <c r="X3187" s="2">
        <v>1</v>
      </c>
      <c r="Y3187" s="11" t="s">
        <v>4814</v>
      </c>
      <c r="Z3187" s="2" t="s">
        <v>36</v>
      </c>
      <c r="AA3187" s="13" t="s">
        <v>10327</v>
      </c>
      <c r="AB3187" s="13" t="s">
        <v>10328</v>
      </c>
    </row>
    <row r="3188" spans="1:28" ht="15" customHeight="1">
      <c r="A3188" s="2" t="s">
        <v>8869</v>
      </c>
      <c r="B3188" s="2" t="s">
        <v>711</v>
      </c>
      <c r="C3188" s="11" t="s">
        <v>1097</v>
      </c>
      <c r="D3188" s="2" t="s">
        <v>78</v>
      </c>
      <c r="E3188" s="2" t="s">
        <v>4055</v>
      </c>
      <c r="F3188" s="11" t="s">
        <v>4688</v>
      </c>
      <c r="G3188" s="21" t="s">
        <v>4689</v>
      </c>
      <c r="H3188" s="2" t="s">
        <v>1391</v>
      </c>
      <c r="I3188" s="12" t="s">
        <v>800</v>
      </c>
      <c r="J3188" s="41">
        <f>+Tabla1[[#This Row],[FECHA ENTRADA]]</f>
        <v>45870</v>
      </c>
      <c r="K3188" s="8">
        <v>45884</v>
      </c>
      <c r="L3188" s="42">
        <f>_xlfn.DAYS(Tabla1[[#This Row],[FECHA FIN ]],Tabla1[[#This Row],[FECHA INICIO]])</f>
        <v>14</v>
      </c>
      <c r="M3188" s="12"/>
      <c r="N3188" s="12">
        <v>595</v>
      </c>
      <c r="O3188" s="28">
        <f>(Tabla1[[#This Row],[COSTO FIJO ]]/30)*Tabla1[[#This Row],[TOTAL DIAS PROYECTO]]+(Tabla1[[#This Row],[COSTO TEMPORAL]])</f>
        <v>277.66666666666663</v>
      </c>
      <c r="P3188" s="12"/>
      <c r="Q3188" s="12">
        <f>+(Tabla1[[#This Row],[COSTO COCHE]]/30)*Tabla1[[#This Row],[TOTAL DIAS PROYECTO]]</f>
        <v>0</v>
      </c>
      <c r="R3188" s="12">
        <f>+Tabla1[[#This Row],[COSTO TOTAL ALOJAMIENTO]]+Tabla1[[#This Row],[COSTO TOTAL COCHE]]</f>
        <v>277.66666666666663</v>
      </c>
      <c r="S3188" s="2" t="s">
        <v>403</v>
      </c>
      <c r="T3188" s="14" t="s">
        <v>44</v>
      </c>
      <c r="U3188" s="14">
        <v>45870</v>
      </c>
      <c r="V3188" s="43">
        <v>45884</v>
      </c>
      <c r="W3188" s="12"/>
      <c r="X3188" s="2"/>
      <c r="Y3188" s="11"/>
      <c r="Z3188" s="2" t="s">
        <v>36</v>
      </c>
      <c r="AA3188" s="13" t="e">
        <v>#N/A</v>
      </c>
      <c r="AB3188" s="13" t="e">
        <v>#N/A</v>
      </c>
    </row>
    <row r="3189" spans="1:28" ht="15" customHeight="1">
      <c r="A3189" s="2" t="s">
        <v>9649</v>
      </c>
      <c r="B3189" s="2" t="s">
        <v>711</v>
      </c>
      <c r="C3189" s="11" t="s">
        <v>4058</v>
      </c>
      <c r="D3189" s="2" t="s">
        <v>78</v>
      </c>
      <c r="E3189" s="2" t="s">
        <v>4055</v>
      </c>
      <c r="F3189" s="11" t="s">
        <v>4688</v>
      </c>
      <c r="G3189" s="21" t="s">
        <v>4689</v>
      </c>
      <c r="H3189" s="2" t="s">
        <v>1391</v>
      </c>
      <c r="I3189" s="12" t="s">
        <v>800</v>
      </c>
      <c r="J3189" s="41">
        <f>+Tabla1[[#This Row],[FECHA ENTRADA]]</f>
        <v>45870</v>
      </c>
      <c r="K3189" s="8">
        <v>45884</v>
      </c>
      <c r="L3189" s="42">
        <f>_xlfn.DAYS(Tabla1[[#This Row],[FECHA FIN ]],Tabla1[[#This Row],[FECHA INICIO]])</f>
        <v>14</v>
      </c>
      <c r="M3189" s="12"/>
      <c r="N3189" s="12">
        <v>595</v>
      </c>
      <c r="O3189" s="28">
        <f>(Tabla1[[#This Row],[COSTO FIJO ]]/30)*Tabla1[[#This Row],[TOTAL DIAS PROYECTO]]+(Tabla1[[#This Row],[COSTO TEMPORAL]])</f>
        <v>277.66666666666663</v>
      </c>
      <c r="P3189" s="12"/>
      <c r="Q3189" s="12">
        <f>+(Tabla1[[#This Row],[COSTO COCHE]]/30)*Tabla1[[#This Row],[TOTAL DIAS PROYECTO]]</f>
        <v>0</v>
      </c>
      <c r="R3189" s="12">
        <f>+Tabla1[[#This Row],[COSTO TOTAL ALOJAMIENTO]]+Tabla1[[#This Row],[COSTO TOTAL COCHE]]</f>
        <v>277.66666666666663</v>
      </c>
      <c r="S3189" s="2" t="s">
        <v>403</v>
      </c>
      <c r="T3189" s="14" t="s">
        <v>44</v>
      </c>
      <c r="U3189" s="14">
        <v>45870</v>
      </c>
      <c r="V3189" s="43">
        <v>45884</v>
      </c>
      <c r="W3189" s="12"/>
      <c r="X3189" s="2"/>
      <c r="Y3189" s="11"/>
      <c r="Z3189" s="2" t="s">
        <v>36</v>
      </c>
      <c r="AA3189" s="13" t="e">
        <v>#N/A</v>
      </c>
      <c r="AB3189" s="13" t="e">
        <v>#N/A</v>
      </c>
    </row>
    <row r="3190" spans="1:28" ht="15" customHeight="1">
      <c r="A3190" s="2" t="s">
        <v>9802</v>
      </c>
      <c r="B3190" s="2" t="s">
        <v>711</v>
      </c>
      <c r="C3190" s="11" t="s">
        <v>4815</v>
      </c>
      <c r="D3190" s="2" t="s">
        <v>78</v>
      </c>
      <c r="E3190" s="2" t="s">
        <v>4055</v>
      </c>
      <c r="F3190" s="11" t="s">
        <v>4688</v>
      </c>
      <c r="G3190" s="21" t="s">
        <v>4689</v>
      </c>
      <c r="H3190" s="2" t="s">
        <v>4816</v>
      </c>
      <c r="I3190" s="12" t="s">
        <v>800</v>
      </c>
      <c r="J3190" s="41">
        <f>+Tabla1[[#This Row],[FECHA ENTRADA]]</f>
        <v>45874</v>
      </c>
      <c r="K3190" s="8">
        <v>45884</v>
      </c>
      <c r="L3190" s="42">
        <f>_xlfn.DAYS(Tabla1[[#This Row],[FECHA FIN ]],Tabla1[[#This Row],[FECHA INICIO]])</f>
        <v>10</v>
      </c>
      <c r="M3190" s="12"/>
      <c r="N3190" s="12">
        <v>595</v>
      </c>
      <c r="O3190" s="28">
        <f>(Tabla1[[#This Row],[COSTO FIJO ]]/30)*Tabla1[[#This Row],[TOTAL DIAS PROYECTO]]+(Tabla1[[#This Row],[COSTO TEMPORAL]])</f>
        <v>198.33333333333331</v>
      </c>
      <c r="P3190" s="12"/>
      <c r="Q3190" s="12">
        <f>+(Tabla1[[#This Row],[COSTO COCHE]]/30)*Tabla1[[#This Row],[TOTAL DIAS PROYECTO]]</f>
        <v>0</v>
      </c>
      <c r="R3190" s="12">
        <f>+Tabla1[[#This Row],[COSTO TOTAL ALOJAMIENTO]]+Tabla1[[#This Row],[COSTO TOTAL COCHE]]</f>
        <v>198.33333333333331</v>
      </c>
      <c r="S3190" s="2" t="s">
        <v>403</v>
      </c>
      <c r="T3190" s="14" t="s">
        <v>44</v>
      </c>
      <c r="U3190" s="14">
        <v>45874</v>
      </c>
      <c r="V3190" s="43">
        <v>45884</v>
      </c>
      <c r="W3190" s="12"/>
      <c r="X3190" s="2"/>
      <c r="Y3190" s="11"/>
      <c r="Z3190" s="2" t="s">
        <v>36</v>
      </c>
      <c r="AA3190" s="13" t="e">
        <v>#N/A</v>
      </c>
      <c r="AB3190" s="13" t="e">
        <v>#N/A</v>
      </c>
    </row>
    <row r="3191" spans="1:28" ht="15" customHeight="1">
      <c r="A3191" s="2" t="s">
        <v>9803</v>
      </c>
      <c r="B3191" s="2" t="s">
        <v>711</v>
      </c>
      <c r="C3191" s="11" t="s">
        <v>4817</v>
      </c>
      <c r="D3191" s="2" t="s">
        <v>78</v>
      </c>
      <c r="E3191" s="2" t="s">
        <v>4055</v>
      </c>
      <c r="F3191" s="11" t="s">
        <v>4688</v>
      </c>
      <c r="G3191" s="21" t="s">
        <v>4689</v>
      </c>
      <c r="H3191" s="2" t="s">
        <v>4818</v>
      </c>
      <c r="I3191" s="12" t="s">
        <v>800</v>
      </c>
      <c r="J3191" s="41">
        <f>+Tabla1[[#This Row],[FECHA ENTRADA]]</f>
        <v>45874</v>
      </c>
      <c r="K3191" s="8">
        <v>45884</v>
      </c>
      <c r="L3191" s="42">
        <f>_xlfn.DAYS(Tabla1[[#This Row],[FECHA FIN ]],Tabla1[[#This Row],[FECHA INICIO]])</f>
        <v>10</v>
      </c>
      <c r="M3191" s="12"/>
      <c r="N3191" s="12">
        <v>595</v>
      </c>
      <c r="O3191" s="28">
        <f>(Tabla1[[#This Row],[COSTO FIJO ]]/30)*Tabla1[[#This Row],[TOTAL DIAS PROYECTO]]+(Tabla1[[#This Row],[COSTO TEMPORAL]])</f>
        <v>198.33333333333331</v>
      </c>
      <c r="P3191" s="12"/>
      <c r="Q3191" s="12">
        <f>+(Tabla1[[#This Row],[COSTO COCHE]]/30)*Tabla1[[#This Row],[TOTAL DIAS PROYECTO]]</f>
        <v>0</v>
      </c>
      <c r="R3191" s="12">
        <f>+Tabla1[[#This Row],[COSTO TOTAL ALOJAMIENTO]]+Tabla1[[#This Row],[COSTO TOTAL COCHE]]</f>
        <v>198.33333333333331</v>
      </c>
      <c r="S3191" s="2" t="s">
        <v>403</v>
      </c>
      <c r="T3191" s="14" t="s">
        <v>44</v>
      </c>
      <c r="U3191" s="14">
        <v>45874</v>
      </c>
      <c r="V3191" s="43">
        <v>45884</v>
      </c>
      <c r="W3191" s="12"/>
      <c r="X3191" s="2"/>
      <c r="Y3191" s="11"/>
      <c r="Z3191" s="2" t="s">
        <v>36</v>
      </c>
      <c r="AA3191" s="13" t="e">
        <v>#N/A</v>
      </c>
      <c r="AB3191" s="13" t="e">
        <v>#N/A</v>
      </c>
    </row>
    <row r="3192" spans="1:28">
      <c r="A3192" s="2" t="s">
        <v>9038</v>
      </c>
      <c r="B3192" s="2" t="s">
        <v>978</v>
      </c>
      <c r="C3192" s="11" t="s">
        <v>1772</v>
      </c>
      <c r="D3192" s="2" t="s">
        <v>99</v>
      </c>
      <c r="E3192" s="2" t="s">
        <v>1393</v>
      </c>
      <c r="F3192" s="11"/>
      <c r="G3192" s="46"/>
      <c r="H3192" s="2" t="s">
        <v>4819</v>
      </c>
      <c r="I3192" s="116" t="s">
        <v>4820</v>
      </c>
      <c r="J3192" s="41">
        <f>+Tabla1[[#This Row],[FECHA ENTRADA]]</f>
        <v>45741</v>
      </c>
      <c r="K3192" s="41">
        <v>45884</v>
      </c>
      <c r="L3192" s="42">
        <f>_xlfn.DAYS(Tabla1[[#This Row],[FECHA FIN ]],Tabla1[[#This Row],[FECHA INICIO]])</f>
        <v>143</v>
      </c>
      <c r="M3192" s="12"/>
      <c r="N3192" s="12">
        <v>300</v>
      </c>
      <c r="O3192" s="28">
        <f>(Tabla1[[#This Row],[COSTO FIJO ]]/30)*Tabla1[[#This Row],[TOTAL DIAS PROYECTO]]+(Tabla1[[#This Row],[COSTO TEMPORAL]])</f>
        <v>1430</v>
      </c>
      <c r="P3192" s="12"/>
      <c r="Q3192" s="12">
        <f>+(Tabla1[[#This Row],[COSTO COCHE]]/30)*Tabla1[[#This Row],[TOTAL DIAS PROYECTO]]</f>
        <v>0</v>
      </c>
      <c r="R3192" s="12">
        <f>+Tabla1[[#This Row],[COSTO TOTAL ALOJAMIENTO]]+Tabla1[[#This Row],[COSTO TOTAL COCHE]]</f>
        <v>1430</v>
      </c>
      <c r="S3192" s="2"/>
      <c r="T3192" s="14" t="s">
        <v>58</v>
      </c>
      <c r="U3192" s="14">
        <v>45741</v>
      </c>
      <c r="V3192" s="43"/>
      <c r="W3192" s="12"/>
      <c r="X3192" s="2"/>
      <c r="Y3192" s="11" t="s">
        <v>4821</v>
      </c>
      <c r="Z3192" s="2" t="s">
        <v>36</v>
      </c>
      <c r="AA3192" s="13" t="s">
        <v>10416</v>
      </c>
      <c r="AB3192" s="13" t="s">
        <v>10417</v>
      </c>
    </row>
    <row r="3193" spans="1:28" ht="15" customHeight="1">
      <c r="A3193" s="2" t="s">
        <v>9804</v>
      </c>
      <c r="B3193" s="2" t="s">
        <v>711</v>
      </c>
      <c r="C3193" s="11" t="s">
        <v>4822</v>
      </c>
      <c r="D3193" s="2" t="s">
        <v>30</v>
      </c>
      <c r="E3193" s="2" t="s">
        <v>608</v>
      </c>
      <c r="F3193" s="11" t="s">
        <v>4823</v>
      </c>
      <c r="G3193" s="21">
        <v>947201640</v>
      </c>
      <c r="H3193" s="2" t="s">
        <v>4824</v>
      </c>
      <c r="I3193" s="12" t="s">
        <v>4825</v>
      </c>
      <c r="J3193" s="22">
        <f>+Tabla1[[#This Row],[FECHA ENTRADA]]</f>
        <v>45880</v>
      </c>
      <c r="K3193" s="22">
        <v>45885</v>
      </c>
      <c r="L3193" s="23">
        <f>_xlfn.DAYS(Tabla1[[#This Row],[FECHA FIN ]],Tabla1[[#This Row],[FECHA INICIO]])</f>
        <v>5</v>
      </c>
      <c r="M3193" s="12"/>
      <c r="N3193" s="12"/>
      <c r="O3193" s="24">
        <f>(Tabla1[[#This Row],[COSTO FIJO ]]/30)*Tabla1[[#This Row],[TOTAL DIAS PROYECTO]]+(Tabla1[[#This Row],[COSTO TEMPORAL]])</f>
        <v>0</v>
      </c>
      <c r="P3193" s="12"/>
      <c r="Q3193" s="12">
        <f>+(Tabla1[[#This Row],[COSTO COCHE]]/30)*Tabla1[[#This Row],[TOTAL DIAS PROYECTO]]</f>
        <v>0</v>
      </c>
      <c r="R3193" s="12">
        <f>+Tabla1[[#This Row],[COSTO TOTAL ALOJAMIENTO]]+Tabla1[[#This Row],[COSTO TOTAL COCHE]]</f>
        <v>0</v>
      </c>
      <c r="S3193" s="2"/>
      <c r="T3193" s="14" t="s">
        <v>44</v>
      </c>
      <c r="U3193" s="14">
        <v>45880</v>
      </c>
      <c r="V3193" s="79">
        <v>45885</v>
      </c>
      <c r="W3193" s="12"/>
      <c r="X3193" s="2"/>
      <c r="Y3193" s="11" t="s">
        <v>4826</v>
      </c>
      <c r="Z3193" s="2" t="s">
        <v>36</v>
      </c>
      <c r="AA3193" s="13" t="s">
        <v>10383</v>
      </c>
      <c r="AB3193" s="13" t="s">
        <v>10384</v>
      </c>
    </row>
    <row r="3194" spans="1:28" ht="15" customHeight="1">
      <c r="A3194" s="2" t="s">
        <v>9805</v>
      </c>
      <c r="B3194" s="2" t="s">
        <v>711</v>
      </c>
      <c r="C3194" s="11" t="s">
        <v>4827</v>
      </c>
      <c r="D3194" s="2" t="s">
        <v>30</v>
      </c>
      <c r="E3194" s="2" t="s">
        <v>608</v>
      </c>
      <c r="F3194" s="11" t="s">
        <v>4823</v>
      </c>
      <c r="G3194" s="21">
        <v>947201640</v>
      </c>
      <c r="H3194" s="2" t="s">
        <v>4824</v>
      </c>
      <c r="I3194" s="12" t="s">
        <v>4825</v>
      </c>
      <c r="J3194" s="22">
        <f>+Tabla1[[#This Row],[FECHA ENTRADA]]</f>
        <v>45880</v>
      </c>
      <c r="K3194" s="22">
        <v>45885</v>
      </c>
      <c r="L3194" s="23">
        <f>_xlfn.DAYS(Tabla1[[#This Row],[FECHA FIN ]],Tabla1[[#This Row],[FECHA INICIO]])</f>
        <v>5</v>
      </c>
      <c r="M3194" s="12"/>
      <c r="N3194" s="12"/>
      <c r="O3194" s="24">
        <f>(Tabla1[[#This Row],[COSTO FIJO ]]/30)*Tabla1[[#This Row],[TOTAL DIAS PROYECTO]]+(Tabla1[[#This Row],[COSTO TEMPORAL]])</f>
        <v>0</v>
      </c>
      <c r="P3194" s="12"/>
      <c r="Q3194" s="12">
        <f>+(Tabla1[[#This Row],[COSTO COCHE]]/30)*Tabla1[[#This Row],[TOTAL DIAS PROYECTO]]</f>
        <v>0</v>
      </c>
      <c r="R3194" s="12">
        <f>+Tabla1[[#This Row],[COSTO TOTAL ALOJAMIENTO]]+Tabla1[[#This Row],[COSTO TOTAL COCHE]]</f>
        <v>0</v>
      </c>
      <c r="S3194" s="2"/>
      <c r="T3194" s="14" t="s">
        <v>44</v>
      </c>
      <c r="U3194" s="14">
        <v>45880</v>
      </c>
      <c r="V3194" s="79">
        <v>45885</v>
      </c>
      <c r="W3194" s="12"/>
      <c r="X3194" s="2"/>
      <c r="Y3194" s="11" t="s">
        <v>4828</v>
      </c>
      <c r="Z3194" s="2" t="s">
        <v>36</v>
      </c>
      <c r="AA3194" s="13" t="s">
        <v>10383</v>
      </c>
      <c r="AB3194" s="13" t="s">
        <v>10384</v>
      </c>
    </row>
    <row r="3195" spans="1:28" ht="15" customHeight="1">
      <c r="A3195" s="2" t="s">
        <v>9806</v>
      </c>
      <c r="B3195" s="2" t="s">
        <v>711</v>
      </c>
      <c r="C3195" s="11" t="s">
        <v>4829</v>
      </c>
      <c r="D3195" s="2" t="s">
        <v>30</v>
      </c>
      <c r="E3195" s="2" t="s">
        <v>608</v>
      </c>
      <c r="F3195" s="11" t="s">
        <v>4823</v>
      </c>
      <c r="G3195" s="21">
        <v>947201640</v>
      </c>
      <c r="H3195" s="2" t="s">
        <v>4824</v>
      </c>
      <c r="I3195" s="12" t="s">
        <v>4825</v>
      </c>
      <c r="J3195" s="22">
        <f>+Tabla1[[#This Row],[FECHA ENTRADA]]</f>
        <v>45880</v>
      </c>
      <c r="K3195" s="22">
        <v>45885</v>
      </c>
      <c r="L3195" s="23">
        <f>_xlfn.DAYS(Tabla1[[#This Row],[FECHA FIN ]],Tabla1[[#This Row],[FECHA INICIO]])</f>
        <v>5</v>
      </c>
      <c r="M3195" s="12"/>
      <c r="N3195" s="12"/>
      <c r="O3195" s="24">
        <f>(Tabla1[[#This Row],[COSTO FIJO ]]/30)*Tabla1[[#This Row],[TOTAL DIAS PROYECTO]]+(Tabla1[[#This Row],[COSTO TEMPORAL]])</f>
        <v>0</v>
      </c>
      <c r="P3195" s="12"/>
      <c r="Q3195" s="12">
        <f>+(Tabla1[[#This Row],[COSTO COCHE]]/30)*Tabla1[[#This Row],[TOTAL DIAS PROYECTO]]</f>
        <v>0</v>
      </c>
      <c r="R3195" s="12">
        <f>+Tabla1[[#This Row],[COSTO TOTAL ALOJAMIENTO]]+Tabla1[[#This Row],[COSTO TOTAL COCHE]]</f>
        <v>0</v>
      </c>
      <c r="S3195" s="2"/>
      <c r="T3195" s="14" t="s">
        <v>44</v>
      </c>
      <c r="U3195" s="14">
        <v>45880</v>
      </c>
      <c r="V3195" s="79">
        <v>45885</v>
      </c>
      <c r="W3195" s="12"/>
      <c r="X3195" s="2"/>
      <c r="Y3195" s="11" t="s">
        <v>4828</v>
      </c>
      <c r="Z3195" s="2" t="s">
        <v>36</v>
      </c>
      <c r="AA3195" s="13" t="s">
        <v>10383</v>
      </c>
      <c r="AB3195" s="13" t="s">
        <v>10384</v>
      </c>
    </row>
    <row r="3196" spans="1:28" ht="15" customHeight="1">
      <c r="A3196" s="2" t="s">
        <v>9519</v>
      </c>
      <c r="B3196" s="2" t="s">
        <v>28</v>
      </c>
      <c r="C3196" s="11" t="s">
        <v>3513</v>
      </c>
      <c r="D3196" s="2" t="s">
        <v>30</v>
      </c>
      <c r="E3196" s="2" t="s">
        <v>608</v>
      </c>
      <c r="F3196" s="11" t="s">
        <v>4823</v>
      </c>
      <c r="G3196" s="21">
        <v>947201640</v>
      </c>
      <c r="H3196" s="2" t="s">
        <v>4830</v>
      </c>
      <c r="I3196" s="12" t="s">
        <v>570</v>
      </c>
      <c r="J3196" s="22">
        <f>+Tabla1[[#This Row],[FECHA ENTRADA]]</f>
        <v>45880</v>
      </c>
      <c r="K3196" s="22">
        <v>45885</v>
      </c>
      <c r="L3196" s="23">
        <f>_xlfn.DAYS(Tabla1[[#This Row],[FECHA FIN ]],Tabla1[[#This Row],[FECHA INICIO]])</f>
        <v>5</v>
      </c>
      <c r="M3196" s="12"/>
      <c r="N3196" s="12"/>
      <c r="O3196" s="24">
        <f>(Tabla1[[#This Row],[COSTO FIJO ]]/30)*Tabla1[[#This Row],[TOTAL DIAS PROYECTO]]+(Tabla1[[#This Row],[COSTO TEMPORAL]])</f>
        <v>0</v>
      </c>
      <c r="P3196" s="12"/>
      <c r="Q3196" s="12">
        <f>+(Tabla1[[#This Row],[COSTO COCHE]]/30)*Tabla1[[#This Row],[TOTAL DIAS PROYECTO]]</f>
        <v>0</v>
      </c>
      <c r="R3196" s="12">
        <f>+Tabla1[[#This Row],[COSTO TOTAL ALOJAMIENTO]]+Tabla1[[#This Row],[COSTO TOTAL COCHE]]</f>
        <v>0</v>
      </c>
      <c r="S3196" s="2"/>
      <c r="T3196" s="14" t="s">
        <v>44</v>
      </c>
      <c r="U3196" s="14">
        <v>45880</v>
      </c>
      <c r="V3196" s="25">
        <v>45885</v>
      </c>
      <c r="W3196" s="12"/>
      <c r="X3196" s="2"/>
      <c r="Y3196" s="11" t="s">
        <v>4831</v>
      </c>
      <c r="Z3196" s="2" t="s">
        <v>36</v>
      </c>
      <c r="AA3196" s="13" t="s">
        <v>10383</v>
      </c>
      <c r="AB3196" s="13" t="s">
        <v>10384</v>
      </c>
    </row>
    <row r="3197" spans="1:28" ht="15" customHeight="1">
      <c r="A3197" s="2" t="s">
        <v>9807</v>
      </c>
      <c r="B3197" s="2" t="s">
        <v>711</v>
      </c>
      <c r="C3197" s="11" t="s">
        <v>4832</v>
      </c>
      <c r="D3197" s="2" t="s">
        <v>30</v>
      </c>
      <c r="E3197" s="2" t="s">
        <v>608</v>
      </c>
      <c r="F3197" s="11" t="s">
        <v>4823</v>
      </c>
      <c r="G3197" s="21">
        <v>947201640</v>
      </c>
      <c r="H3197" s="2" t="s">
        <v>4833</v>
      </c>
      <c r="I3197" s="12" t="s">
        <v>4825</v>
      </c>
      <c r="J3197" s="22">
        <f>+Tabla1[[#This Row],[FECHA ENTRADA]]</f>
        <v>45880</v>
      </c>
      <c r="K3197" s="22">
        <v>45885</v>
      </c>
      <c r="L3197" s="23">
        <f>_xlfn.DAYS(Tabla1[[#This Row],[FECHA FIN ]],Tabla1[[#This Row],[FECHA INICIO]])</f>
        <v>5</v>
      </c>
      <c r="M3197" s="12"/>
      <c r="N3197" s="12"/>
      <c r="O3197" s="24">
        <f>(Tabla1[[#This Row],[COSTO FIJO ]]/30)*Tabla1[[#This Row],[TOTAL DIAS PROYECTO]]+(Tabla1[[#This Row],[COSTO TEMPORAL]])</f>
        <v>0</v>
      </c>
      <c r="P3197" s="12"/>
      <c r="Q3197" s="12">
        <f>+(Tabla1[[#This Row],[COSTO COCHE]]/30)*Tabla1[[#This Row],[TOTAL DIAS PROYECTO]]</f>
        <v>0</v>
      </c>
      <c r="R3197" s="12">
        <f>+Tabla1[[#This Row],[COSTO TOTAL ALOJAMIENTO]]+Tabla1[[#This Row],[COSTO TOTAL COCHE]]</f>
        <v>0</v>
      </c>
      <c r="S3197" s="2"/>
      <c r="T3197" s="14" t="s">
        <v>44</v>
      </c>
      <c r="U3197" s="14">
        <v>45880</v>
      </c>
      <c r="V3197" s="25">
        <v>45885</v>
      </c>
      <c r="W3197" s="12"/>
      <c r="X3197" s="2"/>
      <c r="Y3197" s="11" t="s">
        <v>4834</v>
      </c>
      <c r="Z3197" s="2" t="s">
        <v>36</v>
      </c>
      <c r="AA3197" s="13" t="s">
        <v>10383</v>
      </c>
      <c r="AB3197" s="13" t="s">
        <v>10384</v>
      </c>
    </row>
    <row r="3198" spans="1:28" ht="15" customHeight="1">
      <c r="A3198" s="2" t="s">
        <v>8823</v>
      </c>
      <c r="B3198" s="2" t="s">
        <v>28</v>
      </c>
      <c r="C3198" s="11" t="s">
        <v>906</v>
      </c>
      <c r="D3198" s="2" t="s">
        <v>749</v>
      </c>
      <c r="E3198" s="2" t="s">
        <v>288</v>
      </c>
      <c r="F3198" s="11" t="s">
        <v>4751</v>
      </c>
      <c r="G3198" s="21" t="s">
        <v>4752</v>
      </c>
      <c r="H3198" s="2" t="s">
        <v>4753</v>
      </c>
      <c r="I3198" s="10" t="s">
        <v>753</v>
      </c>
      <c r="J3198" s="22">
        <f>+Tabla1[[#This Row],[FECHA ENTRADA]]</f>
        <v>45816</v>
      </c>
      <c r="K3198" s="8">
        <v>45821</v>
      </c>
      <c r="L3198" s="23">
        <f>_xlfn.DAYS(Tabla1[[#This Row],[FECHA FIN ]],Tabla1[[#This Row],[FECHA INICIO]])</f>
        <v>5</v>
      </c>
      <c r="M3198" s="12"/>
      <c r="N3198" s="12">
        <v>420</v>
      </c>
      <c r="O3198" s="24">
        <f>(Tabla1[[#This Row],[COSTO FIJO ]]/30)*Tabla1[[#This Row],[TOTAL DIAS PROYECTO]]+(Tabla1[[#This Row],[COSTO TEMPORAL]])</f>
        <v>70</v>
      </c>
      <c r="P3198" s="12"/>
      <c r="Q3198" s="12">
        <f>+(Tabla1[[#This Row],[COSTO COCHE]]/30)*Tabla1[[#This Row],[TOTAL DIAS PROYECTO]]</f>
        <v>0</v>
      </c>
      <c r="R3198" s="12">
        <f>+Tabla1[[#This Row],[COSTO TOTAL ALOJAMIENTO]]+Tabla1[[#This Row],[COSTO TOTAL COCHE]]</f>
        <v>70</v>
      </c>
      <c r="S3198" s="2"/>
      <c r="T3198" s="2" t="s">
        <v>44</v>
      </c>
      <c r="U3198" s="14">
        <v>45816</v>
      </c>
      <c r="V3198" s="180">
        <v>45846</v>
      </c>
      <c r="W3198" s="2"/>
      <c r="X3198" s="2"/>
      <c r="Y3198" s="11"/>
      <c r="Z3198" s="2" t="s">
        <v>36</v>
      </c>
      <c r="AA3198" s="13" t="s">
        <v>10362</v>
      </c>
      <c r="AB3198" s="13" t="s">
        <v>10363</v>
      </c>
    </row>
    <row r="3199" spans="1:28" ht="15" customHeight="1">
      <c r="A3199" s="2" t="s">
        <v>9808</v>
      </c>
      <c r="B3199" s="2" t="s">
        <v>28</v>
      </c>
      <c r="C3199" s="11" t="s">
        <v>4835</v>
      </c>
      <c r="D3199" s="2" t="s">
        <v>99</v>
      </c>
      <c r="E3199" s="2" t="s">
        <v>422</v>
      </c>
      <c r="F3199" s="11" t="s">
        <v>697</v>
      </c>
      <c r="G3199" s="46" t="s">
        <v>698</v>
      </c>
      <c r="H3199" s="2" t="s">
        <v>2613</v>
      </c>
      <c r="I3199" s="12" t="s">
        <v>3515</v>
      </c>
      <c r="J3199" s="41">
        <f>+Tabla1[[#This Row],[FECHA ENTRADA]]</f>
        <v>45819</v>
      </c>
      <c r="K3199" s="22">
        <v>45862</v>
      </c>
      <c r="L3199" s="42">
        <f>_xlfn.DAYS(Tabla1[[#This Row],[FECHA FIN ]],Tabla1[[#This Row],[FECHA INICIO]])</f>
        <v>43</v>
      </c>
      <c r="M3199" s="12"/>
      <c r="N3199" s="12">
        <v>345</v>
      </c>
      <c r="O3199" s="28">
        <f>(Tabla1[[#This Row],[COSTO FIJO ]]/30)*Tabla1[[#This Row],[TOTAL DIAS PROYECTO]]+(Tabla1[[#This Row],[COSTO TEMPORAL]])</f>
        <v>494.5</v>
      </c>
      <c r="P3199" s="12"/>
      <c r="Q3199" s="12">
        <f>+(Tabla1[[#This Row],[COSTO COCHE]]/30)*Tabla1[[#This Row],[TOTAL DIAS PROYECTO]]</f>
        <v>0</v>
      </c>
      <c r="R3199" s="12">
        <f>+Tabla1[[#This Row],[COSTO TOTAL ALOJAMIENTO]]+Tabla1[[#This Row],[COSTO TOTAL COCHE]]</f>
        <v>494.5</v>
      </c>
      <c r="S3199" s="2"/>
      <c r="T3199" s="14" t="s">
        <v>35</v>
      </c>
      <c r="U3199" s="14">
        <v>45819</v>
      </c>
      <c r="V3199" s="43"/>
      <c r="W3199" s="2"/>
      <c r="X3199" s="2">
        <v>1</v>
      </c>
      <c r="Y3199" s="11" t="s">
        <v>4836</v>
      </c>
      <c r="Z3199" s="2" t="s">
        <v>36</v>
      </c>
      <c r="AA3199" s="13">
        <v>-326.69799999999998</v>
      </c>
      <c r="AB3199" s="13" t="s">
        <v>10373</v>
      </c>
    </row>
    <row r="3200" spans="1:28" ht="15" customHeight="1">
      <c r="A3200" s="2" t="s">
        <v>8719</v>
      </c>
      <c r="B3200" s="2" t="s">
        <v>28</v>
      </c>
      <c r="C3200" s="31" t="s">
        <v>438</v>
      </c>
      <c r="D3200" s="2" t="s">
        <v>99</v>
      </c>
      <c r="E3200" s="2" t="s">
        <v>422</v>
      </c>
      <c r="F3200" s="11" t="s">
        <v>4837</v>
      </c>
      <c r="G3200" s="30" t="s">
        <v>4838</v>
      </c>
      <c r="H3200" s="2" t="s">
        <v>2199</v>
      </c>
      <c r="I3200" s="12" t="s">
        <v>4327</v>
      </c>
      <c r="J3200" s="22">
        <f>+Tabla1[[#This Row],[FECHA ENTRADA]]</f>
        <v>45819</v>
      </c>
      <c r="K3200" s="22">
        <v>45933</v>
      </c>
      <c r="L3200" s="23">
        <f>_xlfn.DAYS(Tabla1[[#This Row],[FECHA FIN ]],Tabla1[[#This Row],[FECHA INICIO]])</f>
        <v>114</v>
      </c>
      <c r="M3200" s="12"/>
      <c r="N3200" s="12"/>
      <c r="O3200" s="24">
        <f>(Tabla1[[#This Row],[COSTO FIJO ]]/30)*Tabla1[[#This Row],[TOTAL DIAS PROYECTO]]+(Tabla1[[#This Row],[COSTO TEMPORAL]])</f>
        <v>0</v>
      </c>
      <c r="P3200" s="12"/>
      <c r="Q3200" s="12">
        <f>+(Tabla1[[#This Row],[COSTO COCHE]]/30)*Tabla1[[#This Row],[TOTAL DIAS PROYECTO]]</f>
        <v>0</v>
      </c>
      <c r="R3200" s="12">
        <f>+Tabla1[[#This Row],[COSTO TOTAL ALOJAMIENTO]]+Tabla1[[#This Row],[COSTO TOTAL COCHE]]</f>
        <v>0</v>
      </c>
      <c r="S3200" s="2"/>
      <c r="T3200" s="14" t="s">
        <v>35</v>
      </c>
      <c r="U3200" s="14">
        <v>45819</v>
      </c>
      <c r="V3200" s="98"/>
      <c r="W3200" s="2"/>
      <c r="X3200" s="2">
        <v>5</v>
      </c>
      <c r="Y3200" s="11" t="s">
        <v>4839</v>
      </c>
      <c r="Z3200" s="2" t="s">
        <v>36</v>
      </c>
      <c r="AA3200" s="13">
        <v>-326.69799999999998</v>
      </c>
      <c r="AB3200" s="13" t="s">
        <v>10373</v>
      </c>
    </row>
    <row r="3201" spans="1:28" ht="15" customHeight="1">
      <c r="A3201" s="2" t="s">
        <v>9161</v>
      </c>
      <c r="B3201" s="2" t="s">
        <v>28</v>
      </c>
      <c r="C3201" s="31" t="s">
        <v>2281</v>
      </c>
      <c r="D3201" s="2" t="s">
        <v>99</v>
      </c>
      <c r="E3201" s="2" t="s">
        <v>422</v>
      </c>
      <c r="F3201" s="11" t="s">
        <v>4837</v>
      </c>
      <c r="G3201" t="s">
        <v>4838</v>
      </c>
      <c r="H3201" s="2" t="s">
        <v>4326</v>
      </c>
      <c r="I3201" s="12" t="s">
        <v>4327</v>
      </c>
      <c r="J3201" s="22">
        <f>+Tabla1[[#This Row],[FECHA ENTRADA]]</f>
        <v>45819</v>
      </c>
      <c r="K3201" s="22">
        <v>45933</v>
      </c>
      <c r="L3201" s="23">
        <f>_xlfn.DAYS(Tabla1[[#This Row],[FECHA FIN ]],Tabla1[[#This Row],[FECHA INICIO]])</f>
        <v>114</v>
      </c>
      <c r="M3201" s="12"/>
      <c r="N3201" s="24">
        <v>350</v>
      </c>
      <c r="O3201" s="24">
        <f>(Tabla1[[#This Row],[COSTO FIJO ]]/30)*Tabla1[[#This Row],[TOTAL DIAS PROYECTO]]+(Tabla1[[#This Row],[COSTO TEMPORAL]])</f>
        <v>1330</v>
      </c>
      <c r="P3201" s="12"/>
      <c r="Q3201" s="12">
        <f>+(Tabla1[[#This Row],[COSTO COCHE]]/30)*Tabla1[[#This Row],[TOTAL DIAS PROYECTO]]</f>
        <v>0</v>
      </c>
      <c r="R3201" s="12">
        <f>+Tabla1[[#This Row],[COSTO TOTAL ALOJAMIENTO]]+Tabla1[[#This Row],[COSTO TOTAL COCHE]]</f>
        <v>1330</v>
      </c>
      <c r="S3201" s="2"/>
      <c r="T3201" s="14" t="s">
        <v>35</v>
      </c>
      <c r="U3201" s="14">
        <v>45819</v>
      </c>
      <c r="V3201" s="98"/>
      <c r="W3201" s="249">
        <v>2400</v>
      </c>
      <c r="X3201" s="2">
        <v>5</v>
      </c>
      <c r="Y3201" s="11" t="s">
        <v>4839</v>
      </c>
      <c r="Z3201" s="2" t="s">
        <v>36</v>
      </c>
      <c r="AA3201" s="13">
        <v>-326.69799999999998</v>
      </c>
      <c r="AB3201" s="13" t="s">
        <v>10373</v>
      </c>
    </row>
    <row r="3202" spans="1:28">
      <c r="A3202" s="2" t="s">
        <v>8846</v>
      </c>
      <c r="B3202" s="2" t="s">
        <v>28</v>
      </c>
      <c r="C3202" s="31" t="s">
        <v>1000</v>
      </c>
      <c r="D3202" s="2" t="s">
        <v>30</v>
      </c>
      <c r="E3202" s="2" t="s">
        <v>55</v>
      </c>
      <c r="F3202" s="11" t="s">
        <v>231</v>
      </c>
      <c r="G3202" s="18" t="s">
        <v>106</v>
      </c>
      <c r="H3202" s="2" t="s">
        <v>4437</v>
      </c>
      <c r="I3202" s="54" t="s">
        <v>589</v>
      </c>
      <c r="J3202" s="41">
        <f>+Tabla1[[#This Row],[FECHA ENTRADA]]</f>
        <v>45853</v>
      </c>
      <c r="K3202" s="41">
        <v>45886</v>
      </c>
      <c r="L3202" s="42">
        <f>_xlfn.DAYS(Tabla1[[#This Row],[FECHA FIN ]],Tabla1[[#This Row],[FECHA INICIO]])</f>
        <v>33</v>
      </c>
      <c r="M3202" s="12"/>
      <c r="N3202" s="12">
        <v>500</v>
      </c>
      <c r="O3202" s="28">
        <f>(Tabla1[[#This Row],[COSTO FIJO ]]/30)*Tabla1[[#This Row],[TOTAL DIAS PROYECTO]]+(Tabla1[[#This Row],[COSTO TEMPORAL]])</f>
        <v>550</v>
      </c>
      <c r="P3202" s="12"/>
      <c r="Q3202" s="12">
        <f>+(Tabla1[[#This Row],[COSTO COCHE]]/30)*Tabla1[[#This Row],[TOTAL DIAS PROYECTO]]</f>
        <v>0</v>
      </c>
      <c r="R3202" s="12">
        <f>+Tabla1[[#This Row],[COSTO TOTAL ALOJAMIENTO]]+Tabla1[[#This Row],[COSTO TOTAL COCHE]]</f>
        <v>550</v>
      </c>
      <c r="S3202" s="2"/>
      <c r="T3202" s="14" t="s">
        <v>35</v>
      </c>
      <c r="U3202" s="14">
        <v>45853</v>
      </c>
      <c r="V3202" s="43"/>
      <c r="W3202" s="12"/>
      <c r="X3202" s="2">
        <v>1</v>
      </c>
      <c r="Y3202" s="11" t="s">
        <v>4840</v>
      </c>
      <c r="Z3202" s="2" t="s">
        <v>36</v>
      </c>
      <c r="AA3202" s="13" t="s">
        <v>10327</v>
      </c>
      <c r="AB3202" s="13" t="s">
        <v>10328</v>
      </c>
    </row>
    <row r="3203" spans="1:28">
      <c r="A3203" s="2" t="s">
        <v>9330</v>
      </c>
      <c r="B3203" s="2" t="s">
        <v>28</v>
      </c>
      <c r="C3203" s="31" t="s">
        <v>2842</v>
      </c>
      <c r="D3203" s="2" t="s">
        <v>99</v>
      </c>
      <c r="E3203" s="2" t="s">
        <v>422</v>
      </c>
      <c r="F3203" s="11" t="s">
        <v>4837</v>
      </c>
      <c r="G3203" t="s">
        <v>4838</v>
      </c>
      <c r="H3203" s="2" t="s">
        <v>4326</v>
      </c>
      <c r="I3203" s="12" t="s">
        <v>4327</v>
      </c>
      <c r="J3203" s="22">
        <f>+Tabla1[[#This Row],[FECHA ENTRADA]]</f>
        <v>45819</v>
      </c>
      <c r="K3203" s="22">
        <v>45933</v>
      </c>
      <c r="L3203" s="23">
        <f>_xlfn.DAYS(Tabla1[[#This Row],[FECHA FIN ]],Tabla1[[#This Row],[FECHA INICIO]])</f>
        <v>114</v>
      </c>
      <c r="M3203" s="12"/>
      <c r="N3203" s="24">
        <v>350</v>
      </c>
      <c r="O3203" s="24">
        <f>(Tabla1[[#This Row],[COSTO FIJO ]]/30)*Tabla1[[#This Row],[TOTAL DIAS PROYECTO]]+(Tabla1[[#This Row],[COSTO TEMPORAL]])</f>
        <v>1330</v>
      </c>
      <c r="P3203" s="12"/>
      <c r="Q3203" s="12">
        <f>+(Tabla1[[#This Row],[COSTO COCHE]]/30)*Tabla1[[#This Row],[TOTAL DIAS PROYECTO]]</f>
        <v>0</v>
      </c>
      <c r="R3203" s="12">
        <f>+Tabla1[[#This Row],[COSTO TOTAL ALOJAMIENTO]]+Tabla1[[#This Row],[COSTO TOTAL COCHE]]</f>
        <v>1330</v>
      </c>
      <c r="S3203" s="2"/>
      <c r="T3203" s="14" t="s">
        <v>35</v>
      </c>
      <c r="U3203" s="14">
        <v>45819</v>
      </c>
      <c r="V3203" s="98"/>
      <c r="W3203" s="2"/>
      <c r="X3203" s="2">
        <v>5</v>
      </c>
      <c r="Y3203" s="11" t="s">
        <v>4839</v>
      </c>
      <c r="Z3203" s="2" t="s">
        <v>36</v>
      </c>
      <c r="AA3203" s="13">
        <v>-326.69799999999998</v>
      </c>
      <c r="AB3203" s="13" t="s">
        <v>10373</v>
      </c>
    </row>
    <row r="3204" spans="1:28" ht="15" customHeight="1">
      <c r="A3204" s="2" t="s">
        <v>9359</v>
      </c>
      <c r="B3204" s="2" t="s">
        <v>28</v>
      </c>
      <c r="C3204" s="11" t="s">
        <v>2925</v>
      </c>
      <c r="D3204" s="2" t="s">
        <v>99</v>
      </c>
      <c r="E3204" s="2" t="s">
        <v>422</v>
      </c>
      <c r="F3204" s="11" t="s">
        <v>4837</v>
      </c>
      <c r="G3204" s="70" t="s">
        <v>4838</v>
      </c>
      <c r="H3204" s="2" t="s">
        <v>4326</v>
      </c>
      <c r="I3204" s="12" t="s">
        <v>4327</v>
      </c>
      <c r="J3204" s="22">
        <f>+Tabla1[[#This Row],[FECHA ENTRADA]]</f>
        <v>45819</v>
      </c>
      <c r="K3204" s="22">
        <v>45990</v>
      </c>
      <c r="L3204" s="23">
        <f>_xlfn.DAYS(Tabla1[[#This Row],[FECHA FIN ]],Tabla1[[#This Row],[FECHA INICIO]])</f>
        <v>171</v>
      </c>
      <c r="M3204" s="12"/>
      <c r="N3204" s="24">
        <v>466.66666666666669</v>
      </c>
      <c r="O3204" s="24">
        <f>(Tabla1[[#This Row],[COSTO FIJO ]]/30)*Tabla1[[#This Row],[TOTAL DIAS PROYECTO]]+(Tabla1[[#This Row],[COSTO TEMPORAL]])</f>
        <v>2660</v>
      </c>
      <c r="P3204" s="12"/>
      <c r="Q3204" s="12">
        <f>+(Tabla1[[#This Row],[COSTO COCHE]]/30)*Tabla1[[#This Row],[TOTAL DIAS PROYECTO]]</f>
        <v>0</v>
      </c>
      <c r="R3204" s="12">
        <f>+Tabla1[[#This Row],[COSTO TOTAL ALOJAMIENTO]]+Tabla1[[#This Row],[COSTO TOTAL COCHE]]</f>
        <v>2660</v>
      </c>
      <c r="S3204" s="2"/>
      <c r="T3204" s="14" t="s">
        <v>35</v>
      </c>
      <c r="U3204" s="14">
        <v>45819</v>
      </c>
      <c r="V3204" s="98"/>
      <c r="W3204" s="250">
        <v>2400</v>
      </c>
      <c r="X3204" s="2">
        <v>5</v>
      </c>
      <c r="Y3204" s="11" t="s">
        <v>1361</v>
      </c>
      <c r="Z3204" s="2" t="s">
        <v>36</v>
      </c>
      <c r="AA3204" s="13">
        <v>-326.69799999999998</v>
      </c>
      <c r="AB3204" s="13" t="s">
        <v>10373</v>
      </c>
    </row>
    <row r="3205" spans="1:28" ht="15" customHeight="1">
      <c r="A3205" s="2" t="s">
        <v>9809</v>
      </c>
      <c r="B3205" s="2" t="s">
        <v>28</v>
      </c>
      <c r="C3205" s="11" t="s">
        <v>4841</v>
      </c>
      <c r="D3205" s="2" t="s">
        <v>99</v>
      </c>
      <c r="E3205" s="2" t="s">
        <v>422</v>
      </c>
      <c r="F3205" s="11" t="s">
        <v>1375</v>
      </c>
      <c r="G3205" s="30" t="s">
        <v>1376</v>
      </c>
      <c r="H3205" s="2" t="s">
        <v>2613</v>
      </c>
      <c r="I3205" s="12" t="s">
        <v>3515</v>
      </c>
      <c r="J3205" s="41">
        <f>+Tabla1[[#This Row],[FECHA ENTRADA]]</f>
        <v>45819</v>
      </c>
      <c r="K3205" s="22">
        <v>45821</v>
      </c>
      <c r="L3205" s="42">
        <f>_xlfn.DAYS(Tabla1[[#This Row],[FECHA FIN ]],Tabla1[[#This Row],[FECHA INICIO]])</f>
        <v>2</v>
      </c>
      <c r="M3205" s="12"/>
      <c r="N3205" s="12">
        <v>276</v>
      </c>
      <c r="O3205" s="28">
        <f>(Tabla1[[#This Row],[COSTO FIJO ]]/30)*Tabla1[[#This Row],[TOTAL DIAS PROYECTO]]+(Tabla1[[#This Row],[COSTO TEMPORAL]])</f>
        <v>18.399999999999999</v>
      </c>
      <c r="P3205" s="12"/>
      <c r="Q3205" s="12">
        <f>+(Tabla1[[#This Row],[COSTO COCHE]]/30)*Tabla1[[#This Row],[TOTAL DIAS PROYECTO]]</f>
        <v>0</v>
      </c>
      <c r="R3205" s="12">
        <f>+Tabla1[[#This Row],[COSTO TOTAL ALOJAMIENTO]]+Tabla1[[#This Row],[COSTO TOTAL COCHE]]</f>
        <v>18.399999999999999</v>
      </c>
      <c r="S3205" s="2"/>
      <c r="T3205" s="14" t="s">
        <v>35</v>
      </c>
      <c r="U3205" s="14">
        <v>45819</v>
      </c>
      <c r="V3205" s="43"/>
      <c r="W3205" s="2"/>
      <c r="X3205" s="2">
        <v>1</v>
      </c>
      <c r="Y3205" s="11"/>
      <c r="Z3205" s="2" t="s">
        <v>36</v>
      </c>
      <c r="AA3205" s="13">
        <v>-326.69799999999998</v>
      </c>
      <c r="AB3205" s="13" t="s">
        <v>10373</v>
      </c>
    </row>
    <row r="3206" spans="1:28" ht="15" customHeight="1">
      <c r="A3206" s="2" t="s">
        <v>9092</v>
      </c>
      <c r="B3206" s="2" t="s">
        <v>606</v>
      </c>
      <c r="C3206" s="11" t="s">
        <v>1977</v>
      </c>
      <c r="D3206" s="2" t="s">
        <v>99</v>
      </c>
      <c r="E3206" s="2" t="s">
        <v>422</v>
      </c>
      <c r="F3206" s="11" t="s">
        <v>4842</v>
      </c>
      <c r="G3206" s="251" t="s">
        <v>4843</v>
      </c>
      <c r="H3206" s="184" t="s">
        <v>2856</v>
      </c>
      <c r="I3206" s="186" t="s">
        <v>2638</v>
      </c>
      <c r="J3206" s="41">
        <f>+Tabla1[[#This Row],[FECHA ENTRADA]]</f>
        <v>45820</v>
      </c>
      <c r="K3206" s="22">
        <v>46033</v>
      </c>
      <c r="L3206" s="42">
        <f>_xlfn.DAYS(Tabla1[[#This Row],[FECHA FIN ]],Tabla1[[#This Row],[FECHA INICIO]])</f>
        <v>213</v>
      </c>
      <c r="M3206" s="12"/>
      <c r="N3206" s="12">
        <v>350</v>
      </c>
      <c r="O3206" s="28">
        <f>(Tabla1[[#This Row],[COSTO FIJO ]]/30)*Tabla1[[#This Row],[TOTAL DIAS PROYECTO]]+(Tabla1[[#This Row],[COSTO TEMPORAL]])</f>
        <v>2485</v>
      </c>
      <c r="P3206" s="12"/>
      <c r="Q3206" s="12">
        <f>+(Tabla1[[#This Row],[COSTO COCHE]]/30)*Tabla1[[#This Row],[TOTAL DIAS PROYECTO]]</f>
        <v>0</v>
      </c>
      <c r="R3206" s="12">
        <f>+Tabla1[[#This Row],[COSTO TOTAL ALOJAMIENTO]]+Tabla1[[#This Row],[COSTO TOTAL COCHE]]</f>
        <v>2485</v>
      </c>
      <c r="S3206" s="2"/>
      <c r="T3206" s="14" t="s">
        <v>35</v>
      </c>
      <c r="U3206" s="14">
        <v>45820</v>
      </c>
      <c r="V3206" s="43"/>
      <c r="W3206" s="250">
        <v>990</v>
      </c>
      <c r="X3206" s="2">
        <v>10</v>
      </c>
      <c r="Y3206" s="11"/>
      <c r="Z3206" s="2" t="s">
        <v>36</v>
      </c>
      <c r="AA3206" s="13">
        <v>-326.69799999999998</v>
      </c>
      <c r="AB3206" s="13" t="s">
        <v>10373</v>
      </c>
    </row>
    <row r="3207" spans="1:28" ht="15" customHeight="1">
      <c r="A3207" s="2" t="s">
        <v>9049</v>
      </c>
      <c r="B3207" s="2" t="s">
        <v>606</v>
      </c>
      <c r="C3207" s="31" t="s">
        <v>1808</v>
      </c>
      <c r="D3207" s="2" t="s">
        <v>99</v>
      </c>
      <c r="E3207" s="2" t="s">
        <v>422</v>
      </c>
      <c r="F3207" s="11" t="s">
        <v>4842</v>
      </c>
      <c r="G3207" s="251" t="s">
        <v>4843</v>
      </c>
      <c r="H3207" s="2" t="s">
        <v>4686</v>
      </c>
      <c r="I3207" s="186" t="s">
        <v>2638</v>
      </c>
      <c r="J3207" s="41">
        <f>+Tabla1[[#This Row],[FECHA ENTRADA]]</f>
        <v>45820</v>
      </c>
      <c r="K3207" s="22">
        <v>46050</v>
      </c>
      <c r="L3207" s="42">
        <f>_xlfn.DAYS(Tabla1[[#This Row],[FECHA FIN ]],Tabla1[[#This Row],[FECHA INICIO]])</f>
        <v>230</v>
      </c>
      <c r="M3207" s="12"/>
      <c r="N3207" s="12">
        <v>350</v>
      </c>
      <c r="O3207" s="28">
        <f>(Tabla1[[#This Row],[COSTO FIJO ]]/30)*Tabla1[[#This Row],[TOTAL DIAS PROYECTO]]+(Tabla1[[#This Row],[COSTO TEMPORAL]])</f>
        <v>2683.333333333333</v>
      </c>
      <c r="P3207" s="12"/>
      <c r="Q3207" s="12">
        <f>+(Tabla1[[#This Row],[COSTO COCHE]]/30)*Tabla1[[#This Row],[TOTAL DIAS PROYECTO]]</f>
        <v>0</v>
      </c>
      <c r="R3207" s="12">
        <f>+Tabla1[[#This Row],[COSTO TOTAL ALOJAMIENTO]]+Tabla1[[#This Row],[COSTO TOTAL COCHE]]</f>
        <v>2683.333333333333</v>
      </c>
      <c r="S3207" s="2"/>
      <c r="T3207" s="14" t="s">
        <v>35</v>
      </c>
      <c r="U3207" s="14">
        <v>45820</v>
      </c>
      <c r="V3207" s="43"/>
      <c r="W3207" s="2"/>
      <c r="X3207" s="2">
        <v>10</v>
      </c>
      <c r="Y3207" s="11" t="s">
        <v>4844</v>
      </c>
      <c r="Z3207" s="2" t="s">
        <v>36</v>
      </c>
      <c r="AA3207" s="13">
        <v>-326.69799999999998</v>
      </c>
      <c r="AB3207" s="13" t="s">
        <v>10373</v>
      </c>
    </row>
    <row r="3208" spans="1:28" ht="15" customHeight="1">
      <c r="A3208" s="2" t="s">
        <v>9052</v>
      </c>
      <c r="B3208" s="2" t="s">
        <v>978</v>
      </c>
      <c r="C3208" s="11" t="s">
        <v>1813</v>
      </c>
      <c r="D3208" s="2" t="s">
        <v>99</v>
      </c>
      <c r="E3208" s="2" t="s">
        <v>3335</v>
      </c>
      <c r="F3208" s="11" t="s">
        <v>4845</v>
      </c>
      <c r="G3208" s="46" t="s">
        <v>4846</v>
      </c>
      <c r="H3208" s="2" t="s">
        <v>4768</v>
      </c>
      <c r="I3208" s="12" t="s">
        <v>4714</v>
      </c>
      <c r="J3208" s="41">
        <f>+Tabla1[[#This Row],[FECHA ENTRADA]]</f>
        <v>45877</v>
      </c>
      <c r="K3208" s="41">
        <v>45886</v>
      </c>
      <c r="L3208" s="42">
        <f>_xlfn.DAYS(Tabla1[[#This Row],[FECHA FIN ]],Tabla1[[#This Row],[FECHA INICIO]])</f>
        <v>9</v>
      </c>
      <c r="M3208" s="12"/>
      <c r="N3208" s="12"/>
      <c r="O3208" s="28">
        <f>(Tabla1[[#This Row],[COSTO FIJO ]]/30)*Tabla1[[#This Row],[TOTAL DIAS PROYECTO]]+(Tabla1[[#This Row],[COSTO TEMPORAL]])</f>
        <v>0</v>
      </c>
      <c r="P3208" s="12"/>
      <c r="Q3208" s="12">
        <f>+(Tabla1[[#This Row],[COSTO COCHE]]/30)*Tabla1[[#This Row],[TOTAL DIAS PROYECTO]]</f>
        <v>0</v>
      </c>
      <c r="R3208" s="12">
        <f>+Tabla1[[#This Row],[COSTO TOTAL ALOJAMIENTO]]+Tabla1[[#This Row],[COSTO TOTAL COCHE]]</f>
        <v>0</v>
      </c>
      <c r="S3208" s="2"/>
      <c r="T3208" s="14" t="s">
        <v>44</v>
      </c>
      <c r="U3208" s="14">
        <v>45877</v>
      </c>
      <c r="V3208" s="43">
        <v>45889</v>
      </c>
      <c r="W3208" s="12"/>
      <c r="X3208" s="2"/>
      <c r="Y3208" s="11"/>
      <c r="Z3208" s="2" t="s">
        <v>36</v>
      </c>
      <c r="AA3208" s="13" t="e">
        <v>#N/A</v>
      </c>
      <c r="AB3208" s="13" t="e">
        <v>#N/A</v>
      </c>
    </row>
    <row r="3209" spans="1:28" ht="15" customHeight="1">
      <c r="A3209" s="2" t="s">
        <v>9051</v>
      </c>
      <c r="B3209" s="2" t="s">
        <v>978</v>
      </c>
      <c r="C3209" s="11" t="s">
        <v>1812</v>
      </c>
      <c r="D3209" s="2" t="s">
        <v>99</v>
      </c>
      <c r="E3209" s="2" t="s">
        <v>3335</v>
      </c>
      <c r="F3209" s="11" t="s">
        <v>4845</v>
      </c>
      <c r="G3209" s="46" t="s">
        <v>4846</v>
      </c>
      <c r="H3209" s="2" t="s">
        <v>4768</v>
      </c>
      <c r="I3209" s="12" t="s">
        <v>4714</v>
      </c>
      <c r="J3209" s="41">
        <f>+Tabla1[[#This Row],[FECHA ENTRADA]]</f>
        <v>45877</v>
      </c>
      <c r="K3209" s="41">
        <v>45886</v>
      </c>
      <c r="L3209" s="42">
        <f>_xlfn.DAYS(Tabla1[[#This Row],[FECHA FIN ]],Tabla1[[#This Row],[FECHA INICIO]])</f>
        <v>9</v>
      </c>
      <c r="M3209" s="12"/>
      <c r="N3209" s="12"/>
      <c r="O3209" s="28">
        <f>(Tabla1[[#This Row],[COSTO FIJO ]]/30)*Tabla1[[#This Row],[TOTAL DIAS PROYECTO]]+(Tabla1[[#This Row],[COSTO TEMPORAL]])</f>
        <v>0</v>
      </c>
      <c r="P3209" s="12"/>
      <c r="Q3209" s="12">
        <f>+(Tabla1[[#This Row],[COSTO COCHE]]/30)*Tabla1[[#This Row],[TOTAL DIAS PROYECTO]]</f>
        <v>0</v>
      </c>
      <c r="R3209" s="12">
        <f>+Tabla1[[#This Row],[COSTO TOTAL ALOJAMIENTO]]+Tabla1[[#This Row],[COSTO TOTAL COCHE]]</f>
        <v>0</v>
      </c>
      <c r="S3209" s="2"/>
      <c r="T3209" s="14" t="s">
        <v>44</v>
      </c>
      <c r="U3209" s="14">
        <v>45877</v>
      </c>
      <c r="V3209" s="43">
        <v>45889</v>
      </c>
      <c r="W3209" s="12"/>
      <c r="X3209" s="2"/>
      <c r="Y3209" s="11"/>
      <c r="Z3209" s="2" t="s">
        <v>36</v>
      </c>
      <c r="AA3209" s="13" t="e">
        <v>#N/A</v>
      </c>
      <c r="AB3209" s="13" t="e">
        <v>#N/A</v>
      </c>
    </row>
    <row r="3210" spans="1:28" ht="15" customHeight="1">
      <c r="A3210" s="2" t="s">
        <v>9006</v>
      </c>
      <c r="B3210" s="2" t="s">
        <v>28</v>
      </c>
      <c r="C3210" s="31" t="s">
        <v>1675</v>
      </c>
      <c r="D3210" s="2" t="s">
        <v>30</v>
      </c>
      <c r="E3210" s="2" t="s">
        <v>422</v>
      </c>
      <c r="F3210" s="11" t="s">
        <v>1375</v>
      </c>
      <c r="G3210" s="30" t="s">
        <v>1376</v>
      </c>
      <c r="H3210" s="2" t="s">
        <v>2442</v>
      </c>
      <c r="I3210" s="12" t="s">
        <v>2443</v>
      </c>
      <c r="J3210" s="41">
        <f>+Tabla1[[#This Row],[FECHA ENTRADA]]</f>
        <v>45820</v>
      </c>
      <c r="K3210" s="41">
        <v>45832</v>
      </c>
      <c r="L3210" s="42">
        <f>_xlfn.DAYS(Tabla1[[#This Row],[FECHA FIN ]],Tabla1[[#This Row],[FECHA INICIO]])</f>
        <v>12</v>
      </c>
      <c r="M3210" s="12"/>
      <c r="N3210" s="12">
        <v>300</v>
      </c>
      <c r="O3210" s="28">
        <f>(Tabla1[[#This Row],[COSTO FIJO ]]/30)*Tabla1[[#This Row],[TOTAL DIAS PROYECTO]]+(Tabla1[[#This Row],[COSTO TEMPORAL]])</f>
        <v>120</v>
      </c>
      <c r="P3210" s="12"/>
      <c r="Q3210" s="12">
        <f>+(Tabla1[[#This Row],[COSTO COCHE]]/30)*Tabla1[[#This Row],[TOTAL DIAS PROYECTO]]</f>
        <v>0</v>
      </c>
      <c r="R3210" s="12">
        <f>+Tabla1[[#This Row],[COSTO TOTAL ALOJAMIENTO]]+Tabla1[[#This Row],[COSTO TOTAL COCHE]]</f>
        <v>120</v>
      </c>
      <c r="S3210" s="2"/>
      <c r="T3210" s="14" t="s">
        <v>35</v>
      </c>
      <c r="U3210" s="14">
        <v>45820</v>
      </c>
      <c r="V3210" s="75"/>
      <c r="W3210" s="2"/>
      <c r="X3210" s="2">
        <v>5</v>
      </c>
      <c r="Y3210" s="11" t="s">
        <v>4847</v>
      </c>
      <c r="Z3210" s="2" t="s">
        <v>36</v>
      </c>
      <c r="AA3210" s="13">
        <v>-326.69799999999998</v>
      </c>
      <c r="AB3210" s="13" t="s">
        <v>10373</v>
      </c>
    </row>
    <row r="3211" spans="1:28" ht="15" customHeight="1">
      <c r="A3211" s="2" t="s">
        <v>9253</v>
      </c>
      <c r="B3211" s="2" t="s">
        <v>28</v>
      </c>
      <c r="C3211" s="11" t="s">
        <v>2606</v>
      </c>
      <c r="D3211" s="2" t="s">
        <v>30</v>
      </c>
      <c r="E3211" s="2" t="s">
        <v>422</v>
      </c>
      <c r="F3211" s="11" t="s">
        <v>1375</v>
      </c>
      <c r="G3211" s="30" t="s">
        <v>1376</v>
      </c>
      <c r="H3211" s="2" t="s">
        <v>2442</v>
      </c>
      <c r="I3211" s="12" t="s">
        <v>2443</v>
      </c>
      <c r="J3211" s="41">
        <f>+Tabla1[[#This Row],[FECHA ENTRADA]]</f>
        <v>45820</v>
      </c>
      <c r="K3211" s="41">
        <v>45940</v>
      </c>
      <c r="L3211" s="42">
        <f>_xlfn.DAYS(Tabla1[[#This Row],[FECHA FIN ]],Tabla1[[#This Row],[FECHA INICIO]])</f>
        <v>120</v>
      </c>
      <c r="M3211" s="12"/>
      <c r="N3211" s="12">
        <v>350</v>
      </c>
      <c r="O3211" s="28">
        <f>(Tabla1[[#This Row],[COSTO FIJO ]]/30)*Tabla1[[#This Row],[TOTAL DIAS PROYECTO]]+(Tabla1[[#This Row],[COSTO TEMPORAL]])</f>
        <v>1400</v>
      </c>
      <c r="P3211" s="12"/>
      <c r="Q3211" s="12">
        <f>+(Tabla1[[#This Row],[COSTO COCHE]]/30)*Tabla1[[#This Row],[TOTAL DIAS PROYECTO]]</f>
        <v>0</v>
      </c>
      <c r="R3211" s="12">
        <f>+Tabla1[[#This Row],[COSTO TOTAL ALOJAMIENTO]]+Tabla1[[#This Row],[COSTO TOTAL COCHE]]</f>
        <v>1400</v>
      </c>
      <c r="S3211" s="2"/>
      <c r="T3211" s="14" t="s">
        <v>35</v>
      </c>
      <c r="U3211" s="14">
        <v>45820</v>
      </c>
      <c r="V3211" s="75"/>
      <c r="W3211" s="2"/>
      <c r="X3211" s="2">
        <v>5</v>
      </c>
      <c r="Y3211" s="11" t="s">
        <v>4848</v>
      </c>
      <c r="Z3211" s="2" t="s">
        <v>36</v>
      </c>
      <c r="AA3211" s="13">
        <v>-326.69799999999998</v>
      </c>
      <c r="AB3211" s="13" t="s">
        <v>10373</v>
      </c>
    </row>
    <row r="3212" spans="1:28" ht="15" customHeight="1">
      <c r="A3212" s="2" t="s">
        <v>9357</v>
      </c>
      <c r="B3212" s="2" t="s">
        <v>368</v>
      </c>
      <c r="C3212" s="11" t="s">
        <v>2921</v>
      </c>
      <c r="D3212" s="2" t="s">
        <v>99</v>
      </c>
      <c r="E3212" s="2" t="s">
        <v>31</v>
      </c>
      <c r="F3212" s="11" t="s">
        <v>758</v>
      </c>
      <c r="G3212" s="11" t="s">
        <v>759</v>
      </c>
      <c r="H3212" s="2" t="s">
        <v>4776</v>
      </c>
      <c r="I3212" s="12" t="s">
        <v>4777</v>
      </c>
      <c r="J3212" s="22">
        <f>+Tabla1[[#This Row],[FECHA ENTRADA]]</f>
        <v>45864</v>
      </c>
      <c r="K3212" s="22">
        <v>45887</v>
      </c>
      <c r="L3212" s="23">
        <f>_xlfn.DAYS(Tabla1[[#This Row],[FECHA FIN ]],Tabla1[[#This Row],[FECHA INICIO]])</f>
        <v>23</v>
      </c>
      <c r="M3212" s="12"/>
      <c r="N3212" s="24">
        <v>141.66999999999999</v>
      </c>
      <c r="O3212" s="24">
        <f>(Tabla1[[#This Row],[COSTO FIJO ]]/30)*Tabla1[[#This Row],[TOTAL DIAS PROYECTO]]+(Tabla1[[#This Row],[COSTO TEMPORAL]])</f>
        <v>108.61366666666666</v>
      </c>
      <c r="P3212" s="12"/>
      <c r="Q3212" s="12">
        <f>+(Tabla1[[#This Row],[COSTO COCHE]]/30)*Tabla1[[#This Row],[TOTAL DIAS PROYECTO]]</f>
        <v>0</v>
      </c>
      <c r="R3212" s="12">
        <f>+Tabla1[[#This Row],[COSTO TOTAL ALOJAMIENTO]]+Tabla1[[#This Row],[COSTO TOTAL COCHE]]</f>
        <v>108.61366666666666</v>
      </c>
      <c r="S3212" s="2"/>
      <c r="T3212" s="14" t="s">
        <v>35</v>
      </c>
      <c r="U3212" s="14">
        <v>45864</v>
      </c>
      <c r="V3212" s="25"/>
      <c r="W3212" s="12"/>
      <c r="X3212" s="2">
        <v>1</v>
      </c>
      <c r="Y3212" s="11"/>
      <c r="Z3212" s="2" t="s">
        <v>36</v>
      </c>
      <c r="AA3212" s="13" t="s">
        <v>10323</v>
      </c>
      <c r="AB3212" s="13" t="s">
        <v>10324</v>
      </c>
    </row>
    <row r="3213" spans="1:28" ht="15" customHeight="1">
      <c r="A3213" s="2" t="s">
        <v>8865</v>
      </c>
      <c r="B3213" s="2" t="s">
        <v>28</v>
      </c>
      <c r="C3213" s="11" t="s">
        <v>1073</v>
      </c>
      <c r="D3213" s="2" t="s">
        <v>30</v>
      </c>
      <c r="E3213" s="2" t="s">
        <v>626</v>
      </c>
      <c r="F3213" s="11" t="s">
        <v>1408</v>
      </c>
      <c r="G3213" s="146" t="s">
        <v>1409</v>
      </c>
      <c r="H3213" s="2" t="s">
        <v>3455</v>
      </c>
      <c r="I3213" s="12" t="s">
        <v>794</v>
      </c>
      <c r="J3213" s="22">
        <f>+Tabla1[[#This Row],[FECHA ENTRADA]]</f>
        <v>45802</v>
      </c>
      <c r="K3213" s="22">
        <v>45887</v>
      </c>
      <c r="L3213" s="23">
        <f>_xlfn.DAYS(Tabla1[[#This Row],[FECHA FIN ]],Tabla1[[#This Row],[FECHA INICIO]])</f>
        <v>85</v>
      </c>
      <c r="M3213" s="12"/>
      <c r="N3213" s="12">
        <v>450</v>
      </c>
      <c r="O3213" s="24">
        <f>(Tabla1[[#This Row],[COSTO FIJO ]]/30)*Tabla1[[#This Row],[TOTAL DIAS PROYECTO]]+(Tabla1[[#This Row],[COSTO TEMPORAL]])</f>
        <v>1275</v>
      </c>
      <c r="P3213" s="12"/>
      <c r="Q3213" s="12">
        <f>+(Tabla1[[#This Row],[COSTO COCHE]]/30)*Tabla1[[#This Row],[TOTAL DIAS PROYECTO]]</f>
        <v>0</v>
      </c>
      <c r="R3213" s="12">
        <f>+Tabla1[[#This Row],[COSTO TOTAL ALOJAMIENTO]]+Tabla1[[#This Row],[COSTO TOTAL COCHE]]</f>
        <v>1275</v>
      </c>
      <c r="S3213" s="2"/>
      <c r="T3213" s="2" t="s">
        <v>35</v>
      </c>
      <c r="U3213" s="14">
        <v>45802</v>
      </c>
      <c r="V3213" s="25"/>
      <c r="W3213" s="2"/>
      <c r="X3213" s="2">
        <v>5</v>
      </c>
      <c r="Y3213" s="11" t="s">
        <v>4849</v>
      </c>
      <c r="Z3213" s="2" t="s">
        <v>36</v>
      </c>
      <c r="AA3213" s="13" t="s">
        <v>10385</v>
      </c>
      <c r="AB3213" s="13" t="s">
        <v>10386</v>
      </c>
    </row>
    <row r="3214" spans="1:28" ht="15" customHeight="1">
      <c r="A3214" s="2" t="s">
        <v>8976</v>
      </c>
      <c r="B3214" s="2" t="s">
        <v>368</v>
      </c>
      <c r="C3214" s="11" t="s">
        <v>1570</v>
      </c>
      <c r="D3214" s="2" t="s">
        <v>78</v>
      </c>
      <c r="E3214" s="2" t="s">
        <v>1297</v>
      </c>
      <c r="F3214" s="11" t="s">
        <v>4850</v>
      </c>
      <c r="G3214" s="46" t="s">
        <v>4851</v>
      </c>
      <c r="H3214" s="2" t="s">
        <v>4530</v>
      </c>
      <c r="I3214" s="12" t="s">
        <v>1301</v>
      </c>
      <c r="J3214" s="41">
        <f>+Tabla1[[#This Row],[FECHA ENTRADA]]</f>
        <v>45880</v>
      </c>
      <c r="K3214" s="41">
        <v>45887</v>
      </c>
      <c r="L3214" s="42">
        <f>_xlfn.DAYS(Tabla1[[#This Row],[FECHA FIN ]],Tabla1[[#This Row],[FECHA INICIO]])</f>
        <v>7</v>
      </c>
      <c r="M3214" s="12"/>
      <c r="N3214" s="12">
        <f>1399.8/4</f>
        <v>349.95</v>
      </c>
      <c r="O3214" s="28">
        <f>(Tabla1[[#This Row],[COSTO FIJO ]]/30)*Tabla1[[#This Row],[TOTAL DIAS PROYECTO]]+(Tabla1[[#This Row],[COSTO TEMPORAL]])</f>
        <v>81.655000000000001</v>
      </c>
      <c r="P3214" s="12"/>
      <c r="Q3214" s="12">
        <f>+(Tabla1[[#This Row],[COSTO COCHE]]/30)*Tabla1[[#This Row],[TOTAL DIAS PROYECTO]]</f>
        <v>0</v>
      </c>
      <c r="R3214" s="12">
        <f>+Tabla1[[#This Row],[COSTO TOTAL ALOJAMIENTO]]+Tabla1[[#This Row],[COSTO TOTAL COCHE]]</f>
        <v>81.655000000000001</v>
      </c>
      <c r="S3214" s="2"/>
      <c r="T3214" s="14" t="s">
        <v>44</v>
      </c>
      <c r="U3214" s="14">
        <v>45880</v>
      </c>
      <c r="V3214" s="43">
        <v>45887</v>
      </c>
      <c r="W3214" s="12"/>
      <c r="X3214" s="2"/>
      <c r="Y3214" s="11" t="s">
        <v>4852</v>
      </c>
      <c r="Z3214" s="2" t="s">
        <v>36</v>
      </c>
      <c r="AA3214" s="13" t="s">
        <v>10414</v>
      </c>
      <c r="AB3214" s="13">
        <v>5094783</v>
      </c>
    </row>
    <row r="3215" spans="1:28" ht="15" customHeight="1">
      <c r="A3215" s="2" t="s">
        <v>9084</v>
      </c>
      <c r="B3215" s="2" t="s">
        <v>368</v>
      </c>
      <c r="C3215" s="11" t="s">
        <v>1947</v>
      </c>
      <c r="D3215" s="2" t="s">
        <v>78</v>
      </c>
      <c r="E3215" s="2" t="s">
        <v>1297</v>
      </c>
      <c r="F3215" s="11" t="s">
        <v>4850</v>
      </c>
      <c r="G3215" s="46" t="s">
        <v>4851</v>
      </c>
      <c r="H3215" s="2" t="s">
        <v>2168</v>
      </c>
      <c r="I3215" s="12" t="s">
        <v>1301</v>
      </c>
      <c r="J3215" s="41">
        <f>+Tabla1[[#This Row],[FECHA ENTRADA]]</f>
        <v>45880</v>
      </c>
      <c r="K3215" s="41">
        <v>45887</v>
      </c>
      <c r="L3215" s="42">
        <f>_xlfn.DAYS(Tabla1[[#This Row],[FECHA FIN ]],Tabla1[[#This Row],[FECHA INICIO]])</f>
        <v>7</v>
      </c>
      <c r="M3215" s="12"/>
      <c r="N3215" s="12">
        <f>1399.8/4</f>
        <v>349.95</v>
      </c>
      <c r="O3215" s="28">
        <f>(Tabla1[[#This Row],[COSTO FIJO ]]/30)*Tabla1[[#This Row],[TOTAL DIAS PROYECTO]]+(Tabla1[[#This Row],[COSTO TEMPORAL]])</f>
        <v>81.655000000000001</v>
      </c>
      <c r="P3215" s="12"/>
      <c r="Q3215" s="12">
        <f>+(Tabla1[[#This Row],[COSTO COCHE]]/30)*Tabla1[[#This Row],[TOTAL DIAS PROYECTO]]</f>
        <v>0</v>
      </c>
      <c r="R3215" s="12">
        <f>+Tabla1[[#This Row],[COSTO TOTAL ALOJAMIENTO]]+Tabla1[[#This Row],[COSTO TOTAL COCHE]]</f>
        <v>81.655000000000001</v>
      </c>
      <c r="S3215" s="2"/>
      <c r="T3215" s="14" t="s">
        <v>44</v>
      </c>
      <c r="U3215" s="14">
        <v>45880</v>
      </c>
      <c r="V3215" s="43">
        <v>45887</v>
      </c>
      <c r="W3215" s="12"/>
      <c r="X3215" s="2"/>
      <c r="Y3215" s="11" t="s">
        <v>4852</v>
      </c>
      <c r="Z3215" s="2" t="s">
        <v>36</v>
      </c>
      <c r="AA3215" s="13" t="s">
        <v>10414</v>
      </c>
      <c r="AB3215" s="13">
        <v>5094783</v>
      </c>
    </row>
    <row r="3216" spans="1:28" ht="15" customHeight="1">
      <c r="A3216" s="2" t="s">
        <v>8944</v>
      </c>
      <c r="B3216" s="2" t="s">
        <v>368</v>
      </c>
      <c r="C3216" s="11" t="s">
        <v>1382</v>
      </c>
      <c r="D3216" s="2" t="s">
        <v>78</v>
      </c>
      <c r="E3216" s="2" t="s">
        <v>1297</v>
      </c>
      <c r="F3216" s="11" t="s">
        <v>4850</v>
      </c>
      <c r="G3216" s="46" t="s">
        <v>4851</v>
      </c>
      <c r="H3216" s="2" t="s">
        <v>1300</v>
      </c>
      <c r="I3216" s="12" t="s">
        <v>1301</v>
      </c>
      <c r="J3216" s="41">
        <f>+Tabla1[[#This Row],[FECHA ENTRADA]]</f>
        <v>45880</v>
      </c>
      <c r="K3216" s="41">
        <v>45887</v>
      </c>
      <c r="L3216" s="42">
        <f>_xlfn.DAYS(Tabla1[[#This Row],[FECHA FIN ]],Tabla1[[#This Row],[FECHA INICIO]])</f>
        <v>7</v>
      </c>
      <c r="M3216" s="12"/>
      <c r="N3216" s="12">
        <f>1399.8/4</f>
        <v>349.95</v>
      </c>
      <c r="O3216" s="28">
        <f>(Tabla1[[#This Row],[COSTO FIJO ]]/30)*Tabla1[[#This Row],[TOTAL DIAS PROYECTO]]+(Tabla1[[#This Row],[COSTO TEMPORAL]])</f>
        <v>81.655000000000001</v>
      </c>
      <c r="P3216" s="12"/>
      <c r="Q3216" s="12">
        <f>+(Tabla1[[#This Row],[COSTO COCHE]]/30)*Tabla1[[#This Row],[TOTAL DIAS PROYECTO]]</f>
        <v>0</v>
      </c>
      <c r="R3216" s="12">
        <f>+Tabla1[[#This Row],[COSTO TOTAL ALOJAMIENTO]]+Tabla1[[#This Row],[COSTO TOTAL COCHE]]</f>
        <v>81.655000000000001</v>
      </c>
      <c r="S3216" s="2"/>
      <c r="T3216" s="14" t="s">
        <v>44</v>
      </c>
      <c r="U3216" s="14">
        <v>45880</v>
      </c>
      <c r="V3216" s="43">
        <v>45887</v>
      </c>
      <c r="W3216" s="12"/>
      <c r="X3216" s="2"/>
      <c r="Y3216" s="11" t="s">
        <v>4852</v>
      </c>
      <c r="Z3216" s="2" t="s">
        <v>36</v>
      </c>
      <c r="AA3216" s="13" t="s">
        <v>10414</v>
      </c>
      <c r="AB3216" s="13">
        <v>5094783</v>
      </c>
    </row>
    <row r="3217" spans="1:28" ht="15" customHeight="1">
      <c r="A3217" s="2" t="s">
        <v>9299</v>
      </c>
      <c r="B3217" s="2" t="s">
        <v>368</v>
      </c>
      <c r="C3217" s="11" t="s">
        <v>2743</v>
      </c>
      <c r="D3217" s="2" t="s">
        <v>78</v>
      </c>
      <c r="E3217" s="2" t="s">
        <v>1297</v>
      </c>
      <c r="F3217" s="11" t="s">
        <v>4850</v>
      </c>
      <c r="G3217" s="46" t="s">
        <v>4851</v>
      </c>
      <c r="H3217" s="2" t="s">
        <v>1300</v>
      </c>
      <c r="I3217" s="12" t="s">
        <v>1301</v>
      </c>
      <c r="J3217" s="41">
        <f>+Tabla1[[#This Row],[FECHA ENTRADA]]</f>
        <v>45880</v>
      </c>
      <c r="K3217" s="41">
        <v>45887</v>
      </c>
      <c r="L3217" s="42">
        <f>_xlfn.DAYS(Tabla1[[#This Row],[FECHA FIN ]],Tabla1[[#This Row],[FECHA INICIO]])</f>
        <v>7</v>
      </c>
      <c r="M3217" s="12"/>
      <c r="N3217" s="12">
        <f>1399.8/4</f>
        <v>349.95</v>
      </c>
      <c r="O3217" s="28">
        <f>(Tabla1[[#This Row],[COSTO FIJO ]]/30)*Tabla1[[#This Row],[TOTAL DIAS PROYECTO]]+(Tabla1[[#This Row],[COSTO TEMPORAL]])</f>
        <v>81.655000000000001</v>
      </c>
      <c r="P3217" s="12"/>
      <c r="Q3217" s="12">
        <f>+(Tabla1[[#This Row],[COSTO COCHE]]/30)*Tabla1[[#This Row],[TOTAL DIAS PROYECTO]]</f>
        <v>0</v>
      </c>
      <c r="R3217" s="12">
        <f>+Tabla1[[#This Row],[COSTO TOTAL ALOJAMIENTO]]+Tabla1[[#This Row],[COSTO TOTAL COCHE]]</f>
        <v>81.655000000000001</v>
      </c>
      <c r="S3217" s="2"/>
      <c r="T3217" s="14" t="s">
        <v>44</v>
      </c>
      <c r="U3217" s="14">
        <v>45880</v>
      </c>
      <c r="V3217" s="43">
        <v>45887</v>
      </c>
      <c r="W3217" s="12"/>
      <c r="X3217" s="2"/>
      <c r="Y3217" s="11" t="s">
        <v>4852</v>
      </c>
      <c r="Z3217" s="2" t="s">
        <v>36</v>
      </c>
      <c r="AA3217" s="13" t="s">
        <v>10414</v>
      </c>
      <c r="AB3217" s="13">
        <v>5094783</v>
      </c>
    </row>
    <row r="3218" spans="1:28" ht="15" customHeight="1">
      <c r="A3218" s="2" t="s">
        <v>9804</v>
      </c>
      <c r="B3218" s="2" t="s">
        <v>711</v>
      </c>
      <c r="C3218" s="11" t="s">
        <v>4822</v>
      </c>
      <c r="D3218" s="2" t="s">
        <v>30</v>
      </c>
      <c r="E3218" s="2" t="s">
        <v>608</v>
      </c>
      <c r="F3218" s="11" t="s">
        <v>4853</v>
      </c>
      <c r="G3218" s="21">
        <v>947205050</v>
      </c>
      <c r="H3218" s="2" t="s">
        <v>4824</v>
      </c>
      <c r="I3218" s="12" t="s">
        <v>4825</v>
      </c>
      <c r="J3218" s="22">
        <f>+Tabla1[[#This Row],[FECHA ENTRADA]]</f>
        <v>45885</v>
      </c>
      <c r="K3218" s="22">
        <v>45887</v>
      </c>
      <c r="L3218" s="23">
        <f>_xlfn.DAYS(Tabla1[[#This Row],[FECHA FIN ]],Tabla1[[#This Row],[FECHA INICIO]])</f>
        <v>2</v>
      </c>
      <c r="M3218" s="12"/>
      <c r="N3218" s="12">
        <v>96</v>
      </c>
      <c r="O3218" s="24">
        <f>(Tabla1[[#This Row],[COSTO FIJO ]]/30)*Tabla1[[#This Row],[TOTAL DIAS PROYECTO]]+(Tabla1[[#This Row],[COSTO TEMPORAL]])</f>
        <v>6.4</v>
      </c>
      <c r="P3218" s="12"/>
      <c r="Q3218" s="12">
        <f>+(Tabla1[[#This Row],[COSTO COCHE]]/30)*Tabla1[[#This Row],[TOTAL DIAS PROYECTO]]</f>
        <v>0</v>
      </c>
      <c r="R3218" s="12">
        <f>+Tabla1[[#This Row],[COSTO TOTAL ALOJAMIENTO]]+Tabla1[[#This Row],[COSTO TOTAL COCHE]]</f>
        <v>6.4</v>
      </c>
      <c r="S3218" s="2"/>
      <c r="T3218" s="14" t="s">
        <v>44</v>
      </c>
      <c r="U3218" s="14">
        <v>45885</v>
      </c>
      <c r="V3218" s="79">
        <v>45887</v>
      </c>
      <c r="W3218" s="12"/>
      <c r="X3218" s="2"/>
      <c r="Y3218" s="11" t="s">
        <v>1361</v>
      </c>
      <c r="Z3218" s="2" t="s">
        <v>36</v>
      </c>
      <c r="AA3218" s="13" t="s">
        <v>10383</v>
      </c>
      <c r="AB3218" s="13" t="s">
        <v>10384</v>
      </c>
    </row>
    <row r="3219" spans="1:28" ht="15" customHeight="1">
      <c r="A3219" s="2" t="s">
        <v>9805</v>
      </c>
      <c r="B3219" s="2" t="s">
        <v>711</v>
      </c>
      <c r="C3219" s="11" t="s">
        <v>4827</v>
      </c>
      <c r="D3219" s="2" t="s">
        <v>30</v>
      </c>
      <c r="E3219" s="2" t="s">
        <v>608</v>
      </c>
      <c r="F3219" s="11" t="s">
        <v>4853</v>
      </c>
      <c r="G3219" s="21">
        <v>947205050</v>
      </c>
      <c r="H3219" s="2" t="s">
        <v>4824</v>
      </c>
      <c r="I3219" s="12" t="s">
        <v>4825</v>
      </c>
      <c r="J3219" s="22">
        <f>+Tabla1[[#This Row],[FECHA ENTRADA]]</f>
        <v>45885</v>
      </c>
      <c r="K3219" s="22">
        <v>45887</v>
      </c>
      <c r="L3219" s="23">
        <f>_xlfn.DAYS(Tabla1[[#This Row],[FECHA FIN ]],Tabla1[[#This Row],[FECHA INICIO]])</f>
        <v>2</v>
      </c>
      <c r="M3219" s="12"/>
      <c r="N3219" s="12">
        <v>96</v>
      </c>
      <c r="O3219" s="24">
        <f>(Tabla1[[#This Row],[COSTO FIJO ]]/30)*Tabla1[[#This Row],[TOTAL DIAS PROYECTO]]+(Tabla1[[#This Row],[COSTO TEMPORAL]])</f>
        <v>6.4</v>
      </c>
      <c r="P3219" s="12"/>
      <c r="Q3219" s="12">
        <f>+(Tabla1[[#This Row],[COSTO COCHE]]/30)*Tabla1[[#This Row],[TOTAL DIAS PROYECTO]]</f>
        <v>0</v>
      </c>
      <c r="R3219" s="12">
        <f>+Tabla1[[#This Row],[COSTO TOTAL ALOJAMIENTO]]+Tabla1[[#This Row],[COSTO TOTAL COCHE]]</f>
        <v>6.4</v>
      </c>
      <c r="S3219" s="2"/>
      <c r="T3219" s="14" t="s">
        <v>44</v>
      </c>
      <c r="U3219" s="14">
        <v>45885</v>
      </c>
      <c r="V3219" s="79">
        <v>45887</v>
      </c>
      <c r="W3219" s="12"/>
      <c r="X3219" s="2"/>
      <c r="Y3219" s="11" t="s">
        <v>1361</v>
      </c>
      <c r="Z3219" s="2" t="s">
        <v>36</v>
      </c>
      <c r="AA3219" s="13" t="s">
        <v>10383</v>
      </c>
      <c r="AB3219" s="13" t="s">
        <v>10384</v>
      </c>
    </row>
    <row r="3220" spans="1:28" ht="15" customHeight="1">
      <c r="A3220" s="2" t="s">
        <v>9806</v>
      </c>
      <c r="B3220" s="2" t="s">
        <v>711</v>
      </c>
      <c r="C3220" s="11" t="s">
        <v>4829</v>
      </c>
      <c r="D3220" s="2" t="s">
        <v>30</v>
      </c>
      <c r="E3220" s="2" t="s">
        <v>608</v>
      </c>
      <c r="F3220" s="11" t="s">
        <v>4853</v>
      </c>
      <c r="G3220" s="21">
        <v>947205050</v>
      </c>
      <c r="H3220" s="2" t="s">
        <v>4824</v>
      </c>
      <c r="I3220" s="12" t="s">
        <v>4825</v>
      </c>
      <c r="J3220" s="22">
        <f>+Tabla1[[#This Row],[FECHA ENTRADA]]</f>
        <v>45885</v>
      </c>
      <c r="K3220" s="22">
        <v>45887</v>
      </c>
      <c r="L3220" s="23">
        <f>_xlfn.DAYS(Tabla1[[#This Row],[FECHA FIN ]],Tabla1[[#This Row],[FECHA INICIO]])</f>
        <v>2</v>
      </c>
      <c r="M3220" s="12"/>
      <c r="N3220" s="12">
        <v>96</v>
      </c>
      <c r="O3220" s="24">
        <f>(Tabla1[[#This Row],[COSTO FIJO ]]/30)*Tabla1[[#This Row],[TOTAL DIAS PROYECTO]]+(Tabla1[[#This Row],[COSTO TEMPORAL]])</f>
        <v>6.4</v>
      </c>
      <c r="P3220" s="12"/>
      <c r="Q3220" s="12">
        <f>+(Tabla1[[#This Row],[COSTO COCHE]]/30)*Tabla1[[#This Row],[TOTAL DIAS PROYECTO]]</f>
        <v>0</v>
      </c>
      <c r="R3220" s="12">
        <f>+Tabla1[[#This Row],[COSTO TOTAL ALOJAMIENTO]]+Tabla1[[#This Row],[COSTO TOTAL COCHE]]</f>
        <v>6.4</v>
      </c>
      <c r="S3220" s="2"/>
      <c r="T3220" s="14" t="s">
        <v>44</v>
      </c>
      <c r="U3220" s="14">
        <v>45885</v>
      </c>
      <c r="V3220" s="79">
        <v>45887</v>
      </c>
      <c r="W3220" s="12"/>
      <c r="X3220" s="2"/>
      <c r="Y3220" s="11" t="s">
        <v>1361</v>
      </c>
      <c r="Z3220" s="2" t="s">
        <v>36</v>
      </c>
      <c r="AA3220" s="13" t="s">
        <v>10383</v>
      </c>
      <c r="AB3220" s="13" t="s">
        <v>10384</v>
      </c>
    </row>
    <row r="3221" spans="1:28" ht="15" customHeight="1">
      <c r="A3221" s="2" t="s">
        <v>9519</v>
      </c>
      <c r="B3221" s="2" t="s">
        <v>28</v>
      </c>
      <c r="C3221" s="11" t="s">
        <v>3513</v>
      </c>
      <c r="D3221" s="2" t="s">
        <v>30</v>
      </c>
      <c r="E3221" s="2" t="s">
        <v>608</v>
      </c>
      <c r="F3221" s="11" t="s">
        <v>4853</v>
      </c>
      <c r="G3221" s="21">
        <v>947205050</v>
      </c>
      <c r="H3221" s="2" t="s">
        <v>4830</v>
      </c>
      <c r="I3221" s="12" t="s">
        <v>570</v>
      </c>
      <c r="J3221" s="22">
        <f>+Tabla1[[#This Row],[FECHA ENTRADA]]</f>
        <v>45885</v>
      </c>
      <c r="K3221" s="22">
        <v>45887</v>
      </c>
      <c r="L3221" s="23">
        <f>_xlfn.DAYS(Tabla1[[#This Row],[FECHA FIN ]],Tabla1[[#This Row],[FECHA INICIO]])</f>
        <v>2</v>
      </c>
      <c r="M3221" s="12"/>
      <c r="N3221" s="12">
        <v>96</v>
      </c>
      <c r="O3221" s="24">
        <f>(Tabla1[[#This Row],[COSTO FIJO ]]/30)*Tabla1[[#This Row],[TOTAL DIAS PROYECTO]]+(Tabla1[[#This Row],[COSTO TEMPORAL]])</f>
        <v>6.4</v>
      </c>
      <c r="P3221" s="12"/>
      <c r="Q3221" s="12">
        <f>+(Tabla1[[#This Row],[COSTO COCHE]]/30)*Tabla1[[#This Row],[TOTAL DIAS PROYECTO]]</f>
        <v>0</v>
      </c>
      <c r="R3221" s="12">
        <f>+Tabla1[[#This Row],[COSTO TOTAL ALOJAMIENTO]]+Tabla1[[#This Row],[COSTO TOTAL COCHE]]</f>
        <v>6.4</v>
      </c>
      <c r="S3221" s="2"/>
      <c r="T3221" s="14" t="s">
        <v>44</v>
      </c>
      <c r="U3221" s="14">
        <v>45885</v>
      </c>
      <c r="V3221" s="79">
        <v>45887</v>
      </c>
      <c r="W3221" s="12"/>
      <c r="X3221" s="2"/>
      <c r="Y3221" s="11" t="s">
        <v>1361</v>
      </c>
      <c r="Z3221" s="2" t="s">
        <v>36</v>
      </c>
      <c r="AA3221" s="13" t="s">
        <v>10383</v>
      </c>
      <c r="AB3221" s="13" t="s">
        <v>10384</v>
      </c>
    </row>
    <row r="3222" spans="1:28" ht="15" customHeight="1">
      <c r="A3222" s="2" t="s">
        <v>9807</v>
      </c>
      <c r="B3222" s="2" t="s">
        <v>711</v>
      </c>
      <c r="C3222" s="11" t="s">
        <v>4832</v>
      </c>
      <c r="D3222" s="2" t="s">
        <v>30</v>
      </c>
      <c r="E3222" s="2" t="s">
        <v>608</v>
      </c>
      <c r="F3222" s="11" t="s">
        <v>4853</v>
      </c>
      <c r="G3222" s="21">
        <v>947205050</v>
      </c>
      <c r="H3222" s="2" t="s">
        <v>4833</v>
      </c>
      <c r="I3222" s="12" t="s">
        <v>4825</v>
      </c>
      <c r="J3222" s="22">
        <f>+Tabla1[[#This Row],[FECHA ENTRADA]]</f>
        <v>45885</v>
      </c>
      <c r="K3222" s="22">
        <v>45887</v>
      </c>
      <c r="L3222" s="23">
        <f>_xlfn.DAYS(Tabla1[[#This Row],[FECHA FIN ]],Tabla1[[#This Row],[FECHA INICIO]])</f>
        <v>2</v>
      </c>
      <c r="M3222" s="12"/>
      <c r="N3222" s="12">
        <v>96</v>
      </c>
      <c r="O3222" s="24">
        <f>(Tabla1[[#This Row],[COSTO FIJO ]]/30)*Tabla1[[#This Row],[TOTAL DIAS PROYECTO]]+(Tabla1[[#This Row],[COSTO TEMPORAL]])</f>
        <v>6.4</v>
      </c>
      <c r="P3222" s="12"/>
      <c r="Q3222" s="12">
        <f>+(Tabla1[[#This Row],[COSTO COCHE]]/30)*Tabla1[[#This Row],[TOTAL DIAS PROYECTO]]</f>
        <v>0</v>
      </c>
      <c r="R3222" s="12">
        <f>+Tabla1[[#This Row],[COSTO TOTAL ALOJAMIENTO]]+Tabla1[[#This Row],[COSTO TOTAL COCHE]]</f>
        <v>6.4</v>
      </c>
      <c r="S3222" s="2"/>
      <c r="T3222" s="14" t="s">
        <v>44</v>
      </c>
      <c r="U3222" s="14">
        <v>45885</v>
      </c>
      <c r="V3222" s="79">
        <v>45887</v>
      </c>
      <c r="W3222" s="12"/>
      <c r="X3222" s="2"/>
      <c r="Y3222" s="11" t="s">
        <v>1361</v>
      </c>
      <c r="Z3222" s="2" t="s">
        <v>36</v>
      </c>
      <c r="AA3222" s="13" t="s">
        <v>10383</v>
      </c>
      <c r="AB3222" s="13" t="s">
        <v>10384</v>
      </c>
    </row>
    <row r="3223" spans="1:28" ht="15" customHeight="1">
      <c r="A3223" s="2" t="s">
        <v>9810</v>
      </c>
      <c r="B3223" s="2" t="s">
        <v>28</v>
      </c>
      <c r="C3223" s="11" t="s">
        <v>4854</v>
      </c>
      <c r="D3223" s="2" t="s">
        <v>99</v>
      </c>
      <c r="E3223" s="2" t="s">
        <v>626</v>
      </c>
      <c r="F3223" s="11" t="s">
        <v>2376</v>
      </c>
      <c r="G3223" t="s">
        <v>2377</v>
      </c>
      <c r="H3223" s="2" t="s">
        <v>4855</v>
      </c>
      <c r="I3223" s="12" t="s">
        <v>570</v>
      </c>
      <c r="J3223" s="41">
        <f>+Tabla1[[#This Row],[FECHA ENTRADA]]</f>
        <v>45861</v>
      </c>
      <c r="K3223" s="22">
        <v>45887</v>
      </c>
      <c r="L3223" s="42">
        <f>_xlfn.DAYS(Tabla1[[#This Row],[FECHA FIN ]],Tabla1[[#This Row],[FECHA INICIO]])</f>
        <v>26</v>
      </c>
      <c r="M3223" s="12"/>
      <c r="N3223" s="12"/>
      <c r="O3223" s="28">
        <f>(Tabla1[[#This Row],[COSTO FIJO ]]/30)*Tabla1[[#This Row],[TOTAL DIAS PROYECTO]]+(Tabla1[[#This Row],[COSTO TEMPORAL]])</f>
        <v>0</v>
      </c>
      <c r="P3223" s="12"/>
      <c r="Q3223" s="12">
        <f>+(Tabla1[[#This Row],[COSTO COCHE]]/30)*Tabla1[[#This Row],[TOTAL DIAS PROYECTO]]</f>
        <v>0</v>
      </c>
      <c r="R3223" s="12">
        <f>+Tabla1[[#This Row],[COSTO TOTAL ALOJAMIENTO]]+Tabla1[[#This Row],[COSTO TOTAL COCHE]]</f>
        <v>0</v>
      </c>
      <c r="S3223" s="2"/>
      <c r="T3223" s="14" t="s">
        <v>44</v>
      </c>
      <c r="U3223" s="14">
        <v>45861</v>
      </c>
      <c r="V3223" s="25">
        <v>45888</v>
      </c>
      <c r="W3223" s="12"/>
      <c r="X3223" s="2"/>
      <c r="Y3223" s="11"/>
      <c r="Z3223" s="2" t="s">
        <v>36</v>
      </c>
      <c r="AA3223" s="13" t="s">
        <v>10385</v>
      </c>
      <c r="AB3223" s="13" t="s">
        <v>10386</v>
      </c>
    </row>
    <row r="3224" spans="1:28" ht="15" customHeight="1">
      <c r="A3224" s="2" t="s">
        <v>9668</v>
      </c>
      <c r="B3224" s="2" t="s">
        <v>606</v>
      </c>
      <c r="C3224" s="31" t="s">
        <v>4144</v>
      </c>
      <c r="D3224" s="2" t="s">
        <v>30</v>
      </c>
      <c r="E3224" s="2" t="s">
        <v>31</v>
      </c>
      <c r="F3224" s="11" t="s">
        <v>344</v>
      </c>
      <c r="G3224" s="11" t="s">
        <v>345</v>
      </c>
      <c r="H3224" s="2" t="s">
        <v>4856</v>
      </c>
      <c r="I3224" s="12" t="s">
        <v>2391</v>
      </c>
      <c r="J3224" s="41">
        <f>+Tabla1[[#This Row],[FECHA ENTRADA]]</f>
        <v>46132</v>
      </c>
      <c r="K3224" s="22">
        <v>46252</v>
      </c>
      <c r="L3224" s="42">
        <f>_xlfn.DAYS(Tabla1[[#This Row],[FECHA FIN ]],Tabla1[[#This Row],[FECHA INICIO]])</f>
        <v>120</v>
      </c>
      <c r="M3224" s="12"/>
      <c r="N3224" s="24">
        <f>1677.13/4</f>
        <v>419.28250000000003</v>
      </c>
      <c r="O3224" s="28">
        <f>(Tabla1[[#This Row],[COSTO FIJO ]]/30)*Tabla1[[#This Row],[TOTAL DIAS PROYECTO]]+(Tabla1[[#This Row],[COSTO TEMPORAL]])</f>
        <v>1677.13</v>
      </c>
      <c r="P3224" s="12"/>
      <c r="Q3224" s="12">
        <f>+(Tabla1[[#This Row],[COSTO COCHE]]/30)*Tabla1[[#This Row],[TOTAL DIAS PROYECTO]]</f>
        <v>0</v>
      </c>
      <c r="R3224" s="12">
        <f>+Tabla1[[#This Row],[COSTO TOTAL ALOJAMIENTO]]+Tabla1[[#This Row],[COSTO TOTAL COCHE]]</f>
        <v>1677.13</v>
      </c>
      <c r="S3224" s="2"/>
      <c r="T3224" s="14" t="s">
        <v>35</v>
      </c>
      <c r="U3224" s="14">
        <v>46132</v>
      </c>
      <c r="V3224" s="43"/>
      <c r="W3224" s="12"/>
      <c r="X3224" s="2"/>
      <c r="Y3224" s="168" t="s">
        <v>3702</v>
      </c>
      <c r="Z3224" s="2" t="s">
        <v>36</v>
      </c>
      <c r="AA3224" s="13" t="s">
        <v>10323</v>
      </c>
      <c r="AB3224" s="13" t="s">
        <v>10324</v>
      </c>
    </row>
    <row r="3225" spans="1:28" ht="15" customHeight="1">
      <c r="A3225" s="2" t="s">
        <v>9314</v>
      </c>
      <c r="B3225" s="2" t="s">
        <v>711</v>
      </c>
      <c r="C3225" s="11" t="s">
        <v>2797</v>
      </c>
      <c r="D3225" s="2" t="s">
        <v>78</v>
      </c>
      <c r="E3225" s="2" t="s">
        <v>266</v>
      </c>
      <c r="F3225" s="11" t="s">
        <v>4857</v>
      </c>
      <c r="G3225" s="46" t="s">
        <v>4858</v>
      </c>
      <c r="H3225" s="2" t="s">
        <v>4859</v>
      </c>
      <c r="I3225" s="12" t="s">
        <v>270</v>
      </c>
      <c r="J3225" s="41">
        <f>+Tabla1[[#This Row],[FECHA ENTRADA]]</f>
        <v>45853</v>
      </c>
      <c r="K3225" s="41">
        <v>45887</v>
      </c>
      <c r="L3225" s="42">
        <f>_xlfn.DAYS(Tabla1[[#This Row],[FECHA FIN ]],Tabla1[[#This Row],[FECHA INICIO]])</f>
        <v>34</v>
      </c>
      <c r="M3225" s="12"/>
      <c r="N3225" s="12"/>
      <c r="O3225" s="28">
        <f>(Tabla1[[#This Row],[COSTO FIJO ]]/30)*Tabla1[[#This Row],[TOTAL DIAS PROYECTO]]+(Tabla1[[#This Row],[COSTO TEMPORAL]])</f>
        <v>0</v>
      </c>
      <c r="P3225" s="12"/>
      <c r="Q3225" s="12">
        <f>+(Tabla1[[#This Row],[COSTO COCHE]]/30)*Tabla1[[#This Row],[TOTAL DIAS PROYECTO]]</f>
        <v>0</v>
      </c>
      <c r="R3225" s="12">
        <f>+Tabla1[[#This Row],[COSTO TOTAL ALOJAMIENTO]]+Tabla1[[#This Row],[COSTO TOTAL COCHE]]</f>
        <v>0</v>
      </c>
      <c r="S3225" s="2"/>
      <c r="T3225" s="14" t="s">
        <v>44</v>
      </c>
      <c r="U3225" s="14">
        <v>45853</v>
      </c>
      <c r="V3225" s="43">
        <v>45891</v>
      </c>
      <c r="W3225" s="12">
        <v>500</v>
      </c>
      <c r="X3225" s="2"/>
      <c r="Y3225" s="11" t="s">
        <v>4860</v>
      </c>
      <c r="Z3225" s="2" t="s">
        <v>36</v>
      </c>
      <c r="AA3225" s="13" t="s">
        <v>10360</v>
      </c>
      <c r="AB3225" s="13" t="s">
        <v>10361</v>
      </c>
    </row>
    <row r="3226" spans="1:28" ht="15" customHeight="1">
      <c r="A3226" s="2" t="s">
        <v>8915</v>
      </c>
      <c r="B3226" s="2" t="s">
        <v>711</v>
      </c>
      <c r="C3226" s="11" t="s">
        <v>1265</v>
      </c>
      <c r="D3226" s="2" t="s">
        <v>78</v>
      </c>
      <c r="E3226" s="2" t="s">
        <v>266</v>
      </c>
      <c r="F3226" s="11" t="s">
        <v>4857</v>
      </c>
      <c r="G3226" s="46" t="s">
        <v>4858</v>
      </c>
      <c r="H3226" s="2" t="s">
        <v>4859</v>
      </c>
      <c r="I3226" s="12" t="s">
        <v>270</v>
      </c>
      <c r="J3226" s="41">
        <f>+Tabla1[[#This Row],[FECHA ENTRADA]]</f>
        <v>45853</v>
      </c>
      <c r="K3226" s="41">
        <v>45887</v>
      </c>
      <c r="L3226" s="42">
        <f>_xlfn.DAYS(Tabla1[[#This Row],[FECHA FIN ]],Tabla1[[#This Row],[FECHA INICIO]])</f>
        <v>34</v>
      </c>
      <c r="M3226" s="12"/>
      <c r="N3226" s="12"/>
      <c r="O3226" s="28">
        <f>(Tabla1[[#This Row],[COSTO FIJO ]]/30)*Tabla1[[#This Row],[TOTAL DIAS PROYECTO]]+(Tabla1[[#This Row],[COSTO TEMPORAL]])</f>
        <v>0</v>
      </c>
      <c r="P3226" s="12"/>
      <c r="Q3226" s="12">
        <f>+(Tabla1[[#This Row],[COSTO COCHE]]/30)*Tabla1[[#This Row],[TOTAL DIAS PROYECTO]]</f>
        <v>0</v>
      </c>
      <c r="R3226" s="12">
        <f>+Tabla1[[#This Row],[COSTO TOTAL ALOJAMIENTO]]+Tabla1[[#This Row],[COSTO TOTAL COCHE]]</f>
        <v>0</v>
      </c>
      <c r="S3226" s="2"/>
      <c r="T3226" s="14" t="s">
        <v>44</v>
      </c>
      <c r="U3226" s="14">
        <v>45853</v>
      </c>
      <c r="V3226" s="43">
        <v>45891</v>
      </c>
      <c r="W3226" s="12"/>
      <c r="X3226" s="2"/>
      <c r="Y3226" s="11" t="s">
        <v>4860</v>
      </c>
      <c r="Z3226" s="2" t="s">
        <v>36</v>
      </c>
      <c r="AA3226" s="13" t="s">
        <v>10360</v>
      </c>
      <c r="AB3226" s="13" t="s">
        <v>10361</v>
      </c>
    </row>
    <row r="3227" spans="1:28" ht="15" customHeight="1">
      <c r="A3227" s="2" t="s">
        <v>9811</v>
      </c>
      <c r="B3227" s="2" t="s">
        <v>711</v>
      </c>
      <c r="C3227" s="11" t="s">
        <v>4861</v>
      </c>
      <c r="D3227" s="2" t="s">
        <v>78</v>
      </c>
      <c r="E3227" s="2" t="s">
        <v>266</v>
      </c>
      <c r="F3227" s="11" t="s">
        <v>4857</v>
      </c>
      <c r="G3227" s="46" t="s">
        <v>4858</v>
      </c>
      <c r="H3227" s="2" t="s">
        <v>4859</v>
      </c>
      <c r="I3227" s="12" t="s">
        <v>270</v>
      </c>
      <c r="J3227" s="41">
        <f>+Tabla1[[#This Row],[FECHA ENTRADA]]</f>
        <v>45853</v>
      </c>
      <c r="K3227" s="41">
        <v>45887</v>
      </c>
      <c r="L3227" s="42">
        <f>_xlfn.DAYS(Tabla1[[#This Row],[FECHA FIN ]],Tabla1[[#This Row],[FECHA INICIO]])</f>
        <v>34</v>
      </c>
      <c r="M3227" s="12"/>
      <c r="N3227" s="12"/>
      <c r="O3227" s="28">
        <f>(Tabla1[[#This Row],[COSTO FIJO ]]/30)*Tabla1[[#This Row],[TOTAL DIAS PROYECTO]]+(Tabla1[[#This Row],[COSTO TEMPORAL]])</f>
        <v>0</v>
      </c>
      <c r="P3227" s="12"/>
      <c r="Q3227" s="12">
        <f>+(Tabla1[[#This Row],[COSTO COCHE]]/30)*Tabla1[[#This Row],[TOTAL DIAS PROYECTO]]</f>
        <v>0</v>
      </c>
      <c r="R3227" s="12">
        <f>+Tabla1[[#This Row],[COSTO TOTAL ALOJAMIENTO]]+Tabla1[[#This Row],[COSTO TOTAL COCHE]]</f>
        <v>0</v>
      </c>
      <c r="S3227" s="2"/>
      <c r="T3227" s="14" t="s">
        <v>44</v>
      </c>
      <c r="U3227" s="14">
        <v>45853</v>
      </c>
      <c r="V3227" s="43">
        <v>45891</v>
      </c>
      <c r="W3227" s="12"/>
      <c r="X3227" s="2"/>
      <c r="Y3227" t="s">
        <v>4862</v>
      </c>
      <c r="Z3227" s="2" t="s">
        <v>36</v>
      </c>
      <c r="AA3227" s="13" t="s">
        <v>10360</v>
      </c>
      <c r="AB3227" s="13" t="s">
        <v>10361</v>
      </c>
    </row>
    <row r="3228" spans="1:28" ht="15" customHeight="1">
      <c r="A3228" s="2" t="s">
        <v>9217</v>
      </c>
      <c r="B3228" s="2" t="s">
        <v>711</v>
      </c>
      <c r="C3228" s="11" t="s">
        <v>2477</v>
      </c>
      <c r="D3228" s="2" t="s">
        <v>78</v>
      </c>
      <c r="E3228" s="2" t="s">
        <v>266</v>
      </c>
      <c r="F3228" s="11" t="s">
        <v>4857</v>
      </c>
      <c r="G3228" s="46" t="s">
        <v>4858</v>
      </c>
      <c r="H3228" s="2" t="s">
        <v>4859</v>
      </c>
      <c r="I3228" s="12" t="s">
        <v>270</v>
      </c>
      <c r="J3228" s="41">
        <f>+Tabla1[[#This Row],[FECHA ENTRADA]]</f>
        <v>45853</v>
      </c>
      <c r="K3228" s="41">
        <v>45887</v>
      </c>
      <c r="L3228" s="42">
        <f>_xlfn.DAYS(Tabla1[[#This Row],[FECHA FIN ]],Tabla1[[#This Row],[FECHA INICIO]])</f>
        <v>34</v>
      </c>
      <c r="M3228" s="12"/>
      <c r="N3228" s="12"/>
      <c r="O3228" s="28">
        <f>(Tabla1[[#This Row],[COSTO FIJO ]]/30)*Tabla1[[#This Row],[TOTAL DIAS PROYECTO]]+(Tabla1[[#This Row],[COSTO TEMPORAL]])</f>
        <v>0</v>
      </c>
      <c r="P3228" s="12"/>
      <c r="Q3228" s="12">
        <f>+(Tabla1[[#This Row],[COSTO COCHE]]/30)*Tabla1[[#This Row],[TOTAL DIAS PROYECTO]]</f>
        <v>0</v>
      </c>
      <c r="R3228" s="12">
        <f>+Tabla1[[#This Row],[COSTO TOTAL ALOJAMIENTO]]+Tabla1[[#This Row],[COSTO TOTAL COCHE]]</f>
        <v>0</v>
      </c>
      <c r="S3228" s="2"/>
      <c r="T3228" s="14" t="s">
        <v>44</v>
      </c>
      <c r="U3228" s="14">
        <v>45853</v>
      </c>
      <c r="V3228" s="43">
        <v>45891</v>
      </c>
      <c r="W3228" s="12"/>
      <c r="X3228" s="2"/>
      <c r="Y3228" s="11"/>
      <c r="Z3228" s="2" t="s">
        <v>36</v>
      </c>
      <c r="AA3228" s="13" t="s">
        <v>10360</v>
      </c>
      <c r="AB3228" s="13" t="s">
        <v>10361</v>
      </c>
    </row>
    <row r="3229" spans="1:28" ht="15" customHeight="1">
      <c r="A3229" s="2" t="s">
        <v>9173</v>
      </c>
      <c r="B3229" s="2" t="s">
        <v>368</v>
      </c>
      <c r="C3229" s="11" t="s">
        <v>2315</v>
      </c>
      <c r="D3229" s="2" t="s">
        <v>99</v>
      </c>
      <c r="E3229" s="2" t="s">
        <v>31</v>
      </c>
      <c r="F3229" s="11" t="s">
        <v>344</v>
      </c>
      <c r="G3229" s="11" t="s">
        <v>345</v>
      </c>
      <c r="H3229" s="2" t="s">
        <v>4863</v>
      </c>
      <c r="I3229" s="12" t="s">
        <v>4777</v>
      </c>
      <c r="J3229" s="22">
        <f>+Tabla1[[#This Row],[FECHA ENTRADA]]</f>
        <v>45880</v>
      </c>
      <c r="K3229" s="22">
        <v>45887</v>
      </c>
      <c r="L3229" s="23">
        <f>_xlfn.DAYS(Tabla1[[#This Row],[FECHA FIN ]],Tabla1[[#This Row],[FECHA INICIO]])</f>
        <v>7</v>
      </c>
      <c r="M3229" s="12"/>
      <c r="N3229" s="24">
        <v>335.43</v>
      </c>
      <c r="O3229" s="24">
        <f>(Tabla1[[#This Row],[COSTO FIJO ]]/30)*Tabla1[[#This Row],[TOTAL DIAS PROYECTO]]+(Tabla1[[#This Row],[COSTO TEMPORAL]])</f>
        <v>78.26700000000001</v>
      </c>
      <c r="P3229" s="12"/>
      <c r="Q3229" s="12">
        <f>+(Tabla1[[#This Row],[COSTO COCHE]]/30)*Tabla1[[#This Row],[TOTAL DIAS PROYECTO]]</f>
        <v>0</v>
      </c>
      <c r="R3229" s="12">
        <f>+Tabla1[[#This Row],[COSTO TOTAL ALOJAMIENTO]]+Tabla1[[#This Row],[COSTO TOTAL COCHE]]</f>
        <v>78.26700000000001</v>
      </c>
      <c r="S3229" s="2"/>
      <c r="T3229" s="14" t="s">
        <v>35</v>
      </c>
      <c r="U3229" s="14">
        <v>45880</v>
      </c>
      <c r="V3229" s="25"/>
      <c r="W3229" s="12"/>
      <c r="X3229" s="2"/>
      <c r="Y3229" s="11"/>
      <c r="Z3229" s="2" t="s">
        <v>36</v>
      </c>
      <c r="AA3229" s="13" t="s">
        <v>10323</v>
      </c>
      <c r="AB3229" s="13" t="s">
        <v>10324</v>
      </c>
    </row>
    <row r="3230" spans="1:28" ht="15" customHeight="1">
      <c r="A3230" s="2" t="s">
        <v>8869</v>
      </c>
      <c r="B3230" s="2" t="s">
        <v>711</v>
      </c>
      <c r="C3230" s="11" t="s">
        <v>1097</v>
      </c>
      <c r="D3230" s="2" t="s">
        <v>78</v>
      </c>
      <c r="E3230" s="2" t="s">
        <v>4055</v>
      </c>
      <c r="F3230" s="11" t="s">
        <v>4864</v>
      </c>
      <c r="G3230" s="49" t="s">
        <v>4865</v>
      </c>
      <c r="H3230" s="2" t="s">
        <v>1391</v>
      </c>
      <c r="I3230" s="12" t="s">
        <v>800</v>
      </c>
      <c r="J3230" s="22">
        <f>+Tabla1[[#This Row],[FECHA ENTRADA]]</f>
        <v>45884</v>
      </c>
      <c r="K3230" s="22">
        <v>45888</v>
      </c>
      <c r="L3230" s="23">
        <f>_xlfn.DAYS(Tabla1[[#This Row],[FECHA FIN ]],Tabla1[[#This Row],[FECHA INICIO]])</f>
        <v>4</v>
      </c>
      <c r="M3230" s="12"/>
      <c r="N3230" s="12">
        <f>934.94/4</f>
        <v>233.73500000000001</v>
      </c>
      <c r="O3230" s="24">
        <f>(Tabla1[[#This Row],[COSTO FIJO ]]/30)*Tabla1[[#This Row],[TOTAL DIAS PROYECTO]]+(Tabla1[[#This Row],[COSTO TEMPORAL]])</f>
        <v>31.164666666666669</v>
      </c>
      <c r="P3230" s="12"/>
      <c r="Q3230" s="12">
        <f>+(Tabla1[[#This Row],[COSTO COCHE]]/30)*Tabla1[[#This Row],[TOTAL DIAS PROYECTO]]</f>
        <v>0</v>
      </c>
      <c r="R3230" s="12">
        <f>+Tabla1[[#This Row],[COSTO TOTAL ALOJAMIENTO]]+Tabla1[[#This Row],[COSTO TOTAL COCHE]]</f>
        <v>31.164666666666669</v>
      </c>
      <c r="S3230" s="2" t="s">
        <v>84</v>
      </c>
      <c r="T3230" s="14" t="s">
        <v>44</v>
      </c>
      <c r="U3230" s="14">
        <v>45884</v>
      </c>
      <c r="V3230" s="25">
        <v>45888</v>
      </c>
      <c r="W3230" s="12"/>
      <c r="X3230" s="2"/>
      <c r="Y3230" s="11"/>
      <c r="Z3230" s="2" t="s">
        <v>36</v>
      </c>
      <c r="AA3230" s="13" t="e">
        <v>#N/A</v>
      </c>
      <c r="AB3230" s="13" t="e">
        <v>#N/A</v>
      </c>
    </row>
    <row r="3231" spans="1:28" ht="15" customHeight="1">
      <c r="A3231" s="2" t="s">
        <v>9649</v>
      </c>
      <c r="B3231" s="2" t="s">
        <v>711</v>
      </c>
      <c r="C3231" s="11" t="s">
        <v>4058</v>
      </c>
      <c r="D3231" s="2" t="s">
        <v>78</v>
      </c>
      <c r="E3231" s="2" t="s">
        <v>4055</v>
      </c>
      <c r="F3231" s="11" t="s">
        <v>4864</v>
      </c>
      <c r="G3231" s="49" t="s">
        <v>4865</v>
      </c>
      <c r="H3231" s="2" t="s">
        <v>1391</v>
      </c>
      <c r="I3231" s="12" t="s">
        <v>800</v>
      </c>
      <c r="J3231" s="22">
        <f>+Tabla1[[#This Row],[FECHA ENTRADA]]</f>
        <v>45884</v>
      </c>
      <c r="K3231" s="22">
        <v>45888</v>
      </c>
      <c r="L3231" s="23">
        <f>_xlfn.DAYS(Tabla1[[#This Row],[FECHA FIN ]],Tabla1[[#This Row],[FECHA INICIO]])</f>
        <v>4</v>
      </c>
      <c r="M3231" s="12"/>
      <c r="N3231" s="12">
        <f>934.94/4</f>
        <v>233.73500000000001</v>
      </c>
      <c r="O3231" s="24">
        <f>(Tabla1[[#This Row],[COSTO FIJO ]]/30)*Tabla1[[#This Row],[TOTAL DIAS PROYECTO]]+(Tabla1[[#This Row],[COSTO TEMPORAL]])</f>
        <v>31.164666666666669</v>
      </c>
      <c r="P3231" s="12"/>
      <c r="Q3231" s="12">
        <f>+(Tabla1[[#This Row],[COSTO COCHE]]/30)*Tabla1[[#This Row],[TOTAL DIAS PROYECTO]]</f>
        <v>0</v>
      </c>
      <c r="R3231" s="12">
        <f>+Tabla1[[#This Row],[COSTO TOTAL ALOJAMIENTO]]+Tabla1[[#This Row],[COSTO TOTAL COCHE]]</f>
        <v>31.164666666666669</v>
      </c>
      <c r="S3231" s="2" t="s">
        <v>84</v>
      </c>
      <c r="T3231" s="14" t="s">
        <v>44</v>
      </c>
      <c r="U3231" s="14">
        <v>45884</v>
      </c>
      <c r="V3231" s="25">
        <v>45888</v>
      </c>
      <c r="W3231" s="12"/>
      <c r="X3231" s="2"/>
      <c r="Y3231" s="11"/>
      <c r="Z3231" s="2" t="s">
        <v>36</v>
      </c>
      <c r="AA3231" s="13" t="e">
        <v>#N/A</v>
      </c>
      <c r="AB3231" s="13" t="e">
        <v>#N/A</v>
      </c>
    </row>
    <row r="3232" spans="1:28" ht="15" customHeight="1">
      <c r="A3232" s="2" t="s">
        <v>9802</v>
      </c>
      <c r="B3232" s="2" t="s">
        <v>711</v>
      </c>
      <c r="C3232" s="11" t="s">
        <v>4815</v>
      </c>
      <c r="D3232" s="2" t="s">
        <v>78</v>
      </c>
      <c r="E3232" s="2" t="s">
        <v>4055</v>
      </c>
      <c r="F3232" s="11" t="s">
        <v>4864</v>
      </c>
      <c r="G3232" s="49" t="s">
        <v>4865</v>
      </c>
      <c r="H3232" s="2" t="s">
        <v>4816</v>
      </c>
      <c r="I3232" s="12" t="s">
        <v>800</v>
      </c>
      <c r="J3232" s="22">
        <f>+Tabla1[[#This Row],[FECHA ENTRADA]]</f>
        <v>45884</v>
      </c>
      <c r="K3232" s="22">
        <v>45888</v>
      </c>
      <c r="L3232" s="23">
        <f>_xlfn.DAYS(Tabla1[[#This Row],[FECHA FIN ]],Tabla1[[#This Row],[FECHA INICIO]])</f>
        <v>4</v>
      </c>
      <c r="M3232" s="12"/>
      <c r="N3232" s="12">
        <f>934.94/4</f>
        <v>233.73500000000001</v>
      </c>
      <c r="O3232" s="24">
        <f>(Tabla1[[#This Row],[COSTO FIJO ]]/30)*Tabla1[[#This Row],[TOTAL DIAS PROYECTO]]+(Tabla1[[#This Row],[COSTO TEMPORAL]])</f>
        <v>31.164666666666669</v>
      </c>
      <c r="P3232" s="12"/>
      <c r="Q3232" s="12">
        <f>+(Tabla1[[#This Row],[COSTO COCHE]]/30)*Tabla1[[#This Row],[TOTAL DIAS PROYECTO]]</f>
        <v>0</v>
      </c>
      <c r="R3232" s="12">
        <f>+Tabla1[[#This Row],[COSTO TOTAL ALOJAMIENTO]]+Tabla1[[#This Row],[COSTO TOTAL COCHE]]</f>
        <v>31.164666666666669</v>
      </c>
      <c r="S3232" s="2" t="s">
        <v>84</v>
      </c>
      <c r="T3232" s="14" t="s">
        <v>44</v>
      </c>
      <c r="U3232" s="14">
        <v>45884</v>
      </c>
      <c r="V3232" s="25">
        <v>45888</v>
      </c>
      <c r="W3232" s="12"/>
      <c r="X3232" s="2"/>
      <c r="Y3232" s="11"/>
      <c r="Z3232" s="2" t="s">
        <v>36</v>
      </c>
      <c r="AA3232" s="13" t="e">
        <v>#N/A</v>
      </c>
      <c r="AB3232" s="13" t="e">
        <v>#N/A</v>
      </c>
    </row>
    <row r="3233" spans="1:28" ht="15" customHeight="1">
      <c r="A3233" s="2" t="s">
        <v>9803</v>
      </c>
      <c r="B3233" s="2" t="s">
        <v>711</v>
      </c>
      <c r="C3233" s="11" t="s">
        <v>4817</v>
      </c>
      <c r="D3233" s="2" t="s">
        <v>78</v>
      </c>
      <c r="E3233" s="2" t="s">
        <v>4055</v>
      </c>
      <c r="F3233" s="11" t="s">
        <v>4864</v>
      </c>
      <c r="G3233" s="49" t="s">
        <v>4865</v>
      </c>
      <c r="H3233" s="2" t="s">
        <v>4818</v>
      </c>
      <c r="I3233" s="12" t="s">
        <v>800</v>
      </c>
      <c r="J3233" s="22">
        <f>+Tabla1[[#This Row],[FECHA ENTRADA]]</f>
        <v>45884</v>
      </c>
      <c r="K3233" s="22">
        <v>45888</v>
      </c>
      <c r="L3233" s="23">
        <f>_xlfn.DAYS(Tabla1[[#This Row],[FECHA FIN ]],Tabla1[[#This Row],[FECHA INICIO]])</f>
        <v>4</v>
      </c>
      <c r="M3233" s="12"/>
      <c r="N3233" s="12">
        <f>934.94/4</f>
        <v>233.73500000000001</v>
      </c>
      <c r="O3233" s="24">
        <f>(Tabla1[[#This Row],[COSTO FIJO ]]/30)*Tabla1[[#This Row],[TOTAL DIAS PROYECTO]]+(Tabla1[[#This Row],[COSTO TEMPORAL]])</f>
        <v>31.164666666666669</v>
      </c>
      <c r="P3233" s="12"/>
      <c r="Q3233" s="12">
        <f>+(Tabla1[[#This Row],[COSTO COCHE]]/30)*Tabla1[[#This Row],[TOTAL DIAS PROYECTO]]</f>
        <v>0</v>
      </c>
      <c r="R3233" s="12">
        <f>+Tabla1[[#This Row],[COSTO TOTAL ALOJAMIENTO]]+Tabla1[[#This Row],[COSTO TOTAL COCHE]]</f>
        <v>31.164666666666669</v>
      </c>
      <c r="S3233" s="2" t="s">
        <v>84</v>
      </c>
      <c r="T3233" s="14" t="s">
        <v>44</v>
      </c>
      <c r="U3233" s="14">
        <v>45884</v>
      </c>
      <c r="V3233" s="25">
        <v>45888</v>
      </c>
      <c r="W3233" s="12"/>
      <c r="X3233" s="2"/>
      <c r="Y3233" s="11"/>
      <c r="Z3233" s="2" t="s">
        <v>36</v>
      </c>
      <c r="AA3233" s="13" t="e">
        <v>#N/A</v>
      </c>
      <c r="AB3233" s="13" t="e">
        <v>#N/A</v>
      </c>
    </row>
    <row r="3234" spans="1:28" ht="15" customHeight="1">
      <c r="A3234" s="2" t="s">
        <v>8691</v>
      </c>
      <c r="B3234" s="2" t="s">
        <v>28</v>
      </c>
      <c r="C3234" s="11" t="s">
        <v>307</v>
      </c>
      <c r="D3234" s="2" t="s">
        <v>99</v>
      </c>
      <c r="E3234" s="2" t="s">
        <v>626</v>
      </c>
      <c r="F3234" s="11" t="s">
        <v>4730</v>
      </c>
      <c r="G3234" s="30" t="s">
        <v>2377</v>
      </c>
      <c r="H3234" s="2" t="s">
        <v>4731</v>
      </c>
      <c r="I3234" s="12" t="s">
        <v>570</v>
      </c>
      <c r="J3234" s="22">
        <f>+Tabla1[[#This Row],[FECHA ENTRADA]]</f>
        <v>45860</v>
      </c>
      <c r="K3234" s="22">
        <v>45888</v>
      </c>
      <c r="L3234" s="23">
        <f>_xlfn.DAYS(Tabla1[[#This Row],[FECHA FIN ]],Tabla1[[#This Row],[FECHA INICIO]])</f>
        <v>28</v>
      </c>
      <c r="M3234" s="12"/>
      <c r="N3234" s="12"/>
      <c r="O3234" s="24">
        <f>(Tabla1[[#This Row],[COSTO FIJO ]]/30)*Tabla1[[#This Row],[TOTAL DIAS PROYECTO]]+(Tabla1[[#This Row],[COSTO TEMPORAL]])</f>
        <v>0</v>
      </c>
      <c r="P3234" s="12"/>
      <c r="Q3234" s="12">
        <f>+(Tabla1[[#This Row],[COSTO COCHE]]/30)*Tabla1[[#This Row],[TOTAL DIAS PROYECTO]]</f>
        <v>0</v>
      </c>
      <c r="R3234" s="12">
        <f>+Tabla1[[#This Row],[COSTO TOTAL ALOJAMIENTO]]+Tabla1[[#This Row],[COSTO TOTAL COCHE]]</f>
        <v>0</v>
      </c>
      <c r="S3234" s="2"/>
      <c r="T3234" s="14" t="s">
        <v>44</v>
      </c>
      <c r="U3234" s="14">
        <v>45860</v>
      </c>
      <c r="V3234" s="79">
        <v>45895</v>
      </c>
      <c r="W3234" s="12"/>
      <c r="X3234" s="2"/>
      <c r="Y3234" s="11" t="s">
        <v>1361</v>
      </c>
      <c r="Z3234" s="2" t="s">
        <v>36</v>
      </c>
      <c r="AA3234" s="13" t="s">
        <v>10385</v>
      </c>
      <c r="AB3234" s="13" t="s">
        <v>10386</v>
      </c>
    </row>
    <row r="3235" spans="1:28" ht="15" customHeight="1">
      <c r="A3235" s="2" t="s">
        <v>9812</v>
      </c>
      <c r="B3235" s="2" t="s">
        <v>28</v>
      </c>
      <c r="C3235" s="11" t="s">
        <v>4866</v>
      </c>
      <c r="D3235" s="2" t="s">
        <v>99</v>
      </c>
      <c r="E3235" s="2" t="s">
        <v>626</v>
      </c>
      <c r="F3235" s="11" t="s">
        <v>4730</v>
      </c>
      <c r="G3235" s="30" t="s">
        <v>2377</v>
      </c>
      <c r="H3235" s="2" t="s">
        <v>4731</v>
      </c>
      <c r="I3235" s="12" t="s">
        <v>570</v>
      </c>
      <c r="J3235" s="22">
        <f>+Tabla1[[#This Row],[FECHA ENTRADA]]</f>
        <v>45860</v>
      </c>
      <c r="K3235" s="22">
        <v>45888</v>
      </c>
      <c r="L3235" s="23">
        <f>_xlfn.DAYS(Tabla1[[#This Row],[FECHA FIN ]],Tabla1[[#This Row],[FECHA INICIO]])</f>
        <v>28</v>
      </c>
      <c r="M3235" s="12"/>
      <c r="N3235" s="12"/>
      <c r="O3235" s="24">
        <f>(Tabla1[[#This Row],[COSTO FIJO ]]/30)*Tabla1[[#This Row],[TOTAL DIAS PROYECTO]]+(Tabla1[[#This Row],[COSTO TEMPORAL]])</f>
        <v>0</v>
      </c>
      <c r="P3235" s="12"/>
      <c r="Q3235" s="12">
        <f>+(Tabla1[[#This Row],[COSTO COCHE]]/30)*Tabla1[[#This Row],[TOTAL DIAS PROYECTO]]</f>
        <v>0</v>
      </c>
      <c r="R3235" s="12">
        <f>+Tabla1[[#This Row],[COSTO TOTAL ALOJAMIENTO]]+Tabla1[[#This Row],[COSTO TOTAL COCHE]]</f>
        <v>0</v>
      </c>
      <c r="S3235" s="2"/>
      <c r="T3235" s="14" t="s">
        <v>44</v>
      </c>
      <c r="U3235" s="14">
        <v>45860</v>
      </c>
      <c r="V3235" s="79">
        <v>45895</v>
      </c>
      <c r="W3235" s="12"/>
      <c r="X3235" s="2"/>
      <c r="Y3235" s="11" t="s">
        <v>1361</v>
      </c>
      <c r="Z3235" s="2" t="s">
        <v>36</v>
      </c>
      <c r="AA3235" s="13" t="s">
        <v>10385</v>
      </c>
      <c r="AB3235" s="13" t="s">
        <v>10386</v>
      </c>
    </row>
    <row r="3236" spans="1:28" ht="15" customHeight="1">
      <c r="A3236" s="2" t="s">
        <v>9453</v>
      </c>
      <c r="B3236" s="2" t="s">
        <v>28</v>
      </c>
      <c r="C3236" s="11" t="s">
        <v>3228</v>
      </c>
      <c r="D3236" s="2" t="s">
        <v>99</v>
      </c>
      <c r="E3236" s="2" t="s">
        <v>626</v>
      </c>
      <c r="F3236" s="11" t="s">
        <v>4730</v>
      </c>
      <c r="G3236" s="30" t="s">
        <v>2377</v>
      </c>
      <c r="H3236" s="2" t="s">
        <v>4731</v>
      </c>
      <c r="I3236" s="12" t="s">
        <v>570</v>
      </c>
      <c r="J3236" s="22">
        <f>+Tabla1[[#This Row],[FECHA ENTRADA]]</f>
        <v>45860</v>
      </c>
      <c r="K3236" s="22">
        <v>45888</v>
      </c>
      <c r="L3236" s="23">
        <f>_xlfn.DAYS(Tabla1[[#This Row],[FECHA FIN ]],Tabla1[[#This Row],[FECHA INICIO]])</f>
        <v>28</v>
      </c>
      <c r="M3236" s="12"/>
      <c r="N3236" s="12"/>
      <c r="O3236" s="24">
        <f>(Tabla1[[#This Row],[COSTO FIJO ]]/30)*Tabla1[[#This Row],[TOTAL DIAS PROYECTO]]+(Tabla1[[#This Row],[COSTO TEMPORAL]])</f>
        <v>0</v>
      </c>
      <c r="P3236" s="12"/>
      <c r="Q3236" s="12">
        <f>+(Tabla1[[#This Row],[COSTO COCHE]]/30)*Tabla1[[#This Row],[TOTAL DIAS PROYECTO]]</f>
        <v>0</v>
      </c>
      <c r="R3236" s="12">
        <f>+Tabla1[[#This Row],[COSTO TOTAL ALOJAMIENTO]]+Tabla1[[#This Row],[COSTO TOTAL COCHE]]</f>
        <v>0</v>
      </c>
      <c r="S3236" s="2"/>
      <c r="T3236" s="14" t="s">
        <v>44</v>
      </c>
      <c r="U3236" s="14">
        <v>45860</v>
      </c>
      <c r="V3236" s="79">
        <v>45895</v>
      </c>
      <c r="W3236" s="12"/>
      <c r="X3236" s="2"/>
      <c r="Y3236" s="11" t="s">
        <v>1361</v>
      </c>
      <c r="Z3236" s="2" t="s">
        <v>36</v>
      </c>
      <c r="AA3236" s="13" t="s">
        <v>10385</v>
      </c>
      <c r="AB3236" s="13" t="s">
        <v>10386</v>
      </c>
    </row>
    <row r="3237" spans="1:28" ht="15" customHeight="1">
      <c r="A3237" s="2" t="s">
        <v>9116</v>
      </c>
      <c r="B3237" s="2" t="s">
        <v>368</v>
      </c>
      <c r="C3237" s="11" t="s">
        <v>2065</v>
      </c>
      <c r="D3237" s="2" t="s">
        <v>30</v>
      </c>
      <c r="E3237" s="2" t="s">
        <v>213</v>
      </c>
      <c r="F3237" s="11" t="s">
        <v>557</v>
      </c>
      <c r="G3237" s="11" t="s">
        <v>558</v>
      </c>
      <c r="H3237" s="2" t="s">
        <v>4867</v>
      </c>
      <c r="I3237" s="12" t="s">
        <v>1043</v>
      </c>
      <c r="J3237" s="8">
        <f>+Tabla1[[#This Row],[FECHA ENTRADA]]</f>
        <v>45546</v>
      </c>
      <c r="K3237" s="22">
        <v>45888</v>
      </c>
      <c r="L3237" s="13">
        <f>_xlfn.DAYS(Tabla1[[#This Row],[FECHA FIN ]],Tabla1[[#This Row],[FECHA INICIO]])</f>
        <v>342</v>
      </c>
      <c r="M3237" s="12"/>
      <c r="N3237" s="12"/>
      <c r="O3237" s="12">
        <f>(Tabla1[[#This Row],[COSTO FIJO ]]/30)*Tabla1[[#This Row],[TOTAL DIAS PROYECTO]]+(Tabla1[[#This Row],[COSTO TEMPORAL]])</f>
        <v>0</v>
      </c>
      <c r="P3237" s="12"/>
      <c r="Q3237" s="12">
        <f>+(Tabla1[[#This Row],[COSTO COCHE]]/30)*Tabla1[[#This Row],[TOTAL DIAS PROYECTO]]</f>
        <v>0</v>
      </c>
      <c r="R3237" s="12">
        <f>+Tabla1[[#This Row],[COSTO TOTAL ALOJAMIENTO]]+Tabla1[[#This Row],[COSTO TOTAL COCHE]]</f>
        <v>0</v>
      </c>
      <c r="S3237" s="2"/>
      <c r="T3237" s="2" t="s">
        <v>35</v>
      </c>
      <c r="U3237" s="14">
        <v>45546</v>
      </c>
      <c r="V3237" s="14"/>
      <c r="W3237" s="26"/>
      <c r="X3237" s="2">
        <v>20</v>
      </c>
      <c r="Y3237" s="11" t="s">
        <v>4868</v>
      </c>
      <c r="Z3237" s="64" t="s">
        <v>36</v>
      </c>
      <c r="AA3237" s="13" t="s">
        <v>10349</v>
      </c>
      <c r="AB3237" s="13" t="s">
        <v>10350</v>
      </c>
    </row>
    <row r="3238" spans="1:28" ht="15" customHeight="1">
      <c r="A3238" s="2" t="s">
        <v>9437</v>
      </c>
      <c r="B3238" s="2" t="s">
        <v>711</v>
      </c>
      <c r="C3238" s="11" t="s">
        <v>3176</v>
      </c>
      <c r="D3238" s="2" t="s">
        <v>99</v>
      </c>
      <c r="E3238" s="2" t="s">
        <v>790</v>
      </c>
      <c r="F3238" s="11" t="s">
        <v>1106</v>
      </c>
      <c r="G3238" s="46"/>
      <c r="H3238" s="2" t="s">
        <v>4869</v>
      </c>
      <c r="I3238" s="12" t="s">
        <v>506</v>
      </c>
      <c r="J3238" s="41">
        <f>+Tabla1[[#This Row],[FECHA ENTRADA]]</f>
        <v>45872</v>
      </c>
      <c r="K3238" s="41">
        <v>45888</v>
      </c>
      <c r="L3238" s="42">
        <f>_xlfn.DAYS(Tabla1[[#This Row],[FECHA FIN ]],Tabla1[[#This Row],[FECHA INICIO]])</f>
        <v>16</v>
      </c>
      <c r="M3238" s="12"/>
      <c r="N3238" s="28"/>
      <c r="O3238" s="28">
        <f>(Tabla1[[#This Row],[COSTO FIJO ]]/30)*Tabla1[[#This Row],[TOTAL DIAS PROYECTO]]+(Tabla1[[#This Row],[COSTO TEMPORAL]])</f>
        <v>0</v>
      </c>
      <c r="P3238" s="12"/>
      <c r="Q3238" s="12">
        <f>+(Tabla1[[#This Row],[COSTO COCHE]]/30)*Tabla1[[#This Row],[TOTAL DIAS PROYECTO]]</f>
        <v>0</v>
      </c>
      <c r="R3238" s="12">
        <f>+Tabla1[[#This Row],[COSTO TOTAL ALOJAMIENTO]]+Tabla1[[#This Row],[COSTO TOTAL COCHE]]</f>
        <v>0</v>
      </c>
      <c r="S3238" s="2"/>
      <c r="T3238" s="2" t="s">
        <v>8</v>
      </c>
      <c r="U3238" s="14">
        <v>45872</v>
      </c>
      <c r="V3238" s="43"/>
      <c r="W3238" s="12"/>
      <c r="X3238" s="2"/>
      <c r="Y3238" s="67" t="s">
        <v>4870</v>
      </c>
      <c r="Z3238" s="2" t="s">
        <v>36</v>
      </c>
      <c r="AA3238" s="13">
        <v>-574377</v>
      </c>
      <c r="AB3238" s="13">
        <v>4150368</v>
      </c>
    </row>
    <row r="3239" spans="1:28" ht="15" customHeight="1">
      <c r="A3239" s="2" t="s">
        <v>9274</v>
      </c>
      <c r="B3239" s="2" t="s">
        <v>711</v>
      </c>
      <c r="C3239" s="11" t="s">
        <v>2676</v>
      </c>
      <c r="D3239" s="2" t="s">
        <v>99</v>
      </c>
      <c r="E3239" s="2" t="s">
        <v>790</v>
      </c>
      <c r="F3239" s="11" t="s">
        <v>1106</v>
      </c>
      <c r="G3239" s="46"/>
      <c r="H3239" s="2" t="s">
        <v>4869</v>
      </c>
      <c r="I3239" s="12" t="s">
        <v>506</v>
      </c>
      <c r="J3239" s="41">
        <f>+Tabla1[[#This Row],[FECHA ENTRADA]]</f>
        <v>45872</v>
      </c>
      <c r="K3239" s="41">
        <v>45888</v>
      </c>
      <c r="L3239" s="42">
        <f>_xlfn.DAYS(Tabla1[[#This Row],[FECHA FIN ]],Tabla1[[#This Row],[FECHA INICIO]])</f>
        <v>16</v>
      </c>
      <c r="M3239" s="12"/>
      <c r="N3239" s="28"/>
      <c r="O3239" s="28">
        <f>(Tabla1[[#This Row],[COSTO FIJO ]]/30)*Tabla1[[#This Row],[TOTAL DIAS PROYECTO]]+(Tabla1[[#This Row],[COSTO TEMPORAL]])</f>
        <v>0</v>
      </c>
      <c r="P3239" s="12"/>
      <c r="Q3239" s="12">
        <f>+(Tabla1[[#This Row],[COSTO COCHE]]/30)*Tabla1[[#This Row],[TOTAL DIAS PROYECTO]]</f>
        <v>0</v>
      </c>
      <c r="R3239" s="12">
        <f>+Tabla1[[#This Row],[COSTO TOTAL ALOJAMIENTO]]+Tabla1[[#This Row],[COSTO TOTAL COCHE]]</f>
        <v>0</v>
      </c>
      <c r="S3239" s="2"/>
      <c r="T3239" s="2" t="s">
        <v>8</v>
      </c>
      <c r="U3239" s="14">
        <v>45872</v>
      </c>
      <c r="V3239" s="43"/>
      <c r="W3239" s="12"/>
      <c r="X3239" s="2"/>
      <c r="Y3239" s="67" t="s">
        <v>4870</v>
      </c>
      <c r="Z3239" s="2" t="s">
        <v>36</v>
      </c>
      <c r="AA3239" s="13">
        <v>-574377</v>
      </c>
      <c r="AB3239" s="13">
        <v>4150368</v>
      </c>
    </row>
    <row r="3240" spans="1:28" ht="15" customHeight="1">
      <c r="A3240" s="2" t="s">
        <v>8848</v>
      </c>
      <c r="B3240" s="2" t="s">
        <v>711</v>
      </c>
      <c r="C3240" s="11" t="s">
        <v>1003</v>
      </c>
      <c r="D3240" s="2" t="s">
        <v>99</v>
      </c>
      <c r="E3240" s="2" t="s">
        <v>790</v>
      </c>
      <c r="F3240" s="11" t="s">
        <v>1106</v>
      </c>
      <c r="G3240" s="46"/>
      <c r="H3240" s="2" t="s">
        <v>4871</v>
      </c>
      <c r="I3240" s="12" t="s">
        <v>506</v>
      </c>
      <c r="J3240" s="41">
        <f>+Tabla1[[#This Row],[FECHA ENTRADA]]</f>
        <v>45872</v>
      </c>
      <c r="K3240" s="41">
        <v>45888</v>
      </c>
      <c r="L3240" s="42">
        <f>_xlfn.DAYS(Tabla1[[#This Row],[FECHA FIN ]],Tabla1[[#This Row],[FECHA INICIO]])</f>
        <v>16</v>
      </c>
      <c r="M3240" s="12"/>
      <c r="N3240" s="28"/>
      <c r="O3240" s="28">
        <f>(Tabla1[[#This Row],[COSTO FIJO ]]/30)*Tabla1[[#This Row],[TOTAL DIAS PROYECTO]]+(Tabla1[[#This Row],[COSTO TEMPORAL]])</f>
        <v>0</v>
      </c>
      <c r="P3240" s="12"/>
      <c r="Q3240" s="12">
        <f>+(Tabla1[[#This Row],[COSTO COCHE]]/30)*Tabla1[[#This Row],[TOTAL DIAS PROYECTO]]</f>
        <v>0</v>
      </c>
      <c r="R3240" s="12">
        <f>+Tabla1[[#This Row],[COSTO TOTAL ALOJAMIENTO]]+Tabla1[[#This Row],[COSTO TOTAL COCHE]]</f>
        <v>0</v>
      </c>
      <c r="S3240" s="2"/>
      <c r="T3240" s="2" t="s">
        <v>8</v>
      </c>
      <c r="U3240" s="14">
        <v>45872</v>
      </c>
      <c r="V3240" s="43"/>
      <c r="W3240" s="12"/>
      <c r="X3240" s="2"/>
      <c r="Y3240" s="67" t="s">
        <v>4870</v>
      </c>
      <c r="Z3240" s="2" t="s">
        <v>36</v>
      </c>
      <c r="AA3240" s="13">
        <v>-574377</v>
      </c>
      <c r="AB3240" s="13">
        <v>4150368</v>
      </c>
    </row>
    <row r="3241" spans="1:28" ht="15" customHeight="1">
      <c r="A3241" s="2" t="s">
        <v>9723</v>
      </c>
      <c r="B3241" s="2" t="s">
        <v>978</v>
      </c>
      <c r="C3241" s="11" t="s">
        <v>4409</v>
      </c>
      <c r="D3241" s="2" t="s">
        <v>99</v>
      </c>
      <c r="E3241" s="2" t="s">
        <v>31</v>
      </c>
      <c r="F3241" s="11" t="s">
        <v>758</v>
      </c>
      <c r="G3241" s="11" t="s">
        <v>759</v>
      </c>
      <c r="H3241" s="2" t="s">
        <v>4410</v>
      </c>
      <c r="I3241" s="12" t="s">
        <v>1540</v>
      </c>
      <c r="J3241" s="22">
        <f>+Tabla1[[#This Row],[FECHA ENTRADA]]</f>
        <v>45865</v>
      </c>
      <c r="K3241" s="22">
        <v>45889</v>
      </c>
      <c r="L3241" s="23">
        <f>_xlfn.DAYS(Tabla1[[#This Row],[FECHA FIN ]],Tabla1[[#This Row],[FECHA INICIO]])</f>
        <v>24</v>
      </c>
      <c r="M3241" s="12"/>
      <c r="N3241" s="20">
        <v>141.66999999999999</v>
      </c>
      <c r="O3241" s="24">
        <f>(Tabla1[[#This Row],[COSTO FIJO ]]/30)*Tabla1[[#This Row],[TOTAL DIAS PROYECTO]]+(Tabla1[[#This Row],[COSTO TEMPORAL]])</f>
        <v>113.336</v>
      </c>
      <c r="P3241" s="12"/>
      <c r="Q3241" s="12">
        <f>+(Tabla1[[#This Row],[COSTO COCHE]]/30)*Tabla1[[#This Row],[TOTAL DIAS PROYECTO]]</f>
        <v>0</v>
      </c>
      <c r="R3241" s="12">
        <f>+Tabla1[[#This Row],[COSTO TOTAL ALOJAMIENTO]]+Tabla1[[#This Row],[COSTO TOTAL COCHE]]</f>
        <v>113.336</v>
      </c>
      <c r="S3241" s="2"/>
      <c r="T3241" s="14" t="s">
        <v>35</v>
      </c>
      <c r="U3241" s="14">
        <v>45865</v>
      </c>
      <c r="V3241" s="25"/>
      <c r="W3241" s="12"/>
      <c r="X3241" s="2">
        <v>1</v>
      </c>
      <c r="Y3241" s="11" t="s">
        <v>1361</v>
      </c>
      <c r="Z3241" s="2" t="s">
        <v>36</v>
      </c>
      <c r="AA3241" s="13" t="s">
        <v>10323</v>
      </c>
      <c r="AB3241" s="13" t="s">
        <v>10324</v>
      </c>
    </row>
    <row r="3242" spans="1:28">
      <c r="A3242" s="2" t="s">
        <v>9550</v>
      </c>
      <c r="B3242" s="2" t="s">
        <v>978</v>
      </c>
      <c r="C3242" s="11" t="s">
        <v>3596</v>
      </c>
      <c r="D3242" s="2" t="s">
        <v>99</v>
      </c>
      <c r="E3242" s="2" t="s">
        <v>31</v>
      </c>
      <c r="F3242" s="11" t="s">
        <v>758</v>
      </c>
      <c r="G3242" s="11" t="s">
        <v>759</v>
      </c>
      <c r="H3242" s="2" t="s">
        <v>4410</v>
      </c>
      <c r="I3242" s="12" t="s">
        <v>1540</v>
      </c>
      <c r="J3242" s="22">
        <f>+Tabla1[[#This Row],[FECHA ENTRADA]]</f>
        <v>45865</v>
      </c>
      <c r="K3242" s="22">
        <v>45889</v>
      </c>
      <c r="L3242" s="23">
        <f>_xlfn.DAYS(Tabla1[[#This Row],[FECHA FIN ]],Tabla1[[#This Row],[FECHA INICIO]])</f>
        <v>24</v>
      </c>
      <c r="M3242" s="12"/>
      <c r="N3242" s="20">
        <v>141.66999999999999</v>
      </c>
      <c r="O3242" s="24">
        <f>(Tabla1[[#This Row],[COSTO FIJO ]]/30)*Tabla1[[#This Row],[TOTAL DIAS PROYECTO]]+(Tabla1[[#This Row],[COSTO TEMPORAL]])</f>
        <v>113.336</v>
      </c>
      <c r="P3242" s="12"/>
      <c r="Q3242" s="12">
        <f>+(Tabla1[[#This Row],[COSTO COCHE]]/30)*Tabla1[[#This Row],[TOTAL DIAS PROYECTO]]</f>
        <v>0</v>
      </c>
      <c r="R3242" s="12">
        <f>+Tabla1[[#This Row],[COSTO TOTAL ALOJAMIENTO]]+Tabla1[[#This Row],[COSTO TOTAL COCHE]]</f>
        <v>113.336</v>
      </c>
      <c r="S3242" s="2"/>
      <c r="T3242" s="14" t="s">
        <v>35</v>
      </c>
      <c r="U3242" s="14">
        <v>45865</v>
      </c>
      <c r="V3242" s="25"/>
      <c r="W3242" s="12"/>
      <c r="X3242" s="2">
        <v>1</v>
      </c>
      <c r="Y3242" s="11" t="s">
        <v>1361</v>
      </c>
      <c r="Z3242" s="2" t="s">
        <v>36</v>
      </c>
      <c r="AA3242" s="13" t="s">
        <v>10323</v>
      </c>
      <c r="AB3242" s="13" t="s">
        <v>10324</v>
      </c>
    </row>
    <row r="3243" spans="1:28" ht="15" customHeight="1">
      <c r="A3243" s="2" t="s">
        <v>9246</v>
      </c>
      <c r="B3243" s="2" t="s">
        <v>28</v>
      </c>
      <c r="C3243" s="11" t="s">
        <v>2578</v>
      </c>
      <c r="D3243" s="2" t="s">
        <v>749</v>
      </c>
      <c r="E3243" s="2" t="s">
        <v>288</v>
      </c>
      <c r="F3243" s="11" t="s">
        <v>4751</v>
      </c>
      <c r="G3243" s="21" t="s">
        <v>4752</v>
      </c>
      <c r="H3243" s="2" t="s">
        <v>4753</v>
      </c>
      <c r="I3243" s="10" t="s">
        <v>753</v>
      </c>
      <c r="J3243" s="22">
        <f>+Tabla1[[#This Row],[FECHA ENTRADA]]</f>
        <v>45816</v>
      </c>
      <c r="K3243" s="8">
        <v>45889</v>
      </c>
      <c r="L3243" s="23">
        <f>_xlfn.DAYS(Tabla1[[#This Row],[FECHA FIN ]],Tabla1[[#This Row],[FECHA INICIO]])</f>
        <v>73</v>
      </c>
      <c r="M3243" s="12"/>
      <c r="N3243" s="12">
        <v>591.42857142857144</v>
      </c>
      <c r="O3243" s="24">
        <f>(Tabla1[[#This Row],[COSTO FIJO ]]/30)*Tabla1[[#This Row],[TOTAL DIAS PROYECTO]]+(Tabla1[[#This Row],[COSTO TEMPORAL]])</f>
        <v>1439.1428571428571</v>
      </c>
      <c r="P3243" s="12"/>
      <c r="Q3243" s="12">
        <f>+(Tabla1[[#This Row],[COSTO COCHE]]/30)*Tabla1[[#This Row],[TOTAL DIAS PROYECTO]]</f>
        <v>0</v>
      </c>
      <c r="R3243" s="12">
        <f>+Tabla1[[#This Row],[COSTO TOTAL ALOJAMIENTO]]+Tabla1[[#This Row],[COSTO TOTAL COCHE]]</f>
        <v>1439.1428571428571</v>
      </c>
      <c r="S3243" s="2"/>
      <c r="T3243" s="2" t="s">
        <v>44</v>
      </c>
      <c r="U3243" s="14">
        <v>45816</v>
      </c>
      <c r="V3243" s="79">
        <v>45889</v>
      </c>
      <c r="W3243" s="2"/>
      <c r="X3243" s="2"/>
      <c r="Y3243" s="11"/>
      <c r="Z3243" s="2" t="s">
        <v>36</v>
      </c>
      <c r="AA3243" s="13" t="s">
        <v>10362</v>
      </c>
      <c r="AB3243" s="13" t="s">
        <v>10363</v>
      </c>
    </row>
    <row r="3244" spans="1:28" ht="15" customHeight="1">
      <c r="A3244" s="2" t="s">
        <v>9813</v>
      </c>
      <c r="B3244" s="2" t="s">
        <v>28</v>
      </c>
      <c r="C3244" s="11" t="s">
        <v>4872</v>
      </c>
      <c r="D3244" s="2" t="s">
        <v>749</v>
      </c>
      <c r="E3244" s="2" t="s">
        <v>288</v>
      </c>
      <c r="F3244" s="11" t="s">
        <v>4751</v>
      </c>
      <c r="G3244" s="21" t="s">
        <v>4752</v>
      </c>
      <c r="H3244" s="2" t="s">
        <v>4753</v>
      </c>
      <c r="I3244" s="10" t="s">
        <v>753</v>
      </c>
      <c r="J3244" s="22">
        <f>+Tabla1[[#This Row],[FECHA ENTRADA]]</f>
        <v>45816</v>
      </c>
      <c r="K3244" s="8">
        <v>45889</v>
      </c>
      <c r="L3244" s="23">
        <f>_xlfn.DAYS(Tabla1[[#This Row],[FECHA FIN ]],Tabla1[[#This Row],[FECHA INICIO]])</f>
        <v>73</v>
      </c>
      <c r="M3244" s="12"/>
      <c r="N3244" s="12">
        <v>591.42857142857144</v>
      </c>
      <c r="O3244" s="24">
        <f>(Tabla1[[#This Row],[COSTO FIJO ]]/30)*Tabla1[[#This Row],[TOTAL DIAS PROYECTO]]+(Tabla1[[#This Row],[COSTO TEMPORAL]])</f>
        <v>1439.1428571428571</v>
      </c>
      <c r="P3244" s="12"/>
      <c r="Q3244" s="12">
        <f>+(Tabla1[[#This Row],[COSTO COCHE]]/30)*Tabla1[[#This Row],[TOTAL DIAS PROYECTO]]</f>
        <v>0</v>
      </c>
      <c r="R3244" s="12">
        <f>+Tabla1[[#This Row],[COSTO TOTAL ALOJAMIENTO]]+Tabla1[[#This Row],[COSTO TOTAL COCHE]]</f>
        <v>1439.1428571428571</v>
      </c>
      <c r="S3244" s="2"/>
      <c r="T3244" s="2" t="s">
        <v>44</v>
      </c>
      <c r="U3244" s="14">
        <v>45816</v>
      </c>
      <c r="V3244" s="79">
        <v>45889</v>
      </c>
      <c r="W3244" s="2"/>
      <c r="X3244" s="2"/>
      <c r="Y3244" s="11" t="s">
        <v>3465</v>
      </c>
      <c r="Z3244" s="2" t="s">
        <v>36</v>
      </c>
      <c r="AA3244" s="13" t="s">
        <v>10362</v>
      </c>
      <c r="AB3244" s="13" t="s">
        <v>10363</v>
      </c>
    </row>
    <row r="3245" spans="1:28" ht="15" customHeight="1">
      <c r="A3245" s="2" t="s">
        <v>9232</v>
      </c>
      <c r="B3245" s="2" t="s">
        <v>28</v>
      </c>
      <c r="C3245" s="11" t="s">
        <v>2523</v>
      </c>
      <c r="D3245" s="2" t="s">
        <v>749</v>
      </c>
      <c r="E3245" s="2" t="s">
        <v>288</v>
      </c>
      <c r="F3245" s="11" t="s">
        <v>4751</v>
      </c>
      <c r="G3245" s="21" t="s">
        <v>4752</v>
      </c>
      <c r="H3245" s="2" t="s">
        <v>4753</v>
      </c>
      <c r="I3245" s="10" t="s">
        <v>753</v>
      </c>
      <c r="J3245" s="22">
        <f>+Tabla1[[#This Row],[FECHA ENTRADA]]</f>
        <v>45816</v>
      </c>
      <c r="K3245" s="8">
        <v>45889</v>
      </c>
      <c r="L3245" s="23">
        <f>_xlfn.DAYS(Tabla1[[#This Row],[FECHA FIN ]],Tabla1[[#This Row],[FECHA INICIO]])</f>
        <v>73</v>
      </c>
      <c r="M3245" s="12"/>
      <c r="N3245" s="12">
        <v>591.42857142857144</v>
      </c>
      <c r="O3245" s="24">
        <f>(Tabla1[[#This Row],[COSTO FIJO ]]/30)*Tabla1[[#This Row],[TOTAL DIAS PROYECTO]]+(Tabla1[[#This Row],[COSTO TEMPORAL]])</f>
        <v>1439.1428571428571</v>
      </c>
      <c r="P3245" s="12"/>
      <c r="Q3245" s="12">
        <f>+(Tabla1[[#This Row],[COSTO COCHE]]/30)*Tabla1[[#This Row],[TOTAL DIAS PROYECTO]]</f>
        <v>0</v>
      </c>
      <c r="R3245" s="12">
        <f>+Tabla1[[#This Row],[COSTO TOTAL ALOJAMIENTO]]+Tabla1[[#This Row],[COSTO TOTAL COCHE]]</f>
        <v>1439.1428571428571</v>
      </c>
      <c r="S3245" s="2"/>
      <c r="T3245" s="2" t="s">
        <v>44</v>
      </c>
      <c r="U3245" s="14">
        <v>45816</v>
      </c>
      <c r="V3245" s="79">
        <v>45889</v>
      </c>
      <c r="W3245" s="2"/>
      <c r="X3245" s="2"/>
      <c r="Y3245" s="11"/>
      <c r="Z3245" s="2" t="s">
        <v>36</v>
      </c>
      <c r="AA3245" s="13" t="s">
        <v>10362</v>
      </c>
      <c r="AB3245" s="13" t="s">
        <v>10363</v>
      </c>
    </row>
    <row r="3246" spans="1:28" ht="15" customHeight="1">
      <c r="A3246" s="2" t="s">
        <v>9520</v>
      </c>
      <c r="B3246" s="2" t="s">
        <v>28</v>
      </c>
      <c r="C3246" s="11" t="s">
        <v>3519</v>
      </c>
      <c r="D3246" s="2" t="s">
        <v>749</v>
      </c>
      <c r="E3246" s="2" t="s">
        <v>288</v>
      </c>
      <c r="F3246" s="11" t="s">
        <v>4751</v>
      </c>
      <c r="G3246" s="21" t="s">
        <v>4752</v>
      </c>
      <c r="H3246" s="2" t="s">
        <v>4753</v>
      </c>
      <c r="I3246" s="10" t="s">
        <v>753</v>
      </c>
      <c r="J3246" s="22">
        <f>+Tabla1[[#This Row],[FECHA ENTRADA]]</f>
        <v>45816</v>
      </c>
      <c r="K3246" s="8">
        <v>45889</v>
      </c>
      <c r="L3246" s="23">
        <f>_xlfn.DAYS(Tabla1[[#This Row],[FECHA FIN ]],Tabla1[[#This Row],[FECHA INICIO]])</f>
        <v>73</v>
      </c>
      <c r="M3246" s="12"/>
      <c r="N3246" s="12">
        <v>591.42857142857144</v>
      </c>
      <c r="O3246" s="24">
        <f>(Tabla1[[#This Row],[COSTO FIJO ]]/30)*Tabla1[[#This Row],[TOTAL DIAS PROYECTO]]+(Tabla1[[#This Row],[COSTO TEMPORAL]])</f>
        <v>1439.1428571428571</v>
      </c>
      <c r="P3246" s="12"/>
      <c r="Q3246" s="12">
        <f>+(Tabla1[[#This Row],[COSTO COCHE]]/30)*Tabla1[[#This Row],[TOTAL DIAS PROYECTO]]</f>
        <v>0</v>
      </c>
      <c r="R3246" s="12">
        <f>+Tabla1[[#This Row],[COSTO TOTAL ALOJAMIENTO]]+Tabla1[[#This Row],[COSTO TOTAL COCHE]]</f>
        <v>1439.1428571428571</v>
      </c>
      <c r="S3246" s="2"/>
      <c r="T3246" s="2" t="s">
        <v>44</v>
      </c>
      <c r="U3246" s="14">
        <v>45816</v>
      </c>
      <c r="V3246" s="79">
        <v>45889</v>
      </c>
      <c r="W3246" s="2"/>
      <c r="X3246" s="2"/>
      <c r="Y3246" s="11"/>
      <c r="Z3246" s="2" t="s">
        <v>36</v>
      </c>
      <c r="AA3246" s="13" t="s">
        <v>10362</v>
      </c>
      <c r="AB3246" s="13" t="s">
        <v>10363</v>
      </c>
    </row>
    <row r="3247" spans="1:28" ht="15" customHeight="1">
      <c r="A3247" s="2" t="s">
        <v>9776</v>
      </c>
      <c r="B3247" s="2" t="s">
        <v>28</v>
      </c>
      <c r="C3247" s="252" t="s">
        <v>4684</v>
      </c>
      <c r="D3247" s="2" t="s">
        <v>749</v>
      </c>
      <c r="E3247" s="2" t="s">
        <v>288</v>
      </c>
      <c r="F3247" s="11" t="s">
        <v>4873</v>
      </c>
      <c r="G3247" s="21" t="s">
        <v>4752</v>
      </c>
      <c r="H3247" s="2" t="s">
        <v>4753</v>
      </c>
      <c r="I3247" s="29" t="s">
        <v>753</v>
      </c>
      <c r="J3247" s="22">
        <f>+Tabla1[[#This Row],[FECHA ENTRADA]]</f>
        <v>45816</v>
      </c>
      <c r="K3247" s="22">
        <v>46022</v>
      </c>
      <c r="L3247" s="23">
        <f>_xlfn.DAYS(Tabla1[[#This Row],[FECHA FIN ]],Tabla1[[#This Row],[FECHA INICIO]])</f>
        <v>206</v>
      </c>
      <c r="M3247" s="12">
        <v>500</v>
      </c>
      <c r="N3247" s="20"/>
      <c r="O3247" s="24">
        <f>(Tabla1[[#This Row],[COSTO FIJO ]]/30)*Tabla1[[#This Row],[TOTAL DIAS PROYECTO]]+(Tabla1[[#This Row],[COSTO TEMPORAL]])</f>
        <v>500</v>
      </c>
      <c r="P3247" s="12"/>
      <c r="Q3247" s="12">
        <f>+(Tabla1[[#This Row],[COSTO COCHE]]/30)*Tabla1[[#This Row],[TOTAL DIAS PROYECTO]]</f>
        <v>0</v>
      </c>
      <c r="R3247" s="12">
        <f>+Tabla1[[#This Row],[COSTO TOTAL ALOJAMIENTO]]+Tabla1[[#This Row],[COSTO TOTAL COCHE]]</f>
        <v>500</v>
      </c>
      <c r="S3247" s="2"/>
      <c r="T3247" s="2" t="s">
        <v>44</v>
      </c>
      <c r="U3247" s="14">
        <v>45816</v>
      </c>
      <c r="V3247" s="25">
        <v>46023</v>
      </c>
      <c r="W3247" s="2"/>
      <c r="X3247" s="2"/>
      <c r="Y3247" s="11" t="s">
        <v>4874</v>
      </c>
      <c r="Z3247" s="2" t="s">
        <v>36</v>
      </c>
      <c r="AA3247" s="13" t="s">
        <v>10362</v>
      </c>
      <c r="AB3247" s="13" t="s">
        <v>10363</v>
      </c>
    </row>
    <row r="3248" spans="1:28" ht="15" customHeight="1">
      <c r="A3248" s="2" t="s">
        <v>9814</v>
      </c>
      <c r="B3248" s="2" t="s">
        <v>28</v>
      </c>
      <c r="C3248" s="11" t="s">
        <v>4875</v>
      </c>
      <c r="D3248" s="2" t="s">
        <v>749</v>
      </c>
      <c r="E3248" s="2" t="s">
        <v>288</v>
      </c>
      <c r="F3248" s="11" t="s">
        <v>3464</v>
      </c>
      <c r="G3248" s="30" t="s">
        <v>1142</v>
      </c>
      <c r="H3248" s="2" t="s">
        <v>4876</v>
      </c>
      <c r="I3248" s="10" t="s">
        <v>753</v>
      </c>
      <c r="J3248" s="41">
        <f>+Tabla1[[#This Row],[FECHA ENTRADA]]</f>
        <v>45759</v>
      </c>
      <c r="K3248" s="22">
        <v>45821</v>
      </c>
      <c r="L3248" s="13">
        <f>_xlfn.DAYS(Tabla1[[#This Row],[FECHA FIN ]],Tabla1[[#This Row],[FECHA INICIO]])</f>
        <v>62</v>
      </c>
      <c r="M3248" s="12"/>
      <c r="N3248" s="12"/>
      <c r="O3248" s="28">
        <f>(Tabla1[[#This Row],[COSTO FIJO ]]/30)*Tabla1[[#This Row],[TOTAL DIAS PROYECTO]]+(Tabla1[[#This Row],[COSTO TEMPORAL]])</f>
        <v>0</v>
      </c>
      <c r="P3248" s="12"/>
      <c r="Q3248" s="12">
        <f>+(Tabla1[[#This Row],[COSTO COCHE]]/30)*Tabla1[[#This Row],[TOTAL DIAS PROYECTO]]</f>
        <v>0</v>
      </c>
      <c r="R3248" s="12">
        <f>+Tabla1[[#This Row],[COSTO TOTAL ALOJAMIENTO]]+Tabla1[[#This Row],[COSTO TOTAL COCHE]]</f>
        <v>0</v>
      </c>
      <c r="S3248" s="2"/>
      <c r="T3248" s="14" t="s">
        <v>35</v>
      </c>
      <c r="U3248" s="14">
        <v>45759</v>
      </c>
      <c r="V3248" s="75"/>
      <c r="W3248" s="2"/>
      <c r="X3248" s="2">
        <v>2</v>
      </c>
      <c r="Y3248" s="11"/>
      <c r="Z3248" s="2" t="s">
        <v>36</v>
      </c>
      <c r="AA3248" s="13" t="s">
        <v>10362</v>
      </c>
      <c r="AB3248" s="13" t="s">
        <v>10363</v>
      </c>
    </row>
    <row r="3249" spans="1:28" ht="15" customHeight="1">
      <c r="A3249" s="2" t="s">
        <v>9371</v>
      </c>
      <c r="B3249" s="2" t="s">
        <v>28</v>
      </c>
      <c r="C3249" s="11" t="s">
        <v>2966</v>
      </c>
      <c r="D3249" s="2" t="s">
        <v>749</v>
      </c>
      <c r="E3249" s="2" t="s">
        <v>288</v>
      </c>
      <c r="F3249" s="11" t="s">
        <v>3464</v>
      </c>
      <c r="G3249" s="46" t="s">
        <v>1142</v>
      </c>
      <c r="H3249" s="2" t="s">
        <v>4877</v>
      </c>
      <c r="I3249" s="12" t="s">
        <v>753</v>
      </c>
      <c r="J3249" s="41">
        <f>+Tabla1[[#This Row],[FECHA ENTRADA]]</f>
        <v>45824</v>
      </c>
      <c r="K3249" s="41">
        <v>45834</v>
      </c>
      <c r="L3249" s="42">
        <f>_xlfn.DAYS(Tabla1[[#This Row],[FECHA FIN ]],Tabla1[[#This Row],[FECHA INICIO]])</f>
        <v>10</v>
      </c>
      <c r="M3249" s="12"/>
      <c r="N3249" s="12"/>
      <c r="O3249" s="28">
        <f>(Tabla1[[#This Row],[COSTO FIJO ]]/30)*Tabla1[[#This Row],[TOTAL DIAS PROYECTO]]+(Tabla1[[#This Row],[COSTO TEMPORAL]])</f>
        <v>0</v>
      </c>
      <c r="P3249" s="12"/>
      <c r="Q3249" s="12">
        <f>+(Tabla1[[#This Row],[COSTO COCHE]]/30)*Tabla1[[#This Row],[TOTAL DIAS PROYECTO]]</f>
        <v>0</v>
      </c>
      <c r="R3249" s="12">
        <f>+Tabla1[[#This Row],[COSTO TOTAL ALOJAMIENTO]]+Tabla1[[#This Row],[COSTO TOTAL COCHE]]</f>
        <v>0</v>
      </c>
      <c r="S3249" s="2"/>
      <c r="T3249" s="2" t="s">
        <v>35</v>
      </c>
      <c r="U3249" s="14">
        <v>45824</v>
      </c>
      <c r="V3249" s="43">
        <v>45825</v>
      </c>
      <c r="W3249" s="2"/>
      <c r="X3249" s="2">
        <v>2</v>
      </c>
      <c r="Y3249" s="11"/>
      <c r="Z3249" s="2" t="s">
        <v>36</v>
      </c>
      <c r="AA3249" s="13" t="s">
        <v>10362</v>
      </c>
      <c r="AB3249" s="13" t="s">
        <v>10363</v>
      </c>
    </row>
    <row r="3250" spans="1:28" ht="15" customHeight="1">
      <c r="A3250" s="2" t="s">
        <v>9815</v>
      </c>
      <c r="B3250" s="2" t="s">
        <v>978</v>
      </c>
      <c r="C3250" s="11" t="s">
        <v>4878</v>
      </c>
      <c r="D3250" s="2" t="s">
        <v>30</v>
      </c>
      <c r="E3250" s="2" t="s">
        <v>31</v>
      </c>
      <c r="F3250" s="11" t="s">
        <v>4879</v>
      </c>
      <c r="G3250" s="49" t="s">
        <v>4880</v>
      </c>
      <c r="H3250" s="2" t="s">
        <v>4881</v>
      </c>
      <c r="I3250" s="12" t="s">
        <v>2391</v>
      </c>
      <c r="J3250" s="22">
        <f>+Tabla1[[#This Row],[FECHA ENTRADA]]</f>
        <v>45880</v>
      </c>
      <c r="K3250" s="22">
        <v>45889</v>
      </c>
      <c r="L3250" s="23">
        <f>_xlfn.DAYS(Tabla1[[#This Row],[FECHA FIN ]],Tabla1[[#This Row],[FECHA INICIO]])</f>
        <v>9</v>
      </c>
      <c r="M3250" s="12"/>
      <c r="N3250" s="12"/>
      <c r="O3250" s="24">
        <f>(Tabla1[[#This Row],[COSTO FIJO ]]/30)*Tabla1[[#This Row],[TOTAL DIAS PROYECTO]]+(Tabla1[[#This Row],[COSTO TEMPORAL]])</f>
        <v>0</v>
      </c>
      <c r="P3250" s="12"/>
      <c r="Q3250" s="12">
        <f>+(Tabla1[[#This Row],[COSTO COCHE]]/30)*Tabla1[[#This Row],[TOTAL DIAS PROYECTO]]</f>
        <v>0</v>
      </c>
      <c r="R3250" s="12">
        <f>+Tabla1[[#This Row],[COSTO TOTAL ALOJAMIENTO]]+Tabla1[[#This Row],[COSTO TOTAL COCHE]]</f>
        <v>0</v>
      </c>
      <c r="S3250" s="2" t="s">
        <v>84</v>
      </c>
      <c r="T3250" s="14" t="s">
        <v>44</v>
      </c>
      <c r="U3250" s="14">
        <v>45880</v>
      </c>
      <c r="V3250" s="25">
        <v>45889</v>
      </c>
      <c r="W3250" s="12"/>
      <c r="X3250" s="2"/>
      <c r="Y3250" s="11" t="s">
        <v>1361</v>
      </c>
      <c r="Z3250" s="2" t="s">
        <v>36</v>
      </c>
      <c r="AA3250" s="13" t="s">
        <v>10323</v>
      </c>
      <c r="AB3250" s="13" t="s">
        <v>10324</v>
      </c>
    </row>
    <row r="3251" spans="1:28" ht="15" customHeight="1">
      <c r="A3251" s="2" t="s">
        <v>9816</v>
      </c>
      <c r="B3251" s="2" t="s">
        <v>978</v>
      </c>
      <c r="C3251" s="11" t="s">
        <v>4882</v>
      </c>
      <c r="D3251" s="2" t="s">
        <v>30</v>
      </c>
      <c r="E3251" s="2" t="s">
        <v>31</v>
      </c>
      <c r="F3251" s="11" t="s">
        <v>4879</v>
      </c>
      <c r="G3251" s="49" t="s">
        <v>4880</v>
      </c>
      <c r="H3251" s="2" t="s">
        <v>4881</v>
      </c>
      <c r="I3251" s="12" t="s">
        <v>2391</v>
      </c>
      <c r="J3251" s="22">
        <f>+Tabla1[[#This Row],[FECHA ENTRADA]]</f>
        <v>45880</v>
      </c>
      <c r="K3251" s="22">
        <v>45889</v>
      </c>
      <c r="L3251" s="23">
        <f>_xlfn.DAYS(Tabla1[[#This Row],[FECHA FIN ]],Tabla1[[#This Row],[FECHA INICIO]])</f>
        <v>9</v>
      </c>
      <c r="M3251" s="12"/>
      <c r="N3251" s="12"/>
      <c r="O3251" s="24">
        <f>(Tabla1[[#This Row],[COSTO FIJO ]]/30)*Tabla1[[#This Row],[TOTAL DIAS PROYECTO]]+(Tabla1[[#This Row],[COSTO TEMPORAL]])</f>
        <v>0</v>
      </c>
      <c r="P3251" s="12"/>
      <c r="Q3251" s="12">
        <f>+(Tabla1[[#This Row],[COSTO COCHE]]/30)*Tabla1[[#This Row],[TOTAL DIAS PROYECTO]]</f>
        <v>0</v>
      </c>
      <c r="R3251" s="12">
        <f>+Tabla1[[#This Row],[COSTO TOTAL ALOJAMIENTO]]+Tabla1[[#This Row],[COSTO TOTAL COCHE]]</f>
        <v>0</v>
      </c>
      <c r="S3251" s="2" t="s">
        <v>84</v>
      </c>
      <c r="T3251" s="14" t="s">
        <v>44</v>
      </c>
      <c r="U3251" s="14">
        <v>45880</v>
      </c>
      <c r="V3251" s="25">
        <v>45889</v>
      </c>
      <c r="W3251" s="12"/>
      <c r="X3251" s="2"/>
      <c r="Y3251" s="11" t="s">
        <v>1361</v>
      </c>
      <c r="Z3251" s="2" t="s">
        <v>36</v>
      </c>
      <c r="AA3251" s="13" t="s">
        <v>10323</v>
      </c>
      <c r="AB3251" s="13" t="s">
        <v>10324</v>
      </c>
    </row>
    <row r="3252" spans="1:28" ht="15" customHeight="1">
      <c r="A3252" s="2" t="s">
        <v>9817</v>
      </c>
      <c r="B3252" s="2" t="s">
        <v>978</v>
      </c>
      <c r="C3252" s="11" t="s">
        <v>4883</v>
      </c>
      <c r="D3252" s="2" t="s">
        <v>30</v>
      </c>
      <c r="E3252" s="2" t="s">
        <v>31</v>
      </c>
      <c r="F3252" s="11" t="s">
        <v>4879</v>
      </c>
      <c r="G3252" s="49" t="s">
        <v>4880</v>
      </c>
      <c r="H3252" s="2" t="s">
        <v>4881</v>
      </c>
      <c r="I3252" s="12" t="s">
        <v>2391</v>
      </c>
      <c r="J3252" s="22">
        <f>+Tabla1[[#This Row],[FECHA ENTRADA]]</f>
        <v>45880</v>
      </c>
      <c r="K3252" s="22">
        <v>45889</v>
      </c>
      <c r="L3252" s="23">
        <f>_xlfn.DAYS(Tabla1[[#This Row],[FECHA FIN ]],Tabla1[[#This Row],[FECHA INICIO]])</f>
        <v>9</v>
      </c>
      <c r="M3252" s="12"/>
      <c r="N3252" s="12"/>
      <c r="O3252" s="24">
        <f>(Tabla1[[#This Row],[COSTO FIJO ]]/30)*Tabla1[[#This Row],[TOTAL DIAS PROYECTO]]+(Tabla1[[#This Row],[COSTO TEMPORAL]])</f>
        <v>0</v>
      </c>
      <c r="P3252" s="12"/>
      <c r="Q3252" s="12">
        <f>+(Tabla1[[#This Row],[COSTO COCHE]]/30)*Tabla1[[#This Row],[TOTAL DIAS PROYECTO]]</f>
        <v>0</v>
      </c>
      <c r="R3252" s="12">
        <f>+Tabla1[[#This Row],[COSTO TOTAL ALOJAMIENTO]]+Tabla1[[#This Row],[COSTO TOTAL COCHE]]</f>
        <v>0</v>
      </c>
      <c r="S3252" s="2" t="s">
        <v>84</v>
      </c>
      <c r="T3252" s="14" t="s">
        <v>44</v>
      </c>
      <c r="U3252" s="14">
        <v>45880</v>
      </c>
      <c r="V3252" s="25">
        <v>45889</v>
      </c>
      <c r="W3252" s="12"/>
      <c r="X3252" s="2"/>
      <c r="Y3252" s="11" t="s">
        <v>1361</v>
      </c>
      <c r="Z3252" s="2" t="s">
        <v>36</v>
      </c>
      <c r="AA3252" s="13" t="s">
        <v>10323</v>
      </c>
      <c r="AB3252" s="13" t="s">
        <v>10324</v>
      </c>
    </row>
    <row r="3253" spans="1:28" ht="15" customHeight="1">
      <c r="A3253" s="2" t="s">
        <v>9818</v>
      </c>
      <c r="B3253" s="2" t="s">
        <v>28</v>
      </c>
      <c r="C3253" s="212" t="s">
        <v>4884</v>
      </c>
      <c r="D3253" s="2" t="s">
        <v>99</v>
      </c>
      <c r="E3253" s="2" t="s">
        <v>61</v>
      </c>
      <c r="F3253" s="11" t="s">
        <v>4885</v>
      </c>
      <c r="G3253" s="21" t="s">
        <v>4886</v>
      </c>
      <c r="H3253" s="2" t="s">
        <v>4887</v>
      </c>
      <c r="I3253" s="12" t="s">
        <v>118</v>
      </c>
      <c r="J3253" s="22">
        <f>+Tabla1[[#This Row],[FECHA ENTRADA]]</f>
        <v>45886</v>
      </c>
      <c r="K3253" s="22">
        <v>45889</v>
      </c>
      <c r="L3253" s="23">
        <f>_xlfn.DAYS(Tabla1[[#This Row],[FECHA FIN ]],Tabla1[[#This Row],[FECHA INICIO]])</f>
        <v>3</v>
      </c>
      <c r="M3253" s="12"/>
      <c r="N3253" s="20">
        <v>200</v>
      </c>
      <c r="O3253" s="24">
        <f>(Tabla1[[#This Row],[COSTO FIJO ]]/30)*Tabla1[[#This Row],[TOTAL DIAS PROYECTO]]+(Tabla1[[#This Row],[COSTO TEMPORAL]])</f>
        <v>20</v>
      </c>
      <c r="P3253" s="12"/>
      <c r="Q3253" s="12">
        <f>+(Tabla1[[#This Row],[COSTO COCHE]]/30)*Tabla1[[#This Row],[TOTAL DIAS PROYECTO]]</f>
        <v>0</v>
      </c>
      <c r="R3253" s="12">
        <f>+Tabla1[[#This Row],[COSTO TOTAL ALOJAMIENTO]]+Tabla1[[#This Row],[COSTO TOTAL COCHE]]</f>
        <v>20</v>
      </c>
      <c r="S3253" s="2"/>
      <c r="T3253" s="14" t="s">
        <v>35</v>
      </c>
      <c r="U3253" s="14">
        <v>45886</v>
      </c>
      <c r="V3253" s="79"/>
      <c r="W3253" s="12"/>
      <c r="X3253" s="2">
        <v>12</v>
      </c>
      <c r="Y3253" s="253" t="s">
        <v>4888</v>
      </c>
      <c r="Z3253" s="2" t="s">
        <v>36</v>
      </c>
      <c r="AA3253" s="13" t="s">
        <v>10329</v>
      </c>
      <c r="AB3253" s="13" t="s">
        <v>10330</v>
      </c>
    </row>
    <row r="3254" spans="1:28" ht="15" customHeight="1">
      <c r="A3254" s="2" t="s">
        <v>9806</v>
      </c>
      <c r="B3254" s="2" t="s">
        <v>711</v>
      </c>
      <c r="C3254" s="11" t="s">
        <v>4829</v>
      </c>
      <c r="D3254" s="2" t="s">
        <v>30</v>
      </c>
      <c r="E3254" s="2" t="s">
        <v>608</v>
      </c>
      <c r="F3254" s="11" t="s">
        <v>4823</v>
      </c>
      <c r="G3254" s="21">
        <v>947201640</v>
      </c>
      <c r="H3254" s="2" t="s">
        <v>4824</v>
      </c>
      <c r="I3254" s="12" t="s">
        <v>4825</v>
      </c>
      <c r="J3254" s="22">
        <f>+Tabla1[[#This Row],[FECHA ENTRADA]]</f>
        <v>45887</v>
      </c>
      <c r="K3254" s="22">
        <v>45889</v>
      </c>
      <c r="L3254" s="23">
        <f>_xlfn.DAYS(Tabla1[[#This Row],[FECHA FIN ]],Tabla1[[#This Row],[FECHA INICIO]])</f>
        <v>2</v>
      </c>
      <c r="M3254" s="12"/>
      <c r="N3254" s="12"/>
      <c r="O3254" s="24">
        <f>(Tabla1[[#This Row],[COSTO FIJO ]]/30)*Tabla1[[#This Row],[TOTAL DIAS PROYECTO]]+(Tabla1[[#This Row],[COSTO TEMPORAL]])</f>
        <v>0</v>
      </c>
      <c r="P3254" s="12"/>
      <c r="Q3254" s="12">
        <f>+(Tabla1[[#This Row],[COSTO COCHE]]/30)*Tabla1[[#This Row],[TOTAL DIAS PROYECTO]]</f>
        <v>0</v>
      </c>
      <c r="R3254" s="12">
        <f>+Tabla1[[#This Row],[COSTO TOTAL ALOJAMIENTO]]+Tabla1[[#This Row],[COSTO TOTAL COCHE]]</f>
        <v>0</v>
      </c>
      <c r="S3254" s="2"/>
      <c r="T3254" s="14" t="s">
        <v>44</v>
      </c>
      <c r="U3254" s="14">
        <v>45887</v>
      </c>
      <c r="V3254" s="79">
        <v>45891</v>
      </c>
      <c r="W3254" s="12"/>
      <c r="X3254" s="2"/>
      <c r="Y3254" s="11" t="s">
        <v>4889</v>
      </c>
      <c r="Z3254" s="2" t="s">
        <v>36</v>
      </c>
      <c r="AA3254" s="13" t="s">
        <v>10383</v>
      </c>
      <c r="AB3254" s="13" t="s">
        <v>10384</v>
      </c>
    </row>
    <row r="3255" spans="1:28" ht="15" customHeight="1">
      <c r="A3255" s="2" t="s">
        <v>9511</v>
      </c>
      <c r="B3255" s="2" t="s">
        <v>978</v>
      </c>
      <c r="C3255" s="11" t="s">
        <v>3481</v>
      </c>
      <c r="D3255" s="2" t="s">
        <v>78</v>
      </c>
      <c r="E3255" s="11" t="s">
        <v>4890</v>
      </c>
      <c r="F3255" s="11" t="s">
        <v>1106</v>
      </c>
      <c r="G3255" s="46"/>
      <c r="H3255" s="2" t="s">
        <v>4891</v>
      </c>
      <c r="I3255" s="12" t="s">
        <v>4892</v>
      </c>
      <c r="J3255" s="41">
        <f>+Tabla1[[#This Row],[FECHA ENTRADA]]</f>
        <v>45851</v>
      </c>
      <c r="K3255" s="41">
        <v>45889</v>
      </c>
      <c r="L3255" s="42">
        <f>_xlfn.DAYS(Tabla1[[#This Row],[FECHA FIN ]],Tabla1[[#This Row],[FECHA INICIO]])</f>
        <v>38</v>
      </c>
      <c r="M3255" s="12"/>
      <c r="N3255" s="28"/>
      <c r="O3255" s="28">
        <f>(Tabla1[[#This Row],[COSTO FIJO ]]/30)*Tabla1[[#This Row],[TOTAL DIAS PROYECTO]]+(Tabla1[[#This Row],[COSTO TEMPORAL]])</f>
        <v>0</v>
      </c>
      <c r="P3255" s="12"/>
      <c r="Q3255" s="12">
        <f>+(Tabla1[[#This Row],[COSTO COCHE]]/30)*Tabla1[[#This Row],[TOTAL DIAS PROYECTO]]</f>
        <v>0</v>
      </c>
      <c r="R3255" s="12">
        <f>+Tabla1[[#This Row],[COSTO TOTAL ALOJAMIENTO]]+Tabla1[[#This Row],[COSTO TOTAL COCHE]]</f>
        <v>0</v>
      </c>
      <c r="S3255" s="2"/>
      <c r="T3255" s="2" t="s">
        <v>8</v>
      </c>
      <c r="U3255" s="14">
        <v>45851</v>
      </c>
      <c r="V3255" s="43"/>
      <c r="W3255" s="12"/>
      <c r="X3255" s="2"/>
      <c r="Y3255" s="11" t="s">
        <v>4039</v>
      </c>
      <c r="Z3255" s="2" t="s">
        <v>36</v>
      </c>
      <c r="AA3255" s="13" t="e">
        <v>#N/A</v>
      </c>
      <c r="AB3255" s="13" t="e">
        <v>#N/A</v>
      </c>
    </row>
    <row r="3256" spans="1:28" ht="15" customHeight="1">
      <c r="A3256" s="2" t="s">
        <v>8948</v>
      </c>
      <c r="B3256" s="2" t="s">
        <v>28</v>
      </c>
      <c r="C3256" s="31" t="s">
        <v>1417</v>
      </c>
      <c r="D3256" s="2" t="s">
        <v>30</v>
      </c>
      <c r="E3256" s="2" t="s">
        <v>31</v>
      </c>
      <c r="F3256" s="11" t="s">
        <v>530</v>
      </c>
      <c r="G3256" s="49" t="s">
        <v>531</v>
      </c>
      <c r="H3256" s="2" t="s">
        <v>1468</v>
      </c>
      <c r="I3256" s="12" t="s">
        <v>34</v>
      </c>
      <c r="J3256" s="41">
        <f>+Tabla1[[#This Row],[FECHA ENTRADA]]</f>
        <v>45686</v>
      </c>
      <c r="K3256" s="8">
        <v>45890</v>
      </c>
      <c r="L3256" s="42">
        <f>_xlfn.DAYS(Tabla1[[#This Row],[FECHA FIN ]],Tabla1[[#This Row],[FECHA INICIO]])</f>
        <v>204</v>
      </c>
      <c r="M3256" s="12"/>
      <c r="N3256" s="12">
        <v>218.57142857142858</v>
      </c>
      <c r="O3256" s="28">
        <f>(Tabla1[[#This Row],[COSTO FIJO ]]/30)*Tabla1[[#This Row],[TOTAL DIAS PROYECTO]]+(Tabla1[[#This Row],[COSTO TEMPORAL]])</f>
        <v>1486.2857142857144</v>
      </c>
      <c r="P3256" s="12">
        <v>133.33333333333334</v>
      </c>
      <c r="Q3256" s="12">
        <f>+(Tabla1[[#This Row],[COSTO COCHE]]/30)*Tabla1[[#This Row],[TOTAL DIAS PROYECTO]]</f>
        <v>906.66666666666674</v>
      </c>
      <c r="R3256" s="12">
        <f>+Tabla1[[#This Row],[COSTO TOTAL ALOJAMIENTO]]+Tabla1[[#This Row],[COSTO TOTAL COCHE]]</f>
        <v>2392.9523809523812</v>
      </c>
      <c r="S3256" s="2"/>
      <c r="T3256" s="2" t="s">
        <v>35</v>
      </c>
      <c r="U3256" s="14">
        <v>45686</v>
      </c>
      <c r="V3256" s="43"/>
      <c r="W3256" s="26">
        <v>3000</v>
      </c>
      <c r="X3256" s="2">
        <v>1</v>
      </c>
      <c r="Y3256" s="11" t="s">
        <v>4893</v>
      </c>
      <c r="Z3256" s="2" t="s">
        <v>36</v>
      </c>
      <c r="AA3256" s="13" t="s">
        <v>10323</v>
      </c>
      <c r="AB3256" s="13" t="s">
        <v>10324</v>
      </c>
    </row>
    <row r="3257" spans="1:28" ht="15" customHeight="1">
      <c r="A3257" s="2" t="s">
        <v>9036</v>
      </c>
      <c r="B3257" s="2" t="s">
        <v>28</v>
      </c>
      <c r="C3257" s="11" t="s">
        <v>1765</v>
      </c>
      <c r="D3257" s="2" t="s">
        <v>99</v>
      </c>
      <c r="E3257" s="2" t="s">
        <v>259</v>
      </c>
      <c r="F3257" s="11" t="s">
        <v>4894</v>
      </c>
      <c r="G3257" s="46" t="s">
        <v>4207</v>
      </c>
      <c r="H3257" s="2" t="s">
        <v>3629</v>
      </c>
      <c r="I3257" s="12" t="s">
        <v>57</v>
      </c>
      <c r="J3257" s="41">
        <f>+Tabla1[[#This Row],[FECHA ENTRADA]]</f>
        <v>45829</v>
      </c>
      <c r="K3257" s="8">
        <v>45890</v>
      </c>
      <c r="L3257" s="42">
        <f>_xlfn.DAYS(Tabla1[[#This Row],[FECHA FIN ]],Tabla1[[#This Row],[FECHA INICIO]])</f>
        <v>61</v>
      </c>
      <c r="M3257" s="12"/>
      <c r="N3257" s="12"/>
      <c r="O3257" s="28">
        <f>(Tabla1[[#This Row],[COSTO FIJO ]]/30)*Tabla1[[#This Row],[TOTAL DIAS PROYECTO]]+(Tabla1[[#This Row],[COSTO TEMPORAL]])</f>
        <v>0</v>
      </c>
      <c r="P3257" s="12"/>
      <c r="Q3257" s="12">
        <f>+(Tabla1[[#This Row],[COSTO COCHE]]/30)*Tabla1[[#This Row],[TOTAL DIAS PROYECTO]]</f>
        <v>0</v>
      </c>
      <c r="R3257" s="12">
        <f>+Tabla1[[#This Row],[COSTO TOTAL ALOJAMIENTO]]+Tabla1[[#This Row],[COSTO TOTAL COCHE]]</f>
        <v>0</v>
      </c>
      <c r="S3257" s="2"/>
      <c r="T3257" s="14" t="s">
        <v>35</v>
      </c>
      <c r="U3257" s="14">
        <v>45829</v>
      </c>
      <c r="V3257" s="43"/>
      <c r="W3257" s="71"/>
      <c r="X3257" s="2">
        <v>5</v>
      </c>
      <c r="Y3257" s="11" t="s">
        <v>4895</v>
      </c>
      <c r="Z3257" s="2" t="s">
        <v>36</v>
      </c>
      <c r="AA3257" s="13">
        <v>-0.87734000000000001</v>
      </c>
      <c r="AB3257" s="13" t="s">
        <v>10359</v>
      </c>
    </row>
    <row r="3258" spans="1:28" ht="15" customHeight="1">
      <c r="A3258" s="2" t="s">
        <v>8884</v>
      </c>
      <c r="B3258" s="2" t="s">
        <v>978</v>
      </c>
      <c r="C3258" s="11" t="s">
        <v>1160</v>
      </c>
      <c r="D3258" s="2" t="s">
        <v>30</v>
      </c>
      <c r="E3258" s="2" t="s">
        <v>87</v>
      </c>
      <c r="F3258" s="11" t="s">
        <v>946</v>
      </c>
      <c r="G3258" s="11" t="s">
        <v>947</v>
      </c>
      <c r="H3258" s="2" t="s">
        <v>1559</v>
      </c>
      <c r="I3258" s="12" t="s">
        <v>4896</v>
      </c>
      <c r="J3258" s="41">
        <f>+Tabla1[[#This Row],[FECHA ENTRADA]]</f>
        <v>45824</v>
      </c>
      <c r="K3258" s="8">
        <v>45890</v>
      </c>
      <c r="L3258" s="42">
        <f>_xlfn.DAYS(Tabla1[[#This Row],[FECHA FIN ]],Tabla1[[#This Row],[FECHA INICIO]])</f>
        <v>66</v>
      </c>
      <c r="M3258" s="12"/>
      <c r="N3258" s="28">
        <v>370</v>
      </c>
      <c r="O3258" s="28">
        <f>(Tabla1[[#This Row],[COSTO FIJO ]]/30)*Tabla1[[#This Row],[TOTAL DIAS PROYECTO]]+(Tabla1[[#This Row],[COSTO TEMPORAL]])</f>
        <v>814</v>
      </c>
      <c r="P3258" s="12"/>
      <c r="Q3258" s="12">
        <f>+(Tabla1[[#This Row],[COSTO COCHE]]/30)*Tabla1[[#This Row],[TOTAL DIAS PROYECTO]]</f>
        <v>0</v>
      </c>
      <c r="R3258" s="12">
        <f>+Tabla1[[#This Row],[COSTO TOTAL ALOJAMIENTO]]+Tabla1[[#This Row],[COSTO TOTAL COCHE]]</f>
        <v>814</v>
      </c>
      <c r="S3258" s="2"/>
      <c r="T3258" s="14" t="s">
        <v>35</v>
      </c>
      <c r="U3258" s="14">
        <v>45824</v>
      </c>
      <c r="V3258" s="43"/>
      <c r="W3258" s="12">
        <v>950</v>
      </c>
      <c r="X3258" s="2">
        <v>5</v>
      </c>
      <c r="Y3258" s="11" t="s">
        <v>1361</v>
      </c>
      <c r="Z3258" s="2" t="s">
        <v>36</v>
      </c>
      <c r="AA3258" s="13" t="s">
        <v>10335</v>
      </c>
      <c r="AB3258" s="13">
        <v>404.16500000000002</v>
      </c>
    </row>
    <row r="3259" spans="1:28" ht="15" customHeight="1">
      <c r="A3259" s="2" t="s">
        <v>9819</v>
      </c>
      <c r="B3259" s="2" t="s">
        <v>368</v>
      </c>
      <c r="C3259" s="11" t="s">
        <v>4897</v>
      </c>
      <c r="D3259" s="2" t="s">
        <v>99</v>
      </c>
      <c r="E3259" s="2" t="s">
        <v>87</v>
      </c>
      <c r="F3259" s="11" t="s">
        <v>1864</v>
      </c>
      <c r="G3259" s="11" t="s">
        <v>2195</v>
      </c>
      <c r="H3259" s="2" t="s">
        <v>2359</v>
      </c>
      <c r="I3259" s="10" t="s">
        <v>233</v>
      </c>
      <c r="J3259" s="41">
        <f>+Tabla1[[#This Row],[FECHA ENTRADA]]</f>
        <v>45747</v>
      </c>
      <c r="K3259" s="22">
        <v>45890</v>
      </c>
      <c r="L3259" s="42">
        <f>_xlfn.DAYS(Tabla1[[#This Row],[FECHA FIN ]],Tabla1[[#This Row],[FECHA INICIO]])</f>
        <v>143</v>
      </c>
      <c r="M3259" s="12"/>
      <c r="N3259" s="12"/>
      <c r="O3259" s="28">
        <f>(Tabla1[[#This Row],[COSTO FIJO ]]/30)*Tabla1[[#This Row],[TOTAL DIAS PROYECTO]]+(Tabla1[[#This Row],[COSTO TEMPORAL]])</f>
        <v>0</v>
      </c>
      <c r="P3259" s="12">
        <v>133.33333333333334</v>
      </c>
      <c r="Q3259" s="12">
        <f>+(Tabla1[[#This Row],[COSTO COCHE]]/30)*Tabla1[[#This Row],[TOTAL DIAS PROYECTO]]</f>
        <v>635.55555555555554</v>
      </c>
      <c r="R3259" s="12">
        <f>+Tabla1[[#This Row],[COSTO TOTAL ALOJAMIENTO]]+Tabla1[[#This Row],[COSTO TOTAL COCHE]]</f>
        <v>635.55555555555554</v>
      </c>
      <c r="S3259" s="2"/>
      <c r="T3259" s="2" t="s">
        <v>35</v>
      </c>
      <c r="U3259" s="14">
        <v>45747</v>
      </c>
      <c r="V3259" s="43"/>
      <c r="W3259" s="26">
        <v>950</v>
      </c>
      <c r="X3259" s="2">
        <v>5</v>
      </c>
      <c r="Z3259" s="2" t="s">
        <v>36</v>
      </c>
      <c r="AA3259" s="13" t="s">
        <v>10335</v>
      </c>
      <c r="AB3259" s="13">
        <v>404.16500000000002</v>
      </c>
    </row>
    <row r="3260" spans="1:28" ht="15" customHeight="1">
      <c r="A3260" s="2" t="s">
        <v>8797</v>
      </c>
      <c r="B3260" s="2" t="s">
        <v>368</v>
      </c>
      <c r="C3260" s="11" t="s">
        <v>812</v>
      </c>
      <c r="D3260" s="2" t="s">
        <v>78</v>
      </c>
      <c r="E3260" s="10" t="s">
        <v>4135</v>
      </c>
      <c r="F3260" s="11" t="s">
        <v>4136</v>
      </c>
      <c r="G3260" s="21" t="s">
        <v>4137</v>
      </c>
      <c r="H3260" s="2" t="s">
        <v>4138</v>
      </c>
      <c r="I3260" s="29" t="s">
        <v>4139</v>
      </c>
      <c r="J3260" s="22">
        <f>+Tabla1[[#This Row],[FECHA ENTRADA]]</f>
        <v>45767</v>
      </c>
      <c r="K3260" s="8">
        <v>45890</v>
      </c>
      <c r="L3260" s="23">
        <f>_xlfn.DAYS(Tabla1[[#This Row],[FECHA FIN ]],Tabla1[[#This Row],[FECHA INICIO]])</f>
        <v>123</v>
      </c>
      <c r="M3260" s="12"/>
      <c r="N3260" s="12"/>
      <c r="O3260" s="24">
        <f>(Tabla1[[#This Row],[COSTO FIJO ]]/30)*Tabla1[[#This Row],[TOTAL DIAS PROYECTO]]+(Tabla1[[#This Row],[COSTO TEMPORAL]])</f>
        <v>0</v>
      </c>
      <c r="P3260" s="12"/>
      <c r="Q3260" s="12">
        <f>+(Tabla1[[#This Row],[COSTO COCHE]]/30)*Tabla1[[#This Row],[TOTAL DIAS PROYECTO]]</f>
        <v>0</v>
      </c>
      <c r="R3260" s="12">
        <f>+Tabla1[[#This Row],[COSTO TOTAL ALOJAMIENTO]]+Tabla1[[#This Row],[COSTO TOTAL COCHE]]</f>
        <v>0</v>
      </c>
      <c r="S3260" s="2" t="s">
        <v>84</v>
      </c>
      <c r="T3260" s="2" t="s">
        <v>44</v>
      </c>
      <c r="U3260" s="14">
        <v>45767</v>
      </c>
      <c r="V3260" s="79">
        <v>45900</v>
      </c>
      <c r="W3260" s="26"/>
      <c r="X3260" s="2"/>
      <c r="Y3260" s="11"/>
      <c r="Z3260" s="2" t="s">
        <v>36</v>
      </c>
      <c r="AA3260" s="13" t="e">
        <v>#N/A</v>
      </c>
      <c r="AB3260" s="13" t="e">
        <v>#N/A</v>
      </c>
    </row>
    <row r="3261" spans="1:28" ht="15" customHeight="1">
      <c r="A3261" s="2" t="s">
        <v>8828</v>
      </c>
      <c r="B3261" s="2" t="s">
        <v>711</v>
      </c>
      <c r="C3261" s="11" t="s">
        <v>923</v>
      </c>
      <c r="D3261" s="2" t="s">
        <v>78</v>
      </c>
      <c r="E3261" s="10" t="s">
        <v>4135</v>
      </c>
      <c r="F3261" s="11" t="s">
        <v>4136</v>
      </c>
      <c r="G3261" s="21" t="s">
        <v>4137</v>
      </c>
      <c r="H3261" s="2" t="s">
        <v>4898</v>
      </c>
      <c r="I3261" s="10" t="s">
        <v>4139</v>
      </c>
      <c r="J3261" s="41">
        <f>+Tabla1[[#This Row],[FECHA ENTRADA]]</f>
        <v>45846</v>
      </c>
      <c r="K3261" s="8">
        <v>45890</v>
      </c>
      <c r="L3261" s="42">
        <f>_xlfn.DAYS(Tabla1[[#This Row],[FECHA FIN ]],Tabla1[[#This Row],[FECHA INICIO]])</f>
        <v>44</v>
      </c>
      <c r="M3261" s="12"/>
      <c r="N3261" s="12"/>
      <c r="O3261" s="28">
        <f>(Tabla1[[#This Row],[COSTO FIJO ]]/30)*Tabla1[[#This Row],[TOTAL DIAS PROYECTO]]+(Tabla1[[#This Row],[COSTO TEMPORAL]])</f>
        <v>0</v>
      </c>
      <c r="P3261" s="12"/>
      <c r="Q3261" s="12">
        <f>+(Tabla1[[#This Row],[COSTO COCHE]]/30)*Tabla1[[#This Row],[TOTAL DIAS PROYECTO]]</f>
        <v>0</v>
      </c>
      <c r="R3261" s="12">
        <f>+Tabla1[[#This Row],[COSTO TOTAL ALOJAMIENTO]]+Tabla1[[#This Row],[COSTO TOTAL COCHE]]</f>
        <v>0</v>
      </c>
      <c r="S3261" s="2" t="s">
        <v>84</v>
      </c>
      <c r="T3261" s="14" t="s">
        <v>44</v>
      </c>
      <c r="U3261" s="14">
        <v>45846</v>
      </c>
      <c r="V3261" s="79">
        <v>45900</v>
      </c>
      <c r="W3261" s="12"/>
      <c r="X3261" s="2"/>
      <c r="Y3261" s="11"/>
      <c r="Z3261" s="2" t="s">
        <v>36</v>
      </c>
      <c r="AA3261" s="13" t="e">
        <v>#N/A</v>
      </c>
      <c r="AB3261" s="13" t="e">
        <v>#N/A</v>
      </c>
    </row>
    <row r="3262" spans="1:28" ht="15" customHeight="1">
      <c r="A3262" s="2" t="s">
        <v>9015</v>
      </c>
      <c r="B3262" s="10" t="s">
        <v>711</v>
      </c>
      <c r="C3262" s="31" t="s">
        <v>1703</v>
      </c>
      <c r="D3262" s="2" t="s">
        <v>99</v>
      </c>
      <c r="E3262" s="2" t="s">
        <v>538</v>
      </c>
      <c r="F3262" s="11" t="s">
        <v>4899</v>
      </c>
      <c r="G3262" s="11" t="s">
        <v>540</v>
      </c>
      <c r="H3262" s="2" t="s">
        <v>4544</v>
      </c>
      <c r="I3262" s="12" t="s">
        <v>1392</v>
      </c>
      <c r="J3262" s="41">
        <f>+Tabla1[[#This Row],[FECHA ENTRADA]]</f>
        <v>45867</v>
      </c>
      <c r="K3262" s="41">
        <v>45891</v>
      </c>
      <c r="L3262" s="42">
        <f>_xlfn.DAYS(Tabla1[[#This Row],[FECHA FIN ]],Tabla1[[#This Row],[FECHA INICIO]])</f>
        <v>24</v>
      </c>
      <c r="M3262" s="12"/>
      <c r="N3262" s="28">
        <v>187.5</v>
      </c>
      <c r="O3262" s="28">
        <f>(Tabla1[[#This Row],[COSTO FIJO ]]/30)*Tabla1[[#This Row],[TOTAL DIAS PROYECTO]]+(Tabla1[[#This Row],[COSTO TEMPORAL]])</f>
        <v>150</v>
      </c>
      <c r="P3262" s="12"/>
      <c r="Q3262" s="12">
        <f>+(Tabla1[[#This Row],[COSTO COCHE]]/30)*Tabla1[[#This Row],[TOTAL DIAS PROYECTO]]</f>
        <v>0</v>
      </c>
      <c r="R3262" s="12">
        <f>+Tabla1[[#This Row],[COSTO TOTAL ALOJAMIENTO]]+Tabla1[[#This Row],[COSTO TOTAL COCHE]]</f>
        <v>150</v>
      </c>
      <c r="S3262" s="2"/>
      <c r="T3262" s="14" t="s">
        <v>35</v>
      </c>
      <c r="U3262" s="14">
        <v>45867</v>
      </c>
      <c r="V3262" s="43"/>
      <c r="W3262" s="12"/>
      <c r="X3262" s="2">
        <v>1</v>
      </c>
      <c r="Y3262" s="11" t="s">
        <v>4900</v>
      </c>
      <c r="Z3262" s="2" t="s">
        <v>36</v>
      </c>
      <c r="AA3262" s="13">
        <v>-378939</v>
      </c>
      <c r="AB3262" s="13">
        <v>3776578</v>
      </c>
    </row>
    <row r="3263" spans="1:28" ht="15" customHeight="1">
      <c r="A3263" s="2" t="s">
        <v>9748</v>
      </c>
      <c r="B3263" s="10" t="s">
        <v>711</v>
      </c>
      <c r="C3263" s="31" t="s">
        <v>4548</v>
      </c>
      <c r="D3263" s="2" t="s">
        <v>99</v>
      </c>
      <c r="E3263" s="2" t="s">
        <v>538</v>
      </c>
      <c r="F3263" s="11" t="s">
        <v>4899</v>
      </c>
      <c r="G3263" s="11" t="s">
        <v>540</v>
      </c>
      <c r="H3263" s="2" t="s">
        <v>4544</v>
      </c>
      <c r="I3263" s="12" t="s">
        <v>1392</v>
      </c>
      <c r="J3263" s="41">
        <f>+Tabla1[[#This Row],[FECHA ENTRADA]]</f>
        <v>45867</v>
      </c>
      <c r="K3263" s="41">
        <v>45891</v>
      </c>
      <c r="L3263" s="42">
        <f>_xlfn.DAYS(Tabla1[[#This Row],[FECHA FIN ]],Tabla1[[#This Row],[FECHA INICIO]])</f>
        <v>24</v>
      </c>
      <c r="M3263" s="12"/>
      <c r="N3263" s="28">
        <v>187.5</v>
      </c>
      <c r="O3263" s="28">
        <f>(Tabla1[[#This Row],[COSTO FIJO ]]/30)*Tabla1[[#This Row],[TOTAL DIAS PROYECTO]]+(Tabla1[[#This Row],[COSTO TEMPORAL]])</f>
        <v>150</v>
      </c>
      <c r="P3263" s="12"/>
      <c r="Q3263" s="12">
        <f>+(Tabla1[[#This Row],[COSTO COCHE]]/30)*Tabla1[[#This Row],[TOTAL DIAS PROYECTO]]</f>
        <v>0</v>
      </c>
      <c r="R3263" s="12">
        <f>+Tabla1[[#This Row],[COSTO TOTAL ALOJAMIENTO]]+Tabla1[[#This Row],[COSTO TOTAL COCHE]]</f>
        <v>150</v>
      </c>
      <c r="S3263" s="2"/>
      <c r="T3263" s="14" t="s">
        <v>35</v>
      </c>
      <c r="U3263" s="14">
        <v>45867</v>
      </c>
      <c r="V3263" s="43"/>
      <c r="W3263" s="12"/>
      <c r="X3263" s="2">
        <v>1</v>
      </c>
      <c r="Y3263" s="11" t="s">
        <v>4900</v>
      </c>
      <c r="Z3263" s="2" t="s">
        <v>36</v>
      </c>
      <c r="AA3263" s="13">
        <v>-378939</v>
      </c>
      <c r="AB3263" s="13">
        <v>3776578</v>
      </c>
    </row>
    <row r="3264" spans="1:28">
      <c r="A3264" s="2" t="s">
        <v>9672</v>
      </c>
      <c r="B3264" s="10" t="s">
        <v>711</v>
      </c>
      <c r="C3264" s="31" t="s">
        <v>4170</v>
      </c>
      <c r="D3264" s="2" t="s">
        <v>99</v>
      </c>
      <c r="E3264" s="2" t="s">
        <v>538</v>
      </c>
      <c r="F3264" s="11" t="s">
        <v>4899</v>
      </c>
      <c r="G3264" s="11" t="s">
        <v>540</v>
      </c>
      <c r="H3264" s="2" t="s">
        <v>4544</v>
      </c>
      <c r="I3264" s="12" t="s">
        <v>1392</v>
      </c>
      <c r="J3264" s="41">
        <f>+Tabla1[[#This Row],[FECHA ENTRADA]]</f>
        <v>45867</v>
      </c>
      <c r="K3264" s="41">
        <v>45891</v>
      </c>
      <c r="L3264" s="42">
        <f>_xlfn.DAYS(Tabla1[[#This Row],[FECHA FIN ]],Tabla1[[#This Row],[FECHA INICIO]])</f>
        <v>24</v>
      </c>
      <c r="M3264" s="12"/>
      <c r="N3264" s="28">
        <v>187.5</v>
      </c>
      <c r="O3264" s="28">
        <f>(Tabla1[[#This Row],[COSTO FIJO ]]/30)*Tabla1[[#This Row],[TOTAL DIAS PROYECTO]]+(Tabla1[[#This Row],[COSTO TEMPORAL]])</f>
        <v>150</v>
      </c>
      <c r="P3264" s="12"/>
      <c r="Q3264" s="12">
        <f>+(Tabla1[[#This Row],[COSTO COCHE]]/30)*Tabla1[[#This Row],[TOTAL DIAS PROYECTO]]</f>
        <v>0</v>
      </c>
      <c r="R3264" s="12">
        <f>+Tabla1[[#This Row],[COSTO TOTAL ALOJAMIENTO]]+Tabla1[[#This Row],[COSTO TOTAL COCHE]]</f>
        <v>150</v>
      </c>
      <c r="S3264" s="2"/>
      <c r="T3264" s="14" t="s">
        <v>35</v>
      </c>
      <c r="U3264" s="14">
        <v>45867</v>
      </c>
      <c r="V3264" s="43"/>
      <c r="W3264" s="12"/>
      <c r="X3264" s="2">
        <v>1</v>
      </c>
      <c r="Y3264" s="11" t="s">
        <v>4900</v>
      </c>
      <c r="Z3264" s="2" t="s">
        <v>36</v>
      </c>
      <c r="AA3264" s="13">
        <v>-378939</v>
      </c>
      <c r="AB3264" s="13">
        <v>3776578</v>
      </c>
    </row>
    <row r="3265" spans="1:28" ht="45.75" customHeight="1">
      <c r="A3265" s="2" t="s">
        <v>9693</v>
      </c>
      <c r="B3265" s="10" t="s">
        <v>711</v>
      </c>
      <c r="C3265" s="31" t="s">
        <v>4272</v>
      </c>
      <c r="D3265" s="2" t="s">
        <v>99</v>
      </c>
      <c r="E3265" s="2" t="s">
        <v>538</v>
      </c>
      <c r="F3265" s="11" t="s">
        <v>4899</v>
      </c>
      <c r="G3265" s="11" t="s">
        <v>540</v>
      </c>
      <c r="H3265" s="2" t="s">
        <v>4544</v>
      </c>
      <c r="I3265" s="12" t="s">
        <v>1392</v>
      </c>
      <c r="J3265" s="41">
        <f>+Tabla1[[#This Row],[FECHA ENTRADA]]</f>
        <v>45867</v>
      </c>
      <c r="K3265" s="41">
        <v>45891</v>
      </c>
      <c r="L3265" s="42">
        <f>_xlfn.DAYS(Tabla1[[#This Row],[FECHA FIN ]],Tabla1[[#This Row],[FECHA INICIO]])</f>
        <v>24</v>
      </c>
      <c r="M3265" s="12"/>
      <c r="N3265" s="28">
        <v>187.5</v>
      </c>
      <c r="O3265" s="28">
        <f>(Tabla1[[#This Row],[COSTO FIJO ]]/30)*Tabla1[[#This Row],[TOTAL DIAS PROYECTO]]+(Tabla1[[#This Row],[COSTO TEMPORAL]])</f>
        <v>150</v>
      </c>
      <c r="P3265" s="12"/>
      <c r="Q3265" s="12">
        <f>+(Tabla1[[#This Row],[COSTO COCHE]]/30)*Tabla1[[#This Row],[TOTAL DIAS PROYECTO]]</f>
        <v>0</v>
      </c>
      <c r="R3265" s="12">
        <f>+Tabla1[[#This Row],[COSTO TOTAL ALOJAMIENTO]]+Tabla1[[#This Row],[COSTO TOTAL COCHE]]</f>
        <v>150</v>
      </c>
      <c r="S3265" s="2"/>
      <c r="T3265" s="14" t="s">
        <v>35</v>
      </c>
      <c r="U3265" s="14">
        <v>45867</v>
      </c>
      <c r="V3265" s="43"/>
      <c r="W3265" s="12"/>
      <c r="X3265" s="2">
        <v>1</v>
      </c>
      <c r="Y3265" s="11" t="s">
        <v>4900</v>
      </c>
      <c r="Z3265" s="2" t="s">
        <v>36</v>
      </c>
      <c r="AA3265" s="13">
        <v>-378939</v>
      </c>
      <c r="AB3265" s="13">
        <v>3776578</v>
      </c>
    </row>
    <row r="3266" spans="1:28" ht="15" customHeight="1">
      <c r="A3266" s="2" t="s">
        <v>9592</v>
      </c>
      <c r="B3266" s="2" t="s">
        <v>711</v>
      </c>
      <c r="C3266" s="31" t="s">
        <v>3788</v>
      </c>
      <c r="D3266" s="2" t="s">
        <v>99</v>
      </c>
      <c r="E3266" s="2" t="s">
        <v>538</v>
      </c>
      <c r="F3266" s="11" t="s">
        <v>4899</v>
      </c>
      <c r="G3266" s="11" t="s">
        <v>540</v>
      </c>
      <c r="H3266" s="2" t="s">
        <v>4544</v>
      </c>
      <c r="I3266" s="12" t="s">
        <v>1392</v>
      </c>
      <c r="J3266" s="41">
        <f>+Tabla1[[#This Row],[FECHA ENTRADA]]</f>
        <v>45867</v>
      </c>
      <c r="K3266" s="41">
        <v>45891</v>
      </c>
      <c r="L3266" s="42">
        <f>_xlfn.DAYS(Tabla1[[#This Row],[FECHA FIN ]],Tabla1[[#This Row],[FECHA INICIO]])</f>
        <v>24</v>
      </c>
      <c r="M3266" s="12"/>
      <c r="N3266" s="28">
        <v>187.5</v>
      </c>
      <c r="O3266" s="28">
        <f>(Tabla1[[#This Row],[COSTO FIJO ]]/30)*Tabla1[[#This Row],[TOTAL DIAS PROYECTO]]+(Tabla1[[#This Row],[COSTO TEMPORAL]])</f>
        <v>150</v>
      </c>
      <c r="P3266" s="12"/>
      <c r="Q3266" s="12">
        <f>+(Tabla1[[#This Row],[COSTO COCHE]]/30)*Tabla1[[#This Row],[TOTAL DIAS PROYECTO]]</f>
        <v>0</v>
      </c>
      <c r="R3266" s="12">
        <f>+Tabla1[[#This Row],[COSTO TOTAL ALOJAMIENTO]]+Tabla1[[#This Row],[COSTO TOTAL COCHE]]</f>
        <v>150</v>
      </c>
      <c r="S3266" s="2"/>
      <c r="T3266" s="14" t="s">
        <v>35</v>
      </c>
      <c r="U3266" s="14">
        <v>45867</v>
      </c>
      <c r="V3266" s="43"/>
      <c r="W3266" s="12"/>
      <c r="X3266" s="2">
        <v>1</v>
      </c>
      <c r="Y3266" s="11" t="s">
        <v>4900</v>
      </c>
      <c r="Z3266" s="2" t="s">
        <v>36</v>
      </c>
      <c r="AA3266" s="13">
        <v>-378939</v>
      </c>
      <c r="AB3266" s="13">
        <v>3776578</v>
      </c>
    </row>
    <row r="3267" spans="1:28" ht="15" customHeight="1">
      <c r="A3267" s="2" t="s">
        <v>9083</v>
      </c>
      <c r="B3267" s="2" t="s">
        <v>711</v>
      </c>
      <c r="C3267" s="31" t="s">
        <v>1941</v>
      </c>
      <c r="D3267" s="2" t="s">
        <v>99</v>
      </c>
      <c r="E3267" s="2" t="s">
        <v>538</v>
      </c>
      <c r="F3267" s="11" t="s">
        <v>4899</v>
      </c>
      <c r="G3267" s="11" t="s">
        <v>540</v>
      </c>
      <c r="H3267" s="2" t="s">
        <v>4544</v>
      </c>
      <c r="I3267" s="12" t="s">
        <v>1392</v>
      </c>
      <c r="J3267" s="41">
        <f>+Tabla1[[#This Row],[FECHA ENTRADA]]</f>
        <v>45867</v>
      </c>
      <c r="K3267" s="41">
        <v>45891</v>
      </c>
      <c r="L3267" s="42">
        <f>_xlfn.DAYS(Tabla1[[#This Row],[FECHA FIN ]],Tabla1[[#This Row],[FECHA INICIO]])</f>
        <v>24</v>
      </c>
      <c r="M3267" s="12"/>
      <c r="N3267" s="28">
        <v>187.5</v>
      </c>
      <c r="O3267" s="28">
        <f>(Tabla1[[#This Row],[COSTO FIJO ]]/30)*Tabla1[[#This Row],[TOTAL DIAS PROYECTO]]+(Tabla1[[#This Row],[COSTO TEMPORAL]])</f>
        <v>150</v>
      </c>
      <c r="P3267" s="12"/>
      <c r="Q3267" s="12">
        <f>+(Tabla1[[#This Row],[COSTO COCHE]]/30)*Tabla1[[#This Row],[TOTAL DIAS PROYECTO]]</f>
        <v>0</v>
      </c>
      <c r="R3267" s="12">
        <f>+Tabla1[[#This Row],[COSTO TOTAL ALOJAMIENTO]]+Tabla1[[#This Row],[COSTO TOTAL COCHE]]</f>
        <v>150</v>
      </c>
      <c r="S3267" s="2"/>
      <c r="T3267" s="14" t="s">
        <v>35</v>
      </c>
      <c r="U3267" s="14">
        <v>45867</v>
      </c>
      <c r="V3267" s="43"/>
      <c r="W3267" s="12">
        <v>1000</v>
      </c>
      <c r="X3267" s="2">
        <v>1</v>
      </c>
      <c r="Y3267" s="11" t="s">
        <v>4900</v>
      </c>
      <c r="Z3267" s="2" t="s">
        <v>36</v>
      </c>
      <c r="AA3267" s="13">
        <v>-378939</v>
      </c>
      <c r="AB3267" s="13">
        <v>3776578</v>
      </c>
    </row>
    <row r="3268" spans="1:28" ht="15" customHeight="1">
      <c r="A3268" s="2" t="s">
        <v>9746</v>
      </c>
      <c r="B3268" s="2" t="s">
        <v>711</v>
      </c>
      <c r="C3268" s="97" t="s">
        <v>4546</v>
      </c>
      <c r="D3268" s="2" t="s">
        <v>99</v>
      </c>
      <c r="E3268" s="2" t="s">
        <v>538</v>
      </c>
      <c r="F3268" s="11" t="s">
        <v>4899</v>
      </c>
      <c r="G3268" s="11" t="s">
        <v>540</v>
      </c>
      <c r="H3268" s="2" t="s">
        <v>4544</v>
      </c>
      <c r="I3268" s="12" t="s">
        <v>1392</v>
      </c>
      <c r="J3268" s="41">
        <f>+Tabla1[[#This Row],[FECHA ENTRADA]]</f>
        <v>45867</v>
      </c>
      <c r="K3268" s="41">
        <v>45891</v>
      </c>
      <c r="L3268" s="42">
        <f>_xlfn.DAYS(Tabla1[[#This Row],[FECHA FIN ]],Tabla1[[#This Row],[FECHA INICIO]])</f>
        <v>24</v>
      </c>
      <c r="M3268" s="12"/>
      <c r="N3268" s="28">
        <v>187.5</v>
      </c>
      <c r="O3268" s="28">
        <f>(Tabla1[[#This Row],[COSTO FIJO ]]/30)*Tabla1[[#This Row],[TOTAL DIAS PROYECTO]]+(Tabla1[[#This Row],[COSTO TEMPORAL]])</f>
        <v>150</v>
      </c>
      <c r="P3268" s="12"/>
      <c r="Q3268" s="12">
        <f>+(Tabla1[[#This Row],[COSTO COCHE]]/30)*Tabla1[[#This Row],[TOTAL DIAS PROYECTO]]</f>
        <v>0</v>
      </c>
      <c r="R3268" s="12">
        <f>+Tabla1[[#This Row],[COSTO TOTAL ALOJAMIENTO]]+Tabla1[[#This Row],[COSTO TOTAL COCHE]]</f>
        <v>150</v>
      </c>
      <c r="S3268" s="2"/>
      <c r="T3268" s="14" t="s">
        <v>35</v>
      </c>
      <c r="U3268" s="14">
        <v>45867</v>
      </c>
      <c r="V3268" s="43"/>
      <c r="W3268" s="12"/>
      <c r="X3268" s="2">
        <v>1</v>
      </c>
      <c r="Y3268" s="11" t="s">
        <v>4900</v>
      </c>
      <c r="Z3268" s="2" t="s">
        <v>36</v>
      </c>
      <c r="AA3268" s="13">
        <v>-378939</v>
      </c>
      <c r="AB3268" s="13">
        <v>3776578</v>
      </c>
    </row>
    <row r="3269" spans="1:28" ht="15" customHeight="1">
      <c r="A3269" s="2" t="s">
        <v>9747</v>
      </c>
      <c r="B3269" s="2" t="s">
        <v>711</v>
      </c>
      <c r="C3269" s="97" t="s">
        <v>4547</v>
      </c>
      <c r="D3269" s="2" t="s">
        <v>99</v>
      </c>
      <c r="E3269" s="2" t="s">
        <v>538</v>
      </c>
      <c r="F3269" s="11" t="s">
        <v>4899</v>
      </c>
      <c r="G3269" s="11" t="s">
        <v>540</v>
      </c>
      <c r="H3269" s="2" t="s">
        <v>4544</v>
      </c>
      <c r="I3269" s="12" t="s">
        <v>1392</v>
      </c>
      <c r="J3269" s="41">
        <f>+Tabla1[[#This Row],[FECHA ENTRADA]]</f>
        <v>45867</v>
      </c>
      <c r="K3269" s="41">
        <v>45891</v>
      </c>
      <c r="L3269" s="42">
        <f>_xlfn.DAYS(Tabla1[[#This Row],[FECHA FIN ]],Tabla1[[#This Row],[FECHA INICIO]])</f>
        <v>24</v>
      </c>
      <c r="M3269" s="12"/>
      <c r="N3269" s="28">
        <v>187.5</v>
      </c>
      <c r="O3269" s="28">
        <f>(Tabla1[[#This Row],[COSTO FIJO ]]/30)*Tabla1[[#This Row],[TOTAL DIAS PROYECTO]]+(Tabla1[[#This Row],[COSTO TEMPORAL]])</f>
        <v>150</v>
      </c>
      <c r="P3269" s="12"/>
      <c r="Q3269" s="12">
        <f>+(Tabla1[[#This Row],[COSTO COCHE]]/30)*Tabla1[[#This Row],[TOTAL DIAS PROYECTO]]</f>
        <v>0</v>
      </c>
      <c r="R3269" s="12">
        <f>+Tabla1[[#This Row],[COSTO TOTAL ALOJAMIENTO]]+Tabla1[[#This Row],[COSTO TOTAL COCHE]]</f>
        <v>150</v>
      </c>
      <c r="S3269" s="2"/>
      <c r="T3269" s="14" t="s">
        <v>35</v>
      </c>
      <c r="U3269" s="14">
        <v>45867</v>
      </c>
      <c r="V3269" s="43"/>
      <c r="W3269" s="12"/>
      <c r="X3269" s="2">
        <v>1</v>
      </c>
      <c r="Y3269" s="11" t="s">
        <v>4900</v>
      </c>
      <c r="Z3269" s="2" t="s">
        <v>36</v>
      </c>
      <c r="AA3269" s="13">
        <v>-378939</v>
      </c>
      <c r="AB3269" s="13">
        <v>3776578</v>
      </c>
    </row>
    <row r="3270" spans="1:28" ht="15" customHeight="1">
      <c r="A3270" s="2" t="s">
        <v>9715</v>
      </c>
      <c r="B3270" s="2" t="s">
        <v>978</v>
      </c>
      <c r="C3270" s="97" t="s">
        <v>4371</v>
      </c>
      <c r="D3270" s="2" t="s">
        <v>30</v>
      </c>
      <c r="E3270" s="2" t="s">
        <v>31</v>
      </c>
      <c r="F3270" s="11" t="s">
        <v>530</v>
      </c>
      <c r="G3270" s="49" t="s">
        <v>531</v>
      </c>
      <c r="H3270" s="2" t="s">
        <v>4901</v>
      </c>
      <c r="I3270" s="12" t="s">
        <v>4902</v>
      </c>
      <c r="J3270" s="22">
        <f>+Tabla1[[#This Row],[FECHA ENTRADA]]</f>
        <v>45880</v>
      </c>
      <c r="K3270" s="22">
        <v>45891</v>
      </c>
      <c r="L3270" s="23">
        <f>_xlfn.DAYS(Tabla1[[#This Row],[FECHA FIN ]],Tabla1[[#This Row],[FECHA INICIO]])</f>
        <v>11</v>
      </c>
      <c r="M3270" s="12"/>
      <c r="N3270" s="24"/>
      <c r="O3270" s="24">
        <f>(Tabla1[[#This Row],[COSTO FIJO ]]/30)*Tabla1[[#This Row],[TOTAL DIAS PROYECTO]]+(Tabla1[[#This Row],[COSTO TEMPORAL]])</f>
        <v>0</v>
      </c>
      <c r="P3270" s="12"/>
      <c r="Q3270" s="12">
        <f>+(Tabla1[[#This Row],[COSTO COCHE]]/30)*Tabla1[[#This Row],[TOTAL DIAS PROYECTO]]</f>
        <v>0</v>
      </c>
      <c r="R3270" s="12">
        <f>+Tabla1[[#This Row],[COSTO TOTAL ALOJAMIENTO]]+Tabla1[[#This Row],[COSTO TOTAL COCHE]]</f>
        <v>0</v>
      </c>
      <c r="S3270" s="2"/>
      <c r="T3270" s="14" t="s">
        <v>35</v>
      </c>
      <c r="U3270" s="14">
        <v>45880</v>
      </c>
      <c r="V3270" s="25"/>
      <c r="W3270" s="12"/>
      <c r="X3270" s="2">
        <v>1</v>
      </c>
      <c r="Y3270" s="253" t="s">
        <v>4903</v>
      </c>
      <c r="Z3270" s="2" t="s">
        <v>36</v>
      </c>
      <c r="AA3270" s="13" t="s">
        <v>10323</v>
      </c>
      <c r="AB3270" s="13" t="s">
        <v>10324</v>
      </c>
    </row>
    <row r="3271" spans="1:28" ht="15" customHeight="1">
      <c r="A3271" s="2" t="s">
        <v>9484</v>
      </c>
      <c r="B3271" s="2" t="s">
        <v>28</v>
      </c>
      <c r="C3271" s="97" t="s">
        <v>3351</v>
      </c>
      <c r="D3271" s="2" t="s">
        <v>30</v>
      </c>
      <c r="E3271" s="2" t="s">
        <v>114</v>
      </c>
      <c r="F3271" s="11" t="s">
        <v>3881</v>
      </c>
      <c r="G3271" s="11" t="s">
        <v>3882</v>
      </c>
      <c r="H3271" s="2" t="s">
        <v>4808</v>
      </c>
      <c r="I3271" s="2" t="s">
        <v>118</v>
      </c>
      <c r="J3271" s="22">
        <f>+Tabla1[[#This Row],[FECHA ENTRADA]]</f>
        <v>45881</v>
      </c>
      <c r="K3271" s="22">
        <v>45891</v>
      </c>
      <c r="L3271" s="23">
        <f>_xlfn.DAYS(Tabla1[[#This Row],[FECHA FIN ]],Tabla1[[#This Row],[FECHA INICIO]])</f>
        <v>10</v>
      </c>
      <c r="M3271" s="12"/>
      <c r="N3271" s="12">
        <v>91.666666666666671</v>
      </c>
      <c r="O3271" s="24">
        <f>(Tabla1[[#This Row],[COSTO FIJO ]]/30)*Tabla1[[#This Row],[TOTAL DIAS PROYECTO]]+(Tabla1[[#This Row],[COSTO TEMPORAL]])</f>
        <v>30.555555555555557</v>
      </c>
      <c r="P3271" s="12"/>
      <c r="Q3271" s="12">
        <f>+(Tabla1[[#This Row],[COSTO COCHE]]/30)*Tabla1[[#This Row],[TOTAL DIAS PROYECTO]]</f>
        <v>0</v>
      </c>
      <c r="R3271" s="12">
        <f>+Tabla1[[#This Row],[COSTO TOTAL ALOJAMIENTO]]+Tabla1[[#This Row],[COSTO TOTAL COCHE]]</f>
        <v>30.555555555555557</v>
      </c>
      <c r="S3271" s="2"/>
      <c r="T3271" s="14" t="s">
        <v>35</v>
      </c>
      <c r="U3271" s="14">
        <v>45881</v>
      </c>
      <c r="V3271" s="25"/>
      <c r="W3271" s="12"/>
      <c r="X3271" s="2">
        <v>10</v>
      </c>
      <c r="Y3271" s="11"/>
      <c r="Z3271" s="2" t="s">
        <v>36</v>
      </c>
      <c r="AA3271" s="13" t="s">
        <v>10340</v>
      </c>
      <c r="AB3271" s="13" t="s">
        <v>10341</v>
      </c>
    </row>
    <row r="3272" spans="1:28" ht="15" customHeight="1">
      <c r="A3272" s="2" t="s">
        <v>9678</v>
      </c>
      <c r="B3272" s="2" t="s">
        <v>368</v>
      </c>
      <c r="C3272" s="104" t="s">
        <v>4189</v>
      </c>
      <c r="D3272" s="2" t="s">
        <v>78</v>
      </c>
      <c r="E3272" s="2" t="s">
        <v>1297</v>
      </c>
      <c r="F3272" s="11" t="s">
        <v>4292</v>
      </c>
      <c r="G3272" s="46" t="s">
        <v>4293</v>
      </c>
      <c r="H3272" s="2" t="s">
        <v>2168</v>
      </c>
      <c r="I3272" s="10" t="s">
        <v>1301</v>
      </c>
      <c r="J3272" s="22">
        <f>+Tabla1[[#This Row],[FECHA ENTRADA]]</f>
        <v>45840</v>
      </c>
      <c r="K3272" s="22">
        <v>45891</v>
      </c>
      <c r="L3272" s="23">
        <f>_xlfn.DAYS(Tabla1[[#This Row],[FECHA FIN ]],Tabla1[[#This Row],[FECHA INICIO]])</f>
        <v>51</v>
      </c>
      <c r="M3272" s="12"/>
      <c r="N3272" s="24">
        <v>450</v>
      </c>
      <c r="O3272" s="24">
        <f>(Tabla1[[#This Row],[COSTO FIJO ]]/30)*Tabla1[[#This Row],[TOTAL DIAS PROYECTO]]+(Tabla1[[#This Row],[COSTO TEMPORAL]])</f>
        <v>765</v>
      </c>
      <c r="P3272" s="12"/>
      <c r="Q3272" s="12">
        <f>+(Tabla1[[#This Row],[COSTO COCHE]]/30)*Tabla1[[#This Row],[TOTAL DIAS PROYECTO]]</f>
        <v>0</v>
      </c>
      <c r="R3272" s="12">
        <f>+Tabla1[[#This Row],[COSTO TOTAL ALOJAMIENTO]]+Tabla1[[#This Row],[COSTO TOTAL COCHE]]</f>
        <v>765</v>
      </c>
      <c r="S3272" s="2"/>
      <c r="T3272" s="2" t="s">
        <v>44</v>
      </c>
      <c r="U3272" s="60">
        <v>45840</v>
      </c>
      <c r="V3272" s="25">
        <v>45891</v>
      </c>
      <c r="W3272" s="2"/>
      <c r="X3272" s="2"/>
      <c r="Y3272" s="11" t="s">
        <v>4904</v>
      </c>
      <c r="Z3272" s="2" t="s">
        <v>36</v>
      </c>
      <c r="AA3272" s="13" t="s">
        <v>10414</v>
      </c>
      <c r="AB3272" s="13">
        <v>5094783</v>
      </c>
    </row>
    <row r="3273" spans="1:28" ht="15" customHeight="1">
      <c r="A3273" s="2" t="s">
        <v>9679</v>
      </c>
      <c r="B3273" s="2" t="s">
        <v>368</v>
      </c>
      <c r="C3273" s="104" t="s">
        <v>4190</v>
      </c>
      <c r="D3273" s="2" t="s">
        <v>78</v>
      </c>
      <c r="E3273" s="2" t="s">
        <v>1297</v>
      </c>
      <c r="F3273" s="11" t="s">
        <v>4292</v>
      </c>
      <c r="G3273" s="46" t="s">
        <v>4293</v>
      </c>
      <c r="H3273" s="2" t="s">
        <v>2168</v>
      </c>
      <c r="I3273" s="10" t="s">
        <v>1301</v>
      </c>
      <c r="J3273" s="22">
        <f>+Tabla1[[#This Row],[FECHA ENTRADA]]</f>
        <v>45840</v>
      </c>
      <c r="K3273" s="22">
        <v>45891</v>
      </c>
      <c r="L3273" s="23">
        <f>_xlfn.DAYS(Tabla1[[#This Row],[FECHA FIN ]],Tabla1[[#This Row],[FECHA INICIO]])</f>
        <v>51</v>
      </c>
      <c r="M3273" s="12"/>
      <c r="N3273" s="24">
        <v>450</v>
      </c>
      <c r="O3273" s="24">
        <f>(Tabla1[[#This Row],[COSTO FIJO ]]/30)*Tabla1[[#This Row],[TOTAL DIAS PROYECTO]]+(Tabla1[[#This Row],[COSTO TEMPORAL]])</f>
        <v>765</v>
      </c>
      <c r="P3273" s="12"/>
      <c r="Q3273" s="12">
        <f>+(Tabla1[[#This Row],[COSTO COCHE]]/30)*Tabla1[[#This Row],[TOTAL DIAS PROYECTO]]</f>
        <v>0</v>
      </c>
      <c r="R3273" s="12">
        <f>+Tabla1[[#This Row],[COSTO TOTAL ALOJAMIENTO]]+Tabla1[[#This Row],[COSTO TOTAL COCHE]]</f>
        <v>765</v>
      </c>
      <c r="S3273" s="2"/>
      <c r="T3273" s="2" t="s">
        <v>44</v>
      </c>
      <c r="U3273" s="60">
        <v>45840</v>
      </c>
      <c r="V3273" s="25">
        <v>45891</v>
      </c>
      <c r="W3273" s="2"/>
      <c r="X3273" s="2"/>
      <c r="Y3273" s="11" t="s">
        <v>4904</v>
      </c>
      <c r="Z3273" s="2" t="s">
        <v>36</v>
      </c>
      <c r="AA3273" s="13" t="s">
        <v>10414</v>
      </c>
      <c r="AB3273" s="13">
        <v>5094783</v>
      </c>
    </row>
    <row r="3274" spans="1:28" ht="15" customHeight="1">
      <c r="A3274" s="2" t="s">
        <v>9155</v>
      </c>
      <c r="B3274" s="2" t="s">
        <v>368</v>
      </c>
      <c r="C3274" s="104" t="s">
        <v>2253</v>
      </c>
      <c r="D3274" s="2" t="s">
        <v>78</v>
      </c>
      <c r="E3274" s="2" t="s">
        <v>1297</v>
      </c>
      <c r="F3274" s="11" t="s">
        <v>4292</v>
      </c>
      <c r="G3274" s="49" t="s">
        <v>4293</v>
      </c>
      <c r="H3274" s="2" t="s">
        <v>4530</v>
      </c>
      <c r="I3274" s="12" t="s">
        <v>1301</v>
      </c>
      <c r="J3274" s="22">
        <f>+Tabla1[[#This Row],[FECHA ENTRADA]]</f>
        <v>45862</v>
      </c>
      <c r="K3274" s="22">
        <v>45891</v>
      </c>
      <c r="L3274" s="23">
        <f>_xlfn.DAYS(Tabla1[[#This Row],[FECHA FIN ]],Tabla1[[#This Row],[FECHA INICIO]])</f>
        <v>29</v>
      </c>
      <c r="M3274" s="12"/>
      <c r="N3274" s="20">
        <v>450</v>
      </c>
      <c r="O3274" s="24">
        <f>(Tabla1[[#This Row],[COSTO FIJO ]]/30)*Tabla1[[#This Row],[TOTAL DIAS PROYECTO]]+(Tabla1[[#This Row],[COSTO TEMPORAL]])</f>
        <v>435</v>
      </c>
      <c r="P3274" s="12"/>
      <c r="Q3274" s="12">
        <f>+(Tabla1[[#This Row],[COSTO COCHE]]/30)*Tabla1[[#This Row],[TOTAL DIAS PROYECTO]]</f>
        <v>0</v>
      </c>
      <c r="R3274" s="12">
        <f>+Tabla1[[#This Row],[COSTO TOTAL ALOJAMIENTO]]+Tabla1[[#This Row],[COSTO TOTAL COCHE]]</f>
        <v>435</v>
      </c>
      <c r="S3274" s="2"/>
      <c r="T3274" s="14" t="s">
        <v>44</v>
      </c>
      <c r="U3274" s="60">
        <v>45862</v>
      </c>
      <c r="V3274" s="79">
        <v>45891</v>
      </c>
      <c r="W3274" s="12"/>
      <c r="X3274" s="2"/>
      <c r="Y3274" s="11" t="s">
        <v>4904</v>
      </c>
      <c r="Z3274" s="2" t="s">
        <v>36</v>
      </c>
      <c r="AA3274" s="13" t="s">
        <v>10414</v>
      </c>
      <c r="AB3274" s="13">
        <v>5094783</v>
      </c>
    </row>
    <row r="3275" spans="1:28" ht="15" customHeight="1">
      <c r="A3275" s="2" t="s">
        <v>9085</v>
      </c>
      <c r="B3275" s="2" t="s">
        <v>711</v>
      </c>
      <c r="C3275" s="104" t="s">
        <v>1954</v>
      </c>
      <c r="D3275" s="2" t="s">
        <v>72</v>
      </c>
      <c r="E3275" s="2" t="s">
        <v>1955</v>
      </c>
      <c r="F3275" s="11" t="s">
        <v>4905</v>
      </c>
      <c r="G3275" s="46" t="s">
        <v>4906</v>
      </c>
      <c r="H3275" s="2" t="s">
        <v>1958</v>
      </c>
      <c r="I3275" s="12" t="s">
        <v>1959</v>
      </c>
      <c r="J3275" s="41">
        <f>+Tabla1[[#This Row],[FECHA ENTRADA]]</f>
        <v>45831</v>
      </c>
      <c r="K3275" s="41">
        <v>45891</v>
      </c>
      <c r="L3275" s="42">
        <f>_xlfn.DAYS(Tabla1[[#This Row],[FECHA FIN ]],Tabla1[[#This Row],[FECHA INICIO]])</f>
        <v>60</v>
      </c>
      <c r="M3275" s="12"/>
      <c r="N3275" s="12"/>
      <c r="O3275" s="28">
        <f>(Tabla1[[#This Row],[COSTO FIJO ]]/30)*Tabla1[[#This Row],[TOTAL DIAS PROYECTO]]+(Tabla1[[#This Row],[COSTO TEMPORAL]])</f>
        <v>0</v>
      </c>
      <c r="P3275" s="12"/>
      <c r="Q3275" s="12">
        <f>+(Tabla1[[#This Row],[COSTO COCHE]]/30)*Tabla1[[#This Row],[TOTAL DIAS PROYECTO]]</f>
        <v>0</v>
      </c>
      <c r="R3275" s="12">
        <f>+Tabla1[[#This Row],[COSTO TOTAL ALOJAMIENTO]]+Tabla1[[#This Row],[COSTO TOTAL COCHE]]</f>
        <v>0</v>
      </c>
      <c r="S3275" s="2" t="s">
        <v>84</v>
      </c>
      <c r="T3275" s="2" t="s">
        <v>528</v>
      </c>
      <c r="U3275" s="14">
        <v>45831</v>
      </c>
      <c r="V3275" s="43">
        <v>45891</v>
      </c>
      <c r="W3275" s="2"/>
      <c r="X3275" s="2"/>
      <c r="Y3275" s="11"/>
      <c r="Z3275" s="2" t="s">
        <v>36</v>
      </c>
      <c r="AA3275" s="13" t="s">
        <v>10433</v>
      </c>
      <c r="AB3275" s="13" t="s">
        <v>10434</v>
      </c>
    </row>
    <row r="3276" spans="1:28" ht="15" customHeight="1">
      <c r="A3276" s="2" t="s">
        <v>9086</v>
      </c>
      <c r="B3276" s="2" t="s">
        <v>711</v>
      </c>
      <c r="C3276" s="104" t="s">
        <v>1960</v>
      </c>
      <c r="D3276" s="2" t="s">
        <v>72</v>
      </c>
      <c r="E3276" s="2" t="s">
        <v>1955</v>
      </c>
      <c r="F3276" s="11" t="s">
        <v>4905</v>
      </c>
      <c r="G3276" s="46" t="s">
        <v>4906</v>
      </c>
      <c r="H3276" s="2" t="s">
        <v>1958</v>
      </c>
      <c r="I3276" s="12" t="s">
        <v>1959</v>
      </c>
      <c r="J3276" s="41">
        <f>+Tabla1[[#This Row],[FECHA ENTRADA]]</f>
        <v>45831</v>
      </c>
      <c r="K3276" s="41">
        <v>45891</v>
      </c>
      <c r="L3276" s="42">
        <f>_xlfn.DAYS(Tabla1[[#This Row],[FECHA FIN ]],Tabla1[[#This Row],[FECHA INICIO]])</f>
        <v>60</v>
      </c>
      <c r="M3276" s="12"/>
      <c r="N3276" s="12"/>
      <c r="O3276" s="28">
        <f>(Tabla1[[#This Row],[COSTO FIJO ]]/30)*Tabla1[[#This Row],[TOTAL DIAS PROYECTO]]+(Tabla1[[#This Row],[COSTO TEMPORAL]])</f>
        <v>0</v>
      </c>
      <c r="P3276" s="12"/>
      <c r="Q3276" s="12">
        <f>+(Tabla1[[#This Row],[COSTO COCHE]]/30)*Tabla1[[#This Row],[TOTAL DIAS PROYECTO]]</f>
        <v>0</v>
      </c>
      <c r="R3276" s="12">
        <f>+Tabla1[[#This Row],[COSTO TOTAL ALOJAMIENTO]]+Tabla1[[#This Row],[COSTO TOTAL COCHE]]</f>
        <v>0</v>
      </c>
      <c r="S3276" s="2" t="s">
        <v>84</v>
      </c>
      <c r="T3276" s="2" t="s">
        <v>528</v>
      </c>
      <c r="U3276" s="14">
        <v>45831</v>
      </c>
      <c r="V3276" s="43">
        <v>45891</v>
      </c>
      <c r="W3276" s="2"/>
      <c r="X3276" s="2"/>
      <c r="Y3276" s="11"/>
      <c r="Z3276" s="2" t="s">
        <v>36</v>
      </c>
      <c r="AA3276" s="13" t="s">
        <v>10433</v>
      </c>
      <c r="AB3276" s="13" t="s">
        <v>10434</v>
      </c>
    </row>
    <row r="3277" spans="1:28" ht="15" customHeight="1">
      <c r="A3277" s="2" t="s">
        <v>8642</v>
      </c>
      <c r="B3277" s="2" t="s">
        <v>978</v>
      </c>
      <c r="C3277" s="104" t="s">
        <v>4476</v>
      </c>
      <c r="D3277" s="2" t="s">
        <v>99</v>
      </c>
      <c r="E3277" s="2" t="s">
        <v>1443</v>
      </c>
      <c r="F3277" s="11" t="s">
        <v>4907</v>
      </c>
      <c r="G3277" s="11">
        <v>964711313</v>
      </c>
      <c r="H3277" s="2" t="s">
        <v>1738</v>
      </c>
      <c r="I3277" s="12" t="s">
        <v>4477</v>
      </c>
      <c r="J3277" s="22">
        <f>+Tabla1[[#This Row],[FECHA ENTRADA]]</f>
        <v>45881</v>
      </c>
      <c r="K3277" s="22">
        <v>45891</v>
      </c>
      <c r="L3277" s="23">
        <f>_xlfn.DAYS(Tabla1[[#This Row],[FECHA FIN ]],Tabla1[[#This Row],[FECHA INICIO]])</f>
        <v>10</v>
      </c>
      <c r="M3277" s="12"/>
      <c r="N3277" s="12">
        <v>262.5</v>
      </c>
      <c r="O3277" s="24">
        <f>(Tabla1[[#This Row],[COSTO FIJO ]]/30)*Tabla1[[#This Row],[TOTAL DIAS PROYECTO]]+(Tabla1[[#This Row],[COSTO TEMPORAL]])</f>
        <v>87.5</v>
      </c>
      <c r="P3277" s="12"/>
      <c r="Q3277" s="12">
        <f>+(Tabla1[[#This Row],[COSTO COCHE]]/30)*Tabla1[[#This Row],[TOTAL DIAS PROYECTO]]</f>
        <v>0</v>
      </c>
      <c r="R3277" s="12">
        <f>+Tabla1[[#This Row],[COSTO TOTAL ALOJAMIENTO]]+Tabla1[[#This Row],[COSTO TOTAL COCHE]]</f>
        <v>87.5</v>
      </c>
      <c r="S3277" s="2"/>
      <c r="T3277" s="14" t="s">
        <v>44</v>
      </c>
      <c r="U3277" s="14">
        <v>45881</v>
      </c>
      <c r="V3277" s="25">
        <v>45891</v>
      </c>
      <c r="W3277" s="26"/>
      <c r="X3277" s="12"/>
      <c r="Y3277" s="11" t="s">
        <v>4908</v>
      </c>
      <c r="Z3277" s="2" t="s">
        <v>36</v>
      </c>
      <c r="AA3277" s="13" t="s">
        <v>10420</v>
      </c>
      <c r="AB3277" s="13">
        <v>3907741</v>
      </c>
    </row>
    <row r="3278" spans="1:28" ht="15" customHeight="1">
      <c r="A3278" s="2" t="s">
        <v>9733</v>
      </c>
      <c r="B3278" s="2" t="s">
        <v>978</v>
      </c>
      <c r="C3278" s="104" t="s">
        <v>4478</v>
      </c>
      <c r="D3278" s="2" t="s">
        <v>99</v>
      </c>
      <c r="E3278" s="2" t="s">
        <v>1443</v>
      </c>
      <c r="F3278" s="11" t="s">
        <v>4907</v>
      </c>
      <c r="G3278" s="11">
        <v>964711313</v>
      </c>
      <c r="H3278" s="2" t="s">
        <v>1738</v>
      </c>
      <c r="I3278" s="12" t="s">
        <v>4477</v>
      </c>
      <c r="J3278" s="22">
        <f>+Tabla1[[#This Row],[FECHA ENTRADA]]</f>
        <v>45881</v>
      </c>
      <c r="K3278" s="22">
        <v>45891</v>
      </c>
      <c r="L3278" s="23">
        <f>_xlfn.DAYS(Tabla1[[#This Row],[FECHA FIN ]],Tabla1[[#This Row],[FECHA INICIO]])</f>
        <v>10</v>
      </c>
      <c r="M3278" s="12"/>
      <c r="N3278" s="12">
        <v>262.5</v>
      </c>
      <c r="O3278" s="24">
        <f>(Tabla1[[#This Row],[COSTO FIJO ]]/30)*Tabla1[[#This Row],[TOTAL DIAS PROYECTO]]+(Tabla1[[#This Row],[COSTO TEMPORAL]])</f>
        <v>87.5</v>
      </c>
      <c r="P3278" s="12"/>
      <c r="Q3278" s="12">
        <f>+(Tabla1[[#This Row],[COSTO COCHE]]/30)*Tabla1[[#This Row],[TOTAL DIAS PROYECTO]]</f>
        <v>0</v>
      </c>
      <c r="R3278" s="12">
        <f>+Tabla1[[#This Row],[COSTO TOTAL ALOJAMIENTO]]+Tabla1[[#This Row],[COSTO TOTAL COCHE]]</f>
        <v>87.5</v>
      </c>
      <c r="S3278" s="2"/>
      <c r="T3278" s="14" t="s">
        <v>44</v>
      </c>
      <c r="U3278" s="14">
        <v>45881</v>
      </c>
      <c r="V3278" s="25">
        <v>45891</v>
      </c>
      <c r="W3278" s="12"/>
      <c r="X3278" s="2"/>
      <c r="Y3278" s="11" t="s">
        <v>4908</v>
      </c>
      <c r="Z3278" s="2" t="s">
        <v>36</v>
      </c>
      <c r="AA3278" s="13" t="s">
        <v>10420</v>
      </c>
      <c r="AB3278" s="13">
        <v>3907741</v>
      </c>
    </row>
    <row r="3279" spans="1:28" ht="15" customHeight="1">
      <c r="A3279" s="2" t="s">
        <v>9328</v>
      </c>
      <c r="B3279" s="2" t="s">
        <v>978</v>
      </c>
      <c r="C3279" s="104" t="s">
        <v>2837</v>
      </c>
      <c r="D3279" s="2" t="s">
        <v>99</v>
      </c>
      <c r="E3279" s="2" t="s">
        <v>1443</v>
      </c>
      <c r="F3279" s="11" t="s">
        <v>4907</v>
      </c>
      <c r="G3279" s="11">
        <v>964711313</v>
      </c>
      <c r="H3279" s="2" t="s">
        <v>4612</v>
      </c>
      <c r="I3279" s="12" t="s">
        <v>4477</v>
      </c>
      <c r="J3279" s="22">
        <f>+Tabla1[[#This Row],[FECHA ENTRADA]]</f>
        <v>45881</v>
      </c>
      <c r="K3279" s="22">
        <v>45891</v>
      </c>
      <c r="L3279" s="23">
        <f>_xlfn.DAYS(Tabla1[[#This Row],[FECHA FIN ]],Tabla1[[#This Row],[FECHA INICIO]])</f>
        <v>10</v>
      </c>
      <c r="M3279" s="12"/>
      <c r="N3279" s="12">
        <v>262.5</v>
      </c>
      <c r="O3279" s="24">
        <f>(Tabla1[[#This Row],[COSTO FIJO ]]/30)*Tabla1[[#This Row],[TOTAL DIAS PROYECTO]]+(Tabla1[[#This Row],[COSTO TEMPORAL]])</f>
        <v>87.5</v>
      </c>
      <c r="P3279" s="12"/>
      <c r="Q3279" s="12">
        <f>+(Tabla1[[#This Row],[COSTO COCHE]]/30)*Tabla1[[#This Row],[TOTAL DIAS PROYECTO]]</f>
        <v>0</v>
      </c>
      <c r="R3279" s="12">
        <f>+Tabla1[[#This Row],[COSTO TOTAL ALOJAMIENTO]]+Tabla1[[#This Row],[COSTO TOTAL COCHE]]</f>
        <v>87.5</v>
      </c>
      <c r="S3279" s="2"/>
      <c r="T3279" s="14" t="s">
        <v>44</v>
      </c>
      <c r="U3279" s="14">
        <v>45881</v>
      </c>
      <c r="V3279" s="25">
        <v>45891</v>
      </c>
      <c r="W3279" s="12"/>
      <c r="X3279" s="2"/>
      <c r="Y3279" s="11" t="s">
        <v>4908</v>
      </c>
      <c r="Z3279" s="2" t="s">
        <v>36</v>
      </c>
      <c r="AA3279" s="13" t="s">
        <v>10420</v>
      </c>
      <c r="AB3279" s="13">
        <v>3907741</v>
      </c>
    </row>
    <row r="3280" spans="1:28" ht="15" customHeight="1">
      <c r="A3280" s="2" t="s">
        <v>9756</v>
      </c>
      <c r="B3280" s="2" t="s">
        <v>978</v>
      </c>
      <c r="C3280" s="104" t="s">
        <v>4574</v>
      </c>
      <c r="D3280" s="2" t="s">
        <v>99</v>
      </c>
      <c r="E3280" s="2" t="s">
        <v>1443</v>
      </c>
      <c r="F3280" s="11" t="s">
        <v>4907</v>
      </c>
      <c r="G3280" s="11">
        <v>964711313</v>
      </c>
      <c r="H3280" s="2" t="s">
        <v>4612</v>
      </c>
      <c r="I3280" s="12" t="s">
        <v>4477</v>
      </c>
      <c r="J3280" s="22">
        <f>+Tabla1[[#This Row],[FECHA ENTRADA]]</f>
        <v>45881</v>
      </c>
      <c r="K3280" s="22">
        <v>45891</v>
      </c>
      <c r="L3280" s="23">
        <f>_xlfn.DAYS(Tabla1[[#This Row],[FECHA FIN ]],Tabla1[[#This Row],[FECHA INICIO]])</f>
        <v>10</v>
      </c>
      <c r="M3280" s="12"/>
      <c r="N3280" s="12">
        <v>262.5</v>
      </c>
      <c r="O3280" s="24">
        <f>(Tabla1[[#This Row],[COSTO FIJO ]]/30)*Tabla1[[#This Row],[TOTAL DIAS PROYECTO]]+(Tabla1[[#This Row],[COSTO TEMPORAL]])</f>
        <v>87.5</v>
      </c>
      <c r="P3280" s="12"/>
      <c r="Q3280" s="12">
        <f>+(Tabla1[[#This Row],[COSTO COCHE]]/30)*Tabla1[[#This Row],[TOTAL DIAS PROYECTO]]</f>
        <v>0</v>
      </c>
      <c r="R3280" s="12">
        <f>+Tabla1[[#This Row],[COSTO TOTAL ALOJAMIENTO]]+Tabla1[[#This Row],[COSTO TOTAL COCHE]]</f>
        <v>87.5</v>
      </c>
      <c r="S3280" s="2"/>
      <c r="T3280" s="14" t="s">
        <v>44</v>
      </c>
      <c r="U3280" s="14">
        <v>45881</v>
      </c>
      <c r="V3280" s="25">
        <v>45891</v>
      </c>
      <c r="W3280" s="12"/>
      <c r="X3280" s="2"/>
      <c r="Y3280" s="11" t="s">
        <v>4908</v>
      </c>
      <c r="Z3280" s="2" t="s">
        <v>36</v>
      </c>
      <c r="AA3280" s="13" t="s">
        <v>10420</v>
      </c>
      <c r="AB3280" s="13">
        <v>3907741</v>
      </c>
    </row>
    <row r="3281" spans="1:28" ht="15" customHeight="1">
      <c r="A3281" s="2" t="s">
        <v>9820</v>
      </c>
      <c r="B3281" s="2" t="s">
        <v>368</v>
      </c>
      <c r="C3281" s="104" t="s">
        <v>4909</v>
      </c>
      <c r="D3281" s="2" t="s">
        <v>78</v>
      </c>
      <c r="E3281" s="2" t="s">
        <v>1297</v>
      </c>
      <c r="F3281" s="11" t="s">
        <v>4910</v>
      </c>
      <c r="G3281" s="21" t="s">
        <v>4911</v>
      </c>
      <c r="H3281" s="2" t="s">
        <v>4912</v>
      </c>
      <c r="I3281" s="10" t="s">
        <v>1301</v>
      </c>
      <c r="J3281" s="22">
        <f>+Tabla1[[#This Row],[FECHA ENTRADA]]</f>
        <v>45861</v>
      </c>
      <c r="K3281" s="22">
        <v>45891</v>
      </c>
      <c r="L3281" s="23">
        <f>_xlfn.DAYS(Tabla1[[#This Row],[FECHA FIN ]],Tabla1[[#This Row],[FECHA INICIO]])</f>
        <v>30</v>
      </c>
      <c r="M3281" s="12"/>
      <c r="N3281" s="12">
        <v>666.66666666666663</v>
      </c>
      <c r="O3281" s="24">
        <f>(Tabla1[[#This Row],[COSTO FIJO ]]/30)*Tabla1[[#This Row],[TOTAL DIAS PROYECTO]]+(Tabla1[[#This Row],[COSTO TEMPORAL]])</f>
        <v>666.66666666666663</v>
      </c>
      <c r="P3281" s="12"/>
      <c r="Q3281" s="12">
        <f>+(Tabla1[[#This Row],[COSTO COCHE]]/30)*Tabla1[[#This Row],[TOTAL DIAS PROYECTO]]</f>
        <v>0</v>
      </c>
      <c r="R3281" s="12">
        <f>+Tabla1[[#This Row],[COSTO TOTAL ALOJAMIENTO]]+Tabla1[[#This Row],[COSTO TOTAL COCHE]]</f>
        <v>666.66666666666663</v>
      </c>
      <c r="S3281" s="2"/>
      <c r="T3281" s="14" t="s">
        <v>44</v>
      </c>
      <c r="U3281" s="14">
        <v>45861</v>
      </c>
      <c r="V3281" s="79">
        <v>45892</v>
      </c>
      <c r="W3281" s="12"/>
      <c r="X3281" s="2"/>
      <c r="Y3281" s="11" t="s">
        <v>4904</v>
      </c>
      <c r="Z3281" s="2" t="s">
        <v>36</v>
      </c>
      <c r="AA3281" s="13" t="s">
        <v>10414</v>
      </c>
      <c r="AB3281" s="13">
        <v>5094783</v>
      </c>
    </row>
    <row r="3282" spans="1:28" ht="15" customHeight="1">
      <c r="A3282" s="2" t="s">
        <v>9130</v>
      </c>
      <c r="B3282" s="2" t="s">
        <v>368</v>
      </c>
      <c r="C3282" s="104" t="s">
        <v>2126</v>
      </c>
      <c r="D3282" s="2" t="s">
        <v>78</v>
      </c>
      <c r="E3282" s="2" t="s">
        <v>1297</v>
      </c>
      <c r="F3282" s="11" t="s">
        <v>4910</v>
      </c>
      <c r="G3282" s="21" t="s">
        <v>4911</v>
      </c>
      <c r="H3282" s="2" t="s">
        <v>4912</v>
      </c>
      <c r="I3282" s="29" t="s">
        <v>1301</v>
      </c>
      <c r="J3282" s="22">
        <f>+Tabla1[[#This Row],[FECHA ENTRADA]]</f>
        <v>45861</v>
      </c>
      <c r="K3282" s="22">
        <v>45891</v>
      </c>
      <c r="L3282" s="23">
        <f>_xlfn.DAYS(Tabla1[[#This Row],[FECHA FIN ]],Tabla1[[#This Row],[FECHA INICIO]])</f>
        <v>30</v>
      </c>
      <c r="M3282" s="12"/>
      <c r="N3282" s="12">
        <v>666.66666666666663</v>
      </c>
      <c r="O3282" s="24">
        <f>(Tabla1[[#This Row],[COSTO FIJO ]]/30)*Tabla1[[#This Row],[TOTAL DIAS PROYECTO]]+(Tabla1[[#This Row],[COSTO TEMPORAL]])</f>
        <v>666.66666666666663</v>
      </c>
      <c r="P3282" s="12"/>
      <c r="Q3282" s="12">
        <f>+(Tabla1[[#This Row],[COSTO COCHE]]/30)*Tabla1[[#This Row],[TOTAL DIAS PROYECTO]]</f>
        <v>0</v>
      </c>
      <c r="R3282" s="12">
        <f>+Tabla1[[#This Row],[COSTO TOTAL ALOJAMIENTO]]+Tabla1[[#This Row],[COSTO TOTAL COCHE]]</f>
        <v>666.66666666666663</v>
      </c>
      <c r="S3282" s="2"/>
      <c r="T3282" s="14" t="s">
        <v>44</v>
      </c>
      <c r="U3282" s="14">
        <v>45861</v>
      </c>
      <c r="V3282" s="79">
        <v>45892</v>
      </c>
      <c r="W3282" s="12"/>
      <c r="X3282" s="2"/>
      <c r="Y3282" s="11" t="s">
        <v>4904</v>
      </c>
      <c r="Z3282" s="2" t="s">
        <v>36</v>
      </c>
      <c r="AA3282" s="13" t="s">
        <v>10414</v>
      </c>
      <c r="AB3282" s="13">
        <v>5094783</v>
      </c>
    </row>
    <row r="3283" spans="1:28" ht="15" customHeight="1">
      <c r="A3283" s="2" t="s">
        <v>9029</v>
      </c>
      <c r="B3283" s="2" t="s">
        <v>368</v>
      </c>
      <c r="C3283" s="104" t="s">
        <v>1739</v>
      </c>
      <c r="D3283" s="2" t="s">
        <v>78</v>
      </c>
      <c r="E3283" s="2" t="s">
        <v>1297</v>
      </c>
      <c r="F3283" s="11" t="s">
        <v>4910</v>
      </c>
      <c r="G3283" s="21" t="s">
        <v>4911</v>
      </c>
      <c r="H3283" s="2" t="s">
        <v>4912</v>
      </c>
      <c r="I3283" s="10" t="s">
        <v>1301</v>
      </c>
      <c r="J3283" s="22">
        <f>+Tabla1[[#This Row],[FECHA ENTRADA]]</f>
        <v>45861</v>
      </c>
      <c r="K3283" s="22">
        <v>45891</v>
      </c>
      <c r="L3283" s="23">
        <f>_xlfn.DAYS(Tabla1[[#This Row],[FECHA FIN ]],Tabla1[[#This Row],[FECHA INICIO]])</f>
        <v>30</v>
      </c>
      <c r="M3283" s="12"/>
      <c r="N3283" s="12">
        <v>666.66666666666663</v>
      </c>
      <c r="O3283" s="24">
        <f>(Tabla1[[#This Row],[COSTO FIJO ]]/30)*Tabla1[[#This Row],[TOTAL DIAS PROYECTO]]+(Tabla1[[#This Row],[COSTO TEMPORAL]])</f>
        <v>666.66666666666663</v>
      </c>
      <c r="P3283" s="12"/>
      <c r="Q3283" s="12">
        <f>+(Tabla1[[#This Row],[COSTO COCHE]]/30)*Tabla1[[#This Row],[TOTAL DIAS PROYECTO]]</f>
        <v>0</v>
      </c>
      <c r="R3283" s="12">
        <f>+Tabla1[[#This Row],[COSTO TOTAL ALOJAMIENTO]]+Tabla1[[#This Row],[COSTO TOTAL COCHE]]</f>
        <v>666.66666666666663</v>
      </c>
      <c r="S3283" s="2"/>
      <c r="T3283" s="14" t="s">
        <v>44</v>
      </c>
      <c r="U3283" s="14">
        <v>45861</v>
      </c>
      <c r="V3283" s="79">
        <v>45892</v>
      </c>
      <c r="W3283" s="12"/>
      <c r="X3283" s="2"/>
      <c r="Y3283" s="11" t="s">
        <v>4904</v>
      </c>
      <c r="Z3283" s="2" t="s">
        <v>36</v>
      </c>
      <c r="AA3283" s="13" t="s">
        <v>10414</v>
      </c>
      <c r="AB3283" s="13">
        <v>5094783</v>
      </c>
    </row>
    <row r="3284" spans="1:28" ht="15" customHeight="1">
      <c r="A3284" s="2" t="s">
        <v>9450</v>
      </c>
      <c r="B3284" s="2" t="s">
        <v>368</v>
      </c>
      <c r="C3284" s="104" t="s">
        <v>3224</v>
      </c>
      <c r="D3284" s="2" t="s">
        <v>78</v>
      </c>
      <c r="E3284" s="2" t="s">
        <v>1297</v>
      </c>
      <c r="F3284" s="11" t="s">
        <v>4910</v>
      </c>
      <c r="G3284" s="21" t="s">
        <v>4911</v>
      </c>
      <c r="H3284" s="2" t="s">
        <v>4912</v>
      </c>
      <c r="I3284" s="10" t="s">
        <v>1301</v>
      </c>
      <c r="J3284" s="22">
        <f>+Tabla1[[#This Row],[FECHA ENTRADA]]</f>
        <v>45861</v>
      </c>
      <c r="K3284" s="22">
        <v>45891</v>
      </c>
      <c r="L3284" s="23">
        <f>_xlfn.DAYS(Tabla1[[#This Row],[FECHA FIN ]],Tabla1[[#This Row],[FECHA INICIO]])</f>
        <v>30</v>
      </c>
      <c r="M3284" s="12"/>
      <c r="N3284" s="12">
        <v>666.66666666666663</v>
      </c>
      <c r="O3284" s="24">
        <f>(Tabla1[[#This Row],[COSTO FIJO ]]/30)*Tabla1[[#This Row],[TOTAL DIAS PROYECTO]]+(Tabla1[[#This Row],[COSTO TEMPORAL]])</f>
        <v>666.66666666666663</v>
      </c>
      <c r="P3284" s="12"/>
      <c r="Q3284" s="12">
        <f>+(Tabla1[[#This Row],[COSTO COCHE]]/30)*Tabla1[[#This Row],[TOTAL DIAS PROYECTO]]</f>
        <v>0</v>
      </c>
      <c r="R3284" s="12">
        <f>+Tabla1[[#This Row],[COSTO TOTAL ALOJAMIENTO]]+Tabla1[[#This Row],[COSTO TOTAL COCHE]]</f>
        <v>666.66666666666663</v>
      </c>
      <c r="S3284" s="2"/>
      <c r="T3284" s="14" t="s">
        <v>44</v>
      </c>
      <c r="U3284" s="14">
        <v>45861</v>
      </c>
      <c r="V3284" s="79">
        <v>45892</v>
      </c>
      <c r="W3284" s="12"/>
      <c r="X3284" s="2"/>
      <c r="Y3284" s="11" t="s">
        <v>4904</v>
      </c>
      <c r="Z3284" s="2" t="s">
        <v>36</v>
      </c>
      <c r="AA3284" s="13" t="s">
        <v>10414</v>
      </c>
      <c r="AB3284" s="13">
        <v>5094783</v>
      </c>
    </row>
    <row r="3285" spans="1:28" ht="15" customHeight="1">
      <c r="A3285" s="2" t="s">
        <v>9804</v>
      </c>
      <c r="B3285" s="2" t="s">
        <v>711</v>
      </c>
      <c r="C3285" s="104" t="s">
        <v>4822</v>
      </c>
      <c r="D3285" s="2" t="s">
        <v>30</v>
      </c>
      <c r="E3285" s="2" t="s">
        <v>608</v>
      </c>
      <c r="F3285" s="11" t="s">
        <v>4913</v>
      </c>
      <c r="G3285" s="21">
        <v>947270205</v>
      </c>
      <c r="H3285" s="2" t="s">
        <v>4824</v>
      </c>
      <c r="I3285" s="12" t="s">
        <v>4825</v>
      </c>
      <c r="J3285" s="41">
        <f>+Tabla1[[#This Row],[FECHA ENTRADA]]</f>
        <v>45891</v>
      </c>
      <c r="K3285" s="41">
        <v>45891</v>
      </c>
      <c r="L3285" s="42">
        <f>_xlfn.DAYS(Tabla1[[#This Row],[FECHA FIN ]],Tabla1[[#This Row],[FECHA INICIO]])</f>
        <v>0</v>
      </c>
      <c r="M3285" s="12"/>
      <c r="N3285" s="12">
        <f>805.2/10</f>
        <v>80.52000000000001</v>
      </c>
      <c r="O3285" s="28">
        <f>(Tabla1[[#This Row],[COSTO FIJO ]]/30)*Tabla1[[#This Row],[TOTAL DIAS PROYECTO]]+(Tabla1[[#This Row],[COSTO TEMPORAL]])</f>
        <v>0</v>
      </c>
      <c r="P3285" s="12"/>
      <c r="Q3285" s="12">
        <f>+(Tabla1[[#This Row],[COSTO COCHE]]/30)*Tabla1[[#This Row],[TOTAL DIAS PROYECTO]]</f>
        <v>0</v>
      </c>
      <c r="R3285" s="12">
        <f>+Tabla1[[#This Row],[COSTO TOTAL ALOJAMIENTO]]+Tabla1[[#This Row],[COSTO TOTAL COCHE]]</f>
        <v>0</v>
      </c>
      <c r="S3285" s="2"/>
      <c r="T3285" s="14" t="s">
        <v>44</v>
      </c>
      <c r="U3285" s="14">
        <v>45891</v>
      </c>
      <c r="V3285" s="43">
        <v>45895</v>
      </c>
      <c r="W3285" s="12"/>
      <c r="X3285" s="2"/>
      <c r="Y3285" s="254" t="s">
        <v>4914</v>
      </c>
      <c r="Z3285" s="2" t="s">
        <v>36</v>
      </c>
      <c r="AA3285" s="13" t="s">
        <v>10383</v>
      </c>
      <c r="AB3285" s="13" t="s">
        <v>10384</v>
      </c>
    </row>
    <row r="3286" spans="1:28" ht="15" customHeight="1">
      <c r="A3286" s="2" t="s">
        <v>9805</v>
      </c>
      <c r="B3286" s="2" t="s">
        <v>711</v>
      </c>
      <c r="C3286" s="104" t="s">
        <v>4827</v>
      </c>
      <c r="D3286" s="2" t="s">
        <v>30</v>
      </c>
      <c r="E3286" s="2" t="s">
        <v>608</v>
      </c>
      <c r="F3286" s="11" t="s">
        <v>4913</v>
      </c>
      <c r="G3286" s="21">
        <v>947270205</v>
      </c>
      <c r="H3286" s="2" t="s">
        <v>4824</v>
      </c>
      <c r="I3286" s="12" t="s">
        <v>4825</v>
      </c>
      <c r="J3286" s="41">
        <f>+Tabla1[[#This Row],[FECHA ENTRADA]]</f>
        <v>45891</v>
      </c>
      <c r="K3286" s="41">
        <v>45891</v>
      </c>
      <c r="L3286" s="42">
        <f>_xlfn.DAYS(Tabla1[[#This Row],[FECHA FIN ]],Tabla1[[#This Row],[FECHA INICIO]])</f>
        <v>0</v>
      </c>
      <c r="M3286" s="12"/>
      <c r="N3286" s="12">
        <f>805.2/10</f>
        <v>80.52000000000001</v>
      </c>
      <c r="O3286" s="28">
        <f>(Tabla1[[#This Row],[COSTO FIJO ]]/30)*Tabla1[[#This Row],[TOTAL DIAS PROYECTO]]+(Tabla1[[#This Row],[COSTO TEMPORAL]])</f>
        <v>0</v>
      </c>
      <c r="P3286" s="12"/>
      <c r="Q3286" s="12">
        <f>+(Tabla1[[#This Row],[COSTO COCHE]]/30)*Tabla1[[#This Row],[TOTAL DIAS PROYECTO]]</f>
        <v>0</v>
      </c>
      <c r="R3286" s="12">
        <f>+Tabla1[[#This Row],[COSTO TOTAL ALOJAMIENTO]]+Tabla1[[#This Row],[COSTO TOTAL COCHE]]</f>
        <v>0</v>
      </c>
      <c r="S3286" s="2"/>
      <c r="T3286" s="14" t="s">
        <v>44</v>
      </c>
      <c r="U3286" s="14">
        <v>45891</v>
      </c>
      <c r="V3286" s="43">
        <v>45895</v>
      </c>
      <c r="W3286" s="12"/>
      <c r="X3286" s="2"/>
      <c r="Y3286" s="254" t="s">
        <v>4914</v>
      </c>
      <c r="Z3286" s="2" t="s">
        <v>36</v>
      </c>
      <c r="AA3286" s="13" t="s">
        <v>10383</v>
      </c>
      <c r="AB3286" s="13" t="s">
        <v>10384</v>
      </c>
    </row>
    <row r="3287" spans="1:28" ht="15" customHeight="1">
      <c r="A3287" s="2" t="s">
        <v>9806</v>
      </c>
      <c r="B3287" s="2" t="s">
        <v>711</v>
      </c>
      <c r="C3287" s="104" t="s">
        <v>4829</v>
      </c>
      <c r="D3287" s="2" t="s">
        <v>30</v>
      </c>
      <c r="E3287" s="2" t="s">
        <v>608</v>
      </c>
      <c r="F3287" s="11" t="s">
        <v>4913</v>
      </c>
      <c r="G3287" s="21">
        <v>947270205</v>
      </c>
      <c r="H3287" s="2" t="s">
        <v>4824</v>
      </c>
      <c r="I3287" s="12" t="s">
        <v>4825</v>
      </c>
      <c r="J3287" s="41">
        <f>+Tabla1[[#This Row],[FECHA ENTRADA]]</f>
        <v>45891</v>
      </c>
      <c r="K3287" s="41">
        <v>45891</v>
      </c>
      <c r="L3287" s="42">
        <f>_xlfn.DAYS(Tabla1[[#This Row],[FECHA FIN ]],Tabla1[[#This Row],[FECHA INICIO]])</f>
        <v>0</v>
      </c>
      <c r="M3287" s="12"/>
      <c r="N3287" s="12">
        <f>805.2/10</f>
        <v>80.52000000000001</v>
      </c>
      <c r="O3287" s="28">
        <f>(Tabla1[[#This Row],[COSTO FIJO ]]/30)*Tabla1[[#This Row],[TOTAL DIAS PROYECTO]]+(Tabla1[[#This Row],[COSTO TEMPORAL]])</f>
        <v>0</v>
      </c>
      <c r="P3287" s="12"/>
      <c r="Q3287" s="12">
        <f>+(Tabla1[[#This Row],[COSTO COCHE]]/30)*Tabla1[[#This Row],[TOTAL DIAS PROYECTO]]</f>
        <v>0</v>
      </c>
      <c r="R3287" s="12">
        <f>+Tabla1[[#This Row],[COSTO TOTAL ALOJAMIENTO]]+Tabla1[[#This Row],[COSTO TOTAL COCHE]]</f>
        <v>0</v>
      </c>
      <c r="S3287" s="2"/>
      <c r="T3287" s="14" t="s">
        <v>44</v>
      </c>
      <c r="U3287" s="14">
        <v>45891</v>
      </c>
      <c r="V3287" s="43">
        <v>45895</v>
      </c>
      <c r="W3287" s="12"/>
      <c r="X3287" s="2"/>
      <c r="Y3287" s="254" t="s">
        <v>4914</v>
      </c>
      <c r="Z3287" s="2" t="s">
        <v>36</v>
      </c>
      <c r="AA3287" s="13" t="s">
        <v>10383</v>
      </c>
      <c r="AB3287" s="13" t="s">
        <v>10384</v>
      </c>
    </row>
    <row r="3288" spans="1:28" ht="15" customHeight="1">
      <c r="A3288" s="2" t="s">
        <v>8974</v>
      </c>
      <c r="B3288" s="2" t="s">
        <v>28</v>
      </c>
      <c r="C3288" s="104" t="s">
        <v>1564</v>
      </c>
      <c r="D3288" s="2" t="s">
        <v>30</v>
      </c>
      <c r="E3288" s="2" t="s">
        <v>61</v>
      </c>
      <c r="F3288" s="11" t="s">
        <v>4915</v>
      </c>
      <c r="G3288" s="11" t="s">
        <v>4807</v>
      </c>
      <c r="H3288" s="2" t="s">
        <v>4808</v>
      </c>
      <c r="I3288" s="12" t="s">
        <v>118</v>
      </c>
      <c r="J3288" s="22">
        <f>+Tabla1[[#This Row],[FECHA ENTRADA]]</f>
        <v>45883</v>
      </c>
      <c r="K3288" s="22">
        <v>45891</v>
      </c>
      <c r="L3288" s="23">
        <f>_xlfn.DAYS(Tabla1[[#This Row],[FECHA FIN ]],Tabla1[[#This Row],[FECHA INICIO]])</f>
        <v>8</v>
      </c>
      <c r="M3288" s="12"/>
      <c r="N3288" s="12">
        <v>376</v>
      </c>
      <c r="O3288" s="24">
        <f>(Tabla1[[#This Row],[COSTO FIJO ]]/30)*Tabla1[[#This Row],[TOTAL DIAS PROYECTO]]+(Tabla1[[#This Row],[COSTO TEMPORAL]])</f>
        <v>100.26666666666667</v>
      </c>
      <c r="P3288" s="12"/>
      <c r="Q3288" s="12">
        <f>+(Tabla1[[#This Row],[COSTO COCHE]]/30)*Tabla1[[#This Row],[TOTAL DIAS PROYECTO]]</f>
        <v>0</v>
      </c>
      <c r="R3288" s="12">
        <f>+Tabla1[[#This Row],[COSTO TOTAL ALOJAMIENTO]]+Tabla1[[#This Row],[COSTO TOTAL COCHE]]</f>
        <v>100.26666666666667</v>
      </c>
      <c r="S3288" s="2"/>
      <c r="T3288" s="14" t="s">
        <v>44</v>
      </c>
      <c r="U3288" s="14">
        <v>45883</v>
      </c>
      <c r="V3288" s="79">
        <v>45895</v>
      </c>
      <c r="W3288" s="12"/>
      <c r="X3288" s="2"/>
      <c r="Y3288" s="11"/>
      <c r="Z3288" s="2" t="s">
        <v>36</v>
      </c>
      <c r="AA3288" s="13" t="s">
        <v>10329</v>
      </c>
      <c r="AB3288" s="13" t="s">
        <v>10330</v>
      </c>
    </row>
    <row r="3289" spans="1:28" ht="15" customHeight="1">
      <c r="A3289" s="2" t="s">
        <v>9306</v>
      </c>
      <c r="B3289" s="2" t="s">
        <v>28</v>
      </c>
      <c r="C3289" s="104" t="s">
        <v>2762</v>
      </c>
      <c r="D3289" s="2" t="s">
        <v>99</v>
      </c>
      <c r="E3289" s="2" t="s">
        <v>626</v>
      </c>
      <c r="F3289" s="11" t="s">
        <v>4726</v>
      </c>
      <c r="G3289" s="21" t="s">
        <v>4727</v>
      </c>
      <c r="H3289" s="2" t="s">
        <v>4916</v>
      </c>
      <c r="I3289" s="2" t="s">
        <v>570</v>
      </c>
      <c r="J3289" s="22">
        <f>+Tabla1[[#This Row],[FECHA ENTRADA]]</f>
        <v>45876</v>
      </c>
      <c r="K3289" s="22">
        <v>45891</v>
      </c>
      <c r="L3289" s="23">
        <f>_xlfn.DAYS(Tabla1[[#This Row],[FECHA FIN ]],Tabla1[[#This Row],[FECHA INICIO]])</f>
        <v>15</v>
      </c>
      <c r="M3289" s="12"/>
      <c r="N3289" s="12"/>
      <c r="O3289" s="24">
        <f>(Tabla1[[#This Row],[COSTO FIJO ]]/30)*Tabla1[[#This Row],[TOTAL DIAS PROYECTO]]+(Tabla1[[#This Row],[COSTO TEMPORAL]])</f>
        <v>0</v>
      </c>
      <c r="P3289" s="12"/>
      <c r="Q3289" s="12">
        <f>+(Tabla1[[#This Row],[COSTO COCHE]]/30)*Tabla1[[#This Row],[TOTAL DIAS PROYECTO]]</f>
        <v>0</v>
      </c>
      <c r="R3289" s="12">
        <f>+Tabla1[[#This Row],[COSTO TOTAL ALOJAMIENTO]]+Tabla1[[#This Row],[COSTO TOTAL COCHE]]</f>
        <v>0</v>
      </c>
      <c r="S3289" s="2"/>
      <c r="T3289" s="14" t="s">
        <v>44</v>
      </c>
      <c r="U3289" s="14">
        <v>45876</v>
      </c>
      <c r="V3289" s="79">
        <v>45895</v>
      </c>
      <c r="W3289" s="12"/>
      <c r="X3289" s="2"/>
      <c r="Y3289" s="11" t="s">
        <v>4917</v>
      </c>
      <c r="Z3289" s="2" t="s">
        <v>36</v>
      </c>
      <c r="AA3289" s="13" t="s">
        <v>10385</v>
      </c>
      <c r="AB3289" s="13" t="s">
        <v>10386</v>
      </c>
    </row>
    <row r="3290" spans="1:28" ht="15" customHeight="1">
      <c r="A3290" s="2" t="s">
        <v>9821</v>
      </c>
      <c r="B3290" s="2" t="s">
        <v>711</v>
      </c>
      <c r="C3290" s="104" t="s">
        <v>4918</v>
      </c>
      <c r="D3290" s="2" t="s">
        <v>30</v>
      </c>
      <c r="E3290" s="2" t="s">
        <v>608</v>
      </c>
      <c r="F3290" s="11" t="s">
        <v>4919</v>
      </c>
      <c r="G3290" s="21" t="s">
        <v>4920</v>
      </c>
      <c r="H3290" s="2" t="s">
        <v>4921</v>
      </c>
      <c r="I3290" s="12" t="s">
        <v>4825</v>
      </c>
      <c r="J3290" s="41">
        <f>+Tabla1[[#This Row],[FECHA ENTRADA]]</f>
        <v>45891</v>
      </c>
      <c r="K3290" s="22">
        <v>45891</v>
      </c>
      <c r="L3290" s="42">
        <f>_xlfn.DAYS(Tabla1[[#This Row],[FECHA FIN ]],Tabla1[[#This Row],[FECHA INICIO]])</f>
        <v>0</v>
      </c>
      <c r="M3290" s="12"/>
      <c r="N3290" s="12"/>
      <c r="O3290" s="28">
        <f>(Tabla1[[#This Row],[COSTO FIJO ]]/30)*Tabla1[[#This Row],[TOTAL DIAS PROYECTO]]+(Tabla1[[#This Row],[COSTO TEMPORAL]])</f>
        <v>0</v>
      </c>
      <c r="P3290" s="12"/>
      <c r="Q3290" s="12">
        <f>+(Tabla1[[#This Row],[COSTO COCHE]]/30)*Tabla1[[#This Row],[TOTAL DIAS PROYECTO]]</f>
        <v>0</v>
      </c>
      <c r="R3290" s="12">
        <f>+Tabla1[[#This Row],[COSTO TOTAL ALOJAMIENTO]]+Tabla1[[#This Row],[COSTO TOTAL COCHE]]</f>
        <v>0</v>
      </c>
      <c r="S3290" s="2" t="s">
        <v>84</v>
      </c>
      <c r="T3290" s="14" t="s">
        <v>44</v>
      </c>
      <c r="U3290" s="14">
        <v>45891</v>
      </c>
      <c r="V3290" s="43">
        <v>45903</v>
      </c>
      <c r="W3290" s="12"/>
      <c r="X3290" s="2"/>
      <c r="Y3290" s="254" t="s">
        <v>4914</v>
      </c>
      <c r="Z3290" s="2" t="s">
        <v>36</v>
      </c>
      <c r="AA3290" s="13" t="s">
        <v>10383</v>
      </c>
      <c r="AB3290" s="13" t="s">
        <v>10384</v>
      </c>
    </row>
    <row r="3291" spans="1:28" ht="15" customHeight="1">
      <c r="A3291" s="2" t="s">
        <v>9822</v>
      </c>
      <c r="B3291" s="2" t="s">
        <v>711</v>
      </c>
      <c r="C3291" s="104" t="s">
        <v>4922</v>
      </c>
      <c r="D3291" s="2" t="s">
        <v>30</v>
      </c>
      <c r="E3291" s="2" t="s">
        <v>608</v>
      </c>
      <c r="F3291" s="11" t="s">
        <v>4919</v>
      </c>
      <c r="G3291" s="21" t="s">
        <v>4920</v>
      </c>
      <c r="H3291" s="2" t="s">
        <v>4921</v>
      </c>
      <c r="I3291" s="12" t="s">
        <v>4825</v>
      </c>
      <c r="J3291" s="41">
        <f>+Tabla1[[#This Row],[FECHA ENTRADA]]</f>
        <v>45891</v>
      </c>
      <c r="K3291" s="22">
        <v>45891</v>
      </c>
      <c r="L3291" s="42">
        <f>_xlfn.DAYS(Tabla1[[#This Row],[FECHA FIN ]],Tabla1[[#This Row],[FECHA INICIO]])</f>
        <v>0</v>
      </c>
      <c r="M3291" s="12"/>
      <c r="N3291" s="12"/>
      <c r="O3291" s="28">
        <f>(Tabla1[[#This Row],[COSTO FIJO ]]/30)*Tabla1[[#This Row],[TOTAL DIAS PROYECTO]]+(Tabla1[[#This Row],[COSTO TEMPORAL]])</f>
        <v>0</v>
      </c>
      <c r="P3291" s="12"/>
      <c r="Q3291" s="12">
        <f>+(Tabla1[[#This Row],[COSTO COCHE]]/30)*Tabla1[[#This Row],[TOTAL DIAS PROYECTO]]</f>
        <v>0</v>
      </c>
      <c r="R3291" s="12">
        <f>+Tabla1[[#This Row],[COSTO TOTAL ALOJAMIENTO]]+Tabla1[[#This Row],[COSTO TOTAL COCHE]]</f>
        <v>0</v>
      </c>
      <c r="S3291" s="2" t="s">
        <v>84</v>
      </c>
      <c r="T3291" s="14" t="s">
        <v>44</v>
      </c>
      <c r="U3291" s="14">
        <v>45891</v>
      </c>
      <c r="V3291" s="43">
        <v>45903</v>
      </c>
      <c r="W3291" s="12"/>
      <c r="X3291" s="2"/>
      <c r="Y3291" s="254" t="s">
        <v>4914</v>
      </c>
      <c r="Z3291" s="2" t="s">
        <v>36</v>
      </c>
      <c r="AA3291" s="13" t="s">
        <v>10383</v>
      </c>
      <c r="AB3291" s="13" t="s">
        <v>10384</v>
      </c>
    </row>
    <row r="3292" spans="1:28" ht="15" customHeight="1">
      <c r="A3292" s="2" t="s">
        <v>9823</v>
      </c>
      <c r="B3292" s="2" t="s">
        <v>711</v>
      </c>
      <c r="C3292" s="104" t="s">
        <v>4923</v>
      </c>
      <c r="D3292" s="2" t="s">
        <v>30</v>
      </c>
      <c r="E3292" s="2" t="s">
        <v>608</v>
      </c>
      <c r="F3292" s="11" t="s">
        <v>4919</v>
      </c>
      <c r="G3292" s="21" t="s">
        <v>4920</v>
      </c>
      <c r="H3292" s="2" t="s">
        <v>4921</v>
      </c>
      <c r="I3292" s="12" t="s">
        <v>4825</v>
      </c>
      <c r="J3292" s="41">
        <f>+Tabla1[[#This Row],[FECHA ENTRADA]]</f>
        <v>45891</v>
      </c>
      <c r="K3292" s="22">
        <v>45891</v>
      </c>
      <c r="L3292" s="42">
        <f>_xlfn.DAYS(Tabla1[[#This Row],[FECHA FIN ]],Tabla1[[#This Row],[FECHA INICIO]])</f>
        <v>0</v>
      </c>
      <c r="M3292" s="12"/>
      <c r="N3292" s="12"/>
      <c r="O3292" s="28">
        <f>(Tabla1[[#This Row],[COSTO FIJO ]]/30)*Tabla1[[#This Row],[TOTAL DIAS PROYECTO]]+(Tabla1[[#This Row],[COSTO TEMPORAL]])</f>
        <v>0</v>
      </c>
      <c r="P3292" s="12"/>
      <c r="Q3292" s="12">
        <f>+(Tabla1[[#This Row],[COSTO COCHE]]/30)*Tabla1[[#This Row],[TOTAL DIAS PROYECTO]]</f>
        <v>0</v>
      </c>
      <c r="R3292" s="12">
        <f>+Tabla1[[#This Row],[COSTO TOTAL ALOJAMIENTO]]+Tabla1[[#This Row],[COSTO TOTAL COCHE]]</f>
        <v>0</v>
      </c>
      <c r="S3292" s="2" t="s">
        <v>84</v>
      </c>
      <c r="T3292" s="14" t="s">
        <v>44</v>
      </c>
      <c r="U3292" s="14">
        <v>45891</v>
      </c>
      <c r="V3292" s="43">
        <v>45903</v>
      </c>
      <c r="W3292" s="12"/>
      <c r="X3292" s="2"/>
      <c r="Y3292" s="254" t="s">
        <v>4914</v>
      </c>
      <c r="Z3292" s="2" t="s">
        <v>36</v>
      </c>
      <c r="AA3292" s="13" t="s">
        <v>10383</v>
      </c>
      <c r="AB3292" s="13" t="s">
        <v>10384</v>
      </c>
    </row>
    <row r="3293" spans="1:28" ht="15" customHeight="1">
      <c r="A3293" s="2" t="s">
        <v>9824</v>
      </c>
      <c r="B3293" s="2" t="s">
        <v>28</v>
      </c>
      <c r="C3293" s="104" t="s">
        <v>4924</v>
      </c>
      <c r="D3293" s="2" t="s">
        <v>30</v>
      </c>
      <c r="E3293" s="2" t="s">
        <v>648</v>
      </c>
      <c r="F3293" s="11" t="s">
        <v>649</v>
      </c>
      <c r="G3293" s="49" t="s">
        <v>650</v>
      </c>
      <c r="H3293" s="2" t="s">
        <v>1363</v>
      </c>
      <c r="I3293" s="12" t="s">
        <v>96</v>
      </c>
      <c r="J3293" s="41">
        <f>+Tabla1[[#This Row],[FECHA ENTRADA]]</f>
        <v>45683</v>
      </c>
      <c r="K3293" s="8">
        <v>45731</v>
      </c>
      <c r="L3293" s="42">
        <f>_xlfn.DAYS(Tabla1[[#This Row],[FECHA FIN ]],Tabla1[[#This Row],[FECHA INICIO]])</f>
        <v>48</v>
      </c>
      <c r="M3293" s="12"/>
      <c r="N3293" s="12"/>
      <c r="O3293" s="28">
        <f>(Tabla1[[#This Row],[COSTO FIJO ]]/30)*Tabla1[[#This Row],[TOTAL DIAS PROYECTO]]+(Tabla1[[#This Row],[COSTO TEMPORAL]])</f>
        <v>0</v>
      </c>
      <c r="P3293" s="12"/>
      <c r="Q3293" s="12">
        <f>+(Tabla1[[#This Row],[COSTO COCHE]]/30)*Tabla1[[#This Row],[TOTAL DIAS PROYECTO]]</f>
        <v>0</v>
      </c>
      <c r="R3293" s="12">
        <f>+Tabla1[[#This Row],[COSTO TOTAL ALOJAMIENTO]]+Tabla1[[#This Row],[COSTO TOTAL COCHE]]</f>
        <v>0</v>
      </c>
      <c r="S3293" s="2"/>
      <c r="T3293" s="2" t="s">
        <v>35</v>
      </c>
      <c r="U3293" s="14">
        <v>45683</v>
      </c>
      <c r="V3293" s="79"/>
      <c r="W3293" s="26"/>
      <c r="X3293" s="2">
        <v>17</v>
      </c>
      <c r="Y3293" s="11"/>
      <c r="Z3293" s="2" t="s">
        <v>36</v>
      </c>
      <c r="AA3293" s="13" t="s">
        <v>10387</v>
      </c>
      <c r="AB3293" s="13" t="s">
        <v>10388</v>
      </c>
    </row>
    <row r="3294" spans="1:28" ht="15" customHeight="1">
      <c r="A3294" s="2" t="s">
        <v>9824</v>
      </c>
      <c r="B3294" s="2" t="s">
        <v>28</v>
      </c>
      <c r="C3294" s="104" t="s">
        <v>4924</v>
      </c>
      <c r="D3294" s="2" t="s">
        <v>30</v>
      </c>
      <c r="E3294" s="2" t="s">
        <v>648</v>
      </c>
      <c r="F3294" s="11" t="s">
        <v>712</v>
      </c>
      <c r="G3294" t="s">
        <v>713</v>
      </c>
      <c r="H3294" s="2" t="s">
        <v>1363</v>
      </c>
      <c r="I3294" s="12" t="s">
        <v>96</v>
      </c>
      <c r="J3294" s="22">
        <f>+Tabla1[[#This Row],[FECHA ENTRADA]]</f>
        <v>45731</v>
      </c>
      <c r="K3294" s="22">
        <v>45783</v>
      </c>
      <c r="L3294" s="23">
        <f>_xlfn.DAYS(Tabla1[[#This Row],[FECHA FIN ]],Tabla1[[#This Row],[FECHA INICIO]])</f>
        <v>52</v>
      </c>
      <c r="M3294" s="24">
        <v>133.33333333333334</v>
      </c>
      <c r="N3294" s="24"/>
      <c r="O3294" s="24">
        <f>(Tabla1[[#This Row],[COSTO FIJO ]]/30)*Tabla1[[#This Row],[TOTAL DIAS PROYECTO]]+(Tabla1[[#This Row],[COSTO TEMPORAL]])</f>
        <v>133.33333333333334</v>
      </c>
      <c r="P3294" s="12"/>
      <c r="Q3294" s="12">
        <f>+(Tabla1[[#This Row],[COSTO COCHE]]/30)*Tabla1[[#This Row],[TOTAL DIAS PROYECTO]]</f>
        <v>0</v>
      </c>
      <c r="R3294" s="12">
        <f>+Tabla1[[#This Row],[COSTO TOTAL ALOJAMIENTO]]+Tabla1[[#This Row],[COSTO TOTAL COCHE]]</f>
        <v>133.33333333333334</v>
      </c>
      <c r="S3294" s="2"/>
      <c r="T3294" s="2" t="s">
        <v>35</v>
      </c>
      <c r="U3294" s="14">
        <v>45731</v>
      </c>
      <c r="V3294" s="25"/>
      <c r="W3294" s="26"/>
      <c r="X3294" s="2">
        <v>14</v>
      </c>
      <c r="Y3294" s="11"/>
      <c r="Z3294" s="2" t="s">
        <v>36</v>
      </c>
      <c r="AA3294" s="13" t="s">
        <v>10387</v>
      </c>
      <c r="AB3294" s="13" t="s">
        <v>10388</v>
      </c>
    </row>
    <row r="3295" spans="1:28" ht="15" customHeight="1">
      <c r="A3295" s="2" t="s">
        <v>9825</v>
      </c>
      <c r="B3295" s="2" t="s">
        <v>368</v>
      </c>
      <c r="C3295" s="11" t="s">
        <v>4925</v>
      </c>
      <c r="D3295" s="2" t="s">
        <v>30</v>
      </c>
      <c r="E3295" s="2" t="s">
        <v>31</v>
      </c>
      <c r="F3295" s="11" t="s">
        <v>4614</v>
      </c>
      <c r="G3295" s="21" t="s">
        <v>4615</v>
      </c>
      <c r="H3295" s="2" t="s">
        <v>4926</v>
      </c>
      <c r="I3295" s="10" t="s">
        <v>412</v>
      </c>
      <c r="J3295" s="41">
        <f>+Tabla1[[#This Row],[FECHA ENTRADA]]</f>
        <v>45872</v>
      </c>
      <c r="K3295" s="22">
        <v>45892</v>
      </c>
      <c r="L3295" s="42">
        <f>_xlfn.DAYS(Tabla1[[#This Row],[FECHA FIN ]],Tabla1[[#This Row],[FECHA INICIO]])</f>
        <v>20</v>
      </c>
      <c r="M3295" s="12"/>
      <c r="N3295" s="12"/>
      <c r="O3295" s="28">
        <f>(Tabla1[[#This Row],[COSTO FIJO ]]/30)*Tabla1[[#This Row],[TOTAL DIAS PROYECTO]]+(Tabla1[[#This Row],[COSTO TEMPORAL]])</f>
        <v>0</v>
      </c>
      <c r="P3295" s="12"/>
      <c r="Q3295" s="12">
        <f>+(Tabla1[[#This Row],[COSTO COCHE]]/30)*Tabla1[[#This Row],[TOTAL DIAS PROYECTO]]</f>
        <v>0</v>
      </c>
      <c r="R3295" s="12">
        <f>+Tabla1[[#This Row],[COSTO TOTAL ALOJAMIENTO]]+Tabla1[[#This Row],[COSTO TOTAL COCHE]]</f>
        <v>0</v>
      </c>
      <c r="S3295" s="2"/>
      <c r="T3295" s="14" t="s">
        <v>44</v>
      </c>
      <c r="U3295" s="14">
        <v>45872</v>
      </c>
      <c r="V3295" s="43">
        <v>45895</v>
      </c>
      <c r="W3295" s="12"/>
      <c r="X3295" s="2"/>
      <c r="Y3295" s="11" t="s">
        <v>1361</v>
      </c>
      <c r="Z3295" s="2" t="s">
        <v>36</v>
      </c>
      <c r="AA3295" s="13" t="s">
        <v>10323</v>
      </c>
      <c r="AB3295" s="13" t="s">
        <v>10324</v>
      </c>
    </row>
    <row r="3296" spans="1:28" ht="15" customHeight="1">
      <c r="A3296" s="2" t="s">
        <v>9826</v>
      </c>
      <c r="B3296" s="2" t="s">
        <v>368</v>
      </c>
      <c r="C3296" s="104" t="s">
        <v>4927</v>
      </c>
      <c r="D3296" s="2" t="s">
        <v>30</v>
      </c>
      <c r="E3296" s="2" t="s">
        <v>31</v>
      </c>
      <c r="F3296" s="11" t="s">
        <v>4614</v>
      </c>
      <c r="G3296" s="21" t="s">
        <v>4615</v>
      </c>
      <c r="H3296" s="2" t="s">
        <v>4926</v>
      </c>
      <c r="I3296" s="10" t="s">
        <v>412</v>
      </c>
      <c r="J3296" s="41">
        <f>+Tabla1[[#This Row],[FECHA ENTRADA]]</f>
        <v>45872</v>
      </c>
      <c r="K3296" s="22">
        <v>45892</v>
      </c>
      <c r="L3296" s="42">
        <f>_xlfn.DAYS(Tabla1[[#This Row],[FECHA FIN ]],Tabla1[[#This Row],[FECHA INICIO]])</f>
        <v>20</v>
      </c>
      <c r="M3296" s="12"/>
      <c r="N3296" s="12"/>
      <c r="O3296" s="28">
        <f>(Tabla1[[#This Row],[COSTO FIJO ]]/30)*Tabla1[[#This Row],[TOTAL DIAS PROYECTO]]+(Tabla1[[#This Row],[COSTO TEMPORAL]])</f>
        <v>0</v>
      </c>
      <c r="P3296" s="12"/>
      <c r="Q3296" s="12">
        <f>+(Tabla1[[#This Row],[COSTO COCHE]]/30)*Tabla1[[#This Row],[TOTAL DIAS PROYECTO]]</f>
        <v>0</v>
      </c>
      <c r="R3296" s="12">
        <f>+Tabla1[[#This Row],[COSTO TOTAL ALOJAMIENTO]]+Tabla1[[#This Row],[COSTO TOTAL COCHE]]</f>
        <v>0</v>
      </c>
      <c r="S3296" s="2"/>
      <c r="T3296" s="14" t="s">
        <v>44</v>
      </c>
      <c r="U3296" s="14">
        <v>45872</v>
      </c>
      <c r="V3296" s="43">
        <v>45895</v>
      </c>
      <c r="W3296" s="12"/>
      <c r="X3296" s="2"/>
      <c r="Y3296" s="11" t="s">
        <v>1361</v>
      </c>
      <c r="Z3296" s="2" t="s">
        <v>36</v>
      </c>
      <c r="AA3296" s="13" t="s">
        <v>10323</v>
      </c>
      <c r="AB3296" s="13" t="s">
        <v>10324</v>
      </c>
    </row>
    <row r="3297" spans="1:28">
      <c r="A3297" s="2" t="s">
        <v>9217</v>
      </c>
      <c r="B3297" s="2" t="s">
        <v>711</v>
      </c>
      <c r="C3297" s="97" t="s">
        <v>2477</v>
      </c>
      <c r="D3297" s="2" t="s">
        <v>78</v>
      </c>
      <c r="E3297" s="2" t="s">
        <v>266</v>
      </c>
      <c r="F3297" s="11" t="s">
        <v>2779</v>
      </c>
      <c r="G3297" s="21" t="s">
        <v>1512</v>
      </c>
      <c r="H3297" s="2" t="s">
        <v>4859</v>
      </c>
      <c r="I3297" s="12" t="s">
        <v>270</v>
      </c>
      <c r="J3297" s="22">
        <f>+Tabla1[[#This Row],[FECHA ENTRADA]]</f>
        <v>45887</v>
      </c>
      <c r="K3297" s="22">
        <v>45893</v>
      </c>
      <c r="L3297" s="23">
        <f>_xlfn.DAYS(Tabla1[[#This Row],[FECHA FIN ]],Tabla1[[#This Row],[FECHA INICIO]])</f>
        <v>6</v>
      </c>
      <c r="M3297" s="12"/>
      <c r="N3297" s="20">
        <v>650</v>
      </c>
      <c r="O3297" s="24">
        <f>(Tabla1[[#This Row],[COSTO FIJO ]]/30)*Tabla1[[#This Row],[TOTAL DIAS PROYECTO]]+(Tabla1[[#This Row],[COSTO TEMPORAL]])</f>
        <v>130</v>
      </c>
      <c r="P3297" s="12"/>
      <c r="Q3297" s="12">
        <f>+(Tabla1[[#This Row],[COSTO COCHE]]/30)*Tabla1[[#This Row],[TOTAL DIAS PROYECTO]]</f>
        <v>0</v>
      </c>
      <c r="R3297" s="12">
        <f>+Tabla1[[#This Row],[COSTO TOTAL ALOJAMIENTO]]+Tabla1[[#This Row],[COSTO TOTAL COCHE]]</f>
        <v>130</v>
      </c>
      <c r="S3297" s="2"/>
      <c r="T3297" s="14" t="s">
        <v>35</v>
      </c>
      <c r="U3297" s="14">
        <v>45887</v>
      </c>
      <c r="V3297" s="79"/>
      <c r="W3297" s="12"/>
      <c r="X3297" s="2">
        <v>1</v>
      </c>
      <c r="Y3297" s="11" t="s">
        <v>4928</v>
      </c>
      <c r="Z3297" s="2" t="s">
        <v>36</v>
      </c>
      <c r="AA3297" s="13" t="s">
        <v>10360</v>
      </c>
      <c r="AB3297" s="13" t="s">
        <v>10361</v>
      </c>
    </row>
    <row r="3298" spans="1:28" ht="15" customHeight="1">
      <c r="A3298" s="2" t="s">
        <v>9827</v>
      </c>
      <c r="B3298" s="2" t="s">
        <v>28</v>
      </c>
      <c r="C3298" s="104" t="s">
        <v>4929</v>
      </c>
      <c r="D3298" s="2" t="s">
        <v>749</v>
      </c>
      <c r="E3298" s="2" t="s">
        <v>288</v>
      </c>
      <c r="F3298" s="11" t="s">
        <v>4751</v>
      </c>
      <c r="G3298" s="21" t="s">
        <v>4752</v>
      </c>
      <c r="H3298" s="2" t="s">
        <v>4930</v>
      </c>
      <c r="I3298" s="10" t="s">
        <v>753</v>
      </c>
      <c r="J3298" s="41">
        <f>+Tabla1[[#This Row],[FECHA ENTRADA]]</f>
        <v>45860</v>
      </c>
      <c r="K3298" s="41">
        <v>45889</v>
      </c>
      <c r="L3298" s="42">
        <f>_xlfn.DAYS(Tabla1[[#This Row],[FECHA FIN ]],Tabla1[[#This Row],[FECHA INICIO]])</f>
        <v>29</v>
      </c>
      <c r="M3298" s="12"/>
      <c r="N3298" s="12">
        <v>591.42857142857144</v>
      </c>
      <c r="O3298" s="28">
        <f>(Tabla1[[#This Row],[COSTO FIJO ]]/30)*Tabla1[[#This Row],[TOTAL DIAS PROYECTO]]+(Tabla1[[#This Row],[COSTO TEMPORAL]])</f>
        <v>571.71428571428578</v>
      </c>
      <c r="P3298" s="12"/>
      <c r="Q3298" s="12">
        <f>+(Tabla1[[#This Row],[COSTO COCHE]]/30)*Tabla1[[#This Row],[TOTAL DIAS PROYECTO]]</f>
        <v>0</v>
      </c>
      <c r="R3298" s="12">
        <f>+Tabla1[[#This Row],[COSTO TOTAL ALOJAMIENTO]]+Tabla1[[#This Row],[COSTO TOTAL COCHE]]</f>
        <v>571.71428571428578</v>
      </c>
      <c r="S3298" s="2"/>
      <c r="T3298" s="14" t="s">
        <v>44</v>
      </c>
      <c r="U3298" s="14">
        <v>45860</v>
      </c>
      <c r="V3298" s="79">
        <v>45889</v>
      </c>
      <c r="W3298" s="12"/>
      <c r="X3298" s="2"/>
      <c r="Y3298" s="11"/>
      <c r="Z3298" s="2" t="s">
        <v>36</v>
      </c>
      <c r="AA3298" s="13" t="s">
        <v>10362</v>
      </c>
      <c r="AB3298" s="13" t="s">
        <v>10363</v>
      </c>
    </row>
    <row r="3299" spans="1:28">
      <c r="A3299" s="2" t="s">
        <v>9828</v>
      </c>
      <c r="B3299" s="2" t="s">
        <v>368</v>
      </c>
      <c r="C3299" s="97" t="s">
        <v>4931</v>
      </c>
      <c r="D3299" s="2" t="s">
        <v>749</v>
      </c>
      <c r="E3299" s="2" t="s">
        <v>4932</v>
      </c>
      <c r="F3299" s="11" t="s">
        <v>1106</v>
      </c>
      <c r="G3299" t="s">
        <v>2860</v>
      </c>
      <c r="H3299" s="2" t="s">
        <v>4933</v>
      </c>
      <c r="I3299" s="29" t="s">
        <v>2862</v>
      </c>
      <c r="J3299" s="22">
        <f>+Tabla1[[#This Row],[FECHA ENTRADA]]</f>
        <v>45861</v>
      </c>
      <c r="K3299" s="22">
        <v>45894</v>
      </c>
      <c r="L3299" s="23">
        <f>_xlfn.DAYS(Tabla1[[#This Row],[FECHA FIN ]],Tabla1[[#This Row],[FECHA INICIO]])</f>
        <v>33</v>
      </c>
      <c r="M3299" s="12"/>
      <c r="N3299" s="24"/>
      <c r="O3299" s="24">
        <f>(Tabla1[[#This Row],[COSTO FIJO ]]/30)*Tabla1[[#This Row],[TOTAL DIAS PROYECTO]]+(Tabla1[[#This Row],[COSTO TEMPORAL]])</f>
        <v>0</v>
      </c>
      <c r="P3299" s="12"/>
      <c r="Q3299" s="12">
        <f>+(Tabla1[[#This Row],[COSTO COCHE]]/30)*Tabla1[[#This Row],[TOTAL DIAS PROYECTO]]</f>
        <v>0</v>
      </c>
      <c r="R3299" s="12">
        <f>+Tabla1[[#This Row],[COSTO TOTAL ALOJAMIENTO]]+Tabla1[[#This Row],[COSTO TOTAL COCHE]]</f>
        <v>0</v>
      </c>
      <c r="S3299" s="2"/>
      <c r="T3299" s="2" t="s">
        <v>8</v>
      </c>
      <c r="U3299" s="14">
        <v>45861</v>
      </c>
      <c r="V3299" s="25"/>
      <c r="W3299" s="12"/>
      <c r="X3299" s="2"/>
      <c r="Y3299" s="11" t="s">
        <v>2863</v>
      </c>
      <c r="Z3299" s="2" t="s">
        <v>36</v>
      </c>
      <c r="AA3299" s="13" t="e">
        <v>#N/A</v>
      </c>
      <c r="AB3299" s="13" t="e">
        <v>#N/A</v>
      </c>
    </row>
    <row r="3300" spans="1:28">
      <c r="A3300" s="2" t="s">
        <v>9829</v>
      </c>
      <c r="B3300" s="2" t="s">
        <v>368</v>
      </c>
      <c r="C3300" s="104" t="s">
        <v>4934</v>
      </c>
      <c r="D3300" s="2" t="s">
        <v>749</v>
      </c>
      <c r="E3300" s="2" t="s">
        <v>4932</v>
      </c>
      <c r="F3300" s="11" t="s">
        <v>1106</v>
      </c>
      <c r="G3300" t="s">
        <v>2860</v>
      </c>
      <c r="H3300" s="2" t="s">
        <v>4933</v>
      </c>
      <c r="I3300" s="29" t="s">
        <v>2862</v>
      </c>
      <c r="J3300" s="22">
        <f>+Tabla1[[#This Row],[FECHA ENTRADA]]</f>
        <v>45861</v>
      </c>
      <c r="K3300" s="22">
        <v>45894</v>
      </c>
      <c r="L3300" s="23">
        <f>_xlfn.DAYS(Tabla1[[#This Row],[FECHA FIN ]],Tabla1[[#This Row],[FECHA INICIO]])</f>
        <v>33</v>
      </c>
      <c r="M3300" s="12"/>
      <c r="N3300" s="12"/>
      <c r="O3300" s="24">
        <f>(Tabla1[[#This Row],[COSTO FIJO ]]/30)*Tabla1[[#This Row],[TOTAL DIAS PROYECTO]]+(Tabla1[[#This Row],[COSTO TEMPORAL]])</f>
        <v>0</v>
      </c>
      <c r="P3300" s="12"/>
      <c r="Q3300" s="12">
        <f>+(Tabla1[[#This Row],[COSTO COCHE]]/30)*Tabla1[[#This Row],[TOTAL DIAS PROYECTO]]</f>
        <v>0</v>
      </c>
      <c r="R3300" s="12">
        <f>+Tabla1[[#This Row],[COSTO TOTAL ALOJAMIENTO]]+Tabla1[[#This Row],[COSTO TOTAL COCHE]]</f>
        <v>0</v>
      </c>
      <c r="S3300" s="2"/>
      <c r="T3300" s="2" t="s">
        <v>8</v>
      </c>
      <c r="U3300" s="14">
        <v>45861</v>
      </c>
      <c r="V3300" s="25"/>
      <c r="W3300" s="12"/>
      <c r="X3300" s="2"/>
      <c r="Y3300" s="11" t="s">
        <v>2863</v>
      </c>
      <c r="Z3300" s="2" t="s">
        <v>36</v>
      </c>
      <c r="AA3300" s="13" t="e">
        <v>#N/A</v>
      </c>
      <c r="AB3300" s="13" t="e">
        <v>#N/A</v>
      </c>
    </row>
    <row r="3301" spans="1:28">
      <c r="A3301" s="2" t="s">
        <v>9143</v>
      </c>
      <c r="B3301" s="2" t="s">
        <v>368</v>
      </c>
      <c r="C3301" s="97" t="s">
        <v>2194</v>
      </c>
      <c r="D3301" s="2" t="s">
        <v>749</v>
      </c>
      <c r="E3301" s="2" t="s">
        <v>4932</v>
      </c>
      <c r="F3301" s="11" t="s">
        <v>1106</v>
      </c>
      <c r="G3301" t="s">
        <v>2860</v>
      </c>
      <c r="H3301" s="2" t="s">
        <v>4933</v>
      </c>
      <c r="I3301" s="10" t="s">
        <v>2862</v>
      </c>
      <c r="J3301" s="22">
        <f>+Tabla1[[#This Row],[FECHA ENTRADA]]</f>
        <v>45861</v>
      </c>
      <c r="K3301" s="22">
        <v>45900</v>
      </c>
      <c r="L3301" s="23">
        <f>_xlfn.DAYS(Tabla1[[#This Row],[FECHA FIN ]],Tabla1[[#This Row],[FECHA INICIO]])</f>
        <v>39</v>
      </c>
      <c r="M3301" s="12"/>
      <c r="N3301" s="24"/>
      <c r="O3301" s="24">
        <f>(Tabla1[[#This Row],[COSTO FIJO ]]/30)*Tabla1[[#This Row],[TOTAL DIAS PROYECTO]]+(Tabla1[[#This Row],[COSTO TEMPORAL]])</f>
        <v>0</v>
      </c>
      <c r="P3301" s="12"/>
      <c r="Q3301" s="12">
        <f>+(Tabla1[[#This Row],[COSTO COCHE]]/30)*Tabla1[[#This Row],[TOTAL DIAS PROYECTO]]</f>
        <v>0</v>
      </c>
      <c r="R3301" s="12">
        <f>+Tabla1[[#This Row],[COSTO TOTAL ALOJAMIENTO]]+Tabla1[[#This Row],[COSTO TOTAL COCHE]]</f>
        <v>0</v>
      </c>
      <c r="S3301" s="2"/>
      <c r="T3301" s="2" t="s">
        <v>8</v>
      </c>
      <c r="U3301" s="14">
        <v>45861</v>
      </c>
      <c r="V3301" s="25"/>
      <c r="W3301" s="12"/>
      <c r="X3301" s="2"/>
      <c r="Y3301" s="11" t="s">
        <v>4935</v>
      </c>
      <c r="Z3301" s="2" t="s">
        <v>36</v>
      </c>
      <c r="AA3301" s="13" t="e">
        <v>#N/A</v>
      </c>
      <c r="AB3301" s="13" t="e">
        <v>#N/A</v>
      </c>
    </row>
    <row r="3302" spans="1:28" ht="15" customHeight="1">
      <c r="A3302" s="2" t="s">
        <v>9546</v>
      </c>
      <c r="B3302" s="2" t="s">
        <v>368</v>
      </c>
      <c r="C3302" s="97" t="s">
        <v>3590</v>
      </c>
      <c r="D3302" s="2" t="s">
        <v>749</v>
      </c>
      <c r="E3302" s="2" t="s">
        <v>4932</v>
      </c>
      <c r="F3302" s="11" t="s">
        <v>1106</v>
      </c>
      <c r="G3302" t="s">
        <v>2860</v>
      </c>
      <c r="H3302" s="2" t="s">
        <v>4933</v>
      </c>
      <c r="I3302" s="10" t="s">
        <v>2862</v>
      </c>
      <c r="J3302" s="22">
        <f>+Tabla1[[#This Row],[FECHA ENTRADA]]</f>
        <v>45861</v>
      </c>
      <c r="K3302" s="22">
        <v>45900</v>
      </c>
      <c r="L3302" s="23">
        <f>_xlfn.DAYS(Tabla1[[#This Row],[FECHA FIN ]],Tabla1[[#This Row],[FECHA INICIO]])</f>
        <v>39</v>
      </c>
      <c r="M3302" s="12"/>
      <c r="N3302" s="12"/>
      <c r="O3302" s="24">
        <f>(Tabla1[[#This Row],[COSTO FIJO ]]/30)*Tabla1[[#This Row],[TOTAL DIAS PROYECTO]]+(Tabla1[[#This Row],[COSTO TEMPORAL]])</f>
        <v>0</v>
      </c>
      <c r="P3302" s="12"/>
      <c r="Q3302" s="12">
        <f>+(Tabla1[[#This Row],[COSTO COCHE]]/30)*Tabla1[[#This Row],[TOTAL DIAS PROYECTO]]</f>
        <v>0</v>
      </c>
      <c r="R3302" s="12">
        <f>+Tabla1[[#This Row],[COSTO TOTAL ALOJAMIENTO]]+Tabla1[[#This Row],[COSTO TOTAL COCHE]]</f>
        <v>0</v>
      </c>
      <c r="S3302" s="2"/>
      <c r="T3302" s="2" t="s">
        <v>8</v>
      </c>
      <c r="U3302" s="14">
        <v>45861</v>
      </c>
      <c r="V3302" s="25"/>
      <c r="W3302" s="12"/>
      <c r="X3302" s="2"/>
      <c r="Y3302" s="11" t="s">
        <v>4936</v>
      </c>
      <c r="Z3302" s="2" t="s">
        <v>36</v>
      </c>
      <c r="AA3302" s="13" t="e">
        <v>#N/A</v>
      </c>
      <c r="AB3302" s="13" t="e">
        <v>#N/A</v>
      </c>
    </row>
    <row r="3303" spans="1:28" ht="15" customHeight="1">
      <c r="A3303" s="2" t="s">
        <v>8789</v>
      </c>
      <c r="B3303" s="2" t="s">
        <v>28</v>
      </c>
      <c r="C3303" s="104" t="s">
        <v>770</v>
      </c>
      <c r="D3303" s="2" t="s">
        <v>749</v>
      </c>
      <c r="E3303" s="2" t="s">
        <v>288</v>
      </c>
      <c r="F3303" s="11" t="s">
        <v>928</v>
      </c>
      <c r="G3303" t="s">
        <v>1031</v>
      </c>
      <c r="H3303" s="2" t="s">
        <v>4930</v>
      </c>
      <c r="I3303" s="10" t="s">
        <v>753</v>
      </c>
      <c r="J3303" s="41">
        <f>+Tabla1[[#This Row],[FECHA ENTRADA]]</f>
        <v>45862</v>
      </c>
      <c r="K3303" s="41">
        <v>45868</v>
      </c>
      <c r="L3303" s="42">
        <f>_xlfn.DAYS(Tabla1[[#This Row],[FECHA FIN ]],Tabla1[[#This Row],[FECHA INICIO]])</f>
        <v>6</v>
      </c>
      <c r="M3303" s="12"/>
      <c r="N3303" s="28"/>
      <c r="O3303" s="28">
        <f>(Tabla1[[#This Row],[COSTO FIJO ]]/30)*Tabla1[[#This Row],[TOTAL DIAS PROYECTO]]+(Tabla1[[#This Row],[COSTO TEMPORAL]])</f>
        <v>0</v>
      </c>
      <c r="P3303" s="12"/>
      <c r="Q3303" s="12">
        <f>+(Tabla1[[#This Row],[COSTO COCHE]]/30)*Tabla1[[#This Row],[TOTAL DIAS PROYECTO]]</f>
        <v>0</v>
      </c>
      <c r="R3303" s="12">
        <f>+Tabla1[[#This Row],[COSTO TOTAL ALOJAMIENTO]]+Tabla1[[#This Row],[COSTO TOTAL COCHE]]</f>
        <v>0</v>
      </c>
      <c r="S3303" s="2"/>
      <c r="T3303" s="14" t="s">
        <v>44</v>
      </c>
      <c r="U3303" s="14">
        <v>45862</v>
      </c>
      <c r="V3303" s="43">
        <v>45785</v>
      </c>
      <c r="W3303" s="12"/>
      <c r="X3303" s="2"/>
      <c r="Y3303" s="11" t="s">
        <v>4937</v>
      </c>
      <c r="Z3303" s="2" t="s">
        <v>36</v>
      </c>
      <c r="AA3303" s="13" t="s">
        <v>10362</v>
      </c>
      <c r="AB3303" s="13" t="s">
        <v>10363</v>
      </c>
    </row>
    <row r="3304" spans="1:28" ht="15" customHeight="1">
      <c r="A3304" s="2" t="s">
        <v>9815</v>
      </c>
      <c r="B3304" s="2" t="s">
        <v>978</v>
      </c>
      <c r="C3304" s="104" t="s">
        <v>4878</v>
      </c>
      <c r="D3304" s="2" t="s">
        <v>30</v>
      </c>
      <c r="E3304" s="2" t="s">
        <v>31</v>
      </c>
      <c r="F3304" s="11" t="s">
        <v>4938</v>
      </c>
      <c r="G3304" s="11" t="s">
        <v>4939</v>
      </c>
      <c r="H3304" s="2" t="s">
        <v>4881</v>
      </c>
      <c r="I3304" s="12" t="s">
        <v>2391</v>
      </c>
      <c r="J3304" s="41">
        <f>+Tabla1[[#This Row],[FECHA ENTRADA]]</f>
        <v>45889</v>
      </c>
      <c r="K3304" s="41">
        <v>45893</v>
      </c>
      <c r="L3304" s="42">
        <f>_xlfn.DAYS(Tabla1[[#This Row],[FECHA FIN ]],Tabla1[[#This Row],[FECHA INICIO]])</f>
        <v>4</v>
      </c>
      <c r="M3304" s="12"/>
      <c r="N3304" s="12"/>
      <c r="O3304" s="28">
        <f>(Tabla1[[#This Row],[COSTO FIJO ]]/30)*Tabla1[[#This Row],[TOTAL DIAS PROYECTO]]+(Tabla1[[#This Row],[COSTO TEMPORAL]])</f>
        <v>0</v>
      </c>
      <c r="P3304" s="12"/>
      <c r="Q3304" s="12">
        <f>+(Tabla1[[#This Row],[COSTO COCHE]]/30)*Tabla1[[#This Row],[TOTAL DIAS PROYECTO]]</f>
        <v>0</v>
      </c>
      <c r="R3304" s="12">
        <f>+Tabla1[[#This Row],[COSTO TOTAL ALOJAMIENTO]]+Tabla1[[#This Row],[COSTO TOTAL COCHE]]</f>
        <v>0</v>
      </c>
      <c r="S3304" s="2" t="s">
        <v>84</v>
      </c>
      <c r="T3304" s="14" t="s">
        <v>44</v>
      </c>
      <c r="U3304" s="14">
        <v>45889</v>
      </c>
      <c r="V3304" s="43">
        <v>45902</v>
      </c>
      <c r="W3304" s="12"/>
      <c r="X3304" s="2"/>
      <c r="Y3304" s="11" t="s">
        <v>4940</v>
      </c>
      <c r="Z3304" s="2" t="s">
        <v>36</v>
      </c>
      <c r="AA3304" s="13" t="s">
        <v>10323</v>
      </c>
      <c r="AB3304" s="13" t="s">
        <v>10324</v>
      </c>
    </row>
    <row r="3305" spans="1:28" ht="15" customHeight="1">
      <c r="A3305" s="2" t="s">
        <v>9030</v>
      </c>
      <c r="B3305" s="2" t="s">
        <v>368</v>
      </c>
      <c r="C3305" s="97" t="s">
        <v>1742</v>
      </c>
      <c r="D3305" s="2" t="s">
        <v>749</v>
      </c>
      <c r="E3305" s="2" t="s">
        <v>4941</v>
      </c>
      <c r="F3305" s="11" t="s">
        <v>1106</v>
      </c>
      <c r="G3305" t="s">
        <v>2860</v>
      </c>
      <c r="H3305" s="2" t="s">
        <v>4942</v>
      </c>
      <c r="I3305" s="12" t="s">
        <v>2862</v>
      </c>
      <c r="J3305" s="41">
        <f>+Tabla1[[#This Row],[FECHA ENTRADA]]</f>
        <v>45867</v>
      </c>
      <c r="K3305" s="22">
        <v>45893</v>
      </c>
      <c r="L3305" s="42">
        <f>_xlfn.DAYS(Tabla1[[#This Row],[FECHA FIN ]],Tabla1[[#This Row],[FECHA INICIO]])</f>
        <v>26</v>
      </c>
      <c r="M3305" s="12"/>
      <c r="N3305" s="28"/>
      <c r="O3305" s="28">
        <f>(Tabla1[[#This Row],[COSTO FIJO ]]/30)*Tabla1[[#This Row],[TOTAL DIAS PROYECTO]]+(Tabla1[[#This Row],[COSTO TEMPORAL]])</f>
        <v>0</v>
      </c>
      <c r="P3305" s="12"/>
      <c r="Q3305" s="12">
        <f>+(Tabla1[[#This Row],[COSTO COCHE]]/30)*Tabla1[[#This Row],[TOTAL DIAS PROYECTO]]</f>
        <v>0</v>
      </c>
      <c r="R3305" s="12">
        <f>+Tabla1[[#This Row],[COSTO TOTAL ALOJAMIENTO]]+Tabla1[[#This Row],[COSTO TOTAL COCHE]]</f>
        <v>0</v>
      </c>
      <c r="S3305" s="2"/>
      <c r="T3305" s="2" t="s">
        <v>8</v>
      </c>
      <c r="U3305" s="14">
        <v>45867</v>
      </c>
      <c r="V3305" s="43"/>
      <c r="W3305" s="12"/>
      <c r="X3305" s="2"/>
      <c r="Y3305" s="11" t="s">
        <v>4943</v>
      </c>
      <c r="Z3305" s="2" t="s">
        <v>36</v>
      </c>
      <c r="AA3305" s="13" t="e">
        <v>#N/A</v>
      </c>
      <c r="AB3305" s="13" t="e">
        <v>#N/A</v>
      </c>
    </row>
    <row r="3306" spans="1:28" ht="15" customHeight="1">
      <c r="A3306" s="2" t="s">
        <v>9830</v>
      </c>
      <c r="B3306" s="2" t="s">
        <v>368</v>
      </c>
      <c r="C3306" s="97" t="s">
        <v>4944</v>
      </c>
      <c r="D3306" s="2" t="s">
        <v>749</v>
      </c>
      <c r="E3306" s="2" t="s">
        <v>4941</v>
      </c>
      <c r="F3306" s="11" t="s">
        <v>1106</v>
      </c>
      <c r="G3306" t="s">
        <v>2860</v>
      </c>
      <c r="H3306" s="2" t="s">
        <v>4942</v>
      </c>
      <c r="I3306" s="12" t="s">
        <v>2862</v>
      </c>
      <c r="J3306" s="41">
        <f>+Tabla1[[#This Row],[FECHA ENTRADA]]</f>
        <v>45867</v>
      </c>
      <c r="K3306" s="22">
        <v>45893</v>
      </c>
      <c r="L3306" s="42">
        <f>_xlfn.DAYS(Tabla1[[#This Row],[FECHA FIN ]],Tabla1[[#This Row],[FECHA INICIO]])</f>
        <v>26</v>
      </c>
      <c r="M3306" s="12"/>
      <c r="N3306" s="28"/>
      <c r="O3306" s="28">
        <f>(Tabla1[[#This Row],[COSTO FIJO ]]/30)*Tabla1[[#This Row],[TOTAL DIAS PROYECTO]]+(Tabla1[[#This Row],[COSTO TEMPORAL]])</f>
        <v>0</v>
      </c>
      <c r="P3306" s="12"/>
      <c r="Q3306" s="12">
        <f>+(Tabla1[[#This Row],[COSTO COCHE]]/30)*Tabla1[[#This Row],[TOTAL DIAS PROYECTO]]</f>
        <v>0</v>
      </c>
      <c r="R3306" s="12">
        <f>+Tabla1[[#This Row],[COSTO TOTAL ALOJAMIENTO]]+Tabla1[[#This Row],[COSTO TOTAL COCHE]]</f>
        <v>0</v>
      </c>
      <c r="S3306" s="2"/>
      <c r="T3306" s="2" t="s">
        <v>8</v>
      </c>
      <c r="U3306" s="14">
        <v>45867</v>
      </c>
      <c r="V3306" s="43"/>
      <c r="W3306" s="12"/>
      <c r="X3306" s="2"/>
      <c r="Y3306" s="11" t="s">
        <v>4943</v>
      </c>
      <c r="Z3306" s="2" t="s">
        <v>36</v>
      </c>
      <c r="AA3306" s="13" t="e">
        <v>#N/A</v>
      </c>
      <c r="AB3306" s="13" t="e">
        <v>#N/A</v>
      </c>
    </row>
    <row r="3307" spans="1:28" ht="15" customHeight="1">
      <c r="A3307" s="2" t="s">
        <v>9667</v>
      </c>
      <c r="B3307" s="2" t="s">
        <v>368</v>
      </c>
      <c r="C3307" s="97" t="s">
        <v>4130</v>
      </c>
      <c r="D3307" s="2" t="s">
        <v>749</v>
      </c>
      <c r="E3307" s="2" t="s">
        <v>4941</v>
      </c>
      <c r="F3307" s="11" t="s">
        <v>1106</v>
      </c>
      <c r="G3307" t="s">
        <v>2860</v>
      </c>
      <c r="H3307" s="2" t="s">
        <v>4942</v>
      </c>
      <c r="I3307" s="12" t="s">
        <v>2862</v>
      </c>
      <c r="J3307" s="41">
        <f>+Tabla1[[#This Row],[FECHA ENTRADA]]</f>
        <v>45867</v>
      </c>
      <c r="K3307" s="22">
        <v>45893</v>
      </c>
      <c r="L3307" s="42">
        <f>_xlfn.DAYS(Tabla1[[#This Row],[FECHA FIN ]],Tabla1[[#This Row],[FECHA INICIO]])</f>
        <v>26</v>
      </c>
      <c r="M3307" s="12"/>
      <c r="N3307" s="28"/>
      <c r="O3307" s="28">
        <f>(Tabla1[[#This Row],[COSTO FIJO ]]/30)*Tabla1[[#This Row],[TOTAL DIAS PROYECTO]]+(Tabla1[[#This Row],[COSTO TEMPORAL]])</f>
        <v>0</v>
      </c>
      <c r="P3307" s="12"/>
      <c r="Q3307" s="12">
        <f>+(Tabla1[[#This Row],[COSTO COCHE]]/30)*Tabla1[[#This Row],[TOTAL DIAS PROYECTO]]</f>
        <v>0</v>
      </c>
      <c r="R3307" s="12">
        <f>+Tabla1[[#This Row],[COSTO TOTAL ALOJAMIENTO]]+Tabla1[[#This Row],[COSTO TOTAL COCHE]]</f>
        <v>0</v>
      </c>
      <c r="S3307" s="2"/>
      <c r="T3307" s="2" t="s">
        <v>8</v>
      </c>
      <c r="U3307" s="14">
        <v>45867</v>
      </c>
      <c r="V3307" s="43"/>
      <c r="W3307" s="12"/>
      <c r="X3307" s="2"/>
      <c r="Y3307" s="11" t="s">
        <v>4943</v>
      </c>
      <c r="Z3307" s="2" t="s">
        <v>36</v>
      </c>
      <c r="AA3307" s="13" t="e">
        <v>#N/A</v>
      </c>
      <c r="AB3307" s="13" t="e">
        <v>#N/A</v>
      </c>
    </row>
    <row r="3308" spans="1:28" ht="15" customHeight="1">
      <c r="A3308" s="2" t="s">
        <v>9831</v>
      </c>
      <c r="B3308" s="2" t="s">
        <v>368</v>
      </c>
      <c r="C3308" s="104" t="s">
        <v>4945</v>
      </c>
      <c r="D3308" s="2" t="s">
        <v>749</v>
      </c>
      <c r="E3308" s="2" t="s">
        <v>4941</v>
      </c>
      <c r="F3308" s="11" t="s">
        <v>1106</v>
      </c>
      <c r="G3308" t="s">
        <v>2860</v>
      </c>
      <c r="H3308" s="2" t="s">
        <v>4942</v>
      </c>
      <c r="I3308" s="12" t="s">
        <v>2862</v>
      </c>
      <c r="J3308" s="41">
        <f>+Tabla1[[#This Row],[FECHA ENTRADA]]</f>
        <v>45867</v>
      </c>
      <c r="K3308" s="22">
        <v>45893</v>
      </c>
      <c r="L3308" s="42">
        <f>_xlfn.DAYS(Tabla1[[#This Row],[FECHA FIN ]],Tabla1[[#This Row],[FECHA INICIO]])</f>
        <v>26</v>
      </c>
      <c r="M3308" s="12"/>
      <c r="N3308" s="12"/>
      <c r="O3308" s="28">
        <f>(Tabla1[[#This Row],[COSTO FIJO ]]/30)*Tabla1[[#This Row],[TOTAL DIAS PROYECTO]]+(Tabla1[[#This Row],[COSTO TEMPORAL]])</f>
        <v>0</v>
      </c>
      <c r="P3308" s="12"/>
      <c r="Q3308" s="12">
        <f>+(Tabla1[[#This Row],[COSTO COCHE]]/30)*Tabla1[[#This Row],[TOTAL DIAS PROYECTO]]</f>
        <v>0</v>
      </c>
      <c r="R3308" s="12">
        <f>+Tabla1[[#This Row],[COSTO TOTAL ALOJAMIENTO]]+Tabla1[[#This Row],[COSTO TOTAL COCHE]]</f>
        <v>0</v>
      </c>
      <c r="S3308" s="2"/>
      <c r="T3308" s="2" t="s">
        <v>8</v>
      </c>
      <c r="U3308" s="14">
        <v>45867</v>
      </c>
      <c r="V3308" s="43"/>
      <c r="W3308" s="12"/>
      <c r="X3308" s="2"/>
      <c r="Y3308" s="11" t="s">
        <v>4946</v>
      </c>
      <c r="Z3308" s="2" t="s">
        <v>36</v>
      </c>
      <c r="AA3308" s="13" t="e">
        <v>#N/A</v>
      </c>
      <c r="AB3308" s="13" t="e">
        <v>#N/A</v>
      </c>
    </row>
    <row r="3309" spans="1:28" ht="15" customHeight="1">
      <c r="A3309" s="2" t="s">
        <v>9832</v>
      </c>
      <c r="B3309" s="2" t="s">
        <v>368</v>
      </c>
      <c r="C3309" s="104" t="s">
        <v>4947</v>
      </c>
      <c r="D3309" s="2" t="s">
        <v>749</v>
      </c>
      <c r="E3309" s="2" t="s">
        <v>4941</v>
      </c>
      <c r="F3309" s="11" t="s">
        <v>1106</v>
      </c>
      <c r="G3309" t="s">
        <v>2860</v>
      </c>
      <c r="H3309" s="2" t="s">
        <v>4942</v>
      </c>
      <c r="I3309" s="12" t="s">
        <v>2862</v>
      </c>
      <c r="J3309" s="41">
        <f>+Tabla1[[#This Row],[FECHA ENTRADA]]</f>
        <v>45867</v>
      </c>
      <c r="K3309" s="22">
        <v>45893</v>
      </c>
      <c r="L3309" s="42">
        <f>_xlfn.DAYS(Tabla1[[#This Row],[FECHA FIN ]],Tabla1[[#This Row],[FECHA INICIO]])</f>
        <v>26</v>
      </c>
      <c r="M3309" s="12"/>
      <c r="N3309" s="12"/>
      <c r="O3309" s="28">
        <f>(Tabla1[[#This Row],[COSTO FIJO ]]/30)*Tabla1[[#This Row],[TOTAL DIAS PROYECTO]]+(Tabla1[[#This Row],[COSTO TEMPORAL]])</f>
        <v>0</v>
      </c>
      <c r="P3309" s="12"/>
      <c r="Q3309" s="12">
        <f>+(Tabla1[[#This Row],[COSTO COCHE]]/30)*Tabla1[[#This Row],[TOTAL DIAS PROYECTO]]</f>
        <v>0</v>
      </c>
      <c r="R3309" s="12">
        <f>+Tabla1[[#This Row],[COSTO TOTAL ALOJAMIENTO]]+Tabla1[[#This Row],[COSTO TOTAL COCHE]]</f>
        <v>0</v>
      </c>
      <c r="S3309" s="2"/>
      <c r="T3309" s="2" t="s">
        <v>8</v>
      </c>
      <c r="U3309" s="14">
        <v>45867</v>
      </c>
      <c r="V3309" s="43"/>
      <c r="W3309" s="12"/>
      <c r="X3309" s="2"/>
      <c r="Y3309" s="11" t="s">
        <v>4943</v>
      </c>
      <c r="Z3309" s="2" t="s">
        <v>36</v>
      </c>
      <c r="AA3309" s="13" t="e">
        <v>#N/A</v>
      </c>
      <c r="AB3309" s="13" t="e">
        <v>#N/A</v>
      </c>
    </row>
    <row r="3310" spans="1:28" ht="15" customHeight="1">
      <c r="A3310" s="2" t="s">
        <v>9479</v>
      </c>
      <c r="B3310" s="2" t="s">
        <v>368</v>
      </c>
      <c r="C3310" s="104" t="s">
        <v>3341</v>
      </c>
      <c r="D3310" s="2" t="s">
        <v>749</v>
      </c>
      <c r="E3310" s="2" t="s">
        <v>4941</v>
      </c>
      <c r="F3310" s="11" t="s">
        <v>1106</v>
      </c>
      <c r="G3310" t="s">
        <v>2860</v>
      </c>
      <c r="H3310" s="2" t="s">
        <v>4942</v>
      </c>
      <c r="I3310" s="12" t="s">
        <v>2862</v>
      </c>
      <c r="J3310" s="41">
        <f>+Tabla1[[#This Row],[FECHA ENTRADA]]</f>
        <v>45867</v>
      </c>
      <c r="K3310" s="22">
        <v>45893</v>
      </c>
      <c r="L3310" s="42">
        <f>_xlfn.DAYS(Tabla1[[#This Row],[FECHA FIN ]],Tabla1[[#This Row],[FECHA INICIO]])</f>
        <v>26</v>
      </c>
      <c r="M3310" s="12"/>
      <c r="N3310" s="12"/>
      <c r="O3310" s="28">
        <f>(Tabla1[[#This Row],[COSTO FIJO ]]/30)*Tabla1[[#This Row],[TOTAL DIAS PROYECTO]]+(Tabla1[[#This Row],[COSTO TEMPORAL]])</f>
        <v>0</v>
      </c>
      <c r="P3310" s="12"/>
      <c r="Q3310" s="12">
        <f>+(Tabla1[[#This Row],[COSTO COCHE]]/30)*Tabla1[[#This Row],[TOTAL DIAS PROYECTO]]</f>
        <v>0</v>
      </c>
      <c r="R3310" s="12">
        <f>+Tabla1[[#This Row],[COSTO TOTAL ALOJAMIENTO]]+Tabla1[[#This Row],[COSTO TOTAL COCHE]]</f>
        <v>0</v>
      </c>
      <c r="S3310" s="2"/>
      <c r="T3310" s="2" t="s">
        <v>8</v>
      </c>
      <c r="U3310" s="14">
        <v>45867</v>
      </c>
      <c r="V3310" s="43"/>
      <c r="W3310" s="12"/>
      <c r="X3310" s="2"/>
      <c r="Y3310" s="11" t="s">
        <v>4943</v>
      </c>
      <c r="Z3310" s="2" t="s">
        <v>36</v>
      </c>
      <c r="AA3310" s="13" t="e">
        <v>#N/A</v>
      </c>
      <c r="AB3310" s="13" t="e">
        <v>#N/A</v>
      </c>
    </row>
    <row r="3311" spans="1:28" ht="15" customHeight="1">
      <c r="A3311" s="2" t="s">
        <v>9296</v>
      </c>
      <c r="B3311" s="2" t="s">
        <v>368</v>
      </c>
      <c r="C3311" s="104" t="s">
        <v>2733</v>
      </c>
      <c r="D3311" s="2" t="s">
        <v>749</v>
      </c>
      <c r="E3311" s="2" t="s">
        <v>4941</v>
      </c>
      <c r="F3311" s="11" t="s">
        <v>1106</v>
      </c>
      <c r="G3311" t="s">
        <v>2860</v>
      </c>
      <c r="H3311" s="2" t="s">
        <v>4942</v>
      </c>
      <c r="I3311" s="12" t="s">
        <v>2862</v>
      </c>
      <c r="J3311" s="41">
        <f>+Tabla1[[#This Row],[FECHA ENTRADA]]</f>
        <v>45867</v>
      </c>
      <c r="K3311" s="22">
        <v>45893</v>
      </c>
      <c r="L3311" s="42">
        <f>_xlfn.DAYS(Tabla1[[#This Row],[FECHA FIN ]],Tabla1[[#This Row],[FECHA INICIO]])</f>
        <v>26</v>
      </c>
      <c r="M3311" s="12"/>
      <c r="N3311" s="12"/>
      <c r="O3311" s="28">
        <f>(Tabla1[[#This Row],[COSTO FIJO ]]/30)*Tabla1[[#This Row],[TOTAL DIAS PROYECTO]]+(Tabla1[[#This Row],[COSTO TEMPORAL]])</f>
        <v>0</v>
      </c>
      <c r="P3311" s="12"/>
      <c r="Q3311" s="12">
        <f>+(Tabla1[[#This Row],[COSTO COCHE]]/30)*Tabla1[[#This Row],[TOTAL DIAS PROYECTO]]</f>
        <v>0</v>
      </c>
      <c r="R3311" s="12">
        <f>+Tabla1[[#This Row],[COSTO TOTAL ALOJAMIENTO]]+Tabla1[[#This Row],[COSTO TOTAL COCHE]]</f>
        <v>0</v>
      </c>
      <c r="S3311" s="2"/>
      <c r="T3311" s="2" t="s">
        <v>8</v>
      </c>
      <c r="U3311" s="14">
        <v>45867</v>
      </c>
      <c r="V3311" s="43"/>
      <c r="W3311" s="12"/>
      <c r="X3311" s="11"/>
      <c r="Y3311" s="11" t="s">
        <v>4946</v>
      </c>
      <c r="Z3311" s="2" t="s">
        <v>36</v>
      </c>
      <c r="AA3311" s="13" t="e">
        <v>#N/A</v>
      </c>
      <c r="AB3311" s="13" t="e">
        <v>#N/A</v>
      </c>
    </row>
    <row r="3312" spans="1:28" ht="15" customHeight="1">
      <c r="A3312" s="2" t="s">
        <v>9089</v>
      </c>
      <c r="B3312" s="2" t="s">
        <v>368</v>
      </c>
      <c r="C3312" s="104" t="s">
        <v>1963</v>
      </c>
      <c r="D3312" s="2" t="s">
        <v>749</v>
      </c>
      <c r="E3312" s="2" t="s">
        <v>4941</v>
      </c>
      <c r="F3312" s="11" t="s">
        <v>1106</v>
      </c>
      <c r="G3312" t="s">
        <v>2860</v>
      </c>
      <c r="H3312" s="2" t="s">
        <v>4942</v>
      </c>
      <c r="I3312" s="12" t="s">
        <v>2862</v>
      </c>
      <c r="J3312" s="41">
        <f>+Tabla1[[#This Row],[FECHA ENTRADA]]</f>
        <v>45867</v>
      </c>
      <c r="K3312" s="22">
        <v>45893</v>
      </c>
      <c r="L3312" s="42">
        <f>_xlfn.DAYS(Tabla1[[#This Row],[FECHA FIN ]],Tabla1[[#This Row],[FECHA INICIO]])</f>
        <v>26</v>
      </c>
      <c r="M3312" s="12"/>
      <c r="N3312" s="28"/>
      <c r="O3312" s="28">
        <f>(Tabla1[[#This Row],[COSTO FIJO ]]/30)*Tabla1[[#This Row],[TOTAL DIAS PROYECTO]]+(Tabla1[[#This Row],[COSTO TEMPORAL]])</f>
        <v>0</v>
      </c>
      <c r="P3312" s="12"/>
      <c r="Q3312" s="12">
        <f>+(Tabla1[[#This Row],[COSTO COCHE]]/30)*Tabla1[[#This Row],[TOTAL DIAS PROYECTO]]</f>
        <v>0</v>
      </c>
      <c r="R3312" s="12">
        <f>+Tabla1[[#This Row],[COSTO TOTAL ALOJAMIENTO]]+Tabla1[[#This Row],[COSTO TOTAL COCHE]]</f>
        <v>0</v>
      </c>
      <c r="S3312" s="2"/>
      <c r="T3312" s="2" t="s">
        <v>8</v>
      </c>
      <c r="U3312" s="14">
        <v>45867</v>
      </c>
      <c r="V3312" s="43"/>
      <c r="W3312" s="12"/>
      <c r="X3312" s="2"/>
      <c r="Y3312" s="11" t="s">
        <v>4943</v>
      </c>
      <c r="Z3312" s="2" t="s">
        <v>36</v>
      </c>
      <c r="AA3312" s="13" t="e">
        <v>#N/A</v>
      </c>
      <c r="AB3312" s="13" t="e">
        <v>#N/A</v>
      </c>
    </row>
    <row r="3313" spans="1:28" ht="15" customHeight="1">
      <c r="A3313" s="2" t="s">
        <v>9833</v>
      </c>
      <c r="B3313" s="2" t="s">
        <v>978</v>
      </c>
      <c r="C3313" s="104" t="s">
        <v>4948</v>
      </c>
      <c r="D3313" s="2" t="s">
        <v>99</v>
      </c>
      <c r="E3313" s="2" t="s">
        <v>31</v>
      </c>
      <c r="F3313" s="11" t="s">
        <v>451</v>
      </c>
      <c r="G3313" s="11" t="s">
        <v>452</v>
      </c>
      <c r="H3313" s="2" t="s">
        <v>4949</v>
      </c>
      <c r="I3313" s="12" t="s">
        <v>1540</v>
      </c>
      <c r="J3313" s="22">
        <f>+Tabla1[[#This Row],[FECHA ENTRADA]]</f>
        <v>45865</v>
      </c>
      <c r="K3313" s="22">
        <v>45894</v>
      </c>
      <c r="L3313" s="23">
        <f>_xlfn.DAYS(Tabla1[[#This Row],[FECHA FIN ]],Tabla1[[#This Row],[FECHA INICIO]])</f>
        <v>29</v>
      </c>
      <c r="M3313" s="12"/>
      <c r="N3313" s="24">
        <v>283.33333333333331</v>
      </c>
      <c r="O3313" s="24">
        <f>(Tabla1[[#This Row],[COSTO FIJO ]]/30)*Tabla1[[#This Row],[TOTAL DIAS PROYECTO]]+(Tabla1[[#This Row],[COSTO TEMPORAL]])</f>
        <v>273.88888888888891</v>
      </c>
      <c r="P3313" s="12"/>
      <c r="Q3313" s="12">
        <f>+(Tabla1[[#This Row],[COSTO COCHE]]/30)*Tabla1[[#This Row],[TOTAL DIAS PROYECTO]]</f>
        <v>0</v>
      </c>
      <c r="R3313" s="12">
        <f>+Tabla1[[#This Row],[COSTO TOTAL ALOJAMIENTO]]+Tabla1[[#This Row],[COSTO TOTAL COCHE]]</f>
        <v>273.88888888888891</v>
      </c>
      <c r="S3313" s="2"/>
      <c r="T3313" s="14" t="s">
        <v>35</v>
      </c>
      <c r="U3313" s="14">
        <v>45865</v>
      </c>
      <c r="V3313" s="25"/>
      <c r="W3313" s="12"/>
      <c r="X3313" s="2">
        <v>1</v>
      </c>
      <c r="Y3313" s="11" t="s">
        <v>1120</v>
      </c>
      <c r="Z3313" s="2" t="s">
        <v>36</v>
      </c>
      <c r="AA3313" s="13" t="s">
        <v>10323</v>
      </c>
      <c r="AB3313" s="13" t="s">
        <v>10324</v>
      </c>
    </row>
    <row r="3314" spans="1:28" ht="15" customHeight="1">
      <c r="A3314" s="2" t="s">
        <v>8785</v>
      </c>
      <c r="B3314" s="2" t="s">
        <v>978</v>
      </c>
      <c r="C3314" s="97" t="s">
        <v>757</v>
      </c>
      <c r="D3314" s="2" t="s">
        <v>99</v>
      </c>
      <c r="E3314" s="2" t="s">
        <v>245</v>
      </c>
      <c r="F3314" s="11" t="s">
        <v>4521</v>
      </c>
      <c r="G3314" s="46" t="s">
        <v>981</v>
      </c>
      <c r="H3314" s="2" t="s">
        <v>1401</v>
      </c>
      <c r="I3314" s="12" t="s">
        <v>4522</v>
      </c>
      <c r="J3314" s="41">
        <f>+Tabla1[[#This Row],[FECHA ENTRADA]]</f>
        <v>45833</v>
      </c>
      <c r="K3314" s="41">
        <v>45917</v>
      </c>
      <c r="L3314" s="42">
        <f>_xlfn.DAYS(Tabla1[[#This Row],[FECHA FIN ]],Tabla1[[#This Row],[FECHA INICIO]])</f>
        <v>84</v>
      </c>
      <c r="M3314" s="12"/>
      <c r="N3314" s="12">
        <v>300</v>
      </c>
      <c r="O3314" s="28">
        <f>(Tabla1[[#This Row],[COSTO FIJO ]]/30)*Tabla1[[#This Row],[TOTAL DIAS PROYECTO]]+(Tabla1[[#This Row],[COSTO TEMPORAL]])</f>
        <v>840</v>
      </c>
      <c r="P3314" s="12"/>
      <c r="Q3314" s="12">
        <f>+(Tabla1[[#This Row],[COSTO COCHE]]/30)*Tabla1[[#This Row],[TOTAL DIAS PROYECTO]]</f>
        <v>0</v>
      </c>
      <c r="R3314" s="12">
        <f>+Tabla1[[#This Row],[COSTO TOTAL ALOJAMIENTO]]+Tabla1[[#This Row],[COSTO TOTAL COCHE]]</f>
        <v>840</v>
      </c>
      <c r="S3314" s="2"/>
      <c r="T3314" s="2" t="s">
        <v>35</v>
      </c>
      <c r="U3314" s="14">
        <v>45833</v>
      </c>
      <c r="V3314" s="43"/>
      <c r="W3314" s="12"/>
      <c r="X3314" s="2">
        <v>23</v>
      </c>
      <c r="Y3314" s="255" t="s">
        <v>4950</v>
      </c>
      <c r="Z3314" s="2" t="s">
        <v>36</v>
      </c>
      <c r="AA3314" s="13" t="s">
        <v>10355</v>
      </c>
      <c r="AB3314" s="13" t="s">
        <v>10356</v>
      </c>
    </row>
    <row r="3315" spans="1:28" ht="15" customHeight="1">
      <c r="A3315" s="2" t="s">
        <v>9759</v>
      </c>
      <c r="B3315" s="2" t="s">
        <v>978</v>
      </c>
      <c r="C3315" s="104" t="s">
        <v>4589</v>
      </c>
      <c r="D3315" s="2" t="s">
        <v>99</v>
      </c>
      <c r="E3315" s="2" t="s">
        <v>109</v>
      </c>
      <c r="F3315" s="11" t="s">
        <v>2161</v>
      </c>
      <c r="G3315" s="46" t="s">
        <v>2162</v>
      </c>
      <c r="H3315" s="2" t="s">
        <v>1551</v>
      </c>
      <c r="I3315" s="12" t="s">
        <v>4526</v>
      </c>
      <c r="J3315" s="41">
        <f>+Tabla1[[#This Row],[FECHA ENTRADA]]</f>
        <v>45848</v>
      </c>
      <c r="K3315" s="41">
        <v>45853</v>
      </c>
      <c r="L3315" s="42">
        <f>_xlfn.DAYS(Tabla1[[#This Row],[FECHA FIN ]],Tabla1[[#This Row],[FECHA INICIO]])</f>
        <v>5</v>
      </c>
      <c r="M3315" s="12"/>
      <c r="N3315" s="12">
        <v>280</v>
      </c>
      <c r="O3315" s="28">
        <f>(Tabla1[[#This Row],[COSTO FIJO ]]/30)*Tabla1[[#This Row],[TOTAL DIAS PROYECTO]]+(Tabla1[[#This Row],[COSTO TEMPORAL]])</f>
        <v>46.666666666666671</v>
      </c>
      <c r="P3315" s="12"/>
      <c r="Q3315" s="12">
        <f>+(Tabla1[[#This Row],[COSTO COCHE]]/30)*Tabla1[[#This Row],[TOTAL DIAS PROYECTO]]</f>
        <v>0</v>
      </c>
      <c r="R3315" s="12">
        <f>+Tabla1[[#This Row],[COSTO TOTAL ALOJAMIENTO]]+Tabla1[[#This Row],[COSTO TOTAL COCHE]]</f>
        <v>46.666666666666671</v>
      </c>
      <c r="S3315" s="2"/>
      <c r="T3315" s="14" t="s">
        <v>44</v>
      </c>
      <c r="U3315" s="14">
        <v>45848</v>
      </c>
      <c r="V3315" s="43">
        <v>45850</v>
      </c>
      <c r="W3315" s="12"/>
      <c r="X3315" s="2"/>
      <c r="Y3315" s="11" t="s">
        <v>4556</v>
      </c>
      <c r="Z3315" s="2" t="s">
        <v>36</v>
      </c>
      <c r="AA3315" s="13">
        <v>0.62217999999999996</v>
      </c>
      <c r="AB3315" s="13" t="s">
        <v>10339</v>
      </c>
    </row>
    <row r="3316" spans="1:28" ht="15" customHeight="1">
      <c r="A3316" s="2" t="s">
        <v>9772</v>
      </c>
      <c r="B3316" s="2" t="s">
        <v>978</v>
      </c>
      <c r="C3316" s="104" t="s">
        <v>4674</v>
      </c>
      <c r="D3316" s="2" t="s">
        <v>99</v>
      </c>
      <c r="E3316" s="2" t="s">
        <v>109</v>
      </c>
      <c r="F3316" s="11" t="s">
        <v>2161</v>
      </c>
      <c r="G3316" s="46" t="s">
        <v>2162</v>
      </c>
      <c r="H3316" s="2" t="s">
        <v>3114</v>
      </c>
      <c r="I3316" s="12" t="s">
        <v>4526</v>
      </c>
      <c r="J3316" s="41">
        <f>+Tabla1[[#This Row],[FECHA ENTRADA]]</f>
        <v>45848</v>
      </c>
      <c r="K3316" s="41">
        <v>45853</v>
      </c>
      <c r="L3316" s="42">
        <f>_xlfn.DAYS(Tabla1[[#This Row],[FECHA FIN ]],Tabla1[[#This Row],[FECHA INICIO]])</f>
        <v>5</v>
      </c>
      <c r="M3316" s="12"/>
      <c r="N3316" s="12">
        <v>280</v>
      </c>
      <c r="O3316" s="28">
        <f>(Tabla1[[#This Row],[COSTO FIJO ]]/30)*Tabla1[[#This Row],[TOTAL DIAS PROYECTO]]+(Tabla1[[#This Row],[COSTO TEMPORAL]])</f>
        <v>46.666666666666671</v>
      </c>
      <c r="P3316" s="12"/>
      <c r="Q3316" s="12">
        <f>+(Tabla1[[#This Row],[COSTO COCHE]]/30)*Tabla1[[#This Row],[TOTAL DIAS PROYECTO]]</f>
        <v>0</v>
      </c>
      <c r="R3316" s="12">
        <f>+Tabla1[[#This Row],[COSTO TOTAL ALOJAMIENTO]]+Tabla1[[#This Row],[COSTO TOTAL COCHE]]</f>
        <v>46.666666666666671</v>
      </c>
      <c r="S3316" s="2"/>
      <c r="T3316" s="14" t="s">
        <v>44</v>
      </c>
      <c r="U3316" s="14">
        <v>45848</v>
      </c>
      <c r="V3316" s="43">
        <v>45850</v>
      </c>
      <c r="W3316" s="12"/>
      <c r="X3316" s="2"/>
      <c r="Y3316" s="11" t="s">
        <v>4556</v>
      </c>
      <c r="Z3316" s="2" t="s">
        <v>36</v>
      </c>
      <c r="AA3316" s="13">
        <v>0.62217999999999996</v>
      </c>
      <c r="AB3316" s="13" t="s">
        <v>10339</v>
      </c>
    </row>
    <row r="3317" spans="1:28" ht="15" customHeight="1">
      <c r="A3317" s="2" t="s">
        <v>9773</v>
      </c>
      <c r="B3317" s="2" t="s">
        <v>978</v>
      </c>
      <c r="C3317" s="104" t="s">
        <v>4675</v>
      </c>
      <c r="D3317" s="2" t="s">
        <v>99</v>
      </c>
      <c r="E3317" s="2" t="s">
        <v>109</v>
      </c>
      <c r="F3317" s="11" t="s">
        <v>2161</v>
      </c>
      <c r="G3317" s="46" t="s">
        <v>2162</v>
      </c>
      <c r="H3317" s="2" t="s">
        <v>3114</v>
      </c>
      <c r="I3317" s="12" t="s">
        <v>4526</v>
      </c>
      <c r="J3317" s="41">
        <f>+Tabla1[[#This Row],[FECHA ENTRADA]]</f>
        <v>45848</v>
      </c>
      <c r="K3317" s="41">
        <v>45853</v>
      </c>
      <c r="L3317" s="42">
        <f>_xlfn.DAYS(Tabla1[[#This Row],[FECHA FIN ]],Tabla1[[#This Row],[FECHA INICIO]])</f>
        <v>5</v>
      </c>
      <c r="M3317" s="12"/>
      <c r="N3317" s="12">
        <v>280</v>
      </c>
      <c r="O3317" s="28">
        <f>(Tabla1[[#This Row],[COSTO FIJO ]]/30)*Tabla1[[#This Row],[TOTAL DIAS PROYECTO]]+(Tabla1[[#This Row],[COSTO TEMPORAL]])</f>
        <v>46.666666666666671</v>
      </c>
      <c r="P3317" s="12"/>
      <c r="Q3317" s="12">
        <f>+(Tabla1[[#This Row],[COSTO COCHE]]/30)*Tabla1[[#This Row],[TOTAL DIAS PROYECTO]]</f>
        <v>0</v>
      </c>
      <c r="R3317" s="12">
        <f>+Tabla1[[#This Row],[COSTO TOTAL ALOJAMIENTO]]+Tabla1[[#This Row],[COSTO TOTAL COCHE]]</f>
        <v>46.666666666666671</v>
      </c>
      <c r="S3317" s="2"/>
      <c r="T3317" s="14" t="s">
        <v>44</v>
      </c>
      <c r="U3317" s="14">
        <v>45848</v>
      </c>
      <c r="V3317" s="43">
        <v>45850</v>
      </c>
      <c r="W3317" s="12"/>
      <c r="X3317" s="2"/>
      <c r="Y3317" s="11" t="s">
        <v>4556</v>
      </c>
      <c r="Z3317" s="2" t="s">
        <v>36</v>
      </c>
      <c r="AA3317" s="13">
        <v>0.62217999999999996</v>
      </c>
      <c r="AB3317" s="13" t="s">
        <v>10339</v>
      </c>
    </row>
    <row r="3318" spans="1:28" ht="15" customHeight="1">
      <c r="A3318" s="2" t="s">
        <v>9774</v>
      </c>
      <c r="B3318" s="2" t="s">
        <v>978</v>
      </c>
      <c r="C3318" s="104" t="s">
        <v>4676</v>
      </c>
      <c r="D3318" s="2" t="s">
        <v>99</v>
      </c>
      <c r="E3318" s="2" t="s">
        <v>109</v>
      </c>
      <c r="F3318" s="11" t="s">
        <v>2161</v>
      </c>
      <c r="G3318" s="46" t="s">
        <v>2162</v>
      </c>
      <c r="H3318" s="2" t="s">
        <v>1551</v>
      </c>
      <c r="I3318" s="12" t="s">
        <v>4526</v>
      </c>
      <c r="J3318" s="41">
        <f>+Tabla1[[#This Row],[FECHA ENTRADA]]</f>
        <v>45848</v>
      </c>
      <c r="K3318" s="41">
        <v>45853</v>
      </c>
      <c r="L3318" s="42">
        <f>_xlfn.DAYS(Tabla1[[#This Row],[FECHA FIN ]],Tabla1[[#This Row],[FECHA INICIO]])</f>
        <v>5</v>
      </c>
      <c r="M3318" s="12"/>
      <c r="N3318" s="12">
        <v>280</v>
      </c>
      <c r="O3318" s="28">
        <f>(Tabla1[[#This Row],[COSTO FIJO ]]/30)*Tabla1[[#This Row],[TOTAL DIAS PROYECTO]]+(Tabla1[[#This Row],[COSTO TEMPORAL]])</f>
        <v>46.666666666666671</v>
      </c>
      <c r="P3318" s="12"/>
      <c r="Q3318" s="12">
        <f>+(Tabla1[[#This Row],[COSTO COCHE]]/30)*Tabla1[[#This Row],[TOTAL DIAS PROYECTO]]</f>
        <v>0</v>
      </c>
      <c r="R3318" s="12">
        <f>+Tabla1[[#This Row],[COSTO TOTAL ALOJAMIENTO]]+Tabla1[[#This Row],[COSTO TOTAL COCHE]]</f>
        <v>46.666666666666671</v>
      </c>
      <c r="S3318" s="2"/>
      <c r="T3318" s="14" t="s">
        <v>44</v>
      </c>
      <c r="U3318" s="14">
        <v>45848</v>
      </c>
      <c r="V3318" s="43">
        <v>45850</v>
      </c>
      <c r="W3318" s="12"/>
      <c r="X3318" s="2"/>
      <c r="Y3318" s="11" t="s">
        <v>4556</v>
      </c>
      <c r="Z3318" s="2" t="s">
        <v>36</v>
      </c>
      <c r="AA3318" s="13">
        <v>0.62217999999999996</v>
      </c>
      <c r="AB3318" s="13" t="s">
        <v>10339</v>
      </c>
    </row>
    <row r="3319" spans="1:28" ht="15" customHeight="1">
      <c r="A3319" s="2" t="s">
        <v>9725</v>
      </c>
      <c r="B3319" s="2" t="s">
        <v>978</v>
      </c>
      <c r="C3319" s="104" t="s">
        <v>4416</v>
      </c>
      <c r="D3319" s="2" t="s">
        <v>30</v>
      </c>
      <c r="E3319" s="2" t="s">
        <v>109</v>
      </c>
      <c r="F3319" s="11" t="s">
        <v>4951</v>
      </c>
      <c r="G3319" s="49" t="s">
        <v>4952</v>
      </c>
      <c r="H3319" s="2" t="s">
        <v>4417</v>
      </c>
      <c r="I3319" s="12" t="s">
        <v>4415</v>
      </c>
      <c r="J3319" s="22">
        <f>+Tabla1[[#This Row],[FECHA ENTRADA]]</f>
        <v>45854</v>
      </c>
      <c r="K3319" s="22">
        <v>45863</v>
      </c>
      <c r="L3319" s="23">
        <f>_xlfn.DAYS(Tabla1[[#This Row],[FECHA FIN ]],Tabla1[[#This Row],[FECHA INICIO]])</f>
        <v>9</v>
      </c>
      <c r="M3319" s="12"/>
      <c r="N3319" s="12">
        <v>462.18</v>
      </c>
      <c r="O3319" s="24">
        <f>(Tabla1[[#This Row],[COSTO FIJO ]]/30)*Tabla1[[#This Row],[TOTAL DIAS PROYECTO]]+(Tabla1[[#This Row],[COSTO TEMPORAL]])</f>
        <v>138.654</v>
      </c>
      <c r="P3319" s="12"/>
      <c r="Q3319" s="12">
        <f>+(Tabla1[[#This Row],[COSTO COCHE]]/30)*Tabla1[[#This Row],[TOTAL DIAS PROYECTO]]</f>
        <v>0</v>
      </c>
      <c r="R3319" s="12">
        <f>+Tabla1[[#This Row],[COSTO TOTAL ALOJAMIENTO]]+Tabla1[[#This Row],[COSTO TOTAL COCHE]]</f>
        <v>138.654</v>
      </c>
      <c r="S3319" s="2"/>
      <c r="T3319" s="14" t="s">
        <v>44</v>
      </c>
      <c r="U3319" s="14">
        <v>45854</v>
      </c>
      <c r="V3319" s="25">
        <v>45863</v>
      </c>
      <c r="W3319" s="12"/>
      <c r="X3319" s="2"/>
      <c r="Y3319" s="11" t="s">
        <v>1361</v>
      </c>
      <c r="Z3319" s="2" t="s">
        <v>36</v>
      </c>
      <c r="AA3319" s="13">
        <v>0.62217999999999996</v>
      </c>
      <c r="AB3319" s="13" t="s">
        <v>10339</v>
      </c>
    </row>
    <row r="3320" spans="1:28" ht="15" customHeight="1">
      <c r="A3320" s="2" t="s">
        <v>8995</v>
      </c>
      <c r="B3320" s="2" t="s">
        <v>978</v>
      </c>
      <c r="C3320" s="104" t="s">
        <v>1621</v>
      </c>
      <c r="D3320" s="2" t="s">
        <v>30</v>
      </c>
      <c r="E3320" s="2" t="s">
        <v>109</v>
      </c>
      <c r="F3320" s="11" t="s">
        <v>2161</v>
      </c>
      <c r="G3320" s="30" t="s">
        <v>2162</v>
      </c>
      <c r="H3320" s="2" t="s">
        <v>4680</v>
      </c>
      <c r="I3320" s="116" t="s">
        <v>4681</v>
      </c>
      <c r="J3320" s="41">
        <f>+Tabla1[[#This Row],[FECHA ENTRADA]]</f>
        <v>45854</v>
      </c>
      <c r="K3320" s="22">
        <v>45869</v>
      </c>
      <c r="L3320" s="42">
        <f>_xlfn.DAYS(Tabla1[[#This Row],[FECHA FIN ]],Tabla1[[#This Row],[FECHA INICIO]])</f>
        <v>15</v>
      </c>
      <c r="M3320" s="12">
        <v>350</v>
      </c>
      <c r="N3320" s="28"/>
      <c r="O3320" s="28">
        <f>(Tabla1[[#This Row],[COSTO FIJO ]]/30)*Tabla1[[#This Row],[TOTAL DIAS PROYECTO]]+(Tabla1[[#This Row],[COSTO TEMPORAL]])</f>
        <v>350</v>
      </c>
      <c r="P3320" s="12"/>
      <c r="Q3320" s="12">
        <f>+(Tabla1[[#This Row],[COSTO COCHE]]/30)*Tabla1[[#This Row],[TOTAL DIAS PROYECTO]]</f>
        <v>0</v>
      </c>
      <c r="R3320" s="12">
        <f>+Tabla1[[#This Row],[COSTO TOTAL ALOJAMIENTO]]+Tabla1[[#This Row],[COSTO TOTAL COCHE]]</f>
        <v>350</v>
      </c>
      <c r="S3320" s="2"/>
      <c r="T3320" s="14" t="s">
        <v>44</v>
      </c>
      <c r="U3320" s="14">
        <v>45854</v>
      </c>
      <c r="V3320" s="43">
        <v>45869</v>
      </c>
      <c r="W3320" s="12"/>
      <c r="X3320" s="2"/>
      <c r="Y3320" s="11" t="s">
        <v>4545</v>
      </c>
      <c r="Z3320" s="2" t="s">
        <v>36</v>
      </c>
      <c r="AA3320" s="13">
        <v>0.62217999999999996</v>
      </c>
      <c r="AB3320" s="13" t="s">
        <v>10339</v>
      </c>
    </row>
    <row r="3321" spans="1:28" ht="15" customHeight="1">
      <c r="A3321" s="2" t="s">
        <v>9333</v>
      </c>
      <c r="B3321" s="2" t="s">
        <v>368</v>
      </c>
      <c r="C3321" s="104" t="s">
        <v>2845</v>
      </c>
      <c r="D3321" s="2" t="s">
        <v>30</v>
      </c>
      <c r="E3321" s="2" t="s">
        <v>127</v>
      </c>
      <c r="F3321" s="11" t="s">
        <v>820</v>
      </c>
      <c r="G3321" s="46" t="s">
        <v>4471</v>
      </c>
      <c r="H3321" s="2" t="s">
        <v>4101</v>
      </c>
      <c r="I3321" s="12" t="s">
        <v>1193</v>
      </c>
      <c r="J3321" s="41">
        <f>+Tabla1[[#This Row],[FECHA ENTRADA]]</f>
        <v>45840</v>
      </c>
      <c r="K3321" s="41">
        <v>45894</v>
      </c>
      <c r="L3321" s="42">
        <f>_xlfn.DAYS(Tabla1[[#This Row],[FECHA FIN ]],Tabla1[[#This Row],[FECHA INICIO]])</f>
        <v>54</v>
      </c>
      <c r="M3321" s="12"/>
      <c r="N3321" s="12"/>
      <c r="O3321" s="28">
        <f>(Tabla1[[#This Row],[COSTO FIJO ]]/30)*Tabla1[[#This Row],[TOTAL DIAS PROYECTO]]+(Tabla1[[#This Row],[COSTO TEMPORAL]])</f>
        <v>0</v>
      </c>
      <c r="P3321" s="12"/>
      <c r="Q3321" s="12">
        <f>+(Tabla1[[#This Row],[COSTO COCHE]]/30)*Tabla1[[#This Row],[TOTAL DIAS PROYECTO]]</f>
        <v>0</v>
      </c>
      <c r="R3321" s="12">
        <f>+Tabla1[[#This Row],[COSTO TOTAL ALOJAMIENTO]]+Tabla1[[#This Row],[COSTO TOTAL COCHE]]</f>
        <v>0</v>
      </c>
      <c r="S3321" s="2"/>
      <c r="T3321" s="14" t="s">
        <v>44</v>
      </c>
      <c r="U3321" s="14">
        <v>45840</v>
      </c>
      <c r="V3321" s="43">
        <v>45895</v>
      </c>
      <c r="W3321" s="2"/>
      <c r="X3321" s="2">
        <v>1</v>
      </c>
      <c r="Y3321" s="11" t="s">
        <v>1120</v>
      </c>
      <c r="Z3321" s="2" t="s">
        <v>36</v>
      </c>
      <c r="AA3321" s="13" t="s">
        <v>10342</v>
      </c>
      <c r="AB3321" s="13" t="s">
        <v>10343</v>
      </c>
    </row>
    <row r="3322" spans="1:28" ht="15" customHeight="1">
      <c r="A3322" s="2" t="s">
        <v>9659</v>
      </c>
      <c r="B3322" s="2" t="s">
        <v>368</v>
      </c>
      <c r="C3322" s="104" t="s">
        <v>4103</v>
      </c>
      <c r="D3322" s="2" t="s">
        <v>30</v>
      </c>
      <c r="E3322" s="2" t="s">
        <v>127</v>
      </c>
      <c r="F3322" s="11" t="s">
        <v>820</v>
      </c>
      <c r="G3322" s="46" t="s">
        <v>4471</v>
      </c>
      <c r="H3322" s="2" t="s">
        <v>3622</v>
      </c>
      <c r="I3322" s="12" t="s">
        <v>1193</v>
      </c>
      <c r="J3322" s="41">
        <f>+Tabla1[[#This Row],[FECHA ENTRADA]]</f>
        <v>45840</v>
      </c>
      <c r="K3322" s="41">
        <v>45894</v>
      </c>
      <c r="L3322" s="42">
        <f>_xlfn.DAYS(Tabla1[[#This Row],[FECHA FIN ]],Tabla1[[#This Row],[FECHA INICIO]])</f>
        <v>54</v>
      </c>
      <c r="M3322" s="12"/>
      <c r="N3322" s="12"/>
      <c r="O3322" s="28">
        <f>(Tabla1[[#This Row],[COSTO FIJO ]]/30)*Tabla1[[#This Row],[TOTAL DIAS PROYECTO]]+(Tabla1[[#This Row],[COSTO TEMPORAL]])</f>
        <v>0</v>
      </c>
      <c r="P3322" s="12"/>
      <c r="Q3322" s="12">
        <f>+(Tabla1[[#This Row],[COSTO COCHE]]/30)*Tabla1[[#This Row],[TOTAL DIAS PROYECTO]]</f>
        <v>0</v>
      </c>
      <c r="R3322" s="12">
        <f>+Tabla1[[#This Row],[COSTO TOTAL ALOJAMIENTO]]+Tabla1[[#This Row],[COSTO TOTAL COCHE]]</f>
        <v>0</v>
      </c>
      <c r="S3322" s="2"/>
      <c r="T3322" s="14" t="s">
        <v>44</v>
      </c>
      <c r="U3322" s="14">
        <v>45840</v>
      </c>
      <c r="V3322" s="25">
        <v>45895</v>
      </c>
      <c r="W3322" s="2"/>
      <c r="X3322" s="2">
        <v>1</v>
      </c>
      <c r="Y3322" s="11" t="s">
        <v>1120</v>
      </c>
      <c r="Z3322" s="2" t="s">
        <v>36</v>
      </c>
      <c r="AA3322" s="13" t="s">
        <v>10342</v>
      </c>
      <c r="AB3322" s="13" t="s">
        <v>10343</v>
      </c>
    </row>
    <row r="3323" spans="1:28" ht="15" customHeight="1">
      <c r="A3323" s="2" t="s">
        <v>8676</v>
      </c>
      <c r="B3323" s="2" t="s">
        <v>28</v>
      </c>
      <c r="C3323" s="104" t="s">
        <v>244</v>
      </c>
      <c r="D3323" s="2" t="s">
        <v>749</v>
      </c>
      <c r="E3323" s="2" t="s">
        <v>288</v>
      </c>
      <c r="F3323" s="11" t="s">
        <v>4751</v>
      </c>
      <c r="G3323" s="21" t="s">
        <v>4752</v>
      </c>
      <c r="H3323" s="2" t="s">
        <v>3675</v>
      </c>
      <c r="I3323" s="10" t="s">
        <v>753</v>
      </c>
      <c r="J3323" s="41">
        <f>+Tabla1[[#This Row],[FECHA ENTRADA]]</f>
        <v>45877</v>
      </c>
      <c r="K3323" s="41">
        <v>45885</v>
      </c>
      <c r="L3323" s="42">
        <f>_xlfn.DAYS(Tabla1[[#This Row],[FECHA FIN ]],Tabla1[[#This Row],[FECHA INICIO]])</f>
        <v>8</v>
      </c>
      <c r="M3323" s="12"/>
      <c r="N3323" s="12">
        <v>668.57142857142856</v>
      </c>
      <c r="O3323" s="28">
        <f>(Tabla1[[#This Row],[COSTO FIJO ]]/30)*Tabla1[[#This Row],[TOTAL DIAS PROYECTO]]+(Tabla1[[#This Row],[COSTO TEMPORAL]])</f>
        <v>178.28571428571428</v>
      </c>
      <c r="P3323" s="12"/>
      <c r="Q3323" s="12">
        <f>+(Tabla1[[#This Row],[COSTO COCHE]]/30)*Tabla1[[#This Row],[TOTAL DIAS PROYECTO]]</f>
        <v>0</v>
      </c>
      <c r="R3323" s="12">
        <f>+Tabla1[[#This Row],[COSTO TOTAL ALOJAMIENTO]]+Tabla1[[#This Row],[COSTO TOTAL COCHE]]</f>
        <v>178.28571428571428</v>
      </c>
      <c r="S3323" s="2"/>
      <c r="T3323" s="14" t="s">
        <v>44</v>
      </c>
      <c r="U3323" s="14">
        <v>45877</v>
      </c>
      <c r="V3323" s="43">
        <v>45908</v>
      </c>
      <c r="W3323" s="12"/>
      <c r="X3323" s="2"/>
      <c r="Y3323" s="11"/>
      <c r="Z3323" s="2" t="s">
        <v>36</v>
      </c>
      <c r="AA3323" s="13" t="s">
        <v>10362</v>
      </c>
      <c r="AB3323" s="13" t="s">
        <v>10363</v>
      </c>
    </row>
    <row r="3324" spans="1:28" ht="15" customHeight="1">
      <c r="A3324" s="2" t="s">
        <v>8638</v>
      </c>
      <c r="B3324" s="2" t="s">
        <v>28</v>
      </c>
      <c r="C3324" s="104" t="s">
        <v>4109</v>
      </c>
      <c r="D3324" s="2" t="s">
        <v>749</v>
      </c>
      <c r="E3324" s="2" t="s">
        <v>288</v>
      </c>
      <c r="F3324" s="11" t="s">
        <v>4751</v>
      </c>
      <c r="G3324" s="21" t="s">
        <v>4752</v>
      </c>
      <c r="H3324" s="2" t="s">
        <v>3675</v>
      </c>
      <c r="I3324" s="10" t="s">
        <v>753</v>
      </c>
      <c r="J3324" s="41">
        <f>+Tabla1[[#This Row],[FECHA ENTRADA]]</f>
        <v>45877</v>
      </c>
      <c r="K3324" s="41">
        <v>45902</v>
      </c>
      <c r="L3324" s="42">
        <f>_xlfn.DAYS(Tabla1[[#This Row],[FECHA FIN ]],Tabla1[[#This Row],[FECHA INICIO]])</f>
        <v>25</v>
      </c>
      <c r="M3324" s="12">
        <v>668.57142857142856</v>
      </c>
      <c r="N3324" s="28"/>
      <c r="O3324" s="28">
        <f>(Tabla1[[#This Row],[COSTO FIJO ]]/30)*Tabla1[[#This Row],[TOTAL DIAS PROYECTO]]+(Tabla1[[#This Row],[COSTO TEMPORAL]])</f>
        <v>668.57142857142856</v>
      </c>
      <c r="P3324" s="12"/>
      <c r="Q3324" s="12">
        <f>+(Tabla1[[#This Row],[COSTO COCHE]]/30)*Tabla1[[#This Row],[TOTAL DIAS PROYECTO]]</f>
        <v>0</v>
      </c>
      <c r="R3324" s="12">
        <f>+Tabla1[[#This Row],[COSTO TOTAL ALOJAMIENTO]]+Tabla1[[#This Row],[COSTO TOTAL COCHE]]</f>
        <v>668.57142857142856</v>
      </c>
      <c r="S3324" s="2"/>
      <c r="T3324" s="14" t="s">
        <v>44</v>
      </c>
      <c r="U3324" s="14">
        <v>45877</v>
      </c>
      <c r="V3324" s="25">
        <v>45931</v>
      </c>
      <c r="W3324" s="12"/>
      <c r="X3324" s="2"/>
      <c r="Y3324" s="202" t="s">
        <v>4953</v>
      </c>
      <c r="Z3324" s="2" t="s">
        <v>36</v>
      </c>
      <c r="AA3324" s="13" t="s">
        <v>10362</v>
      </c>
      <c r="AB3324" s="13" t="s">
        <v>10363</v>
      </c>
    </row>
    <row r="3325" spans="1:28" ht="15" customHeight="1">
      <c r="A3325" s="2" t="s">
        <v>9294</v>
      </c>
      <c r="B3325" s="2" t="s">
        <v>978</v>
      </c>
      <c r="C3325" s="97" t="s">
        <v>2731</v>
      </c>
      <c r="D3325" s="2" t="s">
        <v>99</v>
      </c>
      <c r="E3325" s="2" t="s">
        <v>31</v>
      </c>
      <c r="F3325" s="11" t="s">
        <v>32</v>
      </c>
      <c r="G3325" s="11" t="s">
        <v>33</v>
      </c>
      <c r="H3325" s="2" t="s">
        <v>4954</v>
      </c>
      <c r="I3325" s="12" t="s">
        <v>3791</v>
      </c>
      <c r="J3325" s="41">
        <f>+Tabla1[[#This Row],[FECHA ENTRADA]]</f>
        <v>45894</v>
      </c>
      <c r="K3325" s="41">
        <v>45895</v>
      </c>
      <c r="L3325" s="42">
        <f>_xlfn.DAYS(Tabla1[[#This Row],[FECHA FIN ]],Tabla1[[#This Row],[FECHA INICIO]])</f>
        <v>1</v>
      </c>
      <c r="M3325" s="12"/>
      <c r="N3325" s="12">
        <f>875.5/4</f>
        <v>218.875</v>
      </c>
      <c r="O3325" s="28">
        <f>(Tabla1[[#This Row],[COSTO FIJO ]]/30)*Tabla1[[#This Row],[TOTAL DIAS PROYECTO]]+(Tabla1[[#This Row],[COSTO TEMPORAL]])</f>
        <v>7.2958333333333334</v>
      </c>
      <c r="P3325" s="12"/>
      <c r="Q3325" s="12">
        <f>+(Tabla1[[#This Row],[COSTO COCHE]]/30)*Tabla1[[#This Row],[TOTAL DIAS PROYECTO]]</f>
        <v>0</v>
      </c>
      <c r="R3325" s="12">
        <f>+Tabla1[[#This Row],[COSTO TOTAL ALOJAMIENTO]]+Tabla1[[#This Row],[COSTO TOTAL COCHE]]</f>
        <v>7.2958333333333334</v>
      </c>
      <c r="S3325" s="2"/>
      <c r="T3325" s="14" t="s">
        <v>35</v>
      </c>
      <c r="U3325" s="14">
        <v>45894</v>
      </c>
      <c r="V3325" s="43"/>
      <c r="W3325" s="12"/>
      <c r="X3325" s="2">
        <v>1</v>
      </c>
      <c r="Y3325" s="11" t="s">
        <v>4955</v>
      </c>
      <c r="Z3325" s="2" t="s">
        <v>36</v>
      </c>
      <c r="AA3325" s="13" t="s">
        <v>10323</v>
      </c>
      <c r="AB3325" s="13" t="s">
        <v>10324</v>
      </c>
    </row>
    <row r="3326" spans="1:28" ht="15" customHeight="1">
      <c r="A3326" s="2" t="s">
        <v>9801</v>
      </c>
      <c r="B3326" s="2" t="s">
        <v>28</v>
      </c>
      <c r="C3326" s="104" t="s">
        <v>4809</v>
      </c>
      <c r="D3326" s="2" t="s">
        <v>99</v>
      </c>
      <c r="E3326" s="2" t="s">
        <v>259</v>
      </c>
      <c r="F3326" s="11" t="s">
        <v>4956</v>
      </c>
      <c r="G3326" s="49" t="s">
        <v>4207</v>
      </c>
      <c r="H3326" s="2" t="s">
        <v>4957</v>
      </c>
      <c r="I3326" s="12" t="s">
        <v>57</v>
      </c>
      <c r="J3326" s="41">
        <f>+Tabla1[[#This Row],[FECHA ENTRADA]]</f>
        <v>45883</v>
      </c>
      <c r="K3326" s="41">
        <v>45895</v>
      </c>
      <c r="L3326" s="42">
        <f>_xlfn.DAYS(Tabla1[[#This Row],[FECHA FIN ]],Tabla1[[#This Row],[FECHA INICIO]])</f>
        <v>12</v>
      </c>
      <c r="M3326" s="12"/>
      <c r="N3326" s="12"/>
      <c r="O3326" s="28">
        <f>(Tabla1[[#This Row],[COSTO FIJO ]]/30)*Tabla1[[#This Row],[TOTAL DIAS PROYECTO]]+(Tabla1[[#This Row],[COSTO TEMPORAL]])</f>
        <v>0</v>
      </c>
      <c r="P3326" s="12"/>
      <c r="Q3326" s="12">
        <f>+(Tabla1[[#This Row],[COSTO COCHE]]/30)*Tabla1[[#This Row],[TOTAL DIAS PROYECTO]]</f>
        <v>0</v>
      </c>
      <c r="R3326" s="12">
        <f>+Tabla1[[#This Row],[COSTO TOTAL ALOJAMIENTO]]+Tabla1[[#This Row],[COSTO TOTAL COCHE]]</f>
        <v>0</v>
      </c>
      <c r="S3326" s="2"/>
      <c r="T3326" s="14" t="s">
        <v>44</v>
      </c>
      <c r="U3326" s="14">
        <v>45883</v>
      </c>
      <c r="V3326" s="43">
        <v>45895</v>
      </c>
      <c r="W3326" s="12"/>
      <c r="X3326" s="2"/>
      <c r="Y3326" s="11" t="s">
        <v>1166</v>
      </c>
      <c r="Z3326" s="2" t="s">
        <v>36</v>
      </c>
      <c r="AA3326" s="13">
        <v>-0.87734000000000001</v>
      </c>
      <c r="AB3326" s="13" t="s">
        <v>10359</v>
      </c>
    </row>
    <row r="3327" spans="1:28" ht="15" customHeight="1">
      <c r="A3327" s="2" t="s">
        <v>9639</v>
      </c>
      <c r="B3327" s="2" t="s">
        <v>28</v>
      </c>
      <c r="C3327" s="104" t="s">
        <v>4038</v>
      </c>
      <c r="D3327" s="2" t="s">
        <v>99</v>
      </c>
      <c r="E3327" s="2" t="s">
        <v>259</v>
      </c>
      <c r="F3327" s="11" t="s">
        <v>4956</v>
      </c>
      <c r="G3327" s="49" t="s">
        <v>4207</v>
      </c>
      <c r="H3327" s="2" t="s">
        <v>4957</v>
      </c>
      <c r="I3327" s="12" t="s">
        <v>57</v>
      </c>
      <c r="J3327" s="41">
        <f>+Tabla1[[#This Row],[FECHA ENTRADA]]</f>
        <v>45883</v>
      </c>
      <c r="K3327" s="41">
        <v>45895</v>
      </c>
      <c r="L3327" s="42">
        <f>_xlfn.DAYS(Tabla1[[#This Row],[FECHA FIN ]],Tabla1[[#This Row],[FECHA INICIO]])</f>
        <v>12</v>
      </c>
      <c r="M3327" s="12"/>
      <c r="N3327" s="12"/>
      <c r="O3327" s="28">
        <f>(Tabla1[[#This Row],[COSTO FIJO ]]/30)*Tabla1[[#This Row],[TOTAL DIAS PROYECTO]]+(Tabla1[[#This Row],[COSTO TEMPORAL]])</f>
        <v>0</v>
      </c>
      <c r="P3327" s="12"/>
      <c r="Q3327" s="12">
        <f>+(Tabla1[[#This Row],[COSTO COCHE]]/30)*Tabla1[[#This Row],[TOTAL DIAS PROYECTO]]</f>
        <v>0</v>
      </c>
      <c r="R3327" s="12">
        <f>+Tabla1[[#This Row],[COSTO TOTAL ALOJAMIENTO]]+Tabla1[[#This Row],[COSTO TOTAL COCHE]]</f>
        <v>0</v>
      </c>
      <c r="S3327" s="2"/>
      <c r="T3327" s="14" t="s">
        <v>44</v>
      </c>
      <c r="U3327" s="14">
        <v>45883</v>
      </c>
      <c r="V3327" s="43">
        <v>45895</v>
      </c>
      <c r="W3327" s="12"/>
      <c r="X3327" s="2"/>
      <c r="Y3327" s="11" t="s">
        <v>1166</v>
      </c>
      <c r="Z3327" s="2" t="s">
        <v>36</v>
      </c>
      <c r="AA3327" s="13">
        <v>-0.87734000000000001</v>
      </c>
      <c r="AB3327" s="13" t="s">
        <v>10359</v>
      </c>
    </row>
    <row r="3328" spans="1:28" ht="15" customHeight="1">
      <c r="A3328" s="2" t="s">
        <v>9798</v>
      </c>
      <c r="B3328" s="2" t="s">
        <v>28</v>
      </c>
      <c r="C3328" s="104" t="s">
        <v>4800</v>
      </c>
      <c r="D3328" s="2" t="s">
        <v>99</v>
      </c>
      <c r="E3328" s="2" t="s">
        <v>31</v>
      </c>
      <c r="F3328" s="11" t="s">
        <v>3409</v>
      </c>
      <c r="G3328" s="21" t="s">
        <v>3410</v>
      </c>
      <c r="H3328" s="2" t="s">
        <v>4799</v>
      </c>
      <c r="I3328" s="12" t="s">
        <v>181</v>
      </c>
      <c r="J3328" s="22">
        <f>+Tabla1[[#This Row],[FECHA ENTRADA]]</f>
        <v>45882</v>
      </c>
      <c r="K3328" s="22">
        <v>45895</v>
      </c>
      <c r="L3328" s="23">
        <f>_xlfn.DAYS(Tabla1[[#This Row],[FECHA FIN ]],Tabla1[[#This Row],[FECHA INICIO]])</f>
        <v>13</v>
      </c>
      <c r="M3328" s="12"/>
      <c r="N3328" s="12"/>
      <c r="O3328" s="24">
        <f>(Tabla1[[#This Row],[COSTO FIJO ]]/30)*Tabla1[[#This Row],[TOTAL DIAS PROYECTO]]+(Tabla1[[#This Row],[COSTO TEMPORAL]])</f>
        <v>0</v>
      </c>
      <c r="P3328" s="12"/>
      <c r="Q3328" s="12">
        <f>+(Tabla1[[#This Row],[COSTO COCHE]]/30)*Tabla1[[#This Row],[TOTAL DIAS PROYECTO]]</f>
        <v>0</v>
      </c>
      <c r="R3328" s="12">
        <f>+Tabla1[[#This Row],[COSTO TOTAL ALOJAMIENTO]]+Tabla1[[#This Row],[COSTO TOTAL COCHE]]</f>
        <v>0</v>
      </c>
      <c r="S3328" s="2"/>
      <c r="T3328" s="14" t="s">
        <v>44</v>
      </c>
      <c r="U3328" s="14">
        <v>45882</v>
      </c>
      <c r="V3328" s="79">
        <v>45895</v>
      </c>
      <c r="W3328" s="12"/>
      <c r="X3328" s="2"/>
      <c r="Y3328" s="11" t="s">
        <v>4958</v>
      </c>
      <c r="Z3328" s="2" t="s">
        <v>36</v>
      </c>
      <c r="AA3328" s="13" t="s">
        <v>10323</v>
      </c>
      <c r="AB3328" s="13" t="s">
        <v>10324</v>
      </c>
    </row>
    <row r="3329" spans="1:28" ht="15" customHeight="1">
      <c r="A3329" s="2" t="s">
        <v>8994</v>
      </c>
      <c r="B3329" s="2" t="s">
        <v>978</v>
      </c>
      <c r="C3329" s="104" t="s">
        <v>1617</v>
      </c>
      <c r="D3329" s="2" t="s">
        <v>30</v>
      </c>
      <c r="E3329" s="2" t="s">
        <v>109</v>
      </c>
      <c r="F3329" s="11" t="s">
        <v>2161</v>
      </c>
      <c r="G3329" s="46" t="s">
        <v>2162</v>
      </c>
      <c r="H3329" s="2" t="s">
        <v>4680</v>
      </c>
      <c r="I3329" s="116" t="s">
        <v>4681</v>
      </c>
      <c r="J3329" s="41">
        <f>+Tabla1[[#This Row],[FECHA ENTRADA]]</f>
        <v>45854</v>
      </c>
      <c r="K3329" s="22">
        <v>45869</v>
      </c>
      <c r="L3329" s="42">
        <f>_xlfn.DAYS(Tabla1[[#This Row],[FECHA FIN ]],Tabla1[[#This Row],[FECHA INICIO]])</f>
        <v>15</v>
      </c>
      <c r="M3329" s="12">
        <v>350</v>
      </c>
      <c r="N3329" s="28"/>
      <c r="O3329" s="28">
        <f>(Tabla1[[#This Row],[COSTO FIJO ]]/30)*Tabla1[[#This Row],[TOTAL DIAS PROYECTO]]+(Tabla1[[#This Row],[COSTO TEMPORAL]])</f>
        <v>350</v>
      </c>
      <c r="P3329" s="12"/>
      <c r="Q3329" s="12">
        <f>+(Tabla1[[#This Row],[COSTO COCHE]]/30)*Tabla1[[#This Row],[TOTAL DIAS PROYECTO]]</f>
        <v>0</v>
      </c>
      <c r="R3329" s="12">
        <f>+Tabla1[[#This Row],[COSTO TOTAL ALOJAMIENTO]]+Tabla1[[#This Row],[COSTO TOTAL COCHE]]</f>
        <v>350</v>
      </c>
      <c r="S3329" s="2"/>
      <c r="T3329" s="14" t="s">
        <v>44</v>
      </c>
      <c r="U3329" s="14">
        <v>45854</v>
      </c>
      <c r="V3329" s="43">
        <v>45869</v>
      </c>
      <c r="W3329" s="12"/>
      <c r="X3329" s="2"/>
      <c r="Y3329" s="11" t="s">
        <v>4545</v>
      </c>
      <c r="Z3329" s="2" t="s">
        <v>36</v>
      </c>
      <c r="AA3329" s="13">
        <v>0.62217999999999996</v>
      </c>
      <c r="AB3329" s="13" t="s">
        <v>10339</v>
      </c>
    </row>
    <row r="3330" spans="1:28" ht="15" customHeight="1">
      <c r="A3330" s="2" t="s">
        <v>9242</v>
      </c>
      <c r="B3330" s="2" t="s">
        <v>28</v>
      </c>
      <c r="C3330" s="104" t="s">
        <v>2560</v>
      </c>
      <c r="D3330" s="2" t="s">
        <v>99</v>
      </c>
      <c r="E3330" s="2" t="s">
        <v>259</v>
      </c>
      <c r="F3330" s="11" t="s">
        <v>4956</v>
      </c>
      <c r="G3330" s="46" t="s">
        <v>4207</v>
      </c>
      <c r="H3330" s="2" t="s">
        <v>4959</v>
      </c>
      <c r="I3330" s="10" t="s">
        <v>397</v>
      </c>
      <c r="J3330" s="41">
        <f>+Tabla1[[#This Row],[FECHA ENTRADA]]</f>
        <v>45864</v>
      </c>
      <c r="K3330" s="41">
        <v>45895</v>
      </c>
      <c r="L3330" s="42">
        <f>_xlfn.DAYS(Tabla1[[#This Row],[FECHA FIN ]],Tabla1[[#This Row],[FECHA INICIO]])</f>
        <v>31</v>
      </c>
      <c r="M3330" s="12"/>
      <c r="N3330" s="12"/>
      <c r="O3330" s="28">
        <f>(Tabla1[[#This Row],[COSTO FIJO ]]/30)*Tabla1[[#This Row],[TOTAL DIAS PROYECTO]]+(Tabla1[[#This Row],[COSTO TEMPORAL]])</f>
        <v>0</v>
      </c>
      <c r="P3330" s="12"/>
      <c r="Q3330" s="12">
        <f>+(Tabla1[[#This Row],[COSTO COCHE]]/30)*Tabla1[[#This Row],[TOTAL DIAS PROYECTO]]</f>
        <v>0</v>
      </c>
      <c r="R3330" s="12">
        <f>+Tabla1[[#This Row],[COSTO TOTAL ALOJAMIENTO]]+Tabla1[[#This Row],[COSTO TOTAL COCHE]]</f>
        <v>0</v>
      </c>
      <c r="S3330" s="2"/>
      <c r="T3330" s="14" t="s">
        <v>44</v>
      </c>
      <c r="U3330" s="14">
        <v>45864</v>
      </c>
      <c r="V3330" s="43">
        <v>45895</v>
      </c>
      <c r="W3330" s="12"/>
      <c r="X3330" s="2"/>
      <c r="Y3330" s="11"/>
      <c r="Z3330" s="2" t="s">
        <v>36</v>
      </c>
      <c r="AA3330" s="13">
        <v>-0.87734000000000001</v>
      </c>
      <c r="AB3330" s="13" t="s">
        <v>10359</v>
      </c>
    </row>
    <row r="3331" spans="1:28" ht="15" customHeight="1">
      <c r="A3331" s="2" t="s">
        <v>9815</v>
      </c>
      <c r="B3331" s="2" t="s">
        <v>28</v>
      </c>
      <c r="C3331" s="104" t="s">
        <v>4878</v>
      </c>
      <c r="D3331" s="2" t="s">
        <v>99</v>
      </c>
      <c r="E3331" s="2" t="s">
        <v>259</v>
      </c>
      <c r="F3331" s="11" t="s">
        <v>4956</v>
      </c>
      <c r="G3331" s="46" t="s">
        <v>4207</v>
      </c>
      <c r="H3331" s="2" t="s">
        <v>4959</v>
      </c>
      <c r="I3331" s="10" t="s">
        <v>397</v>
      </c>
      <c r="J3331" s="41">
        <f>+Tabla1[[#This Row],[FECHA ENTRADA]]</f>
        <v>45864</v>
      </c>
      <c r="K3331" s="22">
        <v>45895</v>
      </c>
      <c r="L3331" s="42">
        <f>_xlfn.DAYS(Tabla1[[#This Row],[FECHA FIN ]],Tabla1[[#This Row],[FECHA INICIO]])</f>
        <v>31</v>
      </c>
      <c r="M3331" s="12"/>
      <c r="N3331" s="12"/>
      <c r="O3331" s="28">
        <f>(Tabla1[[#This Row],[COSTO FIJO ]]/30)*Tabla1[[#This Row],[TOTAL DIAS PROYECTO]]+(Tabla1[[#This Row],[COSTO TEMPORAL]])</f>
        <v>0</v>
      </c>
      <c r="P3331" s="12"/>
      <c r="Q3331" s="12">
        <f>+(Tabla1[[#This Row],[COSTO COCHE]]/30)*Tabla1[[#This Row],[TOTAL DIAS PROYECTO]]</f>
        <v>0</v>
      </c>
      <c r="R3331" s="12">
        <f>+Tabla1[[#This Row],[COSTO TOTAL ALOJAMIENTO]]+Tabla1[[#This Row],[COSTO TOTAL COCHE]]</f>
        <v>0</v>
      </c>
      <c r="S3331" s="2"/>
      <c r="T3331" s="14" t="s">
        <v>44</v>
      </c>
      <c r="U3331" s="14">
        <v>45864</v>
      </c>
      <c r="V3331" s="43">
        <v>45895</v>
      </c>
      <c r="W3331" s="12"/>
      <c r="X3331" s="2"/>
      <c r="Y3331" s="11"/>
      <c r="Z3331" s="2" t="s">
        <v>36</v>
      </c>
      <c r="AA3331" s="13">
        <v>-0.87734000000000001</v>
      </c>
      <c r="AB3331" s="13" t="s">
        <v>10359</v>
      </c>
    </row>
    <row r="3332" spans="1:28" ht="15" customHeight="1">
      <c r="A3332" s="2" t="s">
        <v>9740</v>
      </c>
      <c r="B3332" s="2" t="s">
        <v>28</v>
      </c>
      <c r="C3332" s="104" t="s">
        <v>4508</v>
      </c>
      <c r="D3332" s="2" t="s">
        <v>99</v>
      </c>
      <c r="E3332" s="2" t="s">
        <v>259</v>
      </c>
      <c r="F3332" s="11" t="s">
        <v>4956</v>
      </c>
      <c r="G3332" s="46" t="s">
        <v>4207</v>
      </c>
      <c r="H3332" s="2" t="s">
        <v>4959</v>
      </c>
      <c r="I3332" s="10" t="s">
        <v>397</v>
      </c>
      <c r="J3332" s="41">
        <f>+Tabla1[[#This Row],[FECHA ENTRADA]]</f>
        <v>45864</v>
      </c>
      <c r="K3332" s="22">
        <v>45895</v>
      </c>
      <c r="L3332" s="42">
        <f>_xlfn.DAYS(Tabla1[[#This Row],[FECHA FIN ]],Tabla1[[#This Row],[FECHA INICIO]])</f>
        <v>31</v>
      </c>
      <c r="M3332" s="12"/>
      <c r="N3332" s="12"/>
      <c r="O3332" s="28">
        <f>(Tabla1[[#This Row],[COSTO FIJO ]]/30)*Tabla1[[#This Row],[TOTAL DIAS PROYECTO]]+(Tabla1[[#This Row],[COSTO TEMPORAL]])</f>
        <v>0</v>
      </c>
      <c r="P3332" s="12"/>
      <c r="Q3332" s="12">
        <f>+(Tabla1[[#This Row],[COSTO COCHE]]/30)*Tabla1[[#This Row],[TOTAL DIAS PROYECTO]]</f>
        <v>0</v>
      </c>
      <c r="R3332" s="12">
        <f>+Tabla1[[#This Row],[COSTO TOTAL ALOJAMIENTO]]+Tabla1[[#This Row],[COSTO TOTAL COCHE]]</f>
        <v>0</v>
      </c>
      <c r="S3332" s="2"/>
      <c r="T3332" s="14" t="s">
        <v>44</v>
      </c>
      <c r="U3332" s="14">
        <v>45864</v>
      </c>
      <c r="V3332" s="43">
        <v>45895</v>
      </c>
      <c r="W3332" s="12"/>
      <c r="X3332" s="2"/>
      <c r="Y3332" s="11"/>
      <c r="Z3332" s="2" t="s">
        <v>36</v>
      </c>
      <c r="AA3332" s="13">
        <v>-0.87734000000000001</v>
      </c>
      <c r="AB3332" s="13" t="s">
        <v>10359</v>
      </c>
    </row>
    <row r="3333" spans="1:28" ht="15" customHeight="1">
      <c r="A3333" s="2" t="s">
        <v>9258</v>
      </c>
      <c r="B3333" s="2" t="s">
        <v>28</v>
      </c>
      <c r="C3333" s="104" t="s">
        <v>2625</v>
      </c>
      <c r="D3333" s="2" t="s">
        <v>99</v>
      </c>
      <c r="E3333" s="2" t="s">
        <v>259</v>
      </c>
      <c r="F3333" s="11" t="s">
        <v>4956</v>
      </c>
      <c r="G3333" s="46" t="s">
        <v>4207</v>
      </c>
      <c r="H3333" s="2" t="s">
        <v>4959</v>
      </c>
      <c r="I3333" s="10" t="s">
        <v>397</v>
      </c>
      <c r="J3333" s="41">
        <f>+Tabla1[[#This Row],[FECHA ENTRADA]]</f>
        <v>45864</v>
      </c>
      <c r="K3333" s="22">
        <v>45895</v>
      </c>
      <c r="L3333" s="42">
        <f>_xlfn.DAYS(Tabla1[[#This Row],[FECHA FIN ]],Tabla1[[#This Row],[FECHA INICIO]])</f>
        <v>31</v>
      </c>
      <c r="M3333" s="12"/>
      <c r="N3333" s="12"/>
      <c r="O3333" s="28">
        <f>(Tabla1[[#This Row],[COSTO FIJO ]]/30)*Tabla1[[#This Row],[TOTAL DIAS PROYECTO]]+(Tabla1[[#This Row],[COSTO TEMPORAL]])</f>
        <v>0</v>
      </c>
      <c r="P3333" s="12"/>
      <c r="Q3333" s="12">
        <f>+(Tabla1[[#This Row],[COSTO COCHE]]/30)*Tabla1[[#This Row],[TOTAL DIAS PROYECTO]]</f>
        <v>0</v>
      </c>
      <c r="R3333" s="12">
        <f>+Tabla1[[#This Row],[COSTO TOTAL ALOJAMIENTO]]+Tabla1[[#This Row],[COSTO TOTAL COCHE]]</f>
        <v>0</v>
      </c>
      <c r="S3333" s="2"/>
      <c r="T3333" s="14" t="s">
        <v>44</v>
      </c>
      <c r="U3333" s="14">
        <v>45864</v>
      </c>
      <c r="V3333" s="43">
        <v>45895</v>
      </c>
      <c r="W3333" s="12"/>
      <c r="X3333" s="2"/>
      <c r="Y3333" s="11"/>
      <c r="Z3333" s="2" t="s">
        <v>36</v>
      </c>
      <c r="AA3333" s="13">
        <v>-0.87734000000000001</v>
      </c>
      <c r="AB3333" s="13" t="s">
        <v>10359</v>
      </c>
    </row>
    <row r="3334" spans="1:28" ht="15" customHeight="1">
      <c r="A3334" s="2" t="s">
        <v>9208</v>
      </c>
      <c r="B3334" s="2" t="s">
        <v>28</v>
      </c>
      <c r="C3334" s="104" t="s">
        <v>2432</v>
      </c>
      <c r="D3334" s="2" t="s">
        <v>99</v>
      </c>
      <c r="E3334" s="2" t="s">
        <v>259</v>
      </c>
      <c r="F3334" s="11" t="s">
        <v>4956</v>
      </c>
      <c r="G3334" s="46" t="s">
        <v>4207</v>
      </c>
      <c r="H3334" s="2" t="s">
        <v>4959</v>
      </c>
      <c r="I3334" s="10" t="s">
        <v>397</v>
      </c>
      <c r="J3334" s="41">
        <f>+Tabla1[[#This Row],[FECHA ENTRADA]]</f>
        <v>45864</v>
      </c>
      <c r="K3334" s="41">
        <v>45895</v>
      </c>
      <c r="L3334" s="42">
        <f>_xlfn.DAYS(Tabla1[[#This Row],[FECHA FIN ]],Tabla1[[#This Row],[FECHA INICIO]])</f>
        <v>31</v>
      </c>
      <c r="M3334" s="12"/>
      <c r="N3334" s="12"/>
      <c r="O3334" s="28">
        <f>(Tabla1[[#This Row],[COSTO FIJO ]]/30)*Tabla1[[#This Row],[TOTAL DIAS PROYECTO]]+(Tabla1[[#This Row],[COSTO TEMPORAL]])</f>
        <v>0</v>
      </c>
      <c r="P3334" s="12"/>
      <c r="Q3334" s="12">
        <f>+(Tabla1[[#This Row],[COSTO COCHE]]/30)*Tabla1[[#This Row],[TOTAL DIAS PROYECTO]]</f>
        <v>0</v>
      </c>
      <c r="R3334" s="12">
        <f>+Tabla1[[#This Row],[COSTO TOTAL ALOJAMIENTO]]+Tabla1[[#This Row],[COSTO TOTAL COCHE]]</f>
        <v>0</v>
      </c>
      <c r="S3334" s="2"/>
      <c r="T3334" s="14" t="s">
        <v>44</v>
      </c>
      <c r="U3334" s="14">
        <v>45864</v>
      </c>
      <c r="V3334" s="43">
        <v>45895</v>
      </c>
      <c r="W3334" s="12"/>
      <c r="X3334" s="2"/>
      <c r="Y3334" s="11"/>
      <c r="Z3334" s="2" t="s">
        <v>36</v>
      </c>
      <c r="AA3334" s="13">
        <v>-0.87734000000000001</v>
      </c>
      <c r="AB3334" s="13" t="s">
        <v>10359</v>
      </c>
    </row>
    <row r="3335" spans="1:28" ht="15" customHeight="1">
      <c r="A3335" s="2" t="s">
        <v>9658</v>
      </c>
      <c r="B3335" s="2" t="s">
        <v>28</v>
      </c>
      <c r="C3335" s="104" t="s">
        <v>4099</v>
      </c>
      <c r="D3335" s="2" t="s">
        <v>99</v>
      </c>
      <c r="E3335" s="2" t="s">
        <v>259</v>
      </c>
      <c r="F3335" s="11" t="s">
        <v>4956</v>
      </c>
      <c r="G3335" s="46" t="s">
        <v>4207</v>
      </c>
      <c r="H3335" s="2" t="s">
        <v>4959</v>
      </c>
      <c r="I3335" s="10" t="s">
        <v>397</v>
      </c>
      <c r="J3335" s="41">
        <f>+Tabla1[[#This Row],[FECHA ENTRADA]]</f>
        <v>45864</v>
      </c>
      <c r="K3335" s="41">
        <v>45895</v>
      </c>
      <c r="L3335" s="42">
        <f>_xlfn.DAYS(Tabla1[[#This Row],[FECHA FIN ]],Tabla1[[#This Row],[FECHA INICIO]])</f>
        <v>31</v>
      </c>
      <c r="M3335" s="12"/>
      <c r="N3335" s="12"/>
      <c r="O3335" s="28">
        <f>(Tabla1[[#This Row],[COSTO FIJO ]]/30)*Tabla1[[#This Row],[TOTAL DIAS PROYECTO]]+(Tabla1[[#This Row],[COSTO TEMPORAL]])</f>
        <v>0</v>
      </c>
      <c r="P3335" s="12"/>
      <c r="Q3335" s="12">
        <f>+(Tabla1[[#This Row],[COSTO COCHE]]/30)*Tabla1[[#This Row],[TOTAL DIAS PROYECTO]]</f>
        <v>0</v>
      </c>
      <c r="R3335" s="12">
        <f>+Tabla1[[#This Row],[COSTO TOTAL ALOJAMIENTO]]+Tabla1[[#This Row],[COSTO TOTAL COCHE]]</f>
        <v>0</v>
      </c>
      <c r="S3335" s="2"/>
      <c r="T3335" s="14" t="s">
        <v>44</v>
      </c>
      <c r="U3335" s="14">
        <v>45864</v>
      </c>
      <c r="V3335" s="43">
        <v>45895</v>
      </c>
      <c r="W3335" s="12"/>
      <c r="X3335" s="2"/>
      <c r="Y3335" s="11"/>
      <c r="Z3335" s="2" t="s">
        <v>36</v>
      </c>
      <c r="AA3335" s="13">
        <v>-0.87734000000000001</v>
      </c>
      <c r="AB3335" s="13" t="s">
        <v>10359</v>
      </c>
    </row>
    <row r="3336" spans="1:28" ht="15" customHeight="1">
      <c r="A3336" s="2" t="s">
        <v>9834</v>
      </c>
      <c r="B3336" s="2" t="s">
        <v>978</v>
      </c>
      <c r="C3336" s="104" t="s">
        <v>4960</v>
      </c>
      <c r="D3336" s="2" t="s">
        <v>30</v>
      </c>
      <c r="E3336" s="2" t="s">
        <v>213</v>
      </c>
      <c r="F3336" s="11" t="s">
        <v>557</v>
      </c>
      <c r="G3336" s="46" t="s">
        <v>558</v>
      </c>
      <c r="H3336" s="2" t="s">
        <v>2772</v>
      </c>
      <c r="I3336" s="12" t="s">
        <v>3791</v>
      </c>
      <c r="J3336" s="41">
        <f>+Tabla1[[#This Row],[FECHA ENTRADA]]</f>
        <v>45826</v>
      </c>
      <c r="K3336" s="8">
        <v>45895</v>
      </c>
      <c r="L3336" s="42">
        <f>_xlfn.DAYS(Tabla1[[#This Row],[FECHA FIN ]],Tabla1[[#This Row],[FECHA INICIO]])</f>
        <v>69</v>
      </c>
      <c r="M3336" s="12"/>
      <c r="N3336" s="12"/>
      <c r="O3336" s="28">
        <f>(Tabla1[[#This Row],[COSTO FIJO ]]/30)*Tabla1[[#This Row],[TOTAL DIAS PROYECTO]]+(Tabla1[[#This Row],[COSTO TEMPORAL]])</f>
        <v>0</v>
      </c>
      <c r="P3336" s="12"/>
      <c r="Q3336" s="12">
        <f>+(Tabla1[[#This Row],[COSTO COCHE]]/30)*Tabla1[[#This Row],[TOTAL DIAS PROYECTO]]</f>
        <v>0</v>
      </c>
      <c r="R3336" s="12">
        <f>+Tabla1[[#This Row],[COSTO TOTAL ALOJAMIENTO]]+Tabla1[[#This Row],[COSTO TOTAL COCHE]]</f>
        <v>0</v>
      </c>
      <c r="S3336" s="2"/>
      <c r="T3336" s="14" t="s">
        <v>35</v>
      </c>
      <c r="U3336" s="14">
        <v>45826</v>
      </c>
      <c r="V3336" s="43"/>
      <c r="W3336" s="12"/>
      <c r="X3336" s="2">
        <v>20</v>
      </c>
      <c r="Y3336" s="11" t="s">
        <v>4961</v>
      </c>
      <c r="Z3336" s="2" t="s">
        <v>36</v>
      </c>
      <c r="AA3336" s="13" t="s">
        <v>10349</v>
      </c>
      <c r="AB3336" s="13" t="s">
        <v>10350</v>
      </c>
    </row>
    <row r="3337" spans="1:28" ht="15" customHeight="1">
      <c r="A3337" s="2" t="s">
        <v>9835</v>
      </c>
      <c r="B3337" s="2" t="s">
        <v>28</v>
      </c>
      <c r="C3337" s="97" t="s">
        <v>4962</v>
      </c>
      <c r="D3337" s="2" t="s">
        <v>30</v>
      </c>
      <c r="E3337" s="2" t="s">
        <v>213</v>
      </c>
      <c r="F3337" s="11" t="s">
        <v>871</v>
      </c>
      <c r="G3337" s="11" t="s">
        <v>872</v>
      </c>
      <c r="H3337" s="2" t="s">
        <v>4963</v>
      </c>
      <c r="I3337" s="12" t="s">
        <v>2190</v>
      </c>
      <c r="J3337" s="22">
        <f>+Tabla1[[#This Row],[FECHA ENTRADA]]</f>
        <v>45783</v>
      </c>
      <c r="K3337" s="22">
        <v>45896</v>
      </c>
      <c r="L3337" s="23">
        <f>_xlfn.DAYS(Tabla1[[#This Row],[FECHA FIN ]],Tabla1[[#This Row],[FECHA INICIO]])</f>
        <v>113</v>
      </c>
      <c r="M3337" s="12"/>
      <c r="N3337" s="12">
        <f>903.2/2</f>
        <v>451.6</v>
      </c>
      <c r="O3337" s="24">
        <f>(Tabla1[[#This Row],[COSTO FIJO ]]/30)*Tabla1[[#This Row],[TOTAL DIAS PROYECTO]]+(Tabla1[[#This Row],[COSTO TEMPORAL]])</f>
        <v>1701.0266666666669</v>
      </c>
      <c r="P3337" s="12"/>
      <c r="Q3337" s="12">
        <f>+(Tabla1[[#This Row],[COSTO COCHE]]/30)*Tabla1[[#This Row],[TOTAL DIAS PROYECTO]]</f>
        <v>0</v>
      </c>
      <c r="R3337" s="12">
        <f>+Tabla1[[#This Row],[COSTO TOTAL ALOJAMIENTO]]+Tabla1[[#This Row],[COSTO TOTAL COCHE]]</f>
        <v>1701.0266666666669</v>
      </c>
      <c r="S3337" s="2"/>
      <c r="T3337" s="2" t="s">
        <v>35</v>
      </c>
      <c r="U3337" s="14">
        <v>45783</v>
      </c>
      <c r="V3337" s="25"/>
      <c r="W3337" s="26"/>
      <c r="X3337" s="2">
        <v>4</v>
      </c>
      <c r="Y3337" s="11" t="s">
        <v>4964</v>
      </c>
      <c r="Z3337" s="2" t="s">
        <v>36</v>
      </c>
      <c r="AA3337" s="13" t="s">
        <v>10349</v>
      </c>
      <c r="AB3337" s="13" t="s">
        <v>10350</v>
      </c>
    </row>
    <row r="3338" spans="1:28" ht="15.75" customHeight="1">
      <c r="A3338" s="2" t="s">
        <v>9429</v>
      </c>
      <c r="B3338" s="2" t="s">
        <v>978</v>
      </c>
      <c r="C3338" s="104" t="s">
        <v>3142</v>
      </c>
      <c r="D3338" s="2" t="s">
        <v>30</v>
      </c>
      <c r="E3338" s="2" t="s">
        <v>476</v>
      </c>
      <c r="F3338" s="11" t="s">
        <v>1488</v>
      </c>
      <c r="G3338" s="11" t="s">
        <v>483</v>
      </c>
      <c r="H3338" s="2" t="s">
        <v>4713</v>
      </c>
      <c r="I3338" s="12" t="s">
        <v>4714</v>
      </c>
      <c r="J3338" s="22">
        <f>+Tabla1[[#This Row],[FECHA ENTRADA]]</f>
        <v>45875</v>
      </c>
      <c r="K3338" s="22">
        <v>45896</v>
      </c>
      <c r="L3338" s="23">
        <f>_xlfn.DAYS(Tabla1[[#This Row],[FECHA FIN ]],Tabla1[[#This Row],[FECHA INICIO]])</f>
        <v>21</v>
      </c>
      <c r="M3338" s="12"/>
      <c r="N3338" s="12"/>
      <c r="O3338" s="24">
        <f>(Tabla1[[#This Row],[COSTO FIJO ]]/30)*Tabla1[[#This Row],[TOTAL DIAS PROYECTO]]+(Tabla1[[#This Row],[COSTO TEMPORAL]])</f>
        <v>0</v>
      </c>
      <c r="P3338" s="12"/>
      <c r="Q3338" s="12">
        <f>+(Tabla1[[#This Row],[COSTO COCHE]]/30)*Tabla1[[#This Row],[TOTAL DIAS PROYECTO]]</f>
        <v>0</v>
      </c>
      <c r="R3338" s="12">
        <f>+Tabla1[[#This Row],[COSTO TOTAL ALOJAMIENTO]]+Tabla1[[#This Row],[COSTO TOTAL COCHE]]</f>
        <v>0</v>
      </c>
      <c r="S3338" s="2"/>
      <c r="T3338" s="14" t="s">
        <v>44</v>
      </c>
      <c r="U3338" s="14">
        <v>45875</v>
      </c>
      <c r="V3338" s="25">
        <v>45899</v>
      </c>
      <c r="W3338" s="12">
        <v>1360</v>
      </c>
      <c r="X3338" s="2">
        <v>1</v>
      </c>
      <c r="Y3338" s="256" t="s">
        <v>4965</v>
      </c>
      <c r="Z3338" s="2" t="s">
        <v>36</v>
      </c>
      <c r="AA3338" s="13">
        <v>-7.8640699999999999</v>
      </c>
      <c r="AB3338" s="13">
        <v>42.336689999999997</v>
      </c>
    </row>
    <row r="3339" spans="1:28" ht="15" customHeight="1">
      <c r="A3339" s="2" t="s">
        <v>9468</v>
      </c>
      <c r="B3339" s="2" t="s">
        <v>368</v>
      </c>
      <c r="C3339" s="104" t="s">
        <v>3291</v>
      </c>
      <c r="D3339" s="2" t="s">
        <v>99</v>
      </c>
      <c r="E3339" s="2" t="s">
        <v>31</v>
      </c>
      <c r="F3339" s="11" t="s">
        <v>1206</v>
      </c>
      <c r="G3339" t="s">
        <v>1005</v>
      </c>
      <c r="H3339" s="2" t="s">
        <v>4489</v>
      </c>
      <c r="I3339" s="10" t="s">
        <v>4484</v>
      </c>
      <c r="J3339" s="41">
        <f>+Tabla1[[#This Row],[FECHA ENTRADA]]</f>
        <v>45845</v>
      </c>
      <c r="K3339" s="22">
        <v>45896</v>
      </c>
      <c r="L3339" s="42">
        <f>_xlfn.DAYS(Tabla1[[#This Row],[FECHA FIN ]],Tabla1[[#This Row],[FECHA INICIO]])</f>
        <v>51</v>
      </c>
      <c r="M3339" s="12"/>
      <c r="N3339" s="12"/>
      <c r="O3339" s="28">
        <f>(Tabla1[[#This Row],[COSTO FIJO ]]/30)*Tabla1[[#This Row],[TOTAL DIAS PROYECTO]]+(Tabla1[[#This Row],[COSTO TEMPORAL]])</f>
        <v>0</v>
      </c>
      <c r="P3339" s="12"/>
      <c r="Q3339" s="12">
        <f>+(Tabla1[[#This Row],[COSTO COCHE]]/30)*Tabla1[[#This Row],[TOTAL DIAS PROYECTO]]</f>
        <v>0</v>
      </c>
      <c r="R3339" s="12">
        <f>+Tabla1[[#This Row],[COSTO TOTAL ALOJAMIENTO]]+Tabla1[[#This Row],[COSTO TOTAL COCHE]]</f>
        <v>0</v>
      </c>
      <c r="S3339" s="2"/>
      <c r="T3339" s="14" t="s">
        <v>35</v>
      </c>
      <c r="U3339" s="14">
        <v>45845</v>
      </c>
      <c r="V3339" s="43"/>
      <c r="W3339" s="12"/>
      <c r="X3339" s="2">
        <v>27</v>
      </c>
      <c r="Y3339" s="11"/>
      <c r="Z3339" s="2" t="s">
        <v>36</v>
      </c>
      <c r="AA3339" s="13" t="s">
        <v>10323</v>
      </c>
      <c r="AB3339" s="13" t="s">
        <v>10324</v>
      </c>
    </row>
    <row r="3340" spans="1:28" ht="15" customHeight="1">
      <c r="A3340" s="2" t="s">
        <v>9836</v>
      </c>
      <c r="B3340" s="2" t="s">
        <v>368</v>
      </c>
      <c r="C3340" s="104" t="s">
        <v>4966</v>
      </c>
      <c r="D3340" s="2" t="s">
        <v>30</v>
      </c>
      <c r="E3340" s="2" t="s">
        <v>259</v>
      </c>
      <c r="F3340" s="11" t="s">
        <v>260</v>
      </c>
      <c r="G3340" s="11" t="s">
        <v>261</v>
      </c>
      <c r="H3340" s="2" t="s">
        <v>4967</v>
      </c>
      <c r="I3340" s="12" t="s">
        <v>4003</v>
      </c>
      <c r="J3340" s="41">
        <f>+Tabla1[[#This Row],[FECHA ENTRADA]]</f>
        <v>45823</v>
      </c>
      <c r="K3340" s="41">
        <v>45896</v>
      </c>
      <c r="L3340" s="42">
        <f>_xlfn.DAYS(Tabla1[[#This Row],[FECHA FIN ]],Tabla1[[#This Row],[FECHA INICIO]])</f>
        <v>73</v>
      </c>
      <c r="M3340" s="12"/>
      <c r="N3340" s="12"/>
      <c r="O3340" s="28">
        <f>(Tabla1[[#This Row],[COSTO FIJO ]]/30)*Tabla1[[#This Row],[TOTAL DIAS PROYECTO]]+(Tabla1[[#This Row],[COSTO TEMPORAL]])</f>
        <v>0</v>
      </c>
      <c r="P3340" s="12"/>
      <c r="Q3340" s="12">
        <f>+(Tabla1[[#This Row],[COSTO COCHE]]/30)*Tabla1[[#This Row],[TOTAL DIAS PROYECTO]]</f>
        <v>0</v>
      </c>
      <c r="R3340" s="12">
        <f>+Tabla1[[#This Row],[COSTO TOTAL ALOJAMIENTO]]+Tabla1[[#This Row],[COSTO TOTAL COCHE]]</f>
        <v>0</v>
      </c>
      <c r="S3340" s="2"/>
      <c r="T3340" s="14" t="s">
        <v>613</v>
      </c>
      <c r="U3340" s="14">
        <v>45823</v>
      </c>
      <c r="V3340" s="43"/>
      <c r="W3340" s="2"/>
      <c r="X3340" s="2"/>
      <c r="Y3340" s="11" t="s">
        <v>4968</v>
      </c>
      <c r="Z3340" s="2" t="s">
        <v>36</v>
      </c>
      <c r="AA3340" s="13">
        <v>-0.87734000000000001</v>
      </c>
      <c r="AB3340" s="13" t="s">
        <v>10359</v>
      </c>
    </row>
    <row r="3341" spans="1:28" ht="15" customHeight="1">
      <c r="A3341" s="2" t="s">
        <v>9664</v>
      </c>
      <c r="B3341" s="2" t="s">
        <v>28</v>
      </c>
      <c r="C3341" s="97" t="s">
        <v>4117</v>
      </c>
      <c r="D3341" s="2" t="s">
        <v>99</v>
      </c>
      <c r="E3341" s="2" t="s">
        <v>31</v>
      </c>
      <c r="F3341" s="11" t="s">
        <v>344</v>
      </c>
      <c r="G3341" s="11" t="s">
        <v>345</v>
      </c>
      <c r="H3341" s="2" t="s">
        <v>4969</v>
      </c>
      <c r="I3341" s="12" t="s">
        <v>181</v>
      </c>
      <c r="J3341" s="41">
        <f>+Tabla1[[#This Row],[FECHA ENTRADA]]</f>
        <v>45896</v>
      </c>
      <c r="K3341" s="41">
        <v>45896</v>
      </c>
      <c r="L3341" s="42">
        <f>_xlfn.DAYS(Tabla1[[#This Row],[FECHA FIN ]],Tabla1[[#This Row],[FECHA INICIO]])</f>
        <v>0</v>
      </c>
      <c r="M3341" s="12"/>
      <c r="N3341" s="28"/>
      <c r="O3341" s="28">
        <f>(Tabla1[[#This Row],[COSTO FIJO ]]/30)*Tabla1[[#This Row],[TOTAL DIAS PROYECTO]]+(Tabla1[[#This Row],[COSTO TEMPORAL]])</f>
        <v>0</v>
      </c>
      <c r="P3341" s="12"/>
      <c r="Q3341" s="12">
        <f>+(Tabla1[[#This Row],[COSTO COCHE]]/30)*Tabla1[[#This Row],[TOTAL DIAS PROYECTO]]</f>
        <v>0</v>
      </c>
      <c r="R3341" s="12">
        <f>+Tabla1[[#This Row],[COSTO TOTAL ALOJAMIENTO]]+Tabla1[[#This Row],[COSTO TOTAL COCHE]]</f>
        <v>0</v>
      </c>
      <c r="S3341" s="2"/>
      <c r="T3341" s="14" t="s">
        <v>35</v>
      </c>
      <c r="U3341" s="14">
        <v>45896</v>
      </c>
      <c r="V3341" s="43"/>
      <c r="W3341" s="12"/>
      <c r="X3341" s="2"/>
      <c r="Y3341" s="11" t="s">
        <v>4970</v>
      </c>
      <c r="Z3341" s="2" t="s">
        <v>36</v>
      </c>
      <c r="AA3341" s="13" t="s">
        <v>10323</v>
      </c>
      <c r="AB3341" s="13" t="s">
        <v>10324</v>
      </c>
    </row>
    <row r="3342" spans="1:28" ht="15" customHeight="1">
      <c r="A3342" s="2" t="s">
        <v>9837</v>
      </c>
      <c r="B3342" s="2" t="s">
        <v>978</v>
      </c>
      <c r="C3342" s="104" t="s">
        <v>4971</v>
      </c>
      <c r="D3342" s="2" t="s">
        <v>30</v>
      </c>
      <c r="E3342" s="2" t="s">
        <v>253</v>
      </c>
      <c r="F3342" s="11" t="s">
        <v>1692</v>
      </c>
      <c r="G3342" s="49" t="s">
        <v>4972</v>
      </c>
      <c r="H3342" s="2" t="s">
        <v>4973</v>
      </c>
      <c r="I3342" s="12" t="s">
        <v>1155</v>
      </c>
      <c r="J3342" s="22">
        <f>+Tabla1[[#This Row],[FECHA ENTRADA]]</f>
        <v>45881</v>
      </c>
      <c r="K3342" s="22">
        <v>45897</v>
      </c>
      <c r="L3342" s="23">
        <f>_xlfn.DAYS(Tabla1[[#This Row],[FECHA FIN ]],Tabla1[[#This Row],[FECHA INICIO]])</f>
        <v>16</v>
      </c>
      <c r="M3342" s="12"/>
      <c r="N3342" s="24"/>
      <c r="O3342" s="24">
        <f>(Tabla1[[#This Row],[COSTO FIJO ]]/30)*Tabla1[[#This Row],[TOTAL DIAS PROYECTO]]+(Tabla1[[#This Row],[COSTO TEMPORAL]])</f>
        <v>0</v>
      </c>
      <c r="P3342" s="12"/>
      <c r="Q3342" s="12">
        <f>+(Tabla1[[#This Row],[COSTO COCHE]]/30)*Tabla1[[#This Row],[TOTAL DIAS PROYECTO]]</f>
        <v>0</v>
      </c>
      <c r="R3342" s="12">
        <f>+Tabla1[[#This Row],[COSTO TOTAL ALOJAMIENTO]]+Tabla1[[#This Row],[COSTO TOTAL COCHE]]</f>
        <v>0</v>
      </c>
      <c r="S3342" s="2"/>
      <c r="T3342" s="14" t="s">
        <v>44</v>
      </c>
      <c r="U3342" s="14">
        <v>45881</v>
      </c>
      <c r="V3342" s="25">
        <v>45896</v>
      </c>
      <c r="W3342" s="12"/>
      <c r="X3342" s="2"/>
      <c r="Y3342" t="s">
        <v>4974</v>
      </c>
      <c r="Z3342" s="2" t="s">
        <v>36</v>
      </c>
      <c r="AA3342" s="13" t="s">
        <v>10357</v>
      </c>
      <c r="AB3342" s="13" t="s">
        <v>10358</v>
      </c>
    </row>
    <row r="3343" spans="1:28" ht="15" customHeight="1">
      <c r="A3343" s="2" t="s">
        <v>9838</v>
      </c>
      <c r="B3343" s="2" t="s">
        <v>978</v>
      </c>
      <c r="C3343" s="97" t="s">
        <v>4975</v>
      </c>
      <c r="D3343" s="2" t="s">
        <v>30</v>
      </c>
      <c r="E3343" s="2" t="s">
        <v>31</v>
      </c>
      <c r="F3343" s="11" t="s">
        <v>4976</v>
      </c>
      <c r="G3343" s="46" t="s">
        <v>4977</v>
      </c>
      <c r="H3343" s="2" t="s">
        <v>2004</v>
      </c>
      <c r="I3343" s="10" t="s">
        <v>3364</v>
      </c>
      <c r="J3343" s="41">
        <f>+Tabla1[[#This Row],[FECHA ENTRADA]]</f>
        <v>45746</v>
      </c>
      <c r="K3343" s="41">
        <v>45897</v>
      </c>
      <c r="L3343" s="42">
        <f>_xlfn.DAYS(Tabla1[[#This Row],[FECHA FIN ]],Tabla1[[#This Row],[FECHA INICIO]])</f>
        <v>151</v>
      </c>
      <c r="M3343" s="12"/>
      <c r="N3343" s="28">
        <v>450</v>
      </c>
      <c r="O3343" s="28">
        <f>(Tabla1[[#This Row],[COSTO FIJO ]]/30)*Tabla1[[#This Row],[TOTAL DIAS PROYECTO]]+(Tabla1[[#This Row],[COSTO TEMPORAL]])</f>
        <v>2265</v>
      </c>
      <c r="P3343" s="12"/>
      <c r="Q3343" s="12">
        <f>+(Tabla1[[#This Row],[COSTO COCHE]]/30)*Tabla1[[#This Row],[TOTAL DIAS PROYECTO]]</f>
        <v>0</v>
      </c>
      <c r="R3343" s="12">
        <f>+Tabla1[[#This Row],[COSTO TOTAL ALOJAMIENTO]]+Tabla1[[#This Row],[COSTO TOTAL COCHE]]</f>
        <v>2265</v>
      </c>
      <c r="S3343" s="2"/>
      <c r="T3343" s="14" t="s">
        <v>44</v>
      </c>
      <c r="U3343" s="14">
        <v>45746</v>
      </c>
      <c r="V3343" s="43">
        <v>45897</v>
      </c>
      <c r="W3343" s="12"/>
      <c r="X3343" s="2">
        <v>1</v>
      </c>
      <c r="Y3343" s="11" t="s">
        <v>4978</v>
      </c>
      <c r="Z3343" s="2" t="s">
        <v>36</v>
      </c>
      <c r="AA3343" s="13" t="s">
        <v>10323</v>
      </c>
      <c r="AB3343" s="13" t="s">
        <v>10324</v>
      </c>
    </row>
    <row r="3344" spans="1:28" ht="15" customHeight="1">
      <c r="A3344" s="2" t="s">
        <v>9839</v>
      </c>
      <c r="B3344" s="2" t="s">
        <v>28</v>
      </c>
      <c r="C3344" s="192" t="s">
        <v>4979</v>
      </c>
      <c r="D3344" s="2" t="s">
        <v>30</v>
      </c>
      <c r="E3344" s="2" t="s">
        <v>253</v>
      </c>
      <c r="F3344" s="11" t="s">
        <v>1261</v>
      </c>
      <c r="G3344" s="11" t="s">
        <v>772</v>
      </c>
      <c r="H3344" s="2">
        <v>2023</v>
      </c>
      <c r="I3344" s="2" t="s">
        <v>582</v>
      </c>
      <c r="J3344" s="8">
        <v>45008</v>
      </c>
      <c r="K3344" s="8">
        <v>45897</v>
      </c>
      <c r="L3344" s="13">
        <f>_xlfn.DAYS(Tabla1[[#This Row],[FECHA FIN ]],Tabla1[[#This Row],[FECHA INICIO]])</f>
        <v>889</v>
      </c>
      <c r="M3344" s="12"/>
      <c r="N3344" s="12">
        <v>330</v>
      </c>
      <c r="O3344" s="12">
        <f>(Tabla1[[#This Row],[COSTO FIJO ]]/30)*Tabla1[[#This Row],[TOTAL DIAS PROYECTO]]+(Tabla1[[#This Row],[COSTO TEMPORAL]])</f>
        <v>9779</v>
      </c>
      <c r="P3344" s="12">
        <f>1304.98/7</f>
        <v>186.42571428571429</v>
      </c>
      <c r="Q3344" s="12">
        <f>+(Tabla1[[#This Row],[COSTO COCHE]]/30)*Tabla1[[#This Row],[TOTAL DIAS PROYECTO]]</f>
        <v>5524.4153333333334</v>
      </c>
      <c r="R3344" s="12">
        <f>+Tabla1[[#This Row],[COSTO TOTAL ALOJAMIENTO]]+Tabla1[[#This Row],[COSTO TOTAL COCHE]]</f>
        <v>15303.415333333334</v>
      </c>
      <c r="S3344" s="2"/>
      <c r="T3344" s="2" t="s">
        <v>35</v>
      </c>
      <c r="U3344" s="14"/>
      <c r="V3344" s="14"/>
      <c r="W3344" s="15"/>
      <c r="X3344" s="16">
        <v>5</v>
      </c>
      <c r="Y3344" t="s">
        <v>4980</v>
      </c>
      <c r="Z3344" s="2" t="s">
        <v>36</v>
      </c>
      <c r="AA3344" s="13" t="s">
        <v>10357</v>
      </c>
      <c r="AB3344" s="13" t="s">
        <v>10358</v>
      </c>
    </row>
    <row r="3345" spans="1:28" ht="15" customHeight="1">
      <c r="A3345" s="2" t="s">
        <v>9153</v>
      </c>
      <c r="B3345" s="2" t="s">
        <v>28</v>
      </c>
      <c r="C3345" s="104" t="s">
        <v>2245</v>
      </c>
      <c r="D3345" s="2" t="s">
        <v>99</v>
      </c>
      <c r="E3345" s="2" t="s">
        <v>31</v>
      </c>
      <c r="F3345" s="11" t="s">
        <v>3409</v>
      </c>
      <c r="G3345" s="21" t="s">
        <v>3410</v>
      </c>
      <c r="H3345" s="2" t="s">
        <v>4799</v>
      </c>
      <c r="I3345" s="12" t="s">
        <v>181</v>
      </c>
      <c r="J3345" s="22">
        <f>+Tabla1[[#This Row],[FECHA ENTRADA]]</f>
        <v>45882</v>
      </c>
      <c r="K3345" s="22">
        <v>45897</v>
      </c>
      <c r="L3345" s="23">
        <f>_xlfn.DAYS(Tabla1[[#This Row],[FECHA FIN ]],Tabla1[[#This Row],[FECHA INICIO]])</f>
        <v>15</v>
      </c>
      <c r="M3345" s="12"/>
      <c r="N3345" s="12"/>
      <c r="O3345" s="24">
        <f>(Tabla1[[#This Row],[COSTO FIJO ]]/30)*Tabla1[[#This Row],[TOTAL DIAS PROYECTO]]+(Tabla1[[#This Row],[COSTO TEMPORAL]])</f>
        <v>0</v>
      </c>
      <c r="P3345" s="12"/>
      <c r="Q3345" s="12">
        <f>+(Tabla1[[#This Row],[COSTO COCHE]]/30)*Tabla1[[#This Row],[TOTAL DIAS PROYECTO]]</f>
        <v>0</v>
      </c>
      <c r="R3345" s="12">
        <f>+Tabla1[[#This Row],[COSTO TOTAL ALOJAMIENTO]]+Tabla1[[#This Row],[COSTO TOTAL COCHE]]</f>
        <v>0</v>
      </c>
      <c r="S3345" s="2"/>
      <c r="T3345" s="14" t="s">
        <v>44</v>
      </c>
      <c r="U3345" s="14">
        <v>45882</v>
      </c>
      <c r="V3345" s="79">
        <v>45897</v>
      </c>
      <c r="W3345" s="12"/>
      <c r="X3345" s="2"/>
      <c r="Y3345" s="96" t="s">
        <v>4981</v>
      </c>
      <c r="Z3345" s="2" t="s">
        <v>36</v>
      </c>
      <c r="AA3345" s="13" t="s">
        <v>10323</v>
      </c>
      <c r="AB3345" s="13" t="s">
        <v>10324</v>
      </c>
    </row>
    <row r="3346" spans="1:28" ht="15" customHeight="1">
      <c r="A3346" s="2" t="s">
        <v>9799</v>
      </c>
      <c r="B3346" s="2" t="s">
        <v>28</v>
      </c>
      <c r="C3346" s="104" t="s">
        <v>4801</v>
      </c>
      <c r="D3346" s="2" t="s">
        <v>99</v>
      </c>
      <c r="E3346" s="2" t="s">
        <v>31</v>
      </c>
      <c r="F3346" s="11" t="s">
        <v>3409</v>
      </c>
      <c r="G3346" s="21" t="s">
        <v>3410</v>
      </c>
      <c r="H3346" s="2" t="s">
        <v>4799</v>
      </c>
      <c r="I3346" s="12" t="s">
        <v>181</v>
      </c>
      <c r="J3346" s="22">
        <f>+Tabla1[[#This Row],[FECHA ENTRADA]]</f>
        <v>45882</v>
      </c>
      <c r="K3346" s="22">
        <v>45897</v>
      </c>
      <c r="L3346" s="23">
        <f>_xlfn.DAYS(Tabla1[[#This Row],[FECHA FIN ]],Tabla1[[#This Row],[FECHA INICIO]])</f>
        <v>15</v>
      </c>
      <c r="M3346" s="12"/>
      <c r="N3346" s="12"/>
      <c r="O3346" s="24">
        <f>(Tabla1[[#This Row],[COSTO FIJO ]]/30)*Tabla1[[#This Row],[TOTAL DIAS PROYECTO]]+(Tabla1[[#This Row],[COSTO TEMPORAL]])</f>
        <v>0</v>
      </c>
      <c r="P3346" s="12"/>
      <c r="Q3346" s="12">
        <f>+(Tabla1[[#This Row],[COSTO COCHE]]/30)*Tabla1[[#This Row],[TOTAL DIAS PROYECTO]]</f>
        <v>0</v>
      </c>
      <c r="R3346" s="12">
        <f>+Tabla1[[#This Row],[COSTO TOTAL ALOJAMIENTO]]+Tabla1[[#This Row],[COSTO TOTAL COCHE]]</f>
        <v>0</v>
      </c>
      <c r="S3346" s="2"/>
      <c r="T3346" s="14" t="s">
        <v>44</v>
      </c>
      <c r="U3346" s="14">
        <v>45882</v>
      </c>
      <c r="V3346" s="79">
        <v>45897</v>
      </c>
      <c r="W3346" s="12"/>
      <c r="X3346" s="2"/>
      <c r="Y3346" s="96" t="s">
        <v>4981</v>
      </c>
      <c r="Z3346" s="2" t="s">
        <v>36</v>
      </c>
      <c r="AA3346" s="13" t="s">
        <v>10323</v>
      </c>
      <c r="AB3346" s="13" t="s">
        <v>10324</v>
      </c>
    </row>
    <row r="3347" spans="1:28" ht="15" customHeight="1">
      <c r="A3347" s="2" t="s">
        <v>9136</v>
      </c>
      <c r="B3347" s="2" t="s">
        <v>28</v>
      </c>
      <c r="C3347" s="104" t="s">
        <v>2152</v>
      </c>
      <c r="D3347" s="2" t="s">
        <v>30</v>
      </c>
      <c r="E3347" s="2" t="s">
        <v>31</v>
      </c>
      <c r="F3347" s="11" t="s">
        <v>4982</v>
      </c>
      <c r="G3347" s="21" t="s">
        <v>4983</v>
      </c>
      <c r="H3347" s="2" t="s">
        <v>4785</v>
      </c>
      <c r="I3347" s="12" t="s">
        <v>34</v>
      </c>
      <c r="J3347" s="22">
        <f>+Tabla1[[#This Row],[FECHA ENTRADA]]</f>
        <v>45881</v>
      </c>
      <c r="K3347" s="22">
        <v>45897</v>
      </c>
      <c r="L3347" s="23">
        <f>_xlfn.DAYS(Tabla1[[#This Row],[FECHA FIN ]],Tabla1[[#This Row],[FECHA INICIO]])</f>
        <v>16</v>
      </c>
      <c r="M3347" s="12"/>
      <c r="N3347" s="12"/>
      <c r="O3347" s="24">
        <f>(Tabla1[[#This Row],[COSTO FIJO ]]/30)*Tabla1[[#This Row],[TOTAL DIAS PROYECTO]]+(Tabla1[[#This Row],[COSTO TEMPORAL]])</f>
        <v>0</v>
      </c>
      <c r="P3347" s="12"/>
      <c r="Q3347" s="12">
        <f>+(Tabla1[[#This Row],[COSTO COCHE]]/30)*Tabla1[[#This Row],[TOTAL DIAS PROYECTO]]</f>
        <v>0</v>
      </c>
      <c r="R3347" s="12">
        <f>+Tabla1[[#This Row],[COSTO TOTAL ALOJAMIENTO]]+Tabla1[[#This Row],[COSTO TOTAL COCHE]]</f>
        <v>0</v>
      </c>
      <c r="S3347" s="2"/>
      <c r="T3347" s="14" t="s">
        <v>44</v>
      </c>
      <c r="U3347" s="14">
        <v>45881</v>
      </c>
      <c r="V3347" s="79">
        <v>45901</v>
      </c>
      <c r="W3347" s="12"/>
      <c r="X3347" s="2"/>
      <c r="Y3347" s="11" t="s">
        <v>1120</v>
      </c>
      <c r="Z3347" s="2" t="s">
        <v>36</v>
      </c>
      <c r="AA3347" s="13" t="s">
        <v>10323</v>
      </c>
      <c r="AB3347" s="13" t="s">
        <v>10324</v>
      </c>
    </row>
    <row r="3348" spans="1:28" ht="15" customHeight="1">
      <c r="A3348" s="2" t="s">
        <v>9803</v>
      </c>
      <c r="B3348" s="2" t="s">
        <v>28</v>
      </c>
      <c r="C3348" s="104" t="s">
        <v>4817</v>
      </c>
      <c r="D3348" s="2" t="s">
        <v>99</v>
      </c>
      <c r="E3348" s="2" t="s">
        <v>213</v>
      </c>
      <c r="F3348" s="11" t="s">
        <v>1971</v>
      </c>
      <c r="G3348" s="11" t="s">
        <v>1972</v>
      </c>
      <c r="H3348" s="2" t="s">
        <v>4024</v>
      </c>
      <c r="I3348" s="10" t="s">
        <v>560</v>
      </c>
      <c r="J3348" s="41">
        <f>+Tabla1[[#This Row],[FECHA ENTRADA]]</f>
        <v>45781</v>
      </c>
      <c r="K3348" s="22">
        <v>45869</v>
      </c>
      <c r="L3348" s="23">
        <f>_xlfn.DAYS(Tabla1[[#This Row],[FECHA FIN ]],Tabla1[[#This Row],[FECHA INICIO]])</f>
        <v>88</v>
      </c>
      <c r="M3348" s="12"/>
      <c r="N3348" s="12"/>
      <c r="O3348" s="24">
        <f>(Tabla1[[#This Row],[COSTO FIJO ]]/30)*Tabla1[[#This Row],[TOTAL DIAS PROYECTO]]+(Tabla1[[#This Row],[COSTO TEMPORAL]])</f>
        <v>0</v>
      </c>
      <c r="P3348" s="12"/>
      <c r="Q3348" s="12">
        <f>+(Tabla1[[#This Row],[COSTO COCHE]]/30)*Tabla1[[#This Row],[TOTAL DIAS PROYECTO]]</f>
        <v>0</v>
      </c>
      <c r="R3348" s="12">
        <f>+Tabla1[[#This Row],[COSTO TOTAL ALOJAMIENTO]]+Tabla1[[#This Row],[COSTO TOTAL COCHE]]</f>
        <v>0</v>
      </c>
      <c r="S3348" s="2"/>
      <c r="T3348" s="2" t="s">
        <v>35</v>
      </c>
      <c r="U3348" s="14">
        <v>45781</v>
      </c>
      <c r="V3348" s="25"/>
      <c r="W3348" s="26"/>
      <c r="X3348" s="2">
        <v>29</v>
      </c>
      <c r="Y3348" s="11" t="s">
        <v>4984</v>
      </c>
      <c r="Z3348" s="2" t="s">
        <v>36</v>
      </c>
      <c r="AA3348" s="13" t="s">
        <v>10349</v>
      </c>
      <c r="AB3348" s="13" t="s">
        <v>10350</v>
      </c>
    </row>
    <row r="3349" spans="1:28" ht="15" customHeight="1">
      <c r="A3349" s="2" t="s">
        <v>9205</v>
      </c>
      <c r="B3349" s="2" t="s">
        <v>28</v>
      </c>
      <c r="C3349" s="97" t="s">
        <v>2425</v>
      </c>
      <c r="D3349" s="2" t="s">
        <v>99</v>
      </c>
      <c r="E3349" s="2" t="s">
        <v>626</v>
      </c>
      <c r="F3349" s="11"/>
      <c r="G3349" s="46"/>
      <c r="H3349" s="2" t="s">
        <v>2580</v>
      </c>
      <c r="I3349" s="12" t="s">
        <v>570</v>
      </c>
      <c r="J3349" s="41">
        <f>+Tabla1[[#This Row],[FECHA ENTRADA]]</f>
        <v>45845</v>
      </c>
      <c r="K3349" s="41">
        <v>45898</v>
      </c>
      <c r="L3349" s="42">
        <f>_xlfn.DAYS(Tabla1[[#This Row],[FECHA FIN ]],Tabla1[[#This Row],[FECHA INICIO]])</f>
        <v>53</v>
      </c>
      <c r="M3349" s="12"/>
      <c r="N3349" s="28">
        <v>300</v>
      </c>
      <c r="O3349" s="28">
        <f>(Tabla1[[#This Row],[COSTO FIJO ]]/30)*Tabla1[[#This Row],[TOTAL DIAS PROYECTO]]+(Tabla1[[#This Row],[COSTO TEMPORAL]])</f>
        <v>530</v>
      </c>
      <c r="P3349" s="12"/>
      <c r="Q3349" s="12">
        <f>+(Tabla1[[#This Row],[COSTO COCHE]]/30)*Tabla1[[#This Row],[TOTAL DIAS PROYECTO]]</f>
        <v>0</v>
      </c>
      <c r="R3349" s="12">
        <f>+Tabla1[[#This Row],[COSTO TOTAL ALOJAMIENTO]]+Tabla1[[#This Row],[COSTO TOTAL COCHE]]</f>
        <v>530</v>
      </c>
      <c r="S3349" s="2"/>
      <c r="T3349" s="14" t="s">
        <v>58</v>
      </c>
      <c r="U3349" s="14">
        <v>45845</v>
      </c>
      <c r="V3349" s="43"/>
      <c r="W3349" s="12"/>
      <c r="X3349" s="2"/>
      <c r="Y3349" s="11" t="s">
        <v>4985</v>
      </c>
      <c r="Z3349" s="2" t="s">
        <v>36</v>
      </c>
      <c r="AA3349" s="13" t="s">
        <v>10385</v>
      </c>
      <c r="AB3349" s="13" t="s">
        <v>10386</v>
      </c>
    </row>
    <row r="3350" spans="1:28" ht="15" customHeight="1">
      <c r="A3350" s="2" t="s">
        <v>9622</v>
      </c>
      <c r="B3350" s="2" t="s">
        <v>28</v>
      </c>
      <c r="C3350" s="97" t="s">
        <v>3900</v>
      </c>
      <c r="D3350" s="2" t="s">
        <v>30</v>
      </c>
      <c r="E3350" s="2" t="s">
        <v>626</v>
      </c>
      <c r="F3350" s="11"/>
      <c r="G3350" s="46"/>
      <c r="H3350" s="2" t="s">
        <v>868</v>
      </c>
      <c r="I3350" s="12" t="s">
        <v>570</v>
      </c>
      <c r="J3350" s="41">
        <f>+Tabla1[[#This Row],[FECHA ENTRADA]]</f>
        <v>45645</v>
      </c>
      <c r="K3350" s="22">
        <v>45898</v>
      </c>
      <c r="L3350" s="42">
        <f>_xlfn.DAYS(Tabla1[[#This Row],[FECHA FIN ]],Tabla1[[#This Row],[FECHA INICIO]])</f>
        <v>253</v>
      </c>
      <c r="M3350" s="12"/>
      <c r="N3350" s="28">
        <v>300</v>
      </c>
      <c r="O3350" s="28">
        <f>(Tabla1[[#This Row],[COSTO FIJO ]]/30)*Tabla1[[#This Row],[TOTAL DIAS PROYECTO]]+(Tabla1[[#This Row],[COSTO TEMPORAL]])</f>
        <v>2530</v>
      </c>
      <c r="P3350" s="12"/>
      <c r="Q3350" s="12">
        <f>+(Tabla1[[#This Row],[COSTO COCHE]]/30)*Tabla1[[#This Row],[TOTAL DIAS PROYECTO]]</f>
        <v>0</v>
      </c>
      <c r="R3350" s="12">
        <f>+Tabla1[[#This Row],[COSTO TOTAL ALOJAMIENTO]]+Tabla1[[#This Row],[COSTO TOTAL COCHE]]</f>
        <v>2530</v>
      </c>
      <c r="S3350" s="2"/>
      <c r="T3350" s="2" t="s">
        <v>58</v>
      </c>
      <c r="U3350" s="14">
        <v>45645</v>
      </c>
      <c r="V3350" s="43"/>
      <c r="W3350" s="26"/>
      <c r="X3350" s="2"/>
      <c r="Y3350" s="11" t="s">
        <v>4986</v>
      </c>
      <c r="Z3350" s="2" t="s">
        <v>36</v>
      </c>
      <c r="AA3350" s="13" t="s">
        <v>10385</v>
      </c>
      <c r="AB3350" s="13" t="s">
        <v>10386</v>
      </c>
    </row>
    <row r="3351" spans="1:28" ht="15" customHeight="1">
      <c r="A3351" s="2" t="s">
        <v>9551</v>
      </c>
      <c r="B3351" s="2" t="s">
        <v>28</v>
      </c>
      <c r="C3351" s="97" t="s">
        <v>3598</v>
      </c>
      <c r="D3351" s="2" t="s">
        <v>30</v>
      </c>
      <c r="E3351" s="2" t="s">
        <v>790</v>
      </c>
      <c r="F3351" s="11" t="s">
        <v>791</v>
      </c>
      <c r="G3351" s="11" t="s">
        <v>792</v>
      </c>
      <c r="H3351" s="2" t="s">
        <v>4650</v>
      </c>
      <c r="I3351" s="10" t="s">
        <v>292</v>
      </c>
      <c r="J3351" s="41">
        <f>+Tabla1[[#This Row],[FECHA ENTRADA]]</f>
        <v>45872</v>
      </c>
      <c r="K3351" s="41">
        <v>45898</v>
      </c>
      <c r="L3351" s="42">
        <f>_xlfn.DAYS(Tabla1[[#This Row],[FECHA FIN ]],Tabla1[[#This Row],[FECHA INICIO]])</f>
        <v>26</v>
      </c>
      <c r="M3351" s="12"/>
      <c r="N3351" s="28">
        <v>400</v>
      </c>
      <c r="O3351" s="28">
        <f>(Tabla1[[#This Row],[COSTO FIJO ]]/30)*Tabla1[[#This Row],[TOTAL DIAS PROYECTO]]+(Tabla1[[#This Row],[COSTO TEMPORAL]])</f>
        <v>346.66666666666669</v>
      </c>
      <c r="P3351" s="12"/>
      <c r="Q3351" s="12">
        <f>+(Tabla1[[#This Row],[COSTO COCHE]]/30)*Tabla1[[#This Row],[TOTAL DIAS PROYECTO]]</f>
        <v>0</v>
      </c>
      <c r="R3351" s="12">
        <f>+Tabla1[[#This Row],[COSTO TOTAL ALOJAMIENTO]]+Tabla1[[#This Row],[COSTO TOTAL COCHE]]</f>
        <v>346.66666666666669</v>
      </c>
      <c r="S3351" s="2"/>
      <c r="T3351" s="14" t="s">
        <v>35</v>
      </c>
      <c r="U3351" s="14">
        <v>45872</v>
      </c>
      <c r="V3351" s="43"/>
      <c r="W3351" s="12"/>
      <c r="X3351" s="2">
        <v>1</v>
      </c>
      <c r="Y3351" s="257" t="s">
        <v>4987</v>
      </c>
      <c r="Z3351" s="2" t="s">
        <v>36</v>
      </c>
      <c r="AA3351" s="13">
        <v>-574377</v>
      </c>
      <c r="AB3351" s="13">
        <v>4150368</v>
      </c>
    </row>
    <row r="3352" spans="1:28" ht="15" customHeight="1">
      <c r="A3352" s="2" t="s">
        <v>8903</v>
      </c>
      <c r="B3352" s="2" t="s">
        <v>28</v>
      </c>
      <c r="C3352" s="104" t="s">
        <v>1213</v>
      </c>
      <c r="D3352" s="2" t="s">
        <v>99</v>
      </c>
      <c r="E3352" s="2" t="s">
        <v>626</v>
      </c>
      <c r="F3352" s="11" t="s">
        <v>1964</v>
      </c>
      <c r="G3352" s="146" t="s">
        <v>1409</v>
      </c>
      <c r="H3352" s="2" t="s">
        <v>3462</v>
      </c>
      <c r="I3352" s="12" t="s">
        <v>570</v>
      </c>
      <c r="J3352" s="22">
        <f>+Tabla1[[#This Row],[FECHA ENTRADA]]</f>
        <v>45802</v>
      </c>
      <c r="K3352" s="22">
        <v>45898</v>
      </c>
      <c r="L3352" s="23">
        <f>_xlfn.DAYS(Tabla1[[#This Row],[FECHA FIN ]],Tabla1[[#This Row],[FECHA INICIO]])</f>
        <v>96</v>
      </c>
      <c r="M3352" s="12"/>
      <c r="N3352" s="12"/>
      <c r="O3352" s="24">
        <f>(Tabla1[[#This Row],[COSTO FIJO ]]/30)*Tabla1[[#This Row],[TOTAL DIAS PROYECTO]]+(Tabla1[[#This Row],[COSTO TEMPORAL]])</f>
        <v>0</v>
      </c>
      <c r="P3352" s="12"/>
      <c r="Q3352" s="12">
        <f>+(Tabla1[[#This Row],[COSTO COCHE]]/30)*Tabla1[[#This Row],[TOTAL DIAS PROYECTO]]</f>
        <v>0</v>
      </c>
      <c r="R3352" s="12">
        <f>+Tabla1[[#This Row],[COSTO TOTAL ALOJAMIENTO]]+Tabla1[[#This Row],[COSTO TOTAL COCHE]]</f>
        <v>0</v>
      </c>
      <c r="S3352" s="2"/>
      <c r="T3352" s="2" t="s">
        <v>35</v>
      </c>
      <c r="U3352" s="14">
        <v>45802</v>
      </c>
      <c r="V3352" s="25"/>
      <c r="W3352" s="26">
        <v>500</v>
      </c>
      <c r="X3352" s="2">
        <v>5</v>
      </c>
      <c r="Y3352" s="11" t="s">
        <v>4985</v>
      </c>
      <c r="Z3352" s="2" t="s">
        <v>36</v>
      </c>
      <c r="AA3352" s="13" t="s">
        <v>10385</v>
      </c>
      <c r="AB3352" s="13" t="s">
        <v>10386</v>
      </c>
    </row>
    <row r="3353" spans="1:28" ht="15" customHeight="1">
      <c r="A3353" s="2" t="s">
        <v>9516</v>
      </c>
      <c r="B3353" s="2" t="s">
        <v>606</v>
      </c>
      <c r="C3353" s="104" t="s">
        <v>3495</v>
      </c>
      <c r="D3353" s="2" t="s">
        <v>99</v>
      </c>
      <c r="E3353" s="2" t="s">
        <v>422</v>
      </c>
      <c r="F3353" s="11" t="s">
        <v>4842</v>
      </c>
      <c r="G3353" s="30" t="s">
        <v>4843</v>
      </c>
      <c r="H3353" s="2" t="s">
        <v>2856</v>
      </c>
      <c r="I3353" s="186" t="s">
        <v>2638</v>
      </c>
      <c r="J3353" s="41">
        <f>+Tabla1[[#This Row],[FECHA ENTRADA]]</f>
        <v>45820</v>
      </c>
      <c r="K3353" s="22">
        <v>46089</v>
      </c>
      <c r="L3353" s="42">
        <f>_xlfn.DAYS(Tabla1[[#This Row],[FECHA FIN ]],Tabla1[[#This Row],[FECHA INICIO]])</f>
        <v>269</v>
      </c>
      <c r="M3353" s="12"/>
      <c r="N3353" s="12">
        <v>350</v>
      </c>
      <c r="O3353" s="28">
        <f>(Tabla1[[#This Row],[COSTO FIJO ]]/30)*Tabla1[[#This Row],[TOTAL DIAS PROYECTO]]+(Tabla1[[#This Row],[COSTO TEMPORAL]])</f>
        <v>3138.333333333333</v>
      </c>
      <c r="P3353" s="12"/>
      <c r="Q3353" s="12">
        <f>+(Tabla1[[#This Row],[COSTO COCHE]]/30)*Tabla1[[#This Row],[TOTAL DIAS PROYECTO]]</f>
        <v>0</v>
      </c>
      <c r="R3353" s="12">
        <f>+Tabla1[[#This Row],[COSTO TOTAL ALOJAMIENTO]]+Tabla1[[#This Row],[COSTO TOTAL COCHE]]</f>
        <v>3138.333333333333</v>
      </c>
      <c r="S3353" s="2"/>
      <c r="T3353" s="14" t="s">
        <v>35</v>
      </c>
      <c r="U3353" s="14">
        <v>45820</v>
      </c>
      <c r="V3353" s="43"/>
      <c r="W3353" s="250">
        <v>990</v>
      </c>
      <c r="X3353" s="2">
        <v>10</v>
      </c>
      <c r="Y3353" s="11" t="s">
        <v>4988</v>
      </c>
      <c r="Z3353" s="2" t="s">
        <v>36</v>
      </c>
      <c r="AA3353" s="13">
        <v>-326.69799999999998</v>
      </c>
      <c r="AB3353" s="13" t="s">
        <v>10373</v>
      </c>
    </row>
    <row r="3354" spans="1:28" ht="15" customHeight="1">
      <c r="A3354" s="2" t="s">
        <v>9678</v>
      </c>
      <c r="B3354" s="2" t="s">
        <v>368</v>
      </c>
      <c r="C3354" s="104" t="s">
        <v>4189</v>
      </c>
      <c r="D3354" s="2" t="s">
        <v>78</v>
      </c>
      <c r="E3354" s="2" t="s">
        <v>1297</v>
      </c>
      <c r="F3354" s="11" t="s">
        <v>4989</v>
      </c>
      <c r="G3354" s="21" t="s">
        <v>4911</v>
      </c>
      <c r="H3354" s="2" t="s">
        <v>2168</v>
      </c>
      <c r="I3354" s="29" t="s">
        <v>1301</v>
      </c>
      <c r="J3354" s="41">
        <f>+Tabla1[[#This Row],[FECHA ENTRADA]]</f>
        <v>45891</v>
      </c>
      <c r="K3354" s="22">
        <v>45898</v>
      </c>
      <c r="L3354" s="42">
        <f>_xlfn.DAYS(Tabla1[[#This Row],[FECHA FIN ]],Tabla1[[#This Row],[FECHA INICIO]])</f>
        <v>7</v>
      </c>
      <c r="M3354" s="12"/>
      <c r="N3354" s="12">
        <v>300</v>
      </c>
      <c r="O3354" s="28">
        <f>(Tabla1[[#This Row],[COSTO FIJO ]]/30)*Tabla1[[#This Row],[TOTAL DIAS PROYECTO]]+(Tabla1[[#This Row],[COSTO TEMPORAL]])</f>
        <v>70</v>
      </c>
      <c r="P3354" s="12"/>
      <c r="Q3354" s="12">
        <f>+(Tabla1[[#This Row],[COSTO COCHE]]/30)*Tabla1[[#This Row],[TOTAL DIAS PROYECTO]]</f>
        <v>0</v>
      </c>
      <c r="R3354" s="12">
        <f>+Tabla1[[#This Row],[COSTO TOTAL ALOJAMIENTO]]+Tabla1[[#This Row],[COSTO TOTAL COCHE]]</f>
        <v>70</v>
      </c>
      <c r="S3354" s="2"/>
      <c r="T3354" s="14" t="s">
        <v>44</v>
      </c>
      <c r="U3354" s="14">
        <v>45891</v>
      </c>
      <c r="V3354" s="43">
        <v>45901</v>
      </c>
      <c r="W3354" s="12"/>
      <c r="X3354" s="2"/>
      <c r="Y3354" s="11"/>
      <c r="Z3354" s="2" t="s">
        <v>36</v>
      </c>
      <c r="AA3354" s="13" t="s">
        <v>10414</v>
      </c>
      <c r="AB3354" s="13">
        <v>5094783</v>
      </c>
    </row>
    <row r="3355" spans="1:28" ht="15" customHeight="1">
      <c r="A3355" s="2" t="s">
        <v>9155</v>
      </c>
      <c r="B3355" s="2" t="s">
        <v>368</v>
      </c>
      <c r="C3355" s="104" t="s">
        <v>2253</v>
      </c>
      <c r="D3355" s="2" t="s">
        <v>78</v>
      </c>
      <c r="E3355" s="2" t="s">
        <v>1297</v>
      </c>
      <c r="F3355" s="11" t="s">
        <v>4989</v>
      </c>
      <c r="G3355" s="21" t="s">
        <v>4911</v>
      </c>
      <c r="H3355" s="2" t="s">
        <v>4530</v>
      </c>
      <c r="I3355" s="12" t="s">
        <v>1301</v>
      </c>
      <c r="J3355" s="41">
        <f>+Tabla1[[#This Row],[FECHA ENTRADA]]</f>
        <v>45891</v>
      </c>
      <c r="K3355" s="22">
        <v>45898</v>
      </c>
      <c r="L3355" s="42">
        <f>_xlfn.DAYS(Tabla1[[#This Row],[FECHA FIN ]],Tabla1[[#This Row],[FECHA INICIO]])</f>
        <v>7</v>
      </c>
      <c r="M3355" s="12"/>
      <c r="N3355" s="12">
        <v>300</v>
      </c>
      <c r="O3355" s="28">
        <f>(Tabla1[[#This Row],[COSTO FIJO ]]/30)*Tabla1[[#This Row],[TOTAL DIAS PROYECTO]]+(Tabla1[[#This Row],[COSTO TEMPORAL]])</f>
        <v>70</v>
      </c>
      <c r="P3355" s="12"/>
      <c r="Q3355" s="12">
        <f>+(Tabla1[[#This Row],[COSTO COCHE]]/30)*Tabla1[[#This Row],[TOTAL DIAS PROYECTO]]</f>
        <v>0</v>
      </c>
      <c r="R3355" s="12">
        <f>+Tabla1[[#This Row],[COSTO TOTAL ALOJAMIENTO]]+Tabla1[[#This Row],[COSTO TOTAL COCHE]]</f>
        <v>70</v>
      </c>
      <c r="S3355" s="2"/>
      <c r="T3355" s="14" t="s">
        <v>44</v>
      </c>
      <c r="U3355" s="14">
        <v>45891</v>
      </c>
      <c r="V3355" s="43">
        <v>45901</v>
      </c>
      <c r="W3355" s="12"/>
      <c r="X3355" s="2"/>
      <c r="Y3355" s="11"/>
      <c r="Z3355" s="2" t="s">
        <v>36</v>
      </c>
      <c r="AA3355" s="13" t="s">
        <v>10414</v>
      </c>
      <c r="AB3355" s="13">
        <v>5094783</v>
      </c>
    </row>
    <row r="3356" spans="1:28" ht="15" customHeight="1">
      <c r="A3356" s="2" t="s">
        <v>9820</v>
      </c>
      <c r="B3356" s="2" t="s">
        <v>368</v>
      </c>
      <c r="C3356" s="104" t="s">
        <v>4909</v>
      </c>
      <c r="D3356" s="2" t="s">
        <v>78</v>
      </c>
      <c r="E3356" s="2" t="s">
        <v>1297</v>
      </c>
      <c r="F3356" s="11" t="s">
        <v>4989</v>
      </c>
      <c r="G3356" s="21" t="s">
        <v>4911</v>
      </c>
      <c r="H3356" s="2" t="s">
        <v>4912</v>
      </c>
      <c r="I3356" s="203" t="s">
        <v>1301</v>
      </c>
      <c r="J3356" s="41">
        <f>+Tabla1[[#This Row],[FECHA ENTRADA]]</f>
        <v>45891</v>
      </c>
      <c r="K3356" s="22">
        <v>45898</v>
      </c>
      <c r="L3356" s="42">
        <f>_xlfn.DAYS(Tabla1[[#This Row],[FECHA FIN ]],Tabla1[[#This Row],[FECHA INICIO]])</f>
        <v>7</v>
      </c>
      <c r="M3356" s="12"/>
      <c r="N3356" s="12">
        <v>300</v>
      </c>
      <c r="O3356" s="28">
        <f>(Tabla1[[#This Row],[COSTO FIJO ]]/30)*Tabla1[[#This Row],[TOTAL DIAS PROYECTO]]+(Tabla1[[#This Row],[COSTO TEMPORAL]])</f>
        <v>70</v>
      </c>
      <c r="P3356" s="12"/>
      <c r="Q3356" s="12">
        <f>+(Tabla1[[#This Row],[COSTO COCHE]]/30)*Tabla1[[#This Row],[TOTAL DIAS PROYECTO]]</f>
        <v>0</v>
      </c>
      <c r="R3356" s="12">
        <f>+Tabla1[[#This Row],[COSTO TOTAL ALOJAMIENTO]]+Tabla1[[#This Row],[COSTO TOTAL COCHE]]</f>
        <v>70</v>
      </c>
      <c r="S3356" s="2"/>
      <c r="T3356" s="14" t="s">
        <v>44</v>
      </c>
      <c r="U3356" s="14">
        <v>45891</v>
      </c>
      <c r="V3356" s="43">
        <v>45901</v>
      </c>
      <c r="W3356" s="12"/>
      <c r="X3356" s="2"/>
      <c r="Y3356" s="11"/>
      <c r="Z3356" s="2" t="s">
        <v>36</v>
      </c>
      <c r="AA3356" s="13" t="s">
        <v>10414</v>
      </c>
      <c r="AB3356" s="13">
        <v>5094783</v>
      </c>
    </row>
    <row r="3357" spans="1:28" ht="15" customHeight="1">
      <c r="A3357" s="2" t="s">
        <v>9029</v>
      </c>
      <c r="B3357" s="2" t="s">
        <v>368</v>
      </c>
      <c r="C3357" s="104" t="s">
        <v>1739</v>
      </c>
      <c r="D3357" s="2" t="s">
        <v>78</v>
      </c>
      <c r="E3357" s="2" t="s">
        <v>1297</v>
      </c>
      <c r="F3357" s="11" t="s">
        <v>4989</v>
      </c>
      <c r="G3357" s="21" t="s">
        <v>4911</v>
      </c>
      <c r="H3357" s="2" t="s">
        <v>4912</v>
      </c>
      <c r="I3357" s="203" t="s">
        <v>1301</v>
      </c>
      <c r="J3357" s="41">
        <f>+Tabla1[[#This Row],[FECHA ENTRADA]]</f>
        <v>45891</v>
      </c>
      <c r="K3357" s="22">
        <v>45898</v>
      </c>
      <c r="L3357" s="42">
        <f>_xlfn.DAYS(Tabla1[[#This Row],[FECHA FIN ]],Tabla1[[#This Row],[FECHA INICIO]])</f>
        <v>7</v>
      </c>
      <c r="M3357" s="12"/>
      <c r="N3357" s="12">
        <v>300</v>
      </c>
      <c r="O3357" s="28">
        <f>(Tabla1[[#This Row],[COSTO FIJO ]]/30)*Tabla1[[#This Row],[TOTAL DIAS PROYECTO]]+(Tabla1[[#This Row],[COSTO TEMPORAL]])</f>
        <v>70</v>
      </c>
      <c r="P3357" s="12"/>
      <c r="Q3357" s="12">
        <f>+(Tabla1[[#This Row],[COSTO COCHE]]/30)*Tabla1[[#This Row],[TOTAL DIAS PROYECTO]]</f>
        <v>0</v>
      </c>
      <c r="R3357" s="12">
        <f>+Tabla1[[#This Row],[COSTO TOTAL ALOJAMIENTO]]+Tabla1[[#This Row],[COSTO TOTAL COCHE]]</f>
        <v>70</v>
      </c>
      <c r="S3357" s="2"/>
      <c r="T3357" s="14" t="s">
        <v>44</v>
      </c>
      <c r="U3357" s="14">
        <v>45891</v>
      </c>
      <c r="V3357" s="43">
        <v>45901</v>
      </c>
      <c r="W3357" s="12"/>
      <c r="X3357" s="2"/>
      <c r="Y3357" s="11"/>
      <c r="Z3357" s="2" t="s">
        <v>36</v>
      </c>
      <c r="AA3357" s="13" t="s">
        <v>10414</v>
      </c>
      <c r="AB3357" s="13">
        <v>5094783</v>
      </c>
    </row>
    <row r="3358" spans="1:28" ht="15" customHeight="1">
      <c r="A3358" s="2" t="s">
        <v>9450</v>
      </c>
      <c r="B3358" s="2" t="s">
        <v>368</v>
      </c>
      <c r="C3358" s="104" t="s">
        <v>3224</v>
      </c>
      <c r="D3358" s="2" t="s">
        <v>78</v>
      </c>
      <c r="E3358" s="2" t="s">
        <v>1297</v>
      </c>
      <c r="F3358" s="11" t="s">
        <v>4989</v>
      </c>
      <c r="G3358" s="21" t="s">
        <v>4911</v>
      </c>
      <c r="H3358" s="2" t="s">
        <v>4912</v>
      </c>
      <c r="I3358" s="203" t="s">
        <v>1301</v>
      </c>
      <c r="J3358" s="41">
        <f>+Tabla1[[#This Row],[FECHA ENTRADA]]</f>
        <v>45891</v>
      </c>
      <c r="K3358" s="22">
        <v>45898</v>
      </c>
      <c r="L3358" s="42">
        <f>_xlfn.DAYS(Tabla1[[#This Row],[FECHA FIN ]],Tabla1[[#This Row],[FECHA INICIO]])</f>
        <v>7</v>
      </c>
      <c r="M3358" s="12"/>
      <c r="N3358" s="12">
        <v>300</v>
      </c>
      <c r="O3358" s="28">
        <f>(Tabla1[[#This Row],[COSTO FIJO ]]/30)*Tabla1[[#This Row],[TOTAL DIAS PROYECTO]]+(Tabla1[[#This Row],[COSTO TEMPORAL]])</f>
        <v>70</v>
      </c>
      <c r="P3358" s="12"/>
      <c r="Q3358" s="12">
        <f>+(Tabla1[[#This Row],[COSTO COCHE]]/30)*Tabla1[[#This Row],[TOTAL DIAS PROYECTO]]</f>
        <v>0</v>
      </c>
      <c r="R3358" s="12">
        <f>+Tabla1[[#This Row],[COSTO TOTAL ALOJAMIENTO]]+Tabla1[[#This Row],[COSTO TOTAL COCHE]]</f>
        <v>70</v>
      </c>
      <c r="S3358" s="2"/>
      <c r="T3358" s="14" t="s">
        <v>44</v>
      </c>
      <c r="U3358" s="14">
        <v>45891</v>
      </c>
      <c r="V3358" s="43">
        <v>45901</v>
      </c>
      <c r="W3358" s="12"/>
      <c r="X3358" s="2"/>
      <c r="Y3358" s="11"/>
      <c r="Z3358" s="2" t="s">
        <v>36</v>
      </c>
      <c r="AA3358" s="13" t="s">
        <v>10414</v>
      </c>
      <c r="AB3358" s="13">
        <v>5094783</v>
      </c>
    </row>
    <row r="3359" spans="1:28" ht="15" customHeight="1">
      <c r="A3359" s="2" t="s">
        <v>9454</v>
      </c>
      <c r="B3359" s="2" t="s">
        <v>978</v>
      </c>
      <c r="C3359" s="104" t="s">
        <v>3230</v>
      </c>
      <c r="D3359" s="2" t="s">
        <v>99</v>
      </c>
      <c r="E3359" s="2" t="s">
        <v>855</v>
      </c>
      <c r="F3359" s="11" t="s">
        <v>4990</v>
      </c>
      <c r="G3359" s="49" t="s">
        <v>1474</v>
      </c>
      <c r="H3359" s="2" t="s">
        <v>2677</v>
      </c>
      <c r="I3359" s="158" t="s">
        <v>4512</v>
      </c>
      <c r="J3359" s="22">
        <f>+Tabla1[[#This Row],[FECHA ENTRADA]]</f>
        <v>45900</v>
      </c>
      <c r="K3359" s="22">
        <v>45898</v>
      </c>
      <c r="L3359" s="23">
        <f>_xlfn.DAYS(Tabla1[[#This Row],[FECHA FIN ]],Tabla1[[#This Row],[FECHA INICIO]])</f>
        <v>-2</v>
      </c>
      <c r="M3359" s="12"/>
      <c r="N3359" s="24">
        <v>260</v>
      </c>
      <c r="O3359" s="24">
        <f>(Tabla1[[#This Row],[COSTO FIJO ]]/30)*Tabla1[[#This Row],[TOTAL DIAS PROYECTO]]+(Tabla1[[#This Row],[COSTO TEMPORAL]])</f>
        <v>-17.333333333333332</v>
      </c>
      <c r="P3359" s="12"/>
      <c r="Q3359" s="12">
        <f>+(Tabla1[[#This Row],[COSTO COCHE]]/30)*Tabla1[[#This Row],[TOTAL DIAS PROYECTO]]</f>
        <v>0</v>
      </c>
      <c r="R3359" s="12">
        <f>+Tabla1[[#This Row],[COSTO TOTAL ALOJAMIENTO]]+Tabla1[[#This Row],[COSTO TOTAL COCHE]]</f>
        <v>-17.333333333333332</v>
      </c>
      <c r="S3359" s="2"/>
      <c r="T3359" s="14" t="s">
        <v>44</v>
      </c>
      <c r="U3359" s="14">
        <v>45900</v>
      </c>
      <c r="V3359" s="25">
        <v>45930</v>
      </c>
      <c r="W3359" s="71"/>
      <c r="X3359" s="2"/>
      <c r="Y3359" s="2" t="s">
        <v>4991</v>
      </c>
      <c r="Z3359" s="2" t="s">
        <v>36</v>
      </c>
      <c r="AA3359" s="13" t="s">
        <v>10401</v>
      </c>
      <c r="AB3359" s="13" t="s">
        <v>10402</v>
      </c>
    </row>
    <row r="3360" spans="1:28" ht="15" customHeight="1">
      <c r="A3360" s="2" t="s">
        <v>9552</v>
      </c>
      <c r="B3360" s="2" t="s">
        <v>368</v>
      </c>
      <c r="C3360" s="97" t="s">
        <v>3599</v>
      </c>
      <c r="D3360" s="2" t="s">
        <v>99</v>
      </c>
      <c r="E3360" s="2" t="s">
        <v>572</v>
      </c>
      <c r="F3360" s="11" t="s">
        <v>1106</v>
      </c>
      <c r="G3360" s="258"/>
      <c r="H3360" s="2" t="s">
        <v>4551</v>
      </c>
      <c r="I3360" s="12" t="s">
        <v>2228</v>
      </c>
      <c r="J3360" s="41">
        <f>+Tabla1[[#This Row],[FECHA ENTRADA]]</f>
        <v>45868</v>
      </c>
      <c r="K3360" s="41">
        <v>45898</v>
      </c>
      <c r="L3360" s="42">
        <f>_xlfn.DAYS(Tabla1[[#This Row],[FECHA FIN ]],Tabla1[[#This Row],[FECHA INICIO]])</f>
        <v>30</v>
      </c>
      <c r="M3360" s="12"/>
      <c r="N3360" s="28"/>
      <c r="O3360" s="28">
        <f>(Tabla1[[#This Row],[COSTO FIJO ]]/30)*Tabla1[[#This Row],[TOTAL DIAS PROYECTO]]+(Tabla1[[#This Row],[COSTO TEMPORAL]])</f>
        <v>0</v>
      </c>
      <c r="P3360" s="12"/>
      <c r="Q3360" s="12">
        <f>+(Tabla1[[#This Row],[COSTO COCHE]]/30)*Tabla1[[#This Row],[TOTAL DIAS PROYECTO]]</f>
        <v>0</v>
      </c>
      <c r="R3360" s="12">
        <f>+Tabla1[[#This Row],[COSTO TOTAL ALOJAMIENTO]]+Tabla1[[#This Row],[COSTO TOTAL COCHE]]</f>
        <v>0</v>
      </c>
      <c r="S3360" s="2"/>
      <c r="T3360" s="2" t="s">
        <v>8</v>
      </c>
      <c r="U3360" s="22">
        <v>45868</v>
      </c>
      <c r="V3360" s="43"/>
      <c r="W3360" s="12"/>
      <c r="X3360" s="2"/>
      <c r="Y3360" s="11" t="s">
        <v>4992</v>
      </c>
      <c r="Z3360" s="2" t="s">
        <v>36</v>
      </c>
      <c r="AA3360" s="13" t="s">
        <v>10380</v>
      </c>
      <c r="AB3360" s="13" t="s">
        <v>10381</v>
      </c>
    </row>
    <row r="3361" spans="1:28" ht="15" customHeight="1">
      <c r="A3361" s="2" t="s">
        <v>9769</v>
      </c>
      <c r="B3361" s="2" t="s">
        <v>978</v>
      </c>
      <c r="C3361" s="97" t="s">
        <v>4658</v>
      </c>
      <c r="D3361" s="2" t="s">
        <v>30</v>
      </c>
      <c r="E3361" s="2" t="s">
        <v>476</v>
      </c>
      <c r="F3361" s="11" t="s">
        <v>1488</v>
      </c>
      <c r="G3361" s="11" t="s">
        <v>483</v>
      </c>
      <c r="H3361" s="2" t="s">
        <v>4713</v>
      </c>
      <c r="I3361" s="12" t="s">
        <v>4714</v>
      </c>
      <c r="J3361" s="22">
        <f>+Tabla1[[#This Row],[FECHA ENTRADA]]</f>
        <v>45875</v>
      </c>
      <c r="K3361" s="22">
        <v>45899</v>
      </c>
      <c r="L3361" s="23">
        <f>_xlfn.DAYS(Tabla1[[#This Row],[FECHA FIN ]],Tabla1[[#This Row],[FECHA INICIO]])</f>
        <v>24</v>
      </c>
      <c r="M3361" s="12"/>
      <c r="N3361" s="24">
        <v>635</v>
      </c>
      <c r="O3361" s="24">
        <f>(Tabla1[[#This Row],[COSTO FIJO ]]/30)*Tabla1[[#This Row],[TOTAL DIAS PROYECTO]]+(Tabla1[[#This Row],[COSTO TEMPORAL]])</f>
        <v>508</v>
      </c>
      <c r="P3361" s="12"/>
      <c r="Q3361" s="12">
        <f>+(Tabla1[[#This Row],[COSTO COCHE]]/30)*Tabla1[[#This Row],[TOTAL DIAS PROYECTO]]</f>
        <v>0</v>
      </c>
      <c r="R3361" s="12">
        <f>+Tabla1[[#This Row],[COSTO TOTAL ALOJAMIENTO]]+Tabla1[[#This Row],[COSTO TOTAL COCHE]]</f>
        <v>508</v>
      </c>
      <c r="S3361" s="2"/>
      <c r="T3361" s="14" t="s">
        <v>44</v>
      </c>
      <c r="U3361" s="14">
        <v>45875</v>
      </c>
      <c r="V3361" s="25">
        <v>45899</v>
      </c>
      <c r="W3361" s="15">
        <v>1270</v>
      </c>
      <c r="X3361" s="2">
        <v>1</v>
      </c>
      <c r="Y3361" s="256" t="s">
        <v>4993</v>
      </c>
      <c r="Z3361" s="2" t="s">
        <v>36</v>
      </c>
      <c r="AA3361" s="13">
        <v>-7.8640699999999999</v>
      </c>
      <c r="AB3361" s="13">
        <v>42.336689999999997</v>
      </c>
    </row>
    <row r="3362" spans="1:28" ht="15" customHeight="1">
      <c r="A3362" s="2" t="s">
        <v>8781</v>
      </c>
      <c r="B3362" s="2" t="s">
        <v>978</v>
      </c>
      <c r="C3362" s="259" t="s">
        <v>746</v>
      </c>
      <c r="D3362" s="2" t="s">
        <v>99</v>
      </c>
      <c r="E3362" s="2" t="s">
        <v>3400</v>
      </c>
      <c r="F3362" s="11" t="s">
        <v>4294</v>
      </c>
      <c r="G3362" s="30" t="s">
        <v>4295</v>
      </c>
      <c r="H3362" s="2" t="s">
        <v>4994</v>
      </c>
      <c r="I3362" s="12" t="s">
        <v>4296</v>
      </c>
      <c r="J3362" s="41">
        <f>+Tabla1[[#This Row],[FECHA ENTRADA]]</f>
        <v>45839</v>
      </c>
      <c r="K3362" s="41">
        <v>45899</v>
      </c>
      <c r="L3362" s="42">
        <f>_xlfn.DAYS(Tabla1[[#This Row],[FECHA FIN ]],Tabla1[[#This Row],[FECHA INICIO]])</f>
        <v>60</v>
      </c>
      <c r="M3362" s="12"/>
      <c r="N3362" s="24">
        <v>240</v>
      </c>
      <c r="O3362" s="28">
        <f>(Tabla1[[#This Row],[COSTO FIJO ]]/30)*Tabla1[[#This Row],[TOTAL DIAS PROYECTO]]+(Tabla1[[#This Row],[COSTO TEMPORAL]])</f>
        <v>480</v>
      </c>
      <c r="P3362" s="12"/>
      <c r="Q3362" s="12">
        <f>+(Tabla1[[#This Row],[COSTO COCHE]]/30)*Tabla1[[#This Row],[TOTAL DIAS PROYECTO]]</f>
        <v>0</v>
      </c>
      <c r="R3362" s="12">
        <f>+Tabla1[[#This Row],[COSTO TOTAL ALOJAMIENTO]]+Tabla1[[#This Row],[COSTO TOTAL COCHE]]</f>
        <v>480</v>
      </c>
      <c r="S3362" s="2"/>
      <c r="T3362" s="14" t="s">
        <v>44</v>
      </c>
      <c r="U3362" s="14">
        <v>45839</v>
      </c>
      <c r="V3362" s="43">
        <v>45900</v>
      </c>
      <c r="W3362" s="12"/>
      <c r="X3362" s="2">
        <v>1</v>
      </c>
      <c r="Y3362" s="11" t="s">
        <v>4995</v>
      </c>
      <c r="Z3362" s="2" t="s">
        <v>36</v>
      </c>
      <c r="AA3362" s="13" t="e">
        <v>#N/A</v>
      </c>
      <c r="AB3362" s="13" t="e">
        <v>#N/A</v>
      </c>
    </row>
    <row r="3363" spans="1:28" ht="15" customHeight="1">
      <c r="A3363" s="2" t="s">
        <v>9094</v>
      </c>
      <c r="B3363" s="2" t="s">
        <v>978</v>
      </c>
      <c r="C3363" s="104" t="s">
        <v>1992</v>
      </c>
      <c r="D3363" s="2" t="s">
        <v>99</v>
      </c>
      <c r="E3363" s="2" t="s">
        <v>3400</v>
      </c>
      <c r="F3363" s="11" t="s">
        <v>4294</v>
      </c>
      <c r="G3363" s="30" t="s">
        <v>4295</v>
      </c>
      <c r="H3363" s="2" t="s">
        <v>4996</v>
      </c>
      <c r="I3363" s="12" t="s">
        <v>4296</v>
      </c>
      <c r="J3363" s="41">
        <f>+Tabla1[[#This Row],[FECHA ENTRADA]]</f>
        <v>45839</v>
      </c>
      <c r="K3363" s="22">
        <v>45899</v>
      </c>
      <c r="L3363" s="42">
        <f>_xlfn.DAYS(Tabla1[[#This Row],[FECHA FIN ]],Tabla1[[#This Row],[FECHA INICIO]])</f>
        <v>60</v>
      </c>
      <c r="M3363" s="12"/>
      <c r="N3363" s="24">
        <v>240</v>
      </c>
      <c r="O3363" s="28">
        <f>(Tabla1[[#This Row],[COSTO FIJO ]]/30)*Tabla1[[#This Row],[TOTAL DIAS PROYECTO]]+(Tabla1[[#This Row],[COSTO TEMPORAL]])</f>
        <v>480</v>
      </c>
      <c r="P3363" s="12"/>
      <c r="Q3363" s="12">
        <f>+(Tabla1[[#This Row],[COSTO COCHE]]/30)*Tabla1[[#This Row],[TOTAL DIAS PROYECTO]]</f>
        <v>0</v>
      </c>
      <c r="R3363" s="12">
        <f>+Tabla1[[#This Row],[COSTO TOTAL ALOJAMIENTO]]+Tabla1[[#This Row],[COSTO TOTAL COCHE]]</f>
        <v>480</v>
      </c>
      <c r="S3363" s="2"/>
      <c r="T3363" s="14" t="s">
        <v>44</v>
      </c>
      <c r="U3363" s="14">
        <v>45839</v>
      </c>
      <c r="V3363" s="43">
        <v>45900</v>
      </c>
      <c r="W3363" s="12"/>
      <c r="X3363" s="2">
        <v>1</v>
      </c>
      <c r="Y3363" s="11" t="s">
        <v>4995</v>
      </c>
      <c r="Z3363" s="2" t="s">
        <v>36</v>
      </c>
      <c r="AA3363" s="13" t="e">
        <v>#N/A</v>
      </c>
      <c r="AB3363" s="13" t="e">
        <v>#N/A</v>
      </c>
    </row>
    <row r="3364" spans="1:28" ht="15" customHeight="1">
      <c r="A3364" s="2" t="s">
        <v>9701</v>
      </c>
      <c r="B3364" s="2" t="s">
        <v>978</v>
      </c>
      <c r="C3364" s="104" t="s">
        <v>4309</v>
      </c>
      <c r="D3364" s="2" t="s">
        <v>99</v>
      </c>
      <c r="E3364" s="2" t="s">
        <v>3400</v>
      </c>
      <c r="F3364" s="11" t="s">
        <v>4294</v>
      </c>
      <c r="G3364" t="s">
        <v>4295</v>
      </c>
      <c r="H3364" s="2" t="s">
        <v>4997</v>
      </c>
      <c r="I3364" s="12" t="s">
        <v>4296</v>
      </c>
      <c r="J3364" s="22">
        <f>+Tabla1[[#This Row],[FECHA ENTRADA]]</f>
        <v>45876</v>
      </c>
      <c r="K3364" s="22">
        <v>45899</v>
      </c>
      <c r="L3364" s="23">
        <f>_xlfn.DAYS(Tabla1[[#This Row],[FECHA FIN ]],Tabla1[[#This Row],[FECHA INICIO]])</f>
        <v>23</v>
      </c>
      <c r="M3364" s="12"/>
      <c r="N3364" s="24">
        <v>240</v>
      </c>
      <c r="O3364" s="24">
        <f>(Tabla1[[#This Row],[COSTO FIJO ]]/30)*Tabla1[[#This Row],[TOTAL DIAS PROYECTO]]+(Tabla1[[#This Row],[COSTO TEMPORAL]])</f>
        <v>184</v>
      </c>
      <c r="P3364" s="12"/>
      <c r="Q3364" s="12">
        <f>+(Tabla1[[#This Row],[COSTO COCHE]]/30)*Tabla1[[#This Row],[TOTAL DIAS PROYECTO]]</f>
        <v>0</v>
      </c>
      <c r="R3364" s="12">
        <f>+Tabla1[[#This Row],[COSTO TOTAL ALOJAMIENTO]]+Tabla1[[#This Row],[COSTO TOTAL COCHE]]</f>
        <v>184</v>
      </c>
      <c r="S3364" s="2"/>
      <c r="T3364" s="14" t="s">
        <v>44</v>
      </c>
      <c r="U3364" s="14">
        <v>45876</v>
      </c>
      <c r="V3364" s="79">
        <v>45900</v>
      </c>
      <c r="W3364" s="12"/>
      <c r="X3364" s="2">
        <v>1</v>
      </c>
      <c r="Y3364" s="11" t="s">
        <v>4995</v>
      </c>
      <c r="Z3364" s="2" t="s">
        <v>36</v>
      </c>
      <c r="AA3364" s="13" t="e">
        <v>#N/A</v>
      </c>
      <c r="AB3364" s="13" t="e">
        <v>#N/A</v>
      </c>
    </row>
    <row r="3365" spans="1:28">
      <c r="A3365" s="2" t="s">
        <v>9114</v>
      </c>
      <c r="B3365" s="2" t="s">
        <v>978</v>
      </c>
      <c r="C3365" s="97" t="s">
        <v>2057</v>
      </c>
      <c r="D3365" s="2" t="s">
        <v>30</v>
      </c>
      <c r="E3365" s="2" t="s">
        <v>1393</v>
      </c>
      <c r="F3365" s="11" t="s">
        <v>4998</v>
      </c>
      <c r="G3365" s="46" t="s">
        <v>4999</v>
      </c>
      <c r="H3365" s="2" t="s">
        <v>1446</v>
      </c>
      <c r="I3365" s="12" t="s">
        <v>5000</v>
      </c>
      <c r="J3365" s="41">
        <f>+Tabla1[[#This Row],[FECHA ENTRADA]]</f>
        <v>45770</v>
      </c>
      <c r="K3365" s="41">
        <v>45899</v>
      </c>
      <c r="L3365" s="42">
        <f>_xlfn.DAYS(Tabla1[[#This Row],[FECHA FIN ]],Tabla1[[#This Row],[FECHA INICIO]])</f>
        <v>129</v>
      </c>
      <c r="M3365" s="12"/>
      <c r="N3365" s="28">
        <v>325</v>
      </c>
      <c r="O3365" s="28">
        <f>(Tabla1[[#This Row],[COSTO FIJO ]]/30)*Tabla1[[#This Row],[TOTAL DIAS PROYECTO]]+(Tabla1[[#This Row],[COSTO TEMPORAL]])</f>
        <v>1397.5</v>
      </c>
      <c r="P3365" s="12"/>
      <c r="Q3365" s="12">
        <f>+(Tabla1[[#This Row],[COSTO COCHE]]/30)*Tabla1[[#This Row],[TOTAL DIAS PROYECTO]]</f>
        <v>0</v>
      </c>
      <c r="R3365" s="12">
        <f>+Tabla1[[#This Row],[COSTO TOTAL ALOJAMIENTO]]+Tabla1[[#This Row],[COSTO TOTAL COCHE]]</f>
        <v>1397.5</v>
      </c>
      <c r="S3365" s="2"/>
      <c r="T3365" s="14" t="s">
        <v>35</v>
      </c>
      <c r="U3365" s="14">
        <v>45770</v>
      </c>
      <c r="V3365" s="43"/>
      <c r="W3365" s="12"/>
      <c r="X3365" s="2">
        <v>1</v>
      </c>
      <c r="Y3365" s="11" t="s">
        <v>5001</v>
      </c>
      <c r="Z3365" s="2" t="s">
        <v>36</v>
      </c>
      <c r="AA3365" s="13" t="s">
        <v>10416</v>
      </c>
      <c r="AB3365" s="13" t="s">
        <v>10417</v>
      </c>
    </row>
    <row r="3366" spans="1:28" ht="15" customHeight="1">
      <c r="A3366" s="2" t="s">
        <v>9840</v>
      </c>
      <c r="B3366" s="2" t="s">
        <v>978</v>
      </c>
      <c r="C3366" s="104" t="s">
        <v>5002</v>
      </c>
      <c r="D3366" s="2" t="s">
        <v>99</v>
      </c>
      <c r="E3366" s="2" t="s">
        <v>3400</v>
      </c>
      <c r="F3366" s="11" t="s">
        <v>4294</v>
      </c>
      <c r="G3366" s="30" t="s">
        <v>4295</v>
      </c>
      <c r="H3366" s="2" t="s">
        <v>1568</v>
      </c>
      <c r="I3366" s="12" t="s">
        <v>4296</v>
      </c>
      <c r="J3366" s="41">
        <f>+Tabla1[[#This Row],[FECHA ENTRADA]]</f>
        <v>45839</v>
      </c>
      <c r="K3366" s="22">
        <v>45899</v>
      </c>
      <c r="L3366" s="42">
        <f>_xlfn.DAYS(Tabla1[[#This Row],[FECHA FIN ]],Tabla1[[#This Row],[FECHA INICIO]])</f>
        <v>60</v>
      </c>
      <c r="M3366" s="12"/>
      <c r="N3366" s="24">
        <v>240</v>
      </c>
      <c r="O3366" s="28">
        <f>(Tabla1[[#This Row],[COSTO FIJO ]]/30)*Tabla1[[#This Row],[TOTAL DIAS PROYECTO]]+(Tabla1[[#This Row],[COSTO TEMPORAL]])</f>
        <v>480</v>
      </c>
      <c r="P3366" s="12"/>
      <c r="Q3366" s="12">
        <f>+(Tabla1[[#This Row],[COSTO COCHE]]/30)*Tabla1[[#This Row],[TOTAL DIAS PROYECTO]]</f>
        <v>0</v>
      </c>
      <c r="R3366" s="12">
        <f>+Tabla1[[#This Row],[COSTO TOTAL ALOJAMIENTO]]+Tabla1[[#This Row],[COSTO TOTAL COCHE]]</f>
        <v>480</v>
      </c>
      <c r="S3366" s="2"/>
      <c r="T3366" s="14" t="s">
        <v>44</v>
      </c>
      <c r="U3366" s="14">
        <v>45839</v>
      </c>
      <c r="V3366" s="43">
        <v>45900</v>
      </c>
      <c r="W3366" s="12">
        <v>1200</v>
      </c>
      <c r="X3366" s="2">
        <v>1</v>
      </c>
      <c r="Y3366" s="11" t="s">
        <v>4995</v>
      </c>
      <c r="Z3366" s="2" t="s">
        <v>36</v>
      </c>
      <c r="AA3366" s="13" t="e">
        <v>#N/A</v>
      </c>
      <c r="AB3366" s="13" t="e">
        <v>#N/A</v>
      </c>
    </row>
    <row r="3367" spans="1:28" ht="15" customHeight="1">
      <c r="A3367" s="2" t="s">
        <v>9841</v>
      </c>
      <c r="B3367" s="2" t="s">
        <v>978</v>
      </c>
      <c r="C3367" s="104" t="s">
        <v>5003</v>
      </c>
      <c r="D3367" s="2" t="s">
        <v>30</v>
      </c>
      <c r="E3367" s="2" t="s">
        <v>253</v>
      </c>
      <c r="F3367" s="11" t="s">
        <v>5004</v>
      </c>
      <c r="G3367" s="46" t="s">
        <v>5005</v>
      </c>
      <c r="H3367" s="2" t="s">
        <v>2838</v>
      </c>
      <c r="I3367" s="12" t="s">
        <v>1155</v>
      </c>
      <c r="J3367" s="41">
        <f>+Tabla1[[#This Row],[FECHA ENTRADA]]</f>
        <v>45742</v>
      </c>
      <c r="K3367" s="41">
        <v>45899</v>
      </c>
      <c r="L3367" s="42">
        <f>_xlfn.DAYS(Tabla1[[#This Row],[FECHA FIN ]],Tabla1[[#This Row],[FECHA INICIO]])</f>
        <v>157</v>
      </c>
      <c r="M3367" s="12"/>
      <c r="N3367" s="28">
        <v>475</v>
      </c>
      <c r="O3367" s="28">
        <f>(Tabla1[[#This Row],[COSTO FIJO ]]/30)*Tabla1[[#This Row],[TOTAL DIAS PROYECTO]]+(Tabla1[[#This Row],[COSTO TEMPORAL]])</f>
        <v>2485.8333333333335</v>
      </c>
      <c r="P3367" s="12"/>
      <c r="Q3367" s="12">
        <f>+(Tabla1[[#This Row],[COSTO COCHE]]/30)*Tabla1[[#This Row],[TOTAL DIAS PROYECTO]]</f>
        <v>0</v>
      </c>
      <c r="R3367" s="12">
        <f>+Tabla1[[#This Row],[COSTO TOTAL ALOJAMIENTO]]+Tabla1[[#This Row],[COSTO TOTAL COCHE]]</f>
        <v>2485.8333333333335</v>
      </c>
      <c r="S3367" s="2"/>
      <c r="T3367" s="14" t="s">
        <v>44</v>
      </c>
      <c r="U3367" s="14">
        <v>45742</v>
      </c>
      <c r="V3367" s="43">
        <v>45900</v>
      </c>
      <c r="W3367" s="12"/>
      <c r="X3367" s="2">
        <v>1</v>
      </c>
      <c r="Y3367" s="11" t="s">
        <v>5006</v>
      </c>
      <c r="Z3367" s="2" t="s">
        <v>36</v>
      </c>
      <c r="AA3367" s="13" t="s">
        <v>10357</v>
      </c>
      <c r="AB3367" s="13" t="s">
        <v>10358</v>
      </c>
    </row>
    <row r="3368" spans="1:28" ht="15" customHeight="1">
      <c r="A3368" s="2" t="s">
        <v>9795</v>
      </c>
      <c r="B3368" s="2" t="s">
        <v>978</v>
      </c>
      <c r="C3368" s="97" t="s">
        <v>4770</v>
      </c>
      <c r="D3368" s="2" t="s">
        <v>99</v>
      </c>
      <c r="E3368" s="2" t="s">
        <v>3335</v>
      </c>
      <c r="F3368" s="11" t="s">
        <v>4845</v>
      </c>
      <c r="G3368" s="46" t="s">
        <v>4846</v>
      </c>
      <c r="H3368" s="2" t="s">
        <v>4768</v>
      </c>
      <c r="I3368" s="12" t="s">
        <v>4714</v>
      </c>
      <c r="J3368" s="41">
        <f>+Tabla1[[#This Row],[FECHA ENTRADA]]</f>
        <v>45877</v>
      </c>
      <c r="K3368" s="41">
        <v>45899</v>
      </c>
      <c r="L3368" s="42">
        <f>_xlfn.DAYS(Tabla1[[#This Row],[FECHA FIN ]],Tabla1[[#This Row],[FECHA INICIO]])</f>
        <v>22</v>
      </c>
      <c r="M3368" s="12"/>
      <c r="N3368" s="28"/>
      <c r="O3368" s="28">
        <f>(Tabla1[[#This Row],[COSTO FIJO ]]/30)*Tabla1[[#This Row],[TOTAL DIAS PROYECTO]]+(Tabla1[[#This Row],[COSTO TEMPORAL]])</f>
        <v>0</v>
      </c>
      <c r="P3368" s="12"/>
      <c r="Q3368" s="12">
        <f>+(Tabla1[[#This Row],[COSTO COCHE]]/30)*Tabla1[[#This Row],[TOTAL DIAS PROYECTO]]</f>
        <v>0</v>
      </c>
      <c r="R3368" s="12">
        <f>+Tabla1[[#This Row],[COSTO TOTAL ALOJAMIENTO]]+Tabla1[[#This Row],[COSTO TOTAL COCHE]]</f>
        <v>0</v>
      </c>
      <c r="S3368" s="2"/>
      <c r="T3368" s="14" t="s">
        <v>44</v>
      </c>
      <c r="U3368" s="14">
        <v>45877</v>
      </c>
      <c r="V3368" s="79">
        <v>45902</v>
      </c>
      <c r="W3368" s="12"/>
      <c r="X3368" s="2"/>
      <c r="Y3368" s="256" t="s">
        <v>5007</v>
      </c>
      <c r="Z3368" s="2" t="s">
        <v>36</v>
      </c>
      <c r="AA3368" s="13" t="e">
        <v>#N/A</v>
      </c>
      <c r="AB3368" s="13" t="e">
        <v>#N/A</v>
      </c>
    </row>
    <row r="3369" spans="1:28" ht="15" customHeight="1">
      <c r="A3369" s="2" t="s">
        <v>9792</v>
      </c>
      <c r="B3369" s="2" t="s">
        <v>978</v>
      </c>
      <c r="C3369" s="97" t="s">
        <v>4750</v>
      </c>
      <c r="D3369" s="2" t="s">
        <v>99</v>
      </c>
      <c r="E3369" s="2" t="s">
        <v>3335</v>
      </c>
      <c r="F3369" s="11" t="s">
        <v>4845</v>
      </c>
      <c r="G3369" s="46" t="s">
        <v>4846</v>
      </c>
      <c r="H3369" s="2" t="s">
        <v>4768</v>
      </c>
      <c r="I3369" s="12" t="s">
        <v>4714</v>
      </c>
      <c r="J3369" s="41">
        <f>+Tabla1[[#This Row],[FECHA ENTRADA]]</f>
        <v>45877</v>
      </c>
      <c r="K3369" s="41">
        <v>45899</v>
      </c>
      <c r="L3369" s="42">
        <f>_xlfn.DAYS(Tabla1[[#This Row],[FECHA FIN ]],Tabla1[[#This Row],[FECHA INICIO]])</f>
        <v>22</v>
      </c>
      <c r="M3369" s="12"/>
      <c r="N3369" s="28"/>
      <c r="O3369" s="28">
        <f>(Tabla1[[#This Row],[COSTO FIJO ]]/30)*Tabla1[[#This Row],[TOTAL DIAS PROYECTO]]+(Tabla1[[#This Row],[COSTO TEMPORAL]])</f>
        <v>0</v>
      </c>
      <c r="P3369" s="12"/>
      <c r="Q3369" s="12">
        <f>+(Tabla1[[#This Row],[COSTO COCHE]]/30)*Tabla1[[#This Row],[TOTAL DIAS PROYECTO]]</f>
        <v>0</v>
      </c>
      <c r="R3369" s="12">
        <f>+Tabla1[[#This Row],[COSTO TOTAL ALOJAMIENTO]]+Tabla1[[#This Row],[COSTO TOTAL COCHE]]</f>
        <v>0</v>
      </c>
      <c r="S3369" s="2"/>
      <c r="T3369" s="14" t="s">
        <v>44</v>
      </c>
      <c r="U3369" s="14">
        <v>45877</v>
      </c>
      <c r="V3369" s="79">
        <v>45902</v>
      </c>
      <c r="W3369" s="12"/>
      <c r="X3369" s="2"/>
      <c r="Y3369" s="256" t="s">
        <v>5007</v>
      </c>
      <c r="Z3369" s="2" t="s">
        <v>36</v>
      </c>
      <c r="AA3369" s="13" t="e">
        <v>#N/A</v>
      </c>
      <c r="AB3369" s="13" t="e">
        <v>#N/A</v>
      </c>
    </row>
    <row r="3370" spans="1:28" ht="15" customHeight="1">
      <c r="A3370" s="2" t="s">
        <v>9224</v>
      </c>
      <c r="B3370" s="2" t="s">
        <v>978</v>
      </c>
      <c r="C3370" s="104" t="s">
        <v>2497</v>
      </c>
      <c r="D3370" s="2" t="s">
        <v>99</v>
      </c>
      <c r="E3370" s="2" t="s">
        <v>1443</v>
      </c>
      <c r="F3370" s="11" t="s">
        <v>5008</v>
      </c>
      <c r="G3370" s="11" t="s">
        <v>1445</v>
      </c>
      <c r="H3370" s="2" t="s">
        <v>2007</v>
      </c>
      <c r="I3370" s="12" t="s">
        <v>4477</v>
      </c>
      <c r="J3370" s="22">
        <f>+Tabla1[[#This Row],[FECHA ENTRADA]]</f>
        <v>45869</v>
      </c>
      <c r="K3370" s="22">
        <v>45899</v>
      </c>
      <c r="L3370" s="13">
        <f>_xlfn.DAYS(Tabla1[[#This Row],[FECHA FIN ]],Tabla1[[#This Row],[FECHA INICIO]])</f>
        <v>30</v>
      </c>
      <c r="M3370" s="12"/>
      <c r="N3370" s="12"/>
      <c r="O3370" s="28">
        <f>(Tabla1[[#This Row],[COSTO FIJO ]]/30)*Tabla1[[#This Row],[TOTAL DIAS PROYECTO]]+(Tabla1[[#This Row],[COSTO TEMPORAL]])</f>
        <v>0</v>
      </c>
      <c r="P3370" s="12"/>
      <c r="Q3370" s="12">
        <f>+(Tabla1[[#This Row],[COSTO COCHE]]/30)*Tabla1[[#This Row],[TOTAL DIAS PROYECTO]]</f>
        <v>0</v>
      </c>
      <c r="R3370" s="12">
        <f>+Tabla1[[#This Row],[COSTO TOTAL ALOJAMIENTO]]+Tabla1[[#This Row],[COSTO TOTAL COCHE]]</f>
        <v>0</v>
      </c>
      <c r="S3370" s="2"/>
      <c r="T3370" s="14" t="s">
        <v>44</v>
      </c>
      <c r="U3370" s="14">
        <v>45869</v>
      </c>
      <c r="V3370" s="43">
        <v>45900</v>
      </c>
      <c r="W3370" s="12"/>
      <c r="X3370" s="2"/>
      <c r="Y3370" s="11" t="s">
        <v>5009</v>
      </c>
      <c r="Z3370" s="2" t="s">
        <v>36</v>
      </c>
      <c r="AA3370" s="13" t="s">
        <v>10420</v>
      </c>
      <c r="AB3370" s="13">
        <v>3907741</v>
      </c>
    </row>
    <row r="3371" spans="1:28" ht="15" customHeight="1">
      <c r="A3371" s="2" t="s">
        <v>8786</v>
      </c>
      <c r="B3371" s="2" t="s">
        <v>978</v>
      </c>
      <c r="C3371" s="104" t="s">
        <v>762</v>
      </c>
      <c r="D3371" s="2" t="s">
        <v>99</v>
      </c>
      <c r="E3371" s="2" t="s">
        <v>1443</v>
      </c>
      <c r="F3371" s="11" t="s">
        <v>5008</v>
      </c>
      <c r="G3371" s="11" t="s">
        <v>1445</v>
      </c>
      <c r="H3371" s="2" t="s">
        <v>1866</v>
      </c>
      <c r="I3371" s="12" t="s">
        <v>4477</v>
      </c>
      <c r="J3371" s="41">
        <f>+Tabla1[[#This Row],[FECHA ENTRADA]]</f>
        <v>45869</v>
      </c>
      <c r="K3371" s="41">
        <v>45899</v>
      </c>
      <c r="L3371" s="42">
        <f>_xlfn.DAYS(Tabla1[[#This Row],[FECHA FIN ]],Tabla1[[#This Row],[FECHA INICIO]])</f>
        <v>30</v>
      </c>
      <c r="M3371" s="12"/>
      <c r="N3371" s="12"/>
      <c r="O3371" s="28">
        <f>(Tabla1[[#This Row],[COSTO FIJO ]]/30)*Tabla1[[#This Row],[TOTAL DIAS PROYECTO]]+(Tabla1[[#This Row],[COSTO TEMPORAL]])</f>
        <v>0</v>
      </c>
      <c r="P3371" s="12"/>
      <c r="Q3371" s="12">
        <f>+(Tabla1[[#This Row],[COSTO COCHE]]/30)*Tabla1[[#This Row],[TOTAL DIAS PROYECTO]]</f>
        <v>0</v>
      </c>
      <c r="R3371" s="12">
        <f>+Tabla1[[#This Row],[COSTO TOTAL ALOJAMIENTO]]+Tabla1[[#This Row],[COSTO TOTAL COCHE]]</f>
        <v>0</v>
      </c>
      <c r="S3371" s="2"/>
      <c r="T3371" s="14" t="s">
        <v>44</v>
      </c>
      <c r="U3371" s="14">
        <v>45869</v>
      </c>
      <c r="V3371" s="43">
        <v>45900</v>
      </c>
      <c r="W3371" s="12"/>
      <c r="X3371" s="2"/>
      <c r="Y3371" s="11" t="s">
        <v>5010</v>
      </c>
      <c r="Z3371" s="2" t="s">
        <v>36</v>
      </c>
      <c r="AA3371" s="13" t="s">
        <v>10420</v>
      </c>
      <c r="AB3371" s="13">
        <v>3907741</v>
      </c>
    </row>
    <row r="3372" spans="1:28" ht="15" customHeight="1">
      <c r="A3372" s="2" t="s">
        <v>9405</v>
      </c>
      <c r="B3372" s="2" t="s">
        <v>978</v>
      </c>
      <c r="C3372" s="104" t="s">
        <v>3074</v>
      </c>
      <c r="D3372" s="2" t="s">
        <v>99</v>
      </c>
      <c r="E3372" s="2" t="s">
        <v>1443</v>
      </c>
      <c r="F3372" s="11" t="s">
        <v>5008</v>
      </c>
      <c r="G3372" s="11" t="s">
        <v>1445</v>
      </c>
      <c r="H3372" s="2" t="s">
        <v>1866</v>
      </c>
      <c r="I3372" s="12" t="s">
        <v>4477</v>
      </c>
      <c r="J3372" s="41">
        <f>+Tabla1[[#This Row],[FECHA ENTRADA]]</f>
        <v>45869</v>
      </c>
      <c r="K3372" s="22">
        <v>45899</v>
      </c>
      <c r="L3372" s="42">
        <f>_xlfn.DAYS(Tabla1[[#This Row],[FECHA FIN ]],Tabla1[[#This Row],[FECHA INICIO]])</f>
        <v>30</v>
      </c>
      <c r="M3372" s="12"/>
      <c r="N3372" s="12"/>
      <c r="O3372" s="28">
        <f>(Tabla1[[#This Row],[COSTO FIJO ]]/30)*Tabla1[[#This Row],[TOTAL DIAS PROYECTO]]+(Tabla1[[#This Row],[COSTO TEMPORAL]])</f>
        <v>0</v>
      </c>
      <c r="P3372" s="12"/>
      <c r="Q3372" s="12">
        <f>+(Tabla1[[#This Row],[COSTO COCHE]]/30)*Tabla1[[#This Row],[TOTAL DIAS PROYECTO]]</f>
        <v>0</v>
      </c>
      <c r="R3372" s="12">
        <f>+Tabla1[[#This Row],[COSTO TOTAL ALOJAMIENTO]]+Tabla1[[#This Row],[COSTO TOTAL COCHE]]</f>
        <v>0</v>
      </c>
      <c r="S3372" s="2"/>
      <c r="T3372" s="14" t="s">
        <v>44</v>
      </c>
      <c r="U3372" s="14">
        <v>45869</v>
      </c>
      <c r="V3372" s="43">
        <v>45900</v>
      </c>
      <c r="W3372" s="12"/>
      <c r="X3372" s="2"/>
      <c r="Y3372" s="11" t="s">
        <v>5009</v>
      </c>
      <c r="Z3372" s="2" t="s">
        <v>36</v>
      </c>
      <c r="AA3372" s="13" t="s">
        <v>10420</v>
      </c>
      <c r="AB3372" s="13">
        <v>3907741</v>
      </c>
    </row>
    <row r="3373" spans="1:28" ht="15" customHeight="1">
      <c r="A3373" s="2" t="s">
        <v>9250</v>
      </c>
      <c r="B3373" s="2" t="s">
        <v>978</v>
      </c>
      <c r="C3373" s="104" t="s">
        <v>2595</v>
      </c>
      <c r="D3373" s="2" t="s">
        <v>99</v>
      </c>
      <c r="E3373" s="2" t="s">
        <v>1443</v>
      </c>
      <c r="F3373" s="11" t="s">
        <v>5008</v>
      </c>
      <c r="G3373" s="11" t="s">
        <v>1445</v>
      </c>
      <c r="H3373" s="2" t="s">
        <v>4608</v>
      </c>
      <c r="I3373" s="12" t="s">
        <v>4477</v>
      </c>
      <c r="J3373" s="41">
        <f>+Tabla1[[#This Row],[FECHA ENTRADA]]</f>
        <v>45869</v>
      </c>
      <c r="K3373" s="22">
        <v>45899</v>
      </c>
      <c r="L3373" s="23">
        <f>_xlfn.DAYS(Tabla1[[#This Row],[FECHA FIN ]],Tabla1[[#This Row],[FECHA INICIO]])</f>
        <v>30</v>
      </c>
      <c r="M3373" s="12"/>
      <c r="N3373" s="12"/>
      <c r="O3373" s="28">
        <f>(Tabla1[[#This Row],[COSTO FIJO ]]/30)*Tabla1[[#This Row],[TOTAL DIAS PROYECTO]]+(Tabla1[[#This Row],[COSTO TEMPORAL]])</f>
        <v>0</v>
      </c>
      <c r="P3373" s="12"/>
      <c r="Q3373" s="12">
        <f>+(Tabla1[[#This Row],[COSTO COCHE]]/30)*Tabla1[[#This Row],[TOTAL DIAS PROYECTO]]</f>
        <v>0</v>
      </c>
      <c r="R3373" s="12">
        <f>+Tabla1[[#This Row],[COSTO TOTAL ALOJAMIENTO]]+Tabla1[[#This Row],[COSTO TOTAL COCHE]]</f>
        <v>0</v>
      </c>
      <c r="S3373" s="2"/>
      <c r="T3373" s="14" t="s">
        <v>44</v>
      </c>
      <c r="U3373" s="14">
        <v>45869</v>
      </c>
      <c r="V3373" s="43">
        <v>45900</v>
      </c>
      <c r="W3373" s="12"/>
      <c r="X3373" s="2"/>
      <c r="Y3373" s="11" t="s">
        <v>5011</v>
      </c>
      <c r="Z3373" s="2" t="s">
        <v>36</v>
      </c>
      <c r="AA3373" s="13" t="s">
        <v>10420</v>
      </c>
      <c r="AB3373" s="13">
        <v>3907741</v>
      </c>
    </row>
    <row r="3374" spans="1:28" ht="15" customHeight="1">
      <c r="A3374" s="2" t="s">
        <v>9023</v>
      </c>
      <c r="B3374" s="2" t="s">
        <v>978</v>
      </c>
      <c r="C3374" s="104" t="s">
        <v>1718</v>
      </c>
      <c r="D3374" s="2" t="s">
        <v>99</v>
      </c>
      <c r="E3374" s="2" t="s">
        <v>1443</v>
      </c>
      <c r="F3374" s="11" t="s">
        <v>5008</v>
      </c>
      <c r="G3374" s="11" t="s">
        <v>1445</v>
      </c>
      <c r="H3374" s="2" t="s">
        <v>4608</v>
      </c>
      <c r="I3374" s="12" t="s">
        <v>4477</v>
      </c>
      <c r="J3374" s="41">
        <f>+Tabla1[[#This Row],[FECHA ENTRADA]]</f>
        <v>45869</v>
      </c>
      <c r="K3374" s="41">
        <v>45899</v>
      </c>
      <c r="L3374" s="23">
        <f>_xlfn.DAYS(Tabla1[[#This Row],[FECHA FIN ]],Tabla1[[#This Row],[FECHA INICIO]])</f>
        <v>30</v>
      </c>
      <c r="M3374" s="12"/>
      <c r="N3374" s="12"/>
      <c r="O3374" s="28">
        <f>(Tabla1[[#This Row],[COSTO FIJO ]]/30)*Tabla1[[#This Row],[TOTAL DIAS PROYECTO]]+(Tabla1[[#This Row],[COSTO TEMPORAL]])</f>
        <v>0</v>
      </c>
      <c r="P3374" s="12"/>
      <c r="Q3374" s="12">
        <f>+(Tabla1[[#This Row],[COSTO COCHE]]/30)*Tabla1[[#This Row],[TOTAL DIAS PROYECTO]]</f>
        <v>0</v>
      </c>
      <c r="R3374" s="12">
        <f>+Tabla1[[#This Row],[COSTO TOTAL ALOJAMIENTO]]+Tabla1[[#This Row],[COSTO TOTAL COCHE]]</f>
        <v>0</v>
      </c>
      <c r="S3374" s="2"/>
      <c r="T3374" s="14" t="s">
        <v>44</v>
      </c>
      <c r="U3374" s="14">
        <v>45869</v>
      </c>
      <c r="V3374" s="43">
        <v>45900</v>
      </c>
      <c r="W3374" s="12"/>
      <c r="X3374" s="2"/>
      <c r="Y3374" s="11" t="s">
        <v>1361</v>
      </c>
      <c r="Z3374" s="2" t="s">
        <v>36</v>
      </c>
      <c r="AA3374" s="13" t="s">
        <v>10420</v>
      </c>
      <c r="AB3374" s="13">
        <v>3907741</v>
      </c>
    </row>
    <row r="3375" spans="1:28" ht="15" customHeight="1">
      <c r="A3375" s="2" t="s">
        <v>8929</v>
      </c>
      <c r="B3375" s="2" t="s">
        <v>978</v>
      </c>
      <c r="C3375" s="104" t="s">
        <v>1323</v>
      </c>
      <c r="D3375" s="2" t="s">
        <v>99</v>
      </c>
      <c r="E3375" s="2" t="s">
        <v>1443</v>
      </c>
      <c r="F3375" s="11" t="s">
        <v>5008</v>
      </c>
      <c r="G3375" s="11" t="s">
        <v>1445</v>
      </c>
      <c r="H3375" s="2" t="s">
        <v>4188</v>
      </c>
      <c r="I3375" s="12" t="s">
        <v>4477</v>
      </c>
      <c r="J3375" s="41">
        <f>+Tabla1[[#This Row],[FECHA ENTRADA]]</f>
        <v>45869</v>
      </c>
      <c r="K3375" s="41">
        <v>45899</v>
      </c>
      <c r="L3375" s="13">
        <f>_xlfn.DAYS(Tabla1[[#This Row],[FECHA FIN ]],Tabla1[[#This Row],[FECHA INICIO]])</f>
        <v>30</v>
      </c>
      <c r="M3375" s="12"/>
      <c r="N3375" s="12"/>
      <c r="O3375" s="28">
        <f>(Tabla1[[#This Row],[COSTO FIJO ]]/30)*Tabla1[[#This Row],[TOTAL DIAS PROYECTO]]+(Tabla1[[#This Row],[COSTO TEMPORAL]])</f>
        <v>0</v>
      </c>
      <c r="P3375" s="12"/>
      <c r="Q3375" s="12">
        <f>+(Tabla1[[#This Row],[COSTO COCHE]]/30)*Tabla1[[#This Row],[TOTAL DIAS PROYECTO]]</f>
        <v>0</v>
      </c>
      <c r="R3375" s="12">
        <f>+Tabla1[[#This Row],[COSTO TOTAL ALOJAMIENTO]]+Tabla1[[#This Row],[COSTO TOTAL COCHE]]</f>
        <v>0</v>
      </c>
      <c r="S3375" s="2"/>
      <c r="T3375" s="14" t="s">
        <v>44</v>
      </c>
      <c r="U3375" s="14">
        <v>45869</v>
      </c>
      <c r="V3375" s="43">
        <v>45900</v>
      </c>
      <c r="W3375" s="12"/>
      <c r="X3375" s="2"/>
      <c r="Y3375" s="11" t="s">
        <v>1361</v>
      </c>
      <c r="Z3375" s="2" t="s">
        <v>36</v>
      </c>
      <c r="AA3375" s="13" t="s">
        <v>10420</v>
      </c>
      <c r="AB3375" s="13">
        <v>3907741</v>
      </c>
    </row>
    <row r="3376" spans="1:28" ht="15" customHeight="1">
      <c r="A3376" s="2" t="s">
        <v>8708</v>
      </c>
      <c r="B3376" s="2" t="s">
        <v>978</v>
      </c>
      <c r="C3376" s="104" t="s">
        <v>388</v>
      </c>
      <c r="D3376" s="2" t="s">
        <v>99</v>
      </c>
      <c r="E3376" s="2" t="s">
        <v>1443</v>
      </c>
      <c r="F3376" s="11" t="s">
        <v>5008</v>
      </c>
      <c r="G3376" s="11" t="s">
        <v>1445</v>
      </c>
      <c r="H3376" s="2" t="s">
        <v>4188</v>
      </c>
      <c r="I3376" s="12" t="s">
        <v>4477</v>
      </c>
      <c r="J3376" s="41">
        <f>+Tabla1[[#This Row],[FECHA ENTRADA]]</f>
        <v>45869</v>
      </c>
      <c r="K3376" s="41">
        <v>45899</v>
      </c>
      <c r="L3376" s="23">
        <f>_xlfn.DAYS(Tabla1[[#This Row],[FECHA FIN ]],Tabla1[[#This Row],[FECHA INICIO]])</f>
        <v>30</v>
      </c>
      <c r="M3376" s="12"/>
      <c r="N3376" s="12"/>
      <c r="O3376" s="28">
        <f>(Tabla1[[#This Row],[COSTO FIJO ]]/30)*Tabla1[[#This Row],[TOTAL DIAS PROYECTO]]+(Tabla1[[#This Row],[COSTO TEMPORAL]])</f>
        <v>0</v>
      </c>
      <c r="P3376" s="12"/>
      <c r="Q3376" s="12">
        <f>+(Tabla1[[#This Row],[COSTO COCHE]]/30)*Tabla1[[#This Row],[TOTAL DIAS PROYECTO]]</f>
        <v>0</v>
      </c>
      <c r="R3376" s="12">
        <f>+Tabla1[[#This Row],[COSTO TOTAL ALOJAMIENTO]]+Tabla1[[#This Row],[COSTO TOTAL COCHE]]</f>
        <v>0</v>
      </c>
      <c r="S3376" s="2"/>
      <c r="T3376" s="14" t="s">
        <v>44</v>
      </c>
      <c r="U3376" s="14">
        <v>45869</v>
      </c>
      <c r="V3376" s="43">
        <v>45900</v>
      </c>
      <c r="W3376" s="12"/>
      <c r="X3376" s="2"/>
      <c r="Y3376" s="11" t="s">
        <v>1361</v>
      </c>
      <c r="Z3376" s="2" t="s">
        <v>36</v>
      </c>
      <c r="AA3376" s="13" t="s">
        <v>10420</v>
      </c>
      <c r="AB3376" s="13">
        <v>3907741</v>
      </c>
    </row>
    <row r="3377" spans="1:28" ht="15" customHeight="1">
      <c r="A3377" s="2" t="s">
        <v>8642</v>
      </c>
      <c r="B3377" s="2" t="s">
        <v>711</v>
      </c>
      <c r="C3377" s="97" t="s">
        <v>5012</v>
      </c>
      <c r="D3377" s="2" t="s">
        <v>30</v>
      </c>
      <c r="E3377" s="2" t="s">
        <v>127</v>
      </c>
      <c r="F3377" s="11" t="s">
        <v>5013</v>
      </c>
      <c r="G3377" s="46"/>
      <c r="H3377" s="2" t="s">
        <v>5014</v>
      </c>
      <c r="I3377" s="12" t="s">
        <v>96</v>
      </c>
      <c r="J3377" s="41">
        <f>+Tabla1[[#This Row],[FECHA ENTRADA]]</f>
        <v>46173</v>
      </c>
      <c r="K3377" s="22">
        <v>46174</v>
      </c>
      <c r="L3377" s="42">
        <f>_xlfn.DAYS(Tabla1[[#This Row],[FECHA FIN ]],Tabla1[[#This Row],[FECHA INICIO]])</f>
        <v>1</v>
      </c>
      <c r="M3377" s="12"/>
      <c r="N3377" s="28">
        <v>0</v>
      </c>
      <c r="O3377" s="28">
        <f>(Tabla1[[#This Row],[COSTO FIJO ]]/30)*Tabla1[[#This Row],[TOTAL DIAS PROYECTO]]+(Tabla1[[#This Row],[COSTO TEMPORAL]])</f>
        <v>0</v>
      </c>
      <c r="P3377" s="12"/>
      <c r="Q3377" s="12">
        <f>+(Tabla1[[#This Row],[COSTO COCHE]]/30)*Tabla1[[#This Row],[TOTAL DIAS PROYECTO]]</f>
        <v>0</v>
      </c>
      <c r="R3377" s="12">
        <f>+Tabla1[[#This Row],[COSTO TOTAL ALOJAMIENTO]]+Tabla1[[#This Row],[COSTO TOTAL COCHE]]</f>
        <v>0</v>
      </c>
      <c r="S3377" s="2"/>
      <c r="T3377" s="14" t="s">
        <v>35</v>
      </c>
      <c r="U3377" s="14">
        <v>46173</v>
      </c>
      <c r="V3377" s="43"/>
      <c r="W3377" s="12"/>
      <c r="X3377" s="2"/>
      <c r="Y3377" s="11" t="s">
        <v>5015</v>
      </c>
      <c r="Z3377" s="2" t="s">
        <v>36</v>
      </c>
      <c r="AA3377" s="13" t="s">
        <v>10342</v>
      </c>
      <c r="AB3377" s="13" t="s">
        <v>10343</v>
      </c>
    </row>
    <row r="3378" spans="1:28">
      <c r="A3378" s="2" t="s">
        <v>9842</v>
      </c>
      <c r="B3378" s="2" t="s">
        <v>28</v>
      </c>
      <c r="C3378" s="104" t="s">
        <v>5016</v>
      </c>
      <c r="D3378" s="2" t="s">
        <v>30</v>
      </c>
      <c r="E3378" s="2" t="s">
        <v>253</v>
      </c>
      <c r="F3378" s="11" t="s">
        <v>1688</v>
      </c>
      <c r="G3378" s="46" t="s">
        <v>1689</v>
      </c>
      <c r="H3378" s="2" t="s">
        <v>661</v>
      </c>
      <c r="I3378" s="2" t="s">
        <v>256</v>
      </c>
      <c r="J3378" s="8">
        <f>+Tabla1[[#This Row],[FECHA ENTRADA]]</f>
        <v>45340</v>
      </c>
      <c r="K3378" s="8">
        <v>45899</v>
      </c>
      <c r="L3378" s="13">
        <f>_xlfn.DAYS(Tabla1[[#This Row],[FECHA FIN ]],Tabla1[[#This Row],[FECHA INICIO]])</f>
        <v>559</v>
      </c>
      <c r="M3378" s="12"/>
      <c r="N3378" s="12"/>
      <c r="O3378" s="12">
        <f>(Tabla1[[#This Row],[COSTO FIJO ]]/30)*Tabla1[[#This Row],[TOTAL DIAS PROYECTO]]+(Tabla1[[#This Row],[COSTO TEMPORAL]])</f>
        <v>0</v>
      </c>
      <c r="P3378" s="12"/>
      <c r="Q3378" s="12">
        <f>+(Tabla1[[#This Row],[COSTO COCHE]]/30)*Tabla1[[#This Row],[TOTAL DIAS PROYECTO]]</f>
        <v>0</v>
      </c>
      <c r="R3378" s="12">
        <f>+Tabla1[[#This Row],[COSTO TOTAL ALOJAMIENTO]]+Tabla1[[#This Row],[COSTO TOTAL COCHE]]</f>
        <v>0</v>
      </c>
      <c r="S3378" s="2"/>
      <c r="T3378" s="2" t="s">
        <v>35</v>
      </c>
      <c r="U3378" s="14">
        <v>45340</v>
      </c>
      <c r="V3378" s="14"/>
      <c r="W3378" s="15"/>
      <c r="X3378" s="16">
        <v>18</v>
      </c>
      <c r="Y3378" s="11" t="s">
        <v>5017</v>
      </c>
      <c r="Z3378" s="2" t="s">
        <v>36</v>
      </c>
      <c r="AA3378" s="13" t="s">
        <v>10357</v>
      </c>
      <c r="AB3378" s="13" t="s">
        <v>10358</v>
      </c>
    </row>
    <row r="3379" spans="1:28" ht="15" customHeight="1">
      <c r="A3379" s="2" t="s">
        <v>9454</v>
      </c>
      <c r="B3379" s="2" t="s">
        <v>978</v>
      </c>
      <c r="C3379" s="97" t="s">
        <v>3230</v>
      </c>
      <c r="D3379" s="2" t="s">
        <v>99</v>
      </c>
      <c r="E3379" s="2" t="s">
        <v>855</v>
      </c>
      <c r="F3379" s="11" t="s">
        <v>4510</v>
      </c>
      <c r="G3379" s="49" t="s">
        <v>4511</v>
      </c>
      <c r="H3379" s="2" t="s">
        <v>2677</v>
      </c>
      <c r="I3379" s="12" t="s">
        <v>4512</v>
      </c>
      <c r="J3379" s="22">
        <f>+Tabla1[[#This Row],[FECHA ENTRADA]]</f>
        <v>45876</v>
      </c>
      <c r="K3379" s="22">
        <v>45900</v>
      </c>
      <c r="L3379" s="23">
        <f>_xlfn.DAYS(Tabla1[[#This Row],[FECHA FIN ]],Tabla1[[#This Row],[FECHA INICIO]])</f>
        <v>24</v>
      </c>
      <c r="M3379" s="12"/>
      <c r="N3379" s="20">
        <v>350</v>
      </c>
      <c r="O3379" s="24">
        <f>(Tabla1[[#This Row],[COSTO FIJO ]]/30)*Tabla1[[#This Row],[TOTAL DIAS PROYECTO]]+(Tabla1[[#This Row],[COSTO TEMPORAL]])</f>
        <v>280</v>
      </c>
      <c r="P3379" s="12"/>
      <c r="Q3379" s="12">
        <f>+(Tabla1[[#This Row],[COSTO COCHE]]/30)*Tabla1[[#This Row],[TOTAL DIAS PROYECTO]]</f>
        <v>0</v>
      </c>
      <c r="R3379" s="12">
        <f>+Tabla1[[#This Row],[COSTO TOTAL ALOJAMIENTO]]+Tabla1[[#This Row],[COSTO TOTAL COCHE]]</f>
        <v>280</v>
      </c>
      <c r="S3379" s="2"/>
      <c r="T3379" s="14" t="s">
        <v>44</v>
      </c>
      <c r="U3379" s="14">
        <v>45876</v>
      </c>
      <c r="V3379" s="79">
        <v>45900</v>
      </c>
      <c r="W3379" s="12"/>
      <c r="X3379" s="2">
        <v>1</v>
      </c>
      <c r="Y3379" s="2" t="s">
        <v>5018</v>
      </c>
      <c r="Z3379" s="2" t="s">
        <v>36</v>
      </c>
      <c r="AA3379" s="13" t="s">
        <v>10401</v>
      </c>
      <c r="AB3379" s="13" t="s">
        <v>10402</v>
      </c>
    </row>
    <row r="3380" spans="1:28" ht="15" customHeight="1">
      <c r="A3380" s="2" t="s">
        <v>8642</v>
      </c>
      <c r="B3380" s="2" t="s">
        <v>978</v>
      </c>
      <c r="C3380" s="31" t="s">
        <v>4737</v>
      </c>
      <c r="D3380" s="2" t="s">
        <v>99</v>
      </c>
      <c r="E3380" s="2" t="s">
        <v>855</v>
      </c>
      <c r="F3380" s="11" t="s">
        <v>4510</v>
      </c>
      <c r="G3380" s="49" t="s">
        <v>4511</v>
      </c>
      <c r="H3380" s="2" t="s">
        <v>2677</v>
      </c>
      <c r="I3380" s="12" t="s">
        <v>4512</v>
      </c>
      <c r="J3380" s="22">
        <f>+Tabla1[[#This Row],[FECHA ENTRADA]]</f>
        <v>45876</v>
      </c>
      <c r="K3380" s="22">
        <v>45900</v>
      </c>
      <c r="L3380" s="23">
        <f>_xlfn.DAYS(Tabla1[[#This Row],[FECHA FIN ]],Tabla1[[#This Row],[FECHA INICIO]])</f>
        <v>24</v>
      </c>
      <c r="M3380" s="12"/>
      <c r="N3380" s="20">
        <v>350</v>
      </c>
      <c r="O3380" s="24">
        <f>(Tabla1[[#This Row],[COSTO FIJO ]]/30)*Tabla1[[#This Row],[TOTAL DIAS PROYECTO]]+(Tabla1[[#This Row],[COSTO TEMPORAL]])</f>
        <v>280</v>
      </c>
      <c r="P3380" s="12"/>
      <c r="Q3380" s="12">
        <f>+(Tabla1[[#This Row],[COSTO COCHE]]/30)*Tabla1[[#This Row],[TOTAL DIAS PROYECTO]]</f>
        <v>0</v>
      </c>
      <c r="R3380" s="12">
        <f>+Tabla1[[#This Row],[COSTO TOTAL ALOJAMIENTO]]+Tabla1[[#This Row],[COSTO TOTAL COCHE]]</f>
        <v>280</v>
      </c>
      <c r="S3380" s="2"/>
      <c r="T3380" s="14" t="s">
        <v>44</v>
      </c>
      <c r="U3380" s="14">
        <v>45876</v>
      </c>
      <c r="V3380" s="79">
        <v>45900</v>
      </c>
      <c r="W3380" s="12"/>
      <c r="X3380" s="2">
        <v>1</v>
      </c>
      <c r="Y3380" s="2" t="s">
        <v>5018</v>
      </c>
      <c r="Z3380" s="2" t="s">
        <v>36</v>
      </c>
      <c r="AA3380" s="13" t="s">
        <v>10401</v>
      </c>
      <c r="AB3380" s="13" t="s">
        <v>10402</v>
      </c>
    </row>
    <row r="3381" spans="1:28" ht="15" customHeight="1">
      <c r="A3381" s="2" t="s">
        <v>9783</v>
      </c>
      <c r="B3381" s="2" t="s">
        <v>978</v>
      </c>
      <c r="C3381" s="97" t="s">
        <v>4733</v>
      </c>
      <c r="D3381" s="2" t="s">
        <v>99</v>
      </c>
      <c r="E3381" s="2" t="s">
        <v>855</v>
      </c>
      <c r="F3381" s="11" t="s">
        <v>4510</v>
      </c>
      <c r="G3381" s="49" t="s">
        <v>4511</v>
      </c>
      <c r="H3381" s="2" t="s">
        <v>2677</v>
      </c>
      <c r="I3381" s="12" t="s">
        <v>4512</v>
      </c>
      <c r="J3381" s="22">
        <f>+Tabla1[[#This Row],[FECHA ENTRADA]]</f>
        <v>45876</v>
      </c>
      <c r="K3381" s="22">
        <v>45900</v>
      </c>
      <c r="L3381" s="23">
        <f>_xlfn.DAYS(Tabla1[[#This Row],[FECHA FIN ]],Tabla1[[#This Row],[FECHA INICIO]])</f>
        <v>24</v>
      </c>
      <c r="M3381" s="12"/>
      <c r="N3381" s="20">
        <v>350</v>
      </c>
      <c r="O3381" s="24">
        <f>(Tabla1[[#This Row],[COSTO FIJO ]]/30)*Tabla1[[#This Row],[TOTAL DIAS PROYECTO]]+(Tabla1[[#This Row],[COSTO TEMPORAL]])</f>
        <v>280</v>
      </c>
      <c r="P3381" s="12"/>
      <c r="Q3381" s="12">
        <f>+(Tabla1[[#This Row],[COSTO COCHE]]/30)*Tabla1[[#This Row],[TOTAL DIAS PROYECTO]]</f>
        <v>0</v>
      </c>
      <c r="R3381" s="12">
        <f>+Tabla1[[#This Row],[COSTO TOTAL ALOJAMIENTO]]+Tabla1[[#This Row],[COSTO TOTAL COCHE]]</f>
        <v>280</v>
      </c>
      <c r="S3381" s="2"/>
      <c r="T3381" s="14" t="s">
        <v>44</v>
      </c>
      <c r="U3381" s="14">
        <v>45876</v>
      </c>
      <c r="V3381" s="79">
        <v>45900</v>
      </c>
      <c r="W3381" s="12"/>
      <c r="X3381" s="2">
        <v>1</v>
      </c>
      <c r="Y3381" s="2" t="s">
        <v>5018</v>
      </c>
      <c r="Z3381" s="2" t="s">
        <v>36</v>
      </c>
      <c r="AA3381" s="13" t="s">
        <v>10401</v>
      </c>
      <c r="AB3381" s="13" t="s">
        <v>10402</v>
      </c>
    </row>
    <row r="3382" spans="1:28" ht="15" customHeight="1">
      <c r="A3382" s="2" t="s">
        <v>8970</v>
      </c>
      <c r="B3382" s="2" t="s">
        <v>28</v>
      </c>
      <c r="C3382" s="97" t="s">
        <v>1543</v>
      </c>
      <c r="D3382" s="2" t="s">
        <v>99</v>
      </c>
      <c r="E3382" s="2" t="s">
        <v>61</v>
      </c>
      <c r="F3382" s="11" t="s">
        <v>4915</v>
      </c>
      <c r="G3382" s="11" t="s">
        <v>4807</v>
      </c>
      <c r="H3382" s="2" t="s">
        <v>4887</v>
      </c>
      <c r="I3382" s="12" t="s">
        <v>118</v>
      </c>
      <c r="J3382" s="22">
        <f>+Tabla1[[#This Row],[FECHA ENTRADA]]</f>
        <v>45886</v>
      </c>
      <c r="K3382" s="22">
        <v>45900</v>
      </c>
      <c r="L3382" s="23">
        <f>_xlfn.DAYS(Tabla1[[#This Row],[FECHA FIN ]],Tabla1[[#This Row],[FECHA INICIO]])</f>
        <v>14</v>
      </c>
      <c r="M3382" s="12"/>
      <c r="N3382" s="20"/>
      <c r="O3382" s="24">
        <f>(Tabla1[[#This Row],[COSTO FIJO ]]/30)*Tabla1[[#This Row],[TOTAL DIAS PROYECTO]]+(Tabla1[[#This Row],[COSTO TEMPORAL]])</f>
        <v>0</v>
      </c>
      <c r="P3382" s="12"/>
      <c r="Q3382" s="12">
        <f>+(Tabla1[[#This Row],[COSTO COCHE]]/30)*Tabla1[[#This Row],[TOTAL DIAS PROYECTO]]</f>
        <v>0</v>
      </c>
      <c r="R3382" s="12">
        <f>+Tabla1[[#This Row],[COSTO TOTAL ALOJAMIENTO]]+Tabla1[[#This Row],[COSTO TOTAL COCHE]]</f>
        <v>0</v>
      </c>
      <c r="S3382" s="2"/>
      <c r="T3382" s="14" t="s">
        <v>44</v>
      </c>
      <c r="U3382" s="14">
        <v>45886</v>
      </c>
      <c r="V3382" s="79">
        <v>45900</v>
      </c>
      <c r="W3382" s="12"/>
      <c r="X3382" s="2"/>
      <c r="Y3382" s="11" t="s">
        <v>5019</v>
      </c>
      <c r="Z3382" s="2" t="s">
        <v>36</v>
      </c>
      <c r="AA3382" s="13" t="s">
        <v>10329</v>
      </c>
      <c r="AB3382" s="13" t="s">
        <v>10330</v>
      </c>
    </row>
    <row r="3383" spans="1:28" ht="15" customHeight="1">
      <c r="A3383" s="2" t="s">
        <v>9785</v>
      </c>
      <c r="B3383" s="2" t="s">
        <v>978</v>
      </c>
      <c r="C3383" s="97" t="s">
        <v>4738</v>
      </c>
      <c r="D3383" s="2" t="s">
        <v>99</v>
      </c>
      <c r="E3383" s="2" t="s">
        <v>855</v>
      </c>
      <c r="F3383" s="11" t="s">
        <v>4510</v>
      </c>
      <c r="G3383" s="49" t="s">
        <v>4511</v>
      </c>
      <c r="H3383" s="2" t="s">
        <v>2677</v>
      </c>
      <c r="I3383" s="12" t="s">
        <v>4512</v>
      </c>
      <c r="J3383" s="22">
        <f>+Tabla1[[#This Row],[FECHA ENTRADA]]</f>
        <v>45876</v>
      </c>
      <c r="K3383" s="22">
        <v>45900</v>
      </c>
      <c r="L3383" s="23">
        <f>_xlfn.DAYS(Tabla1[[#This Row],[FECHA FIN ]],Tabla1[[#This Row],[FECHA INICIO]])</f>
        <v>24</v>
      </c>
      <c r="M3383" s="12"/>
      <c r="N3383" s="20">
        <v>350</v>
      </c>
      <c r="O3383" s="24">
        <f>(Tabla1[[#This Row],[COSTO FIJO ]]/30)*Tabla1[[#This Row],[TOTAL DIAS PROYECTO]]+(Tabla1[[#This Row],[COSTO TEMPORAL]])</f>
        <v>280</v>
      </c>
      <c r="P3383" s="12"/>
      <c r="Q3383" s="12">
        <f>+(Tabla1[[#This Row],[COSTO COCHE]]/30)*Tabla1[[#This Row],[TOTAL DIAS PROYECTO]]</f>
        <v>0</v>
      </c>
      <c r="R3383" s="12">
        <f>+Tabla1[[#This Row],[COSTO TOTAL ALOJAMIENTO]]+Tabla1[[#This Row],[COSTO TOTAL COCHE]]</f>
        <v>280</v>
      </c>
      <c r="S3383" s="2"/>
      <c r="T3383" s="14" t="s">
        <v>44</v>
      </c>
      <c r="U3383" s="14">
        <v>45876</v>
      </c>
      <c r="V3383" s="79">
        <v>45900</v>
      </c>
      <c r="W3383" s="12"/>
      <c r="X3383" s="2">
        <v>1</v>
      </c>
      <c r="Y3383" s="2" t="s">
        <v>5018</v>
      </c>
      <c r="Z3383" s="2" t="s">
        <v>36</v>
      </c>
      <c r="AA3383" s="13" t="s">
        <v>10401</v>
      </c>
      <c r="AB3383" s="13" t="s">
        <v>10402</v>
      </c>
    </row>
    <row r="3384" spans="1:28" ht="15" customHeight="1">
      <c r="A3384" s="2" t="s">
        <v>9784</v>
      </c>
      <c r="B3384" s="2" t="s">
        <v>978</v>
      </c>
      <c r="C3384" s="97" t="s">
        <v>4736</v>
      </c>
      <c r="D3384" s="2" t="s">
        <v>99</v>
      </c>
      <c r="E3384" s="2" t="s">
        <v>855</v>
      </c>
      <c r="F3384" s="11" t="s">
        <v>4510</v>
      </c>
      <c r="G3384" s="49" t="s">
        <v>4511</v>
      </c>
      <c r="H3384" s="2" t="s">
        <v>2677</v>
      </c>
      <c r="I3384" s="12" t="s">
        <v>4512</v>
      </c>
      <c r="J3384" s="22">
        <f>+Tabla1[[#This Row],[FECHA ENTRADA]]</f>
        <v>45876</v>
      </c>
      <c r="K3384" s="22">
        <v>45900</v>
      </c>
      <c r="L3384" s="23">
        <f>_xlfn.DAYS(Tabla1[[#This Row],[FECHA FIN ]],Tabla1[[#This Row],[FECHA INICIO]])</f>
        <v>24</v>
      </c>
      <c r="M3384" s="12"/>
      <c r="N3384" s="20">
        <v>350</v>
      </c>
      <c r="O3384" s="24">
        <f>(Tabla1[[#This Row],[COSTO FIJO ]]/30)*Tabla1[[#This Row],[TOTAL DIAS PROYECTO]]+(Tabla1[[#This Row],[COSTO TEMPORAL]])</f>
        <v>280</v>
      </c>
      <c r="P3384" s="12"/>
      <c r="Q3384" s="12">
        <f>+(Tabla1[[#This Row],[COSTO COCHE]]/30)*Tabla1[[#This Row],[TOTAL DIAS PROYECTO]]</f>
        <v>0</v>
      </c>
      <c r="R3384" s="12">
        <f>+Tabla1[[#This Row],[COSTO TOTAL ALOJAMIENTO]]+Tabla1[[#This Row],[COSTO TOTAL COCHE]]</f>
        <v>280</v>
      </c>
      <c r="S3384" s="2"/>
      <c r="T3384" s="14" t="s">
        <v>44</v>
      </c>
      <c r="U3384" s="14">
        <v>45876</v>
      </c>
      <c r="V3384" s="79">
        <v>45900</v>
      </c>
      <c r="W3384" s="12"/>
      <c r="X3384" s="2">
        <v>1</v>
      </c>
      <c r="Y3384" s="2" t="s">
        <v>5018</v>
      </c>
      <c r="Z3384" s="2" t="s">
        <v>36</v>
      </c>
      <c r="AA3384" s="13" t="s">
        <v>10401</v>
      </c>
      <c r="AB3384" s="13" t="s">
        <v>10402</v>
      </c>
    </row>
    <row r="3385" spans="1:28" ht="15" customHeight="1">
      <c r="A3385" s="2" t="s">
        <v>9254</v>
      </c>
      <c r="B3385" s="2" t="s">
        <v>368</v>
      </c>
      <c r="C3385" s="97" t="s">
        <v>2607</v>
      </c>
      <c r="D3385" s="2" t="s">
        <v>99</v>
      </c>
      <c r="E3385" s="2" t="s">
        <v>31</v>
      </c>
      <c r="F3385" s="11" t="s">
        <v>758</v>
      </c>
      <c r="G3385" s="11" t="s">
        <v>759</v>
      </c>
      <c r="H3385" s="2" t="s">
        <v>2609</v>
      </c>
      <c r="I3385" s="203" t="s">
        <v>1316</v>
      </c>
      <c r="J3385" s="22">
        <f>+Tabla1[[#This Row],[FECHA ENTRADA]]</f>
        <v>45819</v>
      </c>
      <c r="K3385" s="22">
        <v>45900</v>
      </c>
      <c r="L3385" s="23">
        <f>_xlfn.DAYS(Tabla1[[#This Row],[FECHA FIN ]],Tabla1[[#This Row],[FECHA INICIO]])</f>
        <v>81</v>
      </c>
      <c r="M3385" s="12"/>
      <c r="N3385" s="20">
        <v>141.666666666667</v>
      </c>
      <c r="O3385" s="24">
        <f>(Tabla1[[#This Row],[COSTO FIJO ]]/30)*Tabla1[[#This Row],[TOTAL DIAS PROYECTO]]+(Tabla1[[#This Row],[COSTO TEMPORAL]])</f>
        <v>382.50000000000085</v>
      </c>
      <c r="P3385" s="12"/>
      <c r="Q3385" s="12">
        <f>+(Tabla1[[#This Row],[COSTO COCHE]]/30)*Tabla1[[#This Row],[TOTAL DIAS PROYECTO]]</f>
        <v>0</v>
      </c>
      <c r="R3385" s="12">
        <f>+Tabla1[[#This Row],[COSTO TOTAL ALOJAMIENTO]]+Tabla1[[#This Row],[COSTO TOTAL COCHE]]</f>
        <v>382.50000000000085</v>
      </c>
      <c r="S3385" s="2"/>
      <c r="T3385" s="14" t="s">
        <v>35</v>
      </c>
      <c r="U3385" s="14">
        <v>45819</v>
      </c>
      <c r="V3385" s="180"/>
      <c r="W3385" s="2"/>
      <c r="X3385" s="2">
        <v>1</v>
      </c>
      <c r="Y3385" s="11" t="s">
        <v>5020</v>
      </c>
      <c r="Z3385" s="2" t="s">
        <v>36</v>
      </c>
      <c r="AA3385" s="13" t="s">
        <v>10323</v>
      </c>
      <c r="AB3385" s="13" t="s">
        <v>10324</v>
      </c>
    </row>
    <row r="3386" spans="1:28" ht="15" customHeight="1">
      <c r="A3386" s="2" t="s">
        <v>9558</v>
      </c>
      <c r="B3386" s="2" t="s">
        <v>368</v>
      </c>
      <c r="C3386" s="97" t="s">
        <v>3612</v>
      </c>
      <c r="D3386" s="2" t="s">
        <v>99</v>
      </c>
      <c r="E3386" s="2" t="s">
        <v>31</v>
      </c>
      <c r="F3386" s="11" t="s">
        <v>758</v>
      </c>
      <c r="G3386" s="11" t="s">
        <v>759</v>
      </c>
      <c r="H3386" s="2" t="s">
        <v>2609</v>
      </c>
      <c r="I3386" s="10" t="s">
        <v>1316</v>
      </c>
      <c r="J3386" s="22">
        <f>+Tabla1[[#This Row],[FECHA ENTRADA]]</f>
        <v>45819</v>
      </c>
      <c r="K3386" s="22">
        <v>45900</v>
      </c>
      <c r="L3386" s="23">
        <f>_xlfn.DAYS(Tabla1[[#This Row],[FECHA FIN ]],Tabla1[[#This Row],[FECHA INICIO]])</f>
        <v>81</v>
      </c>
      <c r="M3386" s="12"/>
      <c r="N3386" s="20">
        <v>141.66666666666666</v>
      </c>
      <c r="O3386" s="24">
        <f>(Tabla1[[#This Row],[COSTO FIJO ]]/30)*Tabla1[[#This Row],[TOTAL DIAS PROYECTO]]+(Tabla1[[#This Row],[COSTO TEMPORAL]])</f>
        <v>382.5</v>
      </c>
      <c r="P3386" s="12"/>
      <c r="Q3386" s="12">
        <f>+(Tabla1[[#This Row],[COSTO COCHE]]/30)*Tabla1[[#This Row],[TOTAL DIAS PROYECTO]]</f>
        <v>0</v>
      </c>
      <c r="R3386" s="12">
        <f>+Tabla1[[#This Row],[COSTO TOTAL ALOJAMIENTO]]+Tabla1[[#This Row],[COSTO TOTAL COCHE]]</f>
        <v>382.5</v>
      </c>
      <c r="S3386" s="2"/>
      <c r="T3386" s="14" t="s">
        <v>35</v>
      </c>
      <c r="U3386" s="14">
        <v>45819</v>
      </c>
      <c r="V3386" s="180"/>
      <c r="W3386" s="2"/>
      <c r="X3386" s="2">
        <v>1</v>
      </c>
      <c r="Y3386" s="11" t="s">
        <v>5020</v>
      </c>
      <c r="Z3386" s="2" t="s">
        <v>36</v>
      </c>
      <c r="AA3386" s="13" t="s">
        <v>10323</v>
      </c>
      <c r="AB3386" s="13" t="s">
        <v>10324</v>
      </c>
    </row>
    <row r="3387" spans="1:28" ht="15" customHeight="1">
      <c r="A3387" s="2" t="s">
        <v>9843</v>
      </c>
      <c r="B3387" s="2" t="s">
        <v>28</v>
      </c>
      <c r="C3387" s="97" t="s">
        <v>5021</v>
      </c>
      <c r="D3387" s="2" t="s">
        <v>99</v>
      </c>
      <c r="E3387" s="2" t="s">
        <v>61</v>
      </c>
      <c r="F3387" s="11" t="s">
        <v>4915</v>
      </c>
      <c r="G3387" s="11" t="s">
        <v>4807</v>
      </c>
      <c r="H3387" s="157" t="s">
        <v>4887</v>
      </c>
      <c r="I3387" s="158" t="s">
        <v>118</v>
      </c>
      <c r="J3387" s="22">
        <f>+Tabla1[[#This Row],[FECHA ENTRADA]]</f>
        <v>45886</v>
      </c>
      <c r="K3387" s="22">
        <v>45900</v>
      </c>
      <c r="L3387" s="23">
        <f>_xlfn.DAYS(Tabla1[[#This Row],[FECHA FIN ]],Tabla1[[#This Row],[FECHA INICIO]])</f>
        <v>14</v>
      </c>
      <c r="M3387" s="12"/>
      <c r="N3387" s="20"/>
      <c r="O3387" s="24">
        <f>(Tabla1[[#This Row],[COSTO FIJO ]]/30)*Tabla1[[#This Row],[TOTAL DIAS PROYECTO]]+(Tabla1[[#This Row],[COSTO TEMPORAL]])</f>
        <v>0</v>
      </c>
      <c r="P3387" s="12"/>
      <c r="Q3387" s="12">
        <f>+(Tabla1[[#This Row],[COSTO COCHE]]/30)*Tabla1[[#This Row],[TOTAL DIAS PROYECTO]]</f>
        <v>0</v>
      </c>
      <c r="R3387" s="12">
        <f>+Tabla1[[#This Row],[COSTO TOTAL ALOJAMIENTO]]+Tabla1[[#This Row],[COSTO TOTAL COCHE]]</f>
        <v>0</v>
      </c>
      <c r="S3387" s="2"/>
      <c r="T3387" s="14" t="s">
        <v>44</v>
      </c>
      <c r="U3387" s="14">
        <v>45886</v>
      </c>
      <c r="V3387" s="79">
        <v>45900</v>
      </c>
      <c r="W3387" s="12"/>
      <c r="X3387" s="2"/>
      <c r="Y3387" s="11" t="s">
        <v>5019</v>
      </c>
      <c r="Z3387" s="2" t="s">
        <v>36</v>
      </c>
      <c r="AA3387" s="13" t="s">
        <v>10329</v>
      </c>
      <c r="AB3387" s="13" t="s">
        <v>10330</v>
      </c>
    </row>
    <row r="3388" spans="1:28" ht="15" customHeight="1">
      <c r="A3388" s="2" t="s">
        <v>8965</v>
      </c>
      <c r="B3388" s="2" t="s">
        <v>28</v>
      </c>
      <c r="C3388" s="97" t="s">
        <v>1520</v>
      </c>
      <c r="D3388" s="2" t="s">
        <v>30</v>
      </c>
      <c r="E3388" s="2" t="s">
        <v>380</v>
      </c>
      <c r="F3388" s="11"/>
      <c r="G3388" s="46"/>
      <c r="H3388" s="157" t="s">
        <v>2867</v>
      </c>
      <c r="I3388" s="158" t="s">
        <v>382</v>
      </c>
      <c r="J3388" s="41">
        <f>+Tabla1[[#This Row],[FECHA ENTRADA]]</f>
        <v>45808</v>
      </c>
      <c r="K3388" s="22">
        <v>45989</v>
      </c>
      <c r="L3388" s="42">
        <f>_xlfn.DAYS(Tabla1[[#This Row],[FECHA FIN ]],Tabla1[[#This Row],[FECHA INICIO]])</f>
        <v>181</v>
      </c>
      <c r="M3388" s="12"/>
      <c r="N3388" s="28">
        <v>300</v>
      </c>
      <c r="O3388" s="28">
        <f>(Tabla1[[#This Row],[COSTO FIJO ]]/30)*Tabla1[[#This Row],[TOTAL DIAS PROYECTO]]+(Tabla1[[#This Row],[COSTO TEMPORAL]])</f>
        <v>1810</v>
      </c>
      <c r="P3388" s="12"/>
      <c r="Q3388" s="12">
        <f>+(Tabla1[[#This Row],[COSTO COCHE]]/30)*Tabla1[[#This Row],[TOTAL DIAS PROYECTO]]</f>
        <v>0</v>
      </c>
      <c r="R3388" s="12">
        <f>+Tabla1[[#This Row],[COSTO TOTAL ALOJAMIENTO]]+Tabla1[[#This Row],[COSTO TOTAL COCHE]]</f>
        <v>1810</v>
      </c>
      <c r="S3388" s="2"/>
      <c r="T3388" s="14" t="s">
        <v>58</v>
      </c>
      <c r="U3388" s="14">
        <v>45808</v>
      </c>
      <c r="V3388" s="75"/>
      <c r="W3388" s="2"/>
      <c r="X3388" s="2"/>
      <c r="Y3388" s="11" t="s">
        <v>5022</v>
      </c>
      <c r="Z3388" s="2" t="s">
        <v>36</v>
      </c>
      <c r="AA3388" s="13" t="s">
        <v>10370</v>
      </c>
      <c r="AB3388" s="13" t="s">
        <v>10371</v>
      </c>
    </row>
    <row r="3389" spans="1:28" ht="15" customHeight="1">
      <c r="A3389" s="2" t="s">
        <v>9844</v>
      </c>
      <c r="B3389" s="2" t="s">
        <v>28</v>
      </c>
      <c r="C3389" s="104" t="s">
        <v>5023</v>
      </c>
      <c r="D3389" s="2" t="s">
        <v>30</v>
      </c>
      <c r="E3389" s="2" t="s">
        <v>114</v>
      </c>
      <c r="F3389" s="11" t="s">
        <v>3881</v>
      </c>
      <c r="G3389" s="11" t="s">
        <v>3882</v>
      </c>
      <c r="H3389" s="2" t="s">
        <v>4808</v>
      </c>
      <c r="I3389" s="2" t="s">
        <v>118</v>
      </c>
      <c r="J3389" s="22">
        <f>+Tabla1[[#This Row],[FECHA ENTRADA]]</f>
        <v>45881</v>
      </c>
      <c r="K3389" s="22">
        <v>45900</v>
      </c>
      <c r="L3389" s="23">
        <f>_xlfn.DAYS(Tabla1[[#This Row],[FECHA FIN ]],Tabla1[[#This Row],[FECHA INICIO]])</f>
        <v>19</v>
      </c>
      <c r="M3389" s="12"/>
      <c r="N3389" s="12">
        <v>91.666666666666671</v>
      </c>
      <c r="O3389" s="24">
        <f>(Tabla1[[#This Row],[COSTO FIJO ]]/30)*Tabla1[[#This Row],[TOTAL DIAS PROYECTO]]+(Tabla1[[#This Row],[COSTO TEMPORAL]])</f>
        <v>58.055555555555557</v>
      </c>
      <c r="P3389" s="12"/>
      <c r="Q3389" s="12">
        <f>+(Tabla1[[#This Row],[COSTO COCHE]]/30)*Tabla1[[#This Row],[TOTAL DIAS PROYECTO]]</f>
        <v>0</v>
      </c>
      <c r="R3389" s="12">
        <f>+Tabla1[[#This Row],[COSTO TOTAL ALOJAMIENTO]]+Tabla1[[#This Row],[COSTO TOTAL COCHE]]</f>
        <v>58.055555555555557</v>
      </c>
      <c r="S3389" s="2"/>
      <c r="T3389" s="14" t="s">
        <v>35</v>
      </c>
      <c r="U3389" s="14">
        <v>45881</v>
      </c>
      <c r="V3389" s="25"/>
      <c r="W3389" s="12"/>
      <c r="X3389" s="2">
        <v>10</v>
      </c>
      <c r="Y3389" s="253" t="s">
        <v>5024</v>
      </c>
      <c r="Z3389" s="2" t="s">
        <v>36</v>
      </c>
      <c r="AA3389" s="13" t="s">
        <v>10340</v>
      </c>
      <c r="AB3389" s="13" t="s">
        <v>10341</v>
      </c>
    </row>
    <row r="3390" spans="1:28" ht="15" customHeight="1">
      <c r="A3390" s="2" t="s">
        <v>9845</v>
      </c>
      <c r="B3390" s="2" t="s">
        <v>28</v>
      </c>
      <c r="C3390" s="104" t="s">
        <v>5025</v>
      </c>
      <c r="D3390" s="2" t="s">
        <v>30</v>
      </c>
      <c r="E3390" s="2" t="s">
        <v>114</v>
      </c>
      <c r="F3390" s="11" t="s">
        <v>3881</v>
      </c>
      <c r="G3390" s="11" t="s">
        <v>3882</v>
      </c>
      <c r="H3390" s="2" t="s">
        <v>4808</v>
      </c>
      <c r="I3390" s="2" t="s">
        <v>118</v>
      </c>
      <c r="J3390" s="22">
        <f>+Tabla1[[#This Row],[FECHA ENTRADA]]</f>
        <v>45881</v>
      </c>
      <c r="K3390" s="22">
        <v>45900</v>
      </c>
      <c r="L3390" s="23">
        <f>_xlfn.DAYS(Tabla1[[#This Row],[FECHA FIN ]],Tabla1[[#This Row],[FECHA INICIO]])</f>
        <v>19</v>
      </c>
      <c r="M3390" s="12"/>
      <c r="N3390" s="12">
        <v>91.666666666666671</v>
      </c>
      <c r="O3390" s="24">
        <f>(Tabla1[[#This Row],[COSTO FIJO ]]/30)*Tabla1[[#This Row],[TOTAL DIAS PROYECTO]]+(Tabla1[[#This Row],[COSTO TEMPORAL]])</f>
        <v>58.055555555555557</v>
      </c>
      <c r="P3390" s="12"/>
      <c r="Q3390" s="12">
        <f>+(Tabla1[[#This Row],[COSTO COCHE]]/30)*Tabla1[[#This Row],[TOTAL DIAS PROYECTO]]</f>
        <v>0</v>
      </c>
      <c r="R3390" s="12">
        <f>+Tabla1[[#This Row],[COSTO TOTAL ALOJAMIENTO]]+Tabla1[[#This Row],[COSTO TOTAL COCHE]]</f>
        <v>58.055555555555557</v>
      </c>
      <c r="S3390" s="2"/>
      <c r="T3390" s="14" t="s">
        <v>35</v>
      </c>
      <c r="U3390" s="14">
        <v>45881</v>
      </c>
      <c r="V3390" s="89"/>
      <c r="W3390" s="12"/>
      <c r="X3390" s="2">
        <v>10</v>
      </c>
      <c r="Y3390" s="253" t="s">
        <v>5024</v>
      </c>
      <c r="Z3390" s="2" t="s">
        <v>36</v>
      </c>
      <c r="AA3390" s="13" t="s">
        <v>10340</v>
      </c>
      <c r="AB3390" s="13" t="s">
        <v>10341</v>
      </c>
    </row>
    <row r="3391" spans="1:28" ht="15" customHeight="1">
      <c r="A3391" s="2" t="s">
        <v>9846</v>
      </c>
      <c r="B3391" s="2" t="s">
        <v>28</v>
      </c>
      <c r="C3391" s="260" t="s">
        <v>5026</v>
      </c>
      <c r="D3391" s="2" t="s">
        <v>30</v>
      </c>
      <c r="E3391" s="2" t="s">
        <v>114</v>
      </c>
      <c r="F3391" s="11" t="s">
        <v>3881</v>
      </c>
      <c r="G3391" s="11" t="s">
        <v>3882</v>
      </c>
      <c r="H3391" s="2" t="s">
        <v>4808</v>
      </c>
      <c r="I3391" s="2" t="s">
        <v>118</v>
      </c>
      <c r="J3391" s="22">
        <f>+Tabla1[[#This Row],[FECHA ENTRADA]]</f>
        <v>45881</v>
      </c>
      <c r="K3391" s="22">
        <v>45967</v>
      </c>
      <c r="L3391" s="23">
        <f>_xlfn.DAYS(Tabla1[[#This Row],[FECHA FIN ]],Tabla1[[#This Row],[FECHA INICIO]])</f>
        <v>86</v>
      </c>
      <c r="M3391" s="12"/>
      <c r="N3391" s="12">
        <v>91.666666666666671</v>
      </c>
      <c r="O3391" s="24">
        <f>(Tabla1[[#This Row],[COSTO FIJO ]]/30)*Tabla1[[#This Row],[TOTAL DIAS PROYECTO]]+(Tabla1[[#This Row],[COSTO TEMPORAL]])</f>
        <v>262.77777777777777</v>
      </c>
      <c r="P3391" s="12"/>
      <c r="Q3391" s="12">
        <f>+(Tabla1[[#This Row],[COSTO COCHE]]/30)*Tabla1[[#This Row],[TOTAL DIAS PROYECTO]]</f>
        <v>0</v>
      </c>
      <c r="R3391" s="12">
        <f>+Tabla1[[#This Row],[COSTO TOTAL ALOJAMIENTO]]+Tabla1[[#This Row],[COSTO TOTAL COCHE]]</f>
        <v>262.77777777777777</v>
      </c>
      <c r="S3391" s="2"/>
      <c r="T3391" s="14" t="s">
        <v>35</v>
      </c>
      <c r="U3391" s="14">
        <v>45881</v>
      </c>
      <c r="V3391" s="25"/>
      <c r="W3391" s="12">
        <v>550</v>
      </c>
      <c r="X3391" s="2">
        <v>10</v>
      </c>
      <c r="Y3391" s="202" t="s">
        <v>5027</v>
      </c>
      <c r="Z3391" s="2" t="s">
        <v>36</v>
      </c>
      <c r="AA3391" s="13" t="s">
        <v>10340</v>
      </c>
      <c r="AB3391" s="13" t="s">
        <v>10341</v>
      </c>
    </row>
    <row r="3392" spans="1:28" ht="15" customHeight="1">
      <c r="A3392" s="2" t="s">
        <v>8970</v>
      </c>
      <c r="B3392" s="2" t="s">
        <v>28</v>
      </c>
      <c r="C3392" s="104" t="s">
        <v>1543</v>
      </c>
      <c r="D3392" s="2" t="s">
        <v>99</v>
      </c>
      <c r="E3392" s="2" t="s">
        <v>114</v>
      </c>
      <c r="F3392" s="11" t="s">
        <v>3881</v>
      </c>
      <c r="G3392" s="11" t="s">
        <v>3882</v>
      </c>
      <c r="H3392" s="2" t="s">
        <v>4887</v>
      </c>
      <c r="I3392" s="12" t="s">
        <v>118</v>
      </c>
      <c r="J3392" s="41">
        <f>+Tabla1[[#This Row],[FECHA ENTRADA]]</f>
        <v>45900</v>
      </c>
      <c r="K3392" s="41">
        <v>45900</v>
      </c>
      <c r="L3392" s="42">
        <f>_xlfn.DAYS(Tabla1[[#This Row],[FECHA FIN ]],Tabla1[[#This Row],[FECHA INICIO]])</f>
        <v>0</v>
      </c>
      <c r="M3392" s="12"/>
      <c r="N3392" s="12">
        <v>91.666666666666671</v>
      </c>
      <c r="O3392" s="28">
        <f>(Tabla1[[#This Row],[COSTO FIJO ]]/30)*Tabla1[[#This Row],[TOTAL DIAS PROYECTO]]+(Tabla1[[#This Row],[COSTO TEMPORAL]])</f>
        <v>0</v>
      </c>
      <c r="P3392" s="12"/>
      <c r="Q3392" s="12">
        <f>+(Tabla1[[#This Row],[COSTO COCHE]]/30)*Tabla1[[#This Row],[TOTAL DIAS PROYECTO]]</f>
        <v>0</v>
      </c>
      <c r="R3392" s="12">
        <f>+Tabla1[[#This Row],[COSTO TOTAL ALOJAMIENTO]]+Tabla1[[#This Row],[COSTO TOTAL COCHE]]</f>
        <v>0</v>
      </c>
      <c r="S3392" s="2"/>
      <c r="T3392" s="14" t="s">
        <v>35</v>
      </c>
      <c r="U3392" s="14">
        <v>45900</v>
      </c>
      <c r="V3392" s="43"/>
      <c r="W3392" s="71"/>
      <c r="X3392" s="2">
        <v>10</v>
      </c>
      <c r="Y3392" s="11"/>
      <c r="Z3392" s="2" t="s">
        <v>36</v>
      </c>
      <c r="AA3392" s="13" t="s">
        <v>10340</v>
      </c>
      <c r="AB3392" s="13" t="s">
        <v>10341</v>
      </c>
    </row>
    <row r="3393" spans="1:28" ht="15" customHeight="1">
      <c r="A3393" s="2" t="s">
        <v>9847</v>
      </c>
      <c r="B3393" s="2" t="s">
        <v>978</v>
      </c>
      <c r="C3393" s="104" t="s">
        <v>5028</v>
      </c>
      <c r="D3393" s="2" t="s">
        <v>99</v>
      </c>
      <c r="E3393" s="2" t="s">
        <v>855</v>
      </c>
      <c r="F3393" s="11" t="s">
        <v>4802</v>
      </c>
      <c r="G3393" s="46" t="s">
        <v>4511</v>
      </c>
      <c r="H3393" s="2" t="s">
        <v>4111</v>
      </c>
      <c r="I3393" s="12" t="s">
        <v>4512</v>
      </c>
      <c r="J3393" s="41">
        <f>+Tabla1[[#This Row],[FECHA ENTRADA]]</f>
        <v>45785</v>
      </c>
      <c r="K3393" s="41">
        <v>45900</v>
      </c>
      <c r="L3393" s="42">
        <f>_xlfn.DAYS(Tabla1[[#This Row],[FECHA FIN ]],Tabla1[[#This Row],[FECHA INICIO]])</f>
        <v>115</v>
      </c>
      <c r="M3393" s="12"/>
      <c r="N3393" s="12"/>
      <c r="O3393" s="28">
        <f>(Tabla1[[#This Row],[COSTO FIJO ]]/30)*Tabla1[[#This Row],[TOTAL DIAS PROYECTO]]+(Tabla1[[#This Row],[COSTO TEMPORAL]])</f>
        <v>0</v>
      </c>
      <c r="P3393" s="12"/>
      <c r="Q3393" s="12">
        <f>+(Tabla1[[#This Row],[COSTO COCHE]]/30)*Tabla1[[#This Row],[TOTAL DIAS PROYECTO]]</f>
        <v>0</v>
      </c>
      <c r="R3393" s="12">
        <f>+Tabla1[[#This Row],[COSTO TOTAL ALOJAMIENTO]]+Tabla1[[#This Row],[COSTO TOTAL COCHE]]</f>
        <v>0</v>
      </c>
      <c r="S3393" s="2"/>
      <c r="T3393" s="14" t="s">
        <v>44</v>
      </c>
      <c r="U3393" s="14">
        <v>45785</v>
      </c>
      <c r="V3393" s="43">
        <v>45899</v>
      </c>
      <c r="W3393" s="12">
        <v>750</v>
      </c>
      <c r="X3393" s="2">
        <v>5</v>
      </c>
      <c r="Y3393" s="11" t="s">
        <v>4513</v>
      </c>
      <c r="Z3393" s="2" t="s">
        <v>36</v>
      </c>
      <c r="AA3393" s="13" t="s">
        <v>10401</v>
      </c>
      <c r="AB3393" s="13" t="s">
        <v>10402</v>
      </c>
    </row>
    <row r="3394" spans="1:28" ht="15" customHeight="1">
      <c r="A3394" s="2" t="s">
        <v>9147</v>
      </c>
      <c r="B3394" s="2" t="s">
        <v>28</v>
      </c>
      <c r="C3394" s="104" t="s">
        <v>2212</v>
      </c>
      <c r="D3394" s="2" t="s">
        <v>99</v>
      </c>
      <c r="E3394" s="2" t="s">
        <v>31</v>
      </c>
      <c r="F3394" s="11" t="s">
        <v>3409</v>
      </c>
      <c r="G3394" s="21" t="s">
        <v>3410</v>
      </c>
      <c r="H3394" s="2" t="s">
        <v>4799</v>
      </c>
      <c r="I3394" s="12" t="s">
        <v>181</v>
      </c>
      <c r="J3394" s="22">
        <f>+Tabla1[[#This Row],[FECHA ENTRADA]]</f>
        <v>45882</v>
      </c>
      <c r="K3394" s="22">
        <v>45900</v>
      </c>
      <c r="L3394" s="23">
        <f>_xlfn.DAYS(Tabla1[[#This Row],[FECHA FIN ]],Tabla1[[#This Row],[FECHA INICIO]])</f>
        <v>18</v>
      </c>
      <c r="M3394" s="12"/>
      <c r="N3394" s="24"/>
      <c r="O3394" s="24">
        <f>(Tabla1[[#This Row],[COSTO FIJO ]]/30)*Tabla1[[#This Row],[TOTAL DIAS PROYECTO]]+(Tabla1[[#This Row],[COSTO TEMPORAL]])</f>
        <v>0</v>
      </c>
      <c r="P3394" s="12"/>
      <c r="Q3394" s="12">
        <f>+(Tabla1[[#This Row],[COSTO COCHE]]/30)*Tabla1[[#This Row],[TOTAL DIAS PROYECTO]]</f>
        <v>0</v>
      </c>
      <c r="R3394" s="12">
        <f>+Tabla1[[#This Row],[COSTO TOTAL ALOJAMIENTO]]+Tabla1[[#This Row],[COSTO TOTAL COCHE]]</f>
        <v>0</v>
      </c>
      <c r="S3394" s="2"/>
      <c r="T3394" s="14" t="s">
        <v>44</v>
      </c>
      <c r="U3394" s="14">
        <v>45882</v>
      </c>
      <c r="V3394" s="79">
        <v>45902</v>
      </c>
      <c r="W3394" s="12"/>
      <c r="X3394" s="2"/>
      <c r="Y3394" s="11" t="s">
        <v>5029</v>
      </c>
      <c r="Z3394" s="2" t="s">
        <v>36</v>
      </c>
      <c r="AA3394" s="13" t="s">
        <v>10323</v>
      </c>
      <c r="AB3394" s="13" t="s">
        <v>10324</v>
      </c>
    </row>
    <row r="3395" spans="1:28" ht="15" customHeight="1">
      <c r="A3395" s="2" t="s">
        <v>9848</v>
      </c>
      <c r="B3395" s="2" t="s">
        <v>28</v>
      </c>
      <c r="C3395" s="104" t="s">
        <v>5030</v>
      </c>
      <c r="D3395" s="2" t="s">
        <v>99</v>
      </c>
      <c r="E3395" s="2" t="s">
        <v>61</v>
      </c>
      <c r="F3395" s="11" t="s">
        <v>5031</v>
      </c>
      <c r="G3395" s="11" t="s">
        <v>5032</v>
      </c>
      <c r="H3395" s="2" t="s">
        <v>4887</v>
      </c>
      <c r="I3395" s="12" t="s">
        <v>118</v>
      </c>
      <c r="J3395" s="41">
        <f>+Tabla1[[#This Row],[FECHA ENTRADA]]</f>
        <v>45899</v>
      </c>
      <c r="K3395" s="41">
        <v>45900</v>
      </c>
      <c r="L3395" s="42">
        <f>_xlfn.DAYS(Tabla1[[#This Row],[FECHA FIN ]],Tabla1[[#This Row],[FECHA INICIO]])</f>
        <v>1</v>
      </c>
      <c r="M3395" s="12"/>
      <c r="N3395" s="28"/>
      <c r="O3395" s="28">
        <f>(Tabla1[[#This Row],[COSTO FIJO ]]/30)*Tabla1[[#This Row],[TOTAL DIAS PROYECTO]]+(Tabla1[[#This Row],[COSTO TEMPORAL]])</f>
        <v>0</v>
      </c>
      <c r="P3395" s="12"/>
      <c r="Q3395" s="12">
        <f>+(Tabla1[[#This Row],[COSTO COCHE]]/30)*Tabla1[[#This Row],[TOTAL DIAS PROYECTO]]</f>
        <v>0</v>
      </c>
      <c r="R3395" s="12">
        <f>+Tabla1[[#This Row],[COSTO TOTAL ALOJAMIENTO]]+Tabla1[[#This Row],[COSTO TOTAL COCHE]]</f>
        <v>0</v>
      </c>
      <c r="S3395" s="2"/>
      <c r="T3395" s="14" t="s">
        <v>44</v>
      </c>
      <c r="U3395" s="14">
        <v>45899</v>
      </c>
      <c r="V3395" s="43">
        <v>45900</v>
      </c>
      <c r="W3395" s="71"/>
      <c r="X3395" s="2"/>
      <c r="Y3395" s="11"/>
      <c r="Z3395" s="2" t="s">
        <v>36</v>
      </c>
      <c r="AA3395" s="13" t="s">
        <v>10329</v>
      </c>
      <c r="AB3395" s="13" t="s">
        <v>10330</v>
      </c>
    </row>
    <row r="3396" spans="1:28" ht="15" customHeight="1">
      <c r="A3396" s="2" t="s">
        <v>9849</v>
      </c>
      <c r="B3396" s="2" t="s">
        <v>28</v>
      </c>
      <c r="C3396" s="104" t="s">
        <v>5033</v>
      </c>
      <c r="D3396" s="2" t="s">
        <v>99</v>
      </c>
      <c r="E3396" s="2" t="s">
        <v>61</v>
      </c>
      <c r="F3396" s="11" t="s">
        <v>5031</v>
      </c>
      <c r="G3396" s="11" t="s">
        <v>5032</v>
      </c>
      <c r="H3396" s="2" t="s">
        <v>4887</v>
      </c>
      <c r="I3396" s="12" t="s">
        <v>118</v>
      </c>
      <c r="J3396" s="41">
        <f>+Tabla1[[#This Row],[FECHA ENTRADA]]</f>
        <v>45899</v>
      </c>
      <c r="K3396" s="41">
        <v>45900</v>
      </c>
      <c r="L3396" s="42">
        <f>_xlfn.DAYS(Tabla1[[#This Row],[FECHA FIN ]],Tabla1[[#This Row],[FECHA INICIO]])</f>
        <v>1</v>
      </c>
      <c r="M3396" s="12"/>
      <c r="N3396" s="28"/>
      <c r="O3396" s="28">
        <f>(Tabla1[[#This Row],[COSTO FIJO ]]/30)*Tabla1[[#This Row],[TOTAL DIAS PROYECTO]]+(Tabla1[[#This Row],[COSTO TEMPORAL]])</f>
        <v>0</v>
      </c>
      <c r="P3396" s="12"/>
      <c r="Q3396" s="12">
        <f>+(Tabla1[[#This Row],[COSTO COCHE]]/30)*Tabla1[[#This Row],[TOTAL DIAS PROYECTO]]</f>
        <v>0</v>
      </c>
      <c r="R3396" s="12">
        <f>+Tabla1[[#This Row],[COSTO TOTAL ALOJAMIENTO]]+Tabla1[[#This Row],[COSTO TOTAL COCHE]]</f>
        <v>0</v>
      </c>
      <c r="S3396" s="2"/>
      <c r="T3396" s="14" t="s">
        <v>44</v>
      </c>
      <c r="U3396" s="14">
        <v>45899</v>
      </c>
      <c r="V3396" s="43">
        <v>45900</v>
      </c>
      <c r="W3396" s="71"/>
      <c r="X3396" s="2"/>
      <c r="Y3396" s="11"/>
      <c r="Z3396" s="2" t="s">
        <v>36</v>
      </c>
      <c r="AA3396" s="13" t="s">
        <v>10329</v>
      </c>
      <c r="AB3396" s="13" t="s">
        <v>10330</v>
      </c>
    </row>
    <row r="3397" spans="1:28" ht="15" customHeight="1">
      <c r="A3397" s="2" t="s">
        <v>9068</v>
      </c>
      <c r="B3397" s="2" t="s">
        <v>28</v>
      </c>
      <c r="C3397" s="11" t="s">
        <v>1868</v>
      </c>
      <c r="D3397" s="2" t="s">
        <v>749</v>
      </c>
      <c r="E3397" s="2" t="s">
        <v>288</v>
      </c>
      <c r="F3397" s="11" t="s">
        <v>4751</v>
      </c>
      <c r="G3397" s="21" t="s">
        <v>4752</v>
      </c>
      <c r="H3397" s="2" t="s">
        <v>3675</v>
      </c>
      <c r="I3397" s="10" t="s">
        <v>753</v>
      </c>
      <c r="J3397" s="41">
        <f>+Tabla1[[#This Row],[FECHA ENTRADA]]</f>
        <v>45877</v>
      </c>
      <c r="K3397" s="41">
        <v>45902</v>
      </c>
      <c r="L3397" s="42">
        <f>_xlfn.DAYS(Tabla1[[#This Row],[FECHA FIN ]],Tabla1[[#This Row],[FECHA INICIO]])</f>
        <v>25</v>
      </c>
      <c r="M3397" s="12">
        <v>668.57142857142856</v>
      </c>
      <c r="N3397" s="28"/>
      <c r="O3397" s="28">
        <f>(Tabla1[[#This Row],[COSTO FIJO ]]/30)*Tabla1[[#This Row],[TOTAL DIAS PROYECTO]]+(Tabla1[[#This Row],[COSTO TEMPORAL]])</f>
        <v>668.57142857142856</v>
      </c>
      <c r="P3397" s="12"/>
      <c r="Q3397" s="12">
        <f>+(Tabla1[[#This Row],[COSTO COCHE]]/30)*Tabla1[[#This Row],[TOTAL DIAS PROYECTO]]</f>
        <v>0</v>
      </c>
      <c r="R3397" s="12">
        <f>+Tabla1[[#This Row],[COSTO TOTAL ALOJAMIENTO]]+Tabla1[[#This Row],[COSTO TOTAL COCHE]]</f>
        <v>668.57142857142856</v>
      </c>
      <c r="S3397" s="2"/>
      <c r="T3397" s="14" t="s">
        <v>44</v>
      </c>
      <c r="U3397" s="14">
        <v>45877</v>
      </c>
      <c r="V3397" s="25">
        <v>45931</v>
      </c>
      <c r="W3397" s="12"/>
      <c r="X3397" s="2"/>
      <c r="Y3397" s="11"/>
      <c r="Z3397" s="2" t="s">
        <v>36</v>
      </c>
      <c r="AA3397" s="13" t="s">
        <v>10362</v>
      </c>
      <c r="AB3397" s="13" t="s">
        <v>10363</v>
      </c>
    </row>
    <row r="3398" spans="1:28" ht="15" customHeight="1">
      <c r="A3398" s="2" t="s">
        <v>9850</v>
      </c>
      <c r="B3398" s="2" t="s">
        <v>368</v>
      </c>
      <c r="C3398" s="104" t="s">
        <v>5034</v>
      </c>
      <c r="D3398" s="2" t="s">
        <v>30</v>
      </c>
      <c r="E3398" s="2" t="s">
        <v>415</v>
      </c>
      <c r="F3398" s="11" t="s">
        <v>487</v>
      </c>
      <c r="G3398" s="46" t="s">
        <v>488</v>
      </c>
      <c r="H3398" s="2" t="s">
        <v>4761</v>
      </c>
      <c r="I3398" s="12" t="s">
        <v>1415</v>
      </c>
      <c r="J3398" s="41">
        <f>+Tabla1[[#This Row],[FECHA ENTRADA]]</f>
        <v>45634</v>
      </c>
      <c r="K3398" s="41">
        <v>45877</v>
      </c>
      <c r="L3398" s="42">
        <f>_xlfn.DAYS(Tabla1[[#This Row],[FECHA FIN ]],Tabla1[[#This Row],[FECHA INICIO]])</f>
        <v>243</v>
      </c>
      <c r="M3398" s="12"/>
      <c r="N3398" s="12"/>
      <c r="O3398" s="28">
        <f>(Tabla1[[#This Row],[COSTO FIJO ]]/30)*Tabla1[[#This Row],[TOTAL DIAS PROYECTO]]+(Tabla1[[#This Row],[COSTO TEMPORAL]])</f>
        <v>0</v>
      </c>
      <c r="P3398" s="12">
        <v>133.33333333333334</v>
      </c>
      <c r="Q3398" s="12">
        <f>+(Tabla1[[#This Row],[COSTO COCHE]]/30)*Tabla1[[#This Row],[TOTAL DIAS PROYECTO]]</f>
        <v>1080</v>
      </c>
      <c r="R3398" s="12">
        <f>+Tabla1[[#This Row],[COSTO TOTAL ALOJAMIENTO]]+Tabla1[[#This Row],[COSTO TOTAL COCHE]]</f>
        <v>1080</v>
      </c>
      <c r="S3398" s="2"/>
      <c r="T3398" s="2" t="s">
        <v>35</v>
      </c>
      <c r="U3398" s="14">
        <v>45634</v>
      </c>
      <c r="V3398" s="43"/>
      <c r="W3398" s="26"/>
      <c r="X3398" s="2">
        <v>5</v>
      </c>
      <c r="Y3398" s="11" t="s">
        <v>4762</v>
      </c>
      <c r="Z3398" s="2" t="s">
        <v>36</v>
      </c>
      <c r="AA3398" s="13">
        <v>-0.37739</v>
      </c>
      <c r="AB3398" s="13" t="s">
        <v>10372</v>
      </c>
    </row>
    <row r="3399" spans="1:28" ht="15" customHeight="1">
      <c r="A3399" s="2" t="s">
        <v>9644</v>
      </c>
      <c r="B3399" s="2" t="s">
        <v>28</v>
      </c>
      <c r="C3399" s="104" t="s">
        <v>4047</v>
      </c>
      <c r="D3399" s="2" t="s">
        <v>99</v>
      </c>
      <c r="E3399" s="2" t="s">
        <v>31</v>
      </c>
      <c r="F3399" s="11" t="s">
        <v>715</v>
      </c>
      <c r="G3399" s="11" t="s">
        <v>716</v>
      </c>
      <c r="H3399" s="2" t="s">
        <v>4537</v>
      </c>
      <c r="I3399" s="12" t="s">
        <v>357</v>
      </c>
      <c r="J3399" s="22">
        <f>+Tabla1[[#This Row],[FECHA ENTRADA]]</f>
        <v>45860</v>
      </c>
      <c r="K3399" s="22">
        <v>45901</v>
      </c>
      <c r="L3399" s="23">
        <f>_xlfn.DAYS(Tabla1[[#This Row],[FECHA FIN ]],Tabla1[[#This Row],[FECHA INICIO]])</f>
        <v>41</v>
      </c>
      <c r="M3399" s="12"/>
      <c r="N3399" s="12">
        <v>160</v>
      </c>
      <c r="O3399" s="24">
        <f>(Tabla1[[#This Row],[COSTO FIJO ]]/30)*Tabla1[[#This Row],[TOTAL DIAS PROYECTO]]+(Tabla1[[#This Row],[COSTO TEMPORAL]])</f>
        <v>218.66666666666666</v>
      </c>
      <c r="P3399" s="12"/>
      <c r="Q3399" s="12">
        <f>+(Tabla1[[#This Row],[COSTO COCHE]]/30)*Tabla1[[#This Row],[TOTAL DIAS PROYECTO]]</f>
        <v>0</v>
      </c>
      <c r="R3399" s="12">
        <f>+Tabla1[[#This Row],[COSTO TOTAL ALOJAMIENTO]]+Tabla1[[#This Row],[COSTO TOTAL COCHE]]</f>
        <v>218.66666666666666</v>
      </c>
      <c r="S3399" s="2"/>
      <c r="T3399" s="14" t="s">
        <v>35</v>
      </c>
      <c r="U3399" s="14">
        <v>45860</v>
      </c>
      <c r="V3399" s="79"/>
      <c r="W3399" s="12"/>
      <c r="X3399" s="2">
        <v>1</v>
      </c>
      <c r="Y3399" s="11" t="s">
        <v>1166</v>
      </c>
      <c r="Z3399" s="2" t="s">
        <v>36</v>
      </c>
      <c r="AA3399" s="13" t="s">
        <v>10323</v>
      </c>
      <c r="AB3399" s="13" t="s">
        <v>10324</v>
      </c>
    </row>
    <row r="3400" spans="1:28" ht="15" customHeight="1">
      <c r="A3400" s="2" t="s">
        <v>9714</v>
      </c>
      <c r="B3400" s="2" t="s">
        <v>978</v>
      </c>
      <c r="C3400" s="97" t="s">
        <v>4369</v>
      </c>
      <c r="D3400" s="2" t="s">
        <v>99</v>
      </c>
      <c r="E3400" s="2" t="s">
        <v>31</v>
      </c>
      <c r="F3400" s="11" t="s">
        <v>1004</v>
      </c>
      <c r="G3400" s="51" t="s">
        <v>1005</v>
      </c>
      <c r="H3400" s="2" t="s">
        <v>5035</v>
      </c>
      <c r="I3400" s="12" t="s">
        <v>2391</v>
      </c>
      <c r="J3400" s="22">
        <f>+Tabla1[[#This Row],[FECHA ENTRADA]]</f>
        <v>45875</v>
      </c>
      <c r="K3400" s="22">
        <v>45901</v>
      </c>
      <c r="L3400" s="23">
        <f>_xlfn.DAYS(Tabla1[[#This Row],[FECHA FIN ]],Tabla1[[#This Row],[FECHA INICIO]])</f>
        <v>26</v>
      </c>
      <c r="M3400" s="12"/>
      <c r="N3400" s="24">
        <v>320</v>
      </c>
      <c r="O3400" s="24">
        <f>(Tabla1[[#This Row],[COSTO FIJO ]]/30)*Tabla1[[#This Row],[TOTAL DIAS PROYECTO]]+(Tabla1[[#This Row],[COSTO TEMPORAL]])</f>
        <v>277.33333333333331</v>
      </c>
      <c r="P3400" s="12"/>
      <c r="Q3400" s="12">
        <f>+(Tabla1[[#This Row],[COSTO COCHE]]/30)*Tabla1[[#This Row],[TOTAL DIAS PROYECTO]]</f>
        <v>0</v>
      </c>
      <c r="R3400" s="12">
        <f>+Tabla1[[#This Row],[COSTO TOTAL ALOJAMIENTO]]+Tabla1[[#This Row],[COSTO TOTAL COCHE]]</f>
        <v>277.33333333333331</v>
      </c>
      <c r="S3400" s="2"/>
      <c r="T3400" s="14" t="s">
        <v>35</v>
      </c>
      <c r="U3400" s="14">
        <v>45875</v>
      </c>
      <c r="V3400" s="25"/>
      <c r="W3400" s="12"/>
      <c r="X3400" s="2">
        <v>1</v>
      </c>
      <c r="Y3400" s="11" t="s">
        <v>5036</v>
      </c>
      <c r="Z3400" s="2" t="s">
        <v>36</v>
      </c>
      <c r="AA3400" s="13" t="s">
        <v>10323</v>
      </c>
      <c r="AB3400" s="13" t="s">
        <v>10324</v>
      </c>
    </row>
    <row r="3401" spans="1:28" ht="15" customHeight="1">
      <c r="A3401" s="2" t="s">
        <v>9744</v>
      </c>
      <c r="B3401" s="2" t="s">
        <v>978</v>
      </c>
      <c r="C3401" s="97" t="s">
        <v>4536</v>
      </c>
      <c r="D3401" s="2" t="s">
        <v>99</v>
      </c>
      <c r="E3401" s="2" t="s">
        <v>31</v>
      </c>
      <c r="F3401" s="11" t="s">
        <v>1004</v>
      </c>
      <c r="G3401" s="51" t="s">
        <v>1005</v>
      </c>
      <c r="H3401" s="2" t="s">
        <v>5035</v>
      </c>
      <c r="I3401" s="12" t="s">
        <v>2391</v>
      </c>
      <c r="J3401" s="22">
        <f>+Tabla1[[#This Row],[FECHA ENTRADA]]</f>
        <v>45875</v>
      </c>
      <c r="K3401" s="22">
        <v>45901</v>
      </c>
      <c r="L3401" s="23">
        <f>_xlfn.DAYS(Tabla1[[#This Row],[FECHA FIN ]],Tabla1[[#This Row],[FECHA INICIO]])</f>
        <v>26</v>
      </c>
      <c r="M3401" s="12"/>
      <c r="N3401" s="24">
        <v>320</v>
      </c>
      <c r="O3401" s="24">
        <f>(Tabla1[[#This Row],[COSTO FIJO ]]/30)*Tabla1[[#This Row],[TOTAL DIAS PROYECTO]]+(Tabla1[[#This Row],[COSTO TEMPORAL]])</f>
        <v>277.33333333333331</v>
      </c>
      <c r="P3401" s="12"/>
      <c r="Q3401" s="12">
        <f>+(Tabla1[[#This Row],[COSTO COCHE]]/30)*Tabla1[[#This Row],[TOTAL DIAS PROYECTO]]</f>
        <v>0</v>
      </c>
      <c r="R3401" s="12">
        <f>+Tabla1[[#This Row],[COSTO TOTAL ALOJAMIENTO]]+Tabla1[[#This Row],[COSTO TOTAL COCHE]]</f>
        <v>277.33333333333331</v>
      </c>
      <c r="S3401" s="2"/>
      <c r="T3401" s="14" t="s">
        <v>35</v>
      </c>
      <c r="U3401" s="14">
        <v>45875</v>
      </c>
      <c r="V3401" s="25"/>
      <c r="W3401" s="12"/>
      <c r="X3401" s="2">
        <v>1</v>
      </c>
      <c r="Y3401" s="11" t="s">
        <v>5036</v>
      </c>
      <c r="Z3401" s="2" t="s">
        <v>36</v>
      </c>
      <c r="AA3401" s="13" t="s">
        <v>10323</v>
      </c>
      <c r="AB3401" s="13" t="s">
        <v>10324</v>
      </c>
    </row>
    <row r="3402" spans="1:28" ht="15" customHeight="1">
      <c r="A3402" s="2" t="s">
        <v>8807</v>
      </c>
      <c r="B3402" s="2" t="s">
        <v>28</v>
      </c>
      <c r="C3402" s="97" t="s">
        <v>848</v>
      </c>
      <c r="D3402" s="2" t="s">
        <v>78</v>
      </c>
      <c r="E3402" s="2" t="s">
        <v>266</v>
      </c>
      <c r="F3402" s="11" t="s">
        <v>2779</v>
      </c>
      <c r="G3402" s="21" t="s">
        <v>1512</v>
      </c>
      <c r="H3402" s="2" t="s">
        <v>1513</v>
      </c>
      <c r="I3402" s="12" t="s">
        <v>270</v>
      </c>
      <c r="J3402" s="22">
        <f>+Tabla1[[#This Row],[FECHA ENTRADA]]</f>
        <v>45838</v>
      </c>
      <c r="K3402" s="22">
        <v>45901</v>
      </c>
      <c r="L3402" s="23">
        <f>_xlfn.DAYS(Tabla1[[#This Row],[FECHA FIN ]],Tabla1[[#This Row],[FECHA INICIO]])</f>
        <v>63</v>
      </c>
      <c r="M3402" s="12"/>
      <c r="N3402" s="24">
        <v>650</v>
      </c>
      <c r="O3402" s="24">
        <f>(Tabla1[[#This Row],[COSTO FIJO ]]/30)*Tabla1[[#This Row],[TOTAL DIAS PROYECTO]]+(Tabla1[[#This Row],[COSTO TEMPORAL]])</f>
        <v>1365</v>
      </c>
      <c r="P3402" s="12"/>
      <c r="Q3402" s="12">
        <f>+(Tabla1[[#This Row],[COSTO COCHE]]/30)*Tabla1[[#This Row],[TOTAL DIAS PROYECTO]]</f>
        <v>0</v>
      </c>
      <c r="R3402" s="12">
        <f>+Tabla1[[#This Row],[COSTO TOTAL ALOJAMIENTO]]+Tabla1[[#This Row],[COSTO TOTAL COCHE]]</f>
        <v>1365</v>
      </c>
      <c r="S3402" s="2"/>
      <c r="T3402" s="14" t="s">
        <v>35</v>
      </c>
      <c r="U3402" s="14">
        <v>45838</v>
      </c>
      <c r="V3402" s="25"/>
      <c r="W3402" s="2"/>
      <c r="X3402" s="2">
        <v>1</v>
      </c>
      <c r="Y3402" t="s">
        <v>5037</v>
      </c>
      <c r="Z3402" s="2" t="s">
        <v>36</v>
      </c>
      <c r="AA3402" s="13" t="s">
        <v>10360</v>
      </c>
      <c r="AB3402" s="13" t="s">
        <v>10361</v>
      </c>
    </row>
    <row r="3403" spans="1:28" ht="15" customHeight="1">
      <c r="A3403" s="2" t="s">
        <v>9726</v>
      </c>
      <c r="B3403" s="2" t="s">
        <v>978</v>
      </c>
      <c r="C3403" s="97" t="s">
        <v>4422</v>
      </c>
      <c r="D3403" s="2" t="s">
        <v>30</v>
      </c>
      <c r="E3403" s="2" t="s">
        <v>31</v>
      </c>
      <c r="F3403" s="11" t="s">
        <v>4982</v>
      </c>
      <c r="G3403" s="21" t="s">
        <v>4983</v>
      </c>
      <c r="H3403" s="2" t="s">
        <v>4798</v>
      </c>
      <c r="I3403" s="10" t="s">
        <v>3364</v>
      </c>
      <c r="J3403" s="22">
        <f>+Tabla1[[#This Row],[FECHA ENTRADA]]</f>
        <v>45881</v>
      </c>
      <c r="K3403" s="22">
        <v>45901</v>
      </c>
      <c r="L3403" s="23">
        <f>_xlfn.DAYS(Tabla1[[#This Row],[FECHA FIN ]],Tabla1[[#This Row],[FECHA INICIO]])</f>
        <v>20</v>
      </c>
      <c r="M3403" s="12"/>
      <c r="N3403" s="24">
        <v>375</v>
      </c>
      <c r="O3403" s="24">
        <f>(Tabla1[[#This Row],[COSTO FIJO ]]/30)*Tabla1[[#This Row],[TOTAL DIAS PROYECTO]]+(Tabla1[[#This Row],[COSTO TEMPORAL]])</f>
        <v>250</v>
      </c>
      <c r="P3403" s="12"/>
      <c r="Q3403" s="12">
        <f>+(Tabla1[[#This Row],[COSTO COCHE]]/30)*Tabla1[[#This Row],[TOTAL DIAS PROYECTO]]</f>
        <v>0</v>
      </c>
      <c r="R3403" s="12">
        <f>+Tabla1[[#This Row],[COSTO TOTAL ALOJAMIENTO]]+Tabla1[[#This Row],[COSTO TOTAL COCHE]]</f>
        <v>250</v>
      </c>
      <c r="S3403" s="2"/>
      <c r="T3403" s="14" t="s">
        <v>44</v>
      </c>
      <c r="U3403" s="14">
        <v>45881</v>
      </c>
      <c r="V3403" s="25">
        <v>45901</v>
      </c>
      <c r="W3403" s="12"/>
      <c r="X3403" s="2"/>
      <c r="Y3403" s="11" t="s">
        <v>5038</v>
      </c>
      <c r="Z3403" s="2" t="s">
        <v>36</v>
      </c>
      <c r="AA3403" s="13" t="s">
        <v>10323</v>
      </c>
      <c r="AB3403" s="13" t="s">
        <v>10324</v>
      </c>
    </row>
    <row r="3404" spans="1:28" ht="15" customHeight="1">
      <c r="A3404" s="2" t="s">
        <v>9142</v>
      </c>
      <c r="B3404" s="2" t="s">
        <v>978</v>
      </c>
      <c r="C3404" s="97" t="s">
        <v>2192</v>
      </c>
      <c r="D3404" s="2" t="s">
        <v>30</v>
      </c>
      <c r="E3404" s="2" t="s">
        <v>31</v>
      </c>
      <c r="F3404" s="11" t="s">
        <v>4982</v>
      </c>
      <c r="G3404" s="21" t="s">
        <v>4983</v>
      </c>
      <c r="H3404" s="2" t="s">
        <v>4798</v>
      </c>
      <c r="I3404" s="10" t="s">
        <v>3364</v>
      </c>
      <c r="J3404" s="22">
        <f>+Tabla1[[#This Row],[FECHA ENTRADA]]</f>
        <v>45881</v>
      </c>
      <c r="K3404" s="22">
        <v>45901</v>
      </c>
      <c r="L3404" s="23">
        <f>_xlfn.DAYS(Tabla1[[#This Row],[FECHA FIN ]],Tabla1[[#This Row],[FECHA INICIO]])</f>
        <v>20</v>
      </c>
      <c r="M3404" s="12"/>
      <c r="N3404" s="24">
        <v>375</v>
      </c>
      <c r="O3404" s="24">
        <f>(Tabla1[[#This Row],[COSTO FIJO ]]/30)*Tabla1[[#This Row],[TOTAL DIAS PROYECTO]]+(Tabla1[[#This Row],[COSTO TEMPORAL]])</f>
        <v>250</v>
      </c>
      <c r="P3404" s="12"/>
      <c r="Q3404" s="12">
        <f>+(Tabla1[[#This Row],[COSTO COCHE]]/30)*Tabla1[[#This Row],[TOTAL DIAS PROYECTO]]</f>
        <v>0</v>
      </c>
      <c r="R3404" s="12">
        <f>+Tabla1[[#This Row],[COSTO TOTAL ALOJAMIENTO]]+Tabla1[[#This Row],[COSTO TOTAL COCHE]]</f>
        <v>250</v>
      </c>
      <c r="S3404" s="2"/>
      <c r="T3404" s="14" t="s">
        <v>44</v>
      </c>
      <c r="U3404" s="14">
        <v>45881</v>
      </c>
      <c r="V3404" s="25">
        <v>45901</v>
      </c>
      <c r="W3404" s="12"/>
      <c r="X3404" s="2"/>
      <c r="Y3404" s="11" t="s">
        <v>5039</v>
      </c>
      <c r="Z3404" s="2" t="s">
        <v>36</v>
      </c>
      <c r="AA3404" s="13" t="s">
        <v>10323</v>
      </c>
      <c r="AB3404" s="13" t="s">
        <v>10324</v>
      </c>
    </row>
    <row r="3405" spans="1:28" ht="15" customHeight="1">
      <c r="A3405" s="2" t="s">
        <v>9851</v>
      </c>
      <c r="B3405" s="2" t="s">
        <v>978</v>
      </c>
      <c r="C3405" s="97" t="s">
        <v>5040</v>
      </c>
      <c r="D3405" s="2" t="s">
        <v>30</v>
      </c>
      <c r="E3405" s="2" t="s">
        <v>31</v>
      </c>
      <c r="F3405" s="11" t="s">
        <v>4614</v>
      </c>
      <c r="G3405" s="21" t="s">
        <v>4615</v>
      </c>
      <c r="H3405" s="2" t="s">
        <v>5041</v>
      </c>
      <c r="I3405" s="12" t="s">
        <v>4902</v>
      </c>
      <c r="J3405" s="41">
        <f>+Tabla1[[#This Row],[FECHA ENTRADA]]</f>
        <v>45872</v>
      </c>
      <c r="K3405" s="22">
        <v>45901</v>
      </c>
      <c r="L3405" s="42">
        <f>_xlfn.DAYS(Tabla1[[#This Row],[FECHA FIN ]],Tabla1[[#This Row],[FECHA INICIO]])</f>
        <v>29</v>
      </c>
      <c r="M3405" s="12"/>
      <c r="N3405" s="12"/>
      <c r="O3405" s="28">
        <f>(Tabla1[[#This Row],[COSTO FIJO ]]/30)*Tabla1[[#This Row],[TOTAL DIAS PROYECTO]]+(Tabla1[[#This Row],[COSTO TEMPORAL]])</f>
        <v>0</v>
      </c>
      <c r="P3405" s="12"/>
      <c r="Q3405" s="12">
        <f>+(Tabla1[[#This Row],[COSTO COCHE]]/30)*Tabla1[[#This Row],[TOTAL DIAS PROYECTO]]</f>
        <v>0</v>
      </c>
      <c r="R3405" s="12">
        <f>+Tabla1[[#This Row],[COSTO TOTAL ALOJAMIENTO]]+Tabla1[[#This Row],[COSTO TOTAL COCHE]]</f>
        <v>0</v>
      </c>
      <c r="S3405" s="2"/>
      <c r="T3405" s="14" t="s">
        <v>44</v>
      </c>
      <c r="U3405" s="14">
        <v>45872</v>
      </c>
      <c r="V3405" s="43">
        <v>45902</v>
      </c>
      <c r="W3405" s="12"/>
      <c r="X3405" s="2"/>
      <c r="Y3405" s="11" t="s">
        <v>5042</v>
      </c>
      <c r="Z3405" s="2" t="s">
        <v>36</v>
      </c>
      <c r="AA3405" s="13" t="s">
        <v>10323</v>
      </c>
      <c r="AB3405" s="13" t="s">
        <v>10324</v>
      </c>
    </row>
    <row r="3406" spans="1:28" ht="15" customHeight="1">
      <c r="A3406" s="2" t="s">
        <v>8730</v>
      </c>
      <c r="B3406" s="2" t="s">
        <v>368</v>
      </c>
      <c r="C3406" s="261" t="s">
        <v>472</v>
      </c>
      <c r="D3406" s="2" t="s">
        <v>30</v>
      </c>
      <c r="E3406" s="2" t="s">
        <v>87</v>
      </c>
      <c r="F3406" s="11" t="s">
        <v>1668</v>
      </c>
      <c r="G3406" s="128" t="s">
        <v>1669</v>
      </c>
      <c r="H3406" s="2" t="s">
        <v>3605</v>
      </c>
      <c r="I3406" s="12" t="s">
        <v>1392</v>
      </c>
      <c r="J3406" s="22">
        <f>+Tabla1[[#This Row],[FECHA ENTRADA]]</f>
        <v>45760</v>
      </c>
      <c r="K3406" s="22">
        <v>45970</v>
      </c>
      <c r="L3406" s="23">
        <f>_xlfn.DAYS(Tabla1[[#This Row],[FECHA FIN ]],Tabla1[[#This Row],[FECHA INICIO]])</f>
        <v>210</v>
      </c>
      <c r="M3406" s="12"/>
      <c r="N3406" s="12">
        <v>268.83333333333331</v>
      </c>
      <c r="O3406" s="24">
        <f>(Tabla1[[#This Row],[COSTO FIJO ]]/30)*Tabla1[[#This Row],[TOTAL DIAS PROYECTO]]+(Tabla1[[#This Row],[COSTO TEMPORAL]])</f>
        <v>1881.8333333333333</v>
      </c>
      <c r="P3406" s="12">
        <f>613.83/5</f>
        <v>122.76600000000001</v>
      </c>
      <c r="Q3406" s="12">
        <f>+(Tabla1[[#This Row],[COSTO COCHE]]/30)*Tabla1[[#This Row],[TOTAL DIAS PROYECTO]]</f>
        <v>859.36199999999997</v>
      </c>
      <c r="R3406" s="12">
        <f>+Tabla1[[#This Row],[COSTO TOTAL ALOJAMIENTO]]+Tabla1[[#This Row],[COSTO TOTAL COCHE]]</f>
        <v>2741.1953333333331</v>
      </c>
      <c r="S3406" s="2"/>
      <c r="T3406" s="2" t="s">
        <v>35</v>
      </c>
      <c r="U3406" s="14">
        <v>45760</v>
      </c>
      <c r="V3406" s="25"/>
      <c r="W3406" s="26"/>
      <c r="X3406" s="2">
        <v>5</v>
      </c>
      <c r="Y3406" s="30" t="s">
        <v>3606</v>
      </c>
      <c r="Z3406" s="2" t="s">
        <v>36</v>
      </c>
      <c r="AA3406" s="13" t="s">
        <v>10335</v>
      </c>
      <c r="AB3406" s="13">
        <v>404.16500000000002</v>
      </c>
    </row>
    <row r="3407" spans="1:28" ht="15" customHeight="1">
      <c r="A3407" s="2" t="s">
        <v>9741</v>
      </c>
      <c r="B3407" s="2" t="s">
        <v>28</v>
      </c>
      <c r="C3407" s="104" t="s">
        <v>4509</v>
      </c>
      <c r="D3407" s="2" t="s">
        <v>99</v>
      </c>
      <c r="E3407" s="2" t="s">
        <v>31</v>
      </c>
      <c r="F3407" s="11" t="s">
        <v>4614</v>
      </c>
      <c r="G3407" s="21" t="s">
        <v>4615</v>
      </c>
      <c r="H3407" s="2" t="s">
        <v>4616</v>
      </c>
      <c r="I3407" s="12" t="s">
        <v>385</v>
      </c>
      <c r="J3407" s="22">
        <f>+Tabla1[[#This Row],[FECHA ENTRADA]]</f>
        <v>45860</v>
      </c>
      <c r="K3407" s="22">
        <v>45901</v>
      </c>
      <c r="L3407" s="23">
        <f>_xlfn.DAYS(Tabla1[[#This Row],[FECHA FIN ]],Tabla1[[#This Row],[FECHA INICIO]])</f>
        <v>41</v>
      </c>
      <c r="M3407" s="12"/>
      <c r="N3407" s="12"/>
      <c r="O3407" s="24">
        <f>(Tabla1[[#This Row],[COSTO FIJO ]]/30)*Tabla1[[#This Row],[TOTAL DIAS PROYECTO]]+(Tabla1[[#This Row],[COSTO TEMPORAL]])</f>
        <v>0</v>
      </c>
      <c r="P3407" s="12"/>
      <c r="Q3407" s="12">
        <f>+(Tabla1[[#This Row],[COSTO COCHE]]/30)*Tabla1[[#This Row],[TOTAL DIAS PROYECTO]]</f>
        <v>0</v>
      </c>
      <c r="R3407" s="12">
        <f>+Tabla1[[#This Row],[COSTO TOTAL ALOJAMIENTO]]+Tabla1[[#This Row],[COSTO TOTAL COCHE]]</f>
        <v>0</v>
      </c>
      <c r="S3407" s="2"/>
      <c r="T3407" s="14" t="s">
        <v>44</v>
      </c>
      <c r="U3407" s="14">
        <v>45860</v>
      </c>
      <c r="V3407" s="25">
        <v>45902</v>
      </c>
      <c r="W3407" s="12"/>
      <c r="X3407" s="2"/>
      <c r="Y3407" t="s">
        <v>5043</v>
      </c>
      <c r="Z3407" s="2" t="s">
        <v>36</v>
      </c>
      <c r="AA3407" s="13" t="s">
        <v>10323</v>
      </c>
      <c r="AB3407" s="13" t="s">
        <v>10324</v>
      </c>
    </row>
    <row r="3408" spans="1:28" ht="15" customHeight="1">
      <c r="A3408" s="2" t="s">
        <v>9852</v>
      </c>
      <c r="B3408" s="2" t="s">
        <v>978</v>
      </c>
      <c r="C3408" s="97" t="s">
        <v>5044</v>
      </c>
      <c r="D3408" s="2" t="s">
        <v>30</v>
      </c>
      <c r="E3408" s="2" t="s">
        <v>245</v>
      </c>
      <c r="F3408" s="11" t="s">
        <v>5045</v>
      </c>
      <c r="G3408" s="46" t="s">
        <v>5046</v>
      </c>
      <c r="H3408" s="2" t="s">
        <v>1468</v>
      </c>
      <c r="I3408" s="12" t="s">
        <v>5047</v>
      </c>
      <c r="J3408" s="41">
        <f>+Tabla1[[#This Row],[FECHA ENTRADA]]</f>
        <v>45835</v>
      </c>
      <c r="K3408" s="41">
        <v>45894</v>
      </c>
      <c r="L3408" s="42">
        <f>_xlfn.DAYS(Tabla1[[#This Row],[FECHA FIN ]],Tabla1[[#This Row],[FECHA INICIO]])</f>
        <v>59</v>
      </c>
      <c r="M3408" s="12">
        <f>30*Tabla1[[#This Row],[TOTAL DIAS PROYECTO]]</f>
        <v>1770</v>
      </c>
      <c r="N3408" s="12"/>
      <c r="O3408" s="28">
        <f>(Tabla1[[#This Row],[COSTO FIJO ]]/30)*Tabla1[[#This Row],[TOTAL DIAS PROYECTO]]+(Tabla1[[#This Row],[COSTO TEMPORAL]])</f>
        <v>1770</v>
      </c>
      <c r="P3408" s="12"/>
      <c r="Q3408" s="12">
        <f>+(Tabla1[[#This Row],[COSTO COCHE]]/30)*Tabla1[[#This Row],[TOTAL DIAS PROYECTO]]</f>
        <v>0</v>
      </c>
      <c r="R3408" s="12">
        <f>+Tabla1[[#This Row],[COSTO TOTAL ALOJAMIENTO]]+Tabla1[[#This Row],[COSTO TOTAL COCHE]]</f>
        <v>1770</v>
      </c>
      <c r="S3408" s="2"/>
      <c r="T3408" s="14" t="s">
        <v>44</v>
      </c>
      <c r="U3408" s="14">
        <v>45835</v>
      </c>
      <c r="V3408" s="43">
        <v>45911</v>
      </c>
      <c r="W3408" s="12"/>
      <c r="X3408" s="2"/>
      <c r="Y3408" s="11" t="s">
        <v>5048</v>
      </c>
      <c r="Z3408" s="2" t="s">
        <v>36</v>
      </c>
      <c r="AA3408" s="13" t="s">
        <v>10355</v>
      </c>
      <c r="AB3408" s="13" t="s">
        <v>10356</v>
      </c>
    </row>
    <row r="3409" spans="1:28" ht="15" customHeight="1">
      <c r="A3409" s="2" t="s">
        <v>9475</v>
      </c>
      <c r="B3409" s="2" t="s">
        <v>368</v>
      </c>
      <c r="C3409" s="104" t="s">
        <v>3329</v>
      </c>
      <c r="D3409" s="2" t="s">
        <v>30</v>
      </c>
      <c r="E3409" s="2" t="s">
        <v>648</v>
      </c>
      <c r="F3409" s="11" t="s">
        <v>5049</v>
      </c>
      <c r="G3409" s="46" t="s">
        <v>5050</v>
      </c>
      <c r="H3409" s="157" t="s">
        <v>2004</v>
      </c>
      <c r="I3409" s="158" t="s">
        <v>42</v>
      </c>
      <c r="J3409" s="41">
        <f>+Tabla1[[#This Row],[FECHA ENTRADA]]</f>
        <v>45772</v>
      </c>
      <c r="K3409" s="22">
        <v>45901</v>
      </c>
      <c r="L3409" s="42">
        <f>_xlfn.DAYS(Tabla1[[#This Row],[FECHA FIN ]],Tabla1[[#This Row],[FECHA INICIO]])</f>
        <v>129</v>
      </c>
      <c r="M3409" s="12"/>
      <c r="N3409" s="28">
        <v>350</v>
      </c>
      <c r="O3409" s="28">
        <f>(Tabla1[[#This Row],[COSTO FIJO ]]/30)*Tabla1[[#This Row],[TOTAL DIAS PROYECTO]]+(Tabla1[[#This Row],[COSTO TEMPORAL]])</f>
        <v>1505</v>
      </c>
      <c r="P3409" s="12"/>
      <c r="Q3409" s="12">
        <f>+(Tabla1[[#This Row],[COSTO COCHE]]/30)*Tabla1[[#This Row],[TOTAL DIAS PROYECTO]]</f>
        <v>0</v>
      </c>
      <c r="R3409" s="12">
        <f>+Tabla1[[#This Row],[COSTO TOTAL ALOJAMIENTO]]+Tabla1[[#This Row],[COSTO TOTAL COCHE]]</f>
        <v>1505</v>
      </c>
      <c r="S3409" s="2"/>
      <c r="T3409" s="14" t="s">
        <v>35</v>
      </c>
      <c r="U3409" s="14">
        <v>45772</v>
      </c>
      <c r="V3409" s="75"/>
      <c r="W3409" s="80"/>
      <c r="X3409" s="2">
        <v>23</v>
      </c>
      <c r="Y3409" s="11" t="s">
        <v>1166</v>
      </c>
      <c r="Z3409" s="2" t="s">
        <v>36</v>
      </c>
      <c r="AA3409" s="13" t="s">
        <v>10387</v>
      </c>
      <c r="AB3409" s="13" t="s">
        <v>10388</v>
      </c>
    </row>
    <row r="3410" spans="1:28" ht="15" customHeight="1">
      <c r="A3410" s="117" t="s">
        <v>9853</v>
      </c>
      <c r="B3410" s="117" t="s">
        <v>606</v>
      </c>
      <c r="C3410" s="224" t="s">
        <v>5051</v>
      </c>
      <c r="D3410" s="117" t="s">
        <v>30</v>
      </c>
      <c r="E3410" s="117" t="s">
        <v>87</v>
      </c>
      <c r="F3410" s="101" t="s">
        <v>5052</v>
      </c>
      <c r="G3410" s="197" t="s">
        <v>5053</v>
      </c>
      <c r="H3410" s="198" t="s">
        <v>2106</v>
      </c>
      <c r="I3410" s="199" t="s">
        <v>4169</v>
      </c>
      <c r="J3410" s="121">
        <f>+Tabla1[[#This Row],[FECHA ENTRADA]]</f>
        <v>46092</v>
      </c>
      <c r="K3410" s="121">
        <v>46248</v>
      </c>
      <c r="L3410" s="129">
        <f>_xlfn.DAYS(Tabla1[[#This Row],[FECHA FIN ]],Tabla1[[#This Row],[FECHA INICIO]])</f>
        <v>156</v>
      </c>
      <c r="M3410" s="119">
        <v>500</v>
      </c>
      <c r="N3410" s="130"/>
      <c r="O3410" s="131">
        <f>(Tabla1[[#This Row],[COSTO FIJO ]]/30)*Tabla1[[#This Row],[TOTAL DIAS PROYECTO]]+(Tabla1[[#This Row],[COSTO TEMPORAL]])</f>
        <v>500</v>
      </c>
      <c r="P3410" s="119"/>
      <c r="Q3410" s="119">
        <f>+(Tabla1[[#This Row],[COSTO COCHE]]/30)*Tabla1[[#This Row],[TOTAL DIAS PROYECTO]]</f>
        <v>0</v>
      </c>
      <c r="R3410" s="119">
        <f>+Tabla1[[#This Row],[COSTO TOTAL ALOJAMIENTO]]+Tabla1[[#This Row],[COSTO TOTAL COCHE]]</f>
        <v>500</v>
      </c>
      <c r="S3410" s="117" t="s">
        <v>403</v>
      </c>
      <c r="T3410" s="124" t="s">
        <v>44</v>
      </c>
      <c r="U3410" s="124">
        <v>46092</v>
      </c>
      <c r="V3410" s="125">
        <v>46249</v>
      </c>
      <c r="W3410" s="119"/>
      <c r="X3410" s="117"/>
      <c r="Y3410" s="118" t="s">
        <v>5054</v>
      </c>
      <c r="Z3410" s="117" t="s">
        <v>36</v>
      </c>
      <c r="AA3410" s="127" t="s">
        <v>10335</v>
      </c>
      <c r="AB3410" s="127">
        <v>404.16500000000002</v>
      </c>
    </row>
    <row r="3411" spans="1:28" ht="15" customHeight="1">
      <c r="A3411" s="2" t="s">
        <v>9536</v>
      </c>
      <c r="B3411" s="2" t="s">
        <v>978</v>
      </c>
      <c r="C3411" s="97" t="s">
        <v>3566</v>
      </c>
      <c r="D3411" s="2" t="s">
        <v>30</v>
      </c>
      <c r="E3411" s="2" t="s">
        <v>31</v>
      </c>
      <c r="F3411" s="11" t="s">
        <v>4614</v>
      </c>
      <c r="G3411" s="21" t="s">
        <v>4615</v>
      </c>
      <c r="H3411" s="157" t="s">
        <v>5041</v>
      </c>
      <c r="I3411" s="158" t="s">
        <v>4902</v>
      </c>
      <c r="J3411" s="41">
        <f>+Tabla1[[#This Row],[FECHA ENTRADA]]</f>
        <v>45872</v>
      </c>
      <c r="K3411" s="22">
        <v>45902</v>
      </c>
      <c r="L3411" s="42">
        <f>_xlfn.DAYS(Tabla1[[#This Row],[FECHA FIN ]],Tabla1[[#This Row],[FECHA INICIO]])</f>
        <v>30</v>
      </c>
      <c r="M3411" s="12"/>
      <c r="N3411" s="28"/>
      <c r="O3411" s="28">
        <f>(Tabla1[[#This Row],[COSTO FIJO ]]/30)*Tabla1[[#This Row],[TOTAL DIAS PROYECTO]]+(Tabla1[[#This Row],[COSTO TEMPORAL]])</f>
        <v>0</v>
      </c>
      <c r="P3411" s="12"/>
      <c r="Q3411" s="12">
        <f>+(Tabla1[[#This Row],[COSTO COCHE]]/30)*Tabla1[[#This Row],[TOTAL DIAS PROYECTO]]</f>
        <v>0</v>
      </c>
      <c r="R3411" s="12">
        <f>+Tabla1[[#This Row],[COSTO TOTAL ALOJAMIENTO]]+Tabla1[[#This Row],[COSTO TOTAL COCHE]]</f>
        <v>0</v>
      </c>
      <c r="S3411" s="2"/>
      <c r="T3411" s="14" t="s">
        <v>44</v>
      </c>
      <c r="U3411" s="14">
        <v>45872</v>
      </c>
      <c r="V3411" s="43">
        <v>45902</v>
      </c>
      <c r="W3411" s="12"/>
      <c r="X3411" s="2"/>
      <c r="Y3411" s="11" t="s">
        <v>5055</v>
      </c>
      <c r="Z3411" s="2" t="s">
        <v>36</v>
      </c>
      <c r="AA3411" s="13" t="s">
        <v>10323</v>
      </c>
      <c r="AB3411" s="13" t="s">
        <v>10324</v>
      </c>
    </row>
    <row r="3412" spans="1:28" ht="15" customHeight="1">
      <c r="A3412" s="2" t="s">
        <v>9854</v>
      </c>
      <c r="B3412" s="2" t="s">
        <v>28</v>
      </c>
      <c r="C3412" s="97" t="s">
        <v>5056</v>
      </c>
      <c r="D3412" s="2" t="s">
        <v>30</v>
      </c>
      <c r="E3412" s="2" t="s">
        <v>31</v>
      </c>
      <c r="F3412" s="11" t="s">
        <v>3409</v>
      </c>
      <c r="G3412" s="21" t="s">
        <v>3410</v>
      </c>
      <c r="H3412" s="157" t="s">
        <v>5057</v>
      </c>
      <c r="I3412" s="158" t="s">
        <v>181</v>
      </c>
      <c r="J3412" s="22">
        <f>+Tabla1[[#This Row],[FECHA ENTRADA]]</f>
        <v>45879</v>
      </c>
      <c r="K3412" s="8">
        <v>45902</v>
      </c>
      <c r="L3412" s="23">
        <f>_xlfn.DAYS(Tabla1[[#This Row],[FECHA FIN ]],Tabla1[[#This Row],[FECHA INICIO]])</f>
        <v>23</v>
      </c>
      <c r="M3412" s="12">
        <v>270</v>
      </c>
      <c r="N3412" s="20"/>
      <c r="O3412" s="24">
        <f>(Tabla1[[#This Row],[COSTO FIJO ]]/30)*Tabla1[[#This Row],[TOTAL DIAS PROYECTO]]+(Tabla1[[#This Row],[COSTO TEMPORAL]])</f>
        <v>270</v>
      </c>
      <c r="P3412" s="12"/>
      <c r="Q3412" s="12">
        <f>+(Tabla1[[#This Row],[COSTO COCHE]]/30)*Tabla1[[#This Row],[TOTAL DIAS PROYECTO]]</f>
        <v>0</v>
      </c>
      <c r="R3412" s="12">
        <f>+Tabla1[[#This Row],[COSTO TOTAL ALOJAMIENTO]]+Tabla1[[#This Row],[COSTO TOTAL COCHE]]</f>
        <v>270</v>
      </c>
      <c r="S3412" s="2"/>
      <c r="T3412" s="14" t="s">
        <v>44</v>
      </c>
      <c r="U3412" s="14">
        <v>45879</v>
      </c>
      <c r="V3412" s="79">
        <v>45902</v>
      </c>
      <c r="W3412" s="12"/>
      <c r="X3412" s="2"/>
      <c r="Y3412" s="11"/>
      <c r="Z3412" s="2" t="s">
        <v>36</v>
      </c>
      <c r="AA3412" s="13" t="s">
        <v>10323</v>
      </c>
      <c r="AB3412" s="13" t="s">
        <v>10324</v>
      </c>
    </row>
    <row r="3413" spans="1:28" ht="15" customHeight="1">
      <c r="A3413" s="2" t="s">
        <v>9739</v>
      </c>
      <c r="B3413" s="2" t="s">
        <v>978</v>
      </c>
      <c r="C3413" s="97" t="s">
        <v>4507</v>
      </c>
      <c r="D3413" s="2" t="s">
        <v>30</v>
      </c>
      <c r="E3413" s="2" t="s">
        <v>31</v>
      </c>
      <c r="F3413" s="11" t="s">
        <v>4614</v>
      </c>
      <c r="G3413" s="21" t="s">
        <v>4615</v>
      </c>
      <c r="H3413" s="157" t="s">
        <v>5041</v>
      </c>
      <c r="I3413" s="158" t="s">
        <v>4902</v>
      </c>
      <c r="J3413" s="41">
        <f>+Tabla1[[#This Row],[FECHA ENTRADA]]</f>
        <v>45872</v>
      </c>
      <c r="K3413" s="22">
        <v>45902</v>
      </c>
      <c r="L3413" s="42">
        <f>_xlfn.DAYS(Tabla1[[#This Row],[FECHA FIN ]],Tabla1[[#This Row],[FECHA INICIO]])</f>
        <v>30</v>
      </c>
      <c r="M3413" s="12"/>
      <c r="N3413" s="28"/>
      <c r="O3413" s="28">
        <f>(Tabla1[[#This Row],[COSTO FIJO ]]/30)*Tabla1[[#This Row],[TOTAL DIAS PROYECTO]]+(Tabla1[[#This Row],[COSTO TEMPORAL]])</f>
        <v>0</v>
      </c>
      <c r="P3413" s="12"/>
      <c r="Q3413" s="12">
        <f>+(Tabla1[[#This Row],[COSTO COCHE]]/30)*Tabla1[[#This Row],[TOTAL DIAS PROYECTO]]</f>
        <v>0</v>
      </c>
      <c r="R3413" s="12">
        <f>+Tabla1[[#This Row],[COSTO TOTAL ALOJAMIENTO]]+Tabla1[[#This Row],[COSTO TOTAL COCHE]]</f>
        <v>0</v>
      </c>
      <c r="S3413" s="2"/>
      <c r="T3413" s="14" t="s">
        <v>44</v>
      </c>
      <c r="U3413" s="14">
        <v>45872</v>
      </c>
      <c r="V3413" s="43">
        <v>45902</v>
      </c>
      <c r="W3413" s="12"/>
      <c r="X3413" s="2"/>
      <c r="Y3413" s="11" t="s">
        <v>5055</v>
      </c>
      <c r="Z3413" s="2" t="s">
        <v>36</v>
      </c>
      <c r="AA3413" s="13" t="s">
        <v>10323</v>
      </c>
      <c r="AB3413" s="13" t="s">
        <v>10324</v>
      </c>
    </row>
    <row r="3414" spans="1:28" ht="15" customHeight="1">
      <c r="A3414" s="2" t="s">
        <v>9855</v>
      </c>
      <c r="B3414" s="2" t="s">
        <v>978</v>
      </c>
      <c r="C3414" s="97" t="s">
        <v>5058</v>
      </c>
      <c r="D3414" s="2" t="s">
        <v>30</v>
      </c>
      <c r="E3414" s="2" t="s">
        <v>3335</v>
      </c>
      <c r="F3414" s="11" t="s">
        <v>4845</v>
      </c>
      <c r="G3414" s="49" t="s">
        <v>4846</v>
      </c>
      <c r="H3414" s="157" t="s">
        <v>5059</v>
      </c>
      <c r="I3414" s="158" t="s">
        <v>4714</v>
      </c>
      <c r="J3414" s="22">
        <f>+Tabla1[[#This Row],[FECHA ENTRADA]]</f>
        <v>45886</v>
      </c>
      <c r="K3414" s="22">
        <v>45902</v>
      </c>
      <c r="L3414" s="23">
        <f>_xlfn.DAYS(Tabla1[[#This Row],[FECHA FIN ]],Tabla1[[#This Row],[FECHA INICIO]])</f>
        <v>16</v>
      </c>
      <c r="M3414" s="12"/>
      <c r="N3414" s="20"/>
      <c r="O3414" s="24">
        <f>(Tabla1[[#This Row],[COSTO FIJO ]]/30)*Tabla1[[#This Row],[TOTAL DIAS PROYECTO]]+(Tabla1[[#This Row],[COSTO TEMPORAL]])</f>
        <v>0</v>
      </c>
      <c r="P3414" s="12"/>
      <c r="Q3414" s="12">
        <f>+(Tabla1[[#This Row],[COSTO COCHE]]/30)*Tabla1[[#This Row],[TOTAL DIAS PROYECTO]]</f>
        <v>0</v>
      </c>
      <c r="R3414" s="12">
        <f>+Tabla1[[#This Row],[COSTO TOTAL ALOJAMIENTO]]+Tabla1[[#This Row],[COSTO TOTAL COCHE]]</f>
        <v>0</v>
      </c>
      <c r="S3414" s="2"/>
      <c r="T3414" s="14" t="s">
        <v>44</v>
      </c>
      <c r="U3414" s="14">
        <v>45886</v>
      </c>
      <c r="V3414" s="79">
        <v>45902</v>
      </c>
      <c r="W3414" s="12"/>
      <c r="X3414" s="2"/>
      <c r="Y3414" s="262" t="s">
        <v>5060</v>
      </c>
      <c r="Z3414" s="2" t="s">
        <v>36</v>
      </c>
      <c r="AA3414" s="13" t="e">
        <v>#N/A</v>
      </c>
      <c r="AB3414" s="13" t="e">
        <v>#N/A</v>
      </c>
    </row>
    <row r="3415" spans="1:28" ht="15" customHeight="1">
      <c r="A3415" s="2" t="s">
        <v>9118</v>
      </c>
      <c r="B3415" s="2" t="s">
        <v>978</v>
      </c>
      <c r="C3415" s="97" t="s">
        <v>2074</v>
      </c>
      <c r="D3415" s="2" t="s">
        <v>30</v>
      </c>
      <c r="E3415" s="2" t="s">
        <v>3335</v>
      </c>
      <c r="F3415" s="11" t="s">
        <v>4845</v>
      </c>
      <c r="G3415" s="49" t="s">
        <v>4846</v>
      </c>
      <c r="H3415" s="157" t="s">
        <v>5061</v>
      </c>
      <c r="I3415" s="12" t="s">
        <v>4714</v>
      </c>
      <c r="J3415" s="22">
        <f>+Tabla1[[#This Row],[FECHA ENTRADA]]</f>
        <v>45880</v>
      </c>
      <c r="K3415" s="22">
        <v>45902</v>
      </c>
      <c r="L3415" s="23">
        <f>_xlfn.DAYS(Tabla1[[#This Row],[FECHA FIN ]],Tabla1[[#This Row],[FECHA INICIO]])</f>
        <v>22</v>
      </c>
      <c r="M3415" s="12"/>
      <c r="N3415" s="24"/>
      <c r="O3415" s="24">
        <f>(Tabla1[[#This Row],[COSTO FIJO ]]/30)*Tabla1[[#This Row],[TOTAL DIAS PROYECTO]]+(Tabla1[[#This Row],[COSTO TEMPORAL]])</f>
        <v>0</v>
      </c>
      <c r="P3415" s="12"/>
      <c r="Q3415" s="12">
        <f>+(Tabla1[[#This Row],[COSTO COCHE]]/30)*Tabla1[[#This Row],[TOTAL DIAS PROYECTO]]</f>
        <v>0</v>
      </c>
      <c r="R3415" s="12">
        <f>+Tabla1[[#This Row],[COSTO TOTAL ALOJAMIENTO]]+Tabla1[[#This Row],[COSTO TOTAL COCHE]]</f>
        <v>0</v>
      </c>
      <c r="S3415" s="2"/>
      <c r="T3415" s="14" t="s">
        <v>44</v>
      </c>
      <c r="U3415" s="14">
        <v>45880</v>
      </c>
      <c r="V3415" s="79">
        <v>45902</v>
      </c>
      <c r="W3415" s="12"/>
      <c r="X3415" s="2"/>
      <c r="Y3415" s="262" t="s">
        <v>5060</v>
      </c>
      <c r="Z3415" s="2" t="s">
        <v>36</v>
      </c>
      <c r="AA3415" s="13" t="e">
        <v>#N/A</v>
      </c>
      <c r="AB3415" s="13" t="e">
        <v>#N/A</v>
      </c>
    </row>
    <row r="3416" spans="1:28" ht="15" customHeight="1">
      <c r="A3416" s="2" t="s">
        <v>9766</v>
      </c>
      <c r="B3416" s="2" t="s">
        <v>978</v>
      </c>
      <c r="C3416" s="97" t="s">
        <v>4652</v>
      </c>
      <c r="D3416" s="2" t="s">
        <v>30</v>
      </c>
      <c r="E3416" s="2" t="s">
        <v>3335</v>
      </c>
      <c r="F3416" s="11" t="s">
        <v>4845</v>
      </c>
      <c r="G3416" s="49" t="s">
        <v>4846</v>
      </c>
      <c r="H3416" s="157" t="s">
        <v>5061</v>
      </c>
      <c r="I3416" s="158" t="s">
        <v>4714</v>
      </c>
      <c r="J3416" s="22">
        <f>+Tabla1[[#This Row],[FECHA ENTRADA]]</f>
        <v>45880</v>
      </c>
      <c r="K3416" s="41">
        <v>45902</v>
      </c>
      <c r="L3416" s="23">
        <f>_xlfn.DAYS(Tabla1[[#This Row],[FECHA FIN ]],Tabla1[[#This Row],[FECHA INICIO]])</f>
        <v>22</v>
      </c>
      <c r="M3416" s="12"/>
      <c r="N3416" s="24"/>
      <c r="O3416" s="24">
        <f>(Tabla1[[#This Row],[COSTO FIJO ]]/30)*Tabla1[[#This Row],[TOTAL DIAS PROYECTO]]+(Tabla1[[#This Row],[COSTO TEMPORAL]])</f>
        <v>0</v>
      </c>
      <c r="P3416" s="12"/>
      <c r="Q3416" s="12">
        <f>+(Tabla1[[#This Row],[COSTO COCHE]]/30)*Tabla1[[#This Row],[TOTAL DIAS PROYECTO]]</f>
        <v>0</v>
      </c>
      <c r="R3416" s="12">
        <f>+Tabla1[[#This Row],[COSTO TOTAL ALOJAMIENTO]]+Tabla1[[#This Row],[COSTO TOTAL COCHE]]</f>
        <v>0</v>
      </c>
      <c r="S3416" s="2"/>
      <c r="T3416" s="14" t="s">
        <v>44</v>
      </c>
      <c r="U3416" s="14">
        <v>45880</v>
      </c>
      <c r="V3416" s="79">
        <v>45902</v>
      </c>
      <c r="W3416" s="12"/>
      <c r="X3416" s="2"/>
      <c r="Y3416" s="262" t="s">
        <v>5060</v>
      </c>
      <c r="Z3416" s="2" t="s">
        <v>36</v>
      </c>
      <c r="AA3416" s="13" t="e">
        <v>#N/A</v>
      </c>
      <c r="AB3416" s="13" t="e">
        <v>#N/A</v>
      </c>
    </row>
    <row r="3417" spans="1:28" ht="15" customHeight="1">
      <c r="A3417" s="2" t="s">
        <v>9856</v>
      </c>
      <c r="B3417" s="2" t="s">
        <v>978</v>
      </c>
      <c r="C3417" s="97" t="s">
        <v>5062</v>
      </c>
      <c r="D3417" s="2" t="s">
        <v>30</v>
      </c>
      <c r="E3417" s="2" t="s">
        <v>3335</v>
      </c>
      <c r="F3417" s="11" t="s">
        <v>4845</v>
      </c>
      <c r="G3417" s="49" t="s">
        <v>4846</v>
      </c>
      <c r="H3417" s="157" t="s">
        <v>5061</v>
      </c>
      <c r="I3417" s="158" t="s">
        <v>4714</v>
      </c>
      <c r="J3417" s="22">
        <f>+Tabla1[[#This Row],[FECHA ENTRADA]]</f>
        <v>45880</v>
      </c>
      <c r="K3417" s="41">
        <v>45902</v>
      </c>
      <c r="L3417" s="23">
        <f>_xlfn.DAYS(Tabla1[[#This Row],[FECHA FIN ]],Tabla1[[#This Row],[FECHA INICIO]])</f>
        <v>22</v>
      </c>
      <c r="M3417" s="12"/>
      <c r="N3417" s="24"/>
      <c r="O3417" s="24">
        <f>(Tabla1[[#This Row],[COSTO FIJO ]]/30)*Tabla1[[#This Row],[TOTAL DIAS PROYECTO]]+(Tabla1[[#This Row],[COSTO TEMPORAL]])</f>
        <v>0</v>
      </c>
      <c r="P3417" s="12"/>
      <c r="Q3417" s="12">
        <f>+(Tabla1[[#This Row],[COSTO COCHE]]/30)*Tabla1[[#This Row],[TOTAL DIAS PROYECTO]]</f>
        <v>0</v>
      </c>
      <c r="R3417" s="12">
        <f>+Tabla1[[#This Row],[COSTO TOTAL ALOJAMIENTO]]+Tabla1[[#This Row],[COSTO TOTAL COCHE]]</f>
        <v>0</v>
      </c>
      <c r="S3417" s="2"/>
      <c r="T3417" s="14" t="s">
        <v>44</v>
      </c>
      <c r="U3417" s="14">
        <v>45880</v>
      </c>
      <c r="V3417" s="79">
        <v>45902</v>
      </c>
      <c r="W3417" s="12"/>
      <c r="X3417" s="2"/>
      <c r="Y3417" s="262" t="s">
        <v>5060</v>
      </c>
      <c r="Z3417" s="2" t="s">
        <v>36</v>
      </c>
      <c r="AA3417" s="13" t="e">
        <v>#N/A</v>
      </c>
      <c r="AB3417" s="13" t="e">
        <v>#N/A</v>
      </c>
    </row>
    <row r="3418" spans="1:28" s="263" customFormat="1" ht="15" customHeight="1">
      <c r="A3418" s="2" t="s">
        <v>9779</v>
      </c>
      <c r="B3418" s="2" t="s">
        <v>978</v>
      </c>
      <c r="C3418" s="97" t="s">
        <v>4698</v>
      </c>
      <c r="D3418" s="2" t="s">
        <v>30</v>
      </c>
      <c r="E3418" s="2" t="s">
        <v>3335</v>
      </c>
      <c r="F3418" s="11" t="s">
        <v>4845</v>
      </c>
      <c r="G3418" s="49" t="s">
        <v>4846</v>
      </c>
      <c r="H3418" s="157" t="s">
        <v>5061</v>
      </c>
      <c r="I3418" s="158" t="s">
        <v>4714</v>
      </c>
      <c r="J3418" s="22">
        <f>+Tabla1[[#This Row],[FECHA ENTRADA]]</f>
        <v>45880</v>
      </c>
      <c r="K3418" s="22">
        <v>45902</v>
      </c>
      <c r="L3418" s="23">
        <f>_xlfn.DAYS(Tabla1[[#This Row],[FECHA FIN ]],Tabla1[[#This Row],[FECHA INICIO]])</f>
        <v>22</v>
      </c>
      <c r="M3418" s="12"/>
      <c r="N3418" s="24"/>
      <c r="O3418" s="24">
        <f>(Tabla1[[#This Row],[COSTO FIJO ]]/30)*Tabla1[[#This Row],[TOTAL DIAS PROYECTO]]+(Tabla1[[#This Row],[COSTO TEMPORAL]])</f>
        <v>0</v>
      </c>
      <c r="P3418" s="12"/>
      <c r="Q3418" s="12">
        <f>+(Tabla1[[#This Row],[COSTO COCHE]]/30)*Tabla1[[#This Row],[TOTAL DIAS PROYECTO]]</f>
        <v>0</v>
      </c>
      <c r="R3418" s="12">
        <f>+Tabla1[[#This Row],[COSTO TOTAL ALOJAMIENTO]]+Tabla1[[#This Row],[COSTO TOTAL COCHE]]</f>
        <v>0</v>
      </c>
      <c r="S3418" s="2"/>
      <c r="T3418" s="14" t="s">
        <v>44</v>
      </c>
      <c r="U3418" s="14">
        <v>45880</v>
      </c>
      <c r="V3418" s="79">
        <v>45902</v>
      </c>
      <c r="W3418" s="12"/>
      <c r="X3418" s="2"/>
      <c r="Y3418" s="262" t="s">
        <v>5060</v>
      </c>
      <c r="Z3418" s="2" t="s">
        <v>36</v>
      </c>
      <c r="AA3418" s="13" t="e">
        <v>#N/A</v>
      </c>
      <c r="AB3418" s="13" t="e">
        <v>#N/A</v>
      </c>
    </row>
    <row r="3419" spans="1:28" ht="15" customHeight="1">
      <c r="A3419" s="2" t="s">
        <v>9857</v>
      </c>
      <c r="B3419" s="2" t="s">
        <v>978</v>
      </c>
      <c r="C3419" s="97" t="s">
        <v>5063</v>
      </c>
      <c r="D3419" s="2" t="s">
        <v>30</v>
      </c>
      <c r="E3419" s="2" t="s">
        <v>3335</v>
      </c>
      <c r="F3419" s="11" t="s">
        <v>4845</v>
      </c>
      <c r="G3419" s="49" t="s">
        <v>4846</v>
      </c>
      <c r="H3419" s="157" t="s">
        <v>5059</v>
      </c>
      <c r="I3419" s="158" t="s">
        <v>4714</v>
      </c>
      <c r="J3419" s="22">
        <f>+Tabla1[[#This Row],[FECHA ENTRADA]]</f>
        <v>45886</v>
      </c>
      <c r="K3419" s="22">
        <v>45902</v>
      </c>
      <c r="L3419" s="23">
        <f>_xlfn.DAYS(Tabla1[[#This Row],[FECHA FIN ]],Tabla1[[#This Row],[FECHA INICIO]])</f>
        <v>16</v>
      </c>
      <c r="M3419" s="12"/>
      <c r="N3419" s="20"/>
      <c r="O3419" s="24">
        <f>(Tabla1[[#This Row],[COSTO FIJO ]]/30)*Tabla1[[#This Row],[TOTAL DIAS PROYECTO]]+(Tabla1[[#This Row],[COSTO TEMPORAL]])</f>
        <v>0</v>
      </c>
      <c r="P3419" s="12"/>
      <c r="Q3419" s="12">
        <f>+(Tabla1[[#This Row],[COSTO COCHE]]/30)*Tabla1[[#This Row],[TOTAL DIAS PROYECTO]]</f>
        <v>0</v>
      </c>
      <c r="R3419" s="12">
        <f>+Tabla1[[#This Row],[COSTO TOTAL ALOJAMIENTO]]+Tabla1[[#This Row],[COSTO TOTAL COCHE]]</f>
        <v>0</v>
      </c>
      <c r="S3419" s="2"/>
      <c r="T3419" s="14" t="s">
        <v>44</v>
      </c>
      <c r="U3419" s="14">
        <v>45886</v>
      </c>
      <c r="V3419" s="79">
        <v>45902</v>
      </c>
      <c r="W3419" s="12"/>
      <c r="X3419" s="2"/>
      <c r="Y3419" s="262" t="s">
        <v>5060</v>
      </c>
      <c r="Z3419" s="2" t="s">
        <v>36</v>
      </c>
      <c r="AA3419" s="13" t="e">
        <v>#N/A</v>
      </c>
      <c r="AB3419" s="13" t="e">
        <v>#N/A</v>
      </c>
    </row>
    <row r="3420" spans="1:28" ht="15" customHeight="1">
      <c r="A3420" s="2" t="s">
        <v>9550</v>
      </c>
      <c r="B3420" s="2" t="s">
        <v>978</v>
      </c>
      <c r="C3420" s="104" t="s">
        <v>3596</v>
      </c>
      <c r="D3420" s="2" t="s">
        <v>99</v>
      </c>
      <c r="E3420" s="2" t="s">
        <v>31</v>
      </c>
      <c r="F3420" s="11" t="s">
        <v>4938</v>
      </c>
      <c r="G3420" s="11" t="s">
        <v>4939</v>
      </c>
      <c r="H3420" s="157" t="s">
        <v>4410</v>
      </c>
      <c r="I3420" s="158" t="s">
        <v>1540</v>
      </c>
      <c r="J3420" s="41">
        <f>+Tabla1[[#This Row],[FECHA ENTRADA]]</f>
        <v>45889</v>
      </c>
      <c r="K3420" s="41">
        <v>45902</v>
      </c>
      <c r="L3420" s="42">
        <f>_xlfn.DAYS(Tabla1[[#This Row],[FECHA FIN ]],Tabla1[[#This Row],[FECHA INICIO]])</f>
        <v>13</v>
      </c>
      <c r="M3420" s="12"/>
      <c r="N3420" s="28">
        <f>1168.57/5</f>
        <v>233.714</v>
      </c>
      <c r="O3420" s="28">
        <f>(Tabla1[[#This Row],[COSTO FIJO ]]/30)*Tabla1[[#This Row],[TOTAL DIAS PROYECTO]]+(Tabla1[[#This Row],[COSTO TEMPORAL]])</f>
        <v>101.27606666666667</v>
      </c>
      <c r="P3420" s="12"/>
      <c r="Q3420" s="12">
        <f>+(Tabla1[[#This Row],[COSTO COCHE]]/30)*Tabla1[[#This Row],[TOTAL DIAS PROYECTO]]</f>
        <v>0</v>
      </c>
      <c r="R3420" s="12">
        <f>+Tabla1[[#This Row],[COSTO TOTAL ALOJAMIENTO]]+Tabla1[[#This Row],[COSTO TOTAL COCHE]]</f>
        <v>101.27606666666667</v>
      </c>
      <c r="S3420" s="2" t="s">
        <v>84</v>
      </c>
      <c r="T3420" s="14" t="s">
        <v>44</v>
      </c>
      <c r="U3420" s="14">
        <v>45889</v>
      </c>
      <c r="V3420" s="43">
        <v>45902</v>
      </c>
      <c r="W3420" s="12"/>
      <c r="X3420" s="2"/>
      <c r="Y3420" s="11"/>
      <c r="Z3420" s="2" t="s">
        <v>36</v>
      </c>
      <c r="AA3420" s="13" t="s">
        <v>10323</v>
      </c>
      <c r="AB3420" s="13" t="s">
        <v>10324</v>
      </c>
    </row>
    <row r="3421" spans="1:28" ht="15" customHeight="1">
      <c r="A3421" s="2" t="s">
        <v>9858</v>
      </c>
      <c r="B3421" s="2" t="s">
        <v>28</v>
      </c>
      <c r="C3421" s="104" t="s">
        <v>5064</v>
      </c>
      <c r="D3421" s="2" t="s">
        <v>30</v>
      </c>
      <c r="E3421" s="2" t="s">
        <v>253</v>
      </c>
      <c r="F3421" s="11" t="s">
        <v>5065</v>
      </c>
      <c r="G3421" s="49" t="s">
        <v>1985</v>
      </c>
      <c r="H3421" s="157" t="s">
        <v>5066</v>
      </c>
      <c r="I3421" s="157" t="s">
        <v>582</v>
      </c>
      <c r="J3421" s="22">
        <f>+Tabla1[[#This Row],[FECHA ENTRADA]]</f>
        <v>45880</v>
      </c>
      <c r="K3421" s="22">
        <v>45902</v>
      </c>
      <c r="L3421" s="23">
        <f>_xlfn.DAYS(Tabla1[[#This Row],[FECHA FIN ]],Tabla1[[#This Row],[FECHA INICIO]])</f>
        <v>22</v>
      </c>
      <c r="M3421" s="12"/>
      <c r="N3421" s="24"/>
      <c r="O3421" s="24">
        <f>(Tabla1[[#This Row],[COSTO FIJO ]]/30)*Tabla1[[#This Row],[TOTAL DIAS PROYECTO]]+(Tabla1[[#This Row],[COSTO TEMPORAL]])</f>
        <v>0</v>
      </c>
      <c r="P3421" s="12"/>
      <c r="Q3421" s="12">
        <f>+(Tabla1[[#This Row],[COSTO COCHE]]/30)*Tabla1[[#This Row],[TOTAL DIAS PROYECTO]]</f>
        <v>0</v>
      </c>
      <c r="R3421" s="12">
        <f>+Tabla1[[#This Row],[COSTO TOTAL ALOJAMIENTO]]+Tabla1[[#This Row],[COSTO TOTAL COCHE]]</f>
        <v>0</v>
      </c>
      <c r="S3421" s="2"/>
      <c r="T3421" s="14" t="s">
        <v>44</v>
      </c>
      <c r="U3421" s="14">
        <v>45880</v>
      </c>
      <c r="V3421" s="25">
        <v>45902</v>
      </c>
      <c r="W3421" s="12"/>
      <c r="X3421" s="2"/>
      <c r="Y3421" s="11"/>
      <c r="Z3421" s="2" t="s">
        <v>36</v>
      </c>
      <c r="AA3421" s="13" t="s">
        <v>10357</v>
      </c>
      <c r="AB3421" s="13" t="s">
        <v>10358</v>
      </c>
    </row>
    <row r="3422" spans="1:28" ht="15" customHeight="1">
      <c r="A3422" s="2" t="s">
        <v>9833</v>
      </c>
      <c r="B3422" s="2" t="s">
        <v>978</v>
      </c>
      <c r="C3422" s="104" t="s">
        <v>4948</v>
      </c>
      <c r="D3422" s="2" t="s">
        <v>99</v>
      </c>
      <c r="E3422" s="2" t="s">
        <v>31</v>
      </c>
      <c r="F3422" s="11" t="s">
        <v>4938</v>
      </c>
      <c r="G3422" s="11" t="s">
        <v>4939</v>
      </c>
      <c r="H3422" s="157" t="s">
        <v>4949</v>
      </c>
      <c r="I3422" s="158" t="s">
        <v>1540</v>
      </c>
      <c r="J3422" s="22">
        <f>+Tabla1[[#This Row],[FECHA ENTRADA]]</f>
        <v>45894</v>
      </c>
      <c r="K3422" s="22">
        <v>45902</v>
      </c>
      <c r="L3422" s="23">
        <f>_xlfn.DAYS(Tabla1[[#This Row],[FECHA FIN ]],Tabla1[[#This Row],[FECHA INICIO]])</f>
        <v>8</v>
      </c>
      <c r="M3422" s="12"/>
      <c r="N3422" s="12"/>
      <c r="O3422" s="24">
        <f>(Tabla1[[#This Row],[COSTO FIJO ]]/30)*Tabla1[[#This Row],[TOTAL DIAS PROYECTO]]+(Tabla1[[#This Row],[COSTO TEMPORAL]])</f>
        <v>0</v>
      </c>
      <c r="P3422" s="12"/>
      <c r="Q3422" s="12">
        <f>+(Tabla1[[#This Row],[COSTO COCHE]]/30)*Tabla1[[#This Row],[TOTAL DIAS PROYECTO]]</f>
        <v>0</v>
      </c>
      <c r="R3422" s="12">
        <f>+Tabla1[[#This Row],[COSTO TOTAL ALOJAMIENTO]]+Tabla1[[#This Row],[COSTO TOTAL COCHE]]</f>
        <v>0</v>
      </c>
      <c r="S3422" s="2" t="s">
        <v>84</v>
      </c>
      <c r="T3422" s="14" t="s">
        <v>44</v>
      </c>
      <c r="U3422" s="14">
        <v>45894</v>
      </c>
      <c r="V3422" s="79">
        <v>45902</v>
      </c>
      <c r="W3422" s="12"/>
      <c r="X3422" s="2"/>
      <c r="Y3422" s="11"/>
      <c r="Z3422" s="2" t="s">
        <v>36</v>
      </c>
      <c r="AA3422" s="13" t="s">
        <v>10323</v>
      </c>
      <c r="AB3422" s="13" t="s">
        <v>10324</v>
      </c>
    </row>
    <row r="3423" spans="1:28" ht="15" customHeight="1">
      <c r="A3423" s="2" t="s">
        <v>9723</v>
      </c>
      <c r="B3423" s="2" t="s">
        <v>978</v>
      </c>
      <c r="C3423" s="104" t="s">
        <v>4409</v>
      </c>
      <c r="D3423" s="2" t="s">
        <v>99</v>
      </c>
      <c r="E3423" s="2" t="s">
        <v>31</v>
      </c>
      <c r="F3423" s="11" t="s">
        <v>4938</v>
      </c>
      <c r="G3423" s="11" t="s">
        <v>4939</v>
      </c>
      <c r="H3423" s="157" t="s">
        <v>4410</v>
      </c>
      <c r="I3423" s="158" t="s">
        <v>1540</v>
      </c>
      <c r="J3423" s="41">
        <f>+Tabla1[[#This Row],[FECHA ENTRADA]]</f>
        <v>45889</v>
      </c>
      <c r="K3423" s="41">
        <v>45902</v>
      </c>
      <c r="L3423" s="42">
        <f>_xlfn.DAYS(Tabla1[[#This Row],[FECHA FIN ]],Tabla1[[#This Row],[FECHA INICIO]])</f>
        <v>13</v>
      </c>
      <c r="M3423" s="12"/>
      <c r="N3423" s="12"/>
      <c r="O3423" s="28">
        <f>(Tabla1[[#This Row],[COSTO FIJO ]]/30)*Tabla1[[#This Row],[TOTAL DIAS PROYECTO]]+(Tabla1[[#This Row],[COSTO TEMPORAL]])</f>
        <v>0</v>
      </c>
      <c r="P3423" s="12"/>
      <c r="Q3423" s="12">
        <f>+(Tabla1[[#This Row],[COSTO COCHE]]/30)*Tabla1[[#This Row],[TOTAL DIAS PROYECTO]]</f>
        <v>0</v>
      </c>
      <c r="R3423" s="12">
        <f>+Tabla1[[#This Row],[COSTO TOTAL ALOJAMIENTO]]+Tabla1[[#This Row],[COSTO TOTAL COCHE]]</f>
        <v>0</v>
      </c>
      <c r="S3423" s="2" t="s">
        <v>84</v>
      </c>
      <c r="T3423" s="14" t="s">
        <v>44</v>
      </c>
      <c r="U3423" s="14">
        <v>45889</v>
      </c>
      <c r="V3423" s="43">
        <v>45902</v>
      </c>
      <c r="W3423" s="12"/>
      <c r="X3423" s="2"/>
      <c r="Y3423" s="11"/>
      <c r="Z3423" s="2" t="s">
        <v>36</v>
      </c>
      <c r="AA3423" s="13" t="s">
        <v>10323</v>
      </c>
      <c r="AB3423" s="13" t="s">
        <v>10324</v>
      </c>
    </row>
    <row r="3424" spans="1:28" ht="15" customHeight="1">
      <c r="A3424" s="2" t="s">
        <v>9664</v>
      </c>
      <c r="B3424" s="2" t="s">
        <v>28</v>
      </c>
      <c r="C3424" s="104" t="s">
        <v>4117</v>
      </c>
      <c r="D3424" s="2" t="s">
        <v>30</v>
      </c>
      <c r="E3424" s="2" t="s">
        <v>31</v>
      </c>
      <c r="F3424" s="11" t="s">
        <v>3409</v>
      </c>
      <c r="G3424" s="21" t="s">
        <v>3410</v>
      </c>
      <c r="H3424" s="157" t="s">
        <v>5057</v>
      </c>
      <c r="I3424" s="158" t="s">
        <v>181</v>
      </c>
      <c r="J3424" s="22">
        <f>+Tabla1[[#This Row],[FECHA ENTRADA]]</f>
        <v>45879</v>
      </c>
      <c r="K3424" s="8">
        <v>45902</v>
      </c>
      <c r="L3424" s="23">
        <f>_xlfn.DAYS(Tabla1[[#This Row],[FECHA FIN ]],Tabla1[[#This Row],[FECHA INICIO]])</f>
        <v>23</v>
      </c>
      <c r="M3424" s="12"/>
      <c r="N3424" s="12">
        <v>270</v>
      </c>
      <c r="O3424" s="24">
        <f>(Tabla1[[#This Row],[COSTO FIJO ]]/30)*Tabla1[[#This Row],[TOTAL DIAS PROYECTO]]+(Tabla1[[#This Row],[COSTO TEMPORAL]])</f>
        <v>207</v>
      </c>
      <c r="P3424" s="12"/>
      <c r="Q3424" s="12">
        <f>+(Tabla1[[#This Row],[COSTO COCHE]]/30)*Tabla1[[#This Row],[TOTAL DIAS PROYECTO]]</f>
        <v>0</v>
      </c>
      <c r="R3424" s="12">
        <f>+Tabla1[[#This Row],[COSTO TOTAL ALOJAMIENTO]]+Tabla1[[#This Row],[COSTO TOTAL COCHE]]</f>
        <v>207</v>
      </c>
      <c r="S3424" s="2"/>
      <c r="T3424" s="14" t="s">
        <v>44</v>
      </c>
      <c r="U3424" s="14">
        <v>45879</v>
      </c>
      <c r="V3424" s="79">
        <v>45902</v>
      </c>
      <c r="W3424" s="12"/>
      <c r="X3424" s="2"/>
      <c r="Y3424" s="11" t="s">
        <v>5067</v>
      </c>
      <c r="Z3424" s="2" t="s">
        <v>36</v>
      </c>
      <c r="AA3424" s="13" t="s">
        <v>10323</v>
      </c>
      <c r="AB3424" s="13" t="s">
        <v>10324</v>
      </c>
    </row>
    <row r="3425" spans="1:28" ht="15" customHeight="1">
      <c r="A3425" s="2" t="s">
        <v>9019</v>
      </c>
      <c r="B3425" s="2" t="s">
        <v>606</v>
      </c>
      <c r="C3425" s="104" t="s">
        <v>1710</v>
      </c>
      <c r="D3425" s="2" t="s">
        <v>99</v>
      </c>
      <c r="E3425" s="2" t="s">
        <v>422</v>
      </c>
      <c r="F3425" s="11" t="s">
        <v>4842</v>
      </c>
      <c r="G3425" s="30" t="s">
        <v>4843</v>
      </c>
      <c r="H3425" s="157" t="s">
        <v>4686</v>
      </c>
      <c r="I3425" s="264" t="s">
        <v>2638</v>
      </c>
      <c r="J3425" s="41">
        <f>+Tabla1[[#This Row],[FECHA ENTRADA]]</f>
        <v>45820</v>
      </c>
      <c r="K3425" s="22">
        <v>46089</v>
      </c>
      <c r="L3425" s="42">
        <f>_xlfn.DAYS(Tabla1[[#This Row],[FECHA FIN ]],Tabla1[[#This Row],[FECHA INICIO]])</f>
        <v>269</v>
      </c>
      <c r="M3425" s="12"/>
      <c r="N3425" s="12">
        <v>350</v>
      </c>
      <c r="O3425" s="28">
        <f>(Tabla1[[#This Row],[COSTO FIJO ]]/30)*Tabla1[[#This Row],[TOTAL DIAS PROYECTO]]+(Tabla1[[#This Row],[COSTO TEMPORAL]])</f>
        <v>3138.333333333333</v>
      </c>
      <c r="P3425" s="12"/>
      <c r="Q3425" s="12">
        <f>+(Tabla1[[#This Row],[COSTO COCHE]]/30)*Tabla1[[#This Row],[TOTAL DIAS PROYECTO]]</f>
        <v>0</v>
      </c>
      <c r="R3425" s="12">
        <f>+Tabla1[[#This Row],[COSTO TOTAL ALOJAMIENTO]]+Tabla1[[#This Row],[COSTO TOTAL COCHE]]</f>
        <v>3138.333333333333</v>
      </c>
      <c r="S3425" s="2"/>
      <c r="T3425" s="14" t="s">
        <v>35</v>
      </c>
      <c r="U3425" s="14">
        <v>45820</v>
      </c>
      <c r="V3425" s="43"/>
      <c r="W3425" s="2"/>
      <c r="X3425" s="2">
        <v>10</v>
      </c>
      <c r="Y3425" s="11" t="s">
        <v>4988</v>
      </c>
      <c r="Z3425" s="2" t="s">
        <v>36</v>
      </c>
      <c r="AA3425" s="13">
        <v>-326.69799999999998</v>
      </c>
      <c r="AB3425" s="13" t="s">
        <v>10373</v>
      </c>
    </row>
    <row r="3426" spans="1:28" ht="15" customHeight="1">
      <c r="A3426" s="2" t="s">
        <v>9816</v>
      </c>
      <c r="B3426" s="2" t="s">
        <v>978</v>
      </c>
      <c r="C3426" s="11" t="s">
        <v>4882</v>
      </c>
      <c r="D3426" s="2" t="s">
        <v>30</v>
      </c>
      <c r="E3426" s="2" t="s">
        <v>31</v>
      </c>
      <c r="F3426" s="11" t="s">
        <v>4938</v>
      </c>
      <c r="G3426" s="11" t="s">
        <v>4939</v>
      </c>
      <c r="H3426" s="157" t="s">
        <v>4881</v>
      </c>
      <c r="I3426" s="158" t="s">
        <v>2391</v>
      </c>
      <c r="J3426" s="41">
        <f>+Tabla1[[#This Row],[FECHA ENTRADA]]</f>
        <v>45889</v>
      </c>
      <c r="K3426" s="41">
        <v>45902</v>
      </c>
      <c r="L3426" s="42">
        <f>_xlfn.DAYS(Tabla1[[#This Row],[FECHA FIN ]],Tabla1[[#This Row],[FECHA INICIO]])</f>
        <v>13</v>
      </c>
      <c r="M3426" s="12"/>
      <c r="N3426" s="12"/>
      <c r="O3426" s="28">
        <f>(Tabla1[[#This Row],[COSTO FIJO ]]/30)*Tabla1[[#This Row],[TOTAL DIAS PROYECTO]]+(Tabla1[[#This Row],[COSTO TEMPORAL]])</f>
        <v>0</v>
      </c>
      <c r="P3426" s="12"/>
      <c r="Q3426" s="12">
        <f>+(Tabla1[[#This Row],[COSTO COCHE]]/30)*Tabla1[[#This Row],[TOTAL DIAS PROYECTO]]</f>
        <v>0</v>
      </c>
      <c r="R3426" s="12">
        <f>+Tabla1[[#This Row],[COSTO TOTAL ALOJAMIENTO]]+Tabla1[[#This Row],[COSTO TOTAL COCHE]]</f>
        <v>0</v>
      </c>
      <c r="S3426" s="2" t="s">
        <v>84</v>
      </c>
      <c r="T3426" s="14" t="s">
        <v>44</v>
      </c>
      <c r="U3426" s="14">
        <v>45889</v>
      </c>
      <c r="V3426" s="43">
        <v>45902</v>
      </c>
      <c r="W3426" s="12"/>
      <c r="X3426" s="2"/>
      <c r="Y3426" s="11" t="s">
        <v>5068</v>
      </c>
      <c r="Z3426" s="2" t="s">
        <v>36</v>
      </c>
      <c r="AA3426" s="13" t="s">
        <v>10323</v>
      </c>
      <c r="AB3426" s="13" t="s">
        <v>10324</v>
      </c>
    </row>
    <row r="3427" spans="1:28" ht="15" customHeight="1">
      <c r="A3427" s="2" t="s">
        <v>9859</v>
      </c>
      <c r="B3427" s="2" t="s">
        <v>28</v>
      </c>
      <c r="C3427" s="104" t="s">
        <v>5069</v>
      </c>
      <c r="D3427" s="2" t="s">
        <v>30</v>
      </c>
      <c r="E3427" s="2" t="s">
        <v>253</v>
      </c>
      <c r="F3427" s="11" t="s">
        <v>5065</v>
      </c>
      <c r="G3427" s="49" t="s">
        <v>1985</v>
      </c>
      <c r="H3427" s="157" t="s">
        <v>5066</v>
      </c>
      <c r="I3427" s="157" t="s">
        <v>582</v>
      </c>
      <c r="J3427" s="22">
        <f>+Tabla1[[#This Row],[FECHA ENTRADA]]</f>
        <v>45880</v>
      </c>
      <c r="K3427" s="22">
        <v>45902</v>
      </c>
      <c r="L3427" s="23">
        <f>_xlfn.DAYS(Tabla1[[#This Row],[FECHA FIN ]],Tabla1[[#This Row],[FECHA INICIO]])</f>
        <v>22</v>
      </c>
      <c r="M3427" s="12"/>
      <c r="N3427" s="12"/>
      <c r="O3427" s="24">
        <f>(Tabla1[[#This Row],[COSTO FIJO ]]/30)*Tabla1[[#This Row],[TOTAL DIAS PROYECTO]]+(Tabla1[[#This Row],[COSTO TEMPORAL]])</f>
        <v>0</v>
      </c>
      <c r="P3427" s="12"/>
      <c r="Q3427" s="12">
        <f>+(Tabla1[[#This Row],[COSTO COCHE]]/30)*Tabla1[[#This Row],[TOTAL DIAS PROYECTO]]</f>
        <v>0</v>
      </c>
      <c r="R3427" s="12">
        <f>+Tabla1[[#This Row],[COSTO TOTAL ALOJAMIENTO]]+Tabla1[[#This Row],[COSTO TOTAL COCHE]]</f>
        <v>0</v>
      </c>
      <c r="S3427" s="2"/>
      <c r="T3427" s="14" t="s">
        <v>44</v>
      </c>
      <c r="U3427" s="14">
        <v>45880</v>
      </c>
      <c r="V3427" s="25">
        <v>45902</v>
      </c>
      <c r="W3427" s="12"/>
      <c r="X3427" s="2"/>
      <c r="Y3427" s="11"/>
      <c r="Z3427" s="2" t="s">
        <v>36</v>
      </c>
      <c r="AA3427" s="13" t="s">
        <v>10357</v>
      </c>
      <c r="AB3427" s="13" t="s">
        <v>10358</v>
      </c>
    </row>
    <row r="3428" spans="1:28" ht="15" customHeight="1">
      <c r="A3428" s="2" t="s">
        <v>8885</v>
      </c>
      <c r="B3428" s="2" t="s">
        <v>368</v>
      </c>
      <c r="C3428" s="104" t="s">
        <v>1167</v>
      </c>
      <c r="D3428" s="2" t="s">
        <v>30</v>
      </c>
      <c r="E3428" s="2" t="s">
        <v>87</v>
      </c>
      <c r="F3428" s="11" t="s">
        <v>1668</v>
      </c>
      <c r="G3428" s="21" t="s">
        <v>1669</v>
      </c>
      <c r="H3428" s="157" t="s">
        <v>5070</v>
      </c>
      <c r="I3428" s="158" t="s">
        <v>1392</v>
      </c>
      <c r="J3428" s="41">
        <f>+Tabla1[[#This Row],[FECHA ENTRADA]]</f>
        <v>45770</v>
      </c>
      <c r="K3428" s="22">
        <v>45821</v>
      </c>
      <c r="L3428" s="23">
        <f>_xlfn.DAYS(Tabla1[[#This Row],[FECHA FIN ]],Tabla1[[#This Row],[FECHA INICIO]])</f>
        <v>51</v>
      </c>
      <c r="M3428" s="12"/>
      <c r="N3428" s="12"/>
      <c r="O3428" s="24">
        <f>(Tabla1[[#This Row],[COSTO FIJO ]]/30)*Tabla1[[#This Row],[TOTAL DIAS PROYECTO]]+(Tabla1[[#This Row],[COSTO TEMPORAL]])</f>
        <v>0</v>
      </c>
      <c r="P3428" s="12">
        <f>613.83/5</f>
        <v>122.76600000000001</v>
      </c>
      <c r="Q3428" s="12">
        <f>+(Tabla1[[#This Row],[COSTO COCHE]]/30)*Tabla1[[#This Row],[TOTAL DIAS PROYECTO]]</f>
        <v>208.7022</v>
      </c>
      <c r="R3428" s="12">
        <f>+Tabla1[[#This Row],[COSTO TOTAL ALOJAMIENTO]]+Tabla1[[#This Row],[COSTO TOTAL COCHE]]</f>
        <v>208.7022</v>
      </c>
      <c r="S3428" s="2"/>
      <c r="T3428" s="2" t="s">
        <v>35</v>
      </c>
      <c r="U3428" s="14">
        <v>45770</v>
      </c>
      <c r="V3428" s="25"/>
      <c r="W3428" s="26"/>
      <c r="X3428" s="2">
        <v>5</v>
      </c>
      <c r="Y3428" s="11"/>
      <c r="Z3428" s="2" t="s">
        <v>36</v>
      </c>
      <c r="AA3428" s="13" t="s">
        <v>10335</v>
      </c>
      <c r="AB3428" s="13">
        <v>404.16500000000002</v>
      </c>
    </row>
    <row r="3429" spans="1:28" ht="15" customHeight="1">
      <c r="A3429" s="2" t="s">
        <v>9817</v>
      </c>
      <c r="B3429" s="2" t="s">
        <v>978</v>
      </c>
      <c r="C3429" s="104" t="s">
        <v>4883</v>
      </c>
      <c r="D3429" s="2" t="s">
        <v>30</v>
      </c>
      <c r="E3429" s="2" t="s">
        <v>31</v>
      </c>
      <c r="F3429" s="11" t="s">
        <v>4938</v>
      </c>
      <c r="G3429" s="11" t="s">
        <v>4939</v>
      </c>
      <c r="H3429" s="157" t="s">
        <v>4881</v>
      </c>
      <c r="I3429" s="158" t="s">
        <v>2391</v>
      </c>
      <c r="J3429" s="41">
        <f>+Tabla1[[#This Row],[FECHA ENTRADA]]</f>
        <v>45889</v>
      </c>
      <c r="K3429" s="41">
        <v>45902</v>
      </c>
      <c r="L3429" s="42">
        <f>_xlfn.DAYS(Tabla1[[#This Row],[FECHA FIN ]],Tabla1[[#This Row],[FECHA INICIO]])</f>
        <v>13</v>
      </c>
      <c r="M3429" s="12"/>
      <c r="N3429" s="12"/>
      <c r="O3429" s="28">
        <f>(Tabla1[[#This Row],[COSTO FIJO ]]/30)*Tabla1[[#This Row],[TOTAL DIAS PROYECTO]]+(Tabla1[[#This Row],[COSTO TEMPORAL]])</f>
        <v>0</v>
      </c>
      <c r="P3429" s="12"/>
      <c r="Q3429" s="12">
        <f>+(Tabla1[[#This Row],[COSTO COCHE]]/30)*Tabla1[[#This Row],[TOTAL DIAS PROYECTO]]</f>
        <v>0</v>
      </c>
      <c r="R3429" s="12">
        <f>+Tabla1[[#This Row],[COSTO TOTAL ALOJAMIENTO]]+Tabla1[[#This Row],[COSTO TOTAL COCHE]]</f>
        <v>0</v>
      </c>
      <c r="S3429" s="2" t="s">
        <v>84</v>
      </c>
      <c r="T3429" s="14" t="s">
        <v>44</v>
      </c>
      <c r="U3429" s="14">
        <v>45889</v>
      </c>
      <c r="V3429" s="43">
        <v>45902</v>
      </c>
      <c r="W3429" s="12"/>
      <c r="X3429" s="2"/>
      <c r="Y3429" s="11" t="s">
        <v>5068</v>
      </c>
      <c r="Z3429" s="2" t="s">
        <v>36</v>
      </c>
      <c r="AA3429" s="13" t="s">
        <v>10323</v>
      </c>
      <c r="AB3429" s="13" t="s">
        <v>10324</v>
      </c>
    </row>
    <row r="3430" spans="1:28" ht="15" customHeight="1">
      <c r="A3430" s="117" t="s">
        <v>9121</v>
      </c>
      <c r="B3430" s="117" t="s">
        <v>978</v>
      </c>
      <c r="C3430" s="224" t="s">
        <v>2088</v>
      </c>
      <c r="D3430" s="117" t="s">
        <v>99</v>
      </c>
      <c r="E3430" s="117" t="s">
        <v>259</v>
      </c>
      <c r="F3430" s="11" t="s">
        <v>516</v>
      </c>
      <c r="G3430" s="118" t="s">
        <v>517</v>
      </c>
      <c r="H3430" s="198" t="s">
        <v>1869</v>
      </c>
      <c r="I3430" s="199" t="s">
        <v>3356</v>
      </c>
      <c r="J3430" s="120">
        <f>+Tabla1[[#This Row],[FECHA ENTRADA]]</f>
        <v>45830</v>
      </c>
      <c r="K3430" s="120">
        <v>45970</v>
      </c>
      <c r="L3430" s="122">
        <f>_xlfn.DAYS(Tabla1[[#This Row],[FECHA FIN ]],Tabla1[[#This Row],[FECHA INICIO]])</f>
        <v>140</v>
      </c>
      <c r="M3430" s="119"/>
      <c r="N3430" s="119">
        <v>367.5</v>
      </c>
      <c r="O3430" s="123">
        <f>(Tabla1[[#This Row],[COSTO FIJO ]]/30)*Tabla1[[#This Row],[TOTAL DIAS PROYECTO]]+(Tabla1[[#This Row],[COSTO TEMPORAL]])</f>
        <v>1715</v>
      </c>
      <c r="P3430" s="119"/>
      <c r="Q3430" s="119">
        <f>+(Tabla1[[#This Row],[COSTO COCHE]]/30)*Tabla1[[#This Row],[TOTAL DIAS PROYECTO]]</f>
        <v>0</v>
      </c>
      <c r="R3430" s="119">
        <f>+Tabla1[[#This Row],[COSTO TOTAL ALOJAMIENTO]]+Tabla1[[#This Row],[COSTO TOTAL COCHE]]</f>
        <v>1715</v>
      </c>
      <c r="S3430" s="117"/>
      <c r="T3430" s="124" t="s">
        <v>35</v>
      </c>
      <c r="U3430" s="124">
        <v>45830</v>
      </c>
      <c r="V3430" s="159"/>
      <c r="W3430" s="119"/>
      <c r="X3430" s="117">
        <v>20</v>
      </c>
      <c r="Y3430" s="118" t="s">
        <v>5071</v>
      </c>
      <c r="Z3430" s="117" t="s">
        <v>36</v>
      </c>
      <c r="AA3430" s="127">
        <v>-0.87734000000000001</v>
      </c>
      <c r="AB3430" s="127" t="s">
        <v>10359</v>
      </c>
    </row>
    <row r="3431" spans="1:28" ht="15" customHeight="1">
      <c r="A3431" s="2" t="s">
        <v>8737</v>
      </c>
      <c r="B3431" s="2" t="s">
        <v>28</v>
      </c>
      <c r="C3431" s="104" t="s">
        <v>510</v>
      </c>
      <c r="D3431" s="2" t="s">
        <v>30</v>
      </c>
      <c r="E3431" s="2" t="s">
        <v>259</v>
      </c>
      <c r="F3431" s="11" t="s">
        <v>516</v>
      </c>
      <c r="G3431" s="46" t="s">
        <v>517</v>
      </c>
      <c r="H3431" s="157" t="s">
        <v>5072</v>
      </c>
      <c r="I3431" s="158" t="s">
        <v>292</v>
      </c>
      <c r="J3431" s="41">
        <f>+Tabla1[[#This Row],[FECHA ENTRADA]]</f>
        <v>45859</v>
      </c>
      <c r="K3431" s="41">
        <v>45902</v>
      </c>
      <c r="L3431" s="42">
        <f>_xlfn.DAYS(Tabla1[[#This Row],[FECHA FIN ]],Tabla1[[#This Row],[FECHA INICIO]])</f>
        <v>43</v>
      </c>
      <c r="M3431" s="12"/>
      <c r="N3431" s="12"/>
      <c r="O3431" s="28">
        <f>(Tabla1[[#This Row],[COSTO FIJO ]]/30)*Tabla1[[#This Row],[TOTAL DIAS PROYECTO]]+(Tabla1[[#This Row],[COSTO TEMPORAL]])</f>
        <v>0</v>
      </c>
      <c r="P3431" s="12"/>
      <c r="Q3431" s="12">
        <f>+(Tabla1[[#This Row],[COSTO COCHE]]/30)*Tabla1[[#This Row],[TOTAL DIAS PROYECTO]]</f>
        <v>0</v>
      </c>
      <c r="R3431" s="12">
        <f>+Tabla1[[#This Row],[COSTO TOTAL ALOJAMIENTO]]+Tabla1[[#This Row],[COSTO TOTAL COCHE]]</f>
        <v>0</v>
      </c>
      <c r="S3431" s="2"/>
      <c r="T3431" s="14" t="s">
        <v>35</v>
      </c>
      <c r="U3431" s="14">
        <v>45859</v>
      </c>
      <c r="V3431" s="43"/>
      <c r="W3431" s="12"/>
      <c r="X3431" s="2">
        <v>20</v>
      </c>
      <c r="Y3431" s="202" t="s">
        <v>5073</v>
      </c>
      <c r="Z3431" s="2" t="s">
        <v>36</v>
      </c>
      <c r="AA3431" s="13">
        <v>-0.87734000000000001</v>
      </c>
      <c r="AB3431" s="13" t="s">
        <v>10359</v>
      </c>
    </row>
    <row r="3432" spans="1:28" ht="15" customHeight="1">
      <c r="A3432" s="2" t="s">
        <v>8989</v>
      </c>
      <c r="B3432" s="2" t="s">
        <v>28</v>
      </c>
      <c r="C3432" s="104" t="s">
        <v>1606</v>
      </c>
      <c r="D3432" s="2" t="s">
        <v>30</v>
      </c>
      <c r="E3432" s="2" t="s">
        <v>259</v>
      </c>
      <c r="F3432" s="11" t="s">
        <v>516</v>
      </c>
      <c r="G3432" s="46" t="s">
        <v>517</v>
      </c>
      <c r="H3432" s="157" t="s">
        <v>5072</v>
      </c>
      <c r="I3432" s="158" t="s">
        <v>292</v>
      </c>
      <c r="J3432" s="41">
        <f>+Tabla1[[#This Row],[FECHA ENTRADA]]</f>
        <v>45859</v>
      </c>
      <c r="K3432" s="41">
        <v>45902</v>
      </c>
      <c r="L3432" s="42">
        <f>_xlfn.DAYS(Tabla1[[#This Row],[FECHA FIN ]],Tabla1[[#This Row],[FECHA INICIO]])</f>
        <v>43</v>
      </c>
      <c r="M3432" s="12"/>
      <c r="N3432" s="28">
        <v>330</v>
      </c>
      <c r="O3432" s="28">
        <f>(Tabla1[[#This Row],[COSTO FIJO ]]/30)*Tabla1[[#This Row],[TOTAL DIAS PROYECTO]]+(Tabla1[[#This Row],[COSTO TEMPORAL]])</f>
        <v>473</v>
      </c>
      <c r="P3432" s="12"/>
      <c r="Q3432" s="12">
        <f>+(Tabla1[[#This Row],[COSTO COCHE]]/30)*Tabla1[[#This Row],[TOTAL DIAS PROYECTO]]</f>
        <v>0</v>
      </c>
      <c r="R3432" s="12">
        <f>+Tabla1[[#This Row],[COSTO TOTAL ALOJAMIENTO]]+Tabla1[[#This Row],[COSTO TOTAL COCHE]]</f>
        <v>473</v>
      </c>
      <c r="S3432" s="2"/>
      <c r="T3432" s="14" t="s">
        <v>35</v>
      </c>
      <c r="U3432" s="14">
        <v>45859</v>
      </c>
      <c r="V3432" s="43"/>
      <c r="W3432" s="12"/>
      <c r="X3432" s="2">
        <v>20</v>
      </c>
      <c r="Y3432" s="202" t="s">
        <v>5073</v>
      </c>
      <c r="Z3432" s="2" t="s">
        <v>36</v>
      </c>
      <c r="AA3432" s="13">
        <v>-0.87734000000000001</v>
      </c>
      <c r="AB3432" s="13" t="s">
        <v>10359</v>
      </c>
    </row>
    <row r="3433" spans="1:28" ht="15" customHeight="1">
      <c r="A3433" s="2" t="s">
        <v>9737</v>
      </c>
      <c r="B3433" s="2" t="s">
        <v>978</v>
      </c>
      <c r="C3433" s="265" t="s">
        <v>4500</v>
      </c>
      <c r="D3433" s="2" t="s">
        <v>30</v>
      </c>
      <c r="E3433" s="2" t="s">
        <v>5074</v>
      </c>
      <c r="F3433" s="11" t="s">
        <v>5075</v>
      </c>
      <c r="G3433" s="21" t="s">
        <v>5076</v>
      </c>
      <c r="H3433" s="157" t="s">
        <v>5077</v>
      </c>
      <c r="I3433" s="266" t="s">
        <v>4504</v>
      </c>
      <c r="J3433" s="22">
        <f>+Tabla1[[#This Row],[FECHA ENTRADA]]</f>
        <v>46029</v>
      </c>
      <c r="K3433" s="22">
        <v>46118</v>
      </c>
      <c r="L3433" s="23">
        <f>_xlfn.DAYS(Tabla1[[#This Row],[FECHA FIN ]],Tabla1[[#This Row],[FECHA INICIO]])</f>
        <v>89</v>
      </c>
      <c r="M3433" s="12">
        <v>520</v>
      </c>
      <c r="N3433" s="20"/>
      <c r="O3433" s="24">
        <f>(Tabla1[[#This Row],[COSTO FIJO ]]/30)*Tabla1[[#This Row],[TOTAL DIAS PROYECTO]]+(Tabla1[[#This Row],[COSTO TEMPORAL]])</f>
        <v>520</v>
      </c>
      <c r="P3433" s="12"/>
      <c r="Q3433" s="12">
        <f>+(Tabla1[[#This Row],[COSTO COCHE]]/30)*Tabla1[[#This Row],[TOTAL DIAS PROYECTO]]</f>
        <v>0</v>
      </c>
      <c r="R3433" s="12">
        <f>+Tabla1[[#This Row],[COSTO TOTAL ALOJAMIENTO]]+Tabla1[[#This Row],[COSTO TOTAL COCHE]]</f>
        <v>520</v>
      </c>
      <c r="S3433" s="2" t="s">
        <v>84</v>
      </c>
      <c r="T3433" s="14" t="s">
        <v>44</v>
      </c>
      <c r="U3433" s="14">
        <v>46029</v>
      </c>
      <c r="V3433" s="25">
        <v>46118</v>
      </c>
      <c r="W3433" s="12"/>
      <c r="X3433" s="2"/>
      <c r="Y3433" s="202" t="s">
        <v>5078</v>
      </c>
      <c r="Z3433" s="2" t="s">
        <v>36</v>
      </c>
      <c r="AA3433" s="13" t="e">
        <v>#N/A</v>
      </c>
      <c r="AB3433" s="13" t="e">
        <v>#N/A</v>
      </c>
    </row>
    <row r="3434" spans="1:28" ht="15" customHeight="1">
      <c r="A3434" s="2" t="s">
        <v>9860</v>
      </c>
      <c r="B3434" s="2" t="s">
        <v>978</v>
      </c>
      <c r="C3434" s="265" t="s">
        <v>5079</v>
      </c>
      <c r="D3434" s="2" t="s">
        <v>30</v>
      </c>
      <c r="E3434" s="2" t="s">
        <v>5074</v>
      </c>
      <c r="F3434" s="11" t="s">
        <v>5075</v>
      </c>
      <c r="G3434" s="21" t="s">
        <v>5076</v>
      </c>
      <c r="H3434" s="157" t="s">
        <v>5077</v>
      </c>
      <c r="I3434" s="266" t="s">
        <v>4504</v>
      </c>
      <c r="J3434" s="22">
        <f>+Tabla1[[#This Row],[FECHA ENTRADA]]</f>
        <v>46029</v>
      </c>
      <c r="K3434" s="22">
        <v>46118</v>
      </c>
      <c r="L3434" s="23">
        <f>_xlfn.DAYS(Tabla1[[#This Row],[FECHA FIN ]],Tabla1[[#This Row],[FECHA INICIO]])</f>
        <v>89</v>
      </c>
      <c r="M3434" s="12">
        <v>520</v>
      </c>
      <c r="N3434" s="20"/>
      <c r="O3434" s="24">
        <f>(Tabla1[[#This Row],[COSTO FIJO ]]/30)*Tabla1[[#This Row],[TOTAL DIAS PROYECTO]]+(Tabla1[[#This Row],[COSTO TEMPORAL]])</f>
        <v>520</v>
      </c>
      <c r="P3434" s="12"/>
      <c r="Q3434" s="12">
        <f>+(Tabla1[[#This Row],[COSTO COCHE]]/30)*Tabla1[[#This Row],[TOTAL DIAS PROYECTO]]</f>
        <v>0</v>
      </c>
      <c r="R3434" s="12">
        <f>+Tabla1[[#This Row],[COSTO TOTAL ALOJAMIENTO]]+Tabla1[[#This Row],[COSTO TOTAL COCHE]]</f>
        <v>520</v>
      </c>
      <c r="S3434" s="2" t="s">
        <v>84</v>
      </c>
      <c r="T3434" s="14" t="s">
        <v>44</v>
      </c>
      <c r="U3434" s="14">
        <v>46029</v>
      </c>
      <c r="V3434" s="25">
        <v>46118</v>
      </c>
      <c r="W3434" s="12"/>
      <c r="X3434" s="2"/>
      <c r="Y3434" s="202" t="s">
        <v>5080</v>
      </c>
      <c r="Z3434" s="2" t="s">
        <v>36</v>
      </c>
      <c r="AA3434" s="13" t="e">
        <v>#N/A</v>
      </c>
      <c r="AB3434" s="13" t="e">
        <v>#N/A</v>
      </c>
    </row>
    <row r="3435" spans="1:28" ht="15" customHeight="1">
      <c r="A3435" s="2" t="s">
        <v>9848</v>
      </c>
      <c r="B3435" s="2" t="s">
        <v>28</v>
      </c>
      <c r="C3435" s="97" t="s">
        <v>5030</v>
      </c>
      <c r="D3435" s="2" t="s">
        <v>99</v>
      </c>
      <c r="E3435" s="2" t="s">
        <v>61</v>
      </c>
      <c r="F3435" s="11" t="s">
        <v>4915</v>
      </c>
      <c r="G3435" s="11" t="s">
        <v>4807</v>
      </c>
      <c r="H3435" s="157" t="s">
        <v>4887</v>
      </c>
      <c r="I3435" s="158" t="s">
        <v>118</v>
      </c>
      <c r="J3435" s="41">
        <f>+Tabla1[[#This Row],[FECHA ENTRADA]]</f>
        <v>45900</v>
      </c>
      <c r="K3435" s="41">
        <v>45903</v>
      </c>
      <c r="L3435" s="42">
        <f>_xlfn.DAYS(Tabla1[[#This Row],[FECHA FIN ]],Tabla1[[#This Row],[FECHA INICIO]])</f>
        <v>3</v>
      </c>
      <c r="M3435" s="12"/>
      <c r="N3435" s="12"/>
      <c r="O3435" s="28">
        <f>(Tabla1[[#This Row],[COSTO FIJO ]]/30)*Tabla1[[#This Row],[TOTAL DIAS PROYECTO]]+(Tabla1[[#This Row],[COSTO TEMPORAL]])</f>
        <v>0</v>
      </c>
      <c r="P3435" s="12"/>
      <c r="Q3435" s="12">
        <f>+(Tabla1[[#This Row],[COSTO COCHE]]/30)*Tabla1[[#This Row],[TOTAL DIAS PROYECTO]]</f>
        <v>0</v>
      </c>
      <c r="R3435" s="12">
        <f>+Tabla1[[#This Row],[COSTO TOTAL ALOJAMIENTO]]+Tabla1[[#This Row],[COSTO TOTAL COCHE]]</f>
        <v>0</v>
      </c>
      <c r="S3435" s="2"/>
      <c r="T3435" s="14" t="s">
        <v>44</v>
      </c>
      <c r="U3435" s="14">
        <v>45900</v>
      </c>
      <c r="V3435" s="43">
        <v>45903</v>
      </c>
      <c r="W3435" s="71"/>
      <c r="X3435" s="2"/>
      <c r="Y3435" s="11" t="s">
        <v>5081</v>
      </c>
      <c r="Z3435" s="2" t="s">
        <v>36</v>
      </c>
      <c r="AA3435" s="13" t="s">
        <v>10329</v>
      </c>
      <c r="AB3435" s="13" t="s">
        <v>10330</v>
      </c>
    </row>
    <row r="3436" spans="1:28" ht="15" customHeight="1">
      <c r="A3436" s="2" t="s">
        <v>9849</v>
      </c>
      <c r="B3436" s="2" t="s">
        <v>28</v>
      </c>
      <c r="C3436" s="97" t="s">
        <v>5033</v>
      </c>
      <c r="D3436" s="2" t="s">
        <v>99</v>
      </c>
      <c r="E3436" s="2" t="s">
        <v>61</v>
      </c>
      <c r="F3436" s="11" t="s">
        <v>4915</v>
      </c>
      <c r="G3436" s="11" t="s">
        <v>4807</v>
      </c>
      <c r="H3436" s="157" t="s">
        <v>4887</v>
      </c>
      <c r="I3436" s="158" t="s">
        <v>118</v>
      </c>
      <c r="J3436" s="41">
        <f>+Tabla1[[#This Row],[FECHA ENTRADA]]</f>
        <v>45900</v>
      </c>
      <c r="K3436" s="41">
        <v>45903</v>
      </c>
      <c r="L3436" s="42">
        <f>_xlfn.DAYS(Tabla1[[#This Row],[FECHA FIN ]],Tabla1[[#This Row],[FECHA INICIO]])</f>
        <v>3</v>
      </c>
      <c r="M3436" s="12"/>
      <c r="N3436" s="12"/>
      <c r="O3436" s="28">
        <f>(Tabla1[[#This Row],[COSTO FIJO ]]/30)*Tabla1[[#This Row],[TOTAL DIAS PROYECTO]]+(Tabla1[[#This Row],[COSTO TEMPORAL]])</f>
        <v>0</v>
      </c>
      <c r="P3436" s="12"/>
      <c r="Q3436" s="12">
        <f>+(Tabla1[[#This Row],[COSTO COCHE]]/30)*Tabla1[[#This Row],[TOTAL DIAS PROYECTO]]</f>
        <v>0</v>
      </c>
      <c r="R3436" s="12">
        <f>+Tabla1[[#This Row],[COSTO TOTAL ALOJAMIENTO]]+Tabla1[[#This Row],[COSTO TOTAL COCHE]]</f>
        <v>0</v>
      </c>
      <c r="S3436" s="2"/>
      <c r="T3436" s="14" t="s">
        <v>44</v>
      </c>
      <c r="U3436" s="14">
        <v>45900</v>
      </c>
      <c r="V3436" s="43">
        <v>45903</v>
      </c>
      <c r="W3436" s="71"/>
      <c r="X3436" s="2"/>
      <c r="Y3436" s="11" t="s">
        <v>5081</v>
      </c>
      <c r="Z3436" s="2" t="s">
        <v>36</v>
      </c>
      <c r="AA3436" s="13" t="s">
        <v>10329</v>
      </c>
      <c r="AB3436" s="13" t="s">
        <v>10330</v>
      </c>
    </row>
    <row r="3437" spans="1:28" ht="15" customHeight="1">
      <c r="A3437" s="2" t="s">
        <v>9242</v>
      </c>
      <c r="B3437" s="2" t="s">
        <v>711</v>
      </c>
      <c r="C3437" s="97" t="s">
        <v>2560</v>
      </c>
      <c r="D3437" s="2" t="s">
        <v>30</v>
      </c>
      <c r="E3437" s="2" t="s">
        <v>31</v>
      </c>
      <c r="F3437" s="11" t="s">
        <v>5082</v>
      </c>
      <c r="G3437" s="46" t="s">
        <v>5083</v>
      </c>
      <c r="H3437" s="157" t="s">
        <v>5084</v>
      </c>
      <c r="I3437" s="158" t="s">
        <v>5085</v>
      </c>
      <c r="J3437" s="41">
        <f>+Tabla1[[#This Row],[FECHA ENTRADA]]</f>
        <v>45887</v>
      </c>
      <c r="K3437" s="41">
        <v>45930</v>
      </c>
      <c r="L3437" s="42">
        <f>_xlfn.DAYS(Tabla1[[#This Row],[FECHA FIN ]],Tabla1[[#This Row],[FECHA INICIO]])</f>
        <v>43</v>
      </c>
      <c r="M3437" s="12"/>
      <c r="N3437" s="28">
        <v>416.66666666666669</v>
      </c>
      <c r="O3437" s="28">
        <f>(Tabla1[[#This Row],[COSTO FIJO ]]/30)*Tabla1[[#This Row],[TOTAL DIAS PROYECTO]]+(Tabla1[[#This Row],[COSTO TEMPORAL]])</f>
        <v>597.22222222222229</v>
      </c>
      <c r="P3437" s="12"/>
      <c r="Q3437" s="12">
        <f>+(Tabla1[[#This Row],[COSTO COCHE]]/30)*Tabla1[[#This Row],[TOTAL DIAS PROYECTO]]</f>
        <v>0</v>
      </c>
      <c r="R3437" s="12">
        <f>+Tabla1[[#This Row],[COSTO TOTAL ALOJAMIENTO]]+Tabla1[[#This Row],[COSTO TOTAL COCHE]]</f>
        <v>597.22222222222229</v>
      </c>
      <c r="S3437" s="2"/>
      <c r="T3437" s="14" t="s">
        <v>44</v>
      </c>
      <c r="U3437" s="14">
        <v>45887</v>
      </c>
      <c r="V3437" s="43">
        <v>45961</v>
      </c>
      <c r="W3437" s="12"/>
      <c r="X3437" s="2">
        <v>15</v>
      </c>
      <c r="Y3437" s="267" t="s">
        <v>5086</v>
      </c>
      <c r="Z3437" s="2" t="s">
        <v>36</v>
      </c>
      <c r="AA3437" s="13" t="s">
        <v>10323</v>
      </c>
      <c r="AB3437" s="13" t="s">
        <v>10324</v>
      </c>
    </row>
    <row r="3438" spans="1:28" ht="15" customHeight="1">
      <c r="A3438" s="2" t="s">
        <v>9768</v>
      </c>
      <c r="B3438" s="2" t="s">
        <v>711</v>
      </c>
      <c r="C3438" s="97" t="s">
        <v>4654</v>
      </c>
      <c r="D3438" s="2" t="s">
        <v>30</v>
      </c>
      <c r="E3438" s="2" t="s">
        <v>31</v>
      </c>
      <c r="F3438" s="11" t="s">
        <v>5082</v>
      </c>
      <c r="G3438" s="46" t="s">
        <v>5083</v>
      </c>
      <c r="H3438" s="157" t="s">
        <v>5084</v>
      </c>
      <c r="I3438" s="158" t="s">
        <v>5085</v>
      </c>
      <c r="J3438" s="41">
        <f>+Tabla1[[#This Row],[FECHA ENTRADA]]</f>
        <v>45887</v>
      </c>
      <c r="K3438" s="41">
        <v>45957</v>
      </c>
      <c r="L3438" s="42">
        <f>_xlfn.DAYS(Tabla1[[#This Row],[FECHA FIN ]],Tabla1[[#This Row],[FECHA INICIO]])</f>
        <v>70</v>
      </c>
      <c r="M3438" s="12"/>
      <c r="N3438" s="28">
        <v>416.66666666666669</v>
      </c>
      <c r="O3438" s="28">
        <f>(Tabla1[[#This Row],[COSTO FIJO ]]/30)*Tabla1[[#This Row],[TOTAL DIAS PROYECTO]]+(Tabla1[[#This Row],[COSTO TEMPORAL]])</f>
        <v>972.22222222222229</v>
      </c>
      <c r="P3438" s="12"/>
      <c r="Q3438" s="12">
        <f>+(Tabla1[[#This Row],[COSTO COCHE]]/30)*Tabla1[[#This Row],[TOTAL DIAS PROYECTO]]</f>
        <v>0</v>
      </c>
      <c r="R3438" s="12">
        <f>+Tabla1[[#This Row],[COSTO TOTAL ALOJAMIENTO]]+Tabla1[[#This Row],[COSTO TOTAL COCHE]]</f>
        <v>972.22222222222229</v>
      </c>
      <c r="S3438" s="2"/>
      <c r="T3438" s="14" t="s">
        <v>44</v>
      </c>
      <c r="U3438" s="14">
        <v>45887</v>
      </c>
      <c r="V3438" s="43">
        <v>45991</v>
      </c>
      <c r="W3438" s="12"/>
      <c r="X3438" s="2">
        <v>25</v>
      </c>
      <c r="Y3438" s="11" t="s">
        <v>5087</v>
      </c>
      <c r="Z3438" s="2" t="s">
        <v>36</v>
      </c>
      <c r="AA3438" s="13" t="s">
        <v>10323</v>
      </c>
      <c r="AB3438" s="13" t="s">
        <v>10324</v>
      </c>
    </row>
    <row r="3439" spans="1:28" ht="15" customHeight="1">
      <c r="A3439" s="2" t="s">
        <v>8684</v>
      </c>
      <c r="B3439" s="2" t="s">
        <v>711</v>
      </c>
      <c r="C3439" s="97" t="s">
        <v>282</v>
      </c>
      <c r="D3439" s="2" t="s">
        <v>30</v>
      </c>
      <c r="E3439" s="2" t="s">
        <v>31</v>
      </c>
      <c r="F3439" s="11" t="s">
        <v>5082</v>
      </c>
      <c r="G3439" s="46" t="s">
        <v>5083</v>
      </c>
      <c r="H3439" s="157" t="s">
        <v>5084</v>
      </c>
      <c r="I3439" s="158" t="s">
        <v>5085</v>
      </c>
      <c r="J3439" s="41">
        <f>+Tabla1[[#This Row],[FECHA ENTRADA]]</f>
        <v>45887</v>
      </c>
      <c r="K3439" s="41">
        <v>45982</v>
      </c>
      <c r="L3439" s="42">
        <f>_xlfn.DAYS(Tabla1[[#This Row],[FECHA FIN ]],Tabla1[[#This Row],[FECHA INICIO]])</f>
        <v>95</v>
      </c>
      <c r="M3439" s="12"/>
      <c r="N3439" s="28">
        <v>416.66666666666669</v>
      </c>
      <c r="O3439" s="28">
        <f>(Tabla1[[#This Row],[COSTO FIJO ]]/30)*Tabla1[[#This Row],[TOTAL DIAS PROYECTO]]+(Tabla1[[#This Row],[COSTO TEMPORAL]])</f>
        <v>1319.4444444444446</v>
      </c>
      <c r="P3439" s="12"/>
      <c r="Q3439" s="12">
        <f>+(Tabla1[[#This Row],[COSTO COCHE]]/30)*Tabla1[[#This Row],[TOTAL DIAS PROYECTO]]</f>
        <v>0</v>
      </c>
      <c r="R3439" s="12">
        <f>+Tabla1[[#This Row],[COSTO TOTAL ALOJAMIENTO]]+Tabla1[[#This Row],[COSTO TOTAL COCHE]]</f>
        <v>1319.4444444444446</v>
      </c>
      <c r="S3439" s="2"/>
      <c r="T3439" s="14" t="s">
        <v>44</v>
      </c>
      <c r="U3439" s="14">
        <v>45887</v>
      </c>
      <c r="V3439" s="25">
        <v>45991</v>
      </c>
      <c r="W3439" s="12"/>
      <c r="X3439" s="2">
        <v>25</v>
      </c>
      <c r="Y3439" s="11" t="s">
        <v>5088</v>
      </c>
      <c r="Z3439" s="2" t="s">
        <v>36</v>
      </c>
      <c r="AA3439" s="13" t="s">
        <v>10323</v>
      </c>
      <c r="AB3439" s="13" t="s">
        <v>10324</v>
      </c>
    </row>
    <row r="3440" spans="1:28" ht="15" customHeight="1">
      <c r="A3440" s="2" t="s">
        <v>9255</v>
      </c>
      <c r="B3440" s="2" t="s">
        <v>28</v>
      </c>
      <c r="C3440" s="97" t="s">
        <v>2610</v>
      </c>
      <c r="D3440" s="2" t="s">
        <v>99</v>
      </c>
      <c r="E3440" s="2" t="s">
        <v>31</v>
      </c>
      <c r="F3440" s="11"/>
      <c r="G3440" s="46"/>
      <c r="H3440" s="157" t="s">
        <v>5089</v>
      </c>
      <c r="I3440" s="158" t="s">
        <v>357</v>
      </c>
      <c r="J3440" s="41">
        <f>+Tabla1[[#This Row],[FECHA ENTRADA]]</f>
        <v>45865</v>
      </c>
      <c r="K3440" s="22">
        <v>45904</v>
      </c>
      <c r="L3440" s="42">
        <f>_xlfn.DAYS(Tabla1[[#This Row],[FECHA FIN ]],Tabla1[[#This Row],[FECHA INICIO]])</f>
        <v>39</v>
      </c>
      <c r="M3440" s="12"/>
      <c r="N3440" s="28">
        <v>300</v>
      </c>
      <c r="O3440" s="28">
        <f>(Tabla1[[#This Row],[COSTO FIJO ]]/30)*Tabla1[[#This Row],[TOTAL DIAS PROYECTO]]+(Tabla1[[#This Row],[COSTO TEMPORAL]])</f>
        <v>390</v>
      </c>
      <c r="P3440" s="12"/>
      <c r="Q3440" s="12">
        <f>+(Tabla1[[#This Row],[COSTO COCHE]]/30)*Tabla1[[#This Row],[TOTAL DIAS PROYECTO]]</f>
        <v>0</v>
      </c>
      <c r="R3440" s="12">
        <f>+Tabla1[[#This Row],[COSTO TOTAL ALOJAMIENTO]]+Tabla1[[#This Row],[COSTO TOTAL COCHE]]</f>
        <v>390</v>
      </c>
      <c r="S3440" s="2"/>
      <c r="T3440" s="14" t="s">
        <v>58</v>
      </c>
      <c r="U3440" s="14">
        <v>45865</v>
      </c>
      <c r="V3440" s="43"/>
      <c r="W3440" s="12"/>
      <c r="Y3440" s="202" t="s">
        <v>5090</v>
      </c>
      <c r="Z3440" s="2" t="s">
        <v>36</v>
      </c>
      <c r="AA3440" s="13" t="s">
        <v>10323</v>
      </c>
      <c r="AB3440" s="13" t="s">
        <v>10324</v>
      </c>
    </row>
    <row r="3441" spans="1:28" ht="15" customHeight="1">
      <c r="A3441" s="2" t="s">
        <v>9861</v>
      </c>
      <c r="B3441" s="2" t="s">
        <v>711</v>
      </c>
      <c r="C3441" s="97" t="s">
        <v>5091</v>
      </c>
      <c r="D3441" s="2" t="s">
        <v>99</v>
      </c>
      <c r="E3441" s="2" t="s">
        <v>985</v>
      </c>
      <c r="F3441" s="11" t="s">
        <v>5092</v>
      </c>
      <c r="G3441" s="49" t="s">
        <v>5093</v>
      </c>
      <c r="H3441" s="157" t="s">
        <v>5094</v>
      </c>
      <c r="I3441" s="158" t="s">
        <v>5095</v>
      </c>
      <c r="J3441" s="22">
        <f>+Tabla1[[#This Row],[FECHA ENTRADA]]</f>
        <v>45903</v>
      </c>
      <c r="K3441" s="22">
        <v>45904</v>
      </c>
      <c r="L3441" s="23">
        <f>_xlfn.DAYS(Tabla1[[#This Row],[FECHA FIN ]],Tabla1[[#This Row],[FECHA INICIO]])</f>
        <v>1</v>
      </c>
      <c r="M3441" s="12">
        <v>35</v>
      </c>
      <c r="N3441" s="24"/>
      <c r="O3441" s="24">
        <f>(Tabla1[[#This Row],[COSTO FIJO ]]/30)*Tabla1[[#This Row],[TOTAL DIAS PROYECTO]]+(Tabla1[[#This Row],[COSTO TEMPORAL]])</f>
        <v>35</v>
      </c>
      <c r="P3441" s="12"/>
      <c r="Q3441" s="12">
        <f>+(Tabla1[[#This Row],[COSTO COCHE]]/30)*Tabla1[[#This Row],[TOTAL DIAS PROYECTO]]</f>
        <v>0</v>
      </c>
      <c r="R3441" s="12">
        <f>+Tabla1[[#This Row],[COSTO TOTAL ALOJAMIENTO]]+Tabla1[[#This Row],[COSTO TOTAL COCHE]]</f>
        <v>35</v>
      </c>
      <c r="S3441" s="2"/>
      <c r="T3441" s="14" t="s">
        <v>44</v>
      </c>
      <c r="U3441" s="14">
        <v>45903</v>
      </c>
      <c r="V3441" s="25">
        <v>45756</v>
      </c>
      <c r="W3441" s="71"/>
      <c r="X3441" s="2"/>
      <c r="Y3441" s="11" t="s">
        <v>5096</v>
      </c>
      <c r="Z3441" s="2" t="s">
        <v>36</v>
      </c>
      <c r="AA3441" s="13" t="s">
        <v>10407</v>
      </c>
      <c r="AB3441" s="13" t="s">
        <v>10408</v>
      </c>
    </row>
    <row r="3442" spans="1:28" ht="15" customHeight="1">
      <c r="A3442" s="2" t="s">
        <v>9862</v>
      </c>
      <c r="B3442" s="2" t="s">
        <v>978</v>
      </c>
      <c r="C3442" s="265" t="s">
        <v>5097</v>
      </c>
      <c r="D3442" s="2" t="s">
        <v>30</v>
      </c>
      <c r="E3442" s="2" t="s">
        <v>5074</v>
      </c>
      <c r="F3442" s="11" t="s">
        <v>5075</v>
      </c>
      <c r="G3442" s="21" t="s">
        <v>5076</v>
      </c>
      <c r="H3442" s="157" t="s">
        <v>5077</v>
      </c>
      <c r="I3442" s="266" t="s">
        <v>4504</v>
      </c>
      <c r="J3442" s="22">
        <f>+Tabla1[[#This Row],[FECHA ENTRADA]]</f>
        <v>46029</v>
      </c>
      <c r="K3442" s="22">
        <v>46118</v>
      </c>
      <c r="L3442" s="23">
        <f>_xlfn.DAYS(Tabla1[[#This Row],[FECHA FIN ]],Tabla1[[#This Row],[FECHA INICIO]])</f>
        <v>89</v>
      </c>
      <c r="M3442" s="12">
        <v>520</v>
      </c>
      <c r="N3442" s="20"/>
      <c r="O3442" s="24">
        <f>(Tabla1[[#This Row],[COSTO FIJO ]]/30)*Tabla1[[#This Row],[TOTAL DIAS PROYECTO]]+(Tabla1[[#This Row],[COSTO TEMPORAL]])</f>
        <v>520</v>
      </c>
      <c r="P3442" s="12"/>
      <c r="Q3442" s="12">
        <f>+(Tabla1[[#This Row],[COSTO COCHE]]/30)*Tabla1[[#This Row],[TOTAL DIAS PROYECTO]]</f>
        <v>0</v>
      </c>
      <c r="R3442" s="12">
        <f>+Tabla1[[#This Row],[COSTO TOTAL ALOJAMIENTO]]+Tabla1[[#This Row],[COSTO TOTAL COCHE]]</f>
        <v>520</v>
      </c>
      <c r="S3442" s="2" t="s">
        <v>84</v>
      </c>
      <c r="T3442" s="14" t="s">
        <v>44</v>
      </c>
      <c r="U3442" s="14">
        <v>46029</v>
      </c>
      <c r="V3442" s="43">
        <v>46118</v>
      </c>
      <c r="W3442" s="12"/>
      <c r="X3442" s="2"/>
      <c r="Y3442" s="202" t="s">
        <v>5080</v>
      </c>
      <c r="Z3442" s="2" t="s">
        <v>36</v>
      </c>
      <c r="AA3442" s="13" t="e">
        <v>#N/A</v>
      </c>
      <c r="AB3442" s="13" t="e">
        <v>#N/A</v>
      </c>
    </row>
    <row r="3443" spans="1:28" ht="15" customHeight="1">
      <c r="A3443" s="2" t="s">
        <v>9863</v>
      </c>
      <c r="B3443" s="2" t="s">
        <v>28</v>
      </c>
      <c r="C3443" s="97" t="s">
        <v>5098</v>
      </c>
      <c r="D3443" s="2" t="s">
        <v>30</v>
      </c>
      <c r="E3443" s="2" t="s">
        <v>415</v>
      </c>
      <c r="F3443" s="11"/>
      <c r="G3443" s="11"/>
      <c r="H3443" s="157" t="s">
        <v>4759</v>
      </c>
      <c r="I3443" s="158" t="s">
        <v>419</v>
      </c>
      <c r="J3443" s="8">
        <f>+Tabla1[[#This Row],[FECHA ENTRADA]]</f>
        <v>45424</v>
      </c>
      <c r="K3443" s="8">
        <v>45905</v>
      </c>
      <c r="L3443" s="13">
        <f>_xlfn.DAYS(Tabla1[[#This Row],[FECHA FIN ]],Tabla1[[#This Row],[FECHA INICIO]])</f>
        <v>481</v>
      </c>
      <c r="M3443" s="12"/>
      <c r="N3443" s="28">
        <v>300</v>
      </c>
      <c r="O3443" s="12">
        <f>(Tabla1[[#This Row],[COSTO FIJO ]]/30)*Tabla1[[#This Row],[TOTAL DIAS PROYECTO]]+(Tabla1[[#This Row],[COSTO TEMPORAL]])</f>
        <v>4810</v>
      </c>
      <c r="P3443" s="12"/>
      <c r="Q3443" s="12">
        <f>+(Tabla1[[#This Row],[COSTO COCHE]]/30)*Tabla1[[#This Row],[TOTAL DIAS PROYECTO]]</f>
        <v>0</v>
      </c>
      <c r="R3443" s="12">
        <f>+Tabla1[[#This Row],[COSTO TOTAL ALOJAMIENTO]]+Tabla1[[#This Row],[COSTO TOTAL COCHE]]</f>
        <v>4810</v>
      </c>
      <c r="S3443" s="2"/>
      <c r="T3443" s="2" t="s">
        <v>58</v>
      </c>
      <c r="U3443" s="14">
        <v>45424</v>
      </c>
      <c r="V3443" s="14"/>
      <c r="W3443" s="2"/>
      <c r="X3443" s="2"/>
      <c r="Y3443" s="31" t="s">
        <v>5099</v>
      </c>
      <c r="Z3443" s="2" t="s">
        <v>36</v>
      </c>
      <c r="AA3443" s="13">
        <v>-0.37739</v>
      </c>
      <c r="AB3443" s="13" t="s">
        <v>10372</v>
      </c>
    </row>
    <row r="3444" spans="1:28" ht="15" customHeight="1">
      <c r="A3444" s="2" t="s">
        <v>9864</v>
      </c>
      <c r="B3444" s="2" t="s">
        <v>978</v>
      </c>
      <c r="C3444" s="104" t="s">
        <v>5100</v>
      </c>
      <c r="D3444" s="2" t="s">
        <v>30</v>
      </c>
      <c r="E3444" s="2" t="s">
        <v>245</v>
      </c>
      <c r="F3444" s="11" t="s">
        <v>5045</v>
      </c>
      <c r="G3444" s="46" t="s">
        <v>5046</v>
      </c>
      <c r="H3444" s="157" t="s">
        <v>1468</v>
      </c>
      <c r="I3444" s="158" t="s">
        <v>5047</v>
      </c>
      <c r="J3444" s="41">
        <f>+Tabla1[[#This Row],[FECHA ENTRADA]]</f>
        <v>45835</v>
      </c>
      <c r="K3444" s="41">
        <v>45901</v>
      </c>
      <c r="L3444" s="42">
        <f>_xlfn.DAYS(Tabla1[[#This Row],[FECHA FIN ]],Tabla1[[#This Row],[FECHA INICIO]])</f>
        <v>66</v>
      </c>
      <c r="M3444" s="12"/>
      <c r="N3444" s="12">
        <f>30*Tabla1[[#This Row],[TOTAL DIAS PROYECTO]]</f>
        <v>1980</v>
      </c>
      <c r="O3444" s="28">
        <f>(Tabla1[[#This Row],[COSTO FIJO ]]/30)*Tabla1[[#This Row],[TOTAL DIAS PROYECTO]]+(Tabla1[[#This Row],[COSTO TEMPORAL]])</f>
        <v>4356</v>
      </c>
      <c r="P3444" s="12"/>
      <c r="Q3444" s="12">
        <f>+(Tabla1[[#This Row],[COSTO COCHE]]/30)*Tabla1[[#This Row],[TOTAL DIAS PROYECTO]]</f>
        <v>0</v>
      </c>
      <c r="R3444" s="12">
        <f>+Tabla1[[#This Row],[COSTO TOTAL ALOJAMIENTO]]+Tabla1[[#This Row],[COSTO TOTAL COCHE]]</f>
        <v>4356</v>
      </c>
      <c r="S3444" s="2"/>
      <c r="T3444" s="14" t="s">
        <v>44</v>
      </c>
      <c r="U3444" s="14">
        <v>45835</v>
      </c>
      <c r="V3444" s="43">
        <v>45930</v>
      </c>
      <c r="W3444" s="12"/>
      <c r="X3444" s="2"/>
      <c r="Y3444" s="11" t="s">
        <v>5101</v>
      </c>
      <c r="Z3444" s="2" t="s">
        <v>36</v>
      </c>
      <c r="AA3444" s="13" t="s">
        <v>10355</v>
      </c>
      <c r="AB3444" s="13" t="s">
        <v>10356</v>
      </c>
    </row>
    <row r="3445" spans="1:28" ht="15" customHeight="1">
      <c r="A3445" s="2" t="s">
        <v>9865</v>
      </c>
      <c r="B3445" s="2" t="s">
        <v>978</v>
      </c>
      <c r="C3445" s="104" t="s">
        <v>5102</v>
      </c>
      <c r="D3445" s="2" t="s">
        <v>30</v>
      </c>
      <c r="E3445" s="2" t="s">
        <v>259</v>
      </c>
      <c r="F3445" s="11" t="s">
        <v>691</v>
      </c>
      <c r="G3445" s="11" t="s">
        <v>692</v>
      </c>
      <c r="H3445" s="157" t="s">
        <v>5103</v>
      </c>
      <c r="I3445" s="158" t="s">
        <v>4255</v>
      </c>
      <c r="J3445" s="22">
        <f>+Tabla1[[#This Row],[FECHA ENTRADA]]</f>
        <v>45860</v>
      </c>
      <c r="K3445" s="22">
        <v>45905</v>
      </c>
      <c r="L3445" s="23">
        <f>_xlfn.DAYS(Tabla1[[#This Row],[FECHA FIN ]],Tabla1[[#This Row],[FECHA INICIO]])</f>
        <v>45</v>
      </c>
      <c r="M3445" s="12"/>
      <c r="N3445" s="12"/>
      <c r="O3445" s="24">
        <f>(Tabla1[[#This Row],[COSTO FIJO ]]/30)*Tabla1[[#This Row],[TOTAL DIAS PROYECTO]]+(Tabla1[[#This Row],[COSTO TEMPORAL]])</f>
        <v>0</v>
      </c>
      <c r="P3445" s="12"/>
      <c r="Q3445" s="12">
        <f>+(Tabla1[[#This Row],[COSTO COCHE]]/30)*Tabla1[[#This Row],[TOTAL DIAS PROYECTO]]</f>
        <v>0</v>
      </c>
      <c r="R3445" s="12">
        <f>+Tabla1[[#This Row],[COSTO TOTAL ALOJAMIENTO]]+Tabla1[[#This Row],[COSTO TOTAL COCHE]]</f>
        <v>0</v>
      </c>
      <c r="S3445" s="2"/>
      <c r="T3445" s="14" t="s">
        <v>44</v>
      </c>
      <c r="U3445" s="14">
        <v>45860</v>
      </c>
      <c r="V3445" s="25">
        <v>45907</v>
      </c>
      <c r="W3445" s="12"/>
      <c r="X3445" s="2">
        <v>20</v>
      </c>
      <c r="Y3445" s="11" t="s">
        <v>5104</v>
      </c>
      <c r="Z3445" s="2" t="s">
        <v>36</v>
      </c>
      <c r="AA3445" s="13">
        <v>-0.87734000000000001</v>
      </c>
      <c r="AB3445" s="13" t="s">
        <v>10359</v>
      </c>
    </row>
    <row r="3446" spans="1:28" ht="15" customHeight="1">
      <c r="A3446" s="2" t="s">
        <v>9031</v>
      </c>
      <c r="B3446" s="2" t="s">
        <v>28</v>
      </c>
      <c r="C3446" s="97" t="s">
        <v>1743</v>
      </c>
      <c r="D3446" s="2" t="s">
        <v>30</v>
      </c>
      <c r="E3446" s="2" t="s">
        <v>790</v>
      </c>
      <c r="F3446" s="11" t="s">
        <v>4318</v>
      </c>
      <c r="G3446" t="s">
        <v>4319</v>
      </c>
      <c r="H3446" s="157" t="s">
        <v>4655</v>
      </c>
      <c r="I3446" s="203" t="s">
        <v>292</v>
      </c>
      <c r="J3446" s="41">
        <f>+Tabla1[[#This Row],[FECHA ENTRADA]]</f>
        <v>45872</v>
      </c>
      <c r="K3446" s="41">
        <v>45905</v>
      </c>
      <c r="L3446" s="42">
        <f>_xlfn.DAYS(Tabla1[[#This Row],[FECHA FIN ]],Tabla1[[#This Row],[FECHA INICIO]])</f>
        <v>33</v>
      </c>
      <c r="M3446" s="12"/>
      <c r="N3446" s="12"/>
      <c r="O3446" s="28">
        <f>(Tabla1[[#This Row],[COSTO FIJO ]]/30)*Tabla1[[#This Row],[TOTAL DIAS PROYECTO]]+(Tabla1[[#This Row],[COSTO TEMPORAL]])</f>
        <v>0</v>
      </c>
      <c r="P3446" s="12"/>
      <c r="Q3446" s="12">
        <f>+(Tabla1[[#This Row],[COSTO COCHE]]/30)*Tabla1[[#This Row],[TOTAL DIAS PROYECTO]]</f>
        <v>0</v>
      </c>
      <c r="R3446" s="12">
        <f>+Tabla1[[#This Row],[COSTO TOTAL ALOJAMIENTO]]+Tabla1[[#This Row],[COSTO TOTAL COCHE]]</f>
        <v>0</v>
      </c>
      <c r="S3446" s="2"/>
      <c r="T3446" s="14" t="s">
        <v>35</v>
      </c>
      <c r="U3446" s="14">
        <v>45872</v>
      </c>
      <c r="V3446" s="43"/>
      <c r="W3446" s="12"/>
      <c r="X3446" s="2">
        <v>5</v>
      </c>
      <c r="Y3446" s="257" t="s">
        <v>5105</v>
      </c>
      <c r="Z3446" s="2" t="s">
        <v>36</v>
      </c>
      <c r="AA3446" s="13">
        <v>-574377</v>
      </c>
      <c r="AB3446" s="13">
        <v>4150368</v>
      </c>
    </row>
    <row r="3447" spans="1:28" ht="15" customHeight="1">
      <c r="A3447" s="2" t="s">
        <v>9866</v>
      </c>
      <c r="B3447" s="2" t="s">
        <v>28</v>
      </c>
      <c r="C3447" s="104" t="s">
        <v>5106</v>
      </c>
      <c r="D3447" s="2" t="s">
        <v>30</v>
      </c>
      <c r="E3447" s="2" t="s">
        <v>648</v>
      </c>
      <c r="F3447" s="11" t="s">
        <v>5107</v>
      </c>
      <c r="G3447" s="118" t="s">
        <v>1545</v>
      </c>
      <c r="H3447" s="157" t="s">
        <v>1363</v>
      </c>
      <c r="I3447" s="158" t="s">
        <v>96</v>
      </c>
      <c r="J3447" s="41">
        <f>+Tabla1[[#This Row],[FECHA ENTRADA]]</f>
        <v>45683</v>
      </c>
      <c r="K3447" s="8">
        <v>45961</v>
      </c>
      <c r="L3447" s="42">
        <f>_xlfn.DAYS(Tabla1[[#This Row],[FECHA FIN ]],Tabla1[[#This Row],[FECHA INICIO]])</f>
        <v>278</v>
      </c>
      <c r="M3447" s="12"/>
      <c r="N3447" s="12">
        <v>183.33333333333334</v>
      </c>
      <c r="O3447" s="28">
        <f>(Tabla1[[#This Row],[COSTO FIJO ]]/30)*Tabla1[[#This Row],[TOTAL DIAS PROYECTO]]+(Tabla1[[#This Row],[COSTO TEMPORAL]])</f>
        <v>1698.8888888888889</v>
      </c>
      <c r="P3447" s="12"/>
      <c r="Q3447" s="12">
        <f>+(Tabla1[[#This Row],[COSTO COCHE]]/30)*Tabla1[[#This Row],[TOTAL DIAS PROYECTO]]</f>
        <v>0</v>
      </c>
      <c r="R3447" s="12">
        <f>+Tabla1[[#This Row],[COSTO TOTAL ALOJAMIENTO]]+Tabla1[[#This Row],[COSTO TOTAL COCHE]]</f>
        <v>1698.8888888888889</v>
      </c>
      <c r="S3447" s="2"/>
      <c r="T3447" s="2" t="s">
        <v>35</v>
      </c>
      <c r="U3447" s="14">
        <v>45683</v>
      </c>
      <c r="V3447" s="79"/>
      <c r="W3447" s="26">
        <v>550</v>
      </c>
      <c r="X3447" s="2">
        <v>1</v>
      </c>
      <c r="Y3447" s="11" t="s">
        <v>5108</v>
      </c>
      <c r="Z3447" s="2" t="s">
        <v>36</v>
      </c>
      <c r="AA3447" s="13" t="s">
        <v>10387</v>
      </c>
      <c r="AB3447" s="13" t="s">
        <v>10388</v>
      </c>
    </row>
    <row r="3448" spans="1:28" ht="15" customHeight="1">
      <c r="A3448" s="2" t="s">
        <v>9867</v>
      </c>
      <c r="B3448" s="2" t="s">
        <v>978</v>
      </c>
      <c r="C3448" s="97" t="s">
        <v>5109</v>
      </c>
      <c r="D3448" s="2" t="s">
        <v>30</v>
      </c>
      <c r="E3448" s="2" t="s">
        <v>380</v>
      </c>
      <c r="F3448" s="11" t="s">
        <v>5110</v>
      </c>
      <c r="G3448" s="11" t="s">
        <v>5111</v>
      </c>
      <c r="H3448" s="157" t="s">
        <v>5112</v>
      </c>
      <c r="I3448" s="158" t="s">
        <v>4276</v>
      </c>
      <c r="J3448" s="22">
        <f>+Tabla1[[#This Row],[FECHA ENTRADA]]</f>
        <v>46215</v>
      </c>
      <c r="K3448" s="22">
        <f ca="1">TODAY()</f>
        <v>46260</v>
      </c>
      <c r="L3448" s="23">
        <f ca="1">_xlfn.DAYS(Tabla1[[#This Row],[FECHA FIN ]],Tabla1[[#This Row],[FECHA INICIO]])</f>
        <v>45</v>
      </c>
      <c r="M3448" s="12">
        <v>225</v>
      </c>
      <c r="N3448" s="24"/>
      <c r="O3448" s="24">
        <f ca="1">(Tabla1[[#This Row],[COSTO FIJO ]]/30)*Tabla1[[#This Row],[TOTAL DIAS PROYECTO]]+(Tabla1[[#This Row],[COSTO TEMPORAL]])</f>
        <v>225</v>
      </c>
      <c r="P3448" s="12"/>
      <c r="Q3448" s="12">
        <f ca="1">+(Tabla1[[#This Row],[COSTO COCHE]]/30)*Tabla1[[#This Row],[TOTAL DIAS PROYECTO]]</f>
        <v>0</v>
      </c>
      <c r="R3448" s="12">
        <f ca="1">+Tabla1[[#This Row],[COSTO TOTAL ALOJAMIENTO]]+Tabla1[[#This Row],[COSTO TOTAL COCHE]]</f>
        <v>225</v>
      </c>
      <c r="S3448" s="2"/>
      <c r="T3448" s="14" t="s">
        <v>44</v>
      </c>
      <c r="U3448" s="14">
        <v>46215</v>
      </c>
      <c r="V3448" s="25">
        <v>46262</v>
      </c>
      <c r="W3448" s="12"/>
      <c r="X3448" s="2"/>
      <c r="Y3448" s="11" t="s">
        <v>5113</v>
      </c>
      <c r="Z3448" s="2" t="s">
        <v>702</v>
      </c>
      <c r="AA3448" s="13" t="s">
        <v>10370</v>
      </c>
      <c r="AB3448" s="13" t="s">
        <v>10371</v>
      </c>
    </row>
    <row r="3449" spans="1:28" ht="15" customHeight="1">
      <c r="A3449" s="2" t="s">
        <v>8807</v>
      </c>
      <c r="B3449" s="2" t="s">
        <v>711</v>
      </c>
      <c r="C3449" s="104" t="s">
        <v>848</v>
      </c>
      <c r="D3449" s="2" t="s">
        <v>78</v>
      </c>
      <c r="E3449" s="2" t="s">
        <v>266</v>
      </c>
      <c r="F3449" s="11" t="s">
        <v>2779</v>
      </c>
      <c r="G3449" s="21" t="s">
        <v>1512</v>
      </c>
      <c r="H3449" s="157" t="s">
        <v>5114</v>
      </c>
      <c r="I3449" s="158" t="s">
        <v>270</v>
      </c>
      <c r="J3449" s="22">
        <f>+Tabla1[[#This Row],[FECHA ENTRADA]]</f>
        <v>45907</v>
      </c>
      <c r="K3449" s="22">
        <v>45907</v>
      </c>
      <c r="L3449" s="23">
        <f>_xlfn.DAYS(Tabla1[[#This Row],[FECHA FIN ]],Tabla1[[#This Row],[FECHA INICIO]])</f>
        <v>0</v>
      </c>
      <c r="M3449" s="12"/>
      <c r="N3449" s="12"/>
      <c r="O3449" s="24">
        <f>(Tabla1[[#This Row],[COSTO FIJO ]]/30)*Tabla1[[#This Row],[TOTAL DIAS PROYECTO]]+(Tabla1[[#This Row],[COSTO TEMPORAL]])</f>
        <v>0</v>
      </c>
      <c r="P3449" s="12"/>
      <c r="Q3449" s="12">
        <f>+(Tabla1[[#This Row],[COSTO COCHE]]/30)*Tabla1[[#This Row],[TOTAL DIAS PROYECTO]]</f>
        <v>0</v>
      </c>
      <c r="R3449" s="12">
        <f>+Tabla1[[#This Row],[COSTO TOTAL ALOJAMIENTO]]+Tabla1[[#This Row],[COSTO TOTAL COCHE]]</f>
        <v>0</v>
      </c>
      <c r="S3449" s="2"/>
      <c r="T3449" s="14" t="s">
        <v>35</v>
      </c>
      <c r="U3449" s="14">
        <v>45907</v>
      </c>
      <c r="V3449" s="79"/>
      <c r="W3449" s="71"/>
      <c r="X3449" s="2">
        <v>1</v>
      </c>
      <c r="Y3449" s="11" t="s">
        <v>5115</v>
      </c>
      <c r="Z3449" s="2" t="s">
        <v>36</v>
      </c>
      <c r="AA3449" s="13" t="s">
        <v>10360</v>
      </c>
      <c r="AB3449" s="13" t="s">
        <v>10361</v>
      </c>
    </row>
    <row r="3450" spans="1:28" ht="15" customHeight="1">
      <c r="A3450" s="2" t="s">
        <v>8947</v>
      </c>
      <c r="B3450" s="2" t="s">
        <v>368</v>
      </c>
      <c r="C3450" s="97" t="s">
        <v>1411</v>
      </c>
      <c r="D3450" s="2" t="s">
        <v>99</v>
      </c>
      <c r="E3450" s="2" t="s">
        <v>415</v>
      </c>
      <c r="F3450" s="11" t="s">
        <v>487</v>
      </c>
      <c r="G3450" s="49" t="s">
        <v>488</v>
      </c>
      <c r="H3450" s="157" t="s">
        <v>5116</v>
      </c>
      <c r="I3450" s="158" t="s">
        <v>1415</v>
      </c>
      <c r="J3450" s="22">
        <f>+Tabla1[[#This Row],[FECHA ENTRADA]]</f>
        <v>45718</v>
      </c>
      <c r="K3450" s="41">
        <v>45877</v>
      </c>
      <c r="L3450" s="23">
        <f>_xlfn.DAYS(Tabla1[[#This Row],[FECHA FIN ]],Tabla1[[#This Row],[FECHA INICIO]])</f>
        <v>159</v>
      </c>
      <c r="M3450" s="12"/>
      <c r="N3450" s="12"/>
      <c r="O3450" s="24">
        <f>(Tabla1[[#This Row],[COSTO FIJO ]]/30)*Tabla1[[#This Row],[TOTAL DIAS PROYECTO]]+(Tabla1[[#This Row],[COSTO TEMPORAL]])</f>
        <v>0</v>
      </c>
      <c r="P3450" s="12">
        <v>133.33333333333334</v>
      </c>
      <c r="Q3450" s="12">
        <f>+(Tabla1[[#This Row],[COSTO COCHE]]/30)*Tabla1[[#This Row],[TOTAL DIAS PROYECTO]]</f>
        <v>706.66666666666674</v>
      </c>
      <c r="R3450" s="12">
        <f>+Tabla1[[#This Row],[COSTO TOTAL ALOJAMIENTO]]+Tabla1[[#This Row],[COSTO TOTAL COCHE]]</f>
        <v>706.66666666666674</v>
      </c>
      <c r="S3450" s="2"/>
      <c r="T3450" s="2" t="s">
        <v>35</v>
      </c>
      <c r="U3450" s="14">
        <v>45718</v>
      </c>
      <c r="V3450" s="25"/>
      <c r="W3450" s="26"/>
      <c r="X3450" s="2">
        <v>5</v>
      </c>
      <c r="Y3450" s="11" t="s">
        <v>4762</v>
      </c>
      <c r="Z3450" s="2" t="s">
        <v>36</v>
      </c>
      <c r="AA3450" s="13">
        <v>-0.37739</v>
      </c>
      <c r="AB3450" s="13" t="s">
        <v>10372</v>
      </c>
    </row>
    <row r="3451" spans="1:28" ht="15" customHeight="1">
      <c r="A3451" s="2" t="s">
        <v>9785</v>
      </c>
      <c r="B3451" s="2" t="s">
        <v>711</v>
      </c>
      <c r="C3451" s="104" t="s">
        <v>4738</v>
      </c>
      <c r="D3451" s="2" t="s">
        <v>99</v>
      </c>
      <c r="E3451" s="2" t="s">
        <v>985</v>
      </c>
      <c r="F3451" s="11" t="s">
        <v>5117</v>
      </c>
      <c r="G3451" s="46" t="s">
        <v>5118</v>
      </c>
      <c r="H3451" s="157" t="s">
        <v>5119</v>
      </c>
      <c r="I3451" s="158" t="s">
        <v>5120</v>
      </c>
      <c r="J3451" s="41">
        <f>+Tabla1[[#This Row],[FECHA ENTRADA]]</f>
        <v>45901</v>
      </c>
      <c r="K3451" s="22">
        <v>45908</v>
      </c>
      <c r="L3451" s="42">
        <f>_xlfn.DAYS(Tabla1[[#This Row],[FECHA FIN ]],Tabla1[[#This Row],[FECHA INICIO]])</f>
        <v>7</v>
      </c>
      <c r="M3451" s="12"/>
      <c r="N3451" s="12">
        <v>324.08999999999997</v>
      </c>
      <c r="O3451" s="28">
        <f>(Tabla1[[#This Row],[COSTO FIJO ]]/30)*Tabla1[[#This Row],[TOTAL DIAS PROYECTO]]+(Tabla1[[#This Row],[COSTO TEMPORAL]])</f>
        <v>75.620999999999995</v>
      </c>
      <c r="P3451" s="12"/>
      <c r="Q3451" s="12">
        <f>+(Tabla1[[#This Row],[COSTO COCHE]]/30)*Tabla1[[#This Row],[TOTAL DIAS PROYECTO]]</f>
        <v>0</v>
      </c>
      <c r="R3451" s="12">
        <f>+Tabla1[[#This Row],[COSTO TOTAL ALOJAMIENTO]]+Tabla1[[#This Row],[COSTO TOTAL COCHE]]</f>
        <v>75.620999999999995</v>
      </c>
      <c r="S3451" s="2" t="s">
        <v>84</v>
      </c>
      <c r="T3451" s="14" t="s">
        <v>44</v>
      </c>
      <c r="U3451" s="14">
        <v>45901</v>
      </c>
      <c r="V3451" s="43">
        <v>45908</v>
      </c>
      <c r="W3451" s="71"/>
      <c r="X3451" s="2"/>
      <c r="Y3451" s="11" t="s">
        <v>5121</v>
      </c>
      <c r="Z3451" s="2" t="s">
        <v>36</v>
      </c>
      <c r="AA3451" s="13" t="s">
        <v>10407</v>
      </c>
      <c r="AB3451" s="13" t="s">
        <v>10408</v>
      </c>
    </row>
    <row r="3452" spans="1:28" ht="15.75" customHeight="1">
      <c r="A3452" s="2" t="s">
        <v>9667</v>
      </c>
      <c r="B3452" s="2" t="s">
        <v>28</v>
      </c>
      <c r="C3452" s="97" t="s">
        <v>4130</v>
      </c>
      <c r="D3452" s="2" t="s">
        <v>30</v>
      </c>
      <c r="E3452" s="2" t="s">
        <v>31</v>
      </c>
      <c r="F3452" s="11" t="s">
        <v>451</v>
      </c>
      <c r="G3452" s="50" t="s">
        <v>452</v>
      </c>
      <c r="H3452" s="157" t="s">
        <v>5122</v>
      </c>
      <c r="I3452" s="158" t="s">
        <v>181</v>
      </c>
      <c r="J3452" s="22">
        <f>+Tabla1[[#This Row],[FECHA ENTRADA]]</f>
        <v>45902</v>
      </c>
      <c r="K3452" s="22">
        <v>45909</v>
      </c>
      <c r="L3452" s="23">
        <f>_xlfn.DAYS(Tabla1[[#This Row],[FECHA FIN ]],Tabla1[[#This Row],[FECHA INICIO]])</f>
        <v>7</v>
      </c>
      <c r="M3452" s="12"/>
      <c r="N3452" s="12">
        <v>425</v>
      </c>
      <c r="O3452" s="24">
        <f>(Tabla1[[#This Row],[COSTO FIJO ]]/30)*Tabla1[[#This Row],[TOTAL DIAS PROYECTO]]+(Tabla1[[#This Row],[COSTO TEMPORAL]])</f>
        <v>99.166666666666657</v>
      </c>
      <c r="P3452" s="12"/>
      <c r="Q3452" s="12">
        <f>+(Tabla1[[#This Row],[COSTO COCHE]]/30)*Tabla1[[#This Row],[TOTAL DIAS PROYECTO]]</f>
        <v>0</v>
      </c>
      <c r="R3452" s="12">
        <f>+Tabla1[[#This Row],[COSTO TOTAL ALOJAMIENTO]]+Tabla1[[#This Row],[COSTO TOTAL COCHE]]</f>
        <v>99.166666666666657</v>
      </c>
      <c r="S3452" s="2"/>
      <c r="T3452" s="14" t="s">
        <v>35</v>
      </c>
      <c r="U3452" s="14">
        <v>45902</v>
      </c>
      <c r="V3452" s="79"/>
      <c r="W3452" s="71"/>
      <c r="X3452" s="2">
        <v>1</v>
      </c>
      <c r="Y3452" s="11" t="s">
        <v>5123</v>
      </c>
      <c r="Z3452" s="2" t="s">
        <v>36</v>
      </c>
      <c r="AA3452" s="13" t="s">
        <v>10323</v>
      </c>
      <c r="AB3452" s="13" t="s">
        <v>10324</v>
      </c>
    </row>
    <row r="3453" spans="1:28" ht="15" customHeight="1">
      <c r="A3453" s="2" t="s">
        <v>9731</v>
      </c>
      <c r="B3453" s="2" t="s">
        <v>978</v>
      </c>
      <c r="C3453" s="97" t="s">
        <v>4461</v>
      </c>
      <c r="D3453" s="2" t="s">
        <v>30</v>
      </c>
      <c r="E3453" s="2" t="s">
        <v>1393</v>
      </c>
      <c r="F3453" s="11" t="s">
        <v>5124</v>
      </c>
      <c r="G3453" s="46" t="s">
        <v>5125</v>
      </c>
      <c r="H3453" s="157" t="s">
        <v>5126</v>
      </c>
      <c r="I3453" s="158" t="s">
        <v>4255</v>
      </c>
      <c r="J3453" s="22">
        <f>+Tabla1[[#This Row],[FECHA ENTRADA]]</f>
        <v>45877</v>
      </c>
      <c r="K3453" s="41">
        <v>45909</v>
      </c>
      <c r="L3453" s="23">
        <f>_xlfn.DAYS(Tabla1[[#This Row],[FECHA FIN ]],Tabla1[[#This Row],[FECHA INICIO]])</f>
        <v>32</v>
      </c>
      <c r="M3453" s="12"/>
      <c r="N3453" s="12"/>
      <c r="O3453" s="24">
        <f>(Tabla1[[#This Row],[COSTO FIJO ]]/30)*Tabla1[[#This Row],[TOTAL DIAS PROYECTO]]+(Tabla1[[#This Row],[COSTO TEMPORAL]])</f>
        <v>0</v>
      </c>
      <c r="P3453" s="12"/>
      <c r="Q3453" s="12">
        <f>+(Tabla1[[#This Row],[COSTO COCHE]]/30)*Tabla1[[#This Row],[TOTAL DIAS PROYECTO]]</f>
        <v>0</v>
      </c>
      <c r="R3453" s="12">
        <f>+Tabla1[[#This Row],[COSTO TOTAL ALOJAMIENTO]]+Tabla1[[#This Row],[COSTO TOTAL COCHE]]</f>
        <v>0</v>
      </c>
      <c r="S3453" s="2"/>
      <c r="T3453" s="14" t="s">
        <v>44</v>
      </c>
      <c r="U3453" s="14">
        <v>45877</v>
      </c>
      <c r="V3453" s="43">
        <v>45916</v>
      </c>
      <c r="W3453" s="12"/>
      <c r="X3453" s="2"/>
      <c r="Y3453" s="11" t="s">
        <v>5127</v>
      </c>
      <c r="Z3453" s="2" t="s">
        <v>36</v>
      </c>
      <c r="AA3453" s="13" t="s">
        <v>10416</v>
      </c>
      <c r="AB3453" s="13" t="s">
        <v>10417</v>
      </c>
    </row>
    <row r="3454" spans="1:28" ht="15" customHeight="1">
      <c r="A3454" s="2" t="s">
        <v>9788</v>
      </c>
      <c r="B3454" s="2" t="s">
        <v>978</v>
      </c>
      <c r="C3454" s="104" t="s">
        <v>4744</v>
      </c>
      <c r="D3454" s="2" t="s">
        <v>30</v>
      </c>
      <c r="E3454" s="2" t="s">
        <v>1393</v>
      </c>
      <c r="F3454" s="11" t="s">
        <v>5124</v>
      </c>
      <c r="G3454" s="46" t="s">
        <v>5125</v>
      </c>
      <c r="H3454" s="157" t="s">
        <v>5126</v>
      </c>
      <c r="I3454" s="158" t="s">
        <v>4255</v>
      </c>
      <c r="J3454" s="22">
        <f>+Tabla1[[#This Row],[FECHA ENTRADA]]</f>
        <v>45877</v>
      </c>
      <c r="K3454" s="41">
        <v>45909</v>
      </c>
      <c r="L3454" s="23">
        <f>_xlfn.DAYS(Tabla1[[#This Row],[FECHA FIN ]],Tabla1[[#This Row],[FECHA INICIO]])</f>
        <v>32</v>
      </c>
      <c r="M3454" s="12"/>
      <c r="N3454" s="12"/>
      <c r="O3454" s="24">
        <f>(Tabla1[[#This Row],[COSTO FIJO ]]/30)*Tabla1[[#This Row],[TOTAL DIAS PROYECTO]]+(Tabla1[[#This Row],[COSTO TEMPORAL]])</f>
        <v>0</v>
      </c>
      <c r="P3454" s="12"/>
      <c r="Q3454" s="12">
        <f>+(Tabla1[[#This Row],[COSTO COCHE]]/30)*Tabla1[[#This Row],[TOTAL DIAS PROYECTO]]</f>
        <v>0</v>
      </c>
      <c r="R3454" s="12">
        <f>+Tabla1[[#This Row],[COSTO TOTAL ALOJAMIENTO]]+Tabla1[[#This Row],[COSTO TOTAL COCHE]]</f>
        <v>0</v>
      </c>
      <c r="S3454" s="2"/>
      <c r="T3454" s="14" t="s">
        <v>44</v>
      </c>
      <c r="U3454" s="14">
        <v>45877</v>
      </c>
      <c r="V3454" s="43">
        <v>45916</v>
      </c>
      <c r="W3454" s="12"/>
      <c r="X3454" s="2"/>
      <c r="Y3454" s="11" t="s">
        <v>5127</v>
      </c>
      <c r="Z3454" s="2" t="s">
        <v>36</v>
      </c>
      <c r="AA3454" s="13" t="s">
        <v>10416</v>
      </c>
      <c r="AB3454" s="13" t="s">
        <v>10417</v>
      </c>
    </row>
    <row r="3455" spans="1:28" ht="15" customHeight="1">
      <c r="A3455" s="2" t="s">
        <v>8642</v>
      </c>
      <c r="B3455" s="2" t="s">
        <v>978</v>
      </c>
      <c r="C3455" s="104" t="s">
        <v>4476</v>
      </c>
      <c r="D3455" s="2" t="s">
        <v>99</v>
      </c>
      <c r="E3455" s="2" t="s">
        <v>1443</v>
      </c>
      <c r="F3455" s="11" t="s">
        <v>1444</v>
      </c>
      <c r="G3455" s="11" t="s">
        <v>1445</v>
      </c>
      <c r="H3455" s="157" t="s">
        <v>1738</v>
      </c>
      <c r="I3455" s="158" t="s">
        <v>4477</v>
      </c>
      <c r="J3455" s="41">
        <f>+Tabla1[[#This Row],[FECHA ENTRADA]]</f>
        <v>45891</v>
      </c>
      <c r="K3455" s="22">
        <v>45909</v>
      </c>
      <c r="L3455" s="42">
        <f>_xlfn.DAYS(Tabla1[[#This Row],[FECHA FIN ]],Tabla1[[#This Row],[FECHA INICIO]])</f>
        <v>18</v>
      </c>
      <c r="M3455" s="12"/>
      <c r="N3455" s="12"/>
      <c r="O3455" s="28">
        <f>(Tabla1[[#This Row],[COSTO FIJO ]]/30)*Tabla1[[#This Row],[TOTAL DIAS PROYECTO]]+(Tabla1[[#This Row],[COSTO TEMPORAL]])</f>
        <v>0</v>
      </c>
      <c r="P3455" s="12"/>
      <c r="Q3455" s="12">
        <f>+(Tabla1[[#This Row],[COSTO COCHE]]/30)*Tabla1[[#This Row],[TOTAL DIAS PROYECTO]]</f>
        <v>0</v>
      </c>
      <c r="R3455" s="12">
        <f>+Tabla1[[#This Row],[COSTO TOTAL ALOJAMIENTO]]+Tabla1[[#This Row],[COSTO TOTAL COCHE]]</f>
        <v>0</v>
      </c>
      <c r="S3455" s="2"/>
      <c r="T3455" s="14" t="s">
        <v>44</v>
      </c>
      <c r="U3455" s="14">
        <v>45891</v>
      </c>
      <c r="V3455" s="43">
        <v>45909</v>
      </c>
      <c r="W3455" s="12"/>
      <c r="X3455" s="2"/>
      <c r="Y3455" s="11"/>
      <c r="Z3455" s="2" t="s">
        <v>36</v>
      </c>
      <c r="AA3455" s="13" t="s">
        <v>10420</v>
      </c>
      <c r="AB3455" s="13">
        <v>3907741</v>
      </c>
    </row>
    <row r="3456" spans="1:28" ht="15" customHeight="1">
      <c r="A3456" s="2" t="s">
        <v>9328</v>
      </c>
      <c r="B3456" s="2" t="s">
        <v>978</v>
      </c>
      <c r="C3456" s="104" t="s">
        <v>2837</v>
      </c>
      <c r="D3456" s="2" t="s">
        <v>99</v>
      </c>
      <c r="E3456" s="2" t="s">
        <v>1443</v>
      </c>
      <c r="F3456" s="11" t="s">
        <v>1444</v>
      </c>
      <c r="G3456" s="11" t="s">
        <v>1445</v>
      </c>
      <c r="H3456" s="157" t="s">
        <v>4612</v>
      </c>
      <c r="I3456" s="158" t="s">
        <v>4477</v>
      </c>
      <c r="J3456" s="41">
        <f>+Tabla1[[#This Row],[FECHA ENTRADA]]</f>
        <v>45891</v>
      </c>
      <c r="K3456" s="22">
        <v>45909</v>
      </c>
      <c r="L3456" s="42">
        <f>_xlfn.DAYS(Tabla1[[#This Row],[FECHA FIN ]],Tabla1[[#This Row],[FECHA INICIO]])</f>
        <v>18</v>
      </c>
      <c r="M3456" s="12"/>
      <c r="N3456" s="12"/>
      <c r="O3456" s="28">
        <f>(Tabla1[[#This Row],[COSTO FIJO ]]/30)*Tabla1[[#This Row],[TOTAL DIAS PROYECTO]]+(Tabla1[[#This Row],[COSTO TEMPORAL]])</f>
        <v>0</v>
      </c>
      <c r="P3456" s="12"/>
      <c r="Q3456" s="12">
        <f>+(Tabla1[[#This Row],[COSTO COCHE]]/30)*Tabla1[[#This Row],[TOTAL DIAS PROYECTO]]</f>
        <v>0</v>
      </c>
      <c r="R3456" s="12">
        <f>+Tabla1[[#This Row],[COSTO TOTAL ALOJAMIENTO]]+Tabla1[[#This Row],[COSTO TOTAL COCHE]]</f>
        <v>0</v>
      </c>
      <c r="S3456" s="2"/>
      <c r="T3456" s="14" t="s">
        <v>44</v>
      </c>
      <c r="U3456" s="14">
        <v>45891</v>
      </c>
      <c r="V3456" s="43">
        <v>45909</v>
      </c>
      <c r="W3456" s="12"/>
      <c r="X3456" s="2"/>
      <c r="Y3456" s="11"/>
      <c r="Z3456" s="2" t="s">
        <v>36</v>
      </c>
      <c r="AA3456" s="13" t="s">
        <v>10420</v>
      </c>
      <c r="AB3456" s="13">
        <v>3907741</v>
      </c>
    </row>
    <row r="3457" spans="1:28" ht="15.75" customHeight="1">
      <c r="A3457" s="2" t="s">
        <v>9733</v>
      </c>
      <c r="B3457" s="2" t="s">
        <v>978</v>
      </c>
      <c r="C3457" s="104" t="s">
        <v>4478</v>
      </c>
      <c r="D3457" s="2" t="s">
        <v>99</v>
      </c>
      <c r="E3457" s="2" t="s">
        <v>1443</v>
      </c>
      <c r="F3457" s="11" t="s">
        <v>1444</v>
      </c>
      <c r="G3457" s="11" t="s">
        <v>1445</v>
      </c>
      <c r="H3457" s="157" t="s">
        <v>1738</v>
      </c>
      <c r="I3457" s="158" t="s">
        <v>4477</v>
      </c>
      <c r="J3457" s="41">
        <f>+Tabla1[[#This Row],[FECHA ENTRADA]]</f>
        <v>45891</v>
      </c>
      <c r="K3457" s="22">
        <v>45909</v>
      </c>
      <c r="L3457" s="42">
        <f>_xlfn.DAYS(Tabla1[[#This Row],[FECHA FIN ]],Tabla1[[#This Row],[FECHA INICIO]])</f>
        <v>18</v>
      </c>
      <c r="M3457" s="12"/>
      <c r="N3457" s="12"/>
      <c r="O3457" s="28">
        <f>(Tabla1[[#This Row],[COSTO FIJO ]]/30)*Tabla1[[#This Row],[TOTAL DIAS PROYECTO]]+(Tabla1[[#This Row],[COSTO TEMPORAL]])</f>
        <v>0</v>
      </c>
      <c r="P3457" s="12"/>
      <c r="Q3457" s="12">
        <f>+(Tabla1[[#This Row],[COSTO COCHE]]/30)*Tabla1[[#This Row],[TOTAL DIAS PROYECTO]]</f>
        <v>0</v>
      </c>
      <c r="R3457" s="12">
        <f>+Tabla1[[#This Row],[COSTO TOTAL ALOJAMIENTO]]+Tabla1[[#This Row],[COSTO TOTAL COCHE]]</f>
        <v>0</v>
      </c>
      <c r="S3457" s="2"/>
      <c r="T3457" s="14" t="s">
        <v>44</v>
      </c>
      <c r="U3457" s="14">
        <v>45891</v>
      </c>
      <c r="V3457" s="43">
        <v>45909</v>
      </c>
      <c r="W3457" s="12"/>
      <c r="X3457" s="2"/>
      <c r="Y3457" s="11"/>
      <c r="Z3457" s="2" t="s">
        <v>36</v>
      </c>
      <c r="AA3457" s="13" t="s">
        <v>10420</v>
      </c>
      <c r="AB3457" s="13">
        <v>3907741</v>
      </c>
    </row>
    <row r="3458" spans="1:28" ht="15" customHeight="1">
      <c r="A3458" s="2" t="s">
        <v>9756</v>
      </c>
      <c r="B3458" s="2" t="s">
        <v>978</v>
      </c>
      <c r="C3458" s="104" t="s">
        <v>4574</v>
      </c>
      <c r="D3458" s="2" t="s">
        <v>99</v>
      </c>
      <c r="E3458" s="2" t="s">
        <v>1443</v>
      </c>
      <c r="F3458" s="11" t="s">
        <v>1444</v>
      </c>
      <c r="G3458" s="11" t="s">
        <v>1445</v>
      </c>
      <c r="H3458" s="157" t="s">
        <v>4612</v>
      </c>
      <c r="I3458" s="158" t="s">
        <v>4477</v>
      </c>
      <c r="J3458" s="41">
        <f>+Tabla1[[#This Row],[FECHA ENTRADA]]</f>
        <v>45891</v>
      </c>
      <c r="K3458" s="22">
        <v>45909</v>
      </c>
      <c r="L3458" s="42">
        <f>_xlfn.DAYS(Tabla1[[#This Row],[FECHA FIN ]],Tabla1[[#This Row],[FECHA INICIO]])</f>
        <v>18</v>
      </c>
      <c r="M3458" s="12"/>
      <c r="N3458" s="12"/>
      <c r="O3458" s="28">
        <f>(Tabla1[[#This Row],[COSTO FIJO ]]/30)*Tabla1[[#This Row],[TOTAL DIAS PROYECTO]]+(Tabla1[[#This Row],[COSTO TEMPORAL]])</f>
        <v>0</v>
      </c>
      <c r="P3458" s="12"/>
      <c r="Q3458" s="12">
        <f>+(Tabla1[[#This Row],[COSTO COCHE]]/30)*Tabla1[[#This Row],[TOTAL DIAS PROYECTO]]</f>
        <v>0</v>
      </c>
      <c r="R3458" s="12">
        <f>+Tabla1[[#This Row],[COSTO TOTAL ALOJAMIENTO]]+Tabla1[[#This Row],[COSTO TOTAL COCHE]]</f>
        <v>0</v>
      </c>
      <c r="S3458" s="2"/>
      <c r="T3458" s="14" t="s">
        <v>44</v>
      </c>
      <c r="U3458" s="14">
        <v>45891</v>
      </c>
      <c r="V3458" s="43">
        <v>45909</v>
      </c>
      <c r="W3458" s="12"/>
      <c r="X3458" s="2"/>
      <c r="Y3458" s="11"/>
      <c r="Z3458" s="2" t="s">
        <v>36</v>
      </c>
      <c r="AA3458" s="13" t="s">
        <v>10420</v>
      </c>
      <c r="AB3458" s="13">
        <v>3907741</v>
      </c>
    </row>
    <row r="3459" spans="1:28">
      <c r="A3459" s="2" t="s">
        <v>9868</v>
      </c>
      <c r="B3459" s="2" t="s">
        <v>711</v>
      </c>
      <c r="C3459" s="104" t="s">
        <v>5128</v>
      </c>
      <c r="D3459" s="2" t="s">
        <v>30</v>
      </c>
      <c r="E3459" s="2" t="s">
        <v>213</v>
      </c>
      <c r="F3459" s="11" t="s">
        <v>5129</v>
      </c>
      <c r="G3459" s="11" t="s">
        <v>558</v>
      </c>
      <c r="H3459" s="157" t="s">
        <v>5130</v>
      </c>
      <c r="I3459" s="203" t="s">
        <v>4464</v>
      </c>
      <c r="J3459" s="41">
        <f>+Tabla1[[#This Row],[FECHA ENTRADA]]</f>
        <v>45901</v>
      </c>
      <c r="K3459" s="41">
        <v>45909</v>
      </c>
      <c r="L3459" s="42">
        <f>_xlfn.DAYS(Tabla1[[#This Row],[FECHA FIN ]],Tabla1[[#This Row],[FECHA INICIO]])</f>
        <v>8</v>
      </c>
      <c r="M3459" s="12"/>
      <c r="N3459" s="28">
        <v>500</v>
      </c>
      <c r="O3459" s="28">
        <f>(Tabla1[[#This Row],[COSTO FIJO ]]/30)*Tabla1[[#This Row],[TOTAL DIAS PROYECTO]]+(Tabla1[[#This Row],[COSTO TEMPORAL]])</f>
        <v>133.33333333333334</v>
      </c>
      <c r="P3459" s="12"/>
      <c r="Q3459" s="12">
        <f>+(Tabla1[[#This Row],[COSTO COCHE]]/30)*Tabla1[[#This Row],[TOTAL DIAS PROYECTO]]</f>
        <v>0</v>
      </c>
      <c r="R3459" s="12">
        <f>+Tabla1[[#This Row],[COSTO TOTAL ALOJAMIENTO]]+Tabla1[[#This Row],[COSTO TOTAL COCHE]]</f>
        <v>133.33333333333334</v>
      </c>
      <c r="S3459" s="2"/>
      <c r="T3459" s="14" t="s">
        <v>35</v>
      </c>
      <c r="U3459" s="14">
        <v>45901</v>
      </c>
      <c r="V3459" s="43"/>
      <c r="W3459" s="71"/>
      <c r="X3459" s="2">
        <v>20</v>
      </c>
      <c r="Y3459" s="11" t="s">
        <v>5131</v>
      </c>
      <c r="Z3459" s="2" t="s">
        <v>36</v>
      </c>
      <c r="AA3459" s="13" t="s">
        <v>10349</v>
      </c>
      <c r="AB3459" s="13" t="s">
        <v>10350</v>
      </c>
    </row>
    <row r="3460" spans="1:28" ht="15" customHeight="1">
      <c r="A3460" s="2" t="s">
        <v>9013</v>
      </c>
      <c r="B3460" s="2" t="s">
        <v>28</v>
      </c>
      <c r="C3460" s="97" t="s">
        <v>1697</v>
      </c>
      <c r="D3460" s="2" t="s">
        <v>30</v>
      </c>
      <c r="E3460" s="2" t="s">
        <v>31</v>
      </c>
      <c r="F3460" s="11" t="s">
        <v>344</v>
      </c>
      <c r="G3460" s="11" t="s">
        <v>345</v>
      </c>
      <c r="H3460" s="157" t="s">
        <v>5132</v>
      </c>
      <c r="I3460" s="158" t="s">
        <v>181</v>
      </c>
      <c r="J3460" s="22">
        <f>+Tabla1[[#This Row],[FECHA ENTRADA]]</f>
        <v>45908</v>
      </c>
      <c r="K3460" s="22">
        <v>45909</v>
      </c>
      <c r="L3460" s="23">
        <f>_xlfn.DAYS(Tabla1[[#This Row],[FECHA FIN ]],Tabla1[[#This Row],[FECHA INICIO]])</f>
        <v>1</v>
      </c>
      <c r="M3460" s="12"/>
      <c r="N3460" s="24">
        <f>1677.13/5</f>
        <v>335.42600000000004</v>
      </c>
      <c r="O3460" s="24">
        <f>(Tabla1[[#This Row],[COSTO FIJO ]]/30)*Tabla1[[#This Row],[TOTAL DIAS PROYECTO]]+(Tabla1[[#This Row],[COSTO TEMPORAL]])</f>
        <v>11.180866666666669</v>
      </c>
      <c r="P3460" s="12"/>
      <c r="Q3460" s="12">
        <f>+(Tabla1[[#This Row],[COSTO COCHE]]/30)*Tabla1[[#This Row],[TOTAL DIAS PROYECTO]]</f>
        <v>0</v>
      </c>
      <c r="R3460" s="12">
        <f>+Tabla1[[#This Row],[COSTO TOTAL ALOJAMIENTO]]+Tabla1[[#This Row],[COSTO TOTAL COCHE]]</f>
        <v>11.180866666666669</v>
      </c>
      <c r="S3460" s="2"/>
      <c r="T3460" s="14" t="s">
        <v>35</v>
      </c>
      <c r="U3460" s="14">
        <v>45908</v>
      </c>
      <c r="V3460" s="79"/>
      <c r="W3460" s="71"/>
      <c r="X3460" s="2"/>
      <c r="Y3460" s="11" t="s">
        <v>5133</v>
      </c>
      <c r="Z3460" s="2" t="s">
        <v>36</v>
      </c>
      <c r="AA3460" s="13" t="s">
        <v>10323</v>
      </c>
      <c r="AB3460" s="13" t="s">
        <v>10324</v>
      </c>
    </row>
    <row r="3461" spans="1:28" ht="15" customHeight="1">
      <c r="A3461" s="2" t="s">
        <v>9357</v>
      </c>
      <c r="B3461" s="2" t="s">
        <v>978</v>
      </c>
      <c r="C3461" s="104" t="s">
        <v>2921</v>
      </c>
      <c r="D3461" s="2" t="s">
        <v>30</v>
      </c>
      <c r="E3461" s="2" t="s">
        <v>87</v>
      </c>
      <c r="F3461" s="11" t="s">
        <v>1106</v>
      </c>
      <c r="G3461" s="21"/>
      <c r="H3461" s="157" t="s">
        <v>5134</v>
      </c>
      <c r="I3461" s="158" t="s">
        <v>3791</v>
      </c>
      <c r="J3461" s="22">
        <f>+Tabla1[[#This Row],[FECHA ENTRADA]]</f>
        <v>45901</v>
      </c>
      <c r="K3461" s="22">
        <v>45910</v>
      </c>
      <c r="L3461" s="23">
        <f>_xlfn.DAYS(Tabla1[[#This Row],[FECHA FIN ]],Tabla1[[#This Row],[FECHA INICIO]])</f>
        <v>9</v>
      </c>
      <c r="M3461" s="12"/>
      <c r="N3461" s="20"/>
      <c r="O3461" s="24">
        <f>(Tabla1[[#This Row],[COSTO FIJO ]]/30)*Tabla1[[#This Row],[TOTAL DIAS PROYECTO]]+(Tabla1[[#This Row],[COSTO TEMPORAL]])</f>
        <v>0</v>
      </c>
      <c r="P3461" s="12"/>
      <c r="Q3461" s="12">
        <f>+(Tabla1[[#This Row],[COSTO COCHE]]/30)*Tabla1[[#This Row],[TOTAL DIAS PROYECTO]]</f>
        <v>0</v>
      </c>
      <c r="R3461" s="12">
        <f>+Tabla1[[#This Row],[COSTO TOTAL ALOJAMIENTO]]+Tabla1[[#This Row],[COSTO TOTAL COCHE]]</f>
        <v>0</v>
      </c>
      <c r="S3461" s="2"/>
      <c r="T3461" s="2" t="s">
        <v>8</v>
      </c>
      <c r="U3461" s="14">
        <v>45901</v>
      </c>
      <c r="V3461" s="79"/>
      <c r="W3461" s="71"/>
      <c r="X3461" s="2"/>
      <c r="Y3461" s="11" t="s">
        <v>5135</v>
      </c>
      <c r="Z3461" s="2" t="s">
        <v>36</v>
      </c>
      <c r="AA3461" s="13" t="s">
        <v>10335</v>
      </c>
      <c r="AB3461" s="13">
        <v>404.16500000000002</v>
      </c>
    </row>
    <row r="3462" spans="1:28" ht="15" customHeight="1">
      <c r="A3462" s="2" t="s">
        <v>8761</v>
      </c>
      <c r="B3462" s="2" t="s">
        <v>978</v>
      </c>
      <c r="C3462" s="104" t="s">
        <v>633</v>
      </c>
      <c r="D3462" s="2" t="s">
        <v>30</v>
      </c>
      <c r="E3462" s="2" t="s">
        <v>87</v>
      </c>
      <c r="F3462" s="11" t="s">
        <v>1106</v>
      </c>
      <c r="G3462" s="21"/>
      <c r="H3462" s="157" t="s">
        <v>5134</v>
      </c>
      <c r="I3462" s="158" t="s">
        <v>3791</v>
      </c>
      <c r="J3462" s="22">
        <f>+Tabla1[[#This Row],[FECHA ENTRADA]]</f>
        <v>45901</v>
      </c>
      <c r="K3462" s="22">
        <v>45910</v>
      </c>
      <c r="L3462" s="23">
        <f>_xlfn.DAYS(Tabla1[[#This Row],[FECHA FIN ]],Tabla1[[#This Row],[FECHA INICIO]])</f>
        <v>9</v>
      </c>
      <c r="M3462" s="12"/>
      <c r="N3462" s="20"/>
      <c r="O3462" s="24">
        <f>(Tabla1[[#This Row],[COSTO FIJO ]]/30)*Tabla1[[#This Row],[TOTAL DIAS PROYECTO]]+(Tabla1[[#This Row],[COSTO TEMPORAL]])</f>
        <v>0</v>
      </c>
      <c r="P3462" s="12"/>
      <c r="Q3462" s="12">
        <f>+(Tabla1[[#This Row],[COSTO COCHE]]/30)*Tabla1[[#This Row],[TOTAL DIAS PROYECTO]]</f>
        <v>0</v>
      </c>
      <c r="R3462" s="12">
        <f>+Tabla1[[#This Row],[COSTO TOTAL ALOJAMIENTO]]+Tabla1[[#This Row],[COSTO TOTAL COCHE]]</f>
        <v>0</v>
      </c>
      <c r="S3462" s="2"/>
      <c r="T3462" s="2" t="s">
        <v>8</v>
      </c>
      <c r="U3462" s="14">
        <v>45901</v>
      </c>
      <c r="V3462" s="79"/>
      <c r="W3462" s="71"/>
      <c r="X3462" s="2"/>
      <c r="Y3462" s="11" t="s">
        <v>5135</v>
      </c>
      <c r="Z3462" s="2" t="s">
        <v>36</v>
      </c>
      <c r="AA3462" s="13" t="s">
        <v>10335</v>
      </c>
      <c r="AB3462" s="13">
        <v>404.16500000000002</v>
      </c>
    </row>
    <row r="3463" spans="1:28" ht="15" customHeight="1">
      <c r="A3463" s="2" t="s">
        <v>9173</v>
      </c>
      <c r="B3463" s="2" t="s">
        <v>978</v>
      </c>
      <c r="C3463" s="104" t="s">
        <v>2315</v>
      </c>
      <c r="D3463" s="2" t="s">
        <v>30</v>
      </c>
      <c r="E3463" s="2" t="s">
        <v>87</v>
      </c>
      <c r="F3463" s="11" t="s">
        <v>1106</v>
      </c>
      <c r="G3463" s="21"/>
      <c r="H3463" s="2" t="s">
        <v>5134</v>
      </c>
      <c r="I3463" s="12" t="s">
        <v>3791</v>
      </c>
      <c r="J3463" s="22">
        <f>+Tabla1[[#This Row],[FECHA ENTRADA]]</f>
        <v>45901</v>
      </c>
      <c r="K3463" s="22">
        <v>45910</v>
      </c>
      <c r="L3463" s="23">
        <f>_xlfn.DAYS(Tabla1[[#This Row],[FECHA FIN ]],Tabla1[[#This Row],[FECHA INICIO]])</f>
        <v>9</v>
      </c>
      <c r="M3463" s="12"/>
      <c r="N3463" s="20"/>
      <c r="O3463" s="24">
        <f>(Tabla1[[#This Row],[COSTO FIJO ]]/30)*Tabla1[[#This Row],[TOTAL DIAS PROYECTO]]+(Tabla1[[#This Row],[COSTO TEMPORAL]])</f>
        <v>0</v>
      </c>
      <c r="P3463" s="12"/>
      <c r="Q3463" s="12">
        <f>+(Tabla1[[#This Row],[COSTO COCHE]]/30)*Tabla1[[#This Row],[TOTAL DIAS PROYECTO]]</f>
        <v>0</v>
      </c>
      <c r="R3463" s="12">
        <f>+Tabla1[[#This Row],[COSTO TOTAL ALOJAMIENTO]]+Tabla1[[#This Row],[COSTO TOTAL COCHE]]</f>
        <v>0</v>
      </c>
      <c r="S3463" s="2"/>
      <c r="T3463" s="2" t="s">
        <v>8</v>
      </c>
      <c r="U3463" s="14">
        <v>45901</v>
      </c>
      <c r="V3463" s="79"/>
      <c r="W3463" s="71"/>
      <c r="X3463" s="2"/>
      <c r="Y3463" s="11" t="s">
        <v>5135</v>
      </c>
      <c r="Z3463" s="2" t="s">
        <v>36</v>
      </c>
      <c r="AA3463" s="13" t="s">
        <v>10335</v>
      </c>
      <c r="AB3463" s="13">
        <v>404.16500000000002</v>
      </c>
    </row>
    <row r="3464" spans="1:28" ht="15" customHeight="1">
      <c r="A3464" s="2" t="s">
        <v>9508</v>
      </c>
      <c r="B3464" s="2" t="s">
        <v>711</v>
      </c>
      <c r="C3464" s="104" t="s">
        <v>3466</v>
      </c>
      <c r="D3464" s="2" t="s">
        <v>99</v>
      </c>
      <c r="E3464" s="2" t="s">
        <v>1719</v>
      </c>
      <c r="F3464" s="11" t="s">
        <v>5136</v>
      </c>
      <c r="G3464" s="49" t="s">
        <v>5137</v>
      </c>
      <c r="H3464" s="2" t="s">
        <v>5138</v>
      </c>
      <c r="I3464" s="12" t="s">
        <v>5139</v>
      </c>
      <c r="J3464" s="22">
        <f>+Tabla1[[#This Row],[FECHA ENTRADA]]</f>
        <v>45902</v>
      </c>
      <c r="K3464" s="22">
        <v>45911</v>
      </c>
      <c r="L3464" s="23">
        <f>_xlfn.DAYS(Tabla1[[#This Row],[FECHA FIN ]],Tabla1[[#This Row],[FECHA INICIO]])</f>
        <v>9</v>
      </c>
      <c r="M3464" s="12"/>
      <c r="N3464" s="12">
        <f>447.8/2</f>
        <v>223.9</v>
      </c>
      <c r="O3464" s="24">
        <f>(Tabla1[[#This Row],[COSTO FIJO ]]/30)*Tabla1[[#This Row],[TOTAL DIAS PROYECTO]]+(Tabla1[[#This Row],[COSTO TEMPORAL]])</f>
        <v>67.17</v>
      </c>
      <c r="P3464" s="12"/>
      <c r="Q3464" s="12">
        <f>+(Tabla1[[#This Row],[COSTO COCHE]]/30)*Tabla1[[#This Row],[TOTAL DIAS PROYECTO]]</f>
        <v>0</v>
      </c>
      <c r="R3464" s="12">
        <f>+Tabla1[[#This Row],[COSTO TOTAL ALOJAMIENTO]]+Tabla1[[#This Row],[COSTO TOTAL COCHE]]</f>
        <v>67.17</v>
      </c>
      <c r="S3464" s="2" t="s">
        <v>84</v>
      </c>
      <c r="T3464" s="14" t="s">
        <v>44</v>
      </c>
      <c r="U3464" s="14">
        <v>45902</v>
      </c>
      <c r="V3464" s="25">
        <v>45914</v>
      </c>
      <c r="W3464" s="71"/>
      <c r="X3464" s="2"/>
      <c r="Y3464" s="11"/>
      <c r="Z3464" s="2" t="s">
        <v>36</v>
      </c>
      <c r="AA3464" s="13" t="s">
        <v>10427</v>
      </c>
      <c r="AB3464" s="13">
        <v>4260003</v>
      </c>
    </row>
    <row r="3465" spans="1:28" ht="15" customHeight="1">
      <c r="A3465" s="2" t="s">
        <v>9475</v>
      </c>
      <c r="B3465" s="2" t="s">
        <v>368</v>
      </c>
      <c r="C3465" s="104" t="s">
        <v>3329</v>
      </c>
      <c r="D3465" s="2" t="s">
        <v>30</v>
      </c>
      <c r="E3465" s="2" t="s">
        <v>648</v>
      </c>
      <c r="F3465" s="11" t="s">
        <v>1544</v>
      </c>
      <c r="G3465" s="11" t="s">
        <v>1545</v>
      </c>
      <c r="H3465" s="2" t="s">
        <v>2004</v>
      </c>
      <c r="I3465" s="12" t="s">
        <v>42</v>
      </c>
      <c r="J3465" s="41">
        <f>+Tabla1[[#This Row],[FECHA ENTRADA]]</f>
        <v>45671</v>
      </c>
      <c r="K3465" s="22">
        <v>45709</v>
      </c>
      <c r="L3465" s="42">
        <f>_xlfn.DAYS(Tabla1[[#This Row],[FECHA FIN ]],Tabla1[[#This Row],[FECHA INICIO]])</f>
        <v>38</v>
      </c>
      <c r="M3465" s="12"/>
      <c r="N3465" s="12"/>
      <c r="O3465" s="28">
        <f>(Tabla1[[#This Row],[COSTO FIJO ]]/30)*Tabla1[[#This Row],[TOTAL DIAS PROYECTO]]+(Tabla1[[#This Row],[COSTO TEMPORAL]])</f>
        <v>0</v>
      </c>
      <c r="P3465" s="12"/>
      <c r="Q3465" s="12">
        <f>+(Tabla1[[#This Row],[COSTO COCHE]]/30)*Tabla1[[#This Row],[TOTAL DIAS PROYECTO]]</f>
        <v>0</v>
      </c>
      <c r="R3465" s="12">
        <f>+Tabla1[[#This Row],[COSTO TOTAL ALOJAMIENTO]]+Tabla1[[#This Row],[COSTO TOTAL COCHE]]</f>
        <v>0</v>
      </c>
      <c r="S3465" s="2"/>
      <c r="T3465" s="2" t="s">
        <v>35</v>
      </c>
      <c r="U3465" s="14">
        <v>45671</v>
      </c>
      <c r="V3465" s="43"/>
      <c r="W3465" s="26"/>
      <c r="X3465" s="2">
        <v>1</v>
      </c>
      <c r="Y3465" s="11" t="s">
        <v>1166</v>
      </c>
      <c r="Z3465" s="2" t="s">
        <v>36</v>
      </c>
      <c r="AA3465" s="13" t="s">
        <v>10387</v>
      </c>
      <c r="AB3465" s="13" t="s">
        <v>10388</v>
      </c>
    </row>
    <row r="3466" spans="1:28" ht="15" customHeight="1">
      <c r="A3466" s="2" t="s">
        <v>9120</v>
      </c>
      <c r="B3466" s="2" t="s">
        <v>978</v>
      </c>
      <c r="C3466" s="104" t="s">
        <v>2082</v>
      </c>
      <c r="D3466" s="2" t="s">
        <v>30</v>
      </c>
      <c r="E3466" s="2" t="s">
        <v>1393</v>
      </c>
      <c r="F3466" s="11" t="s">
        <v>4998</v>
      </c>
      <c r="G3466" s="21" t="s">
        <v>4999</v>
      </c>
      <c r="H3466" s="2" t="s">
        <v>5140</v>
      </c>
      <c r="I3466" s="12" t="s">
        <v>5141</v>
      </c>
      <c r="J3466" s="22">
        <f>+Tabla1[[#This Row],[FECHA ENTRADA]]</f>
        <v>45908</v>
      </c>
      <c r="K3466" s="22">
        <v>45912</v>
      </c>
      <c r="L3466" s="23">
        <f>_xlfn.DAYS(Tabla1[[#This Row],[FECHA FIN ]],Tabla1[[#This Row],[FECHA INICIO]])</f>
        <v>4</v>
      </c>
      <c r="M3466" s="12"/>
      <c r="N3466" s="12"/>
      <c r="O3466" s="24">
        <f>(Tabla1[[#This Row],[COSTO FIJO ]]/30)*Tabla1[[#This Row],[TOTAL DIAS PROYECTO]]+(Tabla1[[#This Row],[COSTO TEMPORAL]])</f>
        <v>0</v>
      </c>
      <c r="P3466" s="12"/>
      <c r="Q3466" s="12">
        <f>+(Tabla1[[#This Row],[COSTO COCHE]]/30)*Tabla1[[#This Row],[TOTAL DIAS PROYECTO]]</f>
        <v>0</v>
      </c>
      <c r="R3466" s="12">
        <f>+Tabla1[[#This Row],[COSTO TOTAL ALOJAMIENTO]]+Tabla1[[#This Row],[COSTO TOTAL COCHE]]</f>
        <v>0</v>
      </c>
      <c r="S3466" s="2"/>
      <c r="T3466" s="14" t="s">
        <v>35</v>
      </c>
      <c r="U3466" s="14">
        <v>45908</v>
      </c>
      <c r="V3466" s="79"/>
      <c r="W3466" s="71"/>
      <c r="X3466" s="2">
        <v>1</v>
      </c>
      <c r="Y3466" s="11" t="s">
        <v>5142</v>
      </c>
      <c r="Z3466" s="2" t="s">
        <v>36</v>
      </c>
      <c r="AA3466" s="13" t="s">
        <v>10416</v>
      </c>
      <c r="AB3466" s="13" t="s">
        <v>10417</v>
      </c>
    </row>
    <row r="3467" spans="1:28" ht="15" customHeight="1">
      <c r="A3467" s="2" t="s">
        <v>9752</v>
      </c>
      <c r="B3467" s="2" t="s">
        <v>368</v>
      </c>
      <c r="C3467" s="97" t="s">
        <v>4565</v>
      </c>
      <c r="D3467" s="2" t="s">
        <v>30</v>
      </c>
      <c r="E3467" s="2" t="s">
        <v>1130</v>
      </c>
      <c r="F3467" s="11"/>
      <c r="G3467" s="46"/>
      <c r="H3467" s="157" t="s">
        <v>2787</v>
      </c>
      <c r="I3467" s="268" t="s">
        <v>2614</v>
      </c>
      <c r="J3467" s="41">
        <f>+Tabla1[[#This Row],[FECHA ENTRADA]]</f>
        <v>45870</v>
      </c>
      <c r="K3467" s="41">
        <v>45912</v>
      </c>
      <c r="L3467" s="42">
        <f>_xlfn.DAYS(Tabla1[[#This Row],[FECHA FIN ]],Tabla1[[#This Row],[FECHA INICIO]])</f>
        <v>42</v>
      </c>
      <c r="M3467" s="12"/>
      <c r="N3467" s="28">
        <v>300</v>
      </c>
      <c r="O3467" s="28">
        <f>(Tabla1[[#This Row],[COSTO FIJO ]]/30)*Tabla1[[#This Row],[TOTAL DIAS PROYECTO]]+(Tabla1[[#This Row],[COSTO TEMPORAL]])</f>
        <v>420</v>
      </c>
      <c r="P3467" s="12"/>
      <c r="Q3467" s="12">
        <f>+(Tabla1[[#This Row],[COSTO COCHE]]/30)*Tabla1[[#This Row],[TOTAL DIAS PROYECTO]]</f>
        <v>0</v>
      </c>
      <c r="R3467" s="12">
        <f>+Tabla1[[#This Row],[COSTO TOTAL ALOJAMIENTO]]+Tabla1[[#This Row],[COSTO TOTAL COCHE]]</f>
        <v>420</v>
      </c>
      <c r="S3467" s="2"/>
      <c r="T3467" s="14" t="s">
        <v>58</v>
      </c>
      <c r="U3467" s="14">
        <v>45870</v>
      </c>
      <c r="V3467" s="43"/>
      <c r="W3467" s="12"/>
      <c r="X3467" s="2"/>
      <c r="Y3467" s="11" t="s">
        <v>5143</v>
      </c>
      <c r="Z3467" s="2" t="s">
        <v>36</v>
      </c>
      <c r="AA3467" s="13" t="s">
        <v>10412</v>
      </c>
      <c r="AB3467" s="13">
        <v>4200955</v>
      </c>
    </row>
    <row r="3468" spans="1:28">
      <c r="A3468" s="2" t="s">
        <v>9426</v>
      </c>
      <c r="B3468" s="2" t="s">
        <v>28</v>
      </c>
      <c r="C3468" s="104" t="s">
        <v>3128</v>
      </c>
      <c r="D3468" s="2" t="s">
        <v>30</v>
      </c>
      <c r="E3468" s="2" t="s">
        <v>422</v>
      </c>
      <c r="F3468" s="11" t="s">
        <v>1375</v>
      </c>
      <c r="G3468" s="30" t="s">
        <v>1376</v>
      </c>
      <c r="H3468" s="157" t="s">
        <v>2442</v>
      </c>
      <c r="I3468" s="158" t="s">
        <v>2443</v>
      </c>
      <c r="J3468" s="41">
        <f>+Tabla1[[#This Row],[FECHA ENTRADA]]</f>
        <v>45820</v>
      </c>
      <c r="K3468" s="41">
        <v>45941</v>
      </c>
      <c r="L3468" s="42">
        <f>_xlfn.DAYS(Tabla1[[#This Row],[FECHA FIN ]],Tabla1[[#This Row],[FECHA INICIO]])</f>
        <v>121</v>
      </c>
      <c r="M3468" s="12"/>
      <c r="N3468" s="12">
        <v>350</v>
      </c>
      <c r="O3468" s="28">
        <f>(Tabla1[[#This Row],[COSTO FIJO ]]/30)*Tabla1[[#This Row],[TOTAL DIAS PROYECTO]]+(Tabla1[[#This Row],[COSTO TEMPORAL]])</f>
        <v>1411.6666666666665</v>
      </c>
      <c r="P3468" s="12"/>
      <c r="Q3468" s="12">
        <f>+(Tabla1[[#This Row],[COSTO COCHE]]/30)*Tabla1[[#This Row],[TOTAL DIAS PROYECTO]]</f>
        <v>0</v>
      </c>
      <c r="R3468" s="12">
        <f>+Tabla1[[#This Row],[COSTO TOTAL ALOJAMIENTO]]+Tabla1[[#This Row],[COSTO TOTAL COCHE]]</f>
        <v>1411.6666666666665</v>
      </c>
      <c r="S3468" s="2"/>
      <c r="T3468" s="14" t="s">
        <v>35</v>
      </c>
      <c r="U3468" s="14">
        <v>45820</v>
      </c>
      <c r="V3468" s="75"/>
      <c r="W3468" s="2"/>
      <c r="X3468" s="2">
        <v>5</v>
      </c>
      <c r="Y3468" s="11" t="s">
        <v>5144</v>
      </c>
      <c r="Z3468" s="2" t="s">
        <v>36</v>
      </c>
      <c r="AA3468" s="13">
        <v>-326.69799999999998</v>
      </c>
      <c r="AB3468" s="13" t="s">
        <v>10373</v>
      </c>
    </row>
    <row r="3469" spans="1:28" ht="15" customHeight="1">
      <c r="A3469" s="2" t="s">
        <v>9165</v>
      </c>
      <c r="B3469" s="2" t="s">
        <v>368</v>
      </c>
      <c r="C3469" s="97" t="s">
        <v>2289</v>
      </c>
      <c r="D3469" s="2" t="s">
        <v>30</v>
      </c>
      <c r="E3469" s="2" t="s">
        <v>422</v>
      </c>
      <c r="F3469" s="11" t="s">
        <v>5145</v>
      </c>
      <c r="G3469" t="s">
        <v>1376</v>
      </c>
      <c r="H3469" s="157" t="s">
        <v>2546</v>
      </c>
      <c r="I3469" s="268" t="s">
        <v>913</v>
      </c>
      <c r="J3469" s="41">
        <f>+Tabla1[[#This Row],[FECHA ENTRADA]]</f>
        <v>45821</v>
      </c>
      <c r="K3469" s="22">
        <v>45840</v>
      </c>
      <c r="L3469" s="42">
        <f>_xlfn.DAYS(Tabla1[[#This Row],[FECHA FIN ]],Tabla1[[#This Row],[FECHA INICIO]])</f>
        <v>19</v>
      </c>
      <c r="M3469" s="12"/>
      <c r="N3469" s="12"/>
      <c r="O3469" s="28">
        <f>(Tabla1[[#This Row],[COSTO FIJO ]]/30)*Tabla1[[#This Row],[TOTAL DIAS PROYECTO]]+(Tabla1[[#This Row],[COSTO TEMPORAL]])</f>
        <v>0</v>
      </c>
      <c r="P3469" s="12"/>
      <c r="Q3469" s="12">
        <f>+(Tabla1[[#This Row],[COSTO COCHE]]/30)*Tabla1[[#This Row],[TOTAL DIAS PROYECTO]]</f>
        <v>0</v>
      </c>
      <c r="R3469" s="12">
        <f>+Tabla1[[#This Row],[COSTO TOTAL ALOJAMIENTO]]+Tabla1[[#This Row],[COSTO TOTAL COCHE]]</f>
        <v>0</v>
      </c>
      <c r="S3469" s="2"/>
      <c r="T3469" s="2" t="s">
        <v>35</v>
      </c>
      <c r="U3469" s="14">
        <v>45821</v>
      </c>
      <c r="V3469" s="43"/>
      <c r="W3469" s="2"/>
      <c r="X3469" s="2">
        <v>5</v>
      </c>
      <c r="Y3469" s="11" t="s">
        <v>5146</v>
      </c>
      <c r="Z3469" s="2" t="s">
        <v>36</v>
      </c>
      <c r="AA3469" s="13">
        <v>-326.69799999999998</v>
      </c>
      <c r="AB3469" s="13" t="s">
        <v>10373</v>
      </c>
    </row>
    <row r="3470" spans="1:28" ht="15" customHeight="1">
      <c r="A3470" s="2" t="s">
        <v>9869</v>
      </c>
      <c r="B3470" s="2" t="s">
        <v>711</v>
      </c>
      <c r="C3470" s="104" t="s">
        <v>5147</v>
      </c>
      <c r="D3470" s="2" t="s">
        <v>30</v>
      </c>
      <c r="E3470" s="2" t="s">
        <v>213</v>
      </c>
      <c r="F3470" s="11" t="s">
        <v>1971</v>
      </c>
      <c r="G3470" s="11" t="s">
        <v>1972</v>
      </c>
      <c r="H3470" s="157" t="s">
        <v>5130</v>
      </c>
      <c r="I3470" s="203" t="s">
        <v>4464</v>
      </c>
      <c r="J3470" s="41">
        <f>+Tabla1[[#This Row],[FECHA ENTRADA]]</f>
        <v>45901</v>
      </c>
      <c r="K3470" s="41">
        <v>45901</v>
      </c>
      <c r="L3470" s="42">
        <f>_xlfn.DAYS(Tabla1[[#This Row],[FECHA FIN ]],Tabla1[[#This Row],[FECHA INICIO]])</f>
        <v>0</v>
      </c>
      <c r="M3470" s="12"/>
      <c r="N3470" s="28">
        <v>500</v>
      </c>
      <c r="O3470" s="28">
        <f>(Tabla1[[#This Row],[COSTO FIJO ]]/30)*Tabla1[[#This Row],[TOTAL DIAS PROYECTO]]+(Tabla1[[#This Row],[COSTO TEMPORAL]])</f>
        <v>0</v>
      </c>
      <c r="P3470" s="12"/>
      <c r="Q3470" s="12">
        <f>+(Tabla1[[#This Row],[COSTO COCHE]]/30)*Tabla1[[#This Row],[TOTAL DIAS PROYECTO]]</f>
        <v>0</v>
      </c>
      <c r="R3470" s="12">
        <f>+Tabla1[[#This Row],[COSTO TOTAL ALOJAMIENTO]]+Tabla1[[#This Row],[COSTO TOTAL COCHE]]</f>
        <v>0</v>
      </c>
      <c r="S3470" s="2"/>
      <c r="T3470" s="14" t="s">
        <v>35</v>
      </c>
      <c r="U3470" s="14">
        <v>45901</v>
      </c>
      <c r="V3470" s="43"/>
      <c r="W3470" s="71"/>
      <c r="X3470" s="2">
        <v>29</v>
      </c>
      <c r="Y3470" s="11"/>
      <c r="Z3470" s="2" t="s">
        <v>36</v>
      </c>
      <c r="AA3470" s="13" t="s">
        <v>10349</v>
      </c>
      <c r="AB3470" s="13" t="s">
        <v>10350</v>
      </c>
    </row>
    <row r="3471" spans="1:28" ht="15" customHeight="1">
      <c r="A3471" s="117" t="s">
        <v>9870</v>
      </c>
      <c r="B3471" s="117" t="s">
        <v>606</v>
      </c>
      <c r="C3471" s="224" t="s">
        <v>5148</v>
      </c>
      <c r="D3471" s="117" t="s">
        <v>30</v>
      </c>
      <c r="E3471" s="117" t="s">
        <v>855</v>
      </c>
      <c r="F3471" s="11" t="s">
        <v>3272</v>
      </c>
      <c r="G3471" s="68" t="s">
        <v>1474</v>
      </c>
      <c r="H3471" s="198" t="s">
        <v>3273</v>
      </c>
      <c r="I3471" s="199" t="s">
        <v>3274</v>
      </c>
      <c r="J3471" s="120">
        <f>+Tabla1[[#This Row],[FECHA ENTRADA]]</f>
        <v>46049</v>
      </c>
      <c r="K3471" s="121">
        <v>46187</v>
      </c>
      <c r="L3471" s="122">
        <f>_xlfn.DAYS(Tabla1[[#This Row],[FECHA FIN ]],Tabla1[[#This Row],[FECHA INICIO]])</f>
        <v>138</v>
      </c>
      <c r="M3471" s="119">
        <v>605</v>
      </c>
      <c r="N3471" s="123"/>
      <c r="O3471" s="123">
        <f>(Tabla1[[#This Row],[COSTO FIJO ]]/30)*Tabla1[[#This Row],[TOTAL DIAS PROYECTO]]+(Tabla1[[#This Row],[COSTO TEMPORAL]])</f>
        <v>605</v>
      </c>
      <c r="P3471" s="119"/>
      <c r="Q3471" s="119">
        <f>+(Tabla1[[#This Row],[COSTO COCHE]]/30)*Tabla1[[#This Row],[TOTAL DIAS PROYECTO]]</f>
        <v>0</v>
      </c>
      <c r="R3471" s="119">
        <v>605</v>
      </c>
      <c r="S3471" s="117"/>
      <c r="T3471" s="124" t="s">
        <v>44</v>
      </c>
      <c r="U3471" s="124">
        <v>46049</v>
      </c>
      <c r="V3471" s="132">
        <v>46188</v>
      </c>
      <c r="W3471" s="119"/>
      <c r="X3471" s="117"/>
      <c r="Y3471" s="118" t="s">
        <v>3275</v>
      </c>
      <c r="Z3471" s="117" t="s">
        <v>36</v>
      </c>
      <c r="AA3471" s="127" t="s">
        <v>10401</v>
      </c>
      <c r="AB3471" s="127" t="s">
        <v>10402</v>
      </c>
    </row>
    <row r="3472" spans="1:28" ht="15" customHeight="1">
      <c r="A3472" s="2" t="s">
        <v>9740</v>
      </c>
      <c r="B3472" s="2" t="s">
        <v>368</v>
      </c>
      <c r="C3472" s="104" t="s">
        <v>4508</v>
      </c>
      <c r="D3472" s="2" t="s">
        <v>30</v>
      </c>
      <c r="E3472" s="2" t="s">
        <v>213</v>
      </c>
      <c r="F3472" s="11" t="s">
        <v>1733</v>
      </c>
      <c r="G3472" s="21" t="s">
        <v>1734</v>
      </c>
      <c r="H3472" s="157" t="s">
        <v>5149</v>
      </c>
      <c r="I3472" s="158" t="s">
        <v>1043</v>
      </c>
      <c r="J3472" s="22">
        <f>+Tabla1[[#This Row],[FECHA ENTRADA]]</f>
        <v>45907</v>
      </c>
      <c r="K3472" s="22">
        <v>45913</v>
      </c>
      <c r="L3472" s="23">
        <f>_xlfn.DAYS(Tabla1[[#This Row],[FECHA FIN ]],Tabla1[[#This Row],[FECHA INICIO]])</f>
        <v>6</v>
      </c>
      <c r="M3472" s="12"/>
      <c r="N3472" s="12"/>
      <c r="O3472" s="24">
        <f>(Tabla1[[#This Row],[COSTO FIJO ]]/30)*Tabla1[[#This Row],[TOTAL DIAS PROYECTO]]+(Tabla1[[#This Row],[COSTO TEMPORAL]])</f>
        <v>0</v>
      </c>
      <c r="P3472" s="12"/>
      <c r="Q3472" s="12">
        <f>+(Tabla1[[#This Row],[COSTO COCHE]]/30)*Tabla1[[#This Row],[TOTAL DIAS PROYECTO]]</f>
        <v>0</v>
      </c>
      <c r="R3472" s="12">
        <f>+Tabla1[[#This Row],[COSTO TOTAL ALOJAMIENTO]]+Tabla1[[#This Row],[COSTO TOTAL COCHE]]</f>
        <v>0</v>
      </c>
      <c r="S3472" s="2"/>
      <c r="T3472" s="14" t="s">
        <v>44</v>
      </c>
      <c r="U3472" s="14">
        <v>45907</v>
      </c>
      <c r="V3472" s="79">
        <v>45923</v>
      </c>
      <c r="W3472" s="71"/>
      <c r="X3472" s="2"/>
      <c r="Y3472" s="11" t="s">
        <v>1166</v>
      </c>
      <c r="Z3472" s="2" t="s">
        <v>36</v>
      </c>
      <c r="AA3472" s="13" t="s">
        <v>10349</v>
      </c>
      <c r="AB3472" s="13" t="s">
        <v>10350</v>
      </c>
    </row>
    <row r="3473" spans="1:28" ht="15" customHeight="1">
      <c r="A3473" s="2" t="s">
        <v>9871</v>
      </c>
      <c r="B3473" s="2" t="s">
        <v>368</v>
      </c>
      <c r="C3473" s="104" t="s">
        <v>5150</v>
      </c>
      <c r="D3473" s="2" t="s">
        <v>30</v>
      </c>
      <c r="E3473" s="2" t="s">
        <v>213</v>
      </c>
      <c r="F3473" s="11" t="s">
        <v>1733</v>
      </c>
      <c r="G3473" s="21" t="s">
        <v>1734</v>
      </c>
      <c r="H3473" s="157" t="s">
        <v>5151</v>
      </c>
      <c r="I3473" s="12" t="s">
        <v>1043</v>
      </c>
      <c r="J3473" s="22">
        <f>+Tabla1[[#This Row],[FECHA ENTRADA]]</f>
        <v>45720</v>
      </c>
      <c r="K3473" s="22">
        <v>45913</v>
      </c>
      <c r="L3473" s="23">
        <f>_xlfn.DAYS(Tabla1[[#This Row],[FECHA FIN ]],Tabla1[[#This Row],[FECHA INICIO]])</f>
        <v>193</v>
      </c>
      <c r="M3473" s="12"/>
      <c r="N3473" s="12"/>
      <c r="O3473" s="24">
        <f>(Tabla1[[#This Row],[COSTO FIJO ]]/30)*Tabla1[[#This Row],[TOTAL DIAS PROYECTO]]+(Tabla1[[#This Row],[COSTO TEMPORAL]])</f>
        <v>0</v>
      </c>
      <c r="P3473" s="12"/>
      <c r="Q3473" s="12">
        <f>+(Tabla1[[#This Row],[COSTO COCHE]]/30)*Tabla1[[#This Row],[TOTAL DIAS PROYECTO]]</f>
        <v>0</v>
      </c>
      <c r="R3473" s="12">
        <f>+Tabla1[[#This Row],[COSTO TOTAL ALOJAMIENTO]]+Tabla1[[#This Row],[COSTO TOTAL COCHE]]</f>
        <v>0</v>
      </c>
      <c r="S3473" s="2"/>
      <c r="T3473" s="2" t="s">
        <v>35</v>
      </c>
      <c r="U3473" s="14">
        <v>45720</v>
      </c>
      <c r="V3473" s="25"/>
      <c r="W3473" s="26"/>
      <c r="X3473" s="2">
        <v>20</v>
      </c>
      <c r="Y3473" s="11" t="s">
        <v>1166</v>
      </c>
      <c r="Z3473" s="2" t="s">
        <v>36</v>
      </c>
      <c r="AA3473" s="13" t="s">
        <v>10349</v>
      </c>
      <c r="AB3473" s="13" t="s">
        <v>10350</v>
      </c>
    </row>
    <row r="3474" spans="1:28" ht="15" customHeight="1">
      <c r="A3474" s="2" t="s">
        <v>9028</v>
      </c>
      <c r="B3474" s="2" t="s">
        <v>28</v>
      </c>
      <c r="C3474" s="104" t="s">
        <v>1737</v>
      </c>
      <c r="D3474" s="2" t="s">
        <v>30</v>
      </c>
      <c r="E3474" s="2" t="s">
        <v>213</v>
      </c>
      <c r="F3474" s="11" t="s">
        <v>1733</v>
      </c>
      <c r="G3474" s="21" t="s">
        <v>1734</v>
      </c>
      <c r="H3474" s="157" t="s">
        <v>1738</v>
      </c>
      <c r="I3474" s="158" t="s">
        <v>1043</v>
      </c>
      <c r="J3474" s="41">
        <f>+Tabla1[[#This Row],[FECHA ENTRADA]]</f>
        <v>45869</v>
      </c>
      <c r="K3474" s="22">
        <v>45913</v>
      </c>
      <c r="L3474" s="42">
        <f>_xlfn.DAYS(Tabla1[[#This Row],[FECHA FIN ]],Tabla1[[#This Row],[FECHA INICIO]])</f>
        <v>44</v>
      </c>
      <c r="M3474" s="12"/>
      <c r="N3474" s="28"/>
      <c r="O3474" s="28">
        <f>(Tabla1[[#This Row],[COSTO FIJO ]]/30)*Tabla1[[#This Row],[TOTAL DIAS PROYECTO]]+(Tabla1[[#This Row],[COSTO TEMPORAL]])</f>
        <v>0</v>
      </c>
      <c r="P3474" s="12"/>
      <c r="Q3474" s="12">
        <f>+(Tabla1[[#This Row],[COSTO COCHE]]/30)*Tabla1[[#This Row],[TOTAL DIAS PROYECTO]]</f>
        <v>0</v>
      </c>
      <c r="R3474" s="12">
        <f>+Tabla1[[#This Row],[COSTO TOTAL ALOJAMIENTO]]+Tabla1[[#This Row],[COSTO TOTAL COCHE]]</f>
        <v>0</v>
      </c>
      <c r="S3474" s="2"/>
      <c r="T3474" s="14" t="s">
        <v>35</v>
      </c>
      <c r="U3474" s="14">
        <v>45869</v>
      </c>
      <c r="V3474" s="43"/>
      <c r="W3474" s="12"/>
      <c r="X3474" s="2">
        <v>30</v>
      </c>
      <c r="Y3474" s="11" t="s">
        <v>5152</v>
      </c>
      <c r="Z3474" s="2" t="s">
        <v>36</v>
      </c>
      <c r="AA3474" s="13" t="s">
        <v>10349</v>
      </c>
      <c r="AB3474" s="13" t="s">
        <v>10350</v>
      </c>
    </row>
    <row r="3475" spans="1:28" ht="15" customHeight="1">
      <c r="A3475" s="2" t="s">
        <v>9027</v>
      </c>
      <c r="B3475" s="2" t="s">
        <v>28</v>
      </c>
      <c r="C3475" s="104" t="s">
        <v>1732</v>
      </c>
      <c r="D3475" s="2" t="s">
        <v>30</v>
      </c>
      <c r="E3475" s="2" t="s">
        <v>213</v>
      </c>
      <c r="F3475" s="11" t="s">
        <v>1733</v>
      </c>
      <c r="G3475" s="21" t="s">
        <v>1734</v>
      </c>
      <c r="H3475" s="157" t="s">
        <v>1735</v>
      </c>
      <c r="I3475" s="158" t="s">
        <v>1043</v>
      </c>
      <c r="J3475" s="41">
        <f>+Tabla1[[#This Row],[FECHA ENTRADA]]</f>
        <v>45869</v>
      </c>
      <c r="K3475" s="22">
        <v>45913</v>
      </c>
      <c r="L3475" s="42">
        <f>_xlfn.DAYS(Tabla1[[#This Row],[FECHA FIN ]],Tabla1[[#This Row],[FECHA INICIO]])</f>
        <v>44</v>
      </c>
      <c r="M3475" s="12"/>
      <c r="N3475" s="28"/>
      <c r="O3475" s="28">
        <f>(Tabla1[[#This Row],[COSTO FIJO ]]/30)*Tabla1[[#This Row],[TOTAL DIAS PROYECTO]]+(Tabla1[[#This Row],[COSTO TEMPORAL]])</f>
        <v>0</v>
      </c>
      <c r="P3475" s="12"/>
      <c r="Q3475" s="12">
        <f>+(Tabla1[[#This Row],[COSTO COCHE]]/30)*Tabla1[[#This Row],[TOTAL DIAS PROYECTO]]</f>
        <v>0</v>
      </c>
      <c r="R3475" s="12">
        <f>+Tabla1[[#This Row],[COSTO TOTAL ALOJAMIENTO]]+Tabla1[[#This Row],[COSTO TOTAL COCHE]]</f>
        <v>0</v>
      </c>
      <c r="S3475" s="2"/>
      <c r="T3475" s="14" t="s">
        <v>35</v>
      </c>
      <c r="U3475" s="14">
        <v>45869</v>
      </c>
      <c r="V3475" s="43"/>
      <c r="W3475" s="12"/>
      <c r="X3475" s="2">
        <v>30</v>
      </c>
      <c r="Y3475" s="11" t="s">
        <v>5152</v>
      </c>
      <c r="Z3475" s="2" t="s">
        <v>36</v>
      </c>
      <c r="AA3475" s="13" t="s">
        <v>10349</v>
      </c>
      <c r="AB3475" s="13" t="s">
        <v>10350</v>
      </c>
    </row>
    <row r="3476" spans="1:28" ht="15" customHeight="1">
      <c r="A3476" s="2" t="s">
        <v>9146</v>
      </c>
      <c r="B3476" s="2" t="s">
        <v>368</v>
      </c>
      <c r="C3476" s="97" t="s">
        <v>2208</v>
      </c>
      <c r="D3476" s="2" t="s">
        <v>30</v>
      </c>
      <c r="E3476" s="2" t="s">
        <v>31</v>
      </c>
      <c r="F3476" s="11"/>
      <c r="G3476" s="49"/>
      <c r="H3476" s="157" t="s">
        <v>3363</v>
      </c>
      <c r="I3476" s="10" t="s">
        <v>3364</v>
      </c>
      <c r="J3476" s="22">
        <f>+Tabla1[[#This Row],[FECHA ENTRADA]]</f>
        <v>45755</v>
      </c>
      <c r="K3476" s="8">
        <v>45914</v>
      </c>
      <c r="L3476" s="23">
        <f>_xlfn.DAYS(Tabla1[[#This Row],[FECHA FIN ]],Tabla1[[#This Row],[FECHA INICIO]])</f>
        <v>159</v>
      </c>
      <c r="M3476" s="12"/>
      <c r="N3476" s="28">
        <v>300</v>
      </c>
      <c r="O3476" s="24">
        <f>(Tabla1[[#This Row],[COSTO FIJO ]]/30)*Tabla1[[#This Row],[TOTAL DIAS PROYECTO]]+(Tabla1[[#This Row],[COSTO TEMPORAL]])</f>
        <v>1590</v>
      </c>
      <c r="P3476" s="12"/>
      <c r="Q3476" s="12">
        <f>+(Tabla1[[#This Row],[COSTO COCHE]]/30)*Tabla1[[#This Row],[TOTAL DIAS PROYECTO]]</f>
        <v>0</v>
      </c>
      <c r="R3476" s="12">
        <f>+Tabla1[[#This Row],[COSTO TOTAL ALOJAMIENTO]]+Tabla1[[#This Row],[COSTO TOTAL COCHE]]</f>
        <v>1590</v>
      </c>
      <c r="S3476" s="2"/>
      <c r="T3476" s="2" t="s">
        <v>58</v>
      </c>
      <c r="U3476" s="14">
        <v>45755</v>
      </c>
      <c r="V3476" s="25"/>
      <c r="W3476" s="26"/>
      <c r="X3476" s="2"/>
      <c r="Y3476" s="11" t="s">
        <v>5153</v>
      </c>
      <c r="Z3476" s="2" t="s">
        <v>36</v>
      </c>
      <c r="AA3476" s="13" t="s">
        <v>10323</v>
      </c>
      <c r="AB3476" s="13" t="s">
        <v>10324</v>
      </c>
    </row>
    <row r="3477" spans="1:28" ht="15" customHeight="1">
      <c r="A3477" s="2" t="s">
        <v>9872</v>
      </c>
      <c r="B3477" s="2" t="s">
        <v>28</v>
      </c>
      <c r="C3477" s="115" t="s">
        <v>5154</v>
      </c>
      <c r="D3477" s="2" t="s">
        <v>30</v>
      </c>
      <c r="E3477" s="2" t="s">
        <v>92</v>
      </c>
      <c r="F3477" s="11" t="s">
        <v>93</v>
      </c>
      <c r="G3477" s="11"/>
      <c r="H3477" s="157" t="s">
        <v>95</v>
      </c>
      <c r="I3477" s="158" t="s">
        <v>96</v>
      </c>
      <c r="J3477" s="8">
        <f>+Tabla1[[#This Row],[FECHA ENTRADA]]</f>
        <v>45363</v>
      </c>
      <c r="K3477" s="8">
        <v>45365</v>
      </c>
      <c r="L3477" s="13">
        <f>_xlfn.DAYS(Tabla1[[#This Row],[FECHA FIN ]],Tabla1[[#This Row],[FECHA INICIO]])</f>
        <v>2</v>
      </c>
      <c r="M3477" s="12"/>
      <c r="N3477" s="12">
        <v>277.77777777777777</v>
      </c>
      <c r="O3477" s="12">
        <f>(Tabla1[[#This Row],[COSTO FIJO ]]/30)*Tabla1[[#This Row],[TOTAL DIAS PROYECTO]]+(Tabla1[[#This Row],[COSTO TEMPORAL]])</f>
        <v>18.518518518518519</v>
      </c>
      <c r="P3477" s="12"/>
      <c r="Q3477" s="12">
        <f>+(Tabla1[[#This Row],[COSTO COCHE]]/30)*Tabla1[[#This Row],[TOTAL DIAS PROYECTO]]</f>
        <v>0</v>
      </c>
      <c r="R3477" s="12">
        <f>+Tabla1[[#This Row],[COSTO TOTAL ALOJAMIENTO]]+Tabla1[[#This Row],[COSTO TOTAL COCHE]]</f>
        <v>18.518518518518519</v>
      </c>
      <c r="S3477" s="2"/>
      <c r="T3477" s="2" t="s">
        <v>35</v>
      </c>
      <c r="U3477" s="14">
        <v>45363</v>
      </c>
      <c r="V3477" s="14">
        <v>45365</v>
      </c>
      <c r="W3477" s="15"/>
      <c r="X3477" s="16">
        <v>11</v>
      </c>
      <c r="Y3477" s="18" t="s">
        <v>97</v>
      </c>
      <c r="Z3477" s="2" t="s">
        <v>36</v>
      </c>
      <c r="AA3477" s="13" t="s">
        <v>10336</v>
      </c>
      <c r="AB3477" s="13" t="s">
        <v>10337</v>
      </c>
    </row>
    <row r="3478" spans="1:28" ht="15" customHeight="1">
      <c r="A3478" s="2" t="s">
        <v>8943</v>
      </c>
      <c r="B3478" s="2" t="s">
        <v>28</v>
      </c>
      <c r="C3478" s="104" t="s">
        <v>1377</v>
      </c>
      <c r="D3478" s="2" t="s">
        <v>30</v>
      </c>
      <c r="E3478" s="2" t="s">
        <v>100</v>
      </c>
      <c r="F3478" s="11" t="s">
        <v>101</v>
      </c>
      <c r="G3478" s="21" t="s">
        <v>5155</v>
      </c>
      <c r="H3478" s="157" t="s">
        <v>4431</v>
      </c>
      <c r="I3478" s="158" t="s">
        <v>96</v>
      </c>
      <c r="J3478" s="22">
        <f>+Tabla1[[#This Row],[FECHA ENTRADA]]</f>
        <v>45685</v>
      </c>
      <c r="K3478" s="22">
        <v>45728</v>
      </c>
      <c r="L3478" s="23">
        <f>_xlfn.DAYS(Tabla1[[#This Row],[FECHA FIN ]],Tabla1[[#This Row],[FECHA INICIO]])</f>
        <v>43</v>
      </c>
      <c r="M3478" s="12"/>
      <c r="N3478" s="12"/>
      <c r="O3478" s="24">
        <f>(Tabla1[[#This Row],[COSTO FIJO ]]/30)*Tabla1[[#This Row],[TOTAL DIAS PROYECTO]]+(Tabla1[[#This Row],[COSTO TEMPORAL]])</f>
        <v>0</v>
      </c>
      <c r="P3478" s="12">
        <f>651.96/3</f>
        <v>217.32000000000002</v>
      </c>
      <c r="Q3478" s="12">
        <f>+(Tabla1[[#This Row],[COSTO COCHE]]/30)*Tabla1[[#This Row],[TOTAL DIAS PROYECTO]]</f>
        <v>311.49200000000002</v>
      </c>
      <c r="R3478" s="12">
        <f>+Tabla1[[#This Row],[COSTO TOTAL ALOJAMIENTO]]+Tabla1[[#This Row],[COSTO TOTAL COCHE]]</f>
        <v>311.49200000000002</v>
      </c>
      <c r="S3478" s="2"/>
      <c r="T3478" s="2" t="s">
        <v>35</v>
      </c>
      <c r="U3478" s="14">
        <v>45685</v>
      </c>
      <c r="V3478" s="79"/>
      <c r="W3478" s="26"/>
      <c r="X3478" s="2">
        <v>25</v>
      </c>
      <c r="Y3478" t="s">
        <v>5156</v>
      </c>
      <c r="Z3478" s="2" t="s">
        <v>36</v>
      </c>
      <c r="AA3478" s="13" t="s">
        <v>10338</v>
      </c>
      <c r="AB3478" s="13">
        <v>3718817</v>
      </c>
    </row>
    <row r="3479" spans="1:28" ht="15" customHeight="1">
      <c r="A3479" s="2" t="s">
        <v>9489</v>
      </c>
      <c r="B3479" s="2" t="s">
        <v>978</v>
      </c>
      <c r="C3479" s="97" t="s">
        <v>3366</v>
      </c>
      <c r="D3479" s="2" t="s">
        <v>30</v>
      </c>
      <c r="E3479" s="2" t="s">
        <v>31</v>
      </c>
      <c r="F3479" s="11" t="s">
        <v>5157</v>
      </c>
      <c r="G3479" s="30" t="s">
        <v>3915</v>
      </c>
      <c r="H3479" s="157" t="s">
        <v>3363</v>
      </c>
      <c r="I3479" s="10" t="s">
        <v>3364</v>
      </c>
      <c r="J3479" s="41">
        <f>+Tabla1[[#This Row],[FECHA ENTRADA]]</f>
        <v>45812</v>
      </c>
      <c r="K3479" s="22">
        <v>45914</v>
      </c>
      <c r="L3479" s="42">
        <f>_xlfn.DAYS(Tabla1[[#This Row],[FECHA FIN ]],Tabla1[[#This Row],[FECHA INICIO]])</f>
        <v>102</v>
      </c>
      <c r="M3479" s="12"/>
      <c r="N3479" s="12">
        <v>550</v>
      </c>
      <c r="O3479" s="28">
        <f>(Tabla1[[#This Row],[COSTO FIJO ]]/30)*Tabla1[[#This Row],[TOTAL DIAS PROYECTO]]+(Tabla1[[#This Row],[COSTO TEMPORAL]])</f>
        <v>1869.9999999999998</v>
      </c>
      <c r="P3479" s="12"/>
      <c r="Q3479" s="12">
        <f>+(Tabla1[[#This Row],[COSTO COCHE]]/30)*Tabla1[[#This Row],[TOTAL DIAS PROYECTO]]</f>
        <v>0</v>
      </c>
      <c r="R3479" s="12">
        <f>+Tabla1[[#This Row],[COSTO TOTAL ALOJAMIENTO]]+Tabla1[[#This Row],[COSTO TOTAL COCHE]]</f>
        <v>1869.9999999999998</v>
      </c>
      <c r="S3479" s="2"/>
      <c r="T3479" s="14" t="s">
        <v>35</v>
      </c>
      <c r="U3479" s="14">
        <v>45812</v>
      </c>
      <c r="V3479" s="75"/>
      <c r="W3479" s="2"/>
      <c r="X3479" s="2">
        <v>1</v>
      </c>
      <c r="Y3479" s="11" t="s">
        <v>5158</v>
      </c>
      <c r="Z3479" s="2" t="s">
        <v>36</v>
      </c>
      <c r="AA3479" s="13" t="s">
        <v>10323</v>
      </c>
      <c r="AB3479" s="13" t="s">
        <v>10324</v>
      </c>
    </row>
    <row r="3480" spans="1:28" ht="15" customHeight="1">
      <c r="A3480" s="2" t="s">
        <v>9186</v>
      </c>
      <c r="B3480" s="2" t="s">
        <v>978</v>
      </c>
      <c r="C3480" s="97" t="s">
        <v>2361</v>
      </c>
      <c r="D3480" s="2" t="s">
        <v>30</v>
      </c>
      <c r="E3480" s="2" t="s">
        <v>31</v>
      </c>
      <c r="F3480" s="11" t="s">
        <v>3914</v>
      </c>
      <c r="G3480" s="30" t="s">
        <v>3915</v>
      </c>
      <c r="H3480" s="157" t="s">
        <v>3363</v>
      </c>
      <c r="I3480" s="10" t="s">
        <v>3364</v>
      </c>
      <c r="J3480" s="41">
        <f>+Tabla1[[#This Row],[FECHA ENTRADA]]</f>
        <v>45812</v>
      </c>
      <c r="K3480" s="22">
        <v>45914</v>
      </c>
      <c r="L3480" s="42">
        <f>_xlfn.DAYS(Tabla1[[#This Row],[FECHA FIN ]],Tabla1[[#This Row],[FECHA INICIO]])</f>
        <v>102</v>
      </c>
      <c r="M3480" s="12"/>
      <c r="N3480" s="12">
        <v>500</v>
      </c>
      <c r="O3480" s="28">
        <f>(Tabla1[[#This Row],[COSTO FIJO ]]/30)*Tabla1[[#This Row],[TOTAL DIAS PROYECTO]]+(Tabla1[[#This Row],[COSTO TEMPORAL]])</f>
        <v>1700.0000000000002</v>
      </c>
      <c r="P3480" s="12"/>
      <c r="Q3480" s="12">
        <f>+(Tabla1[[#This Row],[COSTO COCHE]]/30)*Tabla1[[#This Row],[TOTAL DIAS PROYECTO]]</f>
        <v>0</v>
      </c>
      <c r="R3480" s="12">
        <f>+Tabla1[[#This Row],[COSTO TOTAL ALOJAMIENTO]]+Tabla1[[#This Row],[COSTO TOTAL COCHE]]</f>
        <v>1700.0000000000002</v>
      </c>
      <c r="S3480" s="2"/>
      <c r="T3480" s="14" t="s">
        <v>35</v>
      </c>
      <c r="U3480" s="14">
        <v>45812</v>
      </c>
      <c r="V3480" s="75"/>
      <c r="W3480" s="2"/>
      <c r="X3480" s="2">
        <v>1</v>
      </c>
      <c r="Y3480" s="11" t="s">
        <v>5159</v>
      </c>
      <c r="Z3480" s="2" t="s">
        <v>36</v>
      </c>
      <c r="AA3480" s="13" t="s">
        <v>10323</v>
      </c>
      <c r="AB3480" s="13" t="s">
        <v>10324</v>
      </c>
    </row>
    <row r="3481" spans="1:28" ht="15" customHeight="1">
      <c r="A3481" s="2" t="s">
        <v>8952</v>
      </c>
      <c r="B3481" s="2" t="s">
        <v>28</v>
      </c>
      <c r="C3481" s="97" t="s">
        <v>1442</v>
      </c>
      <c r="D3481" s="2" t="s">
        <v>30</v>
      </c>
      <c r="E3481" s="2" t="s">
        <v>31</v>
      </c>
      <c r="F3481" s="11" t="s">
        <v>758</v>
      </c>
      <c r="G3481" s="11" t="s">
        <v>759</v>
      </c>
      <c r="H3481" s="157" t="s">
        <v>4785</v>
      </c>
      <c r="I3481" s="158" t="s">
        <v>34</v>
      </c>
      <c r="J3481" s="22">
        <f>+Tabla1[[#This Row],[FECHA ENTRADA]]</f>
        <v>45874</v>
      </c>
      <c r="K3481" s="22">
        <v>45914</v>
      </c>
      <c r="L3481" s="23">
        <f>_xlfn.DAYS(Tabla1[[#This Row],[FECHA FIN ]],Tabla1[[#This Row],[FECHA INICIO]])</f>
        <v>40</v>
      </c>
      <c r="M3481" s="12"/>
      <c r="N3481" s="12"/>
      <c r="O3481" s="24">
        <f>(Tabla1[[#This Row],[COSTO FIJO ]]/30)*Tabla1[[#This Row],[TOTAL DIAS PROYECTO]]+(Tabla1[[#This Row],[COSTO TEMPORAL]])</f>
        <v>0</v>
      </c>
      <c r="P3481" s="12"/>
      <c r="Q3481" s="12">
        <f>+(Tabla1[[#This Row],[COSTO COCHE]]/30)*Tabla1[[#This Row],[TOTAL DIAS PROYECTO]]</f>
        <v>0</v>
      </c>
      <c r="R3481" s="12">
        <f>+Tabla1[[#This Row],[COSTO TOTAL ALOJAMIENTO]]+Tabla1[[#This Row],[COSTO TOTAL COCHE]]</f>
        <v>0</v>
      </c>
      <c r="S3481" s="2"/>
      <c r="T3481" s="14" t="s">
        <v>35</v>
      </c>
      <c r="U3481" s="14">
        <v>45874</v>
      </c>
      <c r="V3481" s="25"/>
      <c r="W3481" s="12"/>
      <c r="X3481" s="2">
        <v>1</v>
      </c>
      <c r="Y3481" s="11" t="s">
        <v>5160</v>
      </c>
      <c r="Z3481" s="2" t="s">
        <v>36</v>
      </c>
      <c r="AA3481" s="13" t="s">
        <v>10323</v>
      </c>
      <c r="AB3481" s="13" t="s">
        <v>10324</v>
      </c>
    </row>
    <row r="3482" spans="1:28" ht="15" customHeight="1">
      <c r="A3482" s="2" t="s">
        <v>9834</v>
      </c>
      <c r="B3482" s="2" t="s">
        <v>978</v>
      </c>
      <c r="C3482" s="104" t="s">
        <v>4960</v>
      </c>
      <c r="D3482" s="2" t="s">
        <v>30</v>
      </c>
      <c r="E3482" s="2" t="s">
        <v>31</v>
      </c>
      <c r="F3482" s="11" t="s">
        <v>32</v>
      </c>
      <c r="G3482" s="11" t="s">
        <v>33</v>
      </c>
      <c r="H3482" s="157" t="s">
        <v>5161</v>
      </c>
      <c r="I3482" s="158" t="s">
        <v>3791</v>
      </c>
      <c r="J3482" s="41">
        <f>+Tabla1[[#This Row],[FECHA ENTRADA]]</f>
        <v>45895</v>
      </c>
      <c r="K3482" s="41">
        <v>45914</v>
      </c>
      <c r="L3482" s="42">
        <f>_xlfn.DAYS(Tabla1[[#This Row],[FECHA FIN ]],Tabla1[[#This Row],[FECHA INICIO]])</f>
        <v>19</v>
      </c>
      <c r="M3482" s="12"/>
      <c r="N3482" s="12"/>
      <c r="O3482" s="28">
        <f>(Tabla1[[#This Row],[COSTO FIJO ]]/30)*Tabla1[[#This Row],[TOTAL DIAS PROYECTO]]+(Tabla1[[#This Row],[COSTO TEMPORAL]])</f>
        <v>0</v>
      </c>
      <c r="P3482" s="12"/>
      <c r="Q3482" s="12">
        <f>+(Tabla1[[#This Row],[COSTO COCHE]]/30)*Tabla1[[#This Row],[TOTAL DIAS PROYECTO]]</f>
        <v>0</v>
      </c>
      <c r="R3482" s="12">
        <f>+Tabla1[[#This Row],[COSTO TOTAL ALOJAMIENTO]]+Tabla1[[#This Row],[COSTO TOTAL COCHE]]</f>
        <v>0</v>
      </c>
      <c r="S3482" s="2"/>
      <c r="T3482" s="14" t="s">
        <v>35</v>
      </c>
      <c r="U3482" s="14">
        <v>45895</v>
      </c>
      <c r="V3482" s="43"/>
      <c r="W3482" s="12"/>
      <c r="X3482" s="2">
        <v>1</v>
      </c>
      <c r="Y3482" s="11" t="s">
        <v>5162</v>
      </c>
      <c r="Z3482" s="2" t="s">
        <v>36</v>
      </c>
      <c r="AA3482" s="13" t="s">
        <v>10323</v>
      </c>
      <c r="AB3482" s="13" t="s">
        <v>10324</v>
      </c>
    </row>
    <row r="3483" spans="1:28" ht="15" customHeight="1">
      <c r="A3483" s="2" t="s">
        <v>9636</v>
      </c>
      <c r="B3483" s="2" t="s">
        <v>28</v>
      </c>
      <c r="C3483" s="104" t="s">
        <v>4018</v>
      </c>
      <c r="D3483" s="2" t="s">
        <v>30</v>
      </c>
      <c r="E3483" s="2" t="s">
        <v>31</v>
      </c>
      <c r="F3483" s="11" t="s">
        <v>32</v>
      </c>
      <c r="G3483" s="11" t="s">
        <v>33</v>
      </c>
      <c r="H3483" s="157" t="s">
        <v>4397</v>
      </c>
      <c r="I3483" s="158" t="s">
        <v>34</v>
      </c>
      <c r="J3483" s="41">
        <f>+Tabla1[[#This Row],[FECHA ENTRADA]]</f>
        <v>45794</v>
      </c>
      <c r="K3483" s="41">
        <v>45914</v>
      </c>
      <c r="L3483" s="42">
        <f>_xlfn.DAYS(Tabla1[[#This Row],[FECHA FIN ]],Tabla1[[#This Row],[FECHA INICIO]])</f>
        <v>120</v>
      </c>
      <c r="M3483" s="12"/>
      <c r="N3483" s="12"/>
      <c r="O3483" s="28">
        <f>(Tabla1[[#This Row],[COSTO FIJO ]]/30)*Tabla1[[#This Row],[TOTAL DIAS PROYECTO]]+(Tabla1[[#This Row],[COSTO TEMPORAL]])</f>
        <v>0</v>
      </c>
      <c r="P3483" s="12"/>
      <c r="Q3483" s="12">
        <f>+(Tabla1[[#This Row],[COSTO COCHE]]/30)*Tabla1[[#This Row],[TOTAL DIAS PROYECTO]]</f>
        <v>0</v>
      </c>
      <c r="R3483" s="12">
        <f>+Tabla1[[#This Row],[COSTO TOTAL ALOJAMIENTO]]+Tabla1[[#This Row],[COSTO TOTAL COCHE]]</f>
        <v>0</v>
      </c>
      <c r="S3483" s="2"/>
      <c r="T3483" s="2" t="s">
        <v>35</v>
      </c>
      <c r="U3483" s="14">
        <v>45794</v>
      </c>
      <c r="V3483" s="43"/>
      <c r="W3483" s="2"/>
      <c r="X3483" s="2">
        <v>1</v>
      </c>
      <c r="Y3483" s="11" t="s">
        <v>5163</v>
      </c>
      <c r="Z3483" s="2" t="s">
        <v>36</v>
      </c>
      <c r="AA3483" s="13" t="s">
        <v>10323</v>
      </c>
      <c r="AB3483" s="13" t="s">
        <v>10324</v>
      </c>
    </row>
    <row r="3484" spans="1:28" ht="15" customHeight="1">
      <c r="A3484" s="2" t="s">
        <v>9873</v>
      </c>
      <c r="B3484" s="2" t="s">
        <v>28</v>
      </c>
      <c r="C3484" s="97" t="s">
        <v>5164</v>
      </c>
      <c r="D3484" s="2" t="s">
        <v>30</v>
      </c>
      <c r="E3484" s="2" t="s">
        <v>31</v>
      </c>
      <c r="F3484" s="11" t="s">
        <v>715</v>
      </c>
      <c r="G3484" s="11" t="s">
        <v>716</v>
      </c>
      <c r="H3484" s="157" t="s">
        <v>5165</v>
      </c>
      <c r="I3484" s="158" t="s">
        <v>181</v>
      </c>
      <c r="J3484" s="22">
        <f>+Tabla1[[#This Row],[FECHA ENTRADA]]</f>
        <v>45908</v>
      </c>
      <c r="K3484" s="22">
        <v>45914</v>
      </c>
      <c r="L3484" s="23">
        <f>_xlfn.DAYS(Tabla1[[#This Row],[FECHA FIN ]],Tabla1[[#This Row],[FECHA INICIO]])</f>
        <v>6</v>
      </c>
      <c r="M3484" s="12"/>
      <c r="N3484" s="12">
        <v>160</v>
      </c>
      <c r="O3484" s="24">
        <f>(Tabla1[[#This Row],[COSTO FIJO ]]/30)*Tabla1[[#This Row],[TOTAL DIAS PROYECTO]]+(Tabla1[[#This Row],[COSTO TEMPORAL]])</f>
        <v>32</v>
      </c>
      <c r="P3484" s="12"/>
      <c r="Q3484" s="12">
        <f>+(Tabla1[[#This Row],[COSTO COCHE]]/30)*Tabla1[[#This Row],[TOTAL DIAS PROYECTO]]</f>
        <v>0</v>
      </c>
      <c r="R3484" s="12">
        <f>+Tabla1[[#This Row],[COSTO TOTAL ALOJAMIENTO]]+Tabla1[[#This Row],[COSTO TOTAL COCHE]]</f>
        <v>32</v>
      </c>
      <c r="S3484" s="2"/>
      <c r="T3484" s="14" t="s">
        <v>35</v>
      </c>
      <c r="U3484" s="14">
        <v>45908</v>
      </c>
      <c r="V3484" s="79"/>
      <c r="W3484" s="71"/>
      <c r="X3484" s="2">
        <v>1</v>
      </c>
      <c r="Y3484" t="s">
        <v>5166</v>
      </c>
      <c r="Z3484" s="2" t="s">
        <v>36</v>
      </c>
      <c r="AA3484" s="13" t="s">
        <v>10323</v>
      </c>
      <c r="AB3484" s="13" t="s">
        <v>10324</v>
      </c>
    </row>
    <row r="3485" spans="1:28" ht="15" customHeight="1">
      <c r="A3485" s="2" t="s">
        <v>9799</v>
      </c>
      <c r="B3485" s="2" t="s">
        <v>711</v>
      </c>
      <c r="C3485" s="104" t="s">
        <v>4801</v>
      </c>
      <c r="D3485" s="2" t="s">
        <v>99</v>
      </c>
      <c r="E3485" s="2" t="s">
        <v>1719</v>
      </c>
      <c r="F3485" s="11" t="s">
        <v>5136</v>
      </c>
      <c r="G3485" s="49" t="s">
        <v>5137</v>
      </c>
      <c r="H3485" s="157" t="s">
        <v>5138</v>
      </c>
      <c r="I3485" s="158" t="s">
        <v>5139</v>
      </c>
      <c r="J3485" s="22">
        <f>+Tabla1[[#This Row],[FECHA ENTRADA]]</f>
        <v>45902</v>
      </c>
      <c r="K3485" s="22">
        <v>45914</v>
      </c>
      <c r="L3485" s="23">
        <f>_xlfn.DAYS(Tabla1[[#This Row],[FECHA FIN ]],Tabla1[[#This Row],[FECHA INICIO]])</f>
        <v>12</v>
      </c>
      <c r="M3485" s="12"/>
      <c r="N3485" s="12">
        <f>447.8/2</f>
        <v>223.9</v>
      </c>
      <c r="O3485" s="24">
        <f>(Tabla1[[#This Row],[COSTO FIJO ]]/30)*Tabla1[[#This Row],[TOTAL DIAS PROYECTO]]+(Tabla1[[#This Row],[COSTO TEMPORAL]])</f>
        <v>89.56</v>
      </c>
      <c r="P3485" s="12"/>
      <c r="Q3485" s="12">
        <f>+(Tabla1[[#This Row],[COSTO COCHE]]/30)*Tabla1[[#This Row],[TOTAL DIAS PROYECTO]]</f>
        <v>0</v>
      </c>
      <c r="R3485" s="12">
        <f>+Tabla1[[#This Row],[COSTO TOTAL ALOJAMIENTO]]+Tabla1[[#This Row],[COSTO TOTAL COCHE]]</f>
        <v>89.56</v>
      </c>
      <c r="S3485" s="2" t="s">
        <v>84</v>
      </c>
      <c r="T3485" s="14" t="s">
        <v>44</v>
      </c>
      <c r="U3485" s="14">
        <v>45902</v>
      </c>
      <c r="V3485" s="25">
        <v>45914</v>
      </c>
      <c r="W3485" s="71"/>
      <c r="X3485" s="2"/>
      <c r="Y3485" s="11"/>
      <c r="Z3485" s="2" t="s">
        <v>36</v>
      </c>
      <c r="AA3485" s="13" t="s">
        <v>10427</v>
      </c>
      <c r="AB3485" s="13">
        <v>4260003</v>
      </c>
    </row>
    <row r="3486" spans="1:28" ht="15" customHeight="1">
      <c r="A3486" s="2" t="s">
        <v>9874</v>
      </c>
      <c r="B3486" s="2" t="s">
        <v>28</v>
      </c>
      <c r="C3486" s="97" t="s">
        <v>5167</v>
      </c>
      <c r="D3486" s="2" t="s">
        <v>99</v>
      </c>
      <c r="E3486" s="2" t="s">
        <v>253</v>
      </c>
      <c r="F3486" s="11" t="s">
        <v>1984</v>
      </c>
      <c r="G3486" s="49" t="s">
        <v>1985</v>
      </c>
      <c r="H3486" s="157" t="s">
        <v>5168</v>
      </c>
      <c r="I3486" s="158" t="s">
        <v>5169</v>
      </c>
      <c r="J3486" s="41">
        <f>+Tabla1[[#This Row],[FECHA ENTRADA]]</f>
        <v>45887</v>
      </c>
      <c r="K3486" s="22">
        <v>45914</v>
      </c>
      <c r="L3486" s="42">
        <f>_xlfn.DAYS(Tabla1[[#This Row],[FECHA FIN ]],Tabla1[[#This Row],[FECHA INICIO]])</f>
        <v>27</v>
      </c>
      <c r="M3486" s="12"/>
      <c r="N3486" s="12"/>
      <c r="O3486" s="28">
        <f>(Tabla1[[#This Row],[COSTO FIJO ]]/30)*Tabla1[[#This Row],[TOTAL DIAS PROYECTO]]+(Tabla1[[#This Row],[COSTO TEMPORAL]])</f>
        <v>0</v>
      </c>
      <c r="P3486" s="12"/>
      <c r="Q3486" s="12">
        <f>+(Tabla1[[#This Row],[COSTO COCHE]]/30)*Tabla1[[#This Row],[TOTAL DIAS PROYECTO]]</f>
        <v>0</v>
      </c>
      <c r="R3486" s="12">
        <f>+Tabla1[[#This Row],[COSTO TOTAL ALOJAMIENTO]]+Tabla1[[#This Row],[COSTO TOTAL COCHE]]</f>
        <v>0</v>
      </c>
      <c r="S3486" s="2"/>
      <c r="T3486" s="14" t="s">
        <v>44</v>
      </c>
      <c r="U3486" s="14">
        <v>45887</v>
      </c>
      <c r="V3486" s="25">
        <v>45916</v>
      </c>
      <c r="W3486" s="12"/>
      <c r="X3486" s="2"/>
      <c r="Y3486" s="11" t="s">
        <v>5170</v>
      </c>
      <c r="Z3486" s="2" t="s">
        <v>36</v>
      </c>
      <c r="AA3486" s="13" t="s">
        <v>10357</v>
      </c>
      <c r="AB3486" s="13" t="s">
        <v>10358</v>
      </c>
    </row>
    <row r="3487" spans="1:28" ht="15" customHeight="1">
      <c r="A3487" s="2" t="s">
        <v>9258</v>
      </c>
      <c r="B3487" s="2" t="s">
        <v>711</v>
      </c>
      <c r="C3487" s="104" t="s">
        <v>2625</v>
      </c>
      <c r="D3487" s="2" t="s">
        <v>30</v>
      </c>
      <c r="E3487" s="2" t="s">
        <v>31</v>
      </c>
      <c r="F3487" s="11" t="s">
        <v>5082</v>
      </c>
      <c r="G3487" s="46" t="s">
        <v>5083</v>
      </c>
      <c r="H3487" s="157" t="s">
        <v>5084</v>
      </c>
      <c r="I3487" s="158" t="s">
        <v>5085</v>
      </c>
      <c r="J3487" s="41">
        <f>+Tabla1[[#This Row],[FECHA ENTRADA]]</f>
        <v>45887</v>
      </c>
      <c r="K3487" s="41">
        <v>46021</v>
      </c>
      <c r="L3487" s="42">
        <f>_xlfn.DAYS(Tabla1[[#This Row],[FECHA FIN ]],Tabla1[[#This Row],[FECHA INICIO]])</f>
        <v>134</v>
      </c>
      <c r="M3487" s="12"/>
      <c r="N3487" s="28">
        <v>416.66666666666669</v>
      </c>
      <c r="O3487" s="28">
        <f>(Tabla1[[#This Row],[COSTO FIJO ]]/30)*Tabla1[[#This Row],[TOTAL DIAS PROYECTO]]+(Tabla1[[#This Row],[COSTO TEMPORAL]])</f>
        <v>1861.1111111111111</v>
      </c>
      <c r="P3487" s="12"/>
      <c r="Q3487" s="12">
        <f>+(Tabla1[[#This Row],[COSTO COCHE]]/30)*Tabla1[[#This Row],[TOTAL DIAS PROYECTO]]</f>
        <v>0</v>
      </c>
      <c r="R3487" s="12">
        <f>+Tabla1[[#This Row],[COSTO TOTAL ALOJAMIENTO]]+Tabla1[[#This Row],[COSTO TOTAL COCHE]]</f>
        <v>1861.1111111111111</v>
      </c>
      <c r="S3487" s="2"/>
      <c r="T3487" s="14" t="s">
        <v>44</v>
      </c>
      <c r="U3487" s="14">
        <v>45887</v>
      </c>
      <c r="V3487" s="25">
        <v>46021</v>
      </c>
      <c r="W3487" s="12"/>
      <c r="X3487" s="2">
        <v>25</v>
      </c>
      <c r="Y3487" s="11" t="s">
        <v>5171</v>
      </c>
      <c r="Z3487" s="2" t="s">
        <v>36</v>
      </c>
      <c r="AA3487" s="13" t="s">
        <v>10323</v>
      </c>
      <c r="AB3487" s="13" t="s">
        <v>10324</v>
      </c>
    </row>
    <row r="3488" spans="1:28" ht="15" customHeight="1">
      <c r="A3488" s="2" t="s">
        <v>9826</v>
      </c>
      <c r="B3488" s="2" t="s">
        <v>368</v>
      </c>
      <c r="C3488" s="104" t="s">
        <v>4927</v>
      </c>
      <c r="D3488" s="2" t="s">
        <v>30</v>
      </c>
      <c r="E3488" s="2" t="s">
        <v>31</v>
      </c>
      <c r="F3488" s="11" t="s">
        <v>5082</v>
      </c>
      <c r="G3488" s="49" t="s">
        <v>5083</v>
      </c>
      <c r="H3488" s="157" t="s">
        <v>4926</v>
      </c>
      <c r="I3488" s="158" t="s">
        <v>412</v>
      </c>
      <c r="J3488" s="41">
        <f>+Tabla1[[#This Row],[FECHA ENTRADA]]</f>
        <v>45892</v>
      </c>
      <c r="K3488" s="22">
        <v>46021</v>
      </c>
      <c r="L3488" s="42">
        <f>_xlfn.DAYS(Tabla1[[#This Row],[FECHA FIN ]],Tabla1[[#This Row],[FECHA INICIO]])</f>
        <v>129</v>
      </c>
      <c r="M3488" s="12"/>
      <c r="N3488" s="28">
        <v>416.66666666666669</v>
      </c>
      <c r="O3488" s="28">
        <f>(Tabla1[[#This Row],[COSTO FIJO ]]/30)*Tabla1[[#This Row],[TOTAL DIAS PROYECTO]]+(Tabla1[[#This Row],[COSTO TEMPORAL]])</f>
        <v>1791.6666666666667</v>
      </c>
      <c r="P3488" s="12"/>
      <c r="Q3488" s="12">
        <f>+(Tabla1[[#This Row],[COSTO COCHE]]/30)*Tabla1[[#This Row],[TOTAL DIAS PROYECTO]]</f>
        <v>0</v>
      </c>
      <c r="R3488" s="12">
        <f>+Tabla1[[#This Row],[COSTO TOTAL ALOJAMIENTO]]+Tabla1[[#This Row],[COSTO TOTAL COCHE]]</f>
        <v>1791.6666666666667</v>
      </c>
      <c r="S3488" s="2"/>
      <c r="T3488" s="14" t="s">
        <v>44</v>
      </c>
      <c r="U3488" s="14">
        <v>45892</v>
      </c>
      <c r="V3488" s="25">
        <v>46021</v>
      </c>
      <c r="W3488" s="12"/>
      <c r="X3488" s="2">
        <v>25</v>
      </c>
      <c r="Y3488" s="11" t="s">
        <v>5172</v>
      </c>
      <c r="Z3488" s="2" t="s">
        <v>36</v>
      </c>
      <c r="AA3488" s="13" t="s">
        <v>10323</v>
      </c>
      <c r="AB3488" s="13" t="s">
        <v>10324</v>
      </c>
    </row>
    <row r="3489" spans="1:28" ht="15" customHeight="1">
      <c r="A3489" s="2" t="s">
        <v>9539</v>
      </c>
      <c r="B3489" s="2" t="s">
        <v>978</v>
      </c>
      <c r="C3489" s="104" t="s">
        <v>3579</v>
      </c>
      <c r="D3489" s="2" t="s">
        <v>30</v>
      </c>
      <c r="E3489" s="2" t="s">
        <v>109</v>
      </c>
      <c r="F3489" s="11" t="s">
        <v>2161</v>
      </c>
      <c r="G3489" s="46" t="s">
        <v>2162</v>
      </c>
      <c r="H3489" s="157" t="s">
        <v>4680</v>
      </c>
      <c r="I3489" s="269" t="s">
        <v>4681</v>
      </c>
      <c r="J3489" s="41">
        <f>+Tabla1[[#This Row],[FECHA ENTRADA]]</f>
        <v>45854</v>
      </c>
      <c r="K3489" s="22">
        <v>45869</v>
      </c>
      <c r="L3489" s="42">
        <f>_xlfn.DAYS(Tabla1[[#This Row],[FECHA FIN ]],Tabla1[[#This Row],[FECHA INICIO]])</f>
        <v>15</v>
      </c>
      <c r="M3489" s="12">
        <v>350</v>
      </c>
      <c r="N3489" s="28"/>
      <c r="O3489" s="28">
        <f>(Tabla1[[#This Row],[COSTO FIJO ]]/30)*Tabla1[[#This Row],[TOTAL DIAS PROYECTO]]+(Tabla1[[#This Row],[COSTO TEMPORAL]])</f>
        <v>350</v>
      </c>
      <c r="P3489" s="12"/>
      <c r="Q3489" s="12">
        <f>+(Tabla1[[#This Row],[COSTO COCHE]]/30)*Tabla1[[#This Row],[TOTAL DIAS PROYECTO]]</f>
        <v>0</v>
      </c>
      <c r="R3489" s="12">
        <f>+Tabla1[[#This Row],[COSTO TOTAL ALOJAMIENTO]]+Tabla1[[#This Row],[COSTO TOTAL COCHE]]</f>
        <v>350</v>
      </c>
      <c r="S3489" s="2"/>
      <c r="T3489" s="14" t="s">
        <v>44</v>
      </c>
      <c r="U3489" s="14">
        <v>45854</v>
      </c>
      <c r="V3489" s="43">
        <v>45869</v>
      </c>
      <c r="W3489" s="12"/>
      <c r="X3489" s="2"/>
      <c r="Y3489" s="11" t="s">
        <v>4545</v>
      </c>
      <c r="Z3489" s="2" t="s">
        <v>36</v>
      </c>
      <c r="AA3489" s="13">
        <v>0.62217999999999996</v>
      </c>
      <c r="AB3489" s="13" t="s">
        <v>10339</v>
      </c>
    </row>
    <row r="3490" spans="1:28" ht="15" customHeight="1">
      <c r="A3490" s="2" t="s">
        <v>8642</v>
      </c>
      <c r="B3490" s="2" t="s">
        <v>711</v>
      </c>
      <c r="C3490" s="97" t="s">
        <v>5173</v>
      </c>
      <c r="D3490" s="2" t="s">
        <v>30</v>
      </c>
      <c r="E3490" s="2" t="s">
        <v>92</v>
      </c>
      <c r="F3490" s="11"/>
      <c r="G3490" s="46"/>
      <c r="H3490" s="157" t="s">
        <v>5174</v>
      </c>
      <c r="I3490" s="158" t="s">
        <v>96</v>
      </c>
      <c r="J3490" s="41">
        <f>+Tabla1[[#This Row],[FECHA ENTRADA]]</f>
        <v>46173</v>
      </c>
      <c r="K3490" s="22">
        <v>46233</v>
      </c>
      <c r="L3490" s="42">
        <f>_xlfn.DAYS(Tabla1[[#This Row],[FECHA FIN ]],Tabla1[[#This Row],[FECHA INICIO]])</f>
        <v>60</v>
      </c>
      <c r="M3490" s="12"/>
      <c r="N3490" s="28">
        <v>0</v>
      </c>
      <c r="O3490" s="28">
        <f>(Tabla1[[#This Row],[COSTO FIJO ]]/30)*Tabla1[[#This Row],[TOTAL DIAS PROYECTO]]+(Tabla1[[#This Row],[COSTO TEMPORAL]])</f>
        <v>0</v>
      </c>
      <c r="P3490" s="12"/>
      <c r="Q3490" s="12">
        <f>+(Tabla1[[#This Row],[COSTO COCHE]]/30)*Tabla1[[#This Row],[TOTAL DIAS PROYECTO]]</f>
        <v>0</v>
      </c>
      <c r="R3490" s="12">
        <f>+Tabla1[[#This Row],[COSTO TOTAL ALOJAMIENTO]]+Tabla1[[#This Row],[COSTO TOTAL COCHE]]</f>
        <v>0</v>
      </c>
      <c r="S3490" s="2"/>
      <c r="T3490" s="14" t="s">
        <v>8</v>
      </c>
      <c r="U3490" s="14">
        <v>46173</v>
      </c>
      <c r="V3490" s="43"/>
      <c r="W3490" s="12"/>
      <c r="X3490" s="2"/>
      <c r="Y3490" s="11" t="s">
        <v>3186</v>
      </c>
      <c r="Z3490" s="2" t="s">
        <v>36</v>
      </c>
      <c r="AA3490" s="13" t="s">
        <v>10336</v>
      </c>
      <c r="AB3490" s="13" t="s">
        <v>10337</v>
      </c>
    </row>
    <row r="3491" spans="1:28" ht="15" customHeight="1">
      <c r="A3491" s="2" t="s">
        <v>9875</v>
      </c>
      <c r="B3491" s="2" t="s">
        <v>28</v>
      </c>
      <c r="C3491" s="191" t="s">
        <v>5175</v>
      </c>
      <c r="D3491" s="2" t="s">
        <v>30</v>
      </c>
      <c r="E3491" s="2" t="s">
        <v>648</v>
      </c>
      <c r="F3491" s="11" t="s">
        <v>3672</v>
      </c>
      <c r="G3491" s="11" t="s">
        <v>1545</v>
      </c>
      <c r="H3491" s="157" t="s">
        <v>5176</v>
      </c>
      <c r="I3491" s="158" t="s">
        <v>96</v>
      </c>
      <c r="J3491" s="8">
        <f>+Tabla1[[#This Row],[FECHA ENTRADA]]</f>
        <v>45466</v>
      </c>
      <c r="K3491" s="8">
        <v>45670</v>
      </c>
      <c r="L3491" s="13">
        <f>_xlfn.DAYS(Tabla1[[#This Row],[FECHA FIN ]],Tabla1[[#This Row],[FECHA INICIO]])</f>
        <v>204</v>
      </c>
      <c r="M3491" s="12"/>
      <c r="N3491" s="12">
        <v>240</v>
      </c>
      <c r="O3491" s="12">
        <f>(Tabla1[[#This Row],[COSTO FIJO ]]/30)*Tabla1[[#This Row],[TOTAL DIAS PROYECTO]]+(Tabla1[[#This Row],[COSTO TEMPORAL]])</f>
        <v>1632</v>
      </c>
      <c r="P3491" s="12"/>
      <c r="Q3491" s="12">
        <f>+(Tabla1[[#This Row],[COSTO COCHE]]/30)*Tabla1[[#This Row],[TOTAL DIAS PROYECTO]]</f>
        <v>0</v>
      </c>
      <c r="R3491" s="12">
        <f>+Tabla1[[#This Row],[COSTO TOTAL ALOJAMIENTO]]+Tabla1[[#This Row],[COSTO TOTAL COCHE]]</f>
        <v>1632</v>
      </c>
      <c r="S3491" s="2"/>
      <c r="T3491" s="2" t="s">
        <v>35</v>
      </c>
      <c r="U3491" s="14">
        <v>45466</v>
      </c>
      <c r="V3491" s="14"/>
      <c r="W3491" s="26"/>
      <c r="X3491" s="2">
        <v>1</v>
      </c>
      <c r="Y3491" s="11"/>
      <c r="Z3491" s="2" t="s">
        <v>36</v>
      </c>
      <c r="AA3491" s="13" t="s">
        <v>10387</v>
      </c>
      <c r="AB3491" s="13" t="s">
        <v>10388</v>
      </c>
    </row>
    <row r="3492" spans="1:28" ht="15" customHeight="1">
      <c r="A3492" s="2" t="s">
        <v>8642</v>
      </c>
      <c r="B3492" s="2" t="s">
        <v>978</v>
      </c>
      <c r="C3492" s="104" t="s">
        <v>4476</v>
      </c>
      <c r="D3492" s="2" t="s">
        <v>99</v>
      </c>
      <c r="E3492" s="2" t="s">
        <v>1443</v>
      </c>
      <c r="F3492" s="11" t="s">
        <v>5177</v>
      </c>
      <c r="G3492" s="11" t="s">
        <v>5178</v>
      </c>
      <c r="H3492" s="157" t="s">
        <v>1738</v>
      </c>
      <c r="I3492" s="158" t="s">
        <v>4477</v>
      </c>
      <c r="J3492" s="41">
        <f>+Tabla1[[#This Row],[FECHA ENTRADA]]</f>
        <v>45909</v>
      </c>
      <c r="K3492" s="22">
        <v>45915</v>
      </c>
      <c r="L3492" s="42">
        <f>_xlfn.DAYS(Tabla1[[#This Row],[FECHA FIN ]],Tabla1[[#This Row],[FECHA INICIO]])</f>
        <v>6</v>
      </c>
      <c r="M3492" s="12"/>
      <c r="N3492" s="12">
        <v>75</v>
      </c>
      <c r="O3492" s="28">
        <f>(Tabla1[[#This Row],[COSTO FIJO ]]/30)*Tabla1[[#This Row],[TOTAL DIAS PROYECTO]]+(Tabla1[[#This Row],[COSTO TEMPORAL]])</f>
        <v>15</v>
      </c>
      <c r="P3492" s="12"/>
      <c r="Q3492" s="12">
        <f>+(Tabla1[[#This Row],[COSTO COCHE]]/30)*Tabla1[[#This Row],[TOTAL DIAS PROYECTO]]</f>
        <v>0</v>
      </c>
      <c r="R3492" s="12">
        <f>+Tabla1[[#This Row],[COSTO TOTAL ALOJAMIENTO]]+Tabla1[[#This Row],[COSTO TOTAL COCHE]]</f>
        <v>15</v>
      </c>
      <c r="S3492" s="2"/>
      <c r="T3492" s="14" t="s">
        <v>44</v>
      </c>
      <c r="U3492" s="14">
        <v>45909</v>
      </c>
      <c r="V3492" s="43">
        <v>45915</v>
      </c>
      <c r="W3492" s="71"/>
      <c r="X3492" s="2"/>
      <c r="Y3492" s="11" t="s">
        <v>5179</v>
      </c>
      <c r="Z3492" s="2" t="s">
        <v>36</v>
      </c>
      <c r="AA3492" s="13" t="s">
        <v>10420</v>
      </c>
      <c r="AB3492" s="13">
        <v>3907741</v>
      </c>
    </row>
    <row r="3493" spans="1:28" ht="15.75" customHeight="1">
      <c r="A3493" s="2" t="s">
        <v>9328</v>
      </c>
      <c r="B3493" s="2" t="s">
        <v>978</v>
      </c>
      <c r="C3493" s="104" t="s">
        <v>2837</v>
      </c>
      <c r="D3493" s="2" t="s">
        <v>99</v>
      </c>
      <c r="E3493" s="2" t="s">
        <v>1443</v>
      </c>
      <c r="F3493" s="11" t="s">
        <v>5177</v>
      </c>
      <c r="G3493" s="11" t="s">
        <v>5178</v>
      </c>
      <c r="H3493" s="157" t="s">
        <v>4612</v>
      </c>
      <c r="I3493" s="158" t="s">
        <v>4477</v>
      </c>
      <c r="J3493" s="41">
        <f>+Tabla1[[#This Row],[FECHA ENTRADA]]</f>
        <v>45909</v>
      </c>
      <c r="K3493" s="22">
        <v>45915</v>
      </c>
      <c r="L3493" s="42">
        <f>_xlfn.DAYS(Tabla1[[#This Row],[FECHA FIN ]],Tabla1[[#This Row],[FECHA INICIO]])</f>
        <v>6</v>
      </c>
      <c r="M3493" s="12"/>
      <c r="N3493" s="12">
        <v>75</v>
      </c>
      <c r="O3493" s="28">
        <f>(Tabla1[[#This Row],[COSTO FIJO ]]/30)*Tabla1[[#This Row],[TOTAL DIAS PROYECTO]]+(Tabla1[[#This Row],[COSTO TEMPORAL]])</f>
        <v>15</v>
      </c>
      <c r="P3493" s="12"/>
      <c r="Q3493" s="12">
        <f>+(Tabla1[[#This Row],[COSTO COCHE]]/30)*Tabla1[[#This Row],[TOTAL DIAS PROYECTO]]</f>
        <v>0</v>
      </c>
      <c r="R3493" s="12">
        <f>+Tabla1[[#This Row],[COSTO TOTAL ALOJAMIENTO]]+Tabla1[[#This Row],[COSTO TOTAL COCHE]]</f>
        <v>15</v>
      </c>
      <c r="S3493" s="2"/>
      <c r="T3493" s="14" t="s">
        <v>44</v>
      </c>
      <c r="U3493" s="14">
        <v>45909</v>
      </c>
      <c r="V3493" s="43">
        <v>45915</v>
      </c>
      <c r="W3493" s="71"/>
      <c r="X3493" s="2"/>
      <c r="Y3493" s="11" t="s">
        <v>5179</v>
      </c>
      <c r="Z3493" s="2" t="s">
        <v>36</v>
      </c>
      <c r="AA3493" s="13" t="s">
        <v>10420</v>
      </c>
      <c r="AB3493" s="13">
        <v>3907741</v>
      </c>
    </row>
    <row r="3494" spans="1:28" ht="15" customHeight="1">
      <c r="A3494" s="2" t="s">
        <v>9733</v>
      </c>
      <c r="B3494" s="2" t="s">
        <v>978</v>
      </c>
      <c r="C3494" s="104" t="s">
        <v>4478</v>
      </c>
      <c r="D3494" s="2" t="s">
        <v>99</v>
      </c>
      <c r="E3494" s="2" t="s">
        <v>1443</v>
      </c>
      <c r="F3494" s="11" t="s">
        <v>5177</v>
      </c>
      <c r="G3494" s="11" t="s">
        <v>5178</v>
      </c>
      <c r="H3494" s="157" t="s">
        <v>1738</v>
      </c>
      <c r="I3494" s="158" t="s">
        <v>4477</v>
      </c>
      <c r="J3494" s="41">
        <f>+Tabla1[[#This Row],[FECHA ENTRADA]]</f>
        <v>45909</v>
      </c>
      <c r="K3494" s="22">
        <v>45915</v>
      </c>
      <c r="L3494" s="42">
        <f>_xlfn.DAYS(Tabla1[[#This Row],[FECHA FIN ]],Tabla1[[#This Row],[FECHA INICIO]])</f>
        <v>6</v>
      </c>
      <c r="M3494" s="12"/>
      <c r="N3494" s="12">
        <v>75</v>
      </c>
      <c r="O3494" s="28">
        <f>(Tabla1[[#This Row],[COSTO FIJO ]]/30)*Tabla1[[#This Row],[TOTAL DIAS PROYECTO]]+(Tabla1[[#This Row],[COSTO TEMPORAL]])</f>
        <v>15</v>
      </c>
      <c r="P3494" s="12"/>
      <c r="Q3494" s="12">
        <f>+(Tabla1[[#This Row],[COSTO COCHE]]/30)*Tabla1[[#This Row],[TOTAL DIAS PROYECTO]]</f>
        <v>0</v>
      </c>
      <c r="R3494" s="12">
        <f>+Tabla1[[#This Row],[COSTO TOTAL ALOJAMIENTO]]+Tabla1[[#This Row],[COSTO TOTAL COCHE]]</f>
        <v>15</v>
      </c>
      <c r="S3494" s="2"/>
      <c r="T3494" s="14" t="s">
        <v>44</v>
      </c>
      <c r="U3494" s="14">
        <v>45909</v>
      </c>
      <c r="V3494" s="43">
        <v>45915</v>
      </c>
      <c r="W3494" s="71"/>
      <c r="X3494" s="2"/>
      <c r="Y3494" s="11" t="s">
        <v>5179</v>
      </c>
      <c r="Z3494" s="2" t="s">
        <v>36</v>
      </c>
      <c r="AA3494" s="13" t="s">
        <v>10420</v>
      </c>
      <c r="AB3494" s="13">
        <v>3907741</v>
      </c>
    </row>
    <row r="3495" spans="1:28" ht="15" customHeight="1">
      <c r="A3495" s="2" t="s">
        <v>9756</v>
      </c>
      <c r="B3495" s="2" t="s">
        <v>978</v>
      </c>
      <c r="C3495" s="104" t="s">
        <v>4574</v>
      </c>
      <c r="D3495" s="2" t="s">
        <v>99</v>
      </c>
      <c r="E3495" s="2" t="s">
        <v>1443</v>
      </c>
      <c r="F3495" s="11" t="s">
        <v>5177</v>
      </c>
      <c r="G3495" s="11" t="s">
        <v>5178</v>
      </c>
      <c r="H3495" s="157" t="s">
        <v>4612</v>
      </c>
      <c r="I3495" s="158" t="s">
        <v>4477</v>
      </c>
      <c r="J3495" s="41">
        <f>+Tabla1[[#This Row],[FECHA ENTRADA]]</f>
        <v>45909</v>
      </c>
      <c r="K3495" s="22">
        <v>45915</v>
      </c>
      <c r="L3495" s="42">
        <f>_xlfn.DAYS(Tabla1[[#This Row],[FECHA FIN ]],Tabla1[[#This Row],[FECHA INICIO]])</f>
        <v>6</v>
      </c>
      <c r="M3495" s="12"/>
      <c r="N3495" s="12">
        <v>75</v>
      </c>
      <c r="O3495" s="28">
        <f>(Tabla1[[#This Row],[COSTO FIJO ]]/30)*Tabla1[[#This Row],[TOTAL DIAS PROYECTO]]+(Tabla1[[#This Row],[COSTO TEMPORAL]])</f>
        <v>15</v>
      </c>
      <c r="P3495" s="12"/>
      <c r="Q3495" s="12">
        <f>+(Tabla1[[#This Row],[COSTO COCHE]]/30)*Tabla1[[#This Row],[TOTAL DIAS PROYECTO]]</f>
        <v>0</v>
      </c>
      <c r="R3495" s="12">
        <f>+Tabla1[[#This Row],[COSTO TOTAL ALOJAMIENTO]]+Tabla1[[#This Row],[COSTO TOTAL COCHE]]</f>
        <v>15</v>
      </c>
      <c r="S3495" s="2"/>
      <c r="T3495" s="14" t="s">
        <v>44</v>
      </c>
      <c r="U3495" s="14">
        <v>45909</v>
      </c>
      <c r="V3495" s="43">
        <v>45915</v>
      </c>
      <c r="W3495" s="71"/>
      <c r="X3495" s="2"/>
      <c r="Y3495" s="11" t="s">
        <v>5179</v>
      </c>
      <c r="Z3495" s="2" t="s">
        <v>36</v>
      </c>
      <c r="AA3495" s="13" t="s">
        <v>10420</v>
      </c>
      <c r="AB3495" s="13">
        <v>3907741</v>
      </c>
    </row>
    <row r="3496" spans="1:28" ht="15" customHeight="1">
      <c r="A3496" s="2" t="s">
        <v>9250</v>
      </c>
      <c r="B3496" s="2" t="s">
        <v>978</v>
      </c>
      <c r="C3496" s="104" t="s">
        <v>2595</v>
      </c>
      <c r="D3496" s="2" t="s">
        <v>99</v>
      </c>
      <c r="E3496" s="2" t="s">
        <v>1443</v>
      </c>
      <c r="F3496" s="11" t="s">
        <v>5180</v>
      </c>
      <c r="G3496" s="11" t="s">
        <v>5181</v>
      </c>
      <c r="H3496" s="157" t="s">
        <v>4608</v>
      </c>
      <c r="I3496" s="158" t="s">
        <v>4477</v>
      </c>
      <c r="J3496" s="22">
        <f>+Tabla1[[#This Row],[FECHA ENTRADA]]</f>
        <v>45899</v>
      </c>
      <c r="K3496" s="22">
        <v>45915</v>
      </c>
      <c r="L3496" s="23">
        <f>_xlfn.DAYS(Tabla1[[#This Row],[FECHA FIN ]],Tabla1[[#This Row],[FECHA INICIO]])</f>
        <v>16</v>
      </c>
      <c r="M3496" s="12"/>
      <c r="N3496" s="24">
        <f>1008.97/4</f>
        <v>252.24250000000001</v>
      </c>
      <c r="O3496" s="24">
        <f>(Tabla1[[#This Row],[COSTO FIJO ]]/30)*Tabla1[[#This Row],[TOTAL DIAS PROYECTO]]+(Tabla1[[#This Row],[COSTO TEMPORAL]])</f>
        <v>134.52933333333334</v>
      </c>
      <c r="P3496" s="12"/>
      <c r="Q3496" s="12">
        <f>+(Tabla1[[#This Row],[COSTO COCHE]]/30)*Tabla1[[#This Row],[TOTAL DIAS PROYECTO]]</f>
        <v>0</v>
      </c>
      <c r="R3496" s="12">
        <f>+Tabla1[[#This Row],[COSTO TOTAL ALOJAMIENTO]]+Tabla1[[#This Row],[COSTO TOTAL COCHE]]</f>
        <v>134.52933333333334</v>
      </c>
      <c r="S3496" s="2" t="s">
        <v>403</v>
      </c>
      <c r="T3496" s="14" t="s">
        <v>44</v>
      </c>
      <c r="U3496" s="14">
        <v>45899</v>
      </c>
      <c r="V3496" s="25">
        <v>45917</v>
      </c>
      <c r="W3496" s="12"/>
      <c r="X3496" s="2"/>
      <c r="Y3496" s="11" t="s">
        <v>5179</v>
      </c>
      <c r="Z3496" s="2" t="s">
        <v>36</v>
      </c>
      <c r="AA3496" s="13" t="s">
        <v>10420</v>
      </c>
      <c r="AB3496" s="13">
        <v>3907741</v>
      </c>
    </row>
    <row r="3497" spans="1:28" ht="15" customHeight="1">
      <c r="A3497" s="2" t="s">
        <v>9876</v>
      </c>
      <c r="B3497" s="2" t="s">
        <v>28</v>
      </c>
      <c r="C3497" s="115" t="s">
        <v>5182</v>
      </c>
      <c r="D3497" s="2" t="s">
        <v>30</v>
      </c>
      <c r="E3497" s="2" t="s">
        <v>92</v>
      </c>
      <c r="F3497" s="11" t="s">
        <v>3144</v>
      </c>
      <c r="G3497" s="11" t="s">
        <v>3145</v>
      </c>
      <c r="H3497" s="157" t="s">
        <v>95</v>
      </c>
      <c r="I3497" s="158" t="s">
        <v>96</v>
      </c>
      <c r="J3497" s="8">
        <f>+Tabla1[[#This Row],[FECHA ENTRADA]]</f>
        <v>45363</v>
      </c>
      <c r="K3497" s="22">
        <v>45821</v>
      </c>
      <c r="L3497" s="13">
        <f>_xlfn.DAYS(Tabla1[[#This Row],[FECHA FIN ]],Tabla1[[#This Row],[FECHA INICIO]])</f>
        <v>458</v>
      </c>
      <c r="M3497" s="12"/>
      <c r="N3497" s="12">
        <v>312.5</v>
      </c>
      <c r="O3497" s="12">
        <f>(Tabla1[[#This Row],[COSTO FIJO ]]/30)*Tabla1[[#This Row],[TOTAL DIAS PROYECTO]]+(Tabla1[[#This Row],[COSTO TEMPORAL]])</f>
        <v>4770.833333333333</v>
      </c>
      <c r="P3497" s="12"/>
      <c r="Q3497" s="12">
        <f>+(Tabla1[[#This Row],[COSTO COCHE]]/30)*Tabla1[[#This Row],[TOTAL DIAS PROYECTO]]</f>
        <v>0</v>
      </c>
      <c r="R3497" s="12">
        <f>+Tabla1[[#This Row],[COSTO TOTAL ALOJAMIENTO]]+Tabla1[[#This Row],[COSTO TOTAL COCHE]]</f>
        <v>4770.833333333333</v>
      </c>
      <c r="S3497" s="2"/>
      <c r="T3497" s="2" t="s">
        <v>44</v>
      </c>
      <c r="U3497" s="14">
        <v>45363</v>
      </c>
      <c r="V3497" s="14"/>
      <c r="W3497" s="15"/>
      <c r="X3497" s="16">
        <v>11</v>
      </c>
      <c r="Y3497" s="11" t="s">
        <v>93</v>
      </c>
      <c r="Z3497" s="2" t="s">
        <v>36</v>
      </c>
      <c r="AA3497" s="13" t="s">
        <v>10336</v>
      </c>
      <c r="AB3497" s="13" t="s">
        <v>10337</v>
      </c>
    </row>
    <row r="3498" spans="1:28" ht="15" customHeight="1">
      <c r="A3498" s="2" t="s">
        <v>9877</v>
      </c>
      <c r="B3498" s="2" t="s">
        <v>711</v>
      </c>
      <c r="C3498" s="104" t="s">
        <v>5183</v>
      </c>
      <c r="D3498" s="2" t="s">
        <v>99</v>
      </c>
      <c r="E3498" s="2" t="s">
        <v>1443</v>
      </c>
      <c r="F3498" s="11" t="s">
        <v>5184</v>
      </c>
      <c r="G3498" s="46" t="s">
        <v>5185</v>
      </c>
      <c r="H3498" s="157" t="s">
        <v>5186</v>
      </c>
      <c r="I3498" s="158" t="s">
        <v>5187</v>
      </c>
      <c r="J3498" s="22">
        <f>+Tabla1[[#This Row],[FECHA ENTRADA]]</f>
        <v>45911</v>
      </c>
      <c r="K3498" s="22">
        <v>45915</v>
      </c>
      <c r="L3498" s="23">
        <f>_xlfn.DAYS(Tabla1[[#This Row],[FECHA FIN ]],Tabla1[[#This Row],[FECHA INICIO]])</f>
        <v>4</v>
      </c>
      <c r="M3498" s="12"/>
      <c r="N3498" s="12">
        <f>1317.17/3</f>
        <v>439.05666666666667</v>
      </c>
      <c r="O3498" s="24">
        <f>(Tabla1[[#This Row],[COSTO FIJO ]]/30)*Tabla1[[#This Row],[TOTAL DIAS PROYECTO]]+(Tabla1[[#This Row],[COSTO TEMPORAL]])</f>
        <v>58.540888888888887</v>
      </c>
      <c r="P3498" s="12"/>
      <c r="Q3498" s="12">
        <f>+(Tabla1[[#This Row],[COSTO COCHE]]/30)*Tabla1[[#This Row],[TOTAL DIAS PROYECTO]]</f>
        <v>0</v>
      </c>
      <c r="R3498" s="12">
        <f>+Tabla1[[#This Row],[COSTO TOTAL ALOJAMIENTO]]+Tabla1[[#This Row],[COSTO TOTAL COCHE]]</f>
        <v>58.540888888888887</v>
      </c>
      <c r="S3498" s="2" t="s">
        <v>84</v>
      </c>
      <c r="T3498" s="14" t="s">
        <v>44</v>
      </c>
      <c r="U3498" s="14">
        <v>45911</v>
      </c>
      <c r="V3498" s="79">
        <v>45923</v>
      </c>
      <c r="W3498" s="71"/>
      <c r="X3498" s="2"/>
      <c r="Y3498" s="11" t="s">
        <v>5188</v>
      </c>
      <c r="Z3498" s="2" t="s">
        <v>36</v>
      </c>
      <c r="AA3498" s="13" t="s">
        <v>10420</v>
      </c>
      <c r="AB3498" s="13">
        <v>3907741</v>
      </c>
    </row>
    <row r="3499" spans="1:28" ht="15" customHeight="1">
      <c r="A3499" s="2" t="s">
        <v>9876</v>
      </c>
      <c r="B3499" s="2" t="s">
        <v>28</v>
      </c>
      <c r="C3499" s="104" t="s">
        <v>5182</v>
      </c>
      <c r="D3499" s="2" t="s">
        <v>30</v>
      </c>
      <c r="E3499" s="2" t="s">
        <v>648</v>
      </c>
      <c r="F3499" s="11" t="s">
        <v>649</v>
      </c>
      <c r="G3499" s="46" t="s">
        <v>650</v>
      </c>
      <c r="H3499" s="157" t="s">
        <v>5189</v>
      </c>
      <c r="I3499" s="158" t="s">
        <v>96</v>
      </c>
      <c r="J3499" s="41">
        <v>45557</v>
      </c>
      <c r="K3499" s="22">
        <v>45821</v>
      </c>
      <c r="L3499" s="42">
        <f>_xlfn.DAYS(Tabla1[[#This Row],[FECHA FIN ]],Tabla1[[#This Row],[FECHA INICIO]])</f>
        <v>264</v>
      </c>
      <c r="M3499" s="12"/>
      <c r="N3499" s="12"/>
      <c r="O3499" s="28">
        <f>(Tabla1[[#This Row],[COSTO FIJO ]]/30)*Tabla1[[#This Row],[TOTAL DIAS PROYECTO]]+(Tabla1[[#This Row],[COSTO TEMPORAL]])</f>
        <v>0</v>
      </c>
      <c r="P3499" s="12">
        <f>519.82/2</f>
        <v>259.91000000000003</v>
      </c>
      <c r="Q3499" s="12">
        <f>+(Tabla1[[#This Row],[COSTO COCHE]]/30)*Tabla1[[#This Row],[TOTAL DIAS PROYECTO]]</f>
        <v>2287.2080000000001</v>
      </c>
      <c r="R3499" s="12">
        <f>+Tabla1[[#This Row],[COSTO TOTAL ALOJAMIENTO]]+Tabla1[[#This Row],[COSTO TOTAL COCHE]]</f>
        <v>2287.2080000000001</v>
      </c>
      <c r="S3499" s="2"/>
      <c r="T3499" s="2" t="s">
        <v>35</v>
      </c>
      <c r="U3499" s="14">
        <v>45557</v>
      </c>
      <c r="V3499" s="25"/>
      <c r="W3499" s="26"/>
      <c r="X3499" s="2">
        <v>17</v>
      </c>
      <c r="Y3499" s="11" t="s">
        <v>652</v>
      </c>
      <c r="Z3499" s="2" t="s">
        <v>36</v>
      </c>
      <c r="AA3499" s="13" t="s">
        <v>10387</v>
      </c>
      <c r="AB3499" s="13" t="s">
        <v>10388</v>
      </c>
    </row>
    <row r="3500" spans="1:28" ht="15" customHeight="1">
      <c r="A3500" s="2" t="s">
        <v>9194</v>
      </c>
      <c r="B3500" s="2" t="s">
        <v>978</v>
      </c>
      <c r="C3500" s="104" t="s">
        <v>2396</v>
      </c>
      <c r="D3500" s="2" t="s">
        <v>99</v>
      </c>
      <c r="E3500" s="2" t="s">
        <v>3400</v>
      </c>
      <c r="F3500" s="11" t="s">
        <v>4310</v>
      </c>
      <c r="G3500" s="46" t="s">
        <v>4311</v>
      </c>
      <c r="H3500" s="157" t="s">
        <v>1391</v>
      </c>
      <c r="I3500" s="158" t="s">
        <v>4296</v>
      </c>
      <c r="J3500" s="41">
        <f>+Tabla1[[#This Row],[FECHA ENTRADA]]</f>
        <v>45839</v>
      </c>
      <c r="K3500" s="22">
        <v>45915</v>
      </c>
      <c r="L3500" s="42">
        <f>_xlfn.DAYS(Tabla1[[#This Row],[FECHA FIN ]],Tabla1[[#This Row],[FECHA INICIO]])</f>
        <v>76</v>
      </c>
      <c r="M3500" s="12"/>
      <c r="N3500" s="28">
        <v>350</v>
      </c>
      <c r="O3500" s="28">
        <f>(Tabla1[[#This Row],[COSTO FIJO ]]/30)*Tabla1[[#This Row],[TOTAL DIAS PROYECTO]]+(Tabla1[[#This Row],[COSTO TEMPORAL]])</f>
        <v>886.66666666666663</v>
      </c>
      <c r="P3500" s="12"/>
      <c r="Q3500" s="12">
        <f>+(Tabla1[[#This Row],[COSTO COCHE]]/30)*Tabla1[[#This Row],[TOTAL DIAS PROYECTO]]</f>
        <v>0</v>
      </c>
      <c r="R3500" s="12">
        <f>+Tabla1[[#This Row],[COSTO TOTAL ALOJAMIENTO]]+Tabla1[[#This Row],[COSTO TOTAL COCHE]]</f>
        <v>886.66666666666663</v>
      </c>
      <c r="S3500" s="2"/>
      <c r="T3500" s="14" t="s">
        <v>35</v>
      </c>
      <c r="U3500" s="14">
        <v>45839</v>
      </c>
      <c r="V3500" s="43"/>
      <c r="W3500" s="12">
        <v>325</v>
      </c>
      <c r="X3500" s="2">
        <v>25</v>
      </c>
      <c r="Y3500" s="11" t="s">
        <v>5190</v>
      </c>
      <c r="Z3500" s="2" t="s">
        <v>36</v>
      </c>
      <c r="AA3500" s="13" t="e">
        <v>#N/A</v>
      </c>
      <c r="AB3500" s="13" t="e">
        <v>#N/A</v>
      </c>
    </row>
    <row r="3501" spans="1:28" ht="15" customHeight="1">
      <c r="A3501" s="2" t="s">
        <v>9878</v>
      </c>
      <c r="B3501" s="2" t="s">
        <v>28</v>
      </c>
      <c r="C3501" s="104" t="s">
        <v>5191</v>
      </c>
      <c r="D3501" s="2" t="s">
        <v>30</v>
      </c>
      <c r="E3501" s="2" t="s">
        <v>648</v>
      </c>
      <c r="F3501" s="11" t="s">
        <v>2482</v>
      </c>
      <c r="G3501" s="11" t="s">
        <v>1545</v>
      </c>
      <c r="H3501" s="157" t="s">
        <v>2279</v>
      </c>
      <c r="I3501" s="158" t="s">
        <v>96</v>
      </c>
      <c r="J3501" s="8">
        <f>+Tabla1[[#This Row],[FECHA ENTRADA]]</f>
        <v>45434</v>
      </c>
      <c r="K3501" s="22">
        <v>45916</v>
      </c>
      <c r="L3501" s="13">
        <f>_xlfn.DAYS(Tabla1[[#This Row],[FECHA FIN ]],Tabla1[[#This Row],[FECHA INICIO]])</f>
        <v>482</v>
      </c>
      <c r="M3501" s="12"/>
      <c r="N3501" s="12">
        <v>240</v>
      </c>
      <c r="O3501" s="12">
        <f>(Tabla1[[#This Row],[COSTO FIJO ]]/30)*Tabla1[[#This Row],[TOTAL DIAS PROYECTO]]+(Tabla1[[#This Row],[COSTO TEMPORAL]])</f>
        <v>3856</v>
      </c>
      <c r="P3501" s="12"/>
      <c r="Q3501" s="12">
        <f>+(Tabla1[[#This Row],[COSTO COCHE]]/30)*Tabla1[[#This Row],[TOTAL DIAS PROYECTO]]</f>
        <v>0</v>
      </c>
      <c r="R3501" s="12">
        <f>+Tabla1[[#This Row],[COSTO TOTAL ALOJAMIENTO]]+Tabla1[[#This Row],[COSTO TOTAL COCHE]]</f>
        <v>3856</v>
      </c>
      <c r="S3501" s="2"/>
      <c r="T3501" s="2" t="s">
        <v>35</v>
      </c>
      <c r="U3501" s="14">
        <v>45434</v>
      </c>
      <c r="V3501" s="14"/>
      <c r="W3501" s="26"/>
      <c r="X3501" s="2">
        <v>1</v>
      </c>
      <c r="Y3501" s="11" t="s">
        <v>5192</v>
      </c>
      <c r="Z3501" s="2" t="s">
        <v>36</v>
      </c>
      <c r="AA3501" s="13" t="s">
        <v>10387</v>
      </c>
      <c r="AB3501" s="13" t="s">
        <v>10388</v>
      </c>
    </row>
    <row r="3502" spans="1:28" ht="15" customHeight="1">
      <c r="A3502" s="2" t="s">
        <v>9325</v>
      </c>
      <c r="B3502" s="29" t="s">
        <v>711</v>
      </c>
      <c r="C3502" s="104" t="s">
        <v>2828</v>
      </c>
      <c r="D3502" s="2" t="s">
        <v>749</v>
      </c>
      <c r="E3502" s="2" t="s">
        <v>4598</v>
      </c>
      <c r="F3502" s="31" t="s">
        <v>5193</v>
      </c>
      <c r="G3502" s="49" t="s">
        <v>5194</v>
      </c>
      <c r="H3502" s="157" t="s">
        <v>4601</v>
      </c>
      <c r="I3502" s="158" t="s">
        <v>4602</v>
      </c>
      <c r="J3502" s="22">
        <f>+Tabla1[[#This Row],[FECHA ENTRADA]]</f>
        <v>46251</v>
      </c>
      <c r="K3502" s="22">
        <v>46256</v>
      </c>
      <c r="L3502" s="23">
        <f>_xlfn.DAYS(Tabla1[[#This Row],[FECHA FIN ]],Tabla1[[#This Row],[FECHA INICIO]])</f>
        <v>5</v>
      </c>
      <c r="M3502" s="12">
        <f>570.5/3</f>
        <v>190.16666666666666</v>
      </c>
      <c r="N3502" s="24"/>
      <c r="O3502" s="24">
        <f>(Tabla1[[#This Row],[COSTO FIJO ]]/30)*Tabla1[[#This Row],[TOTAL DIAS PROYECTO]]+(Tabla1[[#This Row],[COSTO TEMPORAL]])</f>
        <v>190.16666666666666</v>
      </c>
      <c r="P3502" s="12"/>
      <c r="Q3502" s="12">
        <f>+(Tabla1[[#This Row],[COSTO COCHE]]/30)*Tabla1[[#This Row],[TOTAL DIAS PROYECTO]]</f>
        <v>0</v>
      </c>
      <c r="R3502" s="12">
        <f>+Tabla1[[#This Row],[COSTO TOTAL ALOJAMIENTO]]+Tabla1[[#This Row],[COSTO TOTAL COCHE]]</f>
        <v>190.16666666666666</v>
      </c>
      <c r="S3502" s="2"/>
      <c r="T3502" s="14" t="s">
        <v>44</v>
      </c>
      <c r="U3502" s="14">
        <v>46251</v>
      </c>
      <c r="V3502" s="25">
        <v>46256</v>
      </c>
      <c r="W3502" s="12"/>
      <c r="X3502" s="2"/>
      <c r="Y3502" s="11"/>
      <c r="Z3502" s="2" t="s">
        <v>36</v>
      </c>
      <c r="AA3502" s="13">
        <v>10.50447</v>
      </c>
      <c r="AB3502" s="13">
        <v>43.843690000000002</v>
      </c>
    </row>
    <row r="3503" spans="1:28" ht="15" customHeight="1">
      <c r="A3503" s="2" t="s">
        <v>9844</v>
      </c>
      <c r="B3503" s="2" t="s">
        <v>28</v>
      </c>
      <c r="C3503" s="104" t="s">
        <v>5023</v>
      </c>
      <c r="D3503" s="2" t="s">
        <v>30</v>
      </c>
      <c r="E3503" s="2" t="s">
        <v>790</v>
      </c>
      <c r="F3503" s="11" t="s">
        <v>5195</v>
      </c>
      <c r="G3503" s="21" t="s">
        <v>5196</v>
      </c>
      <c r="H3503" s="157" t="s">
        <v>5197</v>
      </c>
      <c r="I3503" s="158" t="s">
        <v>794</v>
      </c>
      <c r="J3503" s="22">
        <f>+Tabla1[[#This Row],[FECHA ENTRADA]]</f>
        <v>45908</v>
      </c>
      <c r="K3503" s="22">
        <v>45916</v>
      </c>
      <c r="L3503" s="23">
        <f>_xlfn.DAYS(Tabla1[[#This Row],[FECHA FIN ]],Tabla1[[#This Row],[FECHA INICIO]])</f>
        <v>8</v>
      </c>
      <c r="M3503" s="12"/>
      <c r="N3503" s="12">
        <v>272.08</v>
      </c>
      <c r="O3503" s="24">
        <f>(Tabla1[[#This Row],[COSTO FIJO ]]/30)*Tabla1[[#This Row],[TOTAL DIAS PROYECTO]]+(Tabla1[[#This Row],[COSTO TEMPORAL]])</f>
        <v>72.554666666666662</v>
      </c>
      <c r="P3503" s="12"/>
      <c r="Q3503" s="12">
        <f>+(Tabla1[[#This Row],[COSTO COCHE]]/30)*Tabla1[[#This Row],[TOTAL DIAS PROYECTO]]</f>
        <v>0</v>
      </c>
      <c r="R3503" s="12">
        <f>+Tabla1[[#This Row],[COSTO TOTAL ALOJAMIENTO]]+Tabla1[[#This Row],[COSTO TOTAL COCHE]]</f>
        <v>72.554666666666662</v>
      </c>
      <c r="S3503" s="2" t="s">
        <v>403</v>
      </c>
      <c r="T3503" s="14" t="s">
        <v>44</v>
      </c>
      <c r="U3503" s="14">
        <v>45908</v>
      </c>
      <c r="V3503" s="79">
        <v>45916</v>
      </c>
      <c r="W3503" s="71"/>
      <c r="X3503" s="2"/>
      <c r="Y3503" s="11" t="s">
        <v>5198</v>
      </c>
      <c r="Z3503" s="2" t="s">
        <v>36</v>
      </c>
      <c r="AA3503" s="13">
        <v>-574377</v>
      </c>
      <c r="AB3503" s="13">
        <v>4150368</v>
      </c>
    </row>
    <row r="3504" spans="1:28" ht="15" customHeight="1">
      <c r="A3504" s="2" t="s">
        <v>9479</v>
      </c>
      <c r="B3504" s="2" t="s">
        <v>28</v>
      </c>
      <c r="C3504" s="104" t="s">
        <v>3341</v>
      </c>
      <c r="D3504" s="2" t="s">
        <v>99</v>
      </c>
      <c r="E3504" s="2" t="s">
        <v>720</v>
      </c>
      <c r="F3504" s="11" t="s">
        <v>5199</v>
      </c>
      <c r="G3504" s="49" t="s">
        <v>5200</v>
      </c>
      <c r="H3504" s="157" t="s">
        <v>5201</v>
      </c>
      <c r="I3504" s="158" t="s">
        <v>2176</v>
      </c>
      <c r="J3504" s="22">
        <f>+Tabla1[[#This Row],[FECHA ENTRADA]]</f>
        <v>45903</v>
      </c>
      <c r="K3504" s="22">
        <v>45916</v>
      </c>
      <c r="L3504" s="23">
        <f>_xlfn.DAYS(Tabla1[[#This Row],[FECHA FIN ]],Tabla1[[#This Row],[FECHA INICIO]])</f>
        <v>13</v>
      </c>
      <c r="M3504" s="12"/>
      <c r="N3504" s="12">
        <v>245</v>
      </c>
      <c r="O3504" s="24">
        <f>(Tabla1[[#This Row],[COSTO FIJO ]]/30)*Tabla1[[#This Row],[TOTAL DIAS PROYECTO]]+(Tabla1[[#This Row],[COSTO TEMPORAL]])</f>
        <v>106.16666666666666</v>
      </c>
      <c r="P3504" s="12"/>
      <c r="Q3504" s="12">
        <f>+(Tabla1[[#This Row],[COSTO COCHE]]/30)*Tabla1[[#This Row],[TOTAL DIAS PROYECTO]]</f>
        <v>0</v>
      </c>
      <c r="R3504" s="12">
        <f>+Tabla1[[#This Row],[COSTO TOTAL ALOJAMIENTO]]+Tabla1[[#This Row],[COSTO TOTAL COCHE]]</f>
        <v>106.16666666666666</v>
      </c>
      <c r="S3504" s="2" t="s">
        <v>403</v>
      </c>
      <c r="T3504" s="14" t="s">
        <v>44</v>
      </c>
      <c r="U3504" s="14">
        <v>45903</v>
      </c>
      <c r="V3504" s="25">
        <v>45916</v>
      </c>
      <c r="W3504" s="71"/>
      <c r="X3504" s="2"/>
      <c r="Y3504" s="11" t="s">
        <v>1361</v>
      </c>
      <c r="Z3504" s="2" t="s">
        <v>36</v>
      </c>
      <c r="AA3504" s="13" t="s">
        <v>10394</v>
      </c>
      <c r="AB3504" s="13" t="s">
        <v>10395</v>
      </c>
    </row>
    <row r="3505" spans="1:28" ht="15" customHeight="1">
      <c r="A3505" s="2" t="s">
        <v>9879</v>
      </c>
      <c r="B3505" s="2" t="s">
        <v>28</v>
      </c>
      <c r="C3505" s="104" t="s">
        <v>5202</v>
      </c>
      <c r="D3505" s="2" t="s">
        <v>99</v>
      </c>
      <c r="E3505" s="2" t="s">
        <v>720</v>
      </c>
      <c r="F3505" s="11" t="s">
        <v>5199</v>
      </c>
      <c r="G3505" s="49" t="s">
        <v>5200</v>
      </c>
      <c r="H3505" s="157" t="s">
        <v>5201</v>
      </c>
      <c r="I3505" s="158" t="s">
        <v>2176</v>
      </c>
      <c r="J3505" s="22">
        <f>+Tabla1[[#This Row],[FECHA ENTRADA]]</f>
        <v>45903</v>
      </c>
      <c r="K3505" s="22">
        <v>45916</v>
      </c>
      <c r="L3505" s="23">
        <f>_xlfn.DAYS(Tabla1[[#This Row],[FECHA FIN ]],Tabla1[[#This Row],[FECHA INICIO]])</f>
        <v>13</v>
      </c>
      <c r="M3505" s="12"/>
      <c r="N3505" s="12">
        <v>245</v>
      </c>
      <c r="O3505" s="24">
        <f>(Tabla1[[#This Row],[COSTO FIJO ]]/30)*Tabla1[[#This Row],[TOTAL DIAS PROYECTO]]+(Tabla1[[#This Row],[COSTO TEMPORAL]])</f>
        <v>106.16666666666666</v>
      </c>
      <c r="P3505" s="12"/>
      <c r="Q3505" s="12">
        <f>+(Tabla1[[#This Row],[COSTO COCHE]]/30)*Tabla1[[#This Row],[TOTAL DIAS PROYECTO]]</f>
        <v>0</v>
      </c>
      <c r="R3505" s="12">
        <f>+Tabla1[[#This Row],[COSTO TOTAL ALOJAMIENTO]]+Tabla1[[#This Row],[COSTO TOTAL COCHE]]</f>
        <v>106.16666666666666</v>
      </c>
      <c r="S3505" s="2" t="s">
        <v>403</v>
      </c>
      <c r="T3505" s="14" t="s">
        <v>44</v>
      </c>
      <c r="U3505" s="14">
        <v>45903</v>
      </c>
      <c r="V3505" s="25">
        <v>45916</v>
      </c>
      <c r="W3505" s="71"/>
      <c r="X3505" s="2"/>
      <c r="Y3505" s="11" t="s">
        <v>1361</v>
      </c>
      <c r="Z3505" s="2" t="s">
        <v>36</v>
      </c>
      <c r="AA3505" s="13" t="s">
        <v>10394</v>
      </c>
      <c r="AB3505" s="13" t="s">
        <v>10395</v>
      </c>
    </row>
    <row r="3506" spans="1:28" ht="15" customHeight="1">
      <c r="A3506" s="2" t="s">
        <v>9880</v>
      </c>
      <c r="B3506" s="2" t="s">
        <v>978</v>
      </c>
      <c r="C3506" s="104" t="s">
        <v>5203</v>
      </c>
      <c r="D3506" s="2" t="s">
        <v>30</v>
      </c>
      <c r="E3506" s="2" t="s">
        <v>245</v>
      </c>
      <c r="F3506" s="11" t="s">
        <v>5045</v>
      </c>
      <c r="G3506" s="46" t="s">
        <v>5046</v>
      </c>
      <c r="H3506" s="157" t="s">
        <v>1468</v>
      </c>
      <c r="I3506" s="158" t="s">
        <v>5047</v>
      </c>
      <c r="J3506" s="41">
        <f>+Tabla1[[#This Row],[FECHA ENTRADA]]</f>
        <v>45835</v>
      </c>
      <c r="K3506" s="41">
        <v>45926</v>
      </c>
      <c r="L3506" s="42">
        <f>_xlfn.DAYS(Tabla1[[#This Row],[FECHA FIN ]],Tabla1[[#This Row],[FECHA INICIO]])</f>
        <v>91</v>
      </c>
      <c r="M3506" s="12">
        <f>30*Tabla1[[#This Row],[TOTAL DIAS PROYECTO]]</f>
        <v>2730</v>
      </c>
      <c r="N3506" s="12"/>
      <c r="O3506" s="28">
        <f>(Tabla1[[#This Row],[COSTO FIJO ]]/30)*Tabla1[[#This Row],[TOTAL DIAS PROYECTO]]+(Tabla1[[#This Row],[COSTO TEMPORAL]])</f>
        <v>2730</v>
      </c>
      <c r="P3506" s="12"/>
      <c r="Q3506" s="12">
        <f>+(Tabla1[[#This Row],[COSTO COCHE]]/30)*Tabla1[[#This Row],[TOTAL DIAS PROYECTO]]</f>
        <v>0</v>
      </c>
      <c r="R3506" s="12">
        <f>+Tabla1[[#This Row],[COSTO TOTAL ALOJAMIENTO]]+Tabla1[[#This Row],[COSTO TOTAL COCHE]]</f>
        <v>2730</v>
      </c>
      <c r="S3506" s="2"/>
      <c r="T3506" s="14" t="s">
        <v>44</v>
      </c>
      <c r="U3506" s="14">
        <v>45835</v>
      </c>
      <c r="V3506" s="25">
        <v>45930</v>
      </c>
      <c r="W3506" s="12"/>
      <c r="X3506" s="2"/>
      <c r="Y3506" s="202" t="s">
        <v>5204</v>
      </c>
      <c r="Z3506" s="2" t="s">
        <v>36</v>
      </c>
      <c r="AA3506" s="13" t="s">
        <v>10355</v>
      </c>
      <c r="AB3506" s="13" t="s">
        <v>10356</v>
      </c>
    </row>
    <row r="3507" spans="1:28" ht="15" customHeight="1">
      <c r="A3507" s="2" t="s">
        <v>9881</v>
      </c>
      <c r="B3507" s="2" t="s">
        <v>28</v>
      </c>
      <c r="C3507" s="104" t="s">
        <v>5205</v>
      </c>
      <c r="D3507" s="2" t="s">
        <v>99</v>
      </c>
      <c r="E3507" s="2" t="s">
        <v>253</v>
      </c>
      <c r="F3507" s="11" t="s">
        <v>1984</v>
      </c>
      <c r="G3507" s="49" t="s">
        <v>1985</v>
      </c>
      <c r="H3507" s="157" t="s">
        <v>5206</v>
      </c>
      <c r="I3507" s="158" t="s">
        <v>5169</v>
      </c>
      <c r="J3507" s="41">
        <f>+Tabla1[[#This Row],[FECHA ENTRADA]]</f>
        <v>45882</v>
      </c>
      <c r="K3507" s="41">
        <v>45916</v>
      </c>
      <c r="L3507" s="42">
        <f>_xlfn.DAYS(Tabla1[[#This Row],[FECHA FIN ]],Tabla1[[#This Row],[FECHA INICIO]])</f>
        <v>34</v>
      </c>
      <c r="M3507" s="12"/>
      <c r="N3507" s="12"/>
      <c r="O3507" s="28">
        <f>(Tabla1[[#This Row],[COSTO FIJO ]]/30)*Tabla1[[#This Row],[TOTAL DIAS PROYECTO]]+(Tabla1[[#This Row],[COSTO TEMPORAL]])</f>
        <v>0</v>
      </c>
      <c r="P3507" s="12"/>
      <c r="Q3507" s="12">
        <f>+(Tabla1[[#This Row],[COSTO COCHE]]/30)*Tabla1[[#This Row],[TOTAL DIAS PROYECTO]]</f>
        <v>0</v>
      </c>
      <c r="R3507" s="12">
        <f>+Tabla1[[#This Row],[COSTO TOTAL ALOJAMIENTO]]+Tabla1[[#This Row],[COSTO TOTAL COCHE]]</f>
        <v>0</v>
      </c>
      <c r="S3507" s="2"/>
      <c r="T3507" s="14" t="s">
        <v>44</v>
      </c>
      <c r="U3507" s="14">
        <v>45882</v>
      </c>
      <c r="V3507" s="25">
        <v>45916</v>
      </c>
      <c r="W3507" s="12"/>
      <c r="X3507" s="2"/>
      <c r="Y3507" s="11" t="s">
        <v>5207</v>
      </c>
      <c r="Z3507" s="2" t="s">
        <v>36</v>
      </c>
      <c r="AA3507" s="13" t="s">
        <v>10357</v>
      </c>
      <c r="AB3507" s="13" t="s">
        <v>10358</v>
      </c>
    </row>
    <row r="3508" spans="1:28" ht="15" customHeight="1">
      <c r="A3508" s="2" t="s">
        <v>9807</v>
      </c>
      <c r="B3508" s="2" t="s">
        <v>711</v>
      </c>
      <c r="C3508" s="97" t="s">
        <v>4832</v>
      </c>
      <c r="D3508" s="2" t="s">
        <v>30</v>
      </c>
      <c r="E3508" s="2" t="s">
        <v>608</v>
      </c>
      <c r="F3508" s="11" t="s">
        <v>4919</v>
      </c>
      <c r="G3508" s="21" t="s">
        <v>4920</v>
      </c>
      <c r="H3508" s="157" t="s">
        <v>4833</v>
      </c>
      <c r="I3508" s="158" t="s">
        <v>4825</v>
      </c>
      <c r="J3508" s="22">
        <f>+Tabla1[[#This Row],[FECHA ENTRADA]]</f>
        <v>45895</v>
      </c>
      <c r="K3508" s="22">
        <v>45916</v>
      </c>
      <c r="L3508" s="23">
        <f>_xlfn.DAYS(Tabla1[[#This Row],[FECHA FIN ]],Tabla1[[#This Row],[FECHA INICIO]])</f>
        <v>21</v>
      </c>
      <c r="M3508" s="12"/>
      <c r="N3508" s="12"/>
      <c r="O3508" s="24">
        <f>(Tabla1[[#This Row],[COSTO FIJO ]]/30)*Tabla1[[#This Row],[TOTAL DIAS PROYECTO]]+(Tabla1[[#This Row],[COSTO TEMPORAL]])</f>
        <v>0</v>
      </c>
      <c r="P3508" s="12"/>
      <c r="Q3508" s="12">
        <f>+(Tabla1[[#This Row],[COSTO COCHE]]/30)*Tabla1[[#This Row],[TOTAL DIAS PROYECTO]]</f>
        <v>0</v>
      </c>
      <c r="R3508" s="12">
        <f>+Tabla1[[#This Row],[COSTO TOTAL ALOJAMIENTO]]+Tabla1[[#This Row],[COSTO TOTAL COCHE]]</f>
        <v>0</v>
      </c>
      <c r="S3508" s="2" t="s">
        <v>84</v>
      </c>
      <c r="T3508" s="14" t="s">
        <v>44</v>
      </c>
      <c r="U3508" s="14">
        <v>45895</v>
      </c>
      <c r="V3508" s="25">
        <v>45916</v>
      </c>
      <c r="W3508" s="12"/>
      <c r="X3508" s="2"/>
      <c r="Y3508" s="254" t="s">
        <v>5208</v>
      </c>
      <c r="Z3508" s="2" t="s">
        <v>36</v>
      </c>
      <c r="AA3508" s="13" t="s">
        <v>10383</v>
      </c>
      <c r="AB3508" s="13" t="s">
        <v>10384</v>
      </c>
    </row>
    <row r="3509" spans="1:28" ht="15" customHeight="1">
      <c r="A3509" s="2" t="s">
        <v>9519</v>
      </c>
      <c r="B3509" s="2" t="s">
        <v>28</v>
      </c>
      <c r="C3509" s="104" t="s">
        <v>3513</v>
      </c>
      <c r="D3509" s="2" t="s">
        <v>30</v>
      </c>
      <c r="E3509" s="2" t="s">
        <v>608</v>
      </c>
      <c r="F3509" s="11" t="s">
        <v>4919</v>
      </c>
      <c r="G3509" s="21" t="s">
        <v>4920</v>
      </c>
      <c r="H3509" s="157" t="s">
        <v>4830</v>
      </c>
      <c r="I3509" s="158" t="s">
        <v>570</v>
      </c>
      <c r="J3509" s="41">
        <f>+Tabla1[[#This Row],[FECHA ENTRADA]]</f>
        <v>45895</v>
      </c>
      <c r="K3509" s="41">
        <v>45916</v>
      </c>
      <c r="L3509" s="42">
        <f>_xlfn.DAYS(Tabla1[[#This Row],[FECHA FIN ]],Tabla1[[#This Row],[FECHA INICIO]])</f>
        <v>21</v>
      </c>
      <c r="M3509" s="12"/>
      <c r="N3509" s="12"/>
      <c r="O3509" s="28">
        <f>(Tabla1[[#This Row],[COSTO FIJO ]]/30)*Tabla1[[#This Row],[TOTAL DIAS PROYECTO]]+(Tabla1[[#This Row],[COSTO TEMPORAL]])</f>
        <v>0</v>
      </c>
      <c r="P3509" s="12"/>
      <c r="Q3509" s="12">
        <f>+(Tabla1[[#This Row],[COSTO COCHE]]/30)*Tabla1[[#This Row],[TOTAL DIAS PROYECTO]]</f>
        <v>0</v>
      </c>
      <c r="R3509" s="12">
        <f>+Tabla1[[#This Row],[COSTO TOTAL ALOJAMIENTO]]+Tabla1[[#This Row],[COSTO TOTAL COCHE]]</f>
        <v>0</v>
      </c>
      <c r="S3509" s="2" t="s">
        <v>84</v>
      </c>
      <c r="T3509" s="14" t="s">
        <v>44</v>
      </c>
      <c r="U3509" s="14">
        <v>45895</v>
      </c>
      <c r="V3509" s="43">
        <v>45916</v>
      </c>
      <c r="W3509" s="12"/>
      <c r="X3509" s="2"/>
      <c r="Y3509" s="11" t="s">
        <v>5209</v>
      </c>
      <c r="Z3509" s="2" t="s">
        <v>36</v>
      </c>
      <c r="AA3509" s="13" t="s">
        <v>10383</v>
      </c>
      <c r="AB3509" s="13" t="s">
        <v>10384</v>
      </c>
    </row>
    <row r="3510" spans="1:28" ht="15" customHeight="1">
      <c r="A3510" s="2" t="s">
        <v>9882</v>
      </c>
      <c r="B3510" s="2" t="s">
        <v>711</v>
      </c>
      <c r="C3510" s="97" t="s">
        <v>5210</v>
      </c>
      <c r="D3510" s="2" t="s">
        <v>30</v>
      </c>
      <c r="E3510" s="2" t="s">
        <v>608</v>
      </c>
      <c r="F3510" s="11" t="s">
        <v>4919</v>
      </c>
      <c r="G3510" s="21" t="s">
        <v>4920</v>
      </c>
      <c r="H3510" s="2" t="s">
        <v>4833</v>
      </c>
      <c r="I3510" s="12" t="s">
        <v>4825</v>
      </c>
      <c r="J3510" s="41">
        <f>+Tabla1[[#This Row],[FECHA ENTRADA]]</f>
        <v>45891</v>
      </c>
      <c r="K3510" s="22">
        <v>45916</v>
      </c>
      <c r="L3510" s="42">
        <f>_xlfn.DAYS(Tabla1[[#This Row],[FECHA FIN ]],Tabla1[[#This Row],[FECHA INICIO]])</f>
        <v>25</v>
      </c>
      <c r="M3510" s="12"/>
      <c r="N3510" s="12"/>
      <c r="O3510" s="28">
        <f>(Tabla1[[#This Row],[COSTO FIJO ]]/30)*Tabla1[[#This Row],[TOTAL DIAS PROYECTO]]+(Tabla1[[#This Row],[COSTO TEMPORAL]])</f>
        <v>0</v>
      </c>
      <c r="P3510" s="12"/>
      <c r="Q3510" s="12">
        <f>+(Tabla1[[#This Row],[COSTO COCHE]]/30)*Tabla1[[#This Row],[TOTAL DIAS PROYECTO]]</f>
        <v>0</v>
      </c>
      <c r="R3510" s="12">
        <f>+Tabla1[[#This Row],[COSTO TOTAL ALOJAMIENTO]]+Tabla1[[#This Row],[COSTO TOTAL COCHE]]</f>
        <v>0</v>
      </c>
      <c r="S3510" s="2" t="s">
        <v>84</v>
      </c>
      <c r="T3510" s="14" t="s">
        <v>44</v>
      </c>
      <c r="U3510" s="14">
        <v>45891</v>
      </c>
      <c r="V3510" s="43">
        <v>45916</v>
      </c>
      <c r="W3510" s="12"/>
      <c r="X3510" s="2"/>
      <c r="Y3510" s="254" t="s">
        <v>5208</v>
      </c>
      <c r="Z3510" s="2" t="s">
        <v>36</v>
      </c>
      <c r="AA3510" s="13" t="s">
        <v>10383</v>
      </c>
      <c r="AB3510" s="13" t="s">
        <v>10384</v>
      </c>
    </row>
    <row r="3511" spans="1:28" ht="15" customHeight="1">
      <c r="A3511" s="2" t="s">
        <v>9883</v>
      </c>
      <c r="B3511" s="2" t="s">
        <v>711</v>
      </c>
      <c r="C3511" s="97" t="s">
        <v>5211</v>
      </c>
      <c r="D3511" s="2" t="s">
        <v>30</v>
      </c>
      <c r="E3511" s="2" t="s">
        <v>608</v>
      </c>
      <c r="F3511" s="11" t="s">
        <v>4919</v>
      </c>
      <c r="G3511" s="21" t="s">
        <v>4920</v>
      </c>
      <c r="H3511" s="2" t="s">
        <v>4833</v>
      </c>
      <c r="I3511" s="12" t="s">
        <v>4825</v>
      </c>
      <c r="J3511" s="41">
        <f>+Tabla1[[#This Row],[FECHA ENTRADA]]</f>
        <v>45891</v>
      </c>
      <c r="K3511" s="22">
        <v>45916</v>
      </c>
      <c r="L3511" s="42">
        <f>_xlfn.DAYS(Tabla1[[#This Row],[FECHA FIN ]],Tabla1[[#This Row],[FECHA INICIO]])</f>
        <v>25</v>
      </c>
      <c r="M3511" s="12"/>
      <c r="N3511" s="12"/>
      <c r="O3511" s="28">
        <f>(Tabla1[[#This Row],[COSTO FIJO ]]/30)*Tabla1[[#This Row],[TOTAL DIAS PROYECTO]]+(Tabla1[[#This Row],[COSTO TEMPORAL]])</f>
        <v>0</v>
      </c>
      <c r="P3511" s="12"/>
      <c r="Q3511" s="12">
        <f>+(Tabla1[[#This Row],[COSTO COCHE]]/30)*Tabla1[[#This Row],[TOTAL DIAS PROYECTO]]</f>
        <v>0</v>
      </c>
      <c r="R3511" s="12">
        <f>+Tabla1[[#This Row],[COSTO TOTAL ALOJAMIENTO]]+Tabla1[[#This Row],[COSTO TOTAL COCHE]]</f>
        <v>0</v>
      </c>
      <c r="S3511" s="2" t="s">
        <v>84</v>
      </c>
      <c r="T3511" s="14" t="s">
        <v>44</v>
      </c>
      <c r="U3511" s="14">
        <v>45891</v>
      </c>
      <c r="V3511" s="43">
        <v>45916</v>
      </c>
      <c r="W3511" s="12"/>
      <c r="X3511" s="2"/>
      <c r="Y3511" s="254" t="s">
        <v>5208</v>
      </c>
      <c r="Z3511" s="2" t="s">
        <v>36</v>
      </c>
      <c r="AA3511" s="13" t="s">
        <v>10383</v>
      </c>
      <c r="AB3511" s="13" t="s">
        <v>10384</v>
      </c>
    </row>
    <row r="3512" spans="1:28" ht="15" customHeight="1">
      <c r="A3512" s="2" t="s">
        <v>9305</v>
      </c>
      <c r="B3512" s="2" t="s">
        <v>711</v>
      </c>
      <c r="C3512" s="97" t="s">
        <v>2759</v>
      </c>
      <c r="D3512" s="2" t="s">
        <v>30</v>
      </c>
      <c r="E3512" s="2" t="s">
        <v>608</v>
      </c>
      <c r="F3512" s="11" t="s">
        <v>1918</v>
      </c>
      <c r="G3512" s="46" t="s">
        <v>4772</v>
      </c>
      <c r="H3512" s="2" t="s">
        <v>4830</v>
      </c>
      <c r="I3512" s="12" t="s">
        <v>570</v>
      </c>
      <c r="J3512" s="22">
        <f>+Tabla1[[#This Row],[FECHA ENTRADA]]</f>
        <v>45879</v>
      </c>
      <c r="K3512" s="22">
        <v>45916</v>
      </c>
      <c r="L3512" s="23">
        <f>_xlfn.DAYS(Tabla1[[#This Row],[FECHA FIN ]],Tabla1[[#This Row],[FECHA INICIO]])</f>
        <v>37</v>
      </c>
      <c r="M3512" s="12"/>
      <c r="N3512" s="20">
        <v>450</v>
      </c>
      <c r="O3512" s="24">
        <f>(Tabla1[[#This Row],[COSTO FIJO ]]/30)*Tabla1[[#This Row],[TOTAL DIAS PROYECTO]]+(Tabla1[[#This Row],[COSTO TEMPORAL]])</f>
        <v>555</v>
      </c>
      <c r="P3512" s="12"/>
      <c r="Q3512" s="12">
        <f>+(Tabla1[[#This Row],[COSTO COCHE]]/30)*Tabla1[[#This Row],[TOTAL DIAS PROYECTO]]</f>
        <v>0</v>
      </c>
      <c r="R3512" s="12">
        <f>+Tabla1[[#This Row],[COSTO TOTAL ALOJAMIENTO]]+Tabla1[[#This Row],[COSTO TOTAL COCHE]]</f>
        <v>555</v>
      </c>
      <c r="S3512" s="2"/>
      <c r="T3512" s="14" t="s">
        <v>35</v>
      </c>
      <c r="U3512" s="14">
        <v>45879</v>
      </c>
      <c r="V3512" s="79"/>
      <c r="W3512" s="12"/>
      <c r="X3512" s="2">
        <v>15</v>
      </c>
      <c r="Y3512" s="11" t="s">
        <v>5212</v>
      </c>
      <c r="Z3512" s="2" t="s">
        <v>36</v>
      </c>
      <c r="AA3512" s="13" t="s">
        <v>10383</v>
      </c>
      <c r="AB3512" s="13" t="s">
        <v>10384</v>
      </c>
    </row>
    <row r="3513" spans="1:28" ht="15" customHeight="1">
      <c r="A3513" s="2" t="s">
        <v>9884</v>
      </c>
      <c r="B3513" s="2" t="s">
        <v>711</v>
      </c>
      <c r="C3513" s="97" t="s">
        <v>5213</v>
      </c>
      <c r="D3513" s="2" t="s">
        <v>30</v>
      </c>
      <c r="E3513" s="2" t="s">
        <v>608</v>
      </c>
      <c r="F3513" s="11" t="s">
        <v>1918</v>
      </c>
      <c r="G3513" s="46" t="s">
        <v>4772</v>
      </c>
      <c r="H3513" s="157" t="s">
        <v>4830</v>
      </c>
      <c r="I3513" s="158" t="s">
        <v>570</v>
      </c>
      <c r="J3513" s="22">
        <f>+Tabla1[[#This Row],[FECHA ENTRADA]]</f>
        <v>45879</v>
      </c>
      <c r="K3513" s="22">
        <v>45916</v>
      </c>
      <c r="L3513" s="23">
        <f>_xlfn.DAYS(Tabla1[[#This Row],[FECHA FIN ]],Tabla1[[#This Row],[FECHA INICIO]])</f>
        <v>37</v>
      </c>
      <c r="M3513" s="12"/>
      <c r="N3513" s="20">
        <v>450</v>
      </c>
      <c r="O3513" s="24">
        <f>(Tabla1[[#This Row],[COSTO FIJO ]]/30)*Tabla1[[#This Row],[TOTAL DIAS PROYECTO]]+(Tabla1[[#This Row],[COSTO TEMPORAL]])</f>
        <v>555</v>
      </c>
      <c r="P3513" s="12"/>
      <c r="Q3513" s="12">
        <f>+(Tabla1[[#This Row],[COSTO COCHE]]/30)*Tabla1[[#This Row],[TOTAL DIAS PROYECTO]]</f>
        <v>0</v>
      </c>
      <c r="R3513" s="12">
        <f>+Tabla1[[#This Row],[COSTO TOTAL ALOJAMIENTO]]+Tabla1[[#This Row],[COSTO TOTAL COCHE]]</f>
        <v>555</v>
      </c>
      <c r="S3513" s="2"/>
      <c r="T3513" s="14" t="s">
        <v>35</v>
      </c>
      <c r="U3513" s="14">
        <v>45879</v>
      </c>
      <c r="V3513" s="79"/>
      <c r="W3513" s="12"/>
      <c r="X3513" s="2">
        <v>15</v>
      </c>
      <c r="Y3513" s="11" t="s">
        <v>5214</v>
      </c>
      <c r="Z3513" s="2" t="s">
        <v>36</v>
      </c>
      <c r="AA3513" s="13" t="s">
        <v>10383</v>
      </c>
      <c r="AB3513" s="13" t="s">
        <v>10384</v>
      </c>
    </row>
    <row r="3514" spans="1:28" ht="15" customHeight="1">
      <c r="A3514" s="2" t="s">
        <v>9519</v>
      </c>
      <c r="B3514" s="2" t="s">
        <v>711</v>
      </c>
      <c r="C3514" s="97" t="s">
        <v>3513</v>
      </c>
      <c r="D3514" s="2" t="s">
        <v>30</v>
      </c>
      <c r="E3514" s="2" t="s">
        <v>608</v>
      </c>
      <c r="F3514" s="11" t="s">
        <v>5215</v>
      </c>
      <c r="G3514" s="49" t="s">
        <v>5216</v>
      </c>
      <c r="H3514" s="157" t="s">
        <v>4830</v>
      </c>
      <c r="I3514" s="158" t="s">
        <v>570</v>
      </c>
      <c r="J3514" s="22">
        <f>+Tabla1[[#This Row],[FECHA ENTRADA]]</f>
        <v>45916</v>
      </c>
      <c r="K3514" s="22">
        <v>45916</v>
      </c>
      <c r="L3514" s="23">
        <f>_xlfn.DAYS(Tabla1[[#This Row],[FECHA FIN ]],Tabla1[[#This Row],[FECHA INICIO]])</f>
        <v>0</v>
      </c>
      <c r="M3514" s="12">
        <v>434</v>
      </c>
      <c r="N3514" s="24"/>
      <c r="O3514" s="24">
        <f>(Tabla1[[#This Row],[COSTO FIJO ]]/30)*Tabla1[[#This Row],[TOTAL DIAS PROYECTO]]+(Tabla1[[#This Row],[COSTO TEMPORAL]])</f>
        <v>434</v>
      </c>
      <c r="P3514" s="12"/>
      <c r="Q3514" s="12">
        <f>+(Tabla1[[#This Row],[COSTO COCHE]]/30)*Tabla1[[#This Row],[TOTAL DIAS PROYECTO]]</f>
        <v>0</v>
      </c>
      <c r="R3514" s="12">
        <f>+Tabla1[[#This Row],[COSTO TOTAL ALOJAMIENTO]]+Tabla1[[#This Row],[COSTO TOTAL COCHE]]</f>
        <v>434</v>
      </c>
      <c r="S3514" s="2"/>
      <c r="T3514" s="14" t="s">
        <v>44</v>
      </c>
      <c r="U3514" s="14">
        <v>45916</v>
      </c>
      <c r="V3514" s="25">
        <v>45930</v>
      </c>
      <c r="W3514" s="71"/>
      <c r="X3514" s="2"/>
      <c r="Y3514" s="11" t="s">
        <v>5214</v>
      </c>
      <c r="Z3514" s="2" t="s">
        <v>36</v>
      </c>
      <c r="AA3514" s="13" t="s">
        <v>10383</v>
      </c>
      <c r="AB3514" s="13" t="s">
        <v>10384</v>
      </c>
    </row>
    <row r="3515" spans="1:28" ht="15" customHeight="1">
      <c r="A3515" s="2" t="s">
        <v>9702</v>
      </c>
      <c r="B3515" s="2" t="s">
        <v>28</v>
      </c>
      <c r="C3515" s="97" t="s">
        <v>4314</v>
      </c>
      <c r="D3515" s="2" t="s">
        <v>30</v>
      </c>
      <c r="E3515" s="2" t="s">
        <v>790</v>
      </c>
      <c r="F3515" s="11" t="s">
        <v>4316</v>
      </c>
      <c r="G3515" s="30" t="s">
        <v>4317</v>
      </c>
      <c r="H3515" s="157" t="s">
        <v>4650</v>
      </c>
      <c r="I3515" s="203" t="s">
        <v>292</v>
      </c>
      <c r="J3515" s="41">
        <f>+Tabla1[[#This Row],[FECHA ENTRADA]]</f>
        <v>45872</v>
      </c>
      <c r="K3515" s="22">
        <v>45916</v>
      </c>
      <c r="L3515" s="42">
        <f>_xlfn.DAYS(Tabla1[[#This Row],[FECHA FIN ]],Tabla1[[#This Row],[FECHA INICIO]])</f>
        <v>44</v>
      </c>
      <c r="M3515" s="12"/>
      <c r="N3515" s="28">
        <v>200</v>
      </c>
      <c r="O3515" s="28">
        <f>(Tabla1[[#This Row],[COSTO FIJO ]]/30)*Tabla1[[#This Row],[TOTAL DIAS PROYECTO]]+(Tabla1[[#This Row],[COSTO TEMPORAL]])</f>
        <v>293.33333333333337</v>
      </c>
      <c r="P3515" s="12"/>
      <c r="Q3515" s="12">
        <f>+(Tabla1[[#This Row],[COSTO COCHE]]/30)*Tabla1[[#This Row],[TOTAL DIAS PROYECTO]]</f>
        <v>0</v>
      </c>
      <c r="R3515" s="12">
        <f>+Tabla1[[#This Row],[COSTO TOTAL ALOJAMIENTO]]+Tabla1[[#This Row],[COSTO TOTAL COCHE]]</f>
        <v>293.33333333333337</v>
      </c>
      <c r="S3515" s="2"/>
      <c r="T3515" s="14" t="s">
        <v>35</v>
      </c>
      <c r="U3515" s="14">
        <v>45872</v>
      </c>
      <c r="V3515" s="43">
        <v>45922</v>
      </c>
      <c r="W3515" s="12"/>
      <c r="X3515" s="2">
        <v>20</v>
      </c>
      <c r="Y3515" s="257" t="s">
        <v>5217</v>
      </c>
      <c r="Z3515" s="2" t="s">
        <v>36</v>
      </c>
      <c r="AA3515" s="13">
        <v>-574377</v>
      </c>
      <c r="AB3515" s="13">
        <v>4150368</v>
      </c>
    </row>
    <row r="3516" spans="1:28" ht="15" customHeight="1">
      <c r="A3516" s="2" t="s">
        <v>9885</v>
      </c>
      <c r="B3516" s="2" t="s">
        <v>28</v>
      </c>
      <c r="C3516" s="192" t="s">
        <v>5218</v>
      </c>
      <c r="D3516" s="2" t="s">
        <v>30</v>
      </c>
      <c r="E3516" s="2" t="s">
        <v>31</v>
      </c>
      <c r="F3516" s="11" t="s">
        <v>1450</v>
      </c>
      <c r="G3516" s="11" t="s">
        <v>1451</v>
      </c>
      <c r="H3516" s="157">
        <v>2023</v>
      </c>
      <c r="I3516" s="158" t="s">
        <v>34</v>
      </c>
      <c r="J3516" s="8">
        <f>+Tabla1[[#This Row],[FECHA ENTRADA]]</f>
        <v>45319</v>
      </c>
      <c r="K3516" s="22">
        <v>45916</v>
      </c>
      <c r="L3516" s="13">
        <f>_xlfn.DAYS(Tabla1[[#This Row],[FECHA FIN ]],Tabla1[[#This Row],[FECHA INICIO]])</f>
        <v>597</v>
      </c>
      <c r="M3516" s="12"/>
      <c r="N3516" s="20">
        <f>978.63/4</f>
        <v>244.6575</v>
      </c>
      <c r="O3516" s="12">
        <f>(Tabla1[[#This Row],[COSTO FIJO ]]/30)*Tabla1[[#This Row],[TOTAL DIAS PROYECTO]]+(Tabla1[[#This Row],[COSTO TEMPORAL]])</f>
        <v>4868.6842500000002</v>
      </c>
      <c r="P3516" s="12"/>
      <c r="Q3516" s="12">
        <f>+(Tabla1[[#This Row],[COSTO COCHE]]/30)*Tabla1[[#This Row],[TOTAL DIAS PROYECTO]]</f>
        <v>0</v>
      </c>
      <c r="R3516" s="12">
        <f>+Tabla1[[#This Row],[COSTO TOTAL ALOJAMIENTO]]+Tabla1[[#This Row],[COSTO TOTAL COCHE]]</f>
        <v>4868.6842500000002</v>
      </c>
      <c r="S3516" s="2"/>
      <c r="T3516" s="2" t="s">
        <v>35</v>
      </c>
      <c r="U3516" s="14">
        <v>45319</v>
      </c>
      <c r="V3516" s="14"/>
      <c r="W3516" s="15"/>
      <c r="X3516" s="16"/>
      <c r="Y3516" s="11" t="s">
        <v>5219</v>
      </c>
      <c r="Z3516" s="2" t="s">
        <v>36</v>
      </c>
      <c r="AA3516" s="13" t="s">
        <v>10323</v>
      </c>
      <c r="AB3516" s="13" t="s">
        <v>10324</v>
      </c>
    </row>
    <row r="3517" spans="1:28" ht="15" customHeight="1">
      <c r="A3517" s="2" t="s">
        <v>9746</v>
      </c>
      <c r="B3517" s="2" t="s">
        <v>711</v>
      </c>
      <c r="C3517" s="97" t="s">
        <v>4546</v>
      </c>
      <c r="D3517" s="2" t="s">
        <v>99</v>
      </c>
      <c r="E3517" s="2" t="s">
        <v>31</v>
      </c>
      <c r="F3517" s="11" t="s">
        <v>32</v>
      </c>
      <c r="G3517" s="11" t="s">
        <v>33</v>
      </c>
      <c r="H3517" s="157" t="s">
        <v>5220</v>
      </c>
      <c r="I3517" s="158" t="s">
        <v>5221</v>
      </c>
      <c r="J3517" s="41">
        <f>+Tabla1[[#This Row],[FECHA ENTRADA]]</f>
        <v>45895</v>
      </c>
      <c r="K3517" s="22">
        <v>45917</v>
      </c>
      <c r="L3517" s="42">
        <f>_xlfn.DAYS(Tabla1[[#This Row],[FECHA FIN ]],Tabla1[[#This Row],[FECHA INICIO]])</f>
        <v>22</v>
      </c>
      <c r="M3517" s="12"/>
      <c r="N3517" s="12"/>
      <c r="O3517" s="28">
        <f>(Tabla1[[#This Row],[COSTO FIJO ]]/30)*Tabla1[[#This Row],[TOTAL DIAS PROYECTO]]+(Tabla1[[#This Row],[COSTO TEMPORAL]])</f>
        <v>0</v>
      </c>
      <c r="P3517" s="12"/>
      <c r="Q3517" s="12">
        <f>+(Tabla1[[#This Row],[COSTO COCHE]]/30)*Tabla1[[#This Row],[TOTAL DIAS PROYECTO]]</f>
        <v>0</v>
      </c>
      <c r="R3517" s="12">
        <f>+Tabla1[[#This Row],[COSTO TOTAL ALOJAMIENTO]]+Tabla1[[#This Row],[COSTO TOTAL COCHE]]</f>
        <v>0</v>
      </c>
      <c r="S3517" s="2"/>
      <c r="T3517" s="14" t="s">
        <v>35</v>
      </c>
      <c r="U3517" s="14">
        <v>45895</v>
      </c>
      <c r="V3517" s="43"/>
      <c r="W3517" s="12"/>
      <c r="X3517" s="2">
        <v>1</v>
      </c>
      <c r="Y3517" s="11" t="s">
        <v>5222</v>
      </c>
      <c r="Z3517" s="2" t="s">
        <v>36</v>
      </c>
      <c r="AA3517" s="13" t="s">
        <v>10323</v>
      </c>
      <c r="AB3517" s="13" t="s">
        <v>10324</v>
      </c>
    </row>
    <row r="3518" spans="1:28" ht="15" customHeight="1">
      <c r="A3518" s="2" t="s">
        <v>9886</v>
      </c>
      <c r="B3518" s="2" t="s">
        <v>368</v>
      </c>
      <c r="C3518" s="104" t="s">
        <v>5223</v>
      </c>
      <c r="D3518" s="2" t="s">
        <v>30</v>
      </c>
      <c r="E3518" s="2" t="s">
        <v>415</v>
      </c>
      <c r="F3518" s="11" t="s">
        <v>487</v>
      </c>
      <c r="G3518" s="49" t="s">
        <v>488</v>
      </c>
      <c r="H3518" s="157" t="s">
        <v>1414</v>
      </c>
      <c r="I3518" s="158" t="s">
        <v>1415</v>
      </c>
      <c r="J3518" s="22">
        <f>+Tabla1[[#This Row],[FECHA ENTRADA]]</f>
        <v>45903</v>
      </c>
      <c r="K3518" s="22">
        <v>45908</v>
      </c>
      <c r="L3518" s="23">
        <f>_xlfn.DAYS(Tabla1[[#This Row],[FECHA FIN ]],Tabla1[[#This Row],[FECHA INICIO]])</f>
        <v>5</v>
      </c>
      <c r="M3518" s="12"/>
      <c r="N3518" s="12"/>
      <c r="O3518" s="24">
        <f>(Tabla1[[#This Row],[COSTO FIJO ]]/30)*Tabla1[[#This Row],[TOTAL DIAS PROYECTO]]+(Tabla1[[#This Row],[COSTO TEMPORAL]])</f>
        <v>0</v>
      </c>
      <c r="P3518" s="12"/>
      <c r="Q3518" s="12">
        <f>+(Tabla1[[#This Row],[COSTO COCHE]]/30)*Tabla1[[#This Row],[TOTAL DIAS PROYECTO]]</f>
        <v>0</v>
      </c>
      <c r="R3518" s="12">
        <f>+Tabla1[[#This Row],[COSTO TOTAL ALOJAMIENTO]]+Tabla1[[#This Row],[COSTO TOTAL COCHE]]</f>
        <v>0</v>
      </c>
      <c r="S3518" s="2"/>
      <c r="T3518" s="14" t="s">
        <v>35</v>
      </c>
      <c r="U3518" s="14">
        <v>45903</v>
      </c>
      <c r="V3518" s="25"/>
      <c r="W3518" s="71">
        <v>700</v>
      </c>
      <c r="X3518" s="2">
        <v>5</v>
      </c>
      <c r="Y3518" s="11" t="s">
        <v>5224</v>
      </c>
      <c r="Z3518" s="2" t="s">
        <v>36</v>
      </c>
      <c r="AA3518" s="13">
        <v>-0.37739</v>
      </c>
      <c r="AB3518" s="13" t="s">
        <v>10372</v>
      </c>
    </row>
    <row r="3519" spans="1:28" ht="15" customHeight="1">
      <c r="A3519" s="2" t="s">
        <v>9887</v>
      </c>
      <c r="B3519" s="2" t="s">
        <v>28</v>
      </c>
      <c r="C3519" s="104" t="s">
        <v>5225</v>
      </c>
      <c r="D3519" s="2" t="s">
        <v>99</v>
      </c>
      <c r="E3519" s="2" t="s">
        <v>253</v>
      </c>
      <c r="F3519" s="11" t="s">
        <v>1984</v>
      </c>
      <c r="G3519" s="49" t="s">
        <v>1985</v>
      </c>
      <c r="H3519" s="157" t="s">
        <v>5168</v>
      </c>
      <c r="I3519" s="158" t="s">
        <v>5169</v>
      </c>
      <c r="J3519" s="41">
        <f>+Tabla1[[#This Row],[FECHA ENTRADA]]</f>
        <v>45887</v>
      </c>
      <c r="K3519" s="22">
        <v>45917</v>
      </c>
      <c r="L3519" s="42">
        <f>_xlfn.DAYS(Tabla1[[#This Row],[FECHA FIN ]],Tabla1[[#This Row],[FECHA INICIO]])</f>
        <v>30</v>
      </c>
      <c r="M3519" s="12"/>
      <c r="N3519" s="12"/>
      <c r="O3519" s="28">
        <f>(Tabla1[[#This Row],[COSTO FIJO ]]/30)*Tabla1[[#This Row],[TOTAL DIAS PROYECTO]]+(Tabla1[[#This Row],[COSTO TEMPORAL]])</f>
        <v>0</v>
      </c>
      <c r="P3519" s="12"/>
      <c r="Q3519" s="12">
        <f>+(Tabla1[[#This Row],[COSTO COCHE]]/30)*Tabla1[[#This Row],[TOTAL DIAS PROYECTO]]</f>
        <v>0</v>
      </c>
      <c r="R3519" s="12">
        <f>+Tabla1[[#This Row],[COSTO TOTAL ALOJAMIENTO]]+Tabla1[[#This Row],[COSTO TOTAL COCHE]]</f>
        <v>0</v>
      </c>
      <c r="S3519" s="2"/>
      <c r="T3519" s="14" t="s">
        <v>44</v>
      </c>
      <c r="U3519" s="14">
        <v>45887</v>
      </c>
      <c r="V3519" s="25">
        <v>45916</v>
      </c>
      <c r="W3519" s="12"/>
      <c r="X3519" s="2"/>
      <c r="Y3519" s="11" t="s">
        <v>5226</v>
      </c>
      <c r="Z3519" s="2" t="s">
        <v>36</v>
      </c>
      <c r="AA3519" s="13" t="s">
        <v>10357</v>
      </c>
      <c r="AB3519" s="13" t="s">
        <v>10358</v>
      </c>
    </row>
    <row r="3520" spans="1:28" ht="15" customHeight="1">
      <c r="A3520" s="2" t="s">
        <v>8786</v>
      </c>
      <c r="B3520" s="2" t="s">
        <v>978</v>
      </c>
      <c r="C3520" s="104" t="s">
        <v>762</v>
      </c>
      <c r="D3520" s="2" t="s">
        <v>99</v>
      </c>
      <c r="E3520" s="2" t="s">
        <v>1443</v>
      </c>
      <c r="F3520" s="11" t="s">
        <v>5180</v>
      </c>
      <c r="G3520" s="11" t="s">
        <v>5181</v>
      </c>
      <c r="H3520" s="157" t="s">
        <v>1866</v>
      </c>
      <c r="I3520" s="158" t="s">
        <v>4477</v>
      </c>
      <c r="J3520" s="22">
        <f>+Tabla1[[#This Row],[FECHA ENTRADA]]</f>
        <v>45899</v>
      </c>
      <c r="K3520" s="22">
        <v>45917</v>
      </c>
      <c r="L3520" s="23">
        <f>_xlfn.DAYS(Tabla1[[#This Row],[FECHA FIN ]],Tabla1[[#This Row],[FECHA INICIO]])</f>
        <v>18</v>
      </c>
      <c r="M3520" s="12"/>
      <c r="N3520" s="24">
        <f>1008.97/4</f>
        <v>252.24250000000001</v>
      </c>
      <c r="O3520" s="24">
        <f>(Tabla1[[#This Row],[COSTO FIJO ]]/30)*Tabla1[[#This Row],[TOTAL DIAS PROYECTO]]+(Tabla1[[#This Row],[COSTO TEMPORAL]])</f>
        <v>151.34550000000002</v>
      </c>
      <c r="P3520" s="12"/>
      <c r="Q3520" s="12">
        <f>+(Tabla1[[#This Row],[COSTO COCHE]]/30)*Tabla1[[#This Row],[TOTAL DIAS PROYECTO]]</f>
        <v>0</v>
      </c>
      <c r="R3520" s="12">
        <f>+Tabla1[[#This Row],[COSTO TOTAL ALOJAMIENTO]]+Tabla1[[#This Row],[COSTO TOTAL COCHE]]</f>
        <v>151.34550000000002</v>
      </c>
      <c r="S3520" s="2" t="s">
        <v>403</v>
      </c>
      <c r="T3520" s="14" t="s">
        <v>44</v>
      </c>
      <c r="U3520" s="14">
        <v>45899</v>
      </c>
      <c r="V3520" s="25">
        <v>45917</v>
      </c>
      <c r="W3520" s="12"/>
      <c r="X3520" s="2"/>
      <c r="Y3520" s="11" t="s">
        <v>5227</v>
      </c>
      <c r="Z3520" s="2" t="s">
        <v>36</v>
      </c>
      <c r="AA3520" s="13" t="s">
        <v>10420</v>
      </c>
      <c r="AB3520" s="13">
        <v>3907741</v>
      </c>
    </row>
    <row r="3521" spans="1:28" ht="15" customHeight="1">
      <c r="A3521" s="2" t="s">
        <v>9405</v>
      </c>
      <c r="B3521" s="2" t="s">
        <v>978</v>
      </c>
      <c r="C3521" s="104" t="s">
        <v>3074</v>
      </c>
      <c r="D3521" s="2" t="s">
        <v>99</v>
      </c>
      <c r="E3521" s="2" t="s">
        <v>1443</v>
      </c>
      <c r="F3521" s="11" t="s">
        <v>5180</v>
      </c>
      <c r="G3521" s="11" t="s">
        <v>5181</v>
      </c>
      <c r="H3521" s="157" t="s">
        <v>1866</v>
      </c>
      <c r="I3521" s="158" t="s">
        <v>4477</v>
      </c>
      <c r="J3521" s="22">
        <f>+Tabla1[[#This Row],[FECHA ENTRADA]]</f>
        <v>45899</v>
      </c>
      <c r="K3521" s="22">
        <v>45917</v>
      </c>
      <c r="L3521" s="23">
        <f>_xlfn.DAYS(Tabla1[[#This Row],[FECHA FIN ]],Tabla1[[#This Row],[FECHA INICIO]])</f>
        <v>18</v>
      </c>
      <c r="M3521" s="12"/>
      <c r="N3521" s="24">
        <f>1008.97/4</f>
        <v>252.24250000000001</v>
      </c>
      <c r="O3521" s="24">
        <f>(Tabla1[[#This Row],[COSTO FIJO ]]/30)*Tabla1[[#This Row],[TOTAL DIAS PROYECTO]]+(Tabla1[[#This Row],[COSTO TEMPORAL]])</f>
        <v>151.34550000000002</v>
      </c>
      <c r="P3521" s="12"/>
      <c r="Q3521" s="12">
        <f>+(Tabla1[[#This Row],[COSTO COCHE]]/30)*Tabla1[[#This Row],[TOTAL DIAS PROYECTO]]</f>
        <v>0</v>
      </c>
      <c r="R3521" s="12">
        <f>+Tabla1[[#This Row],[COSTO TOTAL ALOJAMIENTO]]+Tabla1[[#This Row],[COSTO TOTAL COCHE]]</f>
        <v>151.34550000000002</v>
      </c>
      <c r="S3521" s="2" t="s">
        <v>403</v>
      </c>
      <c r="T3521" s="14" t="s">
        <v>44</v>
      </c>
      <c r="U3521" s="14">
        <v>45899</v>
      </c>
      <c r="V3521" s="25">
        <v>45917</v>
      </c>
      <c r="W3521" s="12"/>
      <c r="X3521" s="2"/>
      <c r="Y3521" s="11" t="s">
        <v>5227</v>
      </c>
      <c r="Z3521" s="2" t="s">
        <v>36</v>
      </c>
      <c r="AA3521" s="13" t="s">
        <v>10420</v>
      </c>
      <c r="AB3521" s="13">
        <v>3907741</v>
      </c>
    </row>
    <row r="3522" spans="1:28" ht="15" customHeight="1">
      <c r="A3522" s="2" t="s">
        <v>9224</v>
      </c>
      <c r="B3522" s="2" t="s">
        <v>978</v>
      </c>
      <c r="C3522" s="104" t="s">
        <v>2497</v>
      </c>
      <c r="D3522" s="2" t="s">
        <v>99</v>
      </c>
      <c r="E3522" s="2" t="s">
        <v>1443</v>
      </c>
      <c r="F3522" s="11" t="s">
        <v>5180</v>
      </c>
      <c r="G3522" s="11" t="s">
        <v>5181</v>
      </c>
      <c r="H3522" s="157" t="s">
        <v>2007</v>
      </c>
      <c r="I3522" s="12" t="s">
        <v>4477</v>
      </c>
      <c r="J3522" s="22">
        <f>+Tabla1[[#This Row],[FECHA ENTRADA]]</f>
        <v>45899</v>
      </c>
      <c r="K3522" s="22">
        <v>45917</v>
      </c>
      <c r="L3522" s="23">
        <f>_xlfn.DAYS(Tabla1[[#This Row],[FECHA FIN ]],Tabla1[[#This Row],[FECHA INICIO]])</f>
        <v>18</v>
      </c>
      <c r="M3522" s="12"/>
      <c r="N3522" s="24">
        <f>1008.97/4</f>
        <v>252.24250000000001</v>
      </c>
      <c r="O3522" s="24">
        <f>(Tabla1[[#This Row],[COSTO FIJO ]]/30)*Tabla1[[#This Row],[TOTAL DIAS PROYECTO]]+(Tabla1[[#This Row],[COSTO TEMPORAL]])</f>
        <v>151.34550000000002</v>
      </c>
      <c r="P3522" s="12"/>
      <c r="Q3522" s="12">
        <f>+(Tabla1[[#This Row],[COSTO COCHE]]/30)*Tabla1[[#This Row],[TOTAL DIAS PROYECTO]]</f>
        <v>0</v>
      </c>
      <c r="R3522" s="12">
        <f>+Tabla1[[#This Row],[COSTO TOTAL ALOJAMIENTO]]+Tabla1[[#This Row],[COSTO TOTAL COCHE]]</f>
        <v>151.34550000000002</v>
      </c>
      <c r="S3522" s="2" t="s">
        <v>403</v>
      </c>
      <c r="T3522" s="14" t="s">
        <v>44</v>
      </c>
      <c r="U3522" s="14">
        <v>45899</v>
      </c>
      <c r="V3522" s="25">
        <v>45917</v>
      </c>
      <c r="W3522" s="12"/>
      <c r="X3522" s="2"/>
      <c r="Y3522" s="11" t="s">
        <v>5227</v>
      </c>
      <c r="Z3522" s="2" t="s">
        <v>36</v>
      </c>
      <c r="AA3522" s="13" t="s">
        <v>10420</v>
      </c>
      <c r="AB3522" s="13">
        <v>3907741</v>
      </c>
    </row>
    <row r="3523" spans="1:28" ht="15" customHeight="1">
      <c r="A3523" s="2" t="s">
        <v>9888</v>
      </c>
      <c r="B3523" s="2" t="s">
        <v>28</v>
      </c>
      <c r="C3523" s="104" t="s">
        <v>5228</v>
      </c>
      <c r="D3523" s="2" t="s">
        <v>30</v>
      </c>
      <c r="E3523" s="2" t="s">
        <v>92</v>
      </c>
      <c r="F3523" s="11" t="s">
        <v>93</v>
      </c>
      <c r="G3523" s="11" t="s">
        <v>94</v>
      </c>
      <c r="H3523" s="157" t="s">
        <v>3082</v>
      </c>
      <c r="I3523" s="158" t="s">
        <v>96</v>
      </c>
      <c r="J3523" s="8">
        <f>+Tabla1[[#This Row],[FECHA ENTRADA]]</f>
        <v>45354</v>
      </c>
      <c r="K3523" s="22">
        <v>45821</v>
      </c>
      <c r="L3523" s="13">
        <f>_xlfn.DAYS(Tabla1[[#This Row],[FECHA FIN ]],Tabla1[[#This Row],[FECHA INICIO]])</f>
        <v>467</v>
      </c>
      <c r="M3523" s="12"/>
      <c r="N3523" s="12"/>
      <c r="O3523" s="12">
        <f>(Tabla1[[#This Row],[COSTO FIJO ]]/30)*Tabla1[[#This Row],[TOTAL DIAS PROYECTO]]+(Tabla1[[#This Row],[COSTO TEMPORAL]])</f>
        <v>0</v>
      </c>
      <c r="P3523" s="12"/>
      <c r="Q3523" s="12">
        <f>+(Tabla1[[#This Row],[COSTO COCHE]]/30)*Tabla1[[#This Row],[TOTAL DIAS PROYECTO]]</f>
        <v>0</v>
      </c>
      <c r="R3523" s="12">
        <f>+Tabla1[[#This Row],[COSTO TOTAL ALOJAMIENTO]]+Tabla1[[#This Row],[COSTO TOTAL COCHE]]</f>
        <v>0</v>
      </c>
      <c r="S3523" s="2"/>
      <c r="T3523" s="2" t="s">
        <v>35</v>
      </c>
      <c r="U3523" s="14">
        <v>45354</v>
      </c>
      <c r="V3523" s="14">
        <v>45365</v>
      </c>
      <c r="W3523" s="15"/>
      <c r="X3523" s="16">
        <v>27</v>
      </c>
      <c r="Y3523" s="18" t="s">
        <v>5229</v>
      </c>
      <c r="Z3523" s="2" t="s">
        <v>36</v>
      </c>
      <c r="AA3523" s="13" t="s">
        <v>10336</v>
      </c>
      <c r="AB3523" s="13" t="s">
        <v>10337</v>
      </c>
    </row>
    <row r="3524" spans="1:28" ht="15" customHeight="1">
      <c r="A3524" s="2" t="s">
        <v>9889</v>
      </c>
      <c r="B3524" s="2" t="s">
        <v>711</v>
      </c>
      <c r="C3524" s="104" t="s">
        <v>5230</v>
      </c>
      <c r="D3524" s="2" t="s">
        <v>30</v>
      </c>
      <c r="E3524" s="2" t="s">
        <v>648</v>
      </c>
      <c r="F3524" s="11" t="s">
        <v>3681</v>
      </c>
      <c r="G3524" s="11" t="s">
        <v>1545</v>
      </c>
      <c r="H3524" s="157" t="s">
        <v>2254</v>
      </c>
      <c r="I3524" s="158" t="s">
        <v>96</v>
      </c>
      <c r="J3524" s="41">
        <f>+Tabla1[[#This Row],[FECHA ENTRADA]]</f>
        <v>45921</v>
      </c>
      <c r="K3524" s="41">
        <v>46174</v>
      </c>
      <c r="L3524" s="42">
        <f>_xlfn.DAYS(Tabla1[[#This Row],[FECHA FIN ]],Tabla1[[#This Row],[FECHA INICIO]])</f>
        <v>253</v>
      </c>
      <c r="M3524" s="12"/>
      <c r="N3524" s="12">
        <v>183.33333333333334</v>
      </c>
      <c r="O3524" s="28">
        <f>(Tabla1[[#This Row],[COSTO FIJO ]]/30)*Tabla1[[#This Row],[TOTAL DIAS PROYECTO]]+(Tabla1[[#This Row],[COSTO TEMPORAL]])</f>
        <v>1546.1111111111113</v>
      </c>
      <c r="P3524" s="12"/>
      <c r="Q3524" s="12">
        <f>+(Tabla1[[#This Row],[COSTO COCHE]]/30)*Tabla1[[#This Row],[TOTAL DIAS PROYECTO]]</f>
        <v>0</v>
      </c>
      <c r="R3524" s="12">
        <f>+Tabla1[[#This Row],[COSTO TOTAL ALOJAMIENTO]]+Tabla1[[#This Row],[COSTO TOTAL COCHE]]</f>
        <v>1546.1111111111113</v>
      </c>
      <c r="S3524" s="2"/>
      <c r="T3524" s="14" t="s">
        <v>35</v>
      </c>
      <c r="U3524" s="14">
        <v>45921</v>
      </c>
      <c r="V3524" s="43"/>
      <c r="W3524" s="12">
        <v>550</v>
      </c>
      <c r="X3524" s="2">
        <v>1</v>
      </c>
      <c r="Y3524" s="11" t="s">
        <v>1364</v>
      </c>
      <c r="Z3524" s="2" t="s">
        <v>36</v>
      </c>
      <c r="AA3524" s="13" t="s">
        <v>10387</v>
      </c>
      <c r="AB3524" s="13" t="s">
        <v>10388</v>
      </c>
    </row>
    <row r="3525" spans="1:28" ht="15" customHeight="1">
      <c r="A3525" s="2" t="s">
        <v>9890</v>
      </c>
      <c r="B3525" s="2" t="s">
        <v>28</v>
      </c>
      <c r="C3525" s="104" t="s">
        <v>5231</v>
      </c>
      <c r="D3525" s="2" t="s">
        <v>99</v>
      </c>
      <c r="E3525" s="2" t="s">
        <v>626</v>
      </c>
      <c r="F3525" s="11" t="s">
        <v>2376</v>
      </c>
      <c r="G3525" s="30" t="s">
        <v>2377</v>
      </c>
      <c r="H3525" s="157" t="s">
        <v>4855</v>
      </c>
      <c r="I3525" s="158" t="s">
        <v>570</v>
      </c>
      <c r="J3525" s="41">
        <f>+Tabla1[[#This Row],[FECHA ENTRADA]]</f>
        <v>45852</v>
      </c>
      <c r="K3525" s="22">
        <v>45917</v>
      </c>
      <c r="L3525" s="42">
        <f>_xlfn.DAYS(Tabla1[[#This Row],[FECHA FIN ]],Tabla1[[#This Row],[FECHA INICIO]])</f>
        <v>65</v>
      </c>
      <c r="M3525" s="12"/>
      <c r="N3525" s="12"/>
      <c r="O3525" s="28">
        <f>(Tabla1[[#This Row],[COSTO FIJO ]]/30)*Tabla1[[#This Row],[TOTAL DIAS PROYECTO]]+(Tabla1[[#This Row],[COSTO TEMPORAL]])</f>
        <v>0</v>
      </c>
      <c r="P3525" s="12"/>
      <c r="Q3525" s="12">
        <f>+(Tabla1[[#This Row],[COSTO COCHE]]/30)*Tabla1[[#This Row],[TOTAL DIAS PROYECTO]]</f>
        <v>0</v>
      </c>
      <c r="R3525" s="12">
        <f>+Tabla1[[#This Row],[COSTO TOTAL ALOJAMIENTO]]+Tabla1[[#This Row],[COSTO TOTAL COCHE]]</f>
        <v>0</v>
      </c>
      <c r="S3525" s="2"/>
      <c r="T3525" s="2" t="s">
        <v>44</v>
      </c>
      <c r="U3525" s="14">
        <v>45852</v>
      </c>
      <c r="V3525" s="79">
        <v>45918</v>
      </c>
      <c r="W3525" s="12"/>
      <c r="X3525" s="2"/>
      <c r="Y3525" s="11" t="s">
        <v>1361</v>
      </c>
      <c r="Z3525" s="2" t="s">
        <v>36</v>
      </c>
      <c r="AA3525" s="13" t="s">
        <v>10385</v>
      </c>
      <c r="AB3525" s="13" t="s">
        <v>10386</v>
      </c>
    </row>
    <row r="3526" spans="1:28" ht="15" customHeight="1">
      <c r="A3526" s="2" t="s">
        <v>9712</v>
      </c>
      <c r="B3526" s="2" t="s">
        <v>28</v>
      </c>
      <c r="C3526" s="104" t="s">
        <v>4359</v>
      </c>
      <c r="D3526" s="2" t="s">
        <v>99</v>
      </c>
      <c r="E3526" s="2" t="s">
        <v>253</v>
      </c>
      <c r="F3526" s="11" t="s">
        <v>1984</v>
      </c>
      <c r="G3526" s="49" t="s">
        <v>1985</v>
      </c>
      <c r="H3526" s="157" t="s">
        <v>5206</v>
      </c>
      <c r="I3526" s="158" t="s">
        <v>5169</v>
      </c>
      <c r="J3526" s="41">
        <f>+Tabla1[[#This Row],[FECHA ENTRADA]]</f>
        <v>45882</v>
      </c>
      <c r="K3526" s="41">
        <v>45917</v>
      </c>
      <c r="L3526" s="42">
        <f>_xlfn.DAYS(Tabla1[[#This Row],[FECHA FIN ]],Tabla1[[#This Row],[FECHA INICIO]])</f>
        <v>35</v>
      </c>
      <c r="M3526" s="12"/>
      <c r="N3526" s="12"/>
      <c r="O3526" s="28">
        <f>(Tabla1[[#This Row],[COSTO FIJO ]]/30)*Tabla1[[#This Row],[TOTAL DIAS PROYECTO]]+(Tabla1[[#This Row],[COSTO TEMPORAL]])</f>
        <v>0</v>
      </c>
      <c r="P3526" s="12"/>
      <c r="Q3526" s="12">
        <f>+(Tabla1[[#This Row],[COSTO COCHE]]/30)*Tabla1[[#This Row],[TOTAL DIAS PROYECTO]]</f>
        <v>0</v>
      </c>
      <c r="R3526" s="12">
        <f>+Tabla1[[#This Row],[COSTO TOTAL ALOJAMIENTO]]+Tabla1[[#This Row],[COSTO TOTAL COCHE]]</f>
        <v>0</v>
      </c>
      <c r="S3526" s="2"/>
      <c r="T3526" s="14" t="s">
        <v>44</v>
      </c>
      <c r="U3526" s="14">
        <v>45882</v>
      </c>
      <c r="V3526" s="25">
        <v>45923</v>
      </c>
      <c r="W3526" s="12"/>
      <c r="X3526" s="2"/>
      <c r="Y3526" s="11"/>
      <c r="Z3526" s="2" t="s">
        <v>36</v>
      </c>
      <c r="AA3526" s="13" t="s">
        <v>10357</v>
      </c>
      <c r="AB3526" s="13" t="s">
        <v>10358</v>
      </c>
    </row>
    <row r="3527" spans="1:28" ht="15" customHeight="1">
      <c r="A3527" s="2" t="s">
        <v>9891</v>
      </c>
      <c r="B3527" s="10" t="s">
        <v>711</v>
      </c>
      <c r="C3527" s="104" t="s">
        <v>5232</v>
      </c>
      <c r="D3527" s="2" t="s">
        <v>30</v>
      </c>
      <c r="E3527" s="2" t="s">
        <v>1443</v>
      </c>
      <c r="F3527" s="11" t="s">
        <v>5233</v>
      </c>
      <c r="G3527" s="49" t="s">
        <v>5234</v>
      </c>
      <c r="H3527" s="157" t="s">
        <v>5235</v>
      </c>
      <c r="I3527" s="158" t="s">
        <v>5187</v>
      </c>
      <c r="J3527" s="41">
        <f>+Tabla1[[#This Row],[FECHA ENTRADA]]</f>
        <v>45917</v>
      </c>
      <c r="K3527" s="22">
        <v>45917</v>
      </c>
      <c r="L3527" s="42">
        <f>_xlfn.DAYS(Tabla1[[#This Row],[FECHA FIN ]],Tabla1[[#This Row],[FECHA INICIO]])</f>
        <v>0</v>
      </c>
      <c r="M3527" s="12"/>
      <c r="N3527" s="12">
        <v>384</v>
      </c>
      <c r="O3527" s="28">
        <f>(Tabla1[[#This Row],[COSTO FIJO ]]/30)*Tabla1[[#This Row],[TOTAL DIAS PROYECTO]]+(Tabla1[[#This Row],[COSTO TEMPORAL]])</f>
        <v>0</v>
      </c>
      <c r="P3527" s="12"/>
      <c r="Q3527" s="12">
        <f>+(Tabla1[[#This Row],[COSTO COCHE]]/30)*Tabla1[[#This Row],[TOTAL DIAS PROYECTO]]</f>
        <v>0</v>
      </c>
      <c r="R3527" s="12">
        <f>+Tabla1[[#This Row],[COSTO TOTAL ALOJAMIENTO]]+Tabla1[[#This Row],[COSTO TOTAL COCHE]]</f>
        <v>0</v>
      </c>
      <c r="S3527" s="2" t="s">
        <v>403</v>
      </c>
      <c r="T3527" s="14" t="s">
        <v>44</v>
      </c>
      <c r="U3527" s="14">
        <v>45917</v>
      </c>
      <c r="V3527" s="43">
        <v>45923</v>
      </c>
      <c r="W3527" s="71"/>
      <c r="X3527" s="2"/>
      <c r="Y3527" s="11" t="s">
        <v>5236</v>
      </c>
      <c r="Z3527" s="2" t="s">
        <v>36</v>
      </c>
      <c r="AA3527" s="13" t="s">
        <v>10420</v>
      </c>
      <c r="AB3527" s="13">
        <v>3907741</v>
      </c>
    </row>
    <row r="3528" spans="1:28" ht="15" customHeight="1">
      <c r="A3528" s="2" t="s">
        <v>9496</v>
      </c>
      <c r="B3528" s="10" t="s">
        <v>711</v>
      </c>
      <c r="C3528" s="104" t="s">
        <v>3385</v>
      </c>
      <c r="D3528" s="2" t="s">
        <v>749</v>
      </c>
      <c r="E3528" s="2" t="s">
        <v>4598</v>
      </c>
      <c r="F3528" s="31" t="s">
        <v>5193</v>
      </c>
      <c r="G3528" s="46" t="s">
        <v>5194</v>
      </c>
      <c r="H3528" s="157" t="s">
        <v>5237</v>
      </c>
      <c r="I3528" s="158" t="s">
        <v>4602</v>
      </c>
      <c r="J3528" s="22">
        <f>+Tabla1[[#This Row],[FECHA ENTRADA]]</f>
        <v>46253</v>
      </c>
      <c r="K3528" s="22">
        <v>46256</v>
      </c>
      <c r="L3528" s="23">
        <f>_xlfn.DAYS(Tabla1[[#This Row],[FECHA FIN ]],Tabla1[[#This Row],[FECHA INICIO]])</f>
        <v>3</v>
      </c>
      <c r="M3528" s="12">
        <f>570.5/3</f>
        <v>190.16666666666666</v>
      </c>
      <c r="N3528" s="20"/>
      <c r="O3528" s="24">
        <f>(Tabla1[[#This Row],[COSTO FIJO ]]/30)*Tabla1[[#This Row],[TOTAL DIAS PROYECTO]]+(Tabla1[[#This Row],[COSTO TEMPORAL]])</f>
        <v>190.16666666666666</v>
      </c>
      <c r="P3528" s="12"/>
      <c r="Q3528" s="12">
        <f>+(Tabla1[[#This Row],[COSTO COCHE]]/30)*Tabla1[[#This Row],[TOTAL DIAS PROYECTO]]</f>
        <v>0</v>
      </c>
      <c r="R3528" s="12">
        <f>+Tabla1[[#This Row],[COSTO TOTAL ALOJAMIENTO]]+Tabla1[[#This Row],[COSTO TOTAL COCHE]]</f>
        <v>190.16666666666666</v>
      </c>
      <c r="S3528" s="2"/>
      <c r="T3528" s="14" t="s">
        <v>44</v>
      </c>
      <c r="U3528" s="14">
        <v>46253</v>
      </c>
      <c r="V3528" s="25">
        <v>46256</v>
      </c>
      <c r="W3528" s="12"/>
      <c r="X3528" s="2"/>
      <c r="Y3528" s="11"/>
      <c r="Z3528" s="2" t="s">
        <v>36</v>
      </c>
      <c r="AA3528" s="13">
        <v>10.50447</v>
      </c>
      <c r="AB3528" s="13">
        <v>43.843690000000002</v>
      </c>
    </row>
    <row r="3529" spans="1:28" ht="15" customHeight="1">
      <c r="A3529" s="2" t="s">
        <v>9892</v>
      </c>
      <c r="B3529" s="2" t="s">
        <v>978</v>
      </c>
      <c r="C3529" s="104" t="s">
        <v>5238</v>
      </c>
      <c r="D3529" s="2" t="s">
        <v>30</v>
      </c>
      <c r="E3529" s="2" t="s">
        <v>245</v>
      </c>
      <c r="F3529" s="11" t="s">
        <v>5045</v>
      </c>
      <c r="G3529" s="46" t="s">
        <v>5046</v>
      </c>
      <c r="H3529" s="157" t="s">
        <v>1468</v>
      </c>
      <c r="I3529" s="158" t="s">
        <v>5047</v>
      </c>
      <c r="J3529" s="41">
        <f>+Tabla1[[#This Row],[FECHA ENTRADA]]</f>
        <v>45835</v>
      </c>
      <c r="K3529" s="41">
        <v>45931</v>
      </c>
      <c r="L3529" s="42">
        <f>_xlfn.DAYS(Tabla1[[#This Row],[FECHA FIN ]],Tabla1[[#This Row],[FECHA INICIO]])</f>
        <v>96</v>
      </c>
      <c r="M3529" s="12"/>
      <c r="N3529" s="12">
        <f>30*Tabla1[[#This Row],[TOTAL DIAS PROYECTO]]</f>
        <v>2880</v>
      </c>
      <c r="O3529" s="28">
        <f>(Tabla1[[#This Row],[COSTO FIJO ]]/30)*Tabla1[[#This Row],[TOTAL DIAS PROYECTO]]+(Tabla1[[#This Row],[COSTO TEMPORAL]])</f>
        <v>9216</v>
      </c>
      <c r="P3529" s="12"/>
      <c r="Q3529" s="12">
        <f>+(Tabla1[[#This Row],[COSTO COCHE]]/30)*Tabla1[[#This Row],[TOTAL DIAS PROYECTO]]</f>
        <v>0</v>
      </c>
      <c r="R3529" s="12">
        <f>+Tabla1[[#This Row],[COSTO TOTAL ALOJAMIENTO]]+Tabla1[[#This Row],[COSTO TOTAL COCHE]]</f>
        <v>9216</v>
      </c>
      <c r="S3529" s="2"/>
      <c r="T3529" s="14" t="s">
        <v>44</v>
      </c>
      <c r="U3529" s="14">
        <v>45835</v>
      </c>
      <c r="V3529" s="25">
        <v>45930</v>
      </c>
      <c r="W3529" s="12"/>
      <c r="X3529" s="2"/>
      <c r="Y3529" s="11" t="s">
        <v>5101</v>
      </c>
      <c r="Z3529" s="2" t="s">
        <v>36</v>
      </c>
      <c r="AA3529" s="13" t="s">
        <v>10355</v>
      </c>
      <c r="AB3529" s="13" t="s">
        <v>10356</v>
      </c>
    </row>
    <row r="3530" spans="1:28" ht="15" customHeight="1">
      <c r="A3530" s="2" t="s">
        <v>9893</v>
      </c>
      <c r="B3530" s="2" t="s">
        <v>978</v>
      </c>
      <c r="C3530" s="104" t="s">
        <v>5239</v>
      </c>
      <c r="D3530" s="2" t="s">
        <v>30</v>
      </c>
      <c r="E3530" s="2" t="s">
        <v>245</v>
      </c>
      <c r="F3530" s="11" t="s">
        <v>5045</v>
      </c>
      <c r="G3530" s="46" t="s">
        <v>5046</v>
      </c>
      <c r="H3530" s="157" t="s">
        <v>1468</v>
      </c>
      <c r="I3530" s="158" t="s">
        <v>5047</v>
      </c>
      <c r="J3530" s="41">
        <f>+Tabla1[[#This Row],[FECHA ENTRADA]]</f>
        <v>45835</v>
      </c>
      <c r="K3530" s="41">
        <v>45931</v>
      </c>
      <c r="L3530" s="42">
        <f>_xlfn.DAYS(Tabla1[[#This Row],[FECHA FIN ]],Tabla1[[#This Row],[FECHA INICIO]])</f>
        <v>96</v>
      </c>
      <c r="M3530" s="12">
        <f>30*Tabla1[[#This Row],[TOTAL DIAS PROYECTO]]</f>
        <v>2880</v>
      </c>
      <c r="N3530" s="12"/>
      <c r="O3530" s="28">
        <f>(Tabla1[[#This Row],[COSTO FIJO ]]/30)*Tabla1[[#This Row],[TOTAL DIAS PROYECTO]]+(Tabla1[[#This Row],[COSTO TEMPORAL]])</f>
        <v>2880</v>
      </c>
      <c r="P3530" s="12"/>
      <c r="Q3530" s="12">
        <f>+(Tabla1[[#This Row],[COSTO COCHE]]/30)*Tabla1[[#This Row],[TOTAL DIAS PROYECTO]]</f>
        <v>0</v>
      </c>
      <c r="R3530" s="12">
        <f>+Tabla1[[#This Row],[COSTO TOTAL ALOJAMIENTO]]+Tabla1[[#This Row],[COSTO TOTAL COCHE]]</f>
        <v>2880</v>
      </c>
      <c r="S3530" s="2"/>
      <c r="T3530" s="14" t="s">
        <v>44</v>
      </c>
      <c r="U3530" s="14">
        <v>45835</v>
      </c>
      <c r="V3530" s="25">
        <v>45930</v>
      </c>
      <c r="W3530" s="12"/>
      <c r="X3530" s="2"/>
      <c r="Y3530" s="11" t="s">
        <v>5101</v>
      </c>
      <c r="Z3530" s="2" t="s">
        <v>36</v>
      </c>
      <c r="AA3530" s="13" t="s">
        <v>10355</v>
      </c>
      <c r="AB3530" s="13" t="s">
        <v>10356</v>
      </c>
    </row>
    <row r="3531" spans="1:28" ht="15" customHeight="1">
      <c r="A3531" s="2" t="s">
        <v>9894</v>
      </c>
      <c r="B3531" s="2" t="s">
        <v>978</v>
      </c>
      <c r="C3531" s="104" t="s">
        <v>5240</v>
      </c>
      <c r="D3531" s="2" t="s">
        <v>30</v>
      </c>
      <c r="E3531" s="2" t="s">
        <v>245</v>
      </c>
      <c r="F3531" s="11" t="s">
        <v>5045</v>
      </c>
      <c r="G3531" s="46" t="s">
        <v>5046</v>
      </c>
      <c r="H3531" s="157" t="s">
        <v>1468</v>
      </c>
      <c r="I3531" s="158" t="s">
        <v>5047</v>
      </c>
      <c r="J3531" s="41">
        <f>+Tabla1[[#This Row],[FECHA ENTRADA]]</f>
        <v>45835</v>
      </c>
      <c r="K3531" s="41">
        <v>45931</v>
      </c>
      <c r="L3531" s="42">
        <f>_xlfn.DAYS(Tabla1[[#This Row],[FECHA FIN ]],Tabla1[[#This Row],[FECHA INICIO]])</f>
        <v>96</v>
      </c>
      <c r="M3531" s="12">
        <f>30*Tabla1[[#This Row],[TOTAL DIAS PROYECTO]]</f>
        <v>2880</v>
      </c>
      <c r="N3531" s="12"/>
      <c r="O3531" s="28">
        <f>(Tabla1[[#This Row],[COSTO FIJO ]]/30)*Tabla1[[#This Row],[TOTAL DIAS PROYECTO]]+(Tabla1[[#This Row],[COSTO TEMPORAL]])</f>
        <v>2880</v>
      </c>
      <c r="P3531" s="12"/>
      <c r="Q3531" s="12">
        <f>+(Tabla1[[#This Row],[COSTO COCHE]]/30)*Tabla1[[#This Row],[TOTAL DIAS PROYECTO]]</f>
        <v>0</v>
      </c>
      <c r="R3531" s="12">
        <f>+Tabla1[[#This Row],[COSTO TOTAL ALOJAMIENTO]]+Tabla1[[#This Row],[COSTO TOTAL COCHE]]</f>
        <v>2880</v>
      </c>
      <c r="S3531" s="2"/>
      <c r="T3531" s="14" t="s">
        <v>44</v>
      </c>
      <c r="U3531" s="14">
        <v>45835</v>
      </c>
      <c r="V3531" s="25">
        <v>45930</v>
      </c>
      <c r="W3531" s="12"/>
      <c r="X3531" s="2"/>
      <c r="Y3531" s="11" t="s">
        <v>5101</v>
      </c>
      <c r="Z3531" s="2" t="s">
        <v>36</v>
      </c>
      <c r="AA3531" s="13" t="s">
        <v>10355</v>
      </c>
      <c r="AB3531" s="13" t="s">
        <v>10356</v>
      </c>
    </row>
    <row r="3532" spans="1:28" ht="15" customHeight="1">
      <c r="A3532" s="2" t="s">
        <v>9387</v>
      </c>
      <c r="B3532" s="184" t="s">
        <v>711</v>
      </c>
      <c r="C3532" s="97" t="s">
        <v>3010</v>
      </c>
      <c r="D3532" s="2" t="s">
        <v>99</v>
      </c>
      <c r="E3532" s="2" t="s">
        <v>790</v>
      </c>
      <c r="F3532" s="11" t="s">
        <v>4649</v>
      </c>
      <c r="G3532" s="70" t="s">
        <v>4317</v>
      </c>
      <c r="H3532" s="157" t="s">
        <v>4792</v>
      </c>
      <c r="I3532" s="158" t="s">
        <v>794</v>
      </c>
      <c r="J3532" s="22">
        <f>+Tabla1[[#This Row],[FECHA ENTRADA]]</f>
        <v>45881</v>
      </c>
      <c r="K3532" s="22">
        <v>46097</v>
      </c>
      <c r="L3532" s="23">
        <f>_xlfn.DAYS(Tabla1[[#This Row],[FECHA FIN ]],Tabla1[[#This Row],[FECHA INICIO]])</f>
        <v>216</v>
      </c>
      <c r="M3532" s="12"/>
      <c r="N3532" s="20">
        <v>250</v>
      </c>
      <c r="O3532" s="24">
        <f>(Tabla1[[#This Row],[COSTO FIJO ]]/30)*Tabla1[[#This Row],[TOTAL DIAS PROYECTO]]+(Tabla1[[#This Row],[COSTO TEMPORAL]])</f>
        <v>1800.0000000000002</v>
      </c>
      <c r="P3532" s="12"/>
      <c r="Q3532" s="12">
        <f>+(Tabla1[[#This Row],[COSTO COCHE]]/30)*Tabla1[[#This Row],[TOTAL DIAS PROYECTO]]</f>
        <v>0</v>
      </c>
      <c r="R3532" s="12">
        <f>+Tabla1[[#This Row],[COSTO TOTAL ALOJAMIENTO]]+Tabla1[[#This Row],[COSTO TOTAL COCHE]]</f>
        <v>1800.0000000000002</v>
      </c>
      <c r="S3532" s="2"/>
      <c r="T3532" s="14" t="s">
        <v>35</v>
      </c>
      <c r="U3532" s="14">
        <v>45881</v>
      </c>
      <c r="V3532" s="79"/>
      <c r="W3532" s="12"/>
      <c r="X3532" s="2">
        <v>1</v>
      </c>
      <c r="Y3532" s="11" t="s">
        <v>5241</v>
      </c>
      <c r="Z3532" s="2" t="s">
        <v>36</v>
      </c>
      <c r="AA3532" s="13">
        <v>-574377</v>
      </c>
      <c r="AB3532" s="13">
        <v>4150368</v>
      </c>
    </row>
    <row r="3533" spans="1:28" ht="15" customHeight="1">
      <c r="A3533" s="2" t="s">
        <v>9738</v>
      </c>
      <c r="B3533" s="2" t="s">
        <v>978</v>
      </c>
      <c r="C3533" s="104" t="s">
        <v>4506</v>
      </c>
      <c r="D3533" s="2" t="s">
        <v>30</v>
      </c>
      <c r="E3533" s="2" t="s">
        <v>259</v>
      </c>
      <c r="F3533" s="11" t="s">
        <v>691</v>
      </c>
      <c r="G3533" s="11" t="s">
        <v>692</v>
      </c>
      <c r="H3533" s="2" t="s">
        <v>5103</v>
      </c>
      <c r="I3533" s="12" t="s">
        <v>4255</v>
      </c>
      <c r="J3533" s="22">
        <f>+Tabla1[[#This Row],[FECHA ENTRADA]]</f>
        <v>45860</v>
      </c>
      <c r="K3533" s="22">
        <v>45918</v>
      </c>
      <c r="L3533" s="23">
        <f>_xlfn.DAYS(Tabla1[[#This Row],[FECHA FIN ]],Tabla1[[#This Row],[FECHA INICIO]])</f>
        <v>58</v>
      </c>
      <c r="M3533" s="12"/>
      <c r="N3533" s="24">
        <v>297.5</v>
      </c>
      <c r="O3533" s="24">
        <f>(Tabla1[[#This Row],[COSTO FIJO ]]/30)*Tabla1[[#This Row],[TOTAL DIAS PROYECTO]]+(Tabla1[[#This Row],[COSTO TEMPORAL]])</f>
        <v>575.16666666666663</v>
      </c>
      <c r="P3533" s="12"/>
      <c r="Q3533" s="12">
        <f>+(Tabla1[[#This Row],[COSTO COCHE]]/30)*Tabla1[[#This Row],[TOTAL DIAS PROYECTO]]</f>
        <v>0</v>
      </c>
      <c r="R3533" s="12">
        <f>+Tabla1[[#This Row],[COSTO TOTAL ALOJAMIENTO]]+Tabla1[[#This Row],[COSTO TOTAL COCHE]]</f>
        <v>575.16666666666663</v>
      </c>
      <c r="S3533" s="2"/>
      <c r="T3533" s="14" t="s">
        <v>35</v>
      </c>
      <c r="U3533" s="14">
        <v>45860</v>
      </c>
      <c r="V3533" s="25"/>
      <c r="W3533" s="12"/>
      <c r="X3533" s="2">
        <v>20</v>
      </c>
      <c r="Y3533" s="11"/>
      <c r="Z3533" s="2" t="s">
        <v>36</v>
      </c>
      <c r="AA3533" s="13">
        <v>-0.87734000000000001</v>
      </c>
      <c r="AB3533" s="13" t="s">
        <v>10359</v>
      </c>
    </row>
    <row r="3534" spans="1:28" ht="15" customHeight="1">
      <c r="A3534" s="2" t="s">
        <v>9895</v>
      </c>
      <c r="B3534" s="2" t="s">
        <v>978</v>
      </c>
      <c r="C3534" s="104" t="s">
        <v>5242</v>
      </c>
      <c r="D3534" s="2" t="s">
        <v>30</v>
      </c>
      <c r="E3534" s="2" t="s">
        <v>259</v>
      </c>
      <c r="F3534" s="11" t="s">
        <v>691</v>
      </c>
      <c r="G3534" s="11" t="s">
        <v>692</v>
      </c>
      <c r="H3534" s="2" t="s">
        <v>5103</v>
      </c>
      <c r="I3534" s="12" t="s">
        <v>4255</v>
      </c>
      <c r="J3534" s="22">
        <f>+Tabla1[[#This Row],[FECHA ENTRADA]]</f>
        <v>45860</v>
      </c>
      <c r="K3534" s="22">
        <v>45918</v>
      </c>
      <c r="L3534" s="23">
        <f>_xlfn.DAYS(Tabla1[[#This Row],[FECHA FIN ]],Tabla1[[#This Row],[FECHA INICIO]])</f>
        <v>58</v>
      </c>
      <c r="M3534" s="12"/>
      <c r="N3534" s="24">
        <v>297.5</v>
      </c>
      <c r="O3534" s="24">
        <f>(Tabla1[[#This Row],[COSTO FIJO ]]/30)*Tabla1[[#This Row],[TOTAL DIAS PROYECTO]]+(Tabla1[[#This Row],[COSTO TEMPORAL]])</f>
        <v>575.16666666666663</v>
      </c>
      <c r="P3534" s="12"/>
      <c r="Q3534" s="12">
        <f>+(Tabla1[[#This Row],[COSTO COCHE]]/30)*Tabla1[[#This Row],[TOTAL DIAS PROYECTO]]</f>
        <v>0</v>
      </c>
      <c r="R3534" s="12">
        <f>+Tabla1[[#This Row],[COSTO TOTAL ALOJAMIENTO]]+Tabla1[[#This Row],[COSTO TOTAL COCHE]]</f>
        <v>575.16666666666663</v>
      </c>
      <c r="S3534" s="2"/>
      <c r="T3534" s="14" t="s">
        <v>35</v>
      </c>
      <c r="U3534" s="14">
        <v>45860</v>
      </c>
      <c r="V3534" s="25"/>
      <c r="W3534" s="12"/>
      <c r="X3534" s="2">
        <v>20</v>
      </c>
      <c r="Y3534" s="11"/>
      <c r="Z3534" s="2" t="s">
        <v>36</v>
      </c>
      <c r="AA3534" s="13">
        <v>-0.87734000000000001</v>
      </c>
      <c r="AB3534" s="13" t="s">
        <v>10359</v>
      </c>
    </row>
    <row r="3535" spans="1:28" ht="15" customHeight="1">
      <c r="A3535" s="2" t="s">
        <v>9554</v>
      </c>
      <c r="B3535" s="2" t="s">
        <v>368</v>
      </c>
      <c r="C3535" s="97" t="s">
        <v>3603</v>
      </c>
      <c r="D3535" s="2" t="s">
        <v>99</v>
      </c>
      <c r="E3535" s="2" t="s">
        <v>572</v>
      </c>
      <c r="F3535" s="11" t="s">
        <v>1106</v>
      </c>
      <c r="G3535" s="258"/>
      <c r="H3535" s="2" t="s">
        <v>4551</v>
      </c>
      <c r="I3535" s="12" t="s">
        <v>2228</v>
      </c>
      <c r="J3535" s="41">
        <f>+Tabla1[[#This Row],[FECHA ENTRADA]]</f>
        <v>45868</v>
      </c>
      <c r="K3535" s="41">
        <v>45918</v>
      </c>
      <c r="L3535" s="42">
        <f>_xlfn.DAYS(Tabla1[[#This Row],[FECHA FIN ]],Tabla1[[#This Row],[FECHA INICIO]])</f>
        <v>50</v>
      </c>
      <c r="M3535" s="12"/>
      <c r="N3535" s="28"/>
      <c r="O3535" s="28">
        <f>(Tabla1[[#This Row],[COSTO FIJO ]]/30)*Tabla1[[#This Row],[TOTAL DIAS PROYECTO]]+(Tabla1[[#This Row],[COSTO TEMPORAL]])</f>
        <v>0</v>
      </c>
      <c r="Q3535" s="12">
        <f>+(Tabla1[[#This Row],[COSTO COCHE]]/30)*Tabla1[[#This Row],[TOTAL DIAS PROYECTO]]</f>
        <v>0</v>
      </c>
      <c r="R3535" s="12">
        <f>+Tabla1[[#This Row],[COSTO TOTAL ALOJAMIENTO]]+Tabla1[[#This Row],[COSTO TOTAL COCHE]]</f>
        <v>0</v>
      </c>
      <c r="T3535" s="2" t="s">
        <v>8</v>
      </c>
      <c r="U3535" s="22">
        <v>45868</v>
      </c>
      <c r="X3535" s="2"/>
      <c r="Y3535" s="11" t="s">
        <v>5243</v>
      </c>
      <c r="Z3535" s="2" t="s">
        <v>36</v>
      </c>
      <c r="AA3535" s="13" t="s">
        <v>10380</v>
      </c>
      <c r="AB3535" s="13" t="s">
        <v>10381</v>
      </c>
    </row>
    <row r="3536" spans="1:28" ht="15" customHeight="1">
      <c r="A3536" s="2" t="s">
        <v>9896</v>
      </c>
      <c r="B3536" s="2" t="s">
        <v>28</v>
      </c>
      <c r="C3536" s="104" t="s">
        <v>5244</v>
      </c>
      <c r="D3536" s="2" t="s">
        <v>30</v>
      </c>
      <c r="E3536" s="2" t="s">
        <v>31</v>
      </c>
      <c r="F3536" s="11" t="s">
        <v>907</v>
      </c>
      <c r="G3536" s="11" t="s">
        <v>296</v>
      </c>
      <c r="H3536" s="2" t="s">
        <v>5245</v>
      </c>
      <c r="I3536" s="12" t="s">
        <v>909</v>
      </c>
      <c r="J3536" s="8">
        <f>+Tabla1[[#This Row],[FECHA ENTRADA]]</f>
        <v>45599</v>
      </c>
      <c r="K3536" s="8">
        <v>45919</v>
      </c>
      <c r="L3536" s="42">
        <f>_xlfn.DAYS(Tabla1[[#This Row],[FECHA FIN ]],Tabla1[[#This Row],[FECHA INICIO]])</f>
        <v>320</v>
      </c>
      <c r="M3536" s="12"/>
      <c r="N3536" s="28">
        <v>300</v>
      </c>
      <c r="O3536" s="28">
        <f>(Tabla1[[#This Row],[COSTO FIJO ]]/30)*Tabla1[[#This Row],[TOTAL DIAS PROYECTO]]+(Tabla1[[#This Row],[COSTO TEMPORAL]])</f>
        <v>3200</v>
      </c>
      <c r="P3536" s="12"/>
      <c r="Q3536" s="12">
        <f>+(Tabla1[[#This Row],[COSTO COCHE]]/30)*Tabla1[[#This Row],[TOTAL DIAS PROYECTO]]</f>
        <v>0</v>
      </c>
      <c r="R3536" s="12">
        <f>+Tabla1[[#This Row],[COSTO TOTAL ALOJAMIENTO]]+Tabla1[[#This Row],[COSTO TOTAL COCHE]]</f>
        <v>3200</v>
      </c>
      <c r="S3536" s="2"/>
      <c r="T3536" s="2" t="s">
        <v>35</v>
      </c>
      <c r="U3536" s="14">
        <v>45599</v>
      </c>
      <c r="V3536" s="43"/>
      <c r="W3536" s="26"/>
      <c r="X3536" s="2">
        <v>1</v>
      </c>
      <c r="Y3536" s="11"/>
      <c r="Z3536" s="2" t="s">
        <v>36</v>
      </c>
      <c r="AA3536" s="13" t="s">
        <v>10323</v>
      </c>
      <c r="AB3536" s="13" t="s">
        <v>10324</v>
      </c>
    </row>
    <row r="3537" spans="1:28" ht="15" customHeight="1">
      <c r="A3537" s="2" t="s">
        <v>9876</v>
      </c>
      <c r="B3537" s="2" t="s">
        <v>978</v>
      </c>
      <c r="C3537" s="104" t="s">
        <v>5182</v>
      </c>
      <c r="D3537" s="2" t="s">
        <v>30</v>
      </c>
      <c r="E3537" s="2" t="s">
        <v>380</v>
      </c>
      <c r="F3537" s="11" t="s">
        <v>5246</v>
      </c>
      <c r="G3537" s="46" t="s">
        <v>2237</v>
      </c>
      <c r="H3537" s="2" t="s">
        <v>4279</v>
      </c>
      <c r="I3537" s="12" t="s">
        <v>4276</v>
      </c>
      <c r="J3537" s="41">
        <f>+Tabla1[[#This Row],[FECHA ENTRADA]]</f>
        <v>45827</v>
      </c>
      <c r="K3537" s="41">
        <v>45827</v>
      </c>
      <c r="L3537" s="42">
        <f>_xlfn.DAYS(Tabla1[[#This Row],[FECHA FIN ]],Tabla1[[#This Row],[FECHA INICIO]])</f>
        <v>0</v>
      </c>
      <c r="M3537" s="12"/>
      <c r="N3537" s="12"/>
      <c r="O3537" s="28">
        <f>(Tabla1[[#This Row],[COSTO FIJO ]]/30)*Tabla1[[#This Row],[TOTAL DIAS PROYECTO]]+(Tabla1[[#This Row],[COSTO TEMPORAL]])</f>
        <v>0</v>
      </c>
      <c r="P3537" s="12"/>
      <c r="Q3537" s="12">
        <f>+(Tabla1[[#This Row],[COSTO COCHE]]/30)*Tabla1[[#This Row],[TOTAL DIAS PROYECTO]]</f>
        <v>0</v>
      </c>
      <c r="R3537" s="12">
        <f>+Tabla1[[#This Row],[COSTO TOTAL ALOJAMIENTO]]+Tabla1[[#This Row],[COSTO TOTAL COCHE]]</f>
        <v>0</v>
      </c>
      <c r="S3537" s="2"/>
      <c r="T3537" s="14" t="s">
        <v>44</v>
      </c>
      <c r="U3537" s="14">
        <v>45827</v>
      </c>
      <c r="V3537" s="43">
        <v>45857</v>
      </c>
      <c r="W3537" s="12">
        <v>1200</v>
      </c>
      <c r="X3537" s="2"/>
      <c r="Y3537" s="11" t="s">
        <v>5247</v>
      </c>
      <c r="Z3537" s="2" t="s">
        <v>36</v>
      </c>
      <c r="AA3537" s="13" t="s">
        <v>10370</v>
      </c>
      <c r="AB3537" s="13" t="s">
        <v>10371</v>
      </c>
    </row>
    <row r="3538" spans="1:28" ht="15" customHeight="1">
      <c r="A3538" s="2" t="s">
        <v>9800</v>
      </c>
      <c r="B3538" s="10" t="s">
        <v>711</v>
      </c>
      <c r="C3538" s="97" t="s">
        <v>4803</v>
      </c>
      <c r="D3538" s="2" t="s">
        <v>99</v>
      </c>
      <c r="E3538" s="2" t="s">
        <v>31</v>
      </c>
      <c r="F3538" s="11" t="s">
        <v>32</v>
      </c>
      <c r="G3538" s="11" t="s">
        <v>33</v>
      </c>
      <c r="H3538" s="2" t="s">
        <v>5248</v>
      </c>
      <c r="I3538" s="12" t="s">
        <v>5249</v>
      </c>
      <c r="J3538" s="41">
        <f>+Tabla1[[#This Row],[FECHA ENTRADA]]</f>
        <v>45918</v>
      </c>
      <c r="K3538" s="22">
        <v>45919</v>
      </c>
      <c r="L3538" s="42">
        <f>_xlfn.DAYS(Tabla1[[#This Row],[FECHA FIN ]],Tabla1[[#This Row],[FECHA INICIO]])</f>
        <v>1</v>
      </c>
      <c r="M3538" s="12"/>
      <c r="N3538" s="12"/>
      <c r="O3538" s="28">
        <f>(Tabla1[[#This Row],[COSTO FIJO ]]/30)*Tabla1[[#This Row],[TOTAL DIAS PROYECTO]]+(Tabla1[[#This Row],[COSTO TEMPORAL]])</f>
        <v>0</v>
      </c>
      <c r="P3538" s="12"/>
      <c r="Q3538" s="12">
        <f>+(Tabla1[[#This Row],[COSTO COCHE]]/30)*Tabla1[[#This Row],[TOTAL DIAS PROYECTO]]</f>
        <v>0</v>
      </c>
      <c r="R3538" s="12">
        <f>+Tabla1[[#This Row],[COSTO TOTAL ALOJAMIENTO]]+Tabla1[[#This Row],[COSTO TOTAL COCHE]]</f>
        <v>0</v>
      </c>
      <c r="S3538" s="2"/>
      <c r="T3538" s="14" t="s">
        <v>35</v>
      </c>
      <c r="U3538" s="14">
        <v>45918</v>
      </c>
      <c r="V3538" s="43"/>
      <c r="W3538" s="71"/>
      <c r="X3538" s="2">
        <v>1</v>
      </c>
      <c r="Y3538" s="11"/>
      <c r="Z3538" s="2" t="s">
        <v>36</v>
      </c>
      <c r="AA3538" s="13" t="s">
        <v>10323</v>
      </c>
      <c r="AB3538" s="13" t="s">
        <v>10324</v>
      </c>
    </row>
    <row r="3539" spans="1:28" ht="15" customHeight="1">
      <c r="A3539" s="2" t="s">
        <v>9582</v>
      </c>
      <c r="B3539" s="2" t="s">
        <v>978</v>
      </c>
      <c r="C3539" s="97" t="s">
        <v>3748</v>
      </c>
      <c r="D3539" s="2" t="s">
        <v>30</v>
      </c>
      <c r="E3539" s="2" t="s">
        <v>253</v>
      </c>
      <c r="F3539" s="11" t="s">
        <v>3497</v>
      </c>
      <c r="G3539" s="197" t="s">
        <v>3498</v>
      </c>
      <c r="H3539" s="2" t="s">
        <v>1530</v>
      </c>
      <c r="I3539" s="12" t="s">
        <v>1155</v>
      </c>
      <c r="J3539" s="22">
        <f>+Tabla1[[#This Row],[FECHA ENTRADA]]</f>
        <v>45574</v>
      </c>
      <c r="K3539" s="22">
        <v>45976</v>
      </c>
      <c r="L3539" s="42">
        <f>_xlfn.DAYS(Tabla1[[#This Row],[FECHA FIN ]],Tabla1[[#This Row],[FECHA INICIO]])</f>
        <v>402</v>
      </c>
      <c r="M3539" s="12"/>
      <c r="N3539" s="12">
        <v>375</v>
      </c>
      <c r="O3539" s="28">
        <f>(Tabla1[[#This Row],[COSTO FIJO ]]/30)*Tabla1[[#This Row],[TOTAL DIAS PROYECTO]]+(Tabla1[[#This Row],[COSTO TEMPORAL]])</f>
        <v>5025</v>
      </c>
      <c r="P3539" s="12"/>
      <c r="Q3539" s="12">
        <f>+(Tabla1[[#This Row],[COSTO COCHE]]/30)*Tabla1[[#This Row],[TOTAL DIAS PROYECTO]]</f>
        <v>0</v>
      </c>
      <c r="R3539" s="12">
        <f>+Tabla1[[#This Row],[COSTO TOTAL ALOJAMIENTO]]+Tabla1[[#This Row],[COSTO TOTAL COCHE]]</f>
        <v>5025</v>
      </c>
      <c r="S3539" s="2"/>
      <c r="T3539" s="2" t="s">
        <v>35</v>
      </c>
      <c r="U3539" s="14">
        <v>45574</v>
      </c>
      <c r="V3539" s="43"/>
      <c r="W3539" s="26">
        <v>250</v>
      </c>
      <c r="X3539" s="2">
        <v>5</v>
      </c>
      <c r="Y3539" s="11" t="s">
        <v>4204</v>
      </c>
      <c r="Z3539" s="2" t="s">
        <v>36</v>
      </c>
      <c r="AA3539" s="13" t="s">
        <v>10357</v>
      </c>
      <c r="AB3539" s="13" t="s">
        <v>10358</v>
      </c>
    </row>
    <row r="3540" spans="1:28" ht="15" customHeight="1">
      <c r="A3540" s="2" t="s">
        <v>9852</v>
      </c>
      <c r="B3540" s="2" t="s">
        <v>28</v>
      </c>
      <c r="C3540" s="97" t="s">
        <v>5044</v>
      </c>
      <c r="D3540" s="2" t="s">
        <v>99</v>
      </c>
      <c r="E3540" s="2" t="s">
        <v>31</v>
      </c>
      <c r="F3540" s="11" t="s">
        <v>344</v>
      </c>
      <c r="G3540" s="11" t="s">
        <v>345</v>
      </c>
      <c r="H3540" s="2" t="s">
        <v>5250</v>
      </c>
      <c r="I3540" s="12" t="s">
        <v>181</v>
      </c>
      <c r="J3540" s="22">
        <f>+Tabla1[[#This Row],[FECHA ENTRADA]]</f>
        <v>45914</v>
      </c>
      <c r="K3540" s="22">
        <v>45919</v>
      </c>
      <c r="L3540" s="23">
        <f>_xlfn.DAYS(Tabla1[[#This Row],[FECHA FIN ]],Tabla1[[#This Row],[FECHA INICIO]])</f>
        <v>5</v>
      </c>
      <c r="M3540" s="12"/>
      <c r="N3540" s="24">
        <f>1677.13/5</f>
        <v>335.42600000000004</v>
      </c>
      <c r="O3540" s="24">
        <f>(Tabla1[[#This Row],[COSTO FIJO ]]/30)*Tabla1[[#This Row],[TOTAL DIAS PROYECTO]]+(Tabla1[[#This Row],[COSTO TEMPORAL]])</f>
        <v>55.904333333333341</v>
      </c>
      <c r="P3540" s="12"/>
      <c r="Q3540" s="12">
        <f>+(Tabla1[[#This Row],[COSTO COCHE]]/30)*Tabla1[[#This Row],[TOTAL DIAS PROYECTO]]</f>
        <v>0</v>
      </c>
      <c r="R3540" s="12">
        <f>+Tabla1[[#This Row],[COSTO TOTAL ALOJAMIENTO]]+Tabla1[[#This Row],[COSTO TOTAL COCHE]]</f>
        <v>55.904333333333341</v>
      </c>
      <c r="S3540" s="2"/>
      <c r="T3540" s="14" t="s">
        <v>35</v>
      </c>
      <c r="U3540" s="14">
        <v>45914</v>
      </c>
      <c r="V3540" s="79"/>
      <c r="W3540" s="71"/>
      <c r="X3540" s="2"/>
      <c r="Y3540" s="11" t="s">
        <v>5251</v>
      </c>
      <c r="Z3540" s="2" t="s">
        <v>36</v>
      </c>
      <c r="AA3540" s="13" t="s">
        <v>10323</v>
      </c>
      <c r="AB3540" s="13" t="s">
        <v>10324</v>
      </c>
    </row>
    <row r="3541" spans="1:28" ht="15.75" customHeight="1">
      <c r="A3541" s="2" t="s">
        <v>9659</v>
      </c>
      <c r="B3541" s="2" t="s">
        <v>368</v>
      </c>
      <c r="C3541" s="104" t="s">
        <v>4103</v>
      </c>
      <c r="D3541" s="2" t="s">
        <v>30</v>
      </c>
      <c r="E3541" s="2" t="s">
        <v>127</v>
      </c>
      <c r="F3541" s="11" t="s">
        <v>128</v>
      </c>
      <c r="G3541" s="46" t="s">
        <v>2111</v>
      </c>
      <c r="H3541" s="2" t="s">
        <v>3622</v>
      </c>
      <c r="I3541" s="12" t="s">
        <v>1193</v>
      </c>
      <c r="J3541" s="22">
        <f>+Tabla1[[#This Row],[FECHA ENTRADA]]</f>
        <v>45894</v>
      </c>
      <c r="K3541" s="22">
        <v>45920</v>
      </c>
      <c r="L3541" s="23">
        <f>_xlfn.DAYS(Tabla1[[#This Row],[FECHA FIN ]],Tabla1[[#This Row],[FECHA INICIO]])</f>
        <v>26</v>
      </c>
      <c r="M3541" s="12"/>
      <c r="N3541" s="24"/>
      <c r="O3541" s="24">
        <f>(Tabla1[[#This Row],[COSTO FIJO ]]/30)*Tabla1[[#This Row],[TOTAL DIAS PROYECTO]]+(Tabla1[[#This Row],[COSTO TEMPORAL]])</f>
        <v>0</v>
      </c>
      <c r="P3541" s="12"/>
      <c r="Q3541" s="12">
        <f>+(Tabla1[[#This Row],[COSTO COCHE]]/30)*Tabla1[[#This Row],[TOTAL DIAS PROYECTO]]</f>
        <v>0</v>
      </c>
      <c r="R3541" s="12">
        <f>+Tabla1[[#This Row],[COSTO TOTAL ALOJAMIENTO]]+Tabla1[[#This Row],[COSTO TOTAL COCHE]]</f>
        <v>0</v>
      </c>
      <c r="S3541" s="2"/>
      <c r="T3541" s="14" t="s">
        <v>35</v>
      </c>
      <c r="U3541" s="14">
        <v>45894</v>
      </c>
      <c r="V3541" s="25"/>
      <c r="W3541" s="12"/>
      <c r="X3541" s="2">
        <v>1</v>
      </c>
      <c r="Y3541" s="11"/>
      <c r="Z3541" s="2" t="s">
        <v>36</v>
      </c>
      <c r="AA3541" s="13" t="s">
        <v>10342</v>
      </c>
      <c r="AB3541" s="13" t="s">
        <v>10343</v>
      </c>
    </row>
    <row r="3542" spans="1:28" ht="15" customHeight="1">
      <c r="A3542" s="2" t="s">
        <v>9333</v>
      </c>
      <c r="B3542" s="2" t="s">
        <v>368</v>
      </c>
      <c r="C3542" s="104" t="s">
        <v>2845</v>
      </c>
      <c r="D3542" s="2" t="s">
        <v>30</v>
      </c>
      <c r="E3542" s="2" t="s">
        <v>127</v>
      </c>
      <c r="F3542" s="11" t="s">
        <v>128</v>
      </c>
      <c r="G3542" s="49" t="s">
        <v>2111</v>
      </c>
      <c r="H3542" s="2" t="s">
        <v>4101</v>
      </c>
      <c r="I3542" s="12" t="s">
        <v>1193</v>
      </c>
      <c r="J3542" s="22">
        <f>+Tabla1[[#This Row],[FECHA ENTRADA]]</f>
        <v>45894</v>
      </c>
      <c r="K3542" s="22">
        <v>45920</v>
      </c>
      <c r="L3542" s="23">
        <f>_xlfn.DAYS(Tabla1[[#This Row],[FECHA FIN ]],Tabla1[[#This Row],[FECHA INICIO]])</f>
        <v>26</v>
      </c>
      <c r="M3542" s="12"/>
      <c r="N3542" s="24"/>
      <c r="O3542" s="24">
        <f>(Tabla1[[#This Row],[COSTO FIJO ]]/30)*Tabla1[[#This Row],[TOTAL DIAS PROYECTO]]+(Tabla1[[#This Row],[COSTO TEMPORAL]])</f>
        <v>0</v>
      </c>
      <c r="P3542" s="12"/>
      <c r="Q3542" s="12">
        <f>+(Tabla1[[#This Row],[COSTO COCHE]]/30)*Tabla1[[#This Row],[TOTAL DIAS PROYECTO]]</f>
        <v>0</v>
      </c>
      <c r="R3542" s="12">
        <f>+Tabla1[[#This Row],[COSTO TOTAL ALOJAMIENTO]]+Tabla1[[#This Row],[COSTO TOTAL COCHE]]</f>
        <v>0</v>
      </c>
      <c r="S3542" s="2"/>
      <c r="T3542" s="14" t="s">
        <v>35</v>
      </c>
      <c r="U3542" s="14">
        <v>45894</v>
      </c>
      <c r="V3542" s="25"/>
      <c r="W3542" s="12"/>
      <c r="X3542" s="2">
        <v>1</v>
      </c>
      <c r="Y3542" s="11" t="s">
        <v>5252</v>
      </c>
      <c r="Z3542" s="2" t="s">
        <v>36</v>
      </c>
      <c r="AA3542" s="13" t="s">
        <v>10342</v>
      </c>
      <c r="AB3542" s="13" t="s">
        <v>10343</v>
      </c>
    </row>
    <row r="3543" spans="1:28" ht="15" customHeight="1">
      <c r="A3543" s="2" t="s">
        <v>9345</v>
      </c>
      <c r="B3543" s="2" t="s">
        <v>978</v>
      </c>
      <c r="C3543" s="104" t="s">
        <v>2879</v>
      </c>
      <c r="D3543" s="2" t="s">
        <v>30</v>
      </c>
      <c r="E3543" s="2" t="s">
        <v>380</v>
      </c>
      <c r="F3543" s="11" t="s">
        <v>5246</v>
      </c>
      <c r="G3543" s="46" t="s">
        <v>2237</v>
      </c>
      <c r="H3543" s="2" t="s">
        <v>4279</v>
      </c>
      <c r="I3543" s="12" t="s">
        <v>4276</v>
      </c>
      <c r="J3543" s="41">
        <f>+Tabla1[[#This Row],[FECHA ENTRADA]]</f>
        <v>45827</v>
      </c>
      <c r="K3543" s="41">
        <v>45854</v>
      </c>
      <c r="L3543" s="42">
        <f>_xlfn.DAYS(Tabla1[[#This Row],[FECHA FIN ]],Tabla1[[#This Row],[FECHA INICIO]])</f>
        <v>27</v>
      </c>
      <c r="M3543" s="12"/>
      <c r="N3543" s="12"/>
      <c r="O3543" s="28">
        <f>(Tabla1[[#This Row],[COSTO FIJO ]]/30)*Tabla1[[#This Row],[TOTAL DIAS PROYECTO]]+(Tabla1[[#This Row],[COSTO TEMPORAL]])</f>
        <v>0</v>
      </c>
      <c r="P3543" s="12"/>
      <c r="Q3543" s="12">
        <f>+(Tabla1[[#This Row],[COSTO COCHE]]/30)*Tabla1[[#This Row],[TOTAL DIAS PROYECTO]]</f>
        <v>0</v>
      </c>
      <c r="R3543" s="12">
        <f>+Tabla1[[#This Row],[COSTO TOTAL ALOJAMIENTO]]+Tabla1[[#This Row],[COSTO TOTAL COCHE]]</f>
        <v>0</v>
      </c>
      <c r="S3543" s="2"/>
      <c r="T3543" s="14" t="s">
        <v>44</v>
      </c>
      <c r="U3543" s="14">
        <v>45827</v>
      </c>
      <c r="V3543" s="43">
        <v>45857</v>
      </c>
      <c r="W3543" s="12"/>
      <c r="X3543" s="2"/>
      <c r="Y3543" s="11" t="s">
        <v>5253</v>
      </c>
      <c r="Z3543" s="2" t="s">
        <v>36</v>
      </c>
      <c r="AA3543" s="13" t="s">
        <v>10370</v>
      </c>
      <c r="AB3543" s="13" t="s">
        <v>10371</v>
      </c>
    </row>
    <row r="3544" spans="1:28">
      <c r="A3544" s="2" t="s">
        <v>9809</v>
      </c>
      <c r="B3544" s="2" t="s">
        <v>28</v>
      </c>
      <c r="C3544" s="104" t="s">
        <v>4841</v>
      </c>
      <c r="D3544" s="2" t="s">
        <v>99</v>
      </c>
      <c r="E3544" s="2" t="s">
        <v>422</v>
      </c>
      <c r="F3544" s="11" t="s">
        <v>697</v>
      </c>
      <c r="G3544" s="46" t="s">
        <v>698</v>
      </c>
      <c r="H3544" s="2" t="s">
        <v>2613</v>
      </c>
      <c r="I3544" s="158" t="s">
        <v>3515</v>
      </c>
      <c r="J3544" s="41">
        <f>+Tabla1[[#This Row],[FECHA ENTRADA]]</f>
        <v>45821</v>
      </c>
      <c r="K3544" s="22">
        <v>45852</v>
      </c>
      <c r="L3544" s="42">
        <f>_xlfn.DAYS(Tabla1[[#This Row],[FECHA FIN ]],Tabla1[[#This Row],[FECHA INICIO]])</f>
        <v>31</v>
      </c>
      <c r="M3544" s="12"/>
      <c r="N3544" s="12">
        <v>276</v>
      </c>
      <c r="O3544" s="28">
        <f>(Tabla1[[#This Row],[COSTO FIJO ]]/30)*Tabla1[[#This Row],[TOTAL DIAS PROYECTO]]+(Tabla1[[#This Row],[COSTO TEMPORAL]])</f>
        <v>285.2</v>
      </c>
      <c r="P3544" s="12"/>
      <c r="Q3544" s="12">
        <f>+(Tabla1[[#This Row],[COSTO COCHE]]/30)*Tabla1[[#This Row],[TOTAL DIAS PROYECTO]]</f>
        <v>0</v>
      </c>
      <c r="R3544" s="12">
        <f>+Tabla1[[#This Row],[COSTO TOTAL ALOJAMIENTO]]+Tabla1[[#This Row],[COSTO TOTAL COCHE]]</f>
        <v>285.2</v>
      </c>
      <c r="S3544" s="2"/>
      <c r="T3544" s="14" t="s">
        <v>35</v>
      </c>
      <c r="U3544" s="14">
        <v>45821</v>
      </c>
      <c r="V3544" s="43"/>
      <c r="W3544" s="2"/>
      <c r="X3544" s="2">
        <v>1</v>
      </c>
      <c r="Y3544" s="11" t="s">
        <v>5254</v>
      </c>
      <c r="Z3544" s="2" t="s">
        <v>36</v>
      </c>
      <c r="AA3544" s="13">
        <v>-326.69799999999998</v>
      </c>
      <c r="AB3544" s="13" t="s">
        <v>10373</v>
      </c>
    </row>
    <row r="3545" spans="1:28" ht="15" customHeight="1">
      <c r="A3545" s="2" t="s">
        <v>9897</v>
      </c>
      <c r="B3545" s="2" t="s">
        <v>711</v>
      </c>
      <c r="C3545" s="104" t="s">
        <v>5255</v>
      </c>
      <c r="D3545" s="2" t="s">
        <v>30</v>
      </c>
      <c r="E3545" s="2" t="s">
        <v>127</v>
      </c>
      <c r="F3545" s="11" t="s">
        <v>820</v>
      </c>
      <c r="G3545" s="21" t="s">
        <v>1234</v>
      </c>
      <c r="H3545" s="2" t="s">
        <v>822</v>
      </c>
      <c r="I3545" s="12" t="s">
        <v>96</v>
      </c>
      <c r="J3545" s="41">
        <f>+Tabla1[[#This Row],[FECHA ENTRADA]]</f>
        <v>45943</v>
      </c>
      <c r="K3545" s="22">
        <v>45966</v>
      </c>
      <c r="L3545" s="42">
        <f>_xlfn.DAYS(Tabla1[[#This Row],[FECHA FIN ]],Tabla1[[#This Row],[FECHA INICIO]])</f>
        <v>23</v>
      </c>
      <c r="M3545" s="12"/>
      <c r="N3545" s="12">
        <f>3150/9</f>
        <v>350</v>
      </c>
      <c r="O3545" s="28">
        <f>(Tabla1[[#This Row],[COSTO FIJO ]]/30)*Tabla1[[#This Row],[TOTAL DIAS PROYECTO]]+(Tabla1[[#This Row],[COSTO TEMPORAL]])</f>
        <v>268.33333333333331</v>
      </c>
      <c r="P3545" s="12"/>
      <c r="Q3545" s="12">
        <f>+(Tabla1[[#This Row],[COSTO COCHE]]/30)*Tabla1[[#This Row],[TOTAL DIAS PROYECTO]]</f>
        <v>0</v>
      </c>
      <c r="R3545" s="12">
        <f>+Tabla1[[#This Row],[COSTO TOTAL ALOJAMIENTO]]+Tabla1[[#This Row],[COSTO TOTAL COCHE]]</f>
        <v>268.33333333333331</v>
      </c>
      <c r="S3545" s="2"/>
      <c r="T3545" s="14" t="s">
        <v>44</v>
      </c>
      <c r="U3545" s="14">
        <v>45943</v>
      </c>
      <c r="V3545" s="25">
        <v>45979</v>
      </c>
      <c r="W3545" s="71"/>
      <c r="X3545" s="2"/>
      <c r="Y3545" s="11" t="s">
        <v>5256</v>
      </c>
      <c r="Z3545" s="2" t="s">
        <v>36</v>
      </c>
      <c r="AA3545" s="13" t="s">
        <v>10342</v>
      </c>
      <c r="AB3545" s="13" t="s">
        <v>10343</v>
      </c>
    </row>
    <row r="3546" spans="1:28" ht="15" customHeight="1">
      <c r="A3546" s="2" t="s">
        <v>9897</v>
      </c>
      <c r="B3546" s="2" t="s">
        <v>711</v>
      </c>
      <c r="C3546" s="97" t="s">
        <v>5255</v>
      </c>
      <c r="D3546" s="2" t="s">
        <v>30</v>
      </c>
      <c r="E3546" s="2" t="s">
        <v>127</v>
      </c>
      <c r="F3546" s="11" t="s">
        <v>820</v>
      </c>
      <c r="G3546" s="46" t="s">
        <v>821</v>
      </c>
      <c r="H3546" s="2" t="s">
        <v>1650</v>
      </c>
      <c r="I3546" s="12" t="s">
        <v>96</v>
      </c>
      <c r="J3546" s="41">
        <f>+Tabla1[[#This Row],[FECHA ENTRADA]]</f>
        <v>45966</v>
      </c>
      <c r="K3546" s="22">
        <v>45968</v>
      </c>
      <c r="L3546" s="42">
        <f>_xlfn.DAYS(Tabla1[[#This Row],[FECHA FIN ]],Tabla1[[#This Row],[FECHA INICIO]])</f>
        <v>2</v>
      </c>
      <c r="M3546" s="12"/>
      <c r="N3546" s="12">
        <f>3150/9</f>
        <v>350</v>
      </c>
      <c r="O3546" s="28">
        <f>(Tabla1[[#This Row],[COSTO FIJO ]]/30)*Tabla1[[#This Row],[TOTAL DIAS PROYECTO]]+(Tabla1[[#This Row],[COSTO TEMPORAL]])</f>
        <v>23.333333333333332</v>
      </c>
      <c r="P3546" s="12"/>
      <c r="Q3546" s="12">
        <f>+(Tabla1[[#This Row],[COSTO COCHE]]/30)*Tabla1[[#This Row],[TOTAL DIAS PROYECTO]]</f>
        <v>0</v>
      </c>
      <c r="R3546" s="12">
        <f>+Tabla1[[#This Row],[COSTO TOTAL ALOJAMIENTO]]+Tabla1[[#This Row],[COSTO TOTAL COCHE]]</f>
        <v>23.333333333333332</v>
      </c>
      <c r="S3546" s="2"/>
      <c r="T3546" s="14" t="s">
        <v>44</v>
      </c>
      <c r="U3546" s="14">
        <v>45966</v>
      </c>
      <c r="V3546" s="25">
        <v>45979</v>
      </c>
      <c r="W3546" s="71"/>
      <c r="X3546" s="2"/>
      <c r="Y3546" s="11" t="s">
        <v>1651</v>
      </c>
      <c r="Z3546" s="2" t="s">
        <v>36</v>
      </c>
      <c r="AA3546" s="13" t="s">
        <v>10342</v>
      </c>
      <c r="AB3546" s="13" t="s">
        <v>10343</v>
      </c>
    </row>
    <row r="3547" spans="1:28" ht="15" customHeight="1">
      <c r="A3547" s="2" t="s">
        <v>9825</v>
      </c>
      <c r="B3547" s="2" t="s">
        <v>368</v>
      </c>
      <c r="C3547" s="104" t="s">
        <v>4925</v>
      </c>
      <c r="D3547" s="2" t="s">
        <v>30</v>
      </c>
      <c r="E3547" s="2" t="s">
        <v>31</v>
      </c>
      <c r="F3547" s="11" t="s">
        <v>5082</v>
      </c>
      <c r="G3547" s="49" t="s">
        <v>5083</v>
      </c>
      <c r="H3547" s="2" t="s">
        <v>4926</v>
      </c>
      <c r="I3547" s="12" t="s">
        <v>412</v>
      </c>
      <c r="J3547" s="41">
        <f>+Tabla1[[#This Row],[FECHA ENTRADA]]</f>
        <v>45892</v>
      </c>
      <c r="K3547" s="22">
        <v>46021</v>
      </c>
      <c r="L3547" s="42">
        <f>_xlfn.DAYS(Tabla1[[#This Row],[FECHA FIN ]],Tabla1[[#This Row],[FECHA INICIO]])</f>
        <v>129</v>
      </c>
      <c r="M3547" s="12"/>
      <c r="N3547" s="28">
        <v>416.66666666666669</v>
      </c>
      <c r="O3547" s="28">
        <f>(Tabla1[[#This Row],[COSTO FIJO ]]/30)*Tabla1[[#This Row],[TOTAL DIAS PROYECTO]]+(Tabla1[[#This Row],[COSTO TEMPORAL]])</f>
        <v>1791.6666666666667</v>
      </c>
      <c r="P3547" s="12"/>
      <c r="Q3547" s="12">
        <f>+(Tabla1[[#This Row],[COSTO COCHE]]/30)*Tabla1[[#This Row],[TOTAL DIAS PROYECTO]]</f>
        <v>0</v>
      </c>
      <c r="R3547" s="12">
        <f>+Tabla1[[#This Row],[COSTO TOTAL ALOJAMIENTO]]+Tabla1[[#This Row],[COSTO TOTAL COCHE]]</f>
        <v>1791.6666666666667</v>
      </c>
      <c r="S3547" s="2"/>
      <c r="T3547" s="14" t="s">
        <v>44</v>
      </c>
      <c r="U3547" s="14">
        <v>45892</v>
      </c>
      <c r="V3547" s="25">
        <v>46021</v>
      </c>
      <c r="W3547" s="12"/>
      <c r="X3547" s="2">
        <v>25</v>
      </c>
      <c r="Y3547" t="s">
        <v>5257</v>
      </c>
      <c r="Z3547" s="2" t="s">
        <v>36</v>
      </c>
      <c r="AA3547" s="13" t="s">
        <v>10323</v>
      </c>
      <c r="AB3547" s="13" t="s">
        <v>10324</v>
      </c>
    </row>
    <row r="3548" spans="1:28" ht="15" customHeight="1">
      <c r="A3548" s="2" t="s">
        <v>9136</v>
      </c>
      <c r="B3548" s="2" t="s">
        <v>28</v>
      </c>
      <c r="C3548" s="97" t="s">
        <v>2152</v>
      </c>
      <c r="D3548" s="2" t="s">
        <v>30</v>
      </c>
      <c r="E3548" s="2" t="s">
        <v>31</v>
      </c>
      <c r="F3548" s="11" t="s">
        <v>5258</v>
      </c>
      <c r="G3548" s="49" t="s">
        <v>5083</v>
      </c>
      <c r="H3548" s="2" t="s">
        <v>4785</v>
      </c>
      <c r="I3548" s="12" t="s">
        <v>34</v>
      </c>
      <c r="J3548" s="22">
        <f>+Tabla1[[#This Row],[FECHA ENTRADA]]</f>
        <v>45897</v>
      </c>
      <c r="K3548" s="22">
        <v>45914</v>
      </c>
      <c r="L3548" s="23">
        <f>_xlfn.DAYS(Tabla1[[#This Row],[FECHA FIN ]],Tabla1[[#This Row],[FECHA INICIO]])</f>
        <v>17</v>
      </c>
      <c r="M3548" s="12"/>
      <c r="N3548" s="12"/>
      <c r="O3548" s="24">
        <f>(Tabla1[[#This Row],[COSTO FIJO ]]/30)*Tabla1[[#This Row],[TOTAL DIAS PROYECTO]]+(Tabla1[[#This Row],[COSTO TEMPORAL]])</f>
        <v>0</v>
      </c>
      <c r="P3548" s="12"/>
      <c r="Q3548" s="12">
        <f>+(Tabla1[[#This Row],[COSTO COCHE]]/30)*Tabla1[[#This Row],[TOTAL DIAS PROYECTO]]</f>
        <v>0</v>
      </c>
      <c r="R3548" s="12">
        <f>+Tabla1[[#This Row],[COSTO TOTAL ALOJAMIENTO]]+Tabla1[[#This Row],[COSTO TOTAL COCHE]]</f>
        <v>0</v>
      </c>
      <c r="S3548" s="2"/>
      <c r="T3548" s="14" t="s">
        <v>44</v>
      </c>
      <c r="U3548" s="14">
        <v>45897</v>
      </c>
      <c r="V3548" s="25">
        <v>45928</v>
      </c>
      <c r="W3548" s="12"/>
      <c r="X3548" s="2">
        <v>25</v>
      </c>
      <c r="Y3548" s="11" t="s">
        <v>5160</v>
      </c>
      <c r="Z3548" s="2" t="s">
        <v>36</v>
      </c>
      <c r="AA3548" s="13" t="s">
        <v>10323</v>
      </c>
      <c r="AB3548" s="13" t="s">
        <v>10324</v>
      </c>
    </row>
    <row r="3549" spans="1:28" ht="15" customHeight="1">
      <c r="A3549" s="2" t="s">
        <v>9898</v>
      </c>
      <c r="B3549" s="2" t="s">
        <v>28</v>
      </c>
      <c r="C3549" s="104" t="s">
        <v>5259</v>
      </c>
      <c r="D3549" s="2" t="s">
        <v>30</v>
      </c>
      <c r="E3549" s="2" t="s">
        <v>127</v>
      </c>
      <c r="F3549" s="11" t="s">
        <v>820</v>
      </c>
      <c r="G3549" s="21" t="s">
        <v>1234</v>
      </c>
      <c r="H3549" s="2" t="s">
        <v>1509</v>
      </c>
      <c r="I3549" s="12" t="s">
        <v>96</v>
      </c>
      <c r="J3549" s="22">
        <f>+Tabla1[[#This Row],[FECHA ENTRADA]]</f>
        <v>45700</v>
      </c>
      <c r="K3549" s="22">
        <v>45821</v>
      </c>
      <c r="L3549" s="23">
        <f>_xlfn.DAYS(Tabla1[[#This Row],[FECHA FIN ]],Tabla1[[#This Row],[FECHA INICIO]])</f>
        <v>121</v>
      </c>
      <c r="M3549" s="12"/>
      <c r="N3549" s="20"/>
      <c r="O3549" s="24">
        <f>(Tabla1[[#This Row],[COSTO FIJO ]]/30)*Tabla1[[#This Row],[TOTAL DIAS PROYECTO]]+(Tabla1[[#This Row],[COSTO TEMPORAL]])</f>
        <v>0</v>
      </c>
      <c r="P3549" s="12"/>
      <c r="Q3549" s="12">
        <f>+(Tabla1[[#This Row],[COSTO COCHE]]/30)*Tabla1[[#This Row],[TOTAL DIAS PROYECTO]]</f>
        <v>0</v>
      </c>
      <c r="R3549" s="12">
        <f>+Tabla1[[#This Row],[COSTO TOTAL ALOJAMIENTO]]+Tabla1[[#This Row],[COSTO TOTAL COCHE]]</f>
        <v>0</v>
      </c>
      <c r="S3549" s="2"/>
      <c r="T3549" s="2" t="s">
        <v>44</v>
      </c>
      <c r="U3549" s="14">
        <v>45700</v>
      </c>
      <c r="V3549" s="25">
        <v>45798</v>
      </c>
      <c r="W3549" s="26"/>
      <c r="X3549" s="2"/>
      <c r="Y3549" s="11"/>
      <c r="Z3549" s="2" t="s">
        <v>36</v>
      </c>
      <c r="AA3549" s="13" t="s">
        <v>10342</v>
      </c>
      <c r="AB3549" s="13" t="s">
        <v>10343</v>
      </c>
    </row>
    <row r="3550" spans="1:28" ht="15" customHeight="1">
      <c r="A3550" s="2" t="s">
        <v>9899</v>
      </c>
      <c r="B3550" s="2" t="s">
        <v>978</v>
      </c>
      <c r="C3550" s="97" t="s">
        <v>5260</v>
      </c>
      <c r="D3550" s="2" t="s">
        <v>30</v>
      </c>
      <c r="E3550" s="2" t="s">
        <v>259</v>
      </c>
      <c r="F3550" s="11" t="s">
        <v>5261</v>
      </c>
      <c r="G3550" s="197" t="s">
        <v>4207</v>
      </c>
      <c r="H3550" s="2" t="s">
        <v>5262</v>
      </c>
      <c r="I3550" s="12" t="s">
        <v>5263</v>
      </c>
      <c r="J3550" s="41">
        <f>+Tabla1[[#This Row],[FECHA ENTRADA]]</f>
        <v>45954</v>
      </c>
      <c r="K3550" s="41">
        <v>45968</v>
      </c>
      <c r="L3550" s="42">
        <f>_xlfn.DAYS(Tabla1[[#This Row],[FECHA FIN ]],Tabla1[[#This Row],[FECHA INICIO]])</f>
        <v>14</v>
      </c>
      <c r="M3550" s="12"/>
      <c r="N3550" s="28">
        <v>316.66666666666669</v>
      </c>
      <c r="O3550" s="28">
        <f>(Tabla1[[#This Row],[COSTO FIJO ]]/30)*Tabla1[[#This Row],[TOTAL DIAS PROYECTO]]+(Tabla1[[#This Row],[COSTO TEMPORAL]])</f>
        <v>147.77777777777777</v>
      </c>
      <c r="P3550" s="12"/>
      <c r="Q3550" s="12">
        <f>+(Tabla1[[#This Row],[COSTO COCHE]]/30)*Tabla1[[#This Row],[TOTAL DIAS PROYECTO]]</f>
        <v>0</v>
      </c>
      <c r="R3550" s="12">
        <f>+Tabla1[[#This Row],[COSTO TOTAL ALOJAMIENTO]]+Tabla1[[#This Row],[COSTO TOTAL COCHE]]</f>
        <v>147.77777777777777</v>
      </c>
      <c r="S3550" s="2"/>
      <c r="T3550" s="14" t="s">
        <v>35</v>
      </c>
      <c r="U3550" s="14">
        <v>45954</v>
      </c>
      <c r="V3550" s="43"/>
      <c r="W3550" s="71"/>
      <c r="X3550" s="2">
        <v>1</v>
      </c>
      <c r="Y3550" s="11" t="s">
        <v>5264</v>
      </c>
      <c r="Z3550" s="2" t="s">
        <v>36</v>
      </c>
      <c r="AA3550" s="13">
        <v>-0.87734000000000001</v>
      </c>
      <c r="AB3550" s="13" t="s">
        <v>10359</v>
      </c>
    </row>
    <row r="3551" spans="1:28" ht="15" customHeight="1">
      <c r="A3551" s="2" t="s">
        <v>9094</v>
      </c>
      <c r="B3551" s="2" t="s">
        <v>978</v>
      </c>
      <c r="C3551" s="104" t="s">
        <v>1992</v>
      </c>
      <c r="D3551" s="2" t="s">
        <v>99</v>
      </c>
      <c r="E3551" s="2" t="s">
        <v>3400</v>
      </c>
      <c r="F3551" s="11" t="s">
        <v>5265</v>
      </c>
      <c r="G3551" s="21" t="s">
        <v>5266</v>
      </c>
      <c r="H3551" s="2" t="s">
        <v>4996</v>
      </c>
      <c r="I3551" s="12" t="s">
        <v>4296</v>
      </c>
      <c r="J3551" s="41">
        <f>+Tabla1[[#This Row],[FECHA ENTRADA]]</f>
        <v>45920</v>
      </c>
      <c r="K3551" s="41">
        <v>45922</v>
      </c>
      <c r="L3551" s="42">
        <f>_xlfn.DAYS(Tabla1[[#This Row],[FECHA FIN ]],Tabla1[[#This Row],[FECHA INICIO]])</f>
        <v>2</v>
      </c>
      <c r="M3551" s="12"/>
      <c r="N3551" s="12">
        <v>126.25</v>
      </c>
      <c r="O3551" s="28">
        <f>(Tabla1[[#This Row],[COSTO FIJO ]]/30)*Tabla1[[#This Row],[TOTAL DIAS PROYECTO]]+(Tabla1[[#This Row],[COSTO TEMPORAL]])</f>
        <v>8.4166666666666661</v>
      </c>
      <c r="P3551" s="12"/>
      <c r="Q3551" s="12">
        <f>+(Tabla1[[#This Row],[COSTO COCHE]]/30)*Tabla1[[#This Row],[TOTAL DIAS PROYECTO]]</f>
        <v>0</v>
      </c>
      <c r="R3551" s="12">
        <f>+Tabla1[[#This Row],[COSTO TOTAL ALOJAMIENTO]]+Tabla1[[#This Row],[COSTO TOTAL COCHE]]</f>
        <v>8.4166666666666661</v>
      </c>
      <c r="S3551" s="2" t="s">
        <v>403</v>
      </c>
      <c r="T3551" s="14" t="s">
        <v>44</v>
      </c>
      <c r="U3551" s="14">
        <v>45920</v>
      </c>
      <c r="V3551" s="43">
        <v>45923</v>
      </c>
      <c r="W3551" s="71"/>
      <c r="X3551" s="2"/>
      <c r="Y3551" s="11" t="s">
        <v>1166</v>
      </c>
      <c r="Z3551" s="2" t="s">
        <v>36</v>
      </c>
      <c r="AA3551" s="13" t="e">
        <v>#N/A</v>
      </c>
      <c r="AB3551" s="13" t="e">
        <v>#N/A</v>
      </c>
    </row>
    <row r="3552" spans="1:28" ht="15" customHeight="1">
      <c r="A3552" s="2" t="s">
        <v>9701</v>
      </c>
      <c r="B3552" s="2" t="s">
        <v>978</v>
      </c>
      <c r="C3552" s="104" t="s">
        <v>4309</v>
      </c>
      <c r="D3552" s="2" t="s">
        <v>99</v>
      </c>
      <c r="E3552" s="2" t="s">
        <v>3400</v>
      </c>
      <c r="F3552" s="11" t="s">
        <v>5265</v>
      </c>
      <c r="G3552" s="21" t="s">
        <v>5266</v>
      </c>
      <c r="H3552" s="2" t="s">
        <v>4997</v>
      </c>
      <c r="I3552" s="12" t="s">
        <v>4296</v>
      </c>
      <c r="J3552" s="41">
        <f>+Tabla1[[#This Row],[FECHA ENTRADA]]</f>
        <v>45920</v>
      </c>
      <c r="K3552" s="41">
        <v>45922</v>
      </c>
      <c r="L3552" s="42">
        <f>_xlfn.DAYS(Tabla1[[#This Row],[FECHA FIN ]],Tabla1[[#This Row],[FECHA INICIO]])</f>
        <v>2</v>
      </c>
      <c r="M3552" s="12"/>
      <c r="N3552" s="12">
        <v>126.25</v>
      </c>
      <c r="O3552" s="28">
        <f>(Tabla1[[#This Row],[COSTO FIJO ]]/30)*Tabla1[[#This Row],[TOTAL DIAS PROYECTO]]+(Tabla1[[#This Row],[COSTO TEMPORAL]])</f>
        <v>8.4166666666666661</v>
      </c>
      <c r="P3552" s="12"/>
      <c r="Q3552" s="12">
        <f>+(Tabla1[[#This Row],[COSTO COCHE]]/30)*Tabla1[[#This Row],[TOTAL DIAS PROYECTO]]</f>
        <v>0</v>
      </c>
      <c r="R3552" s="12">
        <f>+Tabla1[[#This Row],[COSTO TOTAL ALOJAMIENTO]]+Tabla1[[#This Row],[COSTO TOTAL COCHE]]</f>
        <v>8.4166666666666661</v>
      </c>
      <c r="S3552" s="2" t="s">
        <v>403</v>
      </c>
      <c r="T3552" s="14" t="s">
        <v>44</v>
      </c>
      <c r="U3552" s="14">
        <v>45920</v>
      </c>
      <c r="V3552" s="43">
        <v>45923</v>
      </c>
      <c r="W3552" s="71"/>
      <c r="X3552" s="2"/>
      <c r="Y3552" s="11" t="s">
        <v>1166</v>
      </c>
      <c r="Z3552" s="2" t="s">
        <v>36</v>
      </c>
      <c r="AA3552" s="13" t="e">
        <v>#N/A</v>
      </c>
      <c r="AB3552" s="13" t="e">
        <v>#N/A</v>
      </c>
    </row>
    <row r="3553" spans="1:28" ht="15" customHeight="1">
      <c r="A3553" s="2" t="s">
        <v>9840</v>
      </c>
      <c r="B3553" s="2" t="s">
        <v>978</v>
      </c>
      <c r="C3553" s="104" t="s">
        <v>5002</v>
      </c>
      <c r="D3553" s="2" t="s">
        <v>99</v>
      </c>
      <c r="E3553" s="2" t="s">
        <v>3400</v>
      </c>
      <c r="F3553" s="11" t="s">
        <v>5265</v>
      </c>
      <c r="G3553" s="21" t="s">
        <v>5266</v>
      </c>
      <c r="H3553" s="2" t="s">
        <v>1568</v>
      </c>
      <c r="I3553" s="12" t="s">
        <v>4296</v>
      </c>
      <c r="J3553" s="41">
        <f>+Tabla1[[#This Row],[FECHA ENTRADA]]</f>
        <v>45920</v>
      </c>
      <c r="K3553" s="41">
        <v>45922</v>
      </c>
      <c r="L3553" s="42">
        <f>_xlfn.DAYS(Tabla1[[#This Row],[FECHA FIN ]],Tabla1[[#This Row],[FECHA INICIO]])</f>
        <v>2</v>
      </c>
      <c r="M3553" s="12"/>
      <c r="N3553" s="12">
        <v>126.25</v>
      </c>
      <c r="O3553" s="28">
        <f>(Tabla1[[#This Row],[COSTO FIJO ]]/30)*Tabla1[[#This Row],[TOTAL DIAS PROYECTO]]+(Tabla1[[#This Row],[COSTO TEMPORAL]])</f>
        <v>8.4166666666666661</v>
      </c>
      <c r="P3553" s="12"/>
      <c r="Q3553" s="12">
        <f>+(Tabla1[[#This Row],[COSTO COCHE]]/30)*Tabla1[[#This Row],[TOTAL DIAS PROYECTO]]</f>
        <v>0</v>
      </c>
      <c r="R3553" s="12">
        <f>+Tabla1[[#This Row],[COSTO TOTAL ALOJAMIENTO]]+Tabla1[[#This Row],[COSTO TOTAL COCHE]]</f>
        <v>8.4166666666666661</v>
      </c>
      <c r="S3553" s="2" t="s">
        <v>403</v>
      </c>
      <c r="T3553" s="14" t="s">
        <v>44</v>
      </c>
      <c r="U3553" s="14">
        <v>45920</v>
      </c>
      <c r="V3553" s="43">
        <v>45923</v>
      </c>
      <c r="W3553" s="71"/>
      <c r="X3553" s="2"/>
      <c r="Y3553" s="11" t="s">
        <v>1166</v>
      </c>
      <c r="Z3553" s="2" t="s">
        <v>36</v>
      </c>
      <c r="AA3553" s="13" t="e">
        <v>#N/A</v>
      </c>
      <c r="AB3553" s="13" t="e">
        <v>#N/A</v>
      </c>
    </row>
    <row r="3554" spans="1:28" ht="15" customHeight="1">
      <c r="A3554" s="2" t="s">
        <v>8781</v>
      </c>
      <c r="B3554" s="2" t="s">
        <v>978</v>
      </c>
      <c r="C3554" s="104" t="s">
        <v>746</v>
      </c>
      <c r="D3554" s="2" t="s">
        <v>99</v>
      </c>
      <c r="E3554" s="2" t="s">
        <v>3400</v>
      </c>
      <c r="F3554" s="11" t="s">
        <v>5265</v>
      </c>
      <c r="G3554" s="21" t="s">
        <v>5266</v>
      </c>
      <c r="H3554" s="2" t="s">
        <v>4994</v>
      </c>
      <c r="I3554" s="12" t="s">
        <v>4296</v>
      </c>
      <c r="J3554" s="41">
        <f>+Tabla1[[#This Row],[FECHA ENTRADA]]</f>
        <v>45920</v>
      </c>
      <c r="K3554" s="41">
        <v>45922</v>
      </c>
      <c r="L3554" s="42">
        <f>_xlfn.DAYS(Tabla1[[#This Row],[FECHA FIN ]],Tabla1[[#This Row],[FECHA INICIO]])</f>
        <v>2</v>
      </c>
      <c r="M3554" s="12"/>
      <c r="N3554" s="12">
        <v>126.25</v>
      </c>
      <c r="O3554" s="28">
        <f>(Tabla1[[#This Row],[COSTO FIJO ]]/30)*Tabla1[[#This Row],[TOTAL DIAS PROYECTO]]+(Tabla1[[#This Row],[COSTO TEMPORAL]])</f>
        <v>8.4166666666666661</v>
      </c>
      <c r="P3554" s="12"/>
      <c r="Q3554" s="12">
        <f>+(Tabla1[[#This Row],[COSTO COCHE]]/30)*Tabla1[[#This Row],[TOTAL DIAS PROYECTO]]</f>
        <v>0</v>
      </c>
      <c r="R3554" s="12">
        <f>+Tabla1[[#This Row],[COSTO TOTAL ALOJAMIENTO]]+Tabla1[[#This Row],[COSTO TOTAL COCHE]]</f>
        <v>8.4166666666666661</v>
      </c>
      <c r="S3554" s="2" t="s">
        <v>403</v>
      </c>
      <c r="T3554" s="14" t="s">
        <v>44</v>
      </c>
      <c r="U3554" s="14">
        <v>45920</v>
      </c>
      <c r="V3554" s="43">
        <v>45923</v>
      </c>
      <c r="W3554" s="71"/>
      <c r="X3554" s="2"/>
      <c r="Y3554" s="11" t="s">
        <v>1166</v>
      </c>
      <c r="Z3554" s="2" t="s">
        <v>36</v>
      </c>
      <c r="AA3554" s="13" t="e">
        <v>#N/A</v>
      </c>
      <c r="AB3554" s="13" t="e">
        <v>#N/A</v>
      </c>
    </row>
    <row r="3555" spans="1:28" ht="15" customHeight="1">
      <c r="A3555" s="2" t="s">
        <v>9796</v>
      </c>
      <c r="B3555" s="2" t="s">
        <v>978</v>
      </c>
      <c r="C3555" s="104" t="s">
        <v>4773</v>
      </c>
      <c r="D3555" s="2" t="s">
        <v>30</v>
      </c>
      <c r="E3555" s="2" t="s">
        <v>1393</v>
      </c>
      <c r="F3555" s="11" t="s">
        <v>5124</v>
      </c>
      <c r="G3555" s="46" t="s">
        <v>5125</v>
      </c>
      <c r="H3555" s="2" t="s">
        <v>5126</v>
      </c>
      <c r="I3555" s="12" t="s">
        <v>4255</v>
      </c>
      <c r="J3555" s="22">
        <f>+Tabla1[[#This Row],[FECHA ENTRADA]]</f>
        <v>45877</v>
      </c>
      <c r="K3555" s="41">
        <v>45923</v>
      </c>
      <c r="L3555" s="23">
        <f>_xlfn.DAYS(Tabla1[[#This Row],[FECHA FIN ]],Tabla1[[#This Row],[FECHA INICIO]])</f>
        <v>46</v>
      </c>
      <c r="M3555" s="12"/>
      <c r="N3555" s="20"/>
      <c r="O3555" s="24">
        <f>(Tabla1[[#This Row],[COSTO FIJO ]]/30)*Tabla1[[#This Row],[TOTAL DIAS PROYECTO]]+(Tabla1[[#This Row],[COSTO TEMPORAL]])</f>
        <v>0</v>
      </c>
      <c r="P3555" s="12"/>
      <c r="Q3555" s="12">
        <f>+(Tabla1[[#This Row],[COSTO COCHE]]/30)*Tabla1[[#This Row],[TOTAL DIAS PROYECTO]]</f>
        <v>0</v>
      </c>
      <c r="R3555" s="12">
        <f>+Tabla1[[#This Row],[COSTO TOTAL ALOJAMIENTO]]+Tabla1[[#This Row],[COSTO TOTAL COCHE]]</f>
        <v>0</v>
      </c>
      <c r="S3555" s="2"/>
      <c r="T3555" s="14" t="s">
        <v>44</v>
      </c>
      <c r="U3555" s="14">
        <v>45877</v>
      </c>
      <c r="V3555" s="43">
        <v>45930</v>
      </c>
      <c r="W3555" s="12"/>
      <c r="X3555" s="2"/>
      <c r="Y3555" s="11" t="s">
        <v>1166</v>
      </c>
      <c r="Z3555" s="2" t="s">
        <v>36</v>
      </c>
      <c r="AA3555" s="13" t="s">
        <v>10416</v>
      </c>
      <c r="AB3555" s="13" t="s">
        <v>10417</v>
      </c>
    </row>
    <row r="3556" spans="1:28" ht="15" customHeight="1">
      <c r="A3556" s="2" t="s">
        <v>9094</v>
      </c>
      <c r="B3556" s="2" t="s">
        <v>978</v>
      </c>
      <c r="C3556" s="104" t="s">
        <v>1992</v>
      </c>
      <c r="D3556" s="2" t="s">
        <v>99</v>
      </c>
      <c r="E3556" s="2" t="s">
        <v>3400</v>
      </c>
      <c r="F3556" s="11" t="s">
        <v>5265</v>
      </c>
      <c r="G3556" s="21" t="s">
        <v>5266</v>
      </c>
      <c r="H3556" s="2" t="s">
        <v>4996</v>
      </c>
      <c r="I3556" s="12" t="s">
        <v>4296</v>
      </c>
      <c r="J3556" s="41">
        <f>+Tabla1[[#This Row],[FECHA ENTRADA]]</f>
        <v>45920</v>
      </c>
      <c r="K3556" s="41">
        <v>45923</v>
      </c>
      <c r="L3556" s="42">
        <f>_xlfn.DAYS(Tabla1[[#This Row],[FECHA FIN ]],Tabla1[[#This Row],[FECHA INICIO]])</f>
        <v>3</v>
      </c>
      <c r="M3556" s="12"/>
      <c r="N3556" s="12"/>
      <c r="O3556" s="28">
        <f>(Tabla1[[#This Row],[COSTO FIJO ]]/30)*Tabla1[[#This Row],[TOTAL DIAS PROYECTO]]+(Tabla1[[#This Row],[COSTO TEMPORAL]])</f>
        <v>0</v>
      </c>
      <c r="P3556" s="12"/>
      <c r="Q3556" s="12">
        <f>+(Tabla1[[#This Row],[COSTO COCHE]]/30)*Tabla1[[#This Row],[TOTAL DIAS PROYECTO]]</f>
        <v>0</v>
      </c>
      <c r="R3556" s="12">
        <f>+Tabla1[[#This Row],[COSTO TOTAL ALOJAMIENTO]]+Tabla1[[#This Row],[COSTO TOTAL COCHE]]</f>
        <v>0</v>
      </c>
      <c r="S3556" s="2"/>
      <c r="T3556" s="14" t="s">
        <v>44</v>
      </c>
      <c r="U3556" s="14">
        <v>45920</v>
      </c>
      <c r="V3556" s="43">
        <v>45922</v>
      </c>
      <c r="W3556" s="71"/>
      <c r="X3556" s="2"/>
      <c r="Y3556" s="11"/>
      <c r="Z3556" s="2" t="s">
        <v>36</v>
      </c>
      <c r="AA3556" s="13" t="e">
        <v>#N/A</v>
      </c>
      <c r="AB3556" s="13" t="e">
        <v>#N/A</v>
      </c>
    </row>
    <row r="3557" spans="1:28" ht="15" customHeight="1">
      <c r="A3557" s="2" t="s">
        <v>9840</v>
      </c>
      <c r="B3557" s="2" t="s">
        <v>978</v>
      </c>
      <c r="C3557" s="104" t="s">
        <v>5002</v>
      </c>
      <c r="D3557" s="2" t="s">
        <v>99</v>
      </c>
      <c r="E3557" s="2" t="s">
        <v>3400</v>
      </c>
      <c r="F3557" s="11" t="s">
        <v>5265</v>
      </c>
      <c r="G3557" s="21" t="s">
        <v>5266</v>
      </c>
      <c r="H3557" s="2" t="s">
        <v>1568</v>
      </c>
      <c r="I3557" s="12" t="s">
        <v>4296</v>
      </c>
      <c r="J3557" s="41">
        <f>+Tabla1[[#This Row],[FECHA ENTRADA]]</f>
        <v>45920</v>
      </c>
      <c r="K3557" s="41">
        <v>45923</v>
      </c>
      <c r="L3557" s="42">
        <f>_xlfn.DAYS(Tabla1[[#This Row],[FECHA FIN ]],Tabla1[[#This Row],[FECHA INICIO]])</f>
        <v>3</v>
      </c>
      <c r="M3557" s="12"/>
      <c r="N3557" s="12"/>
      <c r="O3557" s="28">
        <f>(Tabla1[[#This Row],[COSTO FIJO ]]/30)*Tabla1[[#This Row],[TOTAL DIAS PROYECTO]]+(Tabla1[[#This Row],[COSTO TEMPORAL]])</f>
        <v>0</v>
      </c>
      <c r="P3557" s="12"/>
      <c r="Q3557" s="12">
        <f>+(Tabla1[[#This Row],[COSTO COCHE]]/30)*Tabla1[[#This Row],[TOTAL DIAS PROYECTO]]</f>
        <v>0</v>
      </c>
      <c r="R3557" s="12">
        <f>+Tabla1[[#This Row],[COSTO TOTAL ALOJAMIENTO]]+Tabla1[[#This Row],[COSTO TOTAL COCHE]]</f>
        <v>0</v>
      </c>
      <c r="S3557" s="2"/>
      <c r="T3557" s="14" t="s">
        <v>44</v>
      </c>
      <c r="U3557" s="14">
        <v>45920</v>
      </c>
      <c r="V3557" s="43">
        <v>45922</v>
      </c>
      <c r="W3557" s="71"/>
      <c r="X3557" s="2"/>
      <c r="Y3557" s="11"/>
      <c r="Z3557" s="2" t="s">
        <v>36</v>
      </c>
      <c r="AA3557" s="13" t="e">
        <v>#N/A</v>
      </c>
      <c r="AB3557" s="13" t="e">
        <v>#N/A</v>
      </c>
    </row>
    <row r="3558" spans="1:28" ht="15" customHeight="1">
      <c r="A3558" s="2" t="s">
        <v>8781</v>
      </c>
      <c r="B3558" s="2" t="s">
        <v>978</v>
      </c>
      <c r="C3558" s="104" t="s">
        <v>746</v>
      </c>
      <c r="D3558" s="2" t="s">
        <v>99</v>
      </c>
      <c r="E3558" s="2" t="s">
        <v>3400</v>
      </c>
      <c r="F3558" s="11" t="s">
        <v>5265</v>
      </c>
      <c r="G3558" s="21" t="s">
        <v>5266</v>
      </c>
      <c r="H3558" s="2" t="s">
        <v>5267</v>
      </c>
      <c r="I3558" s="12" t="s">
        <v>4296</v>
      </c>
      <c r="J3558" s="41">
        <f>+Tabla1[[#This Row],[FECHA ENTRADA]]</f>
        <v>45920</v>
      </c>
      <c r="K3558" s="41">
        <v>45923</v>
      </c>
      <c r="L3558" s="42">
        <f>_xlfn.DAYS(Tabla1[[#This Row],[FECHA FIN ]],Tabla1[[#This Row],[FECHA INICIO]])</f>
        <v>3</v>
      </c>
      <c r="M3558" s="12"/>
      <c r="N3558" s="12"/>
      <c r="O3558" s="28">
        <f>(Tabla1[[#This Row],[COSTO FIJO ]]/30)*Tabla1[[#This Row],[TOTAL DIAS PROYECTO]]+(Tabla1[[#This Row],[COSTO TEMPORAL]])</f>
        <v>0</v>
      </c>
      <c r="P3558" s="12"/>
      <c r="Q3558" s="12">
        <f>+(Tabla1[[#This Row],[COSTO COCHE]]/30)*Tabla1[[#This Row],[TOTAL DIAS PROYECTO]]</f>
        <v>0</v>
      </c>
      <c r="R3558" s="12">
        <f>+Tabla1[[#This Row],[COSTO TOTAL ALOJAMIENTO]]+Tabla1[[#This Row],[COSTO TOTAL COCHE]]</f>
        <v>0</v>
      </c>
      <c r="S3558" s="2"/>
      <c r="T3558" s="14" t="s">
        <v>44</v>
      </c>
      <c r="U3558" s="14">
        <v>45920</v>
      </c>
      <c r="V3558" s="43">
        <v>45922</v>
      </c>
      <c r="W3558" s="71"/>
      <c r="X3558" s="2"/>
      <c r="Y3558" s="11"/>
      <c r="Z3558" s="2" t="s">
        <v>36</v>
      </c>
      <c r="AA3558" s="13" t="e">
        <v>#N/A</v>
      </c>
      <c r="AB3558" s="13" t="e">
        <v>#N/A</v>
      </c>
    </row>
    <row r="3559" spans="1:28" ht="15" customHeight="1">
      <c r="A3559" s="2" t="s">
        <v>9690</v>
      </c>
      <c r="B3559" s="2" t="s">
        <v>368</v>
      </c>
      <c r="C3559" s="104" t="s">
        <v>4248</v>
      </c>
      <c r="D3559" s="2" t="s">
        <v>30</v>
      </c>
      <c r="E3559" s="2" t="s">
        <v>985</v>
      </c>
      <c r="F3559" s="11" t="s">
        <v>5268</v>
      </c>
      <c r="G3559" s="11" t="s">
        <v>4250</v>
      </c>
      <c r="H3559" s="2" t="s">
        <v>2401</v>
      </c>
      <c r="I3559" s="12" t="s">
        <v>989</v>
      </c>
      <c r="J3559" s="22">
        <f>+Tabla1[[#This Row],[FECHA ENTRADA]]</f>
        <v>45863</v>
      </c>
      <c r="K3559" s="22">
        <v>45923</v>
      </c>
      <c r="L3559" s="23">
        <f>_xlfn.DAYS(Tabla1[[#This Row],[FECHA FIN ]],Tabla1[[#This Row],[FECHA INICIO]])</f>
        <v>60</v>
      </c>
      <c r="M3559" s="12"/>
      <c r="N3559" s="12"/>
      <c r="O3559" s="24">
        <f>(Tabla1[[#This Row],[COSTO FIJO ]]/30)*Tabla1[[#This Row],[TOTAL DIAS PROYECTO]]+(Tabla1[[#This Row],[COSTO TEMPORAL]])</f>
        <v>0</v>
      </c>
      <c r="P3559" s="12"/>
      <c r="Q3559" s="12">
        <f>+(Tabla1[[#This Row],[COSTO COCHE]]/30)*Tabla1[[#This Row],[TOTAL DIAS PROYECTO]]</f>
        <v>0</v>
      </c>
      <c r="R3559" s="12">
        <f>+Tabla1[[#This Row],[COSTO TOTAL ALOJAMIENTO]]+Tabla1[[#This Row],[COSTO TOTAL COCHE]]</f>
        <v>0</v>
      </c>
      <c r="S3559" s="2"/>
      <c r="T3559" s="14" t="s">
        <v>44</v>
      </c>
      <c r="U3559" s="14">
        <v>45863</v>
      </c>
      <c r="V3559" s="25">
        <v>45923</v>
      </c>
      <c r="W3559" s="12"/>
      <c r="X3559" s="2"/>
      <c r="Y3559" s="11" t="s">
        <v>5269</v>
      </c>
      <c r="Z3559" s="2" t="s">
        <v>36</v>
      </c>
      <c r="AA3559" s="13" t="s">
        <v>10407</v>
      </c>
      <c r="AB3559" s="13" t="s">
        <v>10408</v>
      </c>
    </row>
    <row r="3560" spans="1:28" ht="15" customHeight="1">
      <c r="A3560" s="2" t="s">
        <v>9064</v>
      </c>
      <c r="B3560" s="2" t="s">
        <v>368</v>
      </c>
      <c r="C3560" s="104" t="s">
        <v>1847</v>
      </c>
      <c r="D3560" s="2" t="s">
        <v>30</v>
      </c>
      <c r="E3560" s="2" t="s">
        <v>985</v>
      </c>
      <c r="F3560" s="11" t="s">
        <v>5268</v>
      </c>
      <c r="G3560" s="11" t="s">
        <v>4250</v>
      </c>
      <c r="H3560" s="2" t="s">
        <v>988</v>
      </c>
      <c r="I3560" s="12" t="s">
        <v>989</v>
      </c>
      <c r="J3560" s="22">
        <f>+Tabla1[[#This Row],[FECHA ENTRADA]]</f>
        <v>45881</v>
      </c>
      <c r="K3560" s="22">
        <v>45923</v>
      </c>
      <c r="L3560" s="23">
        <f>_xlfn.DAYS(Tabla1[[#This Row],[FECHA FIN ]],Tabla1[[#This Row],[FECHA INICIO]])</f>
        <v>42</v>
      </c>
      <c r="M3560" s="12"/>
      <c r="N3560" s="12"/>
      <c r="O3560" s="24">
        <f>(Tabla1[[#This Row],[COSTO FIJO ]]/30)*Tabla1[[#This Row],[TOTAL DIAS PROYECTO]]+(Tabla1[[#This Row],[COSTO TEMPORAL]])</f>
        <v>0</v>
      </c>
      <c r="P3560" s="12"/>
      <c r="Q3560" s="12">
        <f>+(Tabla1[[#This Row],[COSTO COCHE]]/30)*Tabla1[[#This Row],[TOTAL DIAS PROYECTO]]</f>
        <v>0</v>
      </c>
      <c r="R3560" s="12">
        <f>+Tabla1[[#This Row],[COSTO TOTAL ALOJAMIENTO]]+Tabla1[[#This Row],[COSTO TOTAL COCHE]]</f>
        <v>0</v>
      </c>
      <c r="S3560" s="2"/>
      <c r="T3560" s="14" t="s">
        <v>44</v>
      </c>
      <c r="U3560" s="14">
        <v>45881</v>
      </c>
      <c r="V3560" s="25">
        <v>45923</v>
      </c>
      <c r="W3560" s="12"/>
      <c r="X3560" s="2"/>
      <c r="Y3560" s="11" t="s">
        <v>5269</v>
      </c>
      <c r="Z3560" s="2" t="s">
        <v>36</v>
      </c>
      <c r="AA3560" s="13" t="s">
        <v>10407</v>
      </c>
      <c r="AB3560" s="13" t="s">
        <v>10408</v>
      </c>
    </row>
    <row r="3561" spans="1:28" ht="15" customHeight="1">
      <c r="A3561" s="2" t="s">
        <v>9795</v>
      </c>
      <c r="B3561" s="2" t="s">
        <v>978</v>
      </c>
      <c r="C3561" s="97" t="s">
        <v>4770</v>
      </c>
      <c r="D3561" s="2" t="s">
        <v>99</v>
      </c>
      <c r="E3561" s="2" t="s">
        <v>476</v>
      </c>
      <c r="F3561" s="11" t="s">
        <v>5270</v>
      </c>
      <c r="G3561" s="21" t="s">
        <v>5271</v>
      </c>
      <c r="H3561" s="2" t="s">
        <v>4768</v>
      </c>
      <c r="I3561" s="158" t="s">
        <v>4714</v>
      </c>
      <c r="J3561" s="22">
        <f>+Tabla1[[#This Row],[FECHA ENTRADA]]</f>
        <v>45899</v>
      </c>
      <c r="K3561" s="22">
        <v>45923</v>
      </c>
      <c r="L3561" s="23">
        <f>_xlfn.DAYS(Tabla1[[#This Row],[FECHA FIN ]],Tabla1[[#This Row],[FECHA INICIO]])</f>
        <v>24</v>
      </c>
      <c r="M3561" s="12"/>
      <c r="N3561" s="12">
        <f>998.86/3</f>
        <v>332.95333333333332</v>
      </c>
      <c r="O3561" s="24">
        <f>(Tabla1[[#This Row],[COSTO FIJO ]]/30)*Tabla1[[#This Row],[TOTAL DIAS PROYECTO]]+(Tabla1[[#This Row],[COSTO TEMPORAL]])</f>
        <v>266.36266666666666</v>
      </c>
      <c r="P3561" s="12"/>
      <c r="Q3561" s="12">
        <f>+(Tabla1[[#This Row],[COSTO COCHE]]/30)*Tabla1[[#This Row],[TOTAL DIAS PROYECTO]]</f>
        <v>0</v>
      </c>
      <c r="R3561" s="12">
        <f>+Tabla1[[#This Row],[COSTO TOTAL ALOJAMIENTO]]+Tabla1[[#This Row],[COSTO TOTAL COCHE]]</f>
        <v>266.36266666666666</v>
      </c>
      <c r="S3561" s="2" t="s">
        <v>403</v>
      </c>
      <c r="T3561" s="14" t="s">
        <v>44</v>
      </c>
      <c r="U3561" s="14">
        <v>45899</v>
      </c>
      <c r="V3561" s="79">
        <v>45923</v>
      </c>
      <c r="W3561" s="71"/>
      <c r="X3561" s="2"/>
      <c r="Y3561" s="256" t="s">
        <v>5272</v>
      </c>
      <c r="Z3561" s="2" t="s">
        <v>36</v>
      </c>
      <c r="AA3561" s="13">
        <v>-7.8640699999999999</v>
      </c>
      <c r="AB3561" s="13">
        <v>42.336689999999997</v>
      </c>
    </row>
    <row r="3562" spans="1:28" ht="15" customHeight="1">
      <c r="A3562" s="2" t="s">
        <v>9792</v>
      </c>
      <c r="B3562" s="2" t="s">
        <v>978</v>
      </c>
      <c r="C3562" s="97" t="s">
        <v>4750</v>
      </c>
      <c r="D3562" s="2" t="s">
        <v>99</v>
      </c>
      <c r="E3562" s="2" t="s">
        <v>476</v>
      </c>
      <c r="F3562" s="11" t="s">
        <v>5270</v>
      </c>
      <c r="G3562" s="21" t="s">
        <v>5271</v>
      </c>
      <c r="H3562" s="2" t="s">
        <v>4768</v>
      </c>
      <c r="I3562" s="158" t="s">
        <v>4714</v>
      </c>
      <c r="J3562" s="22">
        <f>+Tabla1[[#This Row],[FECHA ENTRADA]]</f>
        <v>45899</v>
      </c>
      <c r="K3562" s="22">
        <v>45923</v>
      </c>
      <c r="L3562" s="23">
        <f>_xlfn.DAYS(Tabla1[[#This Row],[FECHA FIN ]],Tabla1[[#This Row],[FECHA INICIO]])</f>
        <v>24</v>
      </c>
      <c r="M3562" s="12"/>
      <c r="N3562" s="12">
        <f>998.86/3</f>
        <v>332.95333333333332</v>
      </c>
      <c r="O3562" s="24">
        <f>(Tabla1[[#This Row],[COSTO FIJO ]]/30)*Tabla1[[#This Row],[TOTAL DIAS PROYECTO]]+(Tabla1[[#This Row],[COSTO TEMPORAL]])</f>
        <v>266.36266666666666</v>
      </c>
      <c r="P3562" s="12"/>
      <c r="Q3562" s="12">
        <f>+(Tabla1[[#This Row],[COSTO COCHE]]/30)*Tabla1[[#This Row],[TOTAL DIAS PROYECTO]]</f>
        <v>0</v>
      </c>
      <c r="R3562" s="12">
        <f>+Tabla1[[#This Row],[COSTO TOTAL ALOJAMIENTO]]+Tabla1[[#This Row],[COSTO TOTAL COCHE]]</f>
        <v>266.36266666666666</v>
      </c>
      <c r="S3562" s="2" t="s">
        <v>403</v>
      </c>
      <c r="T3562" s="14" t="s">
        <v>44</v>
      </c>
      <c r="U3562" s="14">
        <v>45899</v>
      </c>
      <c r="V3562" s="79">
        <v>45923</v>
      </c>
      <c r="W3562" s="71"/>
      <c r="X3562" s="2"/>
      <c r="Y3562" s="256" t="s">
        <v>5273</v>
      </c>
      <c r="Z3562" s="2" t="s">
        <v>36</v>
      </c>
      <c r="AA3562" s="13">
        <v>-7.8640699999999999</v>
      </c>
      <c r="AB3562" s="13">
        <v>42.336689999999997</v>
      </c>
    </row>
    <row r="3563" spans="1:28" ht="15" customHeight="1">
      <c r="A3563" s="2" t="s">
        <v>9769</v>
      </c>
      <c r="B3563" s="2" t="s">
        <v>978</v>
      </c>
      <c r="C3563" s="97" t="s">
        <v>4658</v>
      </c>
      <c r="D3563" s="2" t="s">
        <v>30</v>
      </c>
      <c r="E3563" s="2" t="s">
        <v>476</v>
      </c>
      <c r="F3563" s="11" t="s">
        <v>5270</v>
      </c>
      <c r="G3563" s="11" t="s">
        <v>5271</v>
      </c>
      <c r="H3563" s="2" t="s">
        <v>4713</v>
      </c>
      <c r="I3563" s="12" t="s">
        <v>4714</v>
      </c>
      <c r="J3563" s="22">
        <f>+Tabla1[[#This Row],[FECHA ENTRADA]]</f>
        <v>45899</v>
      </c>
      <c r="K3563" s="22">
        <v>45923</v>
      </c>
      <c r="L3563" s="23">
        <f>_xlfn.DAYS(Tabla1[[#This Row],[FECHA FIN ]],Tabla1[[#This Row],[FECHA INICIO]])</f>
        <v>24</v>
      </c>
      <c r="M3563" s="12"/>
      <c r="N3563" s="12">
        <f>998.86/3</f>
        <v>332.95333333333332</v>
      </c>
      <c r="O3563" s="24">
        <f>(Tabla1[[#This Row],[COSTO FIJO ]]/30)*Tabla1[[#This Row],[TOTAL DIAS PROYECTO]]+(Tabla1[[#This Row],[COSTO TEMPORAL]])</f>
        <v>266.36266666666666</v>
      </c>
      <c r="P3563" s="12"/>
      <c r="Q3563" s="12">
        <f>+(Tabla1[[#This Row],[COSTO COCHE]]/30)*Tabla1[[#This Row],[TOTAL DIAS PROYECTO]]</f>
        <v>0</v>
      </c>
      <c r="R3563" s="12">
        <f>+Tabla1[[#This Row],[COSTO TOTAL ALOJAMIENTO]]+Tabla1[[#This Row],[COSTO TOTAL COCHE]]</f>
        <v>266.36266666666666</v>
      </c>
      <c r="S3563" s="2" t="s">
        <v>403</v>
      </c>
      <c r="T3563" s="14" t="s">
        <v>44</v>
      </c>
      <c r="U3563" s="14">
        <v>45899</v>
      </c>
      <c r="V3563" s="79">
        <v>45923</v>
      </c>
      <c r="W3563" s="71"/>
      <c r="X3563" s="2"/>
      <c r="Y3563" s="256" t="s">
        <v>5274</v>
      </c>
      <c r="Z3563" s="2" t="s">
        <v>36</v>
      </c>
      <c r="AA3563" s="13">
        <v>-7.8640699999999999</v>
      </c>
      <c r="AB3563" s="13">
        <v>42.336689999999997</v>
      </c>
    </row>
    <row r="3564" spans="1:28" ht="15" customHeight="1">
      <c r="A3564" s="2" t="s">
        <v>9765</v>
      </c>
      <c r="B3564" s="2" t="s">
        <v>978</v>
      </c>
      <c r="C3564" s="104" t="s">
        <v>4648</v>
      </c>
      <c r="D3564" s="2" t="s">
        <v>30</v>
      </c>
      <c r="E3564" s="2" t="s">
        <v>380</v>
      </c>
      <c r="F3564" s="11" t="s">
        <v>5246</v>
      </c>
      <c r="G3564" s="46" t="s">
        <v>2237</v>
      </c>
      <c r="H3564" s="157" t="s">
        <v>4279</v>
      </c>
      <c r="I3564" s="158" t="s">
        <v>4276</v>
      </c>
      <c r="J3564" s="41">
        <f>+Tabla1[[#This Row],[FECHA ENTRADA]]</f>
        <v>45827</v>
      </c>
      <c r="K3564" s="41">
        <v>45856</v>
      </c>
      <c r="L3564" s="42">
        <f>_xlfn.DAYS(Tabla1[[#This Row],[FECHA FIN ]],Tabla1[[#This Row],[FECHA INICIO]])</f>
        <v>29</v>
      </c>
      <c r="M3564" s="12"/>
      <c r="N3564" s="12"/>
      <c r="O3564" s="28">
        <f>(Tabla1[[#This Row],[COSTO FIJO ]]/30)*Tabla1[[#This Row],[TOTAL DIAS PROYECTO]]+(Tabla1[[#This Row],[COSTO TEMPORAL]])</f>
        <v>0</v>
      </c>
      <c r="P3564" s="12"/>
      <c r="Q3564" s="12">
        <f>+(Tabla1[[#This Row],[COSTO COCHE]]/30)*Tabla1[[#This Row],[TOTAL DIAS PROYECTO]]</f>
        <v>0</v>
      </c>
      <c r="R3564" s="12">
        <f>+Tabla1[[#This Row],[COSTO TOTAL ALOJAMIENTO]]+Tabla1[[#This Row],[COSTO TOTAL COCHE]]</f>
        <v>0</v>
      </c>
      <c r="S3564" s="2"/>
      <c r="T3564" s="14" t="s">
        <v>44</v>
      </c>
      <c r="U3564" s="14">
        <v>45827</v>
      </c>
      <c r="V3564" s="43">
        <v>45857</v>
      </c>
      <c r="W3564" s="12"/>
      <c r="X3564" s="2"/>
      <c r="Y3564" s="11" t="s">
        <v>1166</v>
      </c>
      <c r="Z3564" s="2" t="s">
        <v>36</v>
      </c>
      <c r="AA3564" s="13" t="s">
        <v>10370</v>
      </c>
      <c r="AB3564" s="13" t="s">
        <v>10371</v>
      </c>
    </row>
    <row r="3565" spans="1:28" ht="15" customHeight="1">
      <c r="A3565" s="2" t="s">
        <v>9900</v>
      </c>
      <c r="B3565" s="2" t="s">
        <v>368</v>
      </c>
      <c r="C3565" s="104" t="s">
        <v>5275</v>
      </c>
      <c r="D3565" s="2" t="s">
        <v>30</v>
      </c>
      <c r="E3565" s="2" t="s">
        <v>985</v>
      </c>
      <c r="F3565" s="11" t="s">
        <v>5268</v>
      </c>
      <c r="G3565" s="11" t="s">
        <v>4250</v>
      </c>
      <c r="H3565" s="2" t="s">
        <v>2401</v>
      </c>
      <c r="I3565" s="12" t="s">
        <v>989</v>
      </c>
      <c r="J3565" s="22">
        <f>+Tabla1[[#This Row],[FECHA ENTRADA]]</f>
        <v>45863</v>
      </c>
      <c r="K3565" s="22">
        <v>45923</v>
      </c>
      <c r="L3565" s="23">
        <f>_xlfn.DAYS(Tabla1[[#This Row],[FECHA FIN ]],Tabla1[[#This Row],[FECHA INICIO]])</f>
        <v>60</v>
      </c>
      <c r="M3565" s="12"/>
      <c r="N3565" s="12"/>
      <c r="O3565" s="24">
        <f>(Tabla1[[#This Row],[COSTO FIJO ]]/30)*Tabla1[[#This Row],[TOTAL DIAS PROYECTO]]+(Tabla1[[#This Row],[COSTO TEMPORAL]])</f>
        <v>0</v>
      </c>
      <c r="P3565" s="12"/>
      <c r="Q3565" s="12">
        <f>+(Tabla1[[#This Row],[COSTO COCHE]]/30)*Tabla1[[#This Row],[TOTAL DIAS PROYECTO]]</f>
        <v>0</v>
      </c>
      <c r="R3565" s="12">
        <f>+Tabla1[[#This Row],[COSTO TOTAL ALOJAMIENTO]]+Tabla1[[#This Row],[COSTO TOTAL COCHE]]</f>
        <v>0</v>
      </c>
      <c r="S3565" s="2"/>
      <c r="T3565" s="14" t="s">
        <v>44</v>
      </c>
      <c r="U3565" s="14">
        <v>45863</v>
      </c>
      <c r="V3565" s="25">
        <v>45923</v>
      </c>
      <c r="W3565" s="12"/>
      <c r="X3565" s="2"/>
      <c r="Y3565" s="11" t="s">
        <v>5269</v>
      </c>
      <c r="Z3565" s="2" t="s">
        <v>36</v>
      </c>
      <c r="AA3565" s="13" t="s">
        <v>10407</v>
      </c>
      <c r="AB3565" s="13" t="s">
        <v>10408</v>
      </c>
    </row>
    <row r="3566" spans="1:28" ht="15" customHeight="1">
      <c r="A3566" s="2" t="s">
        <v>9195</v>
      </c>
      <c r="B3566" s="2" t="s">
        <v>368</v>
      </c>
      <c r="C3566" s="104" t="s">
        <v>2400</v>
      </c>
      <c r="D3566" s="2" t="s">
        <v>30</v>
      </c>
      <c r="E3566" s="2" t="s">
        <v>985</v>
      </c>
      <c r="F3566" s="11" t="s">
        <v>5268</v>
      </c>
      <c r="G3566" s="11" t="s">
        <v>4250</v>
      </c>
      <c r="H3566" s="2" t="s">
        <v>2401</v>
      </c>
      <c r="I3566" s="12" t="s">
        <v>989</v>
      </c>
      <c r="J3566" s="22">
        <f>+Tabla1[[#This Row],[FECHA ENTRADA]]</f>
        <v>45863</v>
      </c>
      <c r="K3566" s="22">
        <v>45923</v>
      </c>
      <c r="L3566" s="23">
        <f>_xlfn.DAYS(Tabla1[[#This Row],[FECHA FIN ]],Tabla1[[#This Row],[FECHA INICIO]])</f>
        <v>60</v>
      </c>
      <c r="M3566" s="12"/>
      <c r="N3566" s="12"/>
      <c r="O3566" s="24">
        <f>(Tabla1[[#This Row],[COSTO FIJO ]]/30)*Tabla1[[#This Row],[TOTAL DIAS PROYECTO]]+(Tabla1[[#This Row],[COSTO TEMPORAL]])</f>
        <v>0</v>
      </c>
      <c r="P3566" s="12"/>
      <c r="Q3566" s="12">
        <f>+(Tabla1[[#This Row],[COSTO COCHE]]/30)*Tabla1[[#This Row],[TOTAL DIAS PROYECTO]]</f>
        <v>0</v>
      </c>
      <c r="R3566" s="12">
        <f>+Tabla1[[#This Row],[COSTO TOTAL ALOJAMIENTO]]+Tabla1[[#This Row],[COSTO TOTAL COCHE]]</f>
        <v>0</v>
      </c>
      <c r="S3566" s="2"/>
      <c r="T3566" s="14" t="s">
        <v>44</v>
      </c>
      <c r="U3566" s="14">
        <v>45863</v>
      </c>
      <c r="V3566" s="25">
        <v>45923</v>
      </c>
      <c r="W3566" s="12"/>
      <c r="X3566" s="2"/>
      <c r="Y3566" s="11" t="s">
        <v>5269</v>
      </c>
      <c r="Z3566" s="2" t="s">
        <v>36</v>
      </c>
      <c r="AA3566" s="13" t="s">
        <v>10407</v>
      </c>
      <c r="AB3566" s="13" t="s">
        <v>10408</v>
      </c>
    </row>
    <row r="3567" spans="1:28" ht="15" customHeight="1">
      <c r="A3567" s="2" t="s">
        <v>9463</v>
      </c>
      <c r="B3567" s="10" t="s">
        <v>711</v>
      </c>
      <c r="C3567" s="97" t="s">
        <v>3276</v>
      </c>
      <c r="D3567" s="2" t="s">
        <v>99</v>
      </c>
      <c r="E3567" s="2" t="s">
        <v>2378</v>
      </c>
      <c r="F3567" s="11" t="s">
        <v>5276</v>
      </c>
      <c r="G3567" s="49">
        <v>978618788</v>
      </c>
      <c r="H3567" s="2" t="s">
        <v>5277</v>
      </c>
      <c r="I3567" s="12" t="s">
        <v>1392</v>
      </c>
      <c r="J3567" s="22">
        <f>+Tabla1[[#This Row],[FECHA ENTRADA]]</f>
        <v>45915</v>
      </c>
      <c r="K3567" s="22">
        <v>45923</v>
      </c>
      <c r="L3567" s="23">
        <f>_xlfn.DAYS(Tabla1[[#This Row],[FECHA FIN ]],Tabla1[[#This Row],[FECHA INICIO]])</f>
        <v>8</v>
      </c>
      <c r="M3567" s="12"/>
      <c r="N3567" s="12">
        <v>215</v>
      </c>
      <c r="O3567" s="24">
        <f>(Tabla1[[#This Row],[COSTO FIJO ]]/30)*Tabla1[[#This Row],[TOTAL DIAS PROYECTO]]+(Tabla1[[#This Row],[COSTO TEMPORAL]])</f>
        <v>57.333333333333336</v>
      </c>
      <c r="P3567" s="12"/>
      <c r="Q3567" s="12">
        <f>+(Tabla1[[#This Row],[COSTO COCHE]]/30)*Tabla1[[#This Row],[TOTAL DIAS PROYECTO]]</f>
        <v>0</v>
      </c>
      <c r="R3567" s="12">
        <f>+Tabla1[[#This Row],[COSTO TOTAL ALOJAMIENTO]]+Tabla1[[#This Row],[COSTO TOTAL COCHE]]</f>
        <v>57.333333333333336</v>
      </c>
      <c r="S3567" s="2"/>
      <c r="T3567" s="14" t="s">
        <v>44</v>
      </c>
      <c r="U3567" s="14">
        <v>45915</v>
      </c>
      <c r="V3567" s="25">
        <v>45923</v>
      </c>
      <c r="W3567" s="71"/>
      <c r="X3567" s="2"/>
      <c r="Y3567" s="272" t="s">
        <v>5278</v>
      </c>
      <c r="Z3567" s="2" t="s">
        <v>36</v>
      </c>
      <c r="AA3567" s="13" t="e">
        <v>#N/A</v>
      </c>
      <c r="AB3567" s="13" t="e">
        <v>#N/A</v>
      </c>
    </row>
    <row r="3568" spans="1:28" ht="15" customHeight="1">
      <c r="A3568" s="2" t="s">
        <v>9357</v>
      </c>
      <c r="B3568" s="10" t="s">
        <v>711</v>
      </c>
      <c r="C3568" s="97" t="s">
        <v>2921</v>
      </c>
      <c r="D3568" s="2" t="s">
        <v>99</v>
      </c>
      <c r="E3568" s="2" t="s">
        <v>2378</v>
      </c>
      <c r="F3568" s="11" t="s">
        <v>5276</v>
      </c>
      <c r="G3568" s="21">
        <v>978618788</v>
      </c>
      <c r="H3568" s="2" t="s">
        <v>5277</v>
      </c>
      <c r="I3568" s="12" t="s">
        <v>1392</v>
      </c>
      <c r="J3568" s="22">
        <f>+Tabla1[[#This Row],[FECHA ENTRADA]]</f>
        <v>45915</v>
      </c>
      <c r="K3568" s="22">
        <v>45923</v>
      </c>
      <c r="L3568" s="23">
        <f>_xlfn.DAYS(Tabla1[[#This Row],[FECHA FIN ]],Tabla1[[#This Row],[FECHA INICIO]])</f>
        <v>8</v>
      </c>
      <c r="M3568" s="12"/>
      <c r="N3568" s="12">
        <v>215</v>
      </c>
      <c r="O3568" s="24">
        <f>(Tabla1[[#This Row],[COSTO FIJO ]]/30)*Tabla1[[#This Row],[TOTAL DIAS PROYECTO]]+(Tabla1[[#This Row],[COSTO TEMPORAL]])</f>
        <v>57.333333333333336</v>
      </c>
      <c r="P3568" s="12"/>
      <c r="Q3568" s="12">
        <f>+(Tabla1[[#This Row],[COSTO COCHE]]/30)*Tabla1[[#This Row],[TOTAL DIAS PROYECTO]]</f>
        <v>0</v>
      </c>
      <c r="R3568" s="12">
        <f>+Tabla1[[#This Row],[COSTO TOTAL ALOJAMIENTO]]+Tabla1[[#This Row],[COSTO TOTAL COCHE]]</f>
        <v>57.333333333333336</v>
      </c>
      <c r="S3568" s="2"/>
      <c r="T3568" s="14" t="s">
        <v>44</v>
      </c>
      <c r="U3568" s="14">
        <v>45915</v>
      </c>
      <c r="V3568" s="25">
        <v>45923</v>
      </c>
      <c r="W3568" s="71"/>
      <c r="X3568" s="2"/>
      <c r="Y3568" s="272" t="s">
        <v>5278</v>
      </c>
      <c r="Z3568" s="2" t="s">
        <v>36</v>
      </c>
      <c r="AA3568" s="13" t="e">
        <v>#N/A</v>
      </c>
      <c r="AB3568" s="13" t="e">
        <v>#N/A</v>
      </c>
    </row>
    <row r="3569" spans="1:28" ht="15" customHeight="1">
      <c r="A3569" s="2" t="s">
        <v>9508</v>
      </c>
      <c r="B3569" s="2" t="s">
        <v>711</v>
      </c>
      <c r="C3569" s="97" t="s">
        <v>3466</v>
      </c>
      <c r="D3569" s="2" t="s">
        <v>99</v>
      </c>
      <c r="E3569" s="2" t="s">
        <v>31</v>
      </c>
      <c r="F3569" s="11" t="s">
        <v>5279</v>
      </c>
      <c r="G3569" s="49" t="s">
        <v>5280</v>
      </c>
      <c r="H3569" s="2" t="s">
        <v>5281</v>
      </c>
      <c r="I3569" s="12" t="s">
        <v>3917</v>
      </c>
      <c r="J3569" s="41">
        <f>+Tabla1[[#This Row],[FECHA ENTRADA]]</f>
        <v>45921</v>
      </c>
      <c r="K3569" s="41">
        <v>45923</v>
      </c>
      <c r="L3569" s="42">
        <f>_xlfn.DAYS(Tabla1[[#This Row],[FECHA FIN ]],Tabla1[[#This Row],[FECHA INICIO]])</f>
        <v>2</v>
      </c>
      <c r="M3569" s="12"/>
      <c r="N3569" s="28">
        <v>420</v>
      </c>
      <c r="O3569" s="28">
        <f>(Tabla1[[#This Row],[COSTO FIJO ]]/30)*Tabla1[[#This Row],[TOTAL DIAS PROYECTO]]+(Tabla1[[#This Row],[COSTO TEMPORAL]])</f>
        <v>28</v>
      </c>
      <c r="P3569" s="12"/>
      <c r="Q3569" s="12">
        <f>+(Tabla1[[#This Row],[COSTO COCHE]]/30)*Tabla1[[#This Row],[TOTAL DIAS PROYECTO]]</f>
        <v>0</v>
      </c>
      <c r="R3569" s="12">
        <f>+Tabla1[[#This Row],[COSTO TOTAL ALOJAMIENTO]]+Tabla1[[#This Row],[COSTO TOTAL COCHE]]</f>
        <v>28</v>
      </c>
      <c r="S3569" s="2"/>
      <c r="T3569" s="14" t="s">
        <v>35</v>
      </c>
      <c r="U3569" s="14">
        <v>45921</v>
      </c>
      <c r="V3569" s="43">
        <v>45951</v>
      </c>
      <c r="W3569" s="71"/>
      <c r="X3569" s="2">
        <v>18</v>
      </c>
      <c r="Y3569" s="11" t="s">
        <v>5282</v>
      </c>
      <c r="Z3569" s="2" t="s">
        <v>36</v>
      </c>
      <c r="AA3569" s="13" t="s">
        <v>10323</v>
      </c>
      <c r="AB3569" s="13" t="s">
        <v>10324</v>
      </c>
    </row>
    <row r="3570" spans="1:28" ht="15" customHeight="1">
      <c r="A3570" s="2" t="s">
        <v>9030</v>
      </c>
      <c r="B3570" s="2" t="s">
        <v>711</v>
      </c>
      <c r="C3570" s="104" t="s">
        <v>1742</v>
      </c>
      <c r="D3570" s="2" t="s">
        <v>99</v>
      </c>
      <c r="E3570" s="2" t="s">
        <v>87</v>
      </c>
      <c r="F3570" s="11" t="s">
        <v>5283</v>
      </c>
      <c r="G3570" s="21" t="s">
        <v>5284</v>
      </c>
      <c r="H3570" s="2" t="s">
        <v>5285</v>
      </c>
      <c r="I3570" s="2" t="s">
        <v>1232</v>
      </c>
      <c r="J3570" s="22">
        <f>+Tabla1[[#This Row],[FECHA ENTRADA]]</f>
        <v>45908</v>
      </c>
      <c r="K3570" s="22">
        <v>45924</v>
      </c>
      <c r="L3570" s="23">
        <f>_xlfn.DAYS(Tabla1[[#This Row],[FECHA FIN ]],Tabla1[[#This Row],[FECHA INICIO]])</f>
        <v>16</v>
      </c>
      <c r="M3570" s="12">
        <f>172.3/2</f>
        <v>86.15</v>
      </c>
      <c r="N3570" s="20"/>
      <c r="O3570" s="24">
        <f>(Tabla1[[#This Row],[COSTO FIJO ]]/30)*Tabla1[[#This Row],[TOTAL DIAS PROYECTO]]+(Tabla1[[#This Row],[COSTO TEMPORAL]])</f>
        <v>86.15</v>
      </c>
      <c r="P3570" s="12"/>
      <c r="Q3570" s="12">
        <f>+(Tabla1[[#This Row],[COSTO COCHE]]/30)*Tabla1[[#This Row],[TOTAL DIAS PROYECTO]]</f>
        <v>0</v>
      </c>
      <c r="R3570" s="12">
        <f>+Tabla1[[#This Row],[COSTO TOTAL ALOJAMIENTO]]+Tabla1[[#This Row],[COSTO TOTAL COCHE]]</f>
        <v>86.15</v>
      </c>
      <c r="S3570" s="2" t="s">
        <v>403</v>
      </c>
      <c r="T3570" s="14" t="s">
        <v>44</v>
      </c>
      <c r="U3570" s="14">
        <v>45908</v>
      </c>
      <c r="V3570" s="25">
        <v>45930</v>
      </c>
      <c r="W3570" s="71"/>
      <c r="X3570" s="2"/>
      <c r="Y3570" s="11" t="s">
        <v>5286</v>
      </c>
      <c r="Z3570" s="2" t="s">
        <v>36</v>
      </c>
      <c r="AA3570" s="13" t="s">
        <v>10335</v>
      </c>
      <c r="AB3570" s="13">
        <v>404.16500000000002</v>
      </c>
    </row>
    <row r="3571" spans="1:28" ht="15" customHeight="1">
      <c r="A3571" s="2" t="s">
        <v>9818</v>
      </c>
      <c r="B3571" s="2" t="s">
        <v>711</v>
      </c>
      <c r="C3571" s="97" t="s">
        <v>4884</v>
      </c>
      <c r="D3571" s="2" t="s">
        <v>30</v>
      </c>
      <c r="E3571" s="2" t="s">
        <v>1987</v>
      </c>
      <c r="F3571" s="11" t="s">
        <v>3766</v>
      </c>
      <c r="G3571" s="21" t="s">
        <v>3767</v>
      </c>
      <c r="H3571" s="2" t="s">
        <v>5287</v>
      </c>
      <c r="I3571" s="12" t="s">
        <v>3769</v>
      </c>
      <c r="J3571" s="22">
        <f>+Tabla1[[#This Row],[FECHA ENTRADA]]</f>
        <v>45920</v>
      </c>
      <c r="K3571" s="22">
        <v>45924</v>
      </c>
      <c r="L3571" s="23">
        <f>_xlfn.DAYS(Tabla1[[#This Row],[FECHA FIN ]],Tabla1[[#This Row],[FECHA INICIO]])</f>
        <v>4</v>
      </c>
      <c r="M3571" s="12">
        <f>28*30</f>
        <v>840</v>
      </c>
      <c r="N3571" s="20"/>
      <c r="O3571" s="24">
        <f>(Tabla1[[#This Row],[COSTO FIJO ]]/30)*Tabla1[[#This Row],[TOTAL DIAS PROYECTO]]+(Tabla1[[#This Row],[COSTO TEMPORAL]])</f>
        <v>840</v>
      </c>
      <c r="P3571" s="12"/>
      <c r="Q3571" s="12">
        <f>+(Tabla1[[#This Row],[COSTO COCHE]]/30)*Tabla1[[#This Row],[TOTAL DIAS PROYECTO]]</f>
        <v>0</v>
      </c>
      <c r="R3571" s="12">
        <f>+Tabla1[[#This Row],[COSTO TOTAL ALOJAMIENTO]]+Tabla1[[#This Row],[COSTO TOTAL COCHE]]</f>
        <v>840</v>
      </c>
      <c r="S3571" s="2"/>
      <c r="T3571" s="14" t="s">
        <v>44</v>
      </c>
      <c r="U3571" s="14">
        <v>45920</v>
      </c>
      <c r="V3571" s="79">
        <v>45950</v>
      </c>
      <c r="W3571" s="71"/>
      <c r="X3571" s="2"/>
      <c r="Y3571" s="11" t="s">
        <v>5288</v>
      </c>
      <c r="Z3571" s="2" t="s">
        <v>36</v>
      </c>
      <c r="AA3571" s="13" t="s">
        <v>10435</v>
      </c>
      <c r="AB3571" s="13">
        <v>42.136150000000001</v>
      </c>
    </row>
    <row r="3572" spans="1:28" ht="15" customHeight="1">
      <c r="A3572" s="2" t="s">
        <v>9681</v>
      </c>
      <c r="B3572" s="2" t="s">
        <v>978</v>
      </c>
      <c r="C3572" s="104" t="s">
        <v>4202</v>
      </c>
      <c r="D3572" s="2" t="s">
        <v>30</v>
      </c>
      <c r="E3572" s="2" t="s">
        <v>109</v>
      </c>
      <c r="F3572" s="11" t="s">
        <v>2161</v>
      </c>
      <c r="G3572" s="46" t="s">
        <v>2162</v>
      </c>
      <c r="H3572" s="2" t="s">
        <v>4704</v>
      </c>
      <c r="I3572" s="116" t="s">
        <v>4681</v>
      </c>
      <c r="J3572" s="41">
        <f>+Tabla1[[#This Row],[FECHA ENTRADA]]</f>
        <v>45854</v>
      </c>
      <c r="K3572" s="22">
        <v>45869</v>
      </c>
      <c r="L3572" s="42">
        <f>_xlfn.DAYS(Tabla1[[#This Row],[FECHA FIN ]],Tabla1[[#This Row],[FECHA INICIO]])</f>
        <v>15</v>
      </c>
      <c r="M3572" s="12">
        <v>350</v>
      </c>
      <c r="N3572" s="28"/>
      <c r="O3572" s="28">
        <f>(Tabla1[[#This Row],[COSTO FIJO ]]/30)*Tabla1[[#This Row],[TOTAL DIAS PROYECTO]]+(Tabla1[[#This Row],[COSTO TEMPORAL]])</f>
        <v>350</v>
      </c>
      <c r="P3572" s="12"/>
      <c r="Q3572" s="12">
        <f>+(Tabla1[[#This Row],[COSTO COCHE]]/30)*Tabla1[[#This Row],[TOTAL DIAS PROYECTO]]</f>
        <v>0</v>
      </c>
      <c r="R3572" s="12">
        <f>+Tabla1[[#This Row],[COSTO TOTAL ALOJAMIENTO]]+Tabla1[[#This Row],[COSTO TOTAL COCHE]]</f>
        <v>350</v>
      </c>
      <c r="S3572" s="2"/>
      <c r="T3572" s="14" t="s">
        <v>44</v>
      </c>
      <c r="U3572" s="14">
        <v>45854</v>
      </c>
      <c r="V3572" s="43">
        <v>45869</v>
      </c>
      <c r="W3572" s="12"/>
      <c r="X3572" s="2"/>
      <c r="Y3572" s="11" t="s">
        <v>4545</v>
      </c>
      <c r="Z3572" s="2" t="s">
        <v>36</v>
      </c>
      <c r="AA3572" s="13">
        <v>0.62217999999999996</v>
      </c>
      <c r="AB3572" s="13" t="s">
        <v>10339</v>
      </c>
    </row>
    <row r="3573" spans="1:28" ht="15" customHeight="1">
      <c r="A3573" s="2" t="s">
        <v>8926</v>
      </c>
      <c r="B3573" s="2" t="s">
        <v>978</v>
      </c>
      <c r="C3573" s="261" t="s">
        <v>1310</v>
      </c>
      <c r="D3573" s="2" t="s">
        <v>99</v>
      </c>
      <c r="E3573" s="2" t="s">
        <v>109</v>
      </c>
      <c r="F3573" s="11" t="s">
        <v>1980</v>
      </c>
      <c r="G3573" s="68" t="s">
        <v>1981</v>
      </c>
      <c r="H3573" s="2" t="s">
        <v>1340</v>
      </c>
      <c r="I3573" s="12" t="s">
        <v>4420</v>
      </c>
      <c r="J3573" s="41">
        <f>+Tabla1[[#This Row],[FECHA ENTRADA]]</f>
        <v>45863</v>
      </c>
      <c r="K3573" s="22">
        <v>46035</v>
      </c>
      <c r="L3573" s="42">
        <f>_xlfn.DAYS(Tabla1[[#This Row],[FECHA FIN ]],Tabla1[[#This Row],[FECHA INICIO]])</f>
        <v>172</v>
      </c>
      <c r="M3573" s="12"/>
      <c r="N3573" s="28">
        <v>300</v>
      </c>
      <c r="O3573" s="28">
        <f>(Tabla1[[#This Row],[COSTO FIJO ]]/30)*Tabla1[[#This Row],[TOTAL DIAS PROYECTO]]+(Tabla1[[#This Row],[COSTO TEMPORAL]])</f>
        <v>1720</v>
      </c>
      <c r="P3573" s="12"/>
      <c r="Q3573" s="12">
        <f>+(Tabla1[[#This Row],[COSTO COCHE]]/30)*Tabla1[[#This Row],[TOTAL DIAS PROYECTO]]</f>
        <v>0</v>
      </c>
      <c r="R3573" s="12">
        <f>+Tabla1[[#This Row],[COSTO TOTAL ALOJAMIENTO]]+Tabla1[[#This Row],[COSTO TOTAL COCHE]]</f>
        <v>1720</v>
      </c>
      <c r="S3573" s="2"/>
      <c r="T3573" s="14" t="s">
        <v>35</v>
      </c>
      <c r="U3573" s="14">
        <v>45863</v>
      </c>
      <c r="V3573" s="43">
        <v>45894</v>
      </c>
      <c r="W3573" s="12"/>
      <c r="X3573" s="2">
        <v>20</v>
      </c>
      <c r="Y3573" s="240" t="s">
        <v>5289</v>
      </c>
      <c r="Z3573" s="2" t="s">
        <v>36</v>
      </c>
      <c r="AA3573" s="13">
        <v>0.62217999999999996</v>
      </c>
      <c r="AB3573" s="13" t="s">
        <v>10339</v>
      </c>
    </row>
    <row r="3574" spans="1:28" ht="15" customHeight="1">
      <c r="A3574" s="2" t="s">
        <v>8979</v>
      </c>
      <c r="B3574" s="2" t="s">
        <v>978</v>
      </c>
      <c r="C3574" s="97" t="s">
        <v>1577</v>
      </c>
      <c r="D3574" s="2" t="s">
        <v>99</v>
      </c>
      <c r="E3574" s="2" t="s">
        <v>664</v>
      </c>
      <c r="F3574" s="11"/>
      <c r="G3574" s="46"/>
      <c r="H3574" s="2" t="s">
        <v>5290</v>
      </c>
      <c r="I3574" s="12" t="s">
        <v>5291</v>
      </c>
      <c r="J3574" s="41">
        <f>+Tabla1[[#This Row],[FECHA ENTRADA]]</f>
        <v>45754</v>
      </c>
      <c r="K3574" s="22">
        <v>45925</v>
      </c>
      <c r="L3574" s="42">
        <f>_xlfn.DAYS(Tabla1[[#This Row],[FECHA FIN ]],Tabla1[[#This Row],[FECHA INICIO]])</f>
        <v>171</v>
      </c>
      <c r="M3574" s="12"/>
      <c r="N3574" s="28">
        <v>300</v>
      </c>
      <c r="O3574" s="28">
        <f>(Tabla1[[#This Row],[COSTO FIJO ]]/30)*Tabla1[[#This Row],[TOTAL DIAS PROYECTO]]+(Tabla1[[#This Row],[COSTO TEMPORAL]])</f>
        <v>1710</v>
      </c>
      <c r="P3574" s="12"/>
      <c r="Q3574" s="12">
        <f>+(Tabla1[[#This Row],[COSTO COCHE]]/30)*Tabla1[[#This Row],[TOTAL DIAS PROYECTO]]</f>
        <v>0</v>
      </c>
      <c r="R3574" s="12">
        <f>+Tabla1[[#This Row],[COSTO TOTAL ALOJAMIENTO]]+Tabla1[[#This Row],[COSTO TOTAL COCHE]]</f>
        <v>1710</v>
      </c>
      <c r="S3574" s="2"/>
      <c r="T3574" s="14" t="s">
        <v>58</v>
      </c>
      <c r="U3574" s="14">
        <v>45754</v>
      </c>
      <c r="V3574" s="43"/>
      <c r="W3574" s="12"/>
      <c r="X3574" s="2"/>
      <c r="Y3574" s="11" t="s">
        <v>5292</v>
      </c>
      <c r="Z3574" s="2" t="s">
        <v>36</v>
      </c>
      <c r="AA3574" s="13" t="s">
        <v>10389</v>
      </c>
      <c r="AB3574" s="13" t="s">
        <v>10390</v>
      </c>
    </row>
    <row r="3575" spans="1:28" ht="15" customHeight="1">
      <c r="A3575" s="2" t="s">
        <v>8656</v>
      </c>
      <c r="B3575" s="2" t="s">
        <v>28</v>
      </c>
      <c r="C3575" s="104" t="s">
        <v>150</v>
      </c>
      <c r="D3575" s="2" t="s">
        <v>30</v>
      </c>
      <c r="E3575" s="2" t="s">
        <v>31</v>
      </c>
      <c r="F3575" s="11"/>
      <c r="G3575" s="11"/>
      <c r="H3575" s="2" t="s">
        <v>5293</v>
      </c>
      <c r="I3575" s="12" t="s">
        <v>181</v>
      </c>
      <c r="J3575" s="8">
        <f>+Tabla1[[#This Row],[FECHA ENTRADA]]</f>
        <v>45546</v>
      </c>
      <c r="K3575" s="22">
        <v>45925</v>
      </c>
      <c r="L3575" s="13">
        <f>_xlfn.DAYS(Tabla1[[#This Row],[FECHA FIN ]],Tabla1[[#This Row],[FECHA INICIO]])</f>
        <v>379</v>
      </c>
      <c r="M3575" s="12"/>
      <c r="N3575" s="12"/>
      <c r="O3575" s="12">
        <f>(Tabla1[[#This Row],[COSTO FIJO ]]/30)*Tabla1[[#This Row],[TOTAL DIAS PROYECTO]]+(Tabla1[[#This Row],[COSTO TEMPORAL]])</f>
        <v>0</v>
      </c>
      <c r="P3575" s="12"/>
      <c r="Q3575" s="12">
        <f>+(Tabla1[[#This Row],[COSTO COCHE]]/30)*Tabla1[[#This Row],[TOTAL DIAS PROYECTO]]</f>
        <v>0</v>
      </c>
      <c r="R3575" s="12">
        <f>+Tabla1[[#This Row],[COSTO TOTAL ALOJAMIENTO]]+Tabla1[[#This Row],[COSTO TOTAL COCHE]]</f>
        <v>0</v>
      </c>
      <c r="S3575" s="2"/>
      <c r="T3575" s="2" t="s">
        <v>58</v>
      </c>
      <c r="U3575" s="14">
        <v>45546</v>
      </c>
      <c r="V3575" s="14"/>
      <c r="W3575" s="26"/>
      <c r="X3575" s="2"/>
      <c r="Y3575" s="11" t="s">
        <v>5294</v>
      </c>
      <c r="Z3575" s="2" t="s">
        <v>36</v>
      </c>
      <c r="AA3575" s="13" t="s">
        <v>10323</v>
      </c>
      <c r="AB3575" s="13" t="s">
        <v>10324</v>
      </c>
    </row>
    <row r="3576" spans="1:28" ht="15" customHeight="1">
      <c r="A3576" s="2" t="s">
        <v>9725</v>
      </c>
      <c r="B3576" s="2" t="s">
        <v>978</v>
      </c>
      <c r="C3576" s="273" t="s">
        <v>4416</v>
      </c>
      <c r="D3576" s="2" t="s">
        <v>30</v>
      </c>
      <c r="E3576" s="2" t="s">
        <v>109</v>
      </c>
      <c r="F3576" s="11" t="s">
        <v>5295</v>
      </c>
      <c r="G3576" t="s">
        <v>5296</v>
      </c>
      <c r="H3576" s="2" t="s">
        <v>4417</v>
      </c>
      <c r="I3576" s="12" t="s">
        <v>4415</v>
      </c>
      <c r="J3576" s="22">
        <f>+Tabla1[[#This Row],[FECHA ENTRADA]]</f>
        <v>45863</v>
      </c>
      <c r="K3576" s="22">
        <v>46047</v>
      </c>
      <c r="L3576" s="23">
        <f>_xlfn.DAYS(Tabla1[[#This Row],[FECHA FIN ]],Tabla1[[#This Row],[FECHA INICIO]])</f>
        <v>184</v>
      </c>
      <c r="M3576" s="12"/>
      <c r="N3576" s="24">
        <v>300</v>
      </c>
      <c r="O3576" s="24">
        <f>(Tabla1[[#This Row],[COSTO FIJO ]]/30)*Tabla1[[#This Row],[TOTAL DIAS PROYECTO]]+(Tabla1[[#This Row],[COSTO TEMPORAL]])</f>
        <v>1840</v>
      </c>
      <c r="P3576" s="12"/>
      <c r="Q3576" s="12">
        <f>+(Tabla1[[#This Row],[COSTO COCHE]]/30)*Tabla1[[#This Row],[TOTAL DIAS PROYECTO]]</f>
        <v>0</v>
      </c>
      <c r="R3576" s="12">
        <f>+Tabla1[[#This Row],[COSTO TOTAL ALOJAMIENTO]]+Tabla1[[#This Row],[COSTO TOTAL COCHE]]</f>
        <v>1840</v>
      </c>
      <c r="S3576" s="2"/>
      <c r="T3576" s="14" t="s">
        <v>35</v>
      </c>
      <c r="U3576" s="14">
        <v>45863</v>
      </c>
      <c r="V3576" s="25"/>
      <c r="W3576" s="12">
        <v>300</v>
      </c>
      <c r="X3576" s="2">
        <v>23</v>
      </c>
      <c r="Y3576" s="11" t="s">
        <v>5297</v>
      </c>
      <c r="Z3576" s="2" t="s">
        <v>36</v>
      </c>
      <c r="AA3576" s="13">
        <v>0.62217999999999996</v>
      </c>
      <c r="AB3576" s="13" t="s">
        <v>10339</v>
      </c>
    </row>
    <row r="3577" spans="1:28" ht="15" customHeight="1">
      <c r="A3577" s="2" t="s">
        <v>9901</v>
      </c>
      <c r="B3577" s="2" t="s">
        <v>711</v>
      </c>
      <c r="C3577" s="104" t="s">
        <v>5298</v>
      </c>
      <c r="D3577" s="2" t="s">
        <v>30</v>
      </c>
      <c r="E3577" s="2" t="s">
        <v>87</v>
      </c>
      <c r="F3577" s="11" t="s">
        <v>5283</v>
      </c>
      <c r="G3577" s="21" t="s">
        <v>5284</v>
      </c>
      <c r="H3577" s="2" t="s">
        <v>5285</v>
      </c>
      <c r="I3577" s="2" t="s">
        <v>1232</v>
      </c>
      <c r="J3577" s="22">
        <f>+Tabla1[[#This Row],[FECHA ENTRADA]]</f>
        <v>45908</v>
      </c>
      <c r="K3577" s="22">
        <v>45925</v>
      </c>
      <c r="L3577" s="23">
        <f>_xlfn.DAYS(Tabla1[[#This Row],[FECHA FIN ]],Tabla1[[#This Row],[FECHA INICIO]])</f>
        <v>17</v>
      </c>
      <c r="M3577" s="12">
        <f>172.3/2</f>
        <v>86.15</v>
      </c>
      <c r="N3577" s="20"/>
      <c r="O3577" s="24">
        <f>(Tabla1[[#This Row],[COSTO FIJO ]]/30)*Tabla1[[#This Row],[TOTAL DIAS PROYECTO]]+(Tabla1[[#This Row],[COSTO TEMPORAL]])</f>
        <v>86.15</v>
      </c>
      <c r="P3577" s="12"/>
      <c r="Q3577" s="12">
        <f>+(Tabla1[[#This Row],[COSTO COCHE]]/30)*Tabla1[[#This Row],[TOTAL DIAS PROYECTO]]</f>
        <v>0</v>
      </c>
      <c r="R3577" s="12">
        <f>+Tabla1[[#This Row],[COSTO TOTAL ALOJAMIENTO]]+Tabla1[[#This Row],[COSTO TOTAL COCHE]]</f>
        <v>86.15</v>
      </c>
      <c r="S3577" s="2" t="s">
        <v>403</v>
      </c>
      <c r="T3577" s="14" t="s">
        <v>44</v>
      </c>
      <c r="U3577" s="14">
        <v>45908</v>
      </c>
      <c r="V3577" s="25">
        <v>45930</v>
      </c>
      <c r="W3577" s="71"/>
      <c r="X3577" s="2"/>
      <c r="Y3577" s="11" t="s">
        <v>5299</v>
      </c>
      <c r="Z3577" s="2" t="s">
        <v>36</v>
      </c>
      <c r="AA3577" s="13" t="s">
        <v>10335</v>
      </c>
      <c r="AB3577" s="13">
        <v>404.16500000000002</v>
      </c>
    </row>
    <row r="3578" spans="1:28" ht="15" customHeight="1">
      <c r="A3578" s="2" t="s">
        <v>8642</v>
      </c>
      <c r="B3578" s="2" t="s">
        <v>978</v>
      </c>
      <c r="C3578" s="104" t="s">
        <v>5300</v>
      </c>
      <c r="D3578" s="2" t="s">
        <v>30</v>
      </c>
      <c r="E3578" s="2" t="s">
        <v>253</v>
      </c>
      <c r="F3578" s="11" t="s">
        <v>5065</v>
      </c>
      <c r="G3578" s="46" t="s">
        <v>1985</v>
      </c>
      <c r="H3578" s="2" t="s">
        <v>5301</v>
      </c>
      <c r="I3578" s="12" t="s">
        <v>1155</v>
      </c>
      <c r="J3578" s="22">
        <f>+Tabla1[[#This Row],[FECHA ENTRADA]]</f>
        <v>45923</v>
      </c>
      <c r="K3578" s="8">
        <v>45925</v>
      </c>
      <c r="L3578" s="23">
        <f>_xlfn.DAYS(Tabla1[[#This Row],[FECHA FIN ]],Tabla1[[#This Row],[FECHA INICIO]])</f>
        <v>2</v>
      </c>
      <c r="M3578" s="12"/>
      <c r="N3578" s="20"/>
      <c r="O3578" s="24">
        <f>(Tabla1[[#This Row],[COSTO FIJO ]]/30)*Tabla1[[#This Row],[TOTAL DIAS PROYECTO]]+(Tabla1[[#This Row],[COSTO TEMPORAL]])</f>
        <v>0</v>
      </c>
      <c r="P3578" s="12"/>
      <c r="Q3578" s="12">
        <f>+(Tabla1[[#This Row],[COSTO COCHE]]/30)*Tabla1[[#This Row],[TOTAL DIAS PROYECTO]]</f>
        <v>0</v>
      </c>
      <c r="R3578" s="12">
        <f>+Tabla1[[#This Row],[COSTO TOTAL ALOJAMIENTO]]+Tabla1[[#This Row],[COSTO TOTAL COCHE]]</f>
        <v>0</v>
      </c>
      <c r="S3578" s="2"/>
      <c r="T3578" s="14" t="s">
        <v>44</v>
      </c>
      <c r="U3578" s="14">
        <v>45923</v>
      </c>
      <c r="V3578" s="79">
        <v>45930</v>
      </c>
      <c r="W3578" s="71"/>
      <c r="X3578" s="2"/>
      <c r="Y3578" s="11" t="s">
        <v>5302</v>
      </c>
      <c r="Z3578" s="2" t="s">
        <v>36</v>
      </c>
      <c r="AA3578" s="13" t="s">
        <v>10357</v>
      </c>
      <c r="AB3578" s="13" t="s">
        <v>10358</v>
      </c>
    </row>
    <row r="3579" spans="1:28" ht="15" customHeight="1">
      <c r="A3579" s="2" t="s">
        <v>9902</v>
      </c>
      <c r="B3579" s="2" t="s">
        <v>711</v>
      </c>
      <c r="C3579" s="97" t="s">
        <v>5303</v>
      </c>
      <c r="D3579" s="2" t="s">
        <v>99</v>
      </c>
      <c r="E3579" s="2" t="s">
        <v>1443</v>
      </c>
      <c r="F3579" s="11" t="s">
        <v>5184</v>
      </c>
      <c r="G3579" s="46" t="s">
        <v>5185</v>
      </c>
      <c r="H3579" s="2" t="s">
        <v>5304</v>
      </c>
      <c r="I3579" s="12" t="s">
        <v>5187</v>
      </c>
      <c r="J3579" s="41">
        <f>+Tabla1[[#This Row],[FECHA ENTRADA]]</f>
        <v>45893</v>
      </c>
      <c r="K3579" s="22">
        <v>45925</v>
      </c>
      <c r="L3579" s="42">
        <f>_xlfn.DAYS(Tabla1[[#This Row],[FECHA FIN ]],Tabla1[[#This Row],[FECHA INICIO]])</f>
        <v>32</v>
      </c>
      <c r="M3579" s="12">
        <f>(1317.17/4)+(950/4)</f>
        <v>566.79250000000002</v>
      </c>
      <c r="N3579" s="12"/>
      <c r="O3579" s="28">
        <f>(Tabla1[[#This Row],[COSTO FIJO ]]/30)*Tabla1[[#This Row],[TOTAL DIAS PROYECTO]]+(Tabla1[[#This Row],[COSTO TEMPORAL]])</f>
        <v>566.79250000000002</v>
      </c>
      <c r="P3579" s="12"/>
      <c r="Q3579" s="12">
        <f>+(Tabla1[[#This Row],[COSTO COCHE]]/30)*Tabla1[[#This Row],[TOTAL DIAS PROYECTO]]</f>
        <v>0</v>
      </c>
      <c r="R3579" s="12">
        <f>+Tabla1[[#This Row],[COSTO TOTAL ALOJAMIENTO]]+Tabla1[[#This Row],[COSTO TOTAL COCHE]]</f>
        <v>566.79250000000002</v>
      </c>
      <c r="S3579" s="2" t="s">
        <v>84</v>
      </c>
      <c r="T3579" s="14" t="s">
        <v>44</v>
      </c>
      <c r="U3579" s="14">
        <v>45893</v>
      </c>
      <c r="V3579" s="25">
        <v>45947</v>
      </c>
      <c r="W3579" s="12"/>
      <c r="X3579" s="2"/>
      <c r="Y3579" s="11" t="s">
        <v>5305</v>
      </c>
      <c r="Z3579" s="2" t="s">
        <v>36</v>
      </c>
      <c r="AA3579" s="13" t="s">
        <v>10420</v>
      </c>
      <c r="AB3579" s="13">
        <v>3907741</v>
      </c>
    </row>
    <row r="3580" spans="1:28" ht="15" customHeight="1">
      <c r="A3580" s="2" t="s">
        <v>9644</v>
      </c>
      <c r="B3580" s="2" t="s">
        <v>28</v>
      </c>
      <c r="C3580" s="97" t="s">
        <v>4047</v>
      </c>
      <c r="D3580" s="2" t="s">
        <v>99</v>
      </c>
      <c r="E3580" s="2" t="s">
        <v>31</v>
      </c>
      <c r="F3580" s="11"/>
      <c r="G3580" s="49"/>
      <c r="H3580" s="2" t="s">
        <v>4537</v>
      </c>
      <c r="I3580" s="12" t="s">
        <v>357</v>
      </c>
      <c r="J3580" s="22">
        <f>+Tabla1[[#This Row],[FECHA ENTRADA]]</f>
        <v>45901</v>
      </c>
      <c r="K3580" s="22">
        <v>45926</v>
      </c>
      <c r="L3580" s="23">
        <f>_xlfn.DAYS(Tabla1[[#This Row],[FECHA FIN ]],Tabla1[[#This Row],[FECHA INICIO]])</f>
        <v>25</v>
      </c>
      <c r="M3580" s="12"/>
      <c r="N3580" s="24">
        <v>300</v>
      </c>
      <c r="O3580" s="24">
        <f>(Tabla1[[#This Row],[COSTO FIJO ]]/30)*Tabla1[[#This Row],[TOTAL DIAS PROYECTO]]+(Tabla1[[#This Row],[COSTO TEMPORAL]])</f>
        <v>250</v>
      </c>
      <c r="P3580" s="12"/>
      <c r="Q3580" s="12">
        <f>+(Tabla1[[#This Row],[COSTO COCHE]]/30)*Tabla1[[#This Row],[TOTAL DIAS PROYECTO]]</f>
        <v>0</v>
      </c>
      <c r="R3580" s="12">
        <f>+Tabla1[[#This Row],[COSTO TOTAL ALOJAMIENTO]]+Tabla1[[#This Row],[COSTO TOTAL COCHE]]</f>
        <v>250</v>
      </c>
      <c r="S3580" s="2"/>
      <c r="T3580" s="14" t="s">
        <v>58</v>
      </c>
      <c r="U3580" s="14">
        <v>45901</v>
      </c>
      <c r="V3580" s="25"/>
      <c r="W3580" s="71"/>
      <c r="X3580" s="2" t="s">
        <v>5306</v>
      </c>
      <c r="Y3580" s="11" t="s">
        <v>5307</v>
      </c>
      <c r="Z3580" s="2" t="s">
        <v>36</v>
      </c>
      <c r="AA3580" s="13" t="s">
        <v>10323</v>
      </c>
      <c r="AB3580" s="13" t="s">
        <v>10324</v>
      </c>
    </row>
    <row r="3581" spans="1:28" ht="15" customHeight="1">
      <c r="A3581" s="2" t="s">
        <v>9193</v>
      </c>
      <c r="B3581" s="2" t="s">
        <v>368</v>
      </c>
      <c r="C3581" s="97" t="s">
        <v>2393</v>
      </c>
      <c r="D3581" s="2" t="s">
        <v>30</v>
      </c>
      <c r="E3581" s="2" t="s">
        <v>422</v>
      </c>
      <c r="F3581" s="11" t="s">
        <v>5145</v>
      </c>
      <c r="G3581" t="s">
        <v>1376</v>
      </c>
      <c r="H3581" s="2" t="s">
        <v>912</v>
      </c>
      <c r="I3581" s="29" t="s">
        <v>913</v>
      </c>
      <c r="J3581" s="41">
        <f>+Tabla1[[#This Row],[FECHA ENTRADA]]</f>
        <v>45821</v>
      </c>
      <c r="K3581" s="22">
        <v>45853</v>
      </c>
      <c r="L3581" s="42">
        <f>_xlfn.DAYS(Tabla1[[#This Row],[FECHA FIN ]],Tabla1[[#This Row],[FECHA INICIO]])</f>
        <v>32</v>
      </c>
      <c r="M3581" s="12"/>
      <c r="N3581" s="12"/>
      <c r="O3581" s="28">
        <f>(Tabla1[[#This Row],[COSTO FIJO ]]/30)*Tabla1[[#This Row],[TOTAL DIAS PROYECTO]]+(Tabla1[[#This Row],[COSTO TEMPORAL]])</f>
        <v>0</v>
      </c>
      <c r="P3581" s="12"/>
      <c r="Q3581" s="12">
        <f>+(Tabla1[[#This Row],[COSTO COCHE]]/30)*Tabla1[[#This Row],[TOTAL DIAS PROYECTO]]</f>
        <v>0</v>
      </c>
      <c r="R3581" s="12">
        <f>+Tabla1[[#This Row],[COSTO TOTAL ALOJAMIENTO]]+Tabla1[[#This Row],[COSTO TOTAL COCHE]]</f>
        <v>0</v>
      </c>
      <c r="S3581" s="2"/>
      <c r="T3581" s="2" t="s">
        <v>35</v>
      </c>
      <c r="U3581" s="14">
        <v>45821</v>
      </c>
      <c r="V3581" s="43"/>
      <c r="W3581" s="2"/>
      <c r="X3581" s="2">
        <v>5</v>
      </c>
      <c r="Y3581" s="11" t="s">
        <v>4232</v>
      </c>
      <c r="Z3581" s="2" t="s">
        <v>36</v>
      </c>
      <c r="AA3581" s="13">
        <v>-326.69799999999998</v>
      </c>
      <c r="AB3581" s="13" t="s">
        <v>10373</v>
      </c>
    </row>
    <row r="3582" spans="1:28" ht="15" customHeight="1">
      <c r="A3582" s="2" t="s">
        <v>9578</v>
      </c>
      <c r="B3582" s="2" t="s">
        <v>28</v>
      </c>
      <c r="C3582" s="97" t="s">
        <v>3738</v>
      </c>
      <c r="D3582" s="2" t="s">
        <v>30</v>
      </c>
      <c r="E3582" s="2" t="s">
        <v>31</v>
      </c>
      <c r="F3582" s="11"/>
      <c r="G3582" s="46"/>
      <c r="H3582" s="2" t="s">
        <v>180</v>
      </c>
      <c r="I3582" s="12" t="s">
        <v>181</v>
      </c>
      <c r="J3582" s="41">
        <v>45638</v>
      </c>
      <c r="K3582" s="22">
        <v>45926</v>
      </c>
      <c r="L3582" s="42">
        <f>_xlfn.DAYS(Tabla1[[#This Row],[FECHA FIN ]],Tabla1[[#This Row],[FECHA INICIO]])</f>
        <v>288</v>
      </c>
      <c r="M3582" s="12"/>
      <c r="N3582" s="28">
        <v>300</v>
      </c>
      <c r="O3582" s="28">
        <f>(Tabla1[[#This Row],[COSTO FIJO ]]/30)*Tabla1[[#This Row],[TOTAL DIAS PROYECTO]]+(Tabla1[[#This Row],[COSTO TEMPORAL]])</f>
        <v>2880</v>
      </c>
      <c r="P3582" s="12"/>
      <c r="Q3582" s="12">
        <f>+(Tabla1[[#This Row],[COSTO COCHE]]/30)*Tabla1[[#This Row],[TOTAL DIAS PROYECTO]]</f>
        <v>0</v>
      </c>
      <c r="R3582" s="12">
        <f>+Tabla1[[#This Row],[COSTO TOTAL ALOJAMIENTO]]+Tabla1[[#This Row],[COSTO TOTAL COCHE]]</f>
        <v>2880</v>
      </c>
      <c r="S3582" s="2"/>
      <c r="T3582" s="2" t="s">
        <v>58</v>
      </c>
      <c r="U3582" s="14"/>
      <c r="V3582" s="43"/>
      <c r="W3582" s="26"/>
      <c r="X3582" s="2"/>
      <c r="Y3582" s="11"/>
      <c r="Z3582" s="2" t="s">
        <v>36</v>
      </c>
      <c r="AA3582" s="13" t="s">
        <v>10323</v>
      </c>
      <c r="AB3582" s="13" t="s">
        <v>10324</v>
      </c>
    </row>
    <row r="3583" spans="1:28" ht="15" customHeight="1">
      <c r="A3583" s="2" t="s">
        <v>9029</v>
      </c>
      <c r="B3583" s="2" t="s">
        <v>28</v>
      </c>
      <c r="C3583" s="104" t="s">
        <v>1739</v>
      </c>
      <c r="D3583" s="2" t="s">
        <v>99</v>
      </c>
      <c r="E3583" s="2" t="s">
        <v>31</v>
      </c>
      <c r="F3583" s="11" t="s">
        <v>2275</v>
      </c>
      <c r="G3583" s="49">
        <v>935621261</v>
      </c>
      <c r="H3583" s="2" t="s">
        <v>5308</v>
      </c>
      <c r="I3583" s="12" t="s">
        <v>385</v>
      </c>
      <c r="J3583" s="22">
        <f>+Tabla1[[#This Row],[FECHA ENTRADA]]</f>
        <v>45915</v>
      </c>
      <c r="K3583" s="22">
        <v>45926</v>
      </c>
      <c r="L3583" s="23">
        <f>_xlfn.DAYS(Tabla1[[#This Row],[FECHA FIN ]],Tabla1[[#This Row],[FECHA INICIO]])</f>
        <v>11</v>
      </c>
      <c r="M3583" s="12"/>
      <c r="N3583" s="12"/>
      <c r="O3583" s="24">
        <f>(Tabla1[[#This Row],[COSTO FIJO ]]/30)*Tabla1[[#This Row],[TOTAL DIAS PROYECTO]]+(Tabla1[[#This Row],[COSTO TEMPORAL]])</f>
        <v>0</v>
      </c>
      <c r="P3583" s="12"/>
      <c r="Q3583" s="12">
        <f>+(Tabla1[[#This Row],[COSTO COCHE]]/30)*Tabla1[[#This Row],[TOTAL DIAS PROYECTO]]</f>
        <v>0</v>
      </c>
      <c r="R3583" s="12">
        <f>+Tabla1[[#This Row],[COSTO TOTAL ALOJAMIENTO]]+Tabla1[[#This Row],[COSTO TOTAL COCHE]]</f>
        <v>0</v>
      </c>
      <c r="S3583" s="2"/>
      <c r="T3583" s="14" t="s">
        <v>44</v>
      </c>
      <c r="U3583" s="14">
        <v>45915</v>
      </c>
      <c r="V3583" s="25">
        <v>45926</v>
      </c>
      <c r="W3583" s="71"/>
      <c r="X3583" s="2"/>
      <c r="Y3583" s="11" t="s">
        <v>5309</v>
      </c>
      <c r="Z3583" s="2" t="s">
        <v>36</v>
      </c>
      <c r="AA3583" s="13" t="s">
        <v>10323</v>
      </c>
      <c r="AB3583" s="13" t="s">
        <v>10324</v>
      </c>
    </row>
    <row r="3584" spans="1:28">
      <c r="A3584" s="2" t="s">
        <v>9031</v>
      </c>
      <c r="B3584" s="2" t="s">
        <v>368</v>
      </c>
      <c r="C3584" s="104" t="s">
        <v>1743</v>
      </c>
      <c r="D3584" s="2" t="s">
        <v>99</v>
      </c>
      <c r="E3584" s="2" t="s">
        <v>422</v>
      </c>
      <c r="F3584" s="11" t="s">
        <v>5145</v>
      </c>
      <c r="G3584" t="s">
        <v>1376</v>
      </c>
      <c r="H3584" s="2" t="s">
        <v>2605</v>
      </c>
      <c r="I3584" s="29" t="s">
        <v>913</v>
      </c>
      <c r="J3584" s="41">
        <f>+Tabla1[[#This Row],[FECHA ENTRADA]]</f>
        <v>45821</v>
      </c>
      <c r="K3584" s="41">
        <v>45873</v>
      </c>
      <c r="L3584" s="42">
        <f>_xlfn.DAYS(Tabla1[[#This Row],[FECHA FIN ]],Tabla1[[#This Row],[FECHA INICIO]])</f>
        <v>52</v>
      </c>
      <c r="M3584" s="12"/>
      <c r="N3584" s="12"/>
      <c r="O3584" s="28">
        <f>(Tabla1[[#This Row],[COSTO FIJO ]]/30)*Tabla1[[#This Row],[TOTAL DIAS PROYECTO]]+(Tabla1[[#This Row],[COSTO TEMPORAL]])</f>
        <v>0</v>
      </c>
      <c r="P3584" s="12"/>
      <c r="Q3584" s="12">
        <f>+(Tabla1[[#This Row],[COSTO COCHE]]/30)*Tabla1[[#This Row],[TOTAL DIAS PROYECTO]]</f>
        <v>0</v>
      </c>
      <c r="R3584" s="12">
        <f>+Tabla1[[#This Row],[COSTO TOTAL ALOJAMIENTO]]+Tabla1[[#This Row],[COSTO TOTAL COCHE]]</f>
        <v>0</v>
      </c>
      <c r="S3584" s="2"/>
      <c r="T3584" s="2" t="s">
        <v>35</v>
      </c>
      <c r="U3584" s="14">
        <v>45821</v>
      </c>
      <c r="V3584" s="43"/>
      <c r="W3584" s="2"/>
      <c r="X3584" s="2">
        <v>5</v>
      </c>
      <c r="Y3584" s="11"/>
      <c r="Z3584" s="2" t="s">
        <v>36</v>
      </c>
      <c r="AA3584" s="13">
        <v>-326.69799999999998</v>
      </c>
      <c r="AB3584" s="13" t="s">
        <v>10373</v>
      </c>
    </row>
    <row r="3585" spans="1:28" ht="15" customHeight="1">
      <c r="A3585" s="2" t="s">
        <v>9903</v>
      </c>
      <c r="B3585" s="2" t="s">
        <v>606</v>
      </c>
      <c r="C3585" s="97" t="s">
        <v>5310</v>
      </c>
      <c r="D3585" s="2" t="s">
        <v>30</v>
      </c>
      <c r="E3585" s="2" t="s">
        <v>259</v>
      </c>
      <c r="F3585" s="11" t="s">
        <v>5261</v>
      </c>
      <c r="G3585" s="49" t="s">
        <v>4207</v>
      </c>
      <c r="H3585" s="2" t="s">
        <v>5311</v>
      </c>
      <c r="I3585" s="158" t="s">
        <v>57</v>
      </c>
      <c r="J3585" s="22">
        <f>+Tabla1[[#This Row],[FECHA ENTRADA]]</f>
        <v>46017</v>
      </c>
      <c r="K3585" s="22">
        <v>46238</v>
      </c>
      <c r="L3585" s="23">
        <f>_xlfn.DAYS(Tabla1[[#This Row],[FECHA FIN ]],Tabla1[[#This Row],[FECHA INICIO]])</f>
        <v>221</v>
      </c>
      <c r="M3585" s="12"/>
      <c r="N3585" s="20">
        <v>375</v>
      </c>
      <c r="O3585" s="24">
        <f>(Tabla1[[#This Row],[COSTO FIJO ]]/30)*Tabla1[[#This Row],[TOTAL DIAS PROYECTO]]+(Tabla1[[#This Row],[COSTO TEMPORAL]])</f>
        <v>2762.5</v>
      </c>
      <c r="P3585" s="12"/>
      <c r="Q3585" s="12">
        <f>+(Tabla1[[#This Row],[COSTO COCHE]]/30)*Tabla1[[#This Row],[TOTAL DIAS PROYECTO]]</f>
        <v>0</v>
      </c>
      <c r="R3585" s="12">
        <f>+Tabla1[[#This Row],[COSTO TOTAL ALOJAMIENTO]]+Tabla1[[#This Row],[COSTO TOTAL COCHE]]</f>
        <v>2762.5</v>
      </c>
      <c r="S3585" s="2"/>
      <c r="T3585" s="14" t="s">
        <v>35</v>
      </c>
      <c r="U3585" s="14">
        <v>46017</v>
      </c>
      <c r="V3585" s="79"/>
      <c r="W3585" s="12">
        <v>1900</v>
      </c>
      <c r="X3585" s="2">
        <v>1</v>
      </c>
      <c r="Y3585" s="11" t="s">
        <v>5312</v>
      </c>
      <c r="Z3585" s="2" t="s">
        <v>36</v>
      </c>
      <c r="AA3585" s="13">
        <v>-0.87734000000000001</v>
      </c>
      <c r="AB3585" s="13" t="s">
        <v>10359</v>
      </c>
    </row>
    <row r="3586" spans="1:28" ht="15" customHeight="1">
      <c r="A3586" s="2" t="s">
        <v>9540</v>
      </c>
      <c r="B3586" s="2" t="s">
        <v>711</v>
      </c>
      <c r="C3586" s="97" t="s">
        <v>3580</v>
      </c>
      <c r="D3586" s="2" t="s">
        <v>30</v>
      </c>
      <c r="E3586" s="2" t="s">
        <v>422</v>
      </c>
      <c r="F3586" s="11" t="s">
        <v>1375</v>
      </c>
      <c r="G3586" s="251" t="s">
        <v>1376</v>
      </c>
      <c r="H3586" s="2" t="s">
        <v>2442</v>
      </c>
      <c r="I3586" s="205" t="s">
        <v>2443</v>
      </c>
      <c r="J3586" s="41">
        <f>+Tabla1[[#This Row],[FECHA ENTRADA]]</f>
        <v>45820</v>
      </c>
      <c r="K3586" s="41">
        <v>46097</v>
      </c>
      <c r="L3586" s="42">
        <f>_xlfn.DAYS(Tabla1[[#This Row],[FECHA FIN ]],Tabla1[[#This Row],[FECHA INICIO]])</f>
        <v>277</v>
      </c>
      <c r="M3586" s="12"/>
      <c r="N3586" s="12">
        <v>350</v>
      </c>
      <c r="O3586" s="28">
        <f>(Tabla1[[#This Row],[COSTO FIJO ]]/30)*Tabla1[[#This Row],[TOTAL DIAS PROYECTO]]+(Tabla1[[#This Row],[COSTO TEMPORAL]])</f>
        <v>3231.6666666666665</v>
      </c>
      <c r="P3586" s="12"/>
      <c r="Q3586" s="12">
        <f>+(Tabla1[[#This Row],[COSTO COCHE]]/30)*Tabla1[[#This Row],[TOTAL DIAS PROYECTO]]</f>
        <v>0</v>
      </c>
      <c r="R3586" s="12">
        <f>+Tabla1[[#This Row],[COSTO TOTAL ALOJAMIENTO]]+Tabla1[[#This Row],[COSTO TOTAL COCHE]]</f>
        <v>3231.6666666666665</v>
      </c>
      <c r="S3586" s="2"/>
      <c r="T3586" s="14" t="s">
        <v>35</v>
      </c>
      <c r="U3586" s="14">
        <v>45820</v>
      </c>
      <c r="V3586" s="75"/>
      <c r="W3586" s="2"/>
      <c r="X3586" s="2">
        <v>5</v>
      </c>
      <c r="Y3586" s="11" t="s">
        <v>5313</v>
      </c>
      <c r="Z3586" s="2" t="s">
        <v>36</v>
      </c>
      <c r="AA3586" s="13">
        <v>-326.69799999999998</v>
      </c>
      <c r="AB3586" s="13" t="s">
        <v>10373</v>
      </c>
    </row>
    <row r="3587" spans="1:28" ht="15" customHeight="1">
      <c r="A3587" s="2" t="s">
        <v>9147</v>
      </c>
      <c r="B3587" s="2" t="s">
        <v>28</v>
      </c>
      <c r="C3587" s="97" t="s">
        <v>2212</v>
      </c>
      <c r="D3587" s="2" t="s">
        <v>30</v>
      </c>
      <c r="E3587" s="2" t="s">
        <v>422</v>
      </c>
      <c r="F3587" s="11" t="s">
        <v>5145</v>
      </c>
      <c r="G3587" t="s">
        <v>1376</v>
      </c>
      <c r="H3587" s="2" t="s">
        <v>3663</v>
      </c>
      <c r="I3587" s="12" t="s">
        <v>2342</v>
      </c>
      <c r="J3587" s="41">
        <f>+Tabla1[[#This Row],[FECHA ENTRADA]]</f>
        <v>45822</v>
      </c>
      <c r="K3587" s="22">
        <v>45869</v>
      </c>
      <c r="L3587" s="42">
        <f>_xlfn.DAYS(Tabla1[[#This Row],[FECHA FIN ]],Tabla1[[#This Row],[FECHA INICIO]])</f>
        <v>47</v>
      </c>
      <c r="M3587" s="12"/>
      <c r="N3587" s="12"/>
      <c r="O3587" s="28">
        <f>(Tabla1[[#This Row],[COSTO FIJO ]]/30)*Tabla1[[#This Row],[TOTAL DIAS PROYECTO]]+(Tabla1[[#This Row],[COSTO TEMPORAL]])</f>
        <v>0</v>
      </c>
      <c r="P3587" s="12"/>
      <c r="Q3587" s="12">
        <f>+(Tabla1[[#This Row],[COSTO COCHE]]/30)*Tabla1[[#This Row],[TOTAL DIAS PROYECTO]]</f>
        <v>0</v>
      </c>
      <c r="R3587" s="12">
        <f>+Tabla1[[#This Row],[COSTO TOTAL ALOJAMIENTO]]+Tabla1[[#This Row],[COSTO TOTAL COCHE]]</f>
        <v>0</v>
      </c>
      <c r="S3587" s="2"/>
      <c r="T3587" s="2" t="s">
        <v>35</v>
      </c>
      <c r="U3587" s="14">
        <v>45822</v>
      </c>
      <c r="V3587" s="43"/>
      <c r="W3587" s="2"/>
      <c r="X3587" s="2">
        <v>5</v>
      </c>
      <c r="Y3587" s="11" t="s">
        <v>4984</v>
      </c>
      <c r="Z3587" s="2" t="s">
        <v>36</v>
      </c>
      <c r="AA3587" s="13">
        <v>-326.69799999999998</v>
      </c>
      <c r="AB3587" s="13" t="s">
        <v>10373</v>
      </c>
    </row>
    <row r="3588" spans="1:28" ht="15" customHeight="1">
      <c r="A3588" s="2" t="s">
        <v>9766</v>
      </c>
      <c r="B3588" s="2" t="s">
        <v>978</v>
      </c>
      <c r="C3588" s="104" t="s">
        <v>4652</v>
      </c>
      <c r="D3588" s="2" t="s">
        <v>99</v>
      </c>
      <c r="E3588" s="2" t="s">
        <v>245</v>
      </c>
      <c r="F3588" s="11"/>
      <c r="G3588" s="30"/>
      <c r="H3588" s="2" t="s">
        <v>2957</v>
      </c>
      <c r="I3588" s="269" t="s">
        <v>5314</v>
      </c>
      <c r="J3588" s="41">
        <f>+Tabla1[[#This Row],[FECHA ENTRADA]]</f>
        <v>45840</v>
      </c>
      <c r="K3588" s="41">
        <v>45840</v>
      </c>
      <c r="L3588" s="42">
        <f>_xlfn.DAYS(Tabla1[[#This Row],[FECHA FIN ]],Tabla1[[#This Row],[FECHA INICIO]])</f>
        <v>0</v>
      </c>
      <c r="M3588" s="12"/>
      <c r="N3588" s="12">
        <f>75.88/2</f>
        <v>37.94</v>
      </c>
      <c r="O3588" s="28">
        <f>(Tabla1[[#This Row],[COSTO FIJO ]]/30)*Tabla1[[#This Row],[TOTAL DIAS PROYECTO]]+(Tabla1[[#This Row],[COSTO TEMPORAL]])</f>
        <v>0</v>
      </c>
      <c r="P3588" s="12"/>
      <c r="Q3588" s="12">
        <f>+(Tabla1[[#This Row],[COSTO COCHE]]/30)*Tabla1[[#This Row],[TOTAL DIAS PROYECTO]]</f>
        <v>0</v>
      </c>
      <c r="R3588" s="12">
        <f>+Tabla1[[#This Row],[COSTO TOTAL ALOJAMIENTO]]+Tabla1[[#This Row],[COSTO TOTAL COCHE]]</f>
        <v>0</v>
      </c>
      <c r="S3588" s="2"/>
      <c r="T3588" s="14" t="s">
        <v>44</v>
      </c>
      <c r="U3588" s="14">
        <v>45840</v>
      </c>
      <c r="V3588" s="43">
        <v>45841</v>
      </c>
      <c r="W3588" s="12"/>
      <c r="X3588" s="2"/>
      <c r="Y3588" s="11"/>
      <c r="Z3588" s="2" t="s">
        <v>36</v>
      </c>
      <c r="AA3588" s="13" t="s">
        <v>10355</v>
      </c>
      <c r="AB3588" s="13" t="s">
        <v>10356</v>
      </c>
    </row>
    <row r="3589" spans="1:28" ht="15" customHeight="1">
      <c r="A3589" s="2" t="s">
        <v>9792</v>
      </c>
      <c r="B3589" s="2" t="s">
        <v>978</v>
      </c>
      <c r="C3589" s="97" t="s">
        <v>4750</v>
      </c>
      <c r="D3589" s="2" t="s">
        <v>30</v>
      </c>
      <c r="E3589" s="2" t="s">
        <v>476</v>
      </c>
      <c r="F3589" s="11" t="s">
        <v>5315</v>
      </c>
      <c r="G3589" s="21" t="s">
        <v>5316</v>
      </c>
      <c r="H3589" s="2" t="s">
        <v>4768</v>
      </c>
      <c r="I3589" s="158" t="s">
        <v>4714</v>
      </c>
      <c r="J3589" s="22">
        <f>+Tabla1[[#This Row],[FECHA ENTRADA]]</f>
        <v>45923</v>
      </c>
      <c r="K3589" s="22">
        <v>45926</v>
      </c>
      <c r="L3589" s="23">
        <f>_xlfn.DAYS(Tabla1[[#This Row],[FECHA FIN ]],Tabla1[[#This Row],[FECHA INICIO]])</f>
        <v>3</v>
      </c>
      <c r="M3589" s="12">
        <v>140</v>
      </c>
      <c r="N3589" s="20"/>
      <c r="O3589" s="24">
        <f>(Tabla1[[#This Row],[COSTO FIJO ]]/30)*Tabla1[[#This Row],[TOTAL DIAS PROYECTO]]+(Tabla1[[#This Row],[COSTO TEMPORAL]])</f>
        <v>140</v>
      </c>
      <c r="P3589" s="12"/>
      <c r="Q3589" s="12">
        <f>+(Tabla1[[#This Row],[COSTO COCHE]]/30)*Tabla1[[#This Row],[TOTAL DIAS PROYECTO]]</f>
        <v>0</v>
      </c>
      <c r="R3589" s="12">
        <f>+Tabla1[[#This Row],[COSTO TOTAL ALOJAMIENTO]]+Tabla1[[#This Row],[COSTO TOTAL COCHE]]</f>
        <v>140</v>
      </c>
      <c r="S3589" s="2"/>
      <c r="T3589" s="14" t="s">
        <v>44</v>
      </c>
      <c r="U3589" s="14">
        <v>45923</v>
      </c>
      <c r="V3589" s="79">
        <v>45930</v>
      </c>
      <c r="W3589" s="71"/>
      <c r="X3589" s="2"/>
      <c r="Y3589" s="256" t="s">
        <v>5317</v>
      </c>
      <c r="Z3589" s="2" t="s">
        <v>36</v>
      </c>
      <c r="AA3589" s="13">
        <v>-7.8640699999999999</v>
      </c>
      <c r="AB3589" s="13">
        <v>42.336689999999997</v>
      </c>
    </row>
    <row r="3590" spans="1:28" ht="15" customHeight="1">
      <c r="A3590" s="2" t="s">
        <v>9904</v>
      </c>
      <c r="B3590" s="2" t="s">
        <v>711</v>
      </c>
      <c r="C3590" s="213" t="s">
        <v>5318</v>
      </c>
      <c r="D3590" s="2" t="s">
        <v>99</v>
      </c>
      <c r="E3590" s="2" t="s">
        <v>790</v>
      </c>
      <c r="F3590" s="11" t="s">
        <v>4316</v>
      </c>
      <c r="G3590" t="s">
        <v>4317</v>
      </c>
      <c r="H3590" s="2" t="s">
        <v>5319</v>
      </c>
      <c r="I3590" s="12" t="s">
        <v>292</v>
      </c>
      <c r="J3590" s="41">
        <f>+Tabla1[[#This Row],[FECHA ENTRADA]]</f>
        <v>45921</v>
      </c>
      <c r="K3590" s="41">
        <v>45926</v>
      </c>
      <c r="L3590" s="42">
        <f>_xlfn.DAYS(Tabla1[[#This Row],[FECHA FIN ]],Tabla1[[#This Row],[FECHA INICIO]])</f>
        <v>5</v>
      </c>
      <c r="M3590" s="12"/>
      <c r="N3590" s="28">
        <v>200</v>
      </c>
      <c r="O3590" s="28">
        <f>(Tabla1[[#This Row],[COSTO FIJO ]]/30)*Tabla1[[#This Row],[TOTAL DIAS PROYECTO]]+(Tabla1[[#This Row],[COSTO TEMPORAL]])</f>
        <v>33.333333333333336</v>
      </c>
      <c r="P3590" s="12"/>
      <c r="Q3590" s="12">
        <f>+(Tabla1[[#This Row],[COSTO COCHE]]/30)*Tabla1[[#This Row],[TOTAL DIAS PROYECTO]]</f>
        <v>0</v>
      </c>
      <c r="R3590" s="12">
        <f>+Tabla1[[#This Row],[COSTO TOTAL ALOJAMIENTO]]+Tabla1[[#This Row],[COSTO TOTAL COCHE]]</f>
        <v>33.333333333333336</v>
      </c>
      <c r="S3590" s="2"/>
      <c r="T3590" s="14" t="s">
        <v>35</v>
      </c>
      <c r="U3590" s="14">
        <v>45921</v>
      </c>
      <c r="V3590" s="43">
        <v>45952</v>
      </c>
      <c r="W3590" s="71"/>
      <c r="X3590" s="2">
        <v>20</v>
      </c>
      <c r="Y3590" s="11" t="s">
        <v>5320</v>
      </c>
      <c r="Z3590" s="2" t="s">
        <v>36</v>
      </c>
      <c r="AA3590" s="13">
        <v>-574377</v>
      </c>
      <c r="AB3590" s="13">
        <v>4150368</v>
      </c>
    </row>
    <row r="3591" spans="1:28" ht="15" customHeight="1">
      <c r="A3591" s="2" t="s">
        <v>9028</v>
      </c>
      <c r="B3591" s="2" t="s">
        <v>606</v>
      </c>
      <c r="C3591" s="104" t="s">
        <v>1737</v>
      </c>
      <c r="D3591" s="2" t="s">
        <v>30</v>
      </c>
      <c r="E3591" s="2" t="s">
        <v>213</v>
      </c>
      <c r="F3591" s="11" t="s">
        <v>1733</v>
      </c>
      <c r="G3591" s="21" t="s">
        <v>1734</v>
      </c>
      <c r="H3591" s="2" t="s">
        <v>1738</v>
      </c>
      <c r="I3591" s="12" t="s">
        <v>1043</v>
      </c>
      <c r="J3591" s="41">
        <f>+Tabla1[[#This Row],[FECHA ENTRADA]]</f>
        <v>46133</v>
      </c>
      <c r="K3591" s="22">
        <v>46158</v>
      </c>
      <c r="L3591" s="42">
        <f>_xlfn.DAYS(Tabla1[[#This Row],[FECHA FIN ]],Tabla1[[#This Row],[FECHA INICIO]])</f>
        <v>25</v>
      </c>
      <c r="M3591" s="12">
        <f>(829.6/3)</f>
        <v>276.53333333333336</v>
      </c>
      <c r="N3591" s="28"/>
      <c r="O3591" s="28">
        <f>(Tabla1[[#This Row],[COSTO FIJO ]]/30)*Tabla1[[#This Row],[TOTAL DIAS PROYECTO]]+(Tabla1[[#This Row],[COSTO TEMPORAL]])</f>
        <v>276.53333333333336</v>
      </c>
      <c r="P3591" s="12"/>
      <c r="Q3591" s="12">
        <f>+(Tabla1[[#This Row],[COSTO COCHE]]/30)*Tabla1[[#This Row],[TOTAL DIAS PROYECTO]]</f>
        <v>0</v>
      </c>
      <c r="R3591" s="12">
        <f>+Tabla1[[#This Row],[COSTO TOTAL ALOJAMIENTO]]+Tabla1[[#This Row],[COSTO TOTAL COCHE]]</f>
        <v>276.53333333333336</v>
      </c>
      <c r="S3591" s="2"/>
      <c r="T3591" s="14" t="s">
        <v>44</v>
      </c>
      <c r="U3591" s="14">
        <v>46133</v>
      </c>
      <c r="V3591" s="79">
        <v>46142</v>
      </c>
      <c r="W3591" s="12"/>
      <c r="X3591" s="2"/>
      <c r="Y3591" s="11" t="s">
        <v>5321</v>
      </c>
      <c r="Z3591" s="2" t="s">
        <v>36</v>
      </c>
      <c r="AA3591" s="13" t="s">
        <v>10349</v>
      </c>
      <c r="AB3591" s="13" t="s">
        <v>10350</v>
      </c>
    </row>
    <row r="3592" spans="1:28" ht="15" customHeight="1">
      <c r="A3592" s="2" t="s">
        <v>9905</v>
      </c>
      <c r="B3592" s="2" t="s">
        <v>28</v>
      </c>
      <c r="C3592" s="97" t="s">
        <v>5322</v>
      </c>
      <c r="D3592" s="2" t="s">
        <v>30</v>
      </c>
      <c r="E3592" s="2" t="s">
        <v>31</v>
      </c>
      <c r="F3592" s="11" t="s">
        <v>451</v>
      </c>
      <c r="G3592" s="50" t="s">
        <v>452</v>
      </c>
      <c r="H3592" s="2" t="s">
        <v>5323</v>
      </c>
      <c r="I3592" s="12" t="s">
        <v>181</v>
      </c>
      <c r="J3592" s="22">
        <f>+Tabla1[[#This Row],[FECHA ENTRADA]]</f>
        <v>45908</v>
      </c>
      <c r="K3592" s="22">
        <v>45928</v>
      </c>
      <c r="L3592" s="23">
        <f>_xlfn.DAYS(Tabla1[[#This Row],[FECHA FIN ]],Tabla1[[#This Row],[FECHA INICIO]])</f>
        <v>20</v>
      </c>
      <c r="M3592" s="12"/>
      <c r="N3592" s="12">
        <v>425</v>
      </c>
      <c r="O3592" s="24">
        <f>(Tabla1[[#This Row],[COSTO FIJO ]]/30)*Tabla1[[#This Row],[TOTAL DIAS PROYECTO]]+(Tabla1[[#This Row],[COSTO TEMPORAL]])</f>
        <v>283.33333333333331</v>
      </c>
      <c r="P3592" s="12"/>
      <c r="Q3592" s="12">
        <f>+(Tabla1[[#This Row],[COSTO COCHE]]/30)*Tabla1[[#This Row],[TOTAL DIAS PROYECTO]]</f>
        <v>0</v>
      </c>
      <c r="R3592" s="12">
        <f>+Tabla1[[#This Row],[COSTO TOTAL ALOJAMIENTO]]+Tabla1[[#This Row],[COSTO TOTAL COCHE]]</f>
        <v>283.33333333333331</v>
      </c>
      <c r="S3592" s="2"/>
      <c r="T3592" s="14" t="s">
        <v>35</v>
      </c>
      <c r="U3592" s="14">
        <v>45908</v>
      </c>
      <c r="V3592" s="79"/>
      <c r="W3592" s="71"/>
      <c r="X3592" s="2">
        <v>1</v>
      </c>
      <c r="Y3592" s="11" t="s">
        <v>5324</v>
      </c>
      <c r="Z3592" s="2" t="s">
        <v>36</v>
      </c>
      <c r="AA3592" s="13" t="s">
        <v>10323</v>
      </c>
      <c r="AB3592" s="13" t="s">
        <v>10324</v>
      </c>
    </row>
    <row r="3593" spans="1:28" ht="15" customHeight="1">
      <c r="A3593" s="2" t="s">
        <v>9906</v>
      </c>
      <c r="B3593" s="2" t="s">
        <v>978</v>
      </c>
      <c r="C3593" s="104" t="s">
        <v>5325</v>
      </c>
      <c r="D3593" s="2" t="s">
        <v>99</v>
      </c>
      <c r="E3593" s="2" t="s">
        <v>380</v>
      </c>
      <c r="F3593" s="11" t="s">
        <v>5326</v>
      </c>
      <c r="G3593" s="46" t="s">
        <v>5327</v>
      </c>
      <c r="H3593" s="2" t="s">
        <v>1799</v>
      </c>
      <c r="I3593" s="12" t="s">
        <v>5328</v>
      </c>
      <c r="J3593" s="41">
        <f>+Tabla1[[#This Row],[FECHA ENTRADA]]</f>
        <v>45833</v>
      </c>
      <c r="K3593" s="41">
        <v>45847</v>
      </c>
      <c r="L3593" s="42">
        <f>_xlfn.DAYS(Tabla1[[#This Row],[FECHA FIN ]],Tabla1[[#This Row],[FECHA INICIO]])</f>
        <v>14</v>
      </c>
      <c r="M3593" s="12"/>
      <c r="N3593" s="12">
        <v>560</v>
      </c>
      <c r="O3593" s="28">
        <f>(Tabla1[[#This Row],[COSTO FIJO ]]/30)*Tabla1[[#This Row],[TOTAL DIAS PROYECTO]]+(Tabla1[[#This Row],[COSTO TEMPORAL]])</f>
        <v>261.33333333333337</v>
      </c>
      <c r="P3593" s="12"/>
      <c r="Q3593" s="12">
        <f>+(Tabla1[[#This Row],[COSTO COCHE]]/30)*Tabla1[[#This Row],[TOTAL DIAS PROYECTO]]</f>
        <v>0</v>
      </c>
      <c r="R3593" s="12">
        <f>+Tabla1[[#This Row],[COSTO TOTAL ALOJAMIENTO]]+Tabla1[[#This Row],[COSTO TOTAL COCHE]]</f>
        <v>261.33333333333337</v>
      </c>
      <c r="S3593" s="2"/>
      <c r="T3593" s="14" t="s">
        <v>44</v>
      </c>
      <c r="U3593" s="14">
        <v>45833</v>
      </c>
      <c r="V3593" s="43">
        <v>45847</v>
      </c>
      <c r="W3593" s="12"/>
      <c r="X3593" s="2"/>
      <c r="Y3593" s="11"/>
      <c r="Z3593" s="2" t="s">
        <v>36</v>
      </c>
      <c r="AA3593" s="13" t="s">
        <v>10370</v>
      </c>
      <c r="AB3593" s="13" t="s">
        <v>10371</v>
      </c>
    </row>
    <row r="3594" spans="1:28" ht="15.75" customHeight="1">
      <c r="A3594" s="2" t="s">
        <v>8642</v>
      </c>
      <c r="B3594" s="2" t="s">
        <v>978</v>
      </c>
      <c r="C3594" s="104" t="s">
        <v>5329</v>
      </c>
      <c r="D3594" s="2" t="s">
        <v>99</v>
      </c>
      <c r="E3594" s="2" t="s">
        <v>380</v>
      </c>
      <c r="F3594" s="11" t="s">
        <v>5326</v>
      </c>
      <c r="G3594" s="46" t="s">
        <v>5327</v>
      </c>
      <c r="H3594" s="2" t="s">
        <v>1799</v>
      </c>
      <c r="I3594" s="12" t="s">
        <v>5328</v>
      </c>
      <c r="J3594" s="41">
        <f>+Tabla1[[#This Row],[FECHA ENTRADA]]</f>
        <v>45833</v>
      </c>
      <c r="K3594" s="41">
        <v>45847</v>
      </c>
      <c r="L3594" s="42">
        <f>_xlfn.DAYS(Tabla1[[#This Row],[FECHA FIN ]],Tabla1[[#This Row],[FECHA INICIO]])</f>
        <v>14</v>
      </c>
      <c r="M3594" s="12"/>
      <c r="N3594" s="12">
        <v>560</v>
      </c>
      <c r="O3594" s="28">
        <f>(Tabla1[[#This Row],[COSTO FIJO ]]/30)*Tabla1[[#This Row],[TOTAL DIAS PROYECTO]]+(Tabla1[[#This Row],[COSTO TEMPORAL]])</f>
        <v>261.33333333333337</v>
      </c>
      <c r="P3594" s="12"/>
      <c r="Q3594" s="12">
        <f>+(Tabla1[[#This Row],[COSTO COCHE]]/30)*Tabla1[[#This Row],[TOTAL DIAS PROYECTO]]</f>
        <v>0</v>
      </c>
      <c r="R3594" s="12">
        <f>+Tabla1[[#This Row],[COSTO TOTAL ALOJAMIENTO]]+Tabla1[[#This Row],[COSTO TOTAL COCHE]]</f>
        <v>261.33333333333337</v>
      </c>
      <c r="S3594" s="2"/>
      <c r="T3594" s="14" t="s">
        <v>44</v>
      </c>
      <c r="U3594" s="14">
        <v>45833</v>
      </c>
      <c r="V3594" s="43">
        <v>45847</v>
      </c>
      <c r="W3594" s="12"/>
      <c r="X3594" s="2"/>
      <c r="Y3594" s="11"/>
      <c r="Z3594" s="2" t="s">
        <v>36</v>
      </c>
      <c r="AA3594" s="13" t="s">
        <v>10370</v>
      </c>
      <c r="AB3594" s="13" t="s">
        <v>10371</v>
      </c>
    </row>
    <row r="3595" spans="1:28" ht="15" customHeight="1">
      <c r="A3595" s="2" t="s">
        <v>9753</v>
      </c>
      <c r="B3595" s="2" t="s">
        <v>978</v>
      </c>
      <c r="C3595" s="104" t="s">
        <v>4566</v>
      </c>
      <c r="D3595" s="2" t="s">
        <v>99</v>
      </c>
      <c r="E3595" s="2" t="s">
        <v>380</v>
      </c>
      <c r="F3595" s="11" t="s">
        <v>5326</v>
      </c>
      <c r="G3595" s="46" t="s">
        <v>5327</v>
      </c>
      <c r="H3595" s="2" t="s">
        <v>1799</v>
      </c>
      <c r="I3595" s="12" t="s">
        <v>5328</v>
      </c>
      <c r="J3595" s="41">
        <f>+Tabla1[[#This Row],[FECHA ENTRADA]]</f>
        <v>45833</v>
      </c>
      <c r="K3595" s="41">
        <v>45847</v>
      </c>
      <c r="L3595" s="42">
        <f>_xlfn.DAYS(Tabla1[[#This Row],[FECHA FIN ]],Tabla1[[#This Row],[FECHA INICIO]])</f>
        <v>14</v>
      </c>
      <c r="M3595" s="12"/>
      <c r="N3595" s="12">
        <v>560</v>
      </c>
      <c r="O3595" s="28">
        <f>(Tabla1[[#This Row],[COSTO FIJO ]]/30)*Tabla1[[#This Row],[TOTAL DIAS PROYECTO]]+(Tabla1[[#This Row],[COSTO TEMPORAL]])</f>
        <v>261.33333333333337</v>
      </c>
      <c r="P3595" s="12"/>
      <c r="Q3595" s="12">
        <f>+(Tabla1[[#This Row],[COSTO COCHE]]/30)*Tabla1[[#This Row],[TOTAL DIAS PROYECTO]]</f>
        <v>0</v>
      </c>
      <c r="R3595" s="12">
        <f>+Tabla1[[#This Row],[COSTO TOTAL ALOJAMIENTO]]+Tabla1[[#This Row],[COSTO TOTAL COCHE]]</f>
        <v>261.33333333333337</v>
      </c>
      <c r="S3595" s="2"/>
      <c r="T3595" s="14" t="s">
        <v>44</v>
      </c>
      <c r="U3595" s="14">
        <v>45833</v>
      </c>
      <c r="V3595" s="43">
        <v>45847</v>
      </c>
      <c r="W3595" s="12"/>
      <c r="X3595" s="2"/>
      <c r="Y3595" s="11"/>
      <c r="Z3595" s="2" t="s">
        <v>36</v>
      </c>
      <c r="AA3595" s="13" t="s">
        <v>10370</v>
      </c>
      <c r="AB3595" s="13" t="s">
        <v>10371</v>
      </c>
    </row>
    <row r="3596" spans="1:28" ht="15" customHeight="1">
      <c r="A3596" s="2" t="s">
        <v>9906</v>
      </c>
      <c r="B3596" s="2" t="s">
        <v>978</v>
      </c>
      <c r="C3596" s="104" t="s">
        <v>5325</v>
      </c>
      <c r="D3596" s="2" t="s">
        <v>99</v>
      </c>
      <c r="E3596" s="2" t="s">
        <v>380</v>
      </c>
      <c r="F3596" s="11" t="s">
        <v>4645</v>
      </c>
      <c r="G3596" s="46" t="s">
        <v>4646</v>
      </c>
      <c r="H3596" s="2" t="s">
        <v>1799</v>
      </c>
      <c r="I3596" s="12" t="s">
        <v>5328</v>
      </c>
      <c r="J3596" s="41">
        <f>+Tabla1[[#This Row],[FECHA ENTRADA]]</f>
        <v>45847</v>
      </c>
      <c r="K3596" s="41">
        <v>45856</v>
      </c>
      <c r="L3596" s="42">
        <f>_xlfn.DAYS(Tabla1[[#This Row],[FECHA FIN ]],Tabla1[[#This Row],[FECHA INICIO]])</f>
        <v>9</v>
      </c>
      <c r="M3596" s="12"/>
      <c r="N3596" s="12">
        <f>495.99/3</f>
        <v>165.33</v>
      </c>
      <c r="O3596" s="28">
        <f>(Tabla1[[#This Row],[COSTO FIJO ]]/30)*Tabla1[[#This Row],[TOTAL DIAS PROYECTO]]+(Tabla1[[#This Row],[COSTO TEMPORAL]])</f>
        <v>49.599000000000004</v>
      </c>
      <c r="P3596" s="12"/>
      <c r="Q3596" s="12">
        <f>+(Tabla1[[#This Row],[COSTO COCHE]]/30)*Tabla1[[#This Row],[TOTAL DIAS PROYECTO]]</f>
        <v>0</v>
      </c>
      <c r="R3596" s="12">
        <f>+Tabla1[[#This Row],[COSTO TOTAL ALOJAMIENTO]]+Tabla1[[#This Row],[COSTO TOTAL COCHE]]</f>
        <v>49.599000000000004</v>
      </c>
      <c r="S3596" s="2"/>
      <c r="T3596" s="14" t="s">
        <v>44</v>
      </c>
      <c r="U3596" s="14">
        <v>45847</v>
      </c>
      <c r="V3596" s="43">
        <v>45856</v>
      </c>
      <c r="W3596" s="12"/>
      <c r="X3596" s="2"/>
      <c r="Y3596" s="11"/>
      <c r="Z3596" s="2" t="s">
        <v>36</v>
      </c>
      <c r="AA3596" s="13" t="s">
        <v>10370</v>
      </c>
      <c r="AB3596" s="13" t="s">
        <v>10371</v>
      </c>
    </row>
    <row r="3597" spans="1:28" ht="15" customHeight="1">
      <c r="A3597" s="2" t="s">
        <v>9771</v>
      </c>
      <c r="B3597" s="2" t="s">
        <v>606</v>
      </c>
      <c r="C3597" s="97" t="s">
        <v>4665</v>
      </c>
      <c r="D3597" s="2" t="s">
        <v>30</v>
      </c>
      <c r="E3597" s="2" t="s">
        <v>259</v>
      </c>
      <c r="F3597" s="11" t="s">
        <v>5261</v>
      </c>
      <c r="G3597" s="49" t="s">
        <v>4207</v>
      </c>
      <c r="H3597" s="2" t="s">
        <v>5311</v>
      </c>
      <c r="I3597" s="12" t="s">
        <v>57</v>
      </c>
      <c r="J3597" s="22">
        <f>+Tabla1[[#This Row],[FECHA ENTRADA]]</f>
        <v>46017</v>
      </c>
      <c r="K3597" s="22">
        <v>46238</v>
      </c>
      <c r="L3597" s="23">
        <f>_xlfn.DAYS(Tabla1[[#This Row],[FECHA FIN ]],Tabla1[[#This Row],[FECHA INICIO]])</f>
        <v>221</v>
      </c>
      <c r="M3597" s="12"/>
      <c r="N3597" s="20">
        <v>375</v>
      </c>
      <c r="O3597" s="24">
        <f>(Tabla1[[#This Row],[COSTO FIJO ]]/30)*Tabla1[[#This Row],[TOTAL DIAS PROYECTO]]+(Tabla1[[#This Row],[COSTO TEMPORAL]])</f>
        <v>2762.5</v>
      </c>
      <c r="P3597" s="12"/>
      <c r="Q3597" s="12">
        <f>+(Tabla1[[#This Row],[COSTO COCHE]]/30)*Tabla1[[#This Row],[TOTAL DIAS PROYECTO]]</f>
        <v>0</v>
      </c>
      <c r="R3597" s="12">
        <f>+Tabla1[[#This Row],[COSTO TOTAL ALOJAMIENTO]]+Tabla1[[#This Row],[COSTO TOTAL COCHE]]</f>
        <v>2762.5</v>
      </c>
      <c r="S3597" s="2"/>
      <c r="T3597" s="14" t="s">
        <v>35</v>
      </c>
      <c r="U3597" s="14">
        <v>46017</v>
      </c>
      <c r="V3597" s="79"/>
      <c r="W3597" s="12"/>
      <c r="X3597" s="2">
        <v>1</v>
      </c>
      <c r="Y3597" s="11" t="s">
        <v>5330</v>
      </c>
      <c r="Z3597" s="2" t="s">
        <v>36</v>
      </c>
      <c r="AA3597" s="13">
        <v>-0.87734000000000001</v>
      </c>
      <c r="AB3597" s="13" t="s">
        <v>10359</v>
      </c>
    </row>
    <row r="3598" spans="1:28" ht="15" customHeight="1">
      <c r="A3598" s="2" t="s">
        <v>9678</v>
      </c>
      <c r="B3598" s="2" t="s">
        <v>368</v>
      </c>
      <c r="C3598" s="97" t="s">
        <v>4189</v>
      </c>
      <c r="D3598" s="2" t="s">
        <v>30</v>
      </c>
      <c r="E3598" s="2" t="s">
        <v>415</v>
      </c>
      <c r="F3598" s="11" t="s">
        <v>5331</v>
      </c>
      <c r="G3598" s="21" t="s">
        <v>5332</v>
      </c>
      <c r="H3598" s="2" t="s">
        <v>5333</v>
      </c>
      <c r="I3598" s="10" t="s">
        <v>4165</v>
      </c>
      <c r="J3598" s="22">
        <f>+Tabla1[[#This Row],[FECHA ENTRADA]]</f>
        <v>45914</v>
      </c>
      <c r="K3598" s="22">
        <v>45928</v>
      </c>
      <c r="L3598" s="23">
        <f>_xlfn.DAYS(Tabla1[[#This Row],[FECHA FIN ]],Tabla1[[#This Row],[FECHA INICIO]])</f>
        <v>14</v>
      </c>
      <c r="M3598" s="12">
        <v>600</v>
      </c>
      <c r="N3598" s="20"/>
      <c r="O3598" s="24">
        <f>(Tabla1[[#This Row],[COSTO FIJO ]]/30)*Tabla1[[#This Row],[TOTAL DIAS PROYECTO]]+(Tabla1[[#This Row],[COSTO TEMPORAL]])</f>
        <v>600</v>
      </c>
      <c r="P3598" s="12"/>
      <c r="Q3598" s="12">
        <f>+(Tabla1[[#This Row],[COSTO COCHE]]/30)*Tabla1[[#This Row],[TOTAL DIAS PROYECTO]]</f>
        <v>0</v>
      </c>
      <c r="R3598" s="12">
        <f>+Tabla1[[#This Row],[COSTO TOTAL ALOJAMIENTO]]+Tabla1[[#This Row],[COSTO TOTAL COCHE]]</f>
        <v>600</v>
      </c>
      <c r="S3598" s="2"/>
      <c r="T3598" s="14" t="s">
        <v>44</v>
      </c>
      <c r="U3598" s="14">
        <v>45914</v>
      </c>
      <c r="V3598" s="79">
        <v>45944</v>
      </c>
      <c r="W3598" s="71"/>
      <c r="X3598" s="2"/>
      <c r="Y3598" s="11"/>
      <c r="Z3598" s="2" t="s">
        <v>36</v>
      </c>
      <c r="AA3598" s="13">
        <v>-0.37739</v>
      </c>
      <c r="AB3598" s="13" t="s">
        <v>10372</v>
      </c>
    </row>
    <row r="3599" spans="1:28">
      <c r="A3599" s="2" t="s">
        <v>8972</v>
      </c>
      <c r="B3599" s="184" t="s">
        <v>711</v>
      </c>
      <c r="C3599" s="97" t="s">
        <v>1555</v>
      </c>
      <c r="D3599" s="2" t="s">
        <v>99</v>
      </c>
      <c r="E3599" s="2" t="s">
        <v>790</v>
      </c>
      <c r="F3599" s="11" t="s">
        <v>4649</v>
      </c>
      <c r="G3599" s="251" t="s">
        <v>4317</v>
      </c>
      <c r="H3599" s="2" t="s">
        <v>4792</v>
      </c>
      <c r="I3599" s="12" t="s">
        <v>794</v>
      </c>
      <c r="J3599" s="22">
        <f>+Tabla1[[#This Row],[FECHA ENTRADA]]</f>
        <v>45881</v>
      </c>
      <c r="K3599" s="22">
        <v>46097</v>
      </c>
      <c r="L3599" s="23">
        <f>_xlfn.DAYS(Tabla1[[#This Row],[FECHA FIN ]],Tabla1[[#This Row],[FECHA INICIO]])</f>
        <v>216</v>
      </c>
      <c r="M3599" s="12"/>
      <c r="N3599" s="20">
        <v>250</v>
      </c>
      <c r="O3599" s="24">
        <f>(Tabla1[[#This Row],[COSTO FIJO ]]/30)*Tabla1[[#This Row],[TOTAL DIAS PROYECTO]]+(Tabla1[[#This Row],[COSTO TEMPORAL]])</f>
        <v>1800.0000000000002</v>
      </c>
      <c r="P3599" s="12"/>
      <c r="Q3599" s="12">
        <f>+(Tabla1[[#This Row],[COSTO COCHE]]/30)*Tabla1[[#This Row],[TOTAL DIAS PROYECTO]]</f>
        <v>0</v>
      </c>
      <c r="R3599" s="12">
        <f>+Tabla1[[#This Row],[COSTO TOTAL ALOJAMIENTO]]+Tabla1[[#This Row],[COSTO TOTAL COCHE]]</f>
        <v>1800.0000000000002</v>
      </c>
      <c r="S3599" s="2"/>
      <c r="T3599" s="14" t="s">
        <v>35</v>
      </c>
      <c r="U3599" s="14">
        <v>45881</v>
      </c>
      <c r="V3599" s="79"/>
      <c r="W3599" s="12">
        <v>750</v>
      </c>
      <c r="X3599" s="2">
        <v>1</v>
      </c>
      <c r="Y3599" s="11" t="s">
        <v>5334</v>
      </c>
      <c r="Z3599" s="2" t="s">
        <v>36</v>
      </c>
      <c r="AA3599" s="13">
        <v>-574377</v>
      </c>
      <c r="AB3599" s="13">
        <v>4150368</v>
      </c>
    </row>
    <row r="3600" spans="1:28">
      <c r="A3600" s="2" t="s">
        <v>9907</v>
      </c>
      <c r="B3600" s="2" t="s">
        <v>28</v>
      </c>
      <c r="C3600" s="104" t="s">
        <v>5335</v>
      </c>
      <c r="D3600" s="2" t="s">
        <v>30</v>
      </c>
      <c r="E3600" s="2" t="s">
        <v>31</v>
      </c>
      <c r="F3600" s="11" t="s">
        <v>32</v>
      </c>
      <c r="G3600" s="11" t="s">
        <v>33</v>
      </c>
      <c r="H3600" s="2" t="s">
        <v>4397</v>
      </c>
      <c r="I3600" s="12" t="s">
        <v>34</v>
      </c>
      <c r="J3600" s="41">
        <f>+Tabla1[[#This Row],[FECHA ENTRADA]]</f>
        <v>45794</v>
      </c>
      <c r="K3600" s="41">
        <v>45929</v>
      </c>
      <c r="L3600" s="42">
        <f>_xlfn.DAYS(Tabla1[[#This Row],[FECHA FIN ]],Tabla1[[#This Row],[FECHA INICIO]])</f>
        <v>135</v>
      </c>
      <c r="M3600" s="12"/>
      <c r="N3600" s="12"/>
      <c r="O3600" s="28">
        <f>(Tabla1[[#This Row],[COSTO FIJO ]]/30)*Tabla1[[#This Row],[TOTAL DIAS PROYECTO]]+(Tabla1[[#This Row],[COSTO TEMPORAL]])</f>
        <v>0</v>
      </c>
      <c r="P3600" s="12"/>
      <c r="Q3600" s="12">
        <f>+(Tabla1[[#This Row],[COSTO COCHE]]/30)*Tabla1[[#This Row],[TOTAL DIAS PROYECTO]]</f>
        <v>0</v>
      </c>
      <c r="R3600" s="12">
        <f>+Tabla1[[#This Row],[COSTO TOTAL ALOJAMIENTO]]+Tabla1[[#This Row],[COSTO TOTAL COCHE]]</f>
        <v>0</v>
      </c>
      <c r="S3600" s="2"/>
      <c r="T3600" s="2" t="s">
        <v>35</v>
      </c>
      <c r="U3600" s="14">
        <v>45794</v>
      </c>
      <c r="V3600" s="43"/>
      <c r="W3600" s="2"/>
      <c r="X3600" s="2">
        <v>1</v>
      </c>
      <c r="Y3600" s="11" t="s">
        <v>5336</v>
      </c>
      <c r="Z3600" s="2" t="s">
        <v>36</v>
      </c>
      <c r="AA3600" s="13" t="s">
        <v>10323</v>
      </c>
      <c r="AB3600" s="13" t="s">
        <v>10324</v>
      </c>
    </row>
    <row r="3601" spans="1:28">
      <c r="A3601" s="2" t="s">
        <v>9777</v>
      </c>
      <c r="B3601" s="10" t="s">
        <v>711</v>
      </c>
      <c r="C3601" s="104" t="s">
        <v>4687</v>
      </c>
      <c r="D3601" s="2" t="s">
        <v>99</v>
      </c>
      <c r="E3601" s="2" t="s">
        <v>31</v>
      </c>
      <c r="F3601" s="11" t="s">
        <v>32</v>
      </c>
      <c r="G3601" s="11" t="s">
        <v>33</v>
      </c>
      <c r="H3601" s="2" t="s">
        <v>5248</v>
      </c>
      <c r="I3601" s="12" t="s">
        <v>5249</v>
      </c>
      <c r="J3601" s="41">
        <f>+Tabla1[[#This Row],[FECHA ENTRADA]]</f>
        <v>45918</v>
      </c>
      <c r="K3601" s="22">
        <v>45929</v>
      </c>
      <c r="L3601" s="42">
        <f>_xlfn.DAYS(Tabla1[[#This Row],[FECHA FIN ]],Tabla1[[#This Row],[FECHA INICIO]])</f>
        <v>11</v>
      </c>
      <c r="M3601" s="12"/>
      <c r="N3601" s="12"/>
      <c r="O3601" s="28">
        <f>(Tabla1[[#This Row],[COSTO FIJO ]]/30)*Tabla1[[#This Row],[TOTAL DIAS PROYECTO]]+(Tabla1[[#This Row],[COSTO TEMPORAL]])</f>
        <v>0</v>
      </c>
      <c r="P3601" s="12"/>
      <c r="Q3601" s="12">
        <f>+(Tabla1[[#This Row],[COSTO COCHE]]/30)*Tabla1[[#This Row],[TOTAL DIAS PROYECTO]]</f>
        <v>0</v>
      </c>
      <c r="R3601" s="12">
        <f>+Tabla1[[#This Row],[COSTO TOTAL ALOJAMIENTO]]+Tabla1[[#This Row],[COSTO TOTAL COCHE]]</f>
        <v>0</v>
      </c>
      <c r="S3601" s="2"/>
      <c r="T3601" s="14" t="s">
        <v>35</v>
      </c>
      <c r="U3601" s="14">
        <v>45918</v>
      </c>
      <c r="V3601" s="43"/>
      <c r="W3601" s="71"/>
      <c r="X3601" s="2">
        <v>1</v>
      </c>
      <c r="Y3601" s="11"/>
      <c r="Z3601" s="2" t="s">
        <v>36</v>
      </c>
      <c r="AA3601" s="13" t="s">
        <v>10323</v>
      </c>
      <c r="AB3601" s="13" t="s">
        <v>10324</v>
      </c>
    </row>
    <row r="3602" spans="1:28" ht="15" customHeight="1">
      <c r="A3602" s="2" t="s">
        <v>9636</v>
      </c>
      <c r="B3602" s="2" t="s">
        <v>28</v>
      </c>
      <c r="C3602" s="104" t="s">
        <v>4018</v>
      </c>
      <c r="D3602" s="2" t="s">
        <v>30</v>
      </c>
      <c r="E3602" s="2" t="s">
        <v>31</v>
      </c>
      <c r="F3602" s="11" t="s">
        <v>3914</v>
      </c>
      <c r="G3602" t="s">
        <v>3915</v>
      </c>
      <c r="H3602" s="2" t="s">
        <v>4397</v>
      </c>
      <c r="I3602" s="12" t="s">
        <v>34</v>
      </c>
      <c r="J3602" s="41">
        <f>+Tabla1[[#This Row],[FECHA ENTRADA]]</f>
        <v>45914</v>
      </c>
      <c r="K3602" s="41">
        <v>45929</v>
      </c>
      <c r="L3602" s="42">
        <f>_xlfn.DAYS(Tabla1[[#This Row],[FECHA FIN ]],Tabla1[[#This Row],[FECHA INICIO]])</f>
        <v>15</v>
      </c>
      <c r="M3602" s="12"/>
      <c r="N3602" s="12"/>
      <c r="O3602" s="28">
        <f>(Tabla1[[#This Row],[COSTO FIJO ]]/30)*Tabla1[[#This Row],[TOTAL DIAS PROYECTO]]+(Tabla1[[#This Row],[COSTO TEMPORAL]])</f>
        <v>0</v>
      </c>
      <c r="P3602" s="12"/>
      <c r="Q3602" s="12">
        <f>+(Tabla1[[#This Row],[COSTO COCHE]]/30)*Tabla1[[#This Row],[TOTAL DIAS PROYECTO]]</f>
        <v>0</v>
      </c>
      <c r="R3602" s="12">
        <f>+Tabla1[[#This Row],[COSTO TOTAL ALOJAMIENTO]]+Tabla1[[#This Row],[COSTO TOTAL COCHE]]</f>
        <v>0</v>
      </c>
      <c r="S3602" s="2"/>
      <c r="T3602" s="14" t="s">
        <v>35</v>
      </c>
      <c r="U3602" s="14">
        <v>45914</v>
      </c>
      <c r="V3602" s="43"/>
      <c r="W3602" s="71"/>
      <c r="X3602" s="2">
        <v>1</v>
      </c>
      <c r="Y3602" s="11" t="s">
        <v>5336</v>
      </c>
      <c r="Z3602" s="2" t="s">
        <v>36</v>
      </c>
      <c r="AA3602" s="13" t="s">
        <v>10323</v>
      </c>
      <c r="AB3602" s="13" t="s">
        <v>10324</v>
      </c>
    </row>
    <row r="3603" spans="1:28" ht="15" customHeight="1">
      <c r="A3603" s="2" t="s">
        <v>9908</v>
      </c>
      <c r="B3603" s="2" t="s">
        <v>28</v>
      </c>
      <c r="C3603" s="97" t="s">
        <v>5337</v>
      </c>
      <c r="D3603" s="2" t="s">
        <v>30</v>
      </c>
      <c r="E3603" s="2" t="s">
        <v>31</v>
      </c>
      <c r="F3603" s="11" t="s">
        <v>32</v>
      </c>
      <c r="G3603" s="11" t="s">
        <v>33</v>
      </c>
      <c r="H3603" s="2" t="s">
        <v>5338</v>
      </c>
      <c r="I3603" s="12" t="s">
        <v>181</v>
      </c>
      <c r="J3603" s="22">
        <f>+Tabla1[[#This Row],[FECHA ENTRADA]]</f>
        <v>45928</v>
      </c>
      <c r="K3603" s="8">
        <v>45929</v>
      </c>
      <c r="L3603" s="23">
        <f>_xlfn.DAYS(Tabla1[[#This Row],[FECHA FIN ]],Tabla1[[#This Row],[FECHA INICIO]])</f>
        <v>1</v>
      </c>
      <c r="M3603" s="12"/>
      <c r="N3603" s="12">
        <f>875.5/5</f>
        <v>175.1</v>
      </c>
      <c r="O3603" s="24">
        <f>(Tabla1[[#This Row],[COSTO FIJO ]]/30)*Tabla1[[#This Row],[TOTAL DIAS PROYECTO]]+(Tabla1[[#This Row],[COSTO TEMPORAL]])</f>
        <v>5.8366666666666669</v>
      </c>
      <c r="P3603" s="12"/>
      <c r="Q3603" s="12">
        <f>+(Tabla1[[#This Row],[COSTO COCHE]]/30)*Tabla1[[#This Row],[TOTAL DIAS PROYECTO]]</f>
        <v>0</v>
      </c>
      <c r="R3603" s="12">
        <f>+Tabla1[[#This Row],[COSTO TOTAL ALOJAMIENTO]]+Tabla1[[#This Row],[COSTO TOTAL COCHE]]</f>
        <v>5.8366666666666669</v>
      </c>
      <c r="S3603" s="2"/>
      <c r="T3603" s="14" t="s">
        <v>35</v>
      </c>
      <c r="U3603" s="14">
        <v>45928</v>
      </c>
      <c r="V3603" s="25"/>
      <c r="W3603" s="71"/>
      <c r="X3603" s="2">
        <v>1</v>
      </c>
      <c r="Y3603" s="11" t="s">
        <v>5339</v>
      </c>
      <c r="Z3603" s="2" t="s">
        <v>36</v>
      </c>
      <c r="AA3603" s="13" t="s">
        <v>10323</v>
      </c>
      <c r="AB3603" s="13" t="s">
        <v>10324</v>
      </c>
    </row>
    <row r="3604" spans="1:28" ht="15" customHeight="1">
      <c r="A3604" s="2" t="s">
        <v>9787</v>
      </c>
      <c r="B3604" s="2" t="s">
        <v>978</v>
      </c>
      <c r="C3604" s="97" t="s">
        <v>4740</v>
      </c>
      <c r="D3604" s="2" t="s">
        <v>30</v>
      </c>
      <c r="E3604" s="2" t="s">
        <v>1393</v>
      </c>
      <c r="F3604" s="11" t="s">
        <v>5124</v>
      </c>
      <c r="G3604" s="46" t="s">
        <v>5125</v>
      </c>
      <c r="H3604" s="2" t="s">
        <v>5126</v>
      </c>
      <c r="I3604" s="12" t="s">
        <v>4255</v>
      </c>
      <c r="J3604" s="22">
        <f>+Tabla1[[#This Row],[FECHA ENTRADA]]</f>
        <v>45877</v>
      </c>
      <c r="K3604" s="41">
        <v>45929</v>
      </c>
      <c r="L3604" s="23">
        <f>_xlfn.DAYS(Tabla1[[#This Row],[FECHA FIN ]],Tabla1[[#This Row],[FECHA INICIO]])</f>
        <v>52</v>
      </c>
      <c r="M3604" s="12"/>
      <c r="N3604" s="20"/>
      <c r="O3604" s="24">
        <f>(Tabla1[[#This Row],[COSTO FIJO ]]/30)*Tabla1[[#This Row],[TOTAL DIAS PROYECTO]]+(Tabla1[[#This Row],[COSTO TEMPORAL]])</f>
        <v>0</v>
      </c>
      <c r="P3604" s="12"/>
      <c r="Q3604" s="12">
        <f>+(Tabla1[[#This Row],[COSTO COCHE]]/30)*Tabla1[[#This Row],[TOTAL DIAS PROYECTO]]</f>
        <v>0</v>
      </c>
      <c r="R3604" s="12">
        <f>+Tabla1[[#This Row],[COSTO TOTAL ALOJAMIENTO]]+Tabla1[[#This Row],[COSTO TOTAL COCHE]]</f>
        <v>0</v>
      </c>
      <c r="S3604" s="2"/>
      <c r="T3604" s="14" t="s">
        <v>44</v>
      </c>
      <c r="U3604" s="14">
        <v>45877</v>
      </c>
      <c r="V3604" s="25">
        <v>45937</v>
      </c>
      <c r="W3604" s="12"/>
      <c r="X3604" s="2"/>
      <c r="Y3604" s="67" t="s">
        <v>5340</v>
      </c>
      <c r="Z3604" s="2" t="s">
        <v>36</v>
      </c>
      <c r="AA3604" s="13" t="s">
        <v>10416</v>
      </c>
      <c r="AB3604" s="13" t="s">
        <v>10417</v>
      </c>
    </row>
    <row r="3605" spans="1:28" ht="15" customHeight="1">
      <c r="A3605" s="2" t="s">
        <v>9909</v>
      </c>
      <c r="B3605" s="2" t="s">
        <v>28</v>
      </c>
      <c r="C3605" s="104" t="s">
        <v>5341</v>
      </c>
      <c r="D3605" s="2" t="s">
        <v>30</v>
      </c>
      <c r="E3605" s="2" t="s">
        <v>790</v>
      </c>
      <c r="F3605" s="11" t="s">
        <v>4318</v>
      </c>
      <c r="G3605" t="s">
        <v>4319</v>
      </c>
      <c r="H3605" s="2" t="s">
        <v>4655</v>
      </c>
      <c r="I3605" s="10" t="s">
        <v>292</v>
      </c>
      <c r="J3605" s="41">
        <f>+Tabla1[[#This Row],[FECHA ENTRADA]]</f>
        <v>45872</v>
      </c>
      <c r="K3605" s="41">
        <v>45929</v>
      </c>
      <c r="L3605" s="42">
        <f>_xlfn.DAYS(Tabla1[[#This Row],[FECHA FIN ]],Tabla1[[#This Row],[FECHA INICIO]])</f>
        <v>57</v>
      </c>
      <c r="M3605" s="12"/>
      <c r="N3605" s="12"/>
      <c r="O3605" s="28">
        <f>(Tabla1[[#This Row],[COSTO FIJO ]]/30)*Tabla1[[#This Row],[TOTAL DIAS PROYECTO]]+(Tabla1[[#This Row],[COSTO TEMPORAL]])</f>
        <v>0</v>
      </c>
      <c r="P3605" s="12"/>
      <c r="Q3605" s="12">
        <f>+(Tabla1[[#This Row],[COSTO COCHE]]/30)*Tabla1[[#This Row],[TOTAL DIAS PROYECTO]]</f>
        <v>0</v>
      </c>
      <c r="R3605" s="12">
        <f>+Tabla1[[#This Row],[COSTO TOTAL ALOJAMIENTO]]+Tabla1[[#This Row],[COSTO TOTAL COCHE]]</f>
        <v>0</v>
      </c>
      <c r="S3605" s="2"/>
      <c r="T3605" s="14" t="s">
        <v>35</v>
      </c>
      <c r="U3605" s="14">
        <v>45872</v>
      </c>
      <c r="V3605" s="43"/>
      <c r="W3605" s="12"/>
      <c r="X3605" s="2">
        <v>5</v>
      </c>
      <c r="Y3605" s="257" t="s">
        <v>5342</v>
      </c>
      <c r="Z3605" s="2" t="s">
        <v>36</v>
      </c>
      <c r="AA3605" s="13">
        <v>-574377</v>
      </c>
      <c r="AB3605" s="13">
        <v>4150368</v>
      </c>
    </row>
    <row r="3606" spans="1:28" ht="15.75" customHeight="1">
      <c r="A3606" s="2" t="s">
        <v>9556</v>
      </c>
      <c r="B3606" s="2" t="s">
        <v>28</v>
      </c>
      <c r="C3606" s="104" t="s">
        <v>3607</v>
      </c>
      <c r="D3606" s="2" t="s">
        <v>749</v>
      </c>
      <c r="E3606" s="2" t="s">
        <v>288</v>
      </c>
      <c r="F3606" s="11" t="s">
        <v>5343</v>
      </c>
      <c r="G3606" s="21" t="s">
        <v>5344</v>
      </c>
      <c r="H3606" s="2" t="s">
        <v>4753</v>
      </c>
      <c r="I3606" s="12" t="s">
        <v>753</v>
      </c>
      <c r="J3606" s="41">
        <f>+Tabla1[[#This Row],[FECHA ENTRADA]]</f>
        <v>45889</v>
      </c>
      <c r="K3606" s="41">
        <v>45893</v>
      </c>
      <c r="L3606" s="42">
        <f>_xlfn.DAYS(Tabla1[[#This Row],[FECHA FIN ]],Tabla1[[#This Row],[FECHA INICIO]])</f>
        <v>4</v>
      </c>
      <c r="M3606" s="12"/>
      <c r="N3606" s="12">
        <f t="shared" ref="N3606:N3611" si="3">399.83/6</f>
        <v>66.638333333333335</v>
      </c>
      <c r="O3606" s="28">
        <f>(Tabla1[[#This Row],[COSTO FIJO ]]/30)*Tabla1[[#This Row],[TOTAL DIAS PROYECTO]]+(Tabla1[[#This Row],[COSTO TEMPORAL]])</f>
        <v>8.8851111111111116</v>
      </c>
      <c r="P3606" s="12"/>
      <c r="Q3606" s="12">
        <f>+(Tabla1[[#This Row],[COSTO COCHE]]/30)*Tabla1[[#This Row],[TOTAL DIAS PROYECTO]]</f>
        <v>0</v>
      </c>
      <c r="R3606" s="12">
        <f>+Tabla1[[#This Row],[COSTO TOTAL ALOJAMIENTO]]+Tabla1[[#This Row],[COSTO TOTAL COCHE]]</f>
        <v>8.8851111111111116</v>
      </c>
      <c r="S3606" s="2"/>
      <c r="T3606" s="14" t="s">
        <v>44</v>
      </c>
      <c r="U3606" s="14">
        <v>45889</v>
      </c>
      <c r="V3606" s="43">
        <v>45893</v>
      </c>
      <c r="W3606" s="12"/>
      <c r="X3606" s="2"/>
      <c r="Y3606" s="11"/>
      <c r="Z3606" s="2" t="s">
        <v>36</v>
      </c>
      <c r="AA3606" s="13" t="s">
        <v>10362</v>
      </c>
      <c r="AB3606" s="13" t="s">
        <v>10363</v>
      </c>
    </row>
    <row r="3607" spans="1:28" ht="15" customHeight="1">
      <c r="A3607" s="2" t="s">
        <v>9246</v>
      </c>
      <c r="B3607" s="2" t="s">
        <v>28</v>
      </c>
      <c r="C3607" s="104" t="s">
        <v>2578</v>
      </c>
      <c r="D3607" s="2" t="s">
        <v>749</v>
      </c>
      <c r="E3607" s="2" t="s">
        <v>288</v>
      </c>
      <c r="F3607" s="11" t="s">
        <v>5343</v>
      </c>
      <c r="G3607" s="21" t="s">
        <v>5344</v>
      </c>
      <c r="H3607" s="2" t="s">
        <v>4753</v>
      </c>
      <c r="I3607" s="12" t="s">
        <v>753</v>
      </c>
      <c r="J3607" s="41">
        <f>+Tabla1[[#This Row],[FECHA ENTRADA]]</f>
        <v>45889</v>
      </c>
      <c r="K3607" s="41">
        <v>45893</v>
      </c>
      <c r="L3607" s="42">
        <f>_xlfn.DAYS(Tabla1[[#This Row],[FECHA FIN ]],Tabla1[[#This Row],[FECHA INICIO]])</f>
        <v>4</v>
      </c>
      <c r="M3607" s="12"/>
      <c r="N3607" s="12">
        <f t="shared" si="3"/>
        <v>66.638333333333335</v>
      </c>
      <c r="O3607" s="28">
        <f>(Tabla1[[#This Row],[COSTO FIJO ]]/30)*Tabla1[[#This Row],[TOTAL DIAS PROYECTO]]+(Tabla1[[#This Row],[COSTO TEMPORAL]])</f>
        <v>8.8851111111111116</v>
      </c>
      <c r="P3607" s="12"/>
      <c r="Q3607" s="12">
        <f>+(Tabla1[[#This Row],[COSTO COCHE]]/30)*Tabla1[[#This Row],[TOTAL DIAS PROYECTO]]</f>
        <v>0</v>
      </c>
      <c r="R3607" s="12">
        <f>+Tabla1[[#This Row],[COSTO TOTAL ALOJAMIENTO]]+Tabla1[[#This Row],[COSTO TOTAL COCHE]]</f>
        <v>8.8851111111111116</v>
      </c>
      <c r="S3607" s="2"/>
      <c r="T3607" s="14" t="s">
        <v>44</v>
      </c>
      <c r="U3607" s="14">
        <v>45889</v>
      </c>
      <c r="V3607" s="43">
        <v>45893</v>
      </c>
      <c r="W3607" s="12"/>
      <c r="X3607" s="2"/>
      <c r="Y3607" s="11"/>
      <c r="Z3607" s="2" t="s">
        <v>36</v>
      </c>
      <c r="AA3607" s="13" t="s">
        <v>10362</v>
      </c>
      <c r="AB3607" s="13" t="s">
        <v>10363</v>
      </c>
    </row>
    <row r="3608" spans="1:28" ht="15" customHeight="1">
      <c r="A3608" s="2" t="s">
        <v>9813</v>
      </c>
      <c r="B3608" s="2" t="s">
        <v>28</v>
      </c>
      <c r="C3608" s="104" t="s">
        <v>4872</v>
      </c>
      <c r="D3608" s="2" t="s">
        <v>749</v>
      </c>
      <c r="E3608" s="2" t="s">
        <v>288</v>
      </c>
      <c r="F3608" s="11" t="s">
        <v>5343</v>
      </c>
      <c r="G3608" s="21" t="s">
        <v>5344</v>
      </c>
      <c r="H3608" s="2" t="s">
        <v>4753</v>
      </c>
      <c r="I3608" s="10" t="s">
        <v>753</v>
      </c>
      <c r="J3608" s="41">
        <f>+Tabla1[[#This Row],[FECHA ENTRADA]]</f>
        <v>45889</v>
      </c>
      <c r="K3608" s="41">
        <v>45893</v>
      </c>
      <c r="L3608" s="42">
        <f>_xlfn.DAYS(Tabla1[[#This Row],[FECHA FIN ]],Tabla1[[#This Row],[FECHA INICIO]])</f>
        <v>4</v>
      </c>
      <c r="M3608" s="12"/>
      <c r="N3608" s="12">
        <f t="shared" si="3"/>
        <v>66.638333333333335</v>
      </c>
      <c r="O3608" s="28">
        <f>(Tabla1[[#This Row],[COSTO FIJO ]]/30)*Tabla1[[#This Row],[TOTAL DIAS PROYECTO]]+(Tabla1[[#This Row],[COSTO TEMPORAL]])</f>
        <v>8.8851111111111116</v>
      </c>
      <c r="P3608" s="12"/>
      <c r="Q3608" s="12">
        <f>+(Tabla1[[#This Row],[COSTO COCHE]]/30)*Tabla1[[#This Row],[TOTAL DIAS PROYECTO]]</f>
        <v>0</v>
      </c>
      <c r="R3608" s="12">
        <f>+Tabla1[[#This Row],[COSTO TOTAL ALOJAMIENTO]]+Tabla1[[#This Row],[COSTO TOTAL COCHE]]</f>
        <v>8.8851111111111116</v>
      </c>
      <c r="S3608" s="2"/>
      <c r="T3608" s="14" t="s">
        <v>44</v>
      </c>
      <c r="U3608" s="14">
        <v>45889</v>
      </c>
      <c r="V3608" s="43">
        <v>45893</v>
      </c>
      <c r="W3608" s="12"/>
      <c r="X3608" s="2"/>
      <c r="Y3608" s="11"/>
      <c r="Z3608" s="2" t="s">
        <v>36</v>
      </c>
      <c r="AA3608" s="13" t="s">
        <v>10362</v>
      </c>
      <c r="AB3608" s="13" t="s">
        <v>10363</v>
      </c>
    </row>
    <row r="3609" spans="1:28" ht="15" customHeight="1">
      <c r="A3609" s="2" t="s">
        <v>9232</v>
      </c>
      <c r="B3609" s="2" t="s">
        <v>28</v>
      </c>
      <c r="C3609" s="104" t="s">
        <v>2523</v>
      </c>
      <c r="D3609" s="2" t="s">
        <v>749</v>
      </c>
      <c r="E3609" s="2" t="s">
        <v>288</v>
      </c>
      <c r="F3609" s="11" t="s">
        <v>5343</v>
      </c>
      <c r="G3609" s="21" t="s">
        <v>5344</v>
      </c>
      <c r="H3609" s="2" t="s">
        <v>4753</v>
      </c>
      <c r="I3609" s="10" t="s">
        <v>753</v>
      </c>
      <c r="J3609" s="41">
        <f>+Tabla1[[#This Row],[FECHA ENTRADA]]</f>
        <v>45889</v>
      </c>
      <c r="K3609" s="41">
        <v>45893</v>
      </c>
      <c r="L3609" s="42">
        <f>_xlfn.DAYS(Tabla1[[#This Row],[FECHA FIN ]],Tabla1[[#This Row],[FECHA INICIO]])</f>
        <v>4</v>
      </c>
      <c r="M3609" s="12"/>
      <c r="N3609" s="12">
        <f t="shared" si="3"/>
        <v>66.638333333333335</v>
      </c>
      <c r="O3609" s="28">
        <f>(Tabla1[[#This Row],[COSTO FIJO ]]/30)*Tabla1[[#This Row],[TOTAL DIAS PROYECTO]]+(Tabla1[[#This Row],[COSTO TEMPORAL]])</f>
        <v>8.8851111111111116</v>
      </c>
      <c r="P3609" s="12"/>
      <c r="Q3609" s="12">
        <f>+(Tabla1[[#This Row],[COSTO COCHE]]/30)*Tabla1[[#This Row],[TOTAL DIAS PROYECTO]]</f>
        <v>0</v>
      </c>
      <c r="R3609" s="12">
        <f>+Tabla1[[#This Row],[COSTO TOTAL ALOJAMIENTO]]+Tabla1[[#This Row],[COSTO TOTAL COCHE]]</f>
        <v>8.8851111111111116</v>
      </c>
      <c r="S3609" s="2"/>
      <c r="T3609" s="14" t="s">
        <v>44</v>
      </c>
      <c r="U3609" s="14">
        <v>45889</v>
      </c>
      <c r="V3609" s="43">
        <v>45893</v>
      </c>
      <c r="W3609" s="12"/>
      <c r="X3609" s="2"/>
      <c r="Y3609" s="11"/>
      <c r="Z3609" s="2" t="s">
        <v>36</v>
      </c>
      <c r="AA3609" s="13" t="s">
        <v>10362</v>
      </c>
      <c r="AB3609" s="13" t="s">
        <v>10363</v>
      </c>
    </row>
    <row r="3610" spans="1:28" ht="15" customHeight="1">
      <c r="A3610" s="2" t="s">
        <v>9520</v>
      </c>
      <c r="B3610" s="2" t="s">
        <v>28</v>
      </c>
      <c r="C3610" s="104" t="s">
        <v>3519</v>
      </c>
      <c r="D3610" s="2" t="s">
        <v>749</v>
      </c>
      <c r="E3610" s="2" t="s">
        <v>288</v>
      </c>
      <c r="F3610" s="11" t="s">
        <v>5343</v>
      </c>
      <c r="G3610" s="21" t="s">
        <v>5344</v>
      </c>
      <c r="H3610" s="2" t="s">
        <v>4753</v>
      </c>
      <c r="I3610" s="10" t="s">
        <v>753</v>
      </c>
      <c r="J3610" s="41">
        <f>+Tabla1[[#This Row],[FECHA ENTRADA]]</f>
        <v>45889</v>
      </c>
      <c r="K3610" s="41">
        <v>45893</v>
      </c>
      <c r="L3610" s="42">
        <f>_xlfn.DAYS(Tabla1[[#This Row],[FECHA FIN ]],Tabla1[[#This Row],[FECHA INICIO]])</f>
        <v>4</v>
      </c>
      <c r="M3610" s="12"/>
      <c r="N3610" s="12">
        <f t="shared" si="3"/>
        <v>66.638333333333335</v>
      </c>
      <c r="O3610" s="28">
        <f>(Tabla1[[#This Row],[COSTO FIJO ]]/30)*Tabla1[[#This Row],[TOTAL DIAS PROYECTO]]+(Tabla1[[#This Row],[COSTO TEMPORAL]])</f>
        <v>8.8851111111111116</v>
      </c>
      <c r="P3610" s="12"/>
      <c r="Q3610" s="12">
        <f>+(Tabla1[[#This Row],[COSTO COCHE]]/30)*Tabla1[[#This Row],[TOTAL DIAS PROYECTO]]</f>
        <v>0</v>
      </c>
      <c r="R3610" s="12">
        <f>+Tabla1[[#This Row],[COSTO TOTAL ALOJAMIENTO]]+Tabla1[[#This Row],[COSTO TOTAL COCHE]]</f>
        <v>8.8851111111111116</v>
      </c>
      <c r="S3610" s="2"/>
      <c r="T3610" s="14" t="s">
        <v>44</v>
      </c>
      <c r="U3610" s="14">
        <v>45889</v>
      </c>
      <c r="V3610" s="43">
        <v>45893</v>
      </c>
      <c r="W3610" s="12"/>
      <c r="X3610" s="2"/>
      <c r="Y3610" s="11"/>
      <c r="Z3610" s="2" t="s">
        <v>36</v>
      </c>
      <c r="AA3610" s="13" t="s">
        <v>10362</v>
      </c>
      <c r="AB3610" s="13" t="s">
        <v>10363</v>
      </c>
    </row>
    <row r="3611" spans="1:28" ht="15" customHeight="1">
      <c r="A3611" s="2" t="s">
        <v>9827</v>
      </c>
      <c r="B3611" s="2" t="s">
        <v>28</v>
      </c>
      <c r="C3611" s="104" t="s">
        <v>4929</v>
      </c>
      <c r="D3611" s="2" t="s">
        <v>749</v>
      </c>
      <c r="E3611" s="2" t="s">
        <v>288</v>
      </c>
      <c r="F3611" s="11" t="s">
        <v>5343</v>
      </c>
      <c r="G3611" s="21" t="s">
        <v>5344</v>
      </c>
      <c r="H3611" s="2" t="s">
        <v>4930</v>
      </c>
      <c r="I3611" s="10" t="s">
        <v>753</v>
      </c>
      <c r="J3611" s="41">
        <f>+Tabla1[[#This Row],[FECHA ENTRADA]]</f>
        <v>45889</v>
      </c>
      <c r="K3611" s="41">
        <v>45893</v>
      </c>
      <c r="L3611" s="42">
        <f>_xlfn.DAYS(Tabla1[[#This Row],[FECHA FIN ]],Tabla1[[#This Row],[FECHA INICIO]])</f>
        <v>4</v>
      </c>
      <c r="M3611" s="12"/>
      <c r="N3611" s="12">
        <f t="shared" si="3"/>
        <v>66.638333333333335</v>
      </c>
      <c r="O3611" s="28">
        <f>(Tabla1[[#This Row],[COSTO FIJO ]]/30)*Tabla1[[#This Row],[TOTAL DIAS PROYECTO]]+(Tabla1[[#This Row],[COSTO TEMPORAL]])</f>
        <v>8.8851111111111116</v>
      </c>
      <c r="P3611" s="12"/>
      <c r="Q3611" s="12">
        <f>+(Tabla1[[#This Row],[COSTO COCHE]]/30)*Tabla1[[#This Row],[TOTAL DIAS PROYECTO]]</f>
        <v>0</v>
      </c>
      <c r="R3611" s="12">
        <f>+Tabla1[[#This Row],[COSTO TOTAL ALOJAMIENTO]]+Tabla1[[#This Row],[COSTO TOTAL COCHE]]</f>
        <v>8.8851111111111116</v>
      </c>
      <c r="S3611" s="2"/>
      <c r="T3611" s="14" t="s">
        <v>44</v>
      </c>
      <c r="U3611" s="14">
        <v>45889</v>
      </c>
      <c r="V3611" s="43">
        <v>45893</v>
      </c>
      <c r="W3611" s="12"/>
      <c r="X3611" s="2"/>
      <c r="Y3611" s="11"/>
      <c r="Z3611" s="2" t="s">
        <v>36</v>
      </c>
      <c r="AA3611" s="13" t="s">
        <v>10362</v>
      </c>
      <c r="AB3611" s="13" t="s">
        <v>10363</v>
      </c>
    </row>
    <row r="3612" spans="1:28" ht="15" customHeight="1">
      <c r="A3612" s="2" t="s">
        <v>9232</v>
      </c>
      <c r="B3612" s="2" t="s">
        <v>28</v>
      </c>
      <c r="C3612" s="97" t="s">
        <v>2523</v>
      </c>
      <c r="D3612" s="2" t="s">
        <v>749</v>
      </c>
      <c r="E3612" s="2" t="s">
        <v>288</v>
      </c>
      <c r="F3612" s="11" t="s">
        <v>4751</v>
      </c>
      <c r="G3612" s="21" t="s">
        <v>4752</v>
      </c>
      <c r="H3612" s="2" t="s">
        <v>4753</v>
      </c>
      <c r="I3612" s="10" t="s">
        <v>753</v>
      </c>
      <c r="J3612" s="41">
        <f>+Tabla1[[#This Row],[FECHA ENTRADA]]</f>
        <v>45893</v>
      </c>
      <c r="K3612" s="41">
        <v>45927</v>
      </c>
      <c r="L3612" s="42">
        <f>_xlfn.DAYS(Tabla1[[#This Row],[FECHA FIN ]],Tabla1[[#This Row],[FECHA INICIO]])</f>
        <v>34</v>
      </c>
      <c r="M3612" s="12"/>
      <c r="N3612" s="28"/>
      <c r="O3612" s="28">
        <f>(Tabla1[[#This Row],[COSTO FIJO ]]/30)*Tabla1[[#This Row],[TOTAL DIAS PROYECTO]]+(Tabla1[[#This Row],[COSTO TEMPORAL]])</f>
        <v>0</v>
      </c>
      <c r="P3612" s="12"/>
      <c r="Q3612" s="12">
        <f>+(Tabla1[[#This Row],[COSTO COCHE]]/30)*Tabla1[[#This Row],[TOTAL DIAS PROYECTO]]</f>
        <v>0</v>
      </c>
      <c r="R3612" s="12">
        <f>+Tabla1[[#This Row],[COSTO TOTAL ALOJAMIENTO]]+Tabla1[[#This Row],[COSTO TOTAL COCHE]]</f>
        <v>0</v>
      </c>
      <c r="S3612" s="2"/>
      <c r="T3612" s="14" t="s">
        <v>44</v>
      </c>
      <c r="U3612" s="14">
        <v>45893</v>
      </c>
      <c r="V3612" s="25">
        <v>45931</v>
      </c>
      <c r="W3612" s="12"/>
      <c r="X3612" s="2"/>
      <c r="Y3612" s="11" t="s">
        <v>5345</v>
      </c>
      <c r="Z3612" s="2" t="s">
        <v>36</v>
      </c>
      <c r="AA3612" s="13" t="s">
        <v>10362</v>
      </c>
      <c r="AB3612" s="13" t="s">
        <v>10363</v>
      </c>
    </row>
    <row r="3613" spans="1:28" ht="15" customHeight="1">
      <c r="A3613" s="2" t="s">
        <v>9556</v>
      </c>
      <c r="B3613" s="2" t="s">
        <v>28</v>
      </c>
      <c r="C3613" s="104" t="s">
        <v>3607</v>
      </c>
      <c r="D3613" s="2" t="s">
        <v>749</v>
      </c>
      <c r="E3613" s="2" t="s">
        <v>288</v>
      </c>
      <c r="F3613" s="11" t="s">
        <v>4751</v>
      </c>
      <c r="G3613" s="21" t="s">
        <v>4752</v>
      </c>
      <c r="H3613" s="2" t="s">
        <v>4753</v>
      </c>
      <c r="I3613" s="12" t="s">
        <v>753</v>
      </c>
      <c r="J3613" s="41">
        <f>+Tabla1[[#This Row],[FECHA ENTRADA]]</f>
        <v>45893</v>
      </c>
      <c r="K3613" s="41">
        <v>45930</v>
      </c>
      <c r="L3613" s="42">
        <f>_xlfn.DAYS(Tabla1[[#This Row],[FECHA FIN ]],Tabla1[[#This Row],[FECHA INICIO]])</f>
        <v>37</v>
      </c>
      <c r="M3613" s="12"/>
      <c r="N3613" s="28"/>
      <c r="O3613" s="28">
        <f>(Tabla1[[#This Row],[COSTO FIJO ]]/30)*Tabla1[[#This Row],[TOTAL DIAS PROYECTO]]+(Tabla1[[#This Row],[COSTO TEMPORAL]])</f>
        <v>0</v>
      </c>
      <c r="P3613" s="12"/>
      <c r="Q3613" s="12">
        <f>+(Tabla1[[#This Row],[COSTO COCHE]]/30)*Tabla1[[#This Row],[TOTAL DIAS PROYECTO]]</f>
        <v>0</v>
      </c>
      <c r="R3613" s="12">
        <f>+Tabla1[[#This Row],[COSTO TOTAL ALOJAMIENTO]]+Tabla1[[#This Row],[COSTO TOTAL COCHE]]</f>
        <v>0</v>
      </c>
      <c r="S3613" s="2"/>
      <c r="T3613" s="14" t="s">
        <v>44</v>
      </c>
      <c r="U3613" s="14">
        <v>45893</v>
      </c>
      <c r="V3613" s="25">
        <v>45931</v>
      </c>
      <c r="W3613" s="12"/>
      <c r="X3613" s="2"/>
      <c r="Y3613" s="11" t="s">
        <v>4874</v>
      </c>
      <c r="Z3613" s="2" t="s">
        <v>36</v>
      </c>
      <c r="AA3613" s="13" t="s">
        <v>10362</v>
      </c>
      <c r="AB3613" s="13" t="s">
        <v>10363</v>
      </c>
    </row>
    <row r="3614" spans="1:28" ht="15" customHeight="1">
      <c r="A3614" s="2" t="s">
        <v>8888</v>
      </c>
      <c r="B3614" s="2" t="s">
        <v>368</v>
      </c>
      <c r="C3614" s="97" t="s">
        <v>1170</v>
      </c>
      <c r="D3614" s="2" t="s">
        <v>30</v>
      </c>
      <c r="E3614" s="2" t="s">
        <v>415</v>
      </c>
      <c r="F3614" s="11" t="s">
        <v>5346</v>
      </c>
      <c r="G3614" s="146" t="s">
        <v>5347</v>
      </c>
      <c r="H3614" s="157" t="s">
        <v>5348</v>
      </c>
      <c r="I3614" s="158" t="s">
        <v>1392</v>
      </c>
      <c r="J3614" s="22">
        <f>+Tabla1[[#This Row],[FECHA ENTRADA]]</f>
        <v>45921</v>
      </c>
      <c r="K3614" s="22">
        <v>45929</v>
      </c>
      <c r="L3614" s="23">
        <f>_xlfn.DAYS(Tabla1[[#This Row],[FECHA FIN ]],Tabla1[[#This Row],[FECHA INICIO]])</f>
        <v>8</v>
      </c>
      <c r="M3614" s="12"/>
      <c r="N3614" s="12">
        <f>584.77/3</f>
        <v>194.92333333333332</v>
      </c>
      <c r="O3614" s="24">
        <f>(Tabla1[[#This Row],[COSTO FIJO ]]/30)*Tabla1[[#This Row],[TOTAL DIAS PROYECTO]]+(Tabla1[[#This Row],[COSTO TEMPORAL]])</f>
        <v>51.97955555555555</v>
      </c>
      <c r="P3614" s="12"/>
      <c r="Q3614" s="12">
        <f>+(Tabla1[[#This Row],[COSTO COCHE]]/30)*Tabla1[[#This Row],[TOTAL DIAS PROYECTO]]</f>
        <v>0</v>
      </c>
      <c r="R3614" s="12">
        <f>+Tabla1[[#This Row],[COSTO TOTAL ALOJAMIENTO]]+Tabla1[[#This Row],[COSTO TOTAL COCHE]]</f>
        <v>51.97955555555555</v>
      </c>
      <c r="S3614" s="2" t="s">
        <v>5349</v>
      </c>
      <c r="T3614" s="14" t="s">
        <v>44</v>
      </c>
      <c r="U3614" s="14">
        <v>45921</v>
      </c>
      <c r="V3614" s="79">
        <v>45929</v>
      </c>
      <c r="W3614" s="71">
        <v>100</v>
      </c>
      <c r="X3614" s="2"/>
      <c r="Y3614" s="11" t="s">
        <v>5350</v>
      </c>
      <c r="Z3614" s="2" t="s">
        <v>36</v>
      </c>
      <c r="AA3614" s="13">
        <v>-0.37739</v>
      </c>
      <c r="AB3614" s="13" t="s">
        <v>10372</v>
      </c>
    </row>
    <row r="3615" spans="1:28" ht="15" customHeight="1">
      <c r="A3615" s="2" t="s">
        <v>9097</v>
      </c>
      <c r="B3615" s="2" t="s">
        <v>368</v>
      </c>
      <c r="C3615" s="97" t="s">
        <v>2017</v>
      </c>
      <c r="D3615" s="2" t="s">
        <v>30</v>
      </c>
      <c r="E3615" s="2" t="s">
        <v>415</v>
      </c>
      <c r="F3615" s="11" t="s">
        <v>5346</v>
      </c>
      <c r="G3615" s="146" t="s">
        <v>5347</v>
      </c>
      <c r="H3615" s="2" t="s">
        <v>5348</v>
      </c>
      <c r="I3615" s="12" t="s">
        <v>1392</v>
      </c>
      <c r="J3615" s="22">
        <f>+Tabla1[[#This Row],[FECHA ENTRADA]]</f>
        <v>45921</v>
      </c>
      <c r="K3615" s="22">
        <v>45929</v>
      </c>
      <c r="L3615" s="23">
        <f>_xlfn.DAYS(Tabla1[[#This Row],[FECHA FIN ]],Tabla1[[#This Row],[FECHA INICIO]])</f>
        <v>8</v>
      </c>
      <c r="M3615" s="12"/>
      <c r="N3615" s="12">
        <f>584.77/3</f>
        <v>194.92333333333332</v>
      </c>
      <c r="O3615" s="24">
        <f>(Tabla1[[#This Row],[COSTO FIJO ]]/30)*Tabla1[[#This Row],[TOTAL DIAS PROYECTO]]+(Tabla1[[#This Row],[COSTO TEMPORAL]])</f>
        <v>51.97955555555555</v>
      </c>
      <c r="P3615" s="12"/>
      <c r="Q3615" s="12">
        <f>+(Tabla1[[#This Row],[COSTO COCHE]]/30)*Tabla1[[#This Row],[TOTAL DIAS PROYECTO]]</f>
        <v>0</v>
      </c>
      <c r="R3615" s="12">
        <f>+Tabla1[[#This Row],[COSTO TOTAL ALOJAMIENTO]]+Tabla1[[#This Row],[COSTO TOTAL COCHE]]</f>
        <v>51.97955555555555</v>
      </c>
      <c r="S3615" s="2" t="s">
        <v>5349</v>
      </c>
      <c r="T3615" s="14" t="s">
        <v>44</v>
      </c>
      <c r="U3615" s="14">
        <v>45921</v>
      </c>
      <c r="V3615" s="79">
        <v>45929</v>
      </c>
      <c r="W3615" s="71"/>
      <c r="X3615" s="2"/>
      <c r="Y3615" s="11" t="s">
        <v>5350</v>
      </c>
      <c r="Z3615" s="2" t="s">
        <v>36</v>
      </c>
      <c r="AA3615" s="13">
        <v>-0.37739</v>
      </c>
      <c r="AB3615" s="13" t="s">
        <v>10372</v>
      </c>
    </row>
    <row r="3616" spans="1:28" ht="15" customHeight="1">
      <c r="A3616" s="2" t="s">
        <v>8730</v>
      </c>
      <c r="B3616" s="2" t="s">
        <v>368</v>
      </c>
      <c r="C3616" s="97" t="s">
        <v>472</v>
      </c>
      <c r="D3616" s="2" t="s">
        <v>30</v>
      </c>
      <c r="E3616" s="2" t="s">
        <v>415</v>
      </c>
      <c r="F3616" s="11" t="s">
        <v>5346</v>
      </c>
      <c r="G3616" s="146" t="s">
        <v>5347</v>
      </c>
      <c r="H3616" s="2" t="s">
        <v>5348</v>
      </c>
      <c r="I3616" s="12" t="s">
        <v>1392</v>
      </c>
      <c r="J3616" s="22">
        <f>+Tabla1[[#This Row],[FECHA ENTRADA]]</f>
        <v>45921</v>
      </c>
      <c r="K3616" s="22">
        <v>45929</v>
      </c>
      <c r="L3616" s="23">
        <f>_xlfn.DAYS(Tabla1[[#This Row],[FECHA FIN ]],Tabla1[[#This Row],[FECHA INICIO]])</f>
        <v>8</v>
      </c>
      <c r="M3616" s="12"/>
      <c r="N3616" s="12">
        <f>584.77/3</f>
        <v>194.92333333333332</v>
      </c>
      <c r="O3616" s="24">
        <f>(Tabla1[[#This Row],[COSTO FIJO ]]/30)*Tabla1[[#This Row],[TOTAL DIAS PROYECTO]]+(Tabla1[[#This Row],[COSTO TEMPORAL]])</f>
        <v>51.97955555555555</v>
      </c>
      <c r="P3616" s="12"/>
      <c r="Q3616" s="12">
        <f>+(Tabla1[[#This Row],[COSTO COCHE]]/30)*Tabla1[[#This Row],[TOTAL DIAS PROYECTO]]</f>
        <v>0</v>
      </c>
      <c r="R3616" s="12">
        <f>+Tabla1[[#This Row],[COSTO TOTAL ALOJAMIENTO]]+Tabla1[[#This Row],[COSTO TOTAL COCHE]]</f>
        <v>51.97955555555555</v>
      </c>
      <c r="S3616" s="2" t="s">
        <v>5349</v>
      </c>
      <c r="T3616" s="14" t="s">
        <v>44</v>
      </c>
      <c r="U3616" s="14">
        <v>45921</v>
      </c>
      <c r="V3616" s="79">
        <v>45929</v>
      </c>
      <c r="W3616" s="71"/>
      <c r="X3616" s="2"/>
      <c r="Y3616" s="11" t="s">
        <v>5350</v>
      </c>
      <c r="Z3616" s="2" t="s">
        <v>36</v>
      </c>
      <c r="AA3616" s="13">
        <v>-0.37739</v>
      </c>
      <c r="AB3616" s="13" t="s">
        <v>10372</v>
      </c>
    </row>
    <row r="3617" spans="1:28" ht="15" customHeight="1">
      <c r="A3617" s="2" t="s">
        <v>9094</v>
      </c>
      <c r="B3617" s="2" t="s">
        <v>978</v>
      </c>
      <c r="C3617" s="104" t="s">
        <v>1992</v>
      </c>
      <c r="D3617" s="2" t="s">
        <v>99</v>
      </c>
      <c r="E3617" s="2" t="s">
        <v>3400</v>
      </c>
      <c r="F3617" s="11" t="s">
        <v>5351</v>
      </c>
      <c r="G3617" s="21" t="s">
        <v>5352</v>
      </c>
      <c r="H3617" s="2" t="s">
        <v>4996</v>
      </c>
      <c r="I3617" s="12" t="s">
        <v>4296</v>
      </c>
      <c r="J3617" s="41">
        <f>+Tabla1[[#This Row],[FECHA ENTRADA]]</f>
        <v>45922</v>
      </c>
      <c r="K3617" s="41">
        <v>45929</v>
      </c>
      <c r="L3617" s="42">
        <f>_xlfn.DAYS(Tabla1[[#This Row],[FECHA FIN ]],Tabla1[[#This Row],[FECHA INICIO]])</f>
        <v>7</v>
      </c>
      <c r="M3617" s="12"/>
      <c r="N3617" s="12">
        <v>233.33333333333334</v>
      </c>
      <c r="O3617" s="28">
        <f>(Tabla1[[#This Row],[COSTO FIJO ]]/30)*Tabla1[[#This Row],[TOTAL DIAS PROYECTO]]+(Tabla1[[#This Row],[COSTO TEMPORAL]])</f>
        <v>54.444444444444443</v>
      </c>
      <c r="P3617" s="12"/>
      <c r="Q3617" s="12">
        <f>+(Tabla1[[#This Row],[COSTO COCHE]]/30)*Tabla1[[#This Row],[TOTAL DIAS PROYECTO]]</f>
        <v>0</v>
      </c>
      <c r="R3617" s="12">
        <f>+Tabla1[[#This Row],[COSTO TOTAL ALOJAMIENTO]]+Tabla1[[#This Row],[COSTO TOTAL COCHE]]</f>
        <v>54.444444444444443</v>
      </c>
      <c r="S3617" s="2"/>
      <c r="T3617" s="14" t="s">
        <v>44</v>
      </c>
      <c r="U3617" s="14">
        <v>45922</v>
      </c>
      <c r="V3617" s="43">
        <v>45929</v>
      </c>
      <c r="W3617" s="71"/>
      <c r="X3617" s="2"/>
      <c r="Y3617" s="11" t="s">
        <v>1361</v>
      </c>
      <c r="Z3617" s="2" t="s">
        <v>36</v>
      </c>
      <c r="AA3617" s="13" t="e">
        <v>#N/A</v>
      </c>
      <c r="AB3617" s="13" t="e">
        <v>#N/A</v>
      </c>
    </row>
    <row r="3618" spans="1:28" ht="15" customHeight="1">
      <c r="A3618" s="2" t="s">
        <v>9840</v>
      </c>
      <c r="B3618" s="2" t="s">
        <v>978</v>
      </c>
      <c r="C3618" s="104" t="s">
        <v>5002</v>
      </c>
      <c r="D3618" s="2" t="s">
        <v>99</v>
      </c>
      <c r="E3618" s="2" t="s">
        <v>3400</v>
      </c>
      <c r="F3618" s="11" t="s">
        <v>5351</v>
      </c>
      <c r="G3618" s="21" t="s">
        <v>5352</v>
      </c>
      <c r="H3618" s="2" t="s">
        <v>1568</v>
      </c>
      <c r="I3618" s="12" t="s">
        <v>4296</v>
      </c>
      <c r="J3618" s="41">
        <f>+Tabla1[[#This Row],[FECHA ENTRADA]]</f>
        <v>45922</v>
      </c>
      <c r="K3618" s="41">
        <v>45929</v>
      </c>
      <c r="L3618" s="42">
        <f>_xlfn.DAYS(Tabla1[[#This Row],[FECHA FIN ]],Tabla1[[#This Row],[FECHA INICIO]])</f>
        <v>7</v>
      </c>
      <c r="M3618" s="12"/>
      <c r="N3618" s="12">
        <v>233.33333333333334</v>
      </c>
      <c r="O3618" s="28">
        <f>(Tabla1[[#This Row],[COSTO FIJO ]]/30)*Tabla1[[#This Row],[TOTAL DIAS PROYECTO]]+(Tabla1[[#This Row],[COSTO TEMPORAL]])</f>
        <v>54.444444444444443</v>
      </c>
      <c r="P3618" s="12"/>
      <c r="Q3618" s="12">
        <f>+(Tabla1[[#This Row],[COSTO COCHE]]/30)*Tabla1[[#This Row],[TOTAL DIAS PROYECTO]]</f>
        <v>0</v>
      </c>
      <c r="R3618" s="12">
        <f>+Tabla1[[#This Row],[COSTO TOTAL ALOJAMIENTO]]+Tabla1[[#This Row],[COSTO TOTAL COCHE]]</f>
        <v>54.444444444444443</v>
      </c>
      <c r="S3618" s="2"/>
      <c r="T3618" s="14" t="s">
        <v>44</v>
      </c>
      <c r="U3618" s="14">
        <v>45922</v>
      </c>
      <c r="V3618" s="43">
        <v>45929</v>
      </c>
      <c r="W3618" s="71"/>
      <c r="X3618" s="2"/>
      <c r="Y3618" s="11" t="s">
        <v>1361</v>
      </c>
      <c r="Z3618" s="2" t="s">
        <v>36</v>
      </c>
      <c r="AA3618" s="13" t="e">
        <v>#N/A</v>
      </c>
      <c r="AB3618" s="13" t="e">
        <v>#N/A</v>
      </c>
    </row>
    <row r="3619" spans="1:28" ht="15" customHeight="1">
      <c r="A3619" s="2" t="s">
        <v>8781</v>
      </c>
      <c r="B3619" s="2" t="s">
        <v>978</v>
      </c>
      <c r="C3619" s="104" t="s">
        <v>746</v>
      </c>
      <c r="D3619" s="2" t="s">
        <v>99</v>
      </c>
      <c r="E3619" s="2" t="s">
        <v>3400</v>
      </c>
      <c r="F3619" s="11" t="s">
        <v>5351</v>
      </c>
      <c r="G3619" s="21" t="s">
        <v>5352</v>
      </c>
      <c r="H3619" s="2" t="s">
        <v>5267</v>
      </c>
      <c r="I3619" s="12" t="s">
        <v>4296</v>
      </c>
      <c r="J3619" s="41">
        <f>+Tabla1[[#This Row],[FECHA ENTRADA]]</f>
        <v>45922</v>
      </c>
      <c r="K3619" s="41">
        <v>45929</v>
      </c>
      <c r="L3619" s="42">
        <f>_xlfn.DAYS(Tabla1[[#This Row],[FECHA FIN ]],Tabla1[[#This Row],[FECHA INICIO]])</f>
        <v>7</v>
      </c>
      <c r="M3619" s="12"/>
      <c r="N3619" s="12">
        <v>233.33333333333334</v>
      </c>
      <c r="O3619" s="28">
        <f>(Tabla1[[#This Row],[COSTO FIJO ]]/30)*Tabla1[[#This Row],[TOTAL DIAS PROYECTO]]+(Tabla1[[#This Row],[COSTO TEMPORAL]])</f>
        <v>54.444444444444443</v>
      </c>
      <c r="P3619" s="12"/>
      <c r="Q3619" s="12">
        <f>+(Tabla1[[#This Row],[COSTO COCHE]]/30)*Tabla1[[#This Row],[TOTAL DIAS PROYECTO]]</f>
        <v>0</v>
      </c>
      <c r="R3619" s="12">
        <f>+Tabla1[[#This Row],[COSTO TOTAL ALOJAMIENTO]]+Tabla1[[#This Row],[COSTO TOTAL COCHE]]</f>
        <v>54.444444444444443</v>
      </c>
      <c r="S3619" s="2"/>
      <c r="T3619" s="14" t="s">
        <v>44</v>
      </c>
      <c r="U3619" s="14">
        <v>45922</v>
      </c>
      <c r="V3619" s="43">
        <v>45929</v>
      </c>
      <c r="W3619" s="71"/>
      <c r="X3619" s="2"/>
      <c r="Y3619" s="11" t="s">
        <v>1361</v>
      </c>
      <c r="Z3619" s="2" t="s">
        <v>36</v>
      </c>
      <c r="AA3619" s="13" t="e">
        <v>#N/A</v>
      </c>
      <c r="AB3619" s="13" t="e">
        <v>#N/A</v>
      </c>
    </row>
    <row r="3620" spans="1:28" ht="15" customHeight="1">
      <c r="A3620" s="2" t="s">
        <v>9406</v>
      </c>
      <c r="B3620" s="2" t="s">
        <v>978</v>
      </c>
      <c r="C3620" s="104" t="s">
        <v>3075</v>
      </c>
      <c r="D3620" s="2" t="s">
        <v>30</v>
      </c>
      <c r="E3620" s="2" t="s">
        <v>109</v>
      </c>
      <c r="F3620" s="11" t="s">
        <v>5353</v>
      </c>
      <c r="G3620" s="49" t="s">
        <v>5354</v>
      </c>
      <c r="H3620" s="2" t="s">
        <v>5355</v>
      </c>
      <c r="I3620" s="12" t="s">
        <v>5356</v>
      </c>
      <c r="J3620" s="22">
        <f>+Tabla1[[#This Row],[FECHA ENTRADA]]</f>
        <v>45867</v>
      </c>
      <c r="K3620" s="22">
        <v>45875</v>
      </c>
      <c r="L3620" s="23">
        <f>_xlfn.DAYS(Tabla1[[#This Row],[FECHA FIN ]],Tabla1[[#This Row],[FECHA INICIO]])</f>
        <v>8</v>
      </c>
      <c r="M3620" s="12"/>
      <c r="N3620" s="12">
        <v>225.25</v>
      </c>
      <c r="O3620" s="24">
        <f>(Tabla1[[#This Row],[COSTO FIJO ]]/30)*Tabla1[[#This Row],[TOTAL DIAS PROYECTO]]+(Tabla1[[#This Row],[COSTO TEMPORAL]])</f>
        <v>60.06666666666667</v>
      </c>
      <c r="P3620" s="12"/>
      <c r="Q3620" s="12">
        <f>+(Tabla1[[#This Row],[COSTO COCHE]]/30)*Tabla1[[#This Row],[TOTAL DIAS PROYECTO]]</f>
        <v>0</v>
      </c>
      <c r="R3620" s="12">
        <f>+Tabla1[[#This Row],[COSTO TOTAL ALOJAMIENTO]]+Tabla1[[#This Row],[COSTO TOTAL COCHE]]</f>
        <v>60.06666666666667</v>
      </c>
      <c r="S3620" s="2" t="s">
        <v>403</v>
      </c>
      <c r="T3620" s="14" t="s">
        <v>44</v>
      </c>
      <c r="U3620" s="14">
        <v>45867</v>
      </c>
      <c r="V3620" s="25">
        <v>45875</v>
      </c>
      <c r="W3620" s="12"/>
      <c r="X3620" s="2"/>
      <c r="Y3620" s="11" t="s">
        <v>5357</v>
      </c>
      <c r="Z3620" s="2" t="s">
        <v>36</v>
      </c>
      <c r="AA3620" s="13">
        <v>0.62217999999999996</v>
      </c>
      <c r="AB3620" s="13" t="s">
        <v>10339</v>
      </c>
    </row>
    <row r="3621" spans="1:28" ht="15" customHeight="1">
      <c r="A3621" s="2" t="s">
        <v>8642</v>
      </c>
      <c r="B3621" s="2" t="s">
        <v>28</v>
      </c>
      <c r="C3621" s="104" t="s">
        <v>5358</v>
      </c>
      <c r="D3621" s="2" t="s">
        <v>99</v>
      </c>
      <c r="E3621" s="2" t="s">
        <v>55</v>
      </c>
      <c r="F3621" s="11" t="s">
        <v>1618</v>
      </c>
      <c r="G3621" s="46" t="s">
        <v>5359</v>
      </c>
      <c r="H3621" s="2" t="s">
        <v>5360</v>
      </c>
      <c r="I3621" s="12" t="s">
        <v>1067</v>
      </c>
      <c r="J3621" s="41">
        <f>+Tabla1[[#This Row],[FECHA ENTRADA]]</f>
        <v>45921</v>
      </c>
      <c r="K3621" s="41">
        <v>45929</v>
      </c>
      <c r="L3621" s="42">
        <f>_xlfn.DAYS(Tabla1[[#This Row],[FECHA FIN ]],Tabla1[[#This Row],[FECHA INICIO]])</f>
        <v>8</v>
      </c>
      <c r="M3621" s="12">
        <v>225</v>
      </c>
      <c r="N3621" s="28"/>
      <c r="O3621" s="28">
        <f>(Tabla1[[#This Row],[COSTO FIJO ]]/30)*Tabla1[[#This Row],[TOTAL DIAS PROYECTO]]+(Tabla1[[#This Row],[COSTO TEMPORAL]])</f>
        <v>225</v>
      </c>
      <c r="P3621" s="12"/>
      <c r="Q3621" s="12">
        <f>+(Tabla1[[#This Row],[COSTO COCHE]]/30)*Tabla1[[#This Row],[TOTAL DIAS PROYECTO]]</f>
        <v>0</v>
      </c>
      <c r="R3621" s="12">
        <f>+Tabla1[[#This Row],[COSTO TOTAL ALOJAMIENTO]]+Tabla1[[#This Row],[COSTO TOTAL COCHE]]</f>
        <v>225</v>
      </c>
      <c r="S3621" s="2"/>
      <c r="T3621" s="14" t="s">
        <v>44</v>
      </c>
      <c r="U3621" s="14">
        <v>45921</v>
      </c>
      <c r="V3621" s="25">
        <v>45930</v>
      </c>
      <c r="W3621" s="71"/>
      <c r="X3621" s="2"/>
      <c r="Y3621" s="11" t="s">
        <v>5361</v>
      </c>
      <c r="Z3621" s="2" t="s">
        <v>36</v>
      </c>
      <c r="AA3621" s="13" t="s">
        <v>10327</v>
      </c>
      <c r="AB3621" s="13" t="s">
        <v>10328</v>
      </c>
    </row>
    <row r="3622" spans="1:28">
      <c r="A3622" s="2" t="s">
        <v>9703</v>
      </c>
      <c r="B3622" s="2" t="s">
        <v>28</v>
      </c>
      <c r="C3622" s="97" t="s">
        <v>4328</v>
      </c>
      <c r="D3622" s="2" t="s">
        <v>30</v>
      </c>
      <c r="E3622" s="2" t="s">
        <v>790</v>
      </c>
      <c r="F3622" s="11" t="s">
        <v>4316</v>
      </c>
      <c r="G3622" t="s">
        <v>4317</v>
      </c>
      <c r="H3622" s="2" t="s">
        <v>4655</v>
      </c>
      <c r="I3622" s="10" t="s">
        <v>292</v>
      </c>
      <c r="J3622" s="41">
        <f>+Tabla1[[#This Row],[FECHA ENTRADA]]</f>
        <v>45872</v>
      </c>
      <c r="K3622" s="22">
        <v>45929</v>
      </c>
      <c r="L3622" s="42">
        <f>_xlfn.DAYS(Tabla1[[#This Row],[FECHA FIN ]],Tabla1[[#This Row],[FECHA INICIO]])</f>
        <v>57</v>
      </c>
      <c r="M3622" s="12"/>
      <c r="N3622" s="28">
        <v>200</v>
      </c>
      <c r="O3622" s="28">
        <f>(Tabla1[[#This Row],[COSTO FIJO ]]/30)*Tabla1[[#This Row],[TOTAL DIAS PROYECTO]]+(Tabla1[[#This Row],[COSTO TEMPORAL]])</f>
        <v>380</v>
      </c>
      <c r="P3622" s="12"/>
      <c r="Q3622" s="12">
        <f>+(Tabla1[[#This Row],[COSTO COCHE]]/30)*Tabla1[[#This Row],[TOTAL DIAS PROYECTO]]</f>
        <v>0</v>
      </c>
      <c r="R3622" s="12">
        <f>+Tabla1[[#This Row],[COSTO TOTAL ALOJAMIENTO]]+Tabla1[[#This Row],[COSTO TOTAL COCHE]]</f>
        <v>380</v>
      </c>
      <c r="S3622" s="2"/>
      <c r="T3622" s="14" t="s">
        <v>35</v>
      </c>
      <c r="U3622" s="14">
        <v>45872</v>
      </c>
      <c r="V3622" s="43">
        <v>45952</v>
      </c>
      <c r="W3622" s="12">
        <v>600</v>
      </c>
      <c r="X3622" s="2">
        <v>20</v>
      </c>
      <c r="Y3622" s="257" t="s">
        <v>5362</v>
      </c>
      <c r="Z3622" s="2" t="s">
        <v>36</v>
      </c>
      <c r="AA3622" s="13">
        <v>-574377</v>
      </c>
      <c r="AB3622" s="13">
        <v>4150368</v>
      </c>
    </row>
    <row r="3623" spans="1:28" ht="15" customHeight="1">
      <c r="A3623" s="2" t="s">
        <v>9777</v>
      </c>
      <c r="B3623" s="2" t="s">
        <v>28</v>
      </c>
      <c r="C3623" s="104" t="s">
        <v>4687</v>
      </c>
      <c r="D3623" s="2" t="s">
        <v>99</v>
      </c>
      <c r="E3623" s="2" t="s">
        <v>259</v>
      </c>
      <c r="F3623" s="11" t="s">
        <v>516</v>
      </c>
      <c r="G3623" s="49" t="s">
        <v>517</v>
      </c>
      <c r="H3623" s="2" t="s">
        <v>5363</v>
      </c>
      <c r="I3623" s="2" t="s">
        <v>292</v>
      </c>
      <c r="J3623" s="22">
        <f>+Tabla1[[#This Row],[FECHA ENTRADA]]</f>
        <v>45880</v>
      </c>
      <c r="K3623" s="22">
        <v>45902</v>
      </c>
      <c r="L3623" s="23">
        <f>_xlfn.DAYS(Tabla1[[#This Row],[FECHA FIN ]],Tabla1[[#This Row],[FECHA INICIO]])</f>
        <v>22</v>
      </c>
      <c r="M3623" s="12"/>
      <c r="N3623" s="24">
        <v>330</v>
      </c>
      <c r="O3623" s="24">
        <f>(Tabla1[[#This Row],[COSTO FIJO ]]/30)*Tabla1[[#This Row],[TOTAL DIAS PROYECTO]]+(Tabla1[[#This Row],[COSTO TEMPORAL]])</f>
        <v>242</v>
      </c>
      <c r="P3623" s="12"/>
      <c r="Q3623" s="12">
        <f>+(Tabla1[[#This Row],[COSTO COCHE]]/30)*Tabla1[[#This Row],[TOTAL DIAS PROYECTO]]</f>
        <v>0</v>
      </c>
      <c r="R3623" s="12">
        <f>+Tabla1[[#This Row],[COSTO TOTAL ALOJAMIENTO]]+Tabla1[[#This Row],[COSTO TOTAL COCHE]]</f>
        <v>242</v>
      </c>
      <c r="S3623" s="2"/>
      <c r="T3623" s="14" t="s">
        <v>35</v>
      </c>
      <c r="U3623" s="14">
        <v>45880</v>
      </c>
      <c r="V3623" s="25"/>
      <c r="W3623" s="12"/>
      <c r="X3623" s="2">
        <v>20</v>
      </c>
      <c r="Y3623" s="202" t="s">
        <v>5073</v>
      </c>
      <c r="Z3623" s="2" t="s">
        <v>36</v>
      </c>
      <c r="AA3623" s="13">
        <v>-0.87734000000000001</v>
      </c>
      <c r="AB3623" s="13" t="s">
        <v>10359</v>
      </c>
    </row>
    <row r="3624" spans="1:28" ht="15" customHeight="1">
      <c r="A3624" s="2" t="s">
        <v>9299</v>
      </c>
      <c r="B3624" s="2" t="s">
        <v>368</v>
      </c>
      <c r="C3624" s="104" t="s">
        <v>2743</v>
      </c>
      <c r="D3624" s="2" t="s">
        <v>78</v>
      </c>
      <c r="E3624" s="2" t="s">
        <v>1297</v>
      </c>
      <c r="F3624" s="11" t="s">
        <v>3251</v>
      </c>
      <c r="G3624" s="46" t="s">
        <v>3252</v>
      </c>
      <c r="H3624" s="2" t="s">
        <v>1300</v>
      </c>
      <c r="I3624" s="12" t="s">
        <v>1301</v>
      </c>
      <c r="J3624" s="41">
        <f>+Tabla1[[#This Row],[FECHA ENTRADA]]</f>
        <v>45887</v>
      </c>
      <c r="K3624" s="41">
        <v>45929</v>
      </c>
      <c r="L3624" s="42">
        <f>_xlfn.DAYS(Tabla1[[#This Row],[FECHA FIN ]],Tabla1[[#This Row],[FECHA INICIO]])</f>
        <v>42</v>
      </c>
      <c r="M3624" s="12">
        <v>432.5</v>
      </c>
      <c r="N3624" s="28"/>
      <c r="O3624" s="28">
        <f>(Tabla1[[#This Row],[COSTO FIJO ]]/30)*Tabla1[[#This Row],[TOTAL DIAS PROYECTO]]+(Tabla1[[#This Row],[COSTO TEMPORAL]])</f>
        <v>432.5</v>
      </c>
      <c r="P3624" s="12"/>
      <c r="Q3624" s="12">
        <f>+(Tabla1[[#This Row],[COSTO COCHE]]/30)*Tabla1[[#This Row],[TOTAL DIAS PROYECTO]]</f>
        <v>0</v>
      </c>
      <c r="R3624" s="12">
        <f>+Tabla1[[#This Row],[COSTO TOTAL ALOJAMIENTO]]+Tabla1[[#This Row],[COSTO TOTAL COCHE]]</f>
        <v>432.5</v>
      </c>
      <c r="S3624" s="2"/>
      <c r="T3624" s="14" t="s">
        <v>44</v>
      </c>
      <c r="U3624" s="14">
        <v>45887</v>
      </c>
      <c r="V3624" s="43">
        <v>45931</v>
      </c>
      <c r="W3624" s="12"/>
      <c r="X3624" s="2"/>
      <c r="Y3624" s="11" t="s">
        <v>5364</v>
      </c>
      <c r="Z3624" s="2" t="s">
        <v>36</v>
      </c>
      <c r="AA3624" s="13" t="s">
        <v>10414</v>
      </c>
      <c r="AB3624" s="13">
        <v>5094783</v>
      </c>
    </row>
    <row r="3625" spans="1:28" ht="15.75" customHeight="1">
      <c r="A3625" s="2" t="s">
        <v>9475</v>
      </c>
      <c r="B3625" s="2" t="s">
        <v>368</v>
      </c>
      <c r="C3625" s="104" t="s">
        <v>3329</v>
      </c>
      <c r="D3625" s="2" t="s">
        <v>30</v>
      </c>
      <c r="E3625" s="2" t="s">
        <v>100</v>
      </c>
      <c r="F3625" s="11" t="s">
        <v>5365</v>
      </c>
      <c r="G3625" s="21" t="s">
        <v>5366</v>
      </c>
      <c r="H3625" s="2" t="s">
        <v>5367</v>
      </c>
      <c r="I3625" s="12" t="s">
        <v>42</v>
      </c>
      <c r="J3625" s="22">
        <f>+Tabla1[[#This Row],[FECHA ENTRADA]]</f>
        <v>45901</v>
      </c>
      <c r="K3625" s="22">
        <v>45929</v>
      </c>
      <c r="L3625" s="23">
        <f>_xlfn.DAYS(Tabla1[[#This Row],[FECHA FIN ]],Tabla1[[#This Row],[FECHA INICIO]])</f>
        <v>28</v>
      </c>
      <c r="M3625" s="12">
        <v>855.55</v>
      </c>
      <c r="N3625" s="20"/>
      <c r="O3625" s="24">
        <f>(Tabla1[[#This Row],[COSTO FIJO ]]/30)*Tabla1[[#This Row],[TOTAL DIAS PROYECTO]]+(Tabla1[[#This Row],[COSTO TEMPORAL]])</f>
        <v>855.55</v>
      </c>
      <c r="P3625" s="12"/>
      <c r="Q3625" s="12">
        <f>+(Tabla1[[#This Row],[COSTO COCHE]]/30)*Tabla1[[#This Row],[TOTAL DIAS PROYECTO]]</f>
        <v>0</v>
      </c>
      <c r="R3625" s="12">
        <f>+Tabla1[[#This Row],[COSTO TOTAL ALOJAMIENTO]]+Tabla1[[#This Row],[COSTO TOTAL COCHE]]</f>
        <v>855.55</v>
      </c>
      <c r="S3625" s="2" t="s">
        <v>84</v>
      </c>
      <c r="T3625" s="14" t="s">
        <v>44</v>
      </c>
      <c r="U3625" s="14">
        <v>45901</v>
      </c>
      <c r="V3625" s="79">
        <v>45953</v>
      </c>
      <c r="W3625" s="71"/>
      <c r="X3625" s="2"/>
      <c r="Y3625" s="11" t="s">
        <v>5368</v>
      </c>
      <c r="Z3625" s="2" t="s">
        <v>36</v>
      </c>
      <c r="AA3625" s="13" t="s">
        <v>10338</v>
      </c>
      <c r="AB3625" s="13">
        <v>3718817</v>
      </c>
    </row>
    <row r="3626" spans="1:28">
      <c r="A3626" s="2" t="s">
        <v>8674</v>
      </c>
      <c r="B3626" s="2" t="s">
        <v>28</v>
      </c>
      <c r="C3626" s="97" t="s">
        <v>238</v>
      </c>
      <c r="D3626" s="2" t="s">
        <v>30</v>
      </c>
      <c r="E3626" s="2" t="s">
        <v>31</v>
      </c>
      <c r="F3626" s="11" t="s">
        <v>907</v>
      </c>
      <c r="G3626" s="11" t="s">
        <v>296</v>
      </c>
      <c r="H3626" s="2" t="s">
        <v>908</v>
      </c>
      <c r="I3626" s="29" t="s">
        <v>909</v>
      </c>
      <c r="J3626" s="8">
        <f>+Tabla1[[#This Row],[FECHA ENTRADA]]</f>
        <v>45459</v>
      </c>
      <c r="K3626" s="22">
        <v>45930</v>
      </c>
      <c r="L3626" s="13">
        <f>_xlfn.DAYS(Tabla1[[#This Row],[FECHA FIN ]],Tabla1[[#This Row],[FECHA INICIO]])</f>
        <v>471</v>
      </c>
      <c r="M3626" s="12"/>
      <c r="N3626" s="28">
        <v>300</v>
      </c>
      <c r="O3626" s="12">
        <f>(Tabla1[[#This Row],[COSTO FIJO ]]/30)*Tabla1[[#This Row],[TOTAL DIAS PROYECTO]]+(Tabla1[[#This Row],[COSTO TEMPORAL]])</f>
        <v>4710</v>
      </c>
      <c r="P3626" s="12"/>
      <c r="Q3626" s="12">
        <f>+(Tabla1[[#This Row],[COSTO COCHE]]/30)*Tabla1[[#This Row],[TOTAL DIAS PROYECTO]]</f>
        <v>0</v>
      </c>
      <c r="R3626" s="12">
        <f>+Tabla1[[#This Row],[COSTO TOTAL ALOJAMIENTO]]+Tabla1[[#This Row],[COSTO TOTAL COCHE]]</f>
        <v>4710</v>
      </c>
      <c r="S3626" s="2"/>
      <c r="T3626" s="2" t="s">
        <v>35</v>
      </c>
      <c r="U3626" s="14">
        <v>45459</v>
      </c>
      <c r="V3626" s="14"/>
      <c r="W3626" s="26">
        <v>1200</v>
      </c>
      <c r="X3626" s="2">
        <v>1</v>
      </c>
      <c r="Y3626" s="11" t="s">
        <v>5369</v>
      </c>
      <c r="Z3626" s="2" t="s">
        <v>36</v>
      </c>
      <c r="AA3626" s="13" t="s">
        <v>10323</v>
      </c>
      <c r="AB3626" s="13" t="s">
        <v>10324</v>
      </c>
    </row>
    <row r="3627" spans="1:28" ht="15.75" customHeight="1">
      <c r="A3627" s="2" t="s">
        <v>9831</v>
      </c>
      <c r="B3627" s="2" t="s">
        <v>28</v>
      </c>
      <c r="C3627" s="97" t="s">
        <v>4945</v>
      </c>
      <c r="D3627" s="2" t="s">
        <v>30</v>
      </c>
      <c r="E3627" s="2" t="s">
        <v>790</v>
      </c>
      <c r="F3627" s="11" t="s">
        <v>791</v>
      </c>
      <c r="G3627" s="11" t="s">
        <v>792</v>
      </c>
      <c r="H3627" s="2" t="s">
        <v>5197</v>
      </c>
      <c r="I3627" s="12" t="s">
        <v>794</v>
      </c>
      <c r="J3627" s="22">
        <f>+Tabla1[[#This Row],[FECHA ENTRADA]]</f>
        <v>45908</v>
      </c>
      <c r="K3627" s="22">
        <v>45930</v>
      </c>
      <c r="L3627" s="23">
        <f>_xlfn.DAYS(Tabla1[[#This Row],[FECHA FIN ]],Tabla1[[#This Row],[FECHA INICIO]])</f>
        <v>22</v>
      </c>
      <c r="M3627" s="12"/>
      <c r="N3627" s="12"/>
      <c r="O3627" s="24">
        <f>(Tabla1[[#This Row],[COSTO FIJO ]]/30)*Tabla1[[#This Row],[TOTAL DIAS PROYECTO]]+(Tabla1[[#This Row],[COSTO TEMPORAL]])</f>
        <v>0</v>
      </c>
      <c r="P3627" s="12"/>
      <c r="Q3627" s="12">
        <f>+(Tabla1[[#This Row],[COSTO COCHE]]/30)*Tabla1[[#This Row],[TOTAL DIAS PROYECTO]]</f>
        <v>0</v>
      </c>
      <c r="R3627" s="12">
        <f>+Tabla1[[#This Row],[COSTO TOTAL ALOJAMIENTO]]+Tabla1[[#This Row],[COSTO TOTAL COCHE]]</f>
        <v>0</v>
      </c>
      <c r="S3627" s="2"/>
      <c r="T3627" s="14" t="s">
        <v>35</v>
      </c>
      <c r="U3627" s="14">
        <v>45908</v>
      </c>
      <c r="V3627" s="79"/>
      <c r="W3627" s="71"/>
      <c r="X3627" s="2">
        <v>1</v>
      </c>
      <c r="Y3627" s="11"/>
      <c r="Z3627" s="2" t="s">
        <v>36</v>
      </c>
      <c r="AA3627" s="13">
        <v>-574377</v>
      </c>
      <c r="AB3627" s="13">
        <v>4150368</v>
      </c>
    </row>
    <row r="3628" spans="1:28">
      <c r="A3628" s="2" t="s">
        <v>9296</v>
      </c>
      <c r="B3628" s="2" t="s">
        <v>28</v>
      </c>
      <c r="C3628" s="97" t="s">
        <v>2733</v>
      </c>
      <c r="D3628" s="2" t="s">
        <v>30</v>
      </c>
      <c r="E3628" s="2" t="s">
        <v>790</v>
      </c>
      <c r="F3628" s="11" t="s">
        <v>4318</v>
      </c>
      <c r="G3628" t="s">
        <v>4319</v>
      </c>
      <c r="H3628" s="2" t="s">
        <v>5197</v>
      </c>
      <c r="I3628" s="158" t="s">
        <v>794</v>
      </c>
      <c r="J3628" s="22">
        <f>+Tabla1[[#This Row],[FECHA ENTRADA]]</f>
        <v>45908</v>
      </c>
      <c r="K3628" s="22">
        <v>45930</v>
      </c>
      <c r="L3628" s="23">
        <f>_xlfn.DAYS(Tabla1[[#This Row],[FECHA FIN ]],Tabla1[[#This Row],[FECHA INICIO]])</f>
        <v>22</v>
      </c>
      <c r="M3628" s="12"/>
      <c r="N3628" s="24">
        <v>266.66666666666669</v>
      </c>
      <c r="O3628" s="24">
        <f>(Tabla1[[#This Row],[COSTO FIJO ]]/30)*Tabla1[[#This Row],[TOTAL DIAS PROYECTO]]+(Tabla1[[#This Row],[COSTO TEMPORAL]])</f>
        <v>195.55555555555557</v>
      </c>
      <c r="P3628" s="12"/>
      <c r="Q3628" s="12">
        <f>+(Tabla1[[#This Row],[COSTO COCHE]]/30)*Tabla1[[#This Row],[TOTAL DIAS PROYECTO]]</f>
        <v>0</v>
      </c>
      <c r="R3628" s="12">
        <f>+Tabla1[[#This Row],[COSTO TOTAL ALOJAMIENTO]]+Tabla1[[#This Row],[COSTO TOTAL COCHE]]</f>
        <v>195.55555555555557</v>
      </c>
      <c r="S3628" s="2"/>
      <c r="T3628" s="14" t="s">
        <v>35</v>
      </c>
      <c r="U3628" s="14">
        <v>45908</v>
      </c>
      <c r="V3628" s="79"/>
      <c r="W3628" s="71"/>
      <c r="X3628" s="2">
        <v>5</v>
      </c>
      <c r="Y3628" s="11" t="s">
        <v>5370</v>
      </c>
      <c r="Z3628" s="2" t="s">
        <v>36</v>
      </c>
      <c r="AA3628" s="13">
        <v>-574377</v>
      </c>
      <c r="AB3628" s="13">
        <v>4150368</v>
      </c>
    </row>
    <row r="3629" spans="1:28" ht="15" customHeight="1">
      <c r="A3629" s="2" t="s">
        <v>9153</v>
      </c>
      <c r="B3629" s="2" t="s">
        <v>28</v>
      </c>
      <c r="C3629" s="97" t="s">
        <v>2245</v>
      </c>
      <c r="D3629" s="2" t="s">
        <v>99</v>
      </c>
      <c r="E3629" s="2" t="s">
        <v>422</v>
      </c>
      <c r="F3629" s="11" t="s">
        <v>5145</v>
      </c>
      <c r="G3629" t="s">
        <v>1376</v>
      </c>
      <c r="H3629" s="157" t="s">
        <v>3663</v>
      </c>
      <c r="I3629" s="12" t="s">
        <v>2342</v>
      </c>
      <c r="J3629" s="41">
        <f>+Tabla1[[#This Row],[FECHA ENTRADA]]</f>
        <v>45822</v>
      </c>
      <c r="K3629" s="22">
        <v>45869</v>
      </c>
      <c r="L3629" s="42">
        <f>_xlfn.DAYS(Tabla1[[#This Row],[FECHA FIN ]],Tabla1[[#This Row],[FECHA INICIO]])</f>
        <v>47</v>
      </c>
      <c r="M3629" s="12"/>
      <c r="N3629" s="12"/>
      <c r="O3629" s="28">
        <f>(Tabla1[[#This Row],[COSTO FIJO ]]/30)*Tabla1[[#This Row],[TOTAL DIAS PROYECTO]]+(Tabla1[[#This Row],[COSTO TEMPORAL]])</f>
        <v>0</v>
      </c>
      <c r="P3629" s="12"/>
      <c r="Q3629" s="12">
        <f>+(Tabla1[[#This Row],[COSTO COCHE]]/30)*Tabla1[[#This Row],[TOTAL DIAS PROYECTO]]</f>
        <v>0</v>
      </c>
      <c r="R3629" s="12">
        <f>+Tabla1[[#This Row],[COSTO TOTAL ALOJAMIENTO]]+Tabla1[[#This Row],[COSTO TOTAL COCHE]]</f>
        <v>0</v>
      </c>
      <c r="S3629" s="2"/>
      <c r="T3629" s="2" t="s">
        <v>35</v>
      </c>
      <c r="U3629" s="14">
        <v>45822</v>
      </c>
      <c r="V3629" s="43"/>
      <c r="W3629" s="2"/>
      <c r="X3629" s="2">
        <v>5</v>
      </c>
      <c r="Y3629" s="11" t="s">
        <v>4984</v>
      </c>
      <c r="Z3629" s="2" t="s">
        <v>36</v>
      </c>
      <c r="AA3629" s="13">
        <v>-326.69799999999998</v>
      </c>
      <c r="AB3629" s="13" t="s">
        <v>10373</v>
      </c>
    </row>
    <row r="3630" spans="1:28">
      <c r="A3630" s="2" t="s">
        <v>9771</v>
      </c>
      <c r="B3630" s="2" t="s">
        <v>368</v>
      </c>
      <c r="C3630" s="97" t="s">
        <v>4665</v>
      </c>
      <c r="D3630" s="2" t="s">
        <v>99</v>
      </c>
      <c r="E3630" s="2" t="s">
        <v>1130</v>
      </c>
      <c r="F3630" s="11"/>
      <c r="G3630" s="21"/>
      <c r="H3630" s="2" t="s">
        <v>4666</v>
      </c>
      <c r="I3630" s="12" t="s">
        <v>4667</v>
      </c>
      <c r="J3630" s="22">
        <f>+Tabla1[[#This Row],[FECHA ENTRADA]]</f>
        <v>45878</v>
      </c>
      <c r="K3630" s="22">
        <v>45930</v>
      </c>
      <c r="L3630" s="23">
        <f>_xlfn.DAYS(Tabla1[[#This Row],[FECHA FIN ]],Tabla1[[#This Row],[FECHA INICIO]])</f>
        <v>52</v>
      </c>
      <c r="M3630" s="12"/>
      <c r="N3630" s="12">
        <v>300</v>
      </c>
      <c r="O3630" s="24">
        <f>(Tabla1[[#This Row],[COSTO FIJO ]]/30)*Tabla1[[#This Row],[TOTAL DIAS PROYECTO]]+(Tabla1[[#This Row],[COSTO TEMPORAL]])</f>
        <v>520</v>
      </c>
      <c r="P3630" s="12"/>
      <c r="Q3630" s="12">
        <f>+(Tabla1[[#This Row],[COSTO COCHE]]/30)*Tabla1[[#This Row],[TOTAL DIAS PROYECTO]]</f>
        <v>0</v>
      </c>
      <c r="R3630" s="12">
        <f>+Tabla1[[#This Row],[COSTO TOTAL ALOJAMIENTO]]+Tabla1[[#This Row],[COSTO TOTAL COCHE]]</f>
        <v>520</v>
      </c>
      <c r="S3630" s="2"/>
      <c r="T3630" s="14" t="s">
        <v>58</v>
      </c>
      <c r="U3630" s="14">
        <v>45878</v>
      </c>
      <c r="V3630" s="79"/>
      <c r="W3630" s="12"/>
      <c r="X3630" s="2"/>
      <c r="Y3630" s="11" t="s">
        <v>5371</v>
      </c>
      <c r="Z3630" s="2" t="s">
        <v>36</v>
      </c>
      <c r="AA3630" s="13" t="s">
        <v>10412</v>
      </c>
      <c r="AB3630" s="13">
        <v>4200955</v>
      </c>
    </row>
    <row r="3631" spans="1:28" ht="15" customHeight="1">
      <c r="A3631" s="2" t="s">
        <v>9431</v>
      </c>
      <c r="B3631" s="2" t="s">
        <v>28</v>
      </c>
      <c r="C3631" s="213" t="s">
        <v>3165</v>
      </c>
      <c r="D3631" s="2" t="s">
        <v>99</v>
      </c>
      <c r="E3631" s="2" t="s">
        <v>61</v>
      </c>
      <c r="F3631" s="11" t="s">
        <v>4885</v>
      </c>
      <c r="G3631" s="21" t="s">
        <v>4886</v>
      </c>
      <c r="H3631" s="2" t="s">
        <v>4887</v>
      </c>
      <c r="I3631" s="12" t="s">
        <v>118</v>
      </c>
      <c r="J3631" s="22">
        <f>+Tabla1[[#This Row],[FECHA ENTRADA]]</f>
        <v>45886</v>
      </c>
      <c r="K3631" s="22">
        <v>45930</v>
      </c>
      <c r="L3631" s="23">
        <f>_xlfn.DAYS(Tabla1[[#This Row],[FECHA FIN ]],Tabla1[[#This Row],[FECHA INICIO]])</f>
        <v>44</v>
      </c>
      <c r="M3631" s="12"/>
      <c r="N3631" s="20">
        <v>200</v>
      </c>
      <c r="O3631" s="24">
        <f>(Tabla1[[#This Row],[COSTO FIJO ]]/30)*Tabla1[[#This Row],[TOTAL DIAS PROYECTO]]+(Tabla1[[#This Row],[COSTO TEMPORAL]])</f>
        <v>293.33333333333337</v>
      </c>
      <c r="P3631" s="12"/>
      <c r="Q3631" s="12">
        <f>+(Tabla1[[#This Row],[COSTO COCHE]]/30)*Tabla1[[#This Row],[TOTAL DIAS PROYECTO]]</f>
        <v>0</v>
      </c>
      <c r="R3631" s="12">
        <f>+Tabla1[[#This Row],[COSTO TOTAL ALOJAMIENTO]]+Tabla1[[#This Row],[COSTO TOTAL COCHE]]</f>
        <v>293.33333333333337</v>
      </c>
      <c r="S3631" s="2"/>
      <c r="T3631" s="14" t="s">
        <v>35</v>
      </c>
      <c r="U3631" s="14">
        <v>45886</v>
      </c>
      <c r="V3631" s="79"/>
      <c r="W3631" s="12">
        <v>800</v>
      </c>
      <c r="X3631" s="2">
        <v>12</v>
      </c>
      <c r="Y3631" s="253"/>
      <c r="Z3631" s="2" t="s">
        <v>36</v>
      </c>
      <c r="AA3631" s="13" t="s">
        <v>10329</v>
      </c>
      <c r="AB3631" s="13" t="s">
        <v>10330</v>
      </c>
    </row>
    <row r="3632" spans="1:28" ht="15" customHeight="1">
      <c r="A3632" s="2" t="s">
        <v>9910</v>
      </c>
      <c r="B3632" s="2" t="s">
        <v>28</v>
      </c>
      <c r="C3632" s="97" t="s">
        <v>5372</v>
      </c>
      <c r="D3632" s="2" t="s">
        <v>99</v>
      </c>
      <c r="E3632" s="2" t="s">
        <v>61</v>
      </c>
      <c r="F3632" s="11" t="s">
        <v>4885</v>
      </c>
      <c r="G3632" s="21" t="s">
        <v>4886</v>
      </c>
      <c r="H3632" s="2" t="s">
        <v>4887</v>
      </c>
      <c r="I3632" s="158" t="s">
        <v>118</v>
      </c>
      <c r="J3632" s="22">
        <f>+Tabla1[[#This Row],[FECHA ENTRADA]]</f>
        <v>45886</v>
      </c>
      <c r="K3632" s="22">
        <v>45930</v>
      </c>
      <c r="L3632" s="23">
        <f>_xlfn.DAYS(Tabla1[[#This Row],[FECHA FIN ]],Tabla1[[#This Row],[FECHA INICIO]])</f>
        <v>44</v>
      </c>
      <c r="M3632" s="12"/>
      <c r="N3632" s="20">
        <v>200</v>
      </c>
      <c r="O3632" s="24">
        <f>(Tabla1[[#This Row],[COSTO FIJO ]]/30)*Tabla1[[#This Row],[TOTAL DIAS PROYECTO]]+(Tabla1[[#This Row],[COSTO TEMPORAL]])</f>
        <v>293.33333333333337</v>
      </c>
      <c r="P3632" s="12"/>
      <c r="Q3632" s="12">
        <f>+(Tabla1[[#This Row],[COSTO COCHE]]/30)*Tabla1[[#This Row],[TOTAL DIAS PROYECTO]]</f>
        <v>0</v>
      </c>
      <c r="R3632" s="12">
        <f>+Tabla1[[#This Row],[COSTO TOTAL ALOJAMIENTO]]+Tabla1[[#This Row],[COSTO TOTAL COCHE]]</f>
        <v>293.33333333333337</v>
      </c>
      <c r="S3632" s="2"/>
      <c r="T3632" s="14" t="s">
        <v>35</v>
      </c>
      <c r="U3632" s="14">
        <v>45886</v>
      </c>
      <c r="V3632" s="79"/>
      <c r="W3632" s="12"/>
      <c r="X3632" s="2">
        <v>12</v>
      </c>
      <c r="Y3632" s="253" t="s">
        <v>4888</v>
      </c>
      <c r="Z3632" s="2" t="s">
        <v>36</v>
      </c>
      <c r="AA3632" s="13" t="s">
        <v>10329</v>
      </c>
      <c r="AB3632" s="13" t="s">
        <v>10330</v>
      </c>
    </row>
    <row r="3633" spans="1:28" ht="15" customHeight="1">
      <c r="A3633" s="2" t="s">
        <v>9208</v>
      </c>
      <c r="B3633" s="2" t="s">
        <v>28</v>
      </c>
      <c r="C3633" s="97" t="s">
        <v>2432</v>
      </c>
      <c r="D3633" s="2" t="s">
        <v>99</v>
      </c>
      <c r="E3633" s="2" t="s">
        <v>61</v>
      </c>
      <c r="F3633" s="11" t="s">
        <v>4885</v>
      </c>
      <c r="G3633" s="21" t="s">
        <v>4886</v>
      </c>
      <c r="H3633" s="2" t="s">
        <v>4887</v>
      </c>
      <c r="I3633" s="12" t="s">
        <v>118</v>
      </c>
      <c r="J3633" s="22">
        <f>+Tabla1[[#This Row],[FECHA ENTRADA]]</f>
        <v>45886</v>
      </c>
      <c r="K3633" s="22">
        <v>45930</v>
      </c>
      <c r="L3633" s="23">
        <f>_xlfn.DAYS(Tabla1[[#This Row],[FECHA FIN ]],Tabla1[[#This Row],[FECHA INICIO]])</f>
        <v>44</v>
      </c>
      <c r="M3633" s="12"/>
      <c r="N3633" s="20">
        <v>200</v>
      </c>
      <c r="O3633" s="24">
        <f>(Tabla1[[#This Row],[COSTO FIJO ]]/30)*Tabla1[[#This Row],[TOTAL DIAS PROYECTO]]+(Tabla1[[#This Row],[COSTO TEMPORAL]])</f>
        <v>293.33333333333337</v>
      </c>
      <c r="P3633" s="12"/>
      <c r="Q3633" s="12">
        <f>+(Tabla1[[#This Row],[COSTO COCHE]]/30)*Tabla1[[#This Row],[TOTAL DIAS PROYECTO]]</f>
        <v>0</v>
      </c>
      <c r="R3633" s="12">
        <f>+Tabla1[[#This Row],[COSTO TOTAL ALOJAMIENTO]]+Tabla1[[#This Row],[COSTO TOTAL COCHE]]</f>
        <v>293.33333333333337</v>
      </c>
      <c r="S3633" s="2"/>
      <c r="T3633" s="14" t="s">
        <v>35</v>
      </c>
      <c r="U3633" s="14">
        <v>45886</v>
      </c>
      <c r="V3633" s="79"/>
      <c r="W3633" s="12"/>
      <c r="X3633" s="2">
        <v>12</v>
      </c>
      <c r="Y3633" s="253" t="s">
        <v>4888</v>
      </c>
      <c r="Z3633" s="2" t="s">
        <v>36</v>
      </c>
      <c r="AA3633" s="13" t="s">
        <v>10329</v>
      </c>
      <c r="AB3633" s="13" t="s">
        <v>10330</v>
      </c>
    </row>
    <row r="3634" spans="1:28" ht="15" customHeight="1">
      <c r="A3634" s="2" t="s">
        <v>9911</v>
      </c>
      <c r="B3634" s="2" t="s">
        <v>606</v>
      </c>
      <c r="C3634" s="97" t="s">
        <v>5373</v>
      </c>
      <c r="D3634" s="2" t="s">
        <v>30</v>
      </c>
      <c r="E3634" s="2" t="s">
        <v>31</v>
      </c>
      <c r="F3634" s="11" t="s">
        <v>1206</v>
      </c>
      <c r="G3634" s="167" t="s">
        <v>1005</v>
      </c>
      <c r="H3634" s="2" t="s">
        <v>5374</v>
      </c>
      <c r="I3634" s="12" t="s">
        <v>3137</v>
      </c>
      <c r="J3634" s="41">
        <f>+Tabla1[[#This Row],[FECHA ENTRADA]]</f>
        <v>46131</v>
      </c>
      <c r="K3634" s="22">
        <v>46230</v>
      </c>
      <c r="L3634" s="42">
        <f>_xlfn.DAYS(Tabla1[[#This Row],[FECHA FIN ]],Tabla1[[#This Row],[FECHA INICIO]])</f>
        <v>99</v>
      </c>
      <c r="M3634" s="12"/>
      <c r="N3634" s="12">
        <f>2500/5</f>
        <v>500</v>
      </c>
      <c r="O3634" s="28">
        <f>(Tabla1[[#This Row],[COSTO FIJO ]]/30)*Tabla1[[#This Row],[TOTAL DIAS PROYECTO]]+(Tabla1[[#This Row],[COSTO TEMPORAL]])</f>
        <v>1650.0000000000002</v>
      </c>
      <c r="P3634" s="12"/>
      <c r="Q3634" s="12">
        <f>+(Tabla1[[#This Row],[COSTO COCHE]]/30)*Tabla1[[#This Row],[TOTAL DIAS PROYECTO]]</f>
        <v>0</v>
      </c>
      <c r="R3634" s="12">
        <f>+Tabla1[[#This Row],[COSTO TOTAL ALOJAMIENTO]]+Tabla1[[#This Row],[COSTO TOTAL COCHE]]</f>
        <v>1650.0000000000002</v>
      </c>
      <c r="S3634" s="2"/>
      <c r="T3634" s="14" t="s">
        <v>35</v>
      </c>
      <c r="U3634" s="14">
        <v>46131</v>
      </c>
      <c r="V3634" s="43"/>
      <c r="W3634" s="12"/>
      <c r="X3634" s="2">
        <v>1</v>
      </c>
      <c r="Y3634" s="11" t="s">
        <v>5375</v>
      </c>
      <c r="Z3634" s="2" t="s">
        <v>36</v>
      </c>
      <c r="AA3634" s="13" t="s">
        <v>10323</v>
      </c>
      <c r="AB3634" s="13" t="s">
        <v>10324</v>
      </c>
    </row>
    <row r="3635" spans="1:28" ht="15" customHeight="1">
      <c r="A3635" s="2" t="s">
        <v>9838</v>
      </c>
      <c r="B3635" s="2" t="s">
        <v>978</v>
      </c>
      <c r="C3635" s="97" t="s">
        <v>4975</v>
      </c>
      <c r="D3635" s="2" t="s">
        <v>30</v>
      </c>
      <c r="E3635" s="2" t="s">
        <v>31</v>
      </c>
      <c r="F3635" s="11" t="s">
        <v>5258</v>
      </c>
      <c r="G3635" s="49" t="s">
        <v>5083</v>
      </c>
      <c r="H3635" s="2" t="s">
        <v>2004</v>
      </c>
      <c r="I3635" s="10" t="s">
        <v>3364</v>
      </c>
      <c r="J3635" s="22">
        <f>+Tabla1[[#This Row],[FECHA ENTRADA]]</f>
        <v>45897</v>
      </c>
      <c r="K3635" s="22">
        <v>45914</v>
      </c>
      <c r="L3635" s="23">
        <f>_xlfn.DAYS(Tabla1[[#This Row],[FECHA FIN ]],Tabla1[[#This Row],[FECHA INICIO]])</f>
        <v>17</v>
      </c>
      <c r="M3635" s="12"/>
      <c r="N3635" s="12"/>
      <c r="O3635" s="24">
        <f>(Tabla1[[#This Row],[COSTO FIJO ]]/30)*Tabla1[[#This Row],[TOTAL DIAS PROYECTO]]+(Tabla1[[#This Row],[COSTO TEMPORAL]])</f>
        <v>0</v>
      </c>
      <c r="P3635" s="12"/>
      <c r="Q3635" s="12">
        <f>+(Tabla1[[#This Row],[COSTO COCHE]]/30)*Tabla1[[#This Row],[TOTAL DIAS PROYECTO]]</f>
        <v>0</v>
      </c>
      <c r="R3635" s="12">
        <f>+Tabla1[[#This Row],[COSTO TOTAL ALOJAMIENTO]]+Tabla1[[#This Row],[COSTO TOTAL COCHE]]</f>
        <v>0</v>
      </c>
      <c r="S3635" s="2"/>
      <c r="T3635" s="14" t="s">
        <v>44</v>
      </c>
      <c r="U3635" s="14">
        <v>45897</v>
      </c>
      <c r="V3635" s="25">
        <v>45928</v>
      </c>
      <c r="W3635" s="12"/>
      <c r="X3635" s="2">
        <v>25</v>
      </c>
      <c r="Y3635" s="67" t="s">
        <v>5376</v>
      </c>
      <c r="Z3635" s="2" t="s">
        <v>36</v>
      </c>
      <c r="AA3635" s="13" t="s">
        <v>10323</v>
      </c>
      <c r="AB3635" s="13" t="s">
        <v>10324</v>
      </c>
    </row>
    <row r="3636" spans="1:28" ht="15" customHeight="1">
      <c r="A3636" s="2" t="s">
        <v>8642</v>
      </c>
      <c r="B3636" s="2" t="s">
        <v>978</v>
      </c>
      <c r="C3636" s="104" t="s">
        <v>4737</v>
      </c>
      <c r="D3636" s="2" t="s">
        <v>99</v>
      </c>
      <c r="E3636" s="2" t="s">
        <v>855</v>
      </c>
      <c r="F3636" s="11" t="s">
        <v>4990</v>
      </c>
      <c r="G3636" s="49" t="s">
        <v>1474</v>
      </c>
      <c r="H3636" s="2" t="s">
        <v>2677</v>
      </c>
      <c r="I3636" s="12" t="s">
        <v>4512</v>
      </c>
      <c r="J3636" s="22">
        <f>+Tabla1[[#This Row],[FECHA ENTRADA]]</f>
        <v>45900</v>
      </c>
      <c r="K3636" s="22">
        <v>45930</v>
      </c>
      <c r="L3636" s="23">
        <f>_xlfn.DAYS(Tabla1[[#This Row],[FECHA FIN ]],Tabla1[[#This Row],[FECHA INICIO]])</f>
        <v>30</v>
      </c>
      <c r="M3636" s="12"/>
      <c r="N3636" s="24">
        <v>260</v>
      </c>
      <c r="O3636" s="24">
        <f>(Tabla1[[#This Row],[COSTO FIJO ]]/30)*Tabla1[[#This Row],[TOTAL DIAS PROYECTO]]+(Tabla1[[#This Row],[COSTO TEMPORAL]])</f>
        <v>260</v>
      </c>
      <c r="P3636" s="12"/>
      <c r="Q3636" s="12">
        <f>+(Tabla1[[#This Row],[COSTO COCHE]]/30)*Tabla1[[#This Row],[TOTAL DIAS PROYECTO]]</f>
        <v>0</v>
      </c>
      <c r="R3636" s="12">
        <f>+Tabla1[[#This Row],[COSTO TOTAL ALOJAMIENTO]]+Tabla1[[#This Row],[COSTO TOTAL COCHE]]</f>
        <v>260</v>
      </c>
      <c r="S3636" s="2"/>
      <c r="T3636" s="14" t="s">
        <v>44</v>
      </c>
      <c r="U3636" s="14">
        <v>45900</v>
      </c>
      <c r="V3636" s="25">
        <v>45930</v>
      </c>
      <c r="W3636" s="71"/>
      <c r="X3636" s="2"/>
      <c r="Y3636" s="2" t="s">
        <v>4991</v>
      </c>
      <c r="Z3636" s="2" t="s">
        <v>36</v>
      </c>
      <c r="AA3636" s="13" t="s">
        <v>10401</v>
      </c>
      <c r="AB3636" s="13" t="s">
        <v>10402</v>
      </c>
    </row>
    <row r="3637" spans="1:28" ht="15" customHeight="1">
      <c r="A3637" s="2" t="s">
        <v>9783</v>
      </c>
      <c r="B3637" s="2" t="s">
        <v>978</v>
      </c>
      <c r="C3637" s="97" t="s">
        <v>4733</v>
      </c>
      <c r="D3637" s="2" t="s">
        <v>99</v>
      </c>
      <c r="E3637" s="2" t="s">
        <v>855</v>
      </c>
      <c r="F3637" s="11" t="s">
        <v>4990</v>
      </c>
      <c r="G3637" s="49" t="s">
        <v>1474</v>
      </c>
      <c r="H3637" s="2" t="s">
        <v>2677</v>
      </c>
      <c r="I3637" s="12" t="s">
        <v>4512</v>
      </c>
      <c r="J3637" s="22">
        <f>+Tabla1[[#This Row],[FECHA ENTRADA]]</f>
        <v>45900</v>
      </c>
      <c r="K3637" s="22">
        <v>45930</v>
      </c>
      <c r="L3637" s="23">
        <f>_xlfn.DAYS(Tabla1[[#This Row],[FECHA FIN ]],Tabla1[[#This Row],[FECHA INICIO]])</f>
        <v>30</v>
      </c>
      <c r="M3637" s="12"/>
      <c r="N3637" s="24">
        <v>260</v>
      </c>
      <c r="O3637" s="24">
        <f>(Tabla1[[#This Row],[COSTO FIJO ]]/30)*Tabla1[[#This Row],[TOTAL DIAS PROYECTO]]+(Tabla1[[#This Row],[COSTO TEMPORAL]])</f>
        <v>260</v>
      </c>
      <c r="P3637" s="12"/>
      <c r="Q3637" s="12">
        <f>+(Tabla1[[#This Row],[COSTO COCHE]]/30)*Tabla1[[#This Row],[TOTAL DIAS PROYECTO]]</f>
        <v>0</v>
      </c>
      <c r="R3637" s="12">
        <f>+Tabla1[[#This Row],[COSTO TOTAL ALOJAMIENTO]]+Tabla1[[#This Row],[COSTO TOTAL COCHE]]</f>
        <v>260</v>
      </c>
      <c r="S3637" s="2"/>
      <c r="T3637" s="14" t="s">
        <v>44</v>
      </c>
      <c r="U3637" s="14">
        <v>45900</v>
      </c>
      <c r="V3637" s="25">
        <v>45930</v>
      </c>
      <c r="W3637" s="71"/>
      <c r="X3637" s="2"/>
      <c r="Y3637" s="2" t="s">
        <v>4991</v>
      </c>
      <c r="Z3637" s="2" t="s">
        <v>36</v>
      </c>
      <c r="AA3637" s="13" t="s">
        <v>10401</v>
      </c>
      <c r="AB3637" s="13" t="s">
        <v>10402</v>
      </c>
    </row>
    <row r="3638" spans="1:28" s="30" customFormat="1" ht="15" customHeight="1">
      <c r="A3638" s="2" t="s">
        <v>9785</v>
      </c>
      <c r="B3638" s="2" t="s">
        <v>978</v>
      </c>
      <c r="C3638" s="97" t="s">
        <v>4738</v>
      </c>
      <c r="D3638" s="2" t="s">
        <v>99</v>
      </c>
      <c r="E3638" s="2" t="s">
        <v>855</v>
      </c>
      <c r="F3638" s="11" t="s">
        <v>4990</v>
      </c>
      <c r="G3638" s="49" t="s">
        <v>1474</v>
      </c>
      <c r="H3638" s="2" t="s">
        <v>2677</v>
      </c>
      <c r="I3638" s="12" t="s">
        <v>4512</v>
      </c>
      <c r="J3638" s="22">
        <f>+Tabla1[[#This Row],[FECHA ENTRADA]]</f>
        <v>45900</v>
      </c>
      <c r="K3638" s="22">
        <v>45930</v>
      </c>
      <c r="L3638" s="23">
        <f>_xlfn.DAYS(Tabla1[[#This Row],[FECHA FIN ]],Tabla1[[#This Row],[FECHA INICIO]])</f>
        <v>30</v>
      </c>
      <c r="M3638" s="12"/>
      <c r="N3638" s="24">
        <v>260</v>
      </c>
      <c r="O3638" s="24">
        <f>(Tabla1[[#This Row],[COSTO FIJO ]]/30)*Tabla1[[#This Row],[TOTAL DIAS PROYECTO]]+(Tabla1[[#This Row],[COSTO TEMPORAL]])</f>
        <v>260</v>
      </c>
      <c r="P3638" s="12"/>
      <c r="Q3638" s="12">
        <f>+(Tabla1[[#This Row],[COSTO COCHE]]/30)*Tabla1[[#This Row],[TOTAL DIAS PROYECTO]]</f>
        <v>0</v>
      </c>
      <c r="R3638" s="12">
        <f>+Tabla1[[#This Row],[COSTO TOTAL ALOJAMIENTO]]+Tabla1[[#This Row],[COSTO TOTAL COCHE]]</f>
        <v>260</v>
      </c>
      <c r="S3638" s="2"/>
      <c r="T3638" s="14" t="s">
        <v>44</v>
      </c>
      <c r="U3638" s="14">
        <v>45900</v>
      </c>
      <c r="V3638" s="25">
        <v>45930</v>
      </c>
      <c r="W3638" s="71"/>
      <c r="X3638" s="2"/>
      <c r="Y3638" s="2" t="s">
        <v>4991</v>
      </c>
      <c r="Z3638" s="2" t="s">
        <v>36</v>
      </c>
      <c r="AA3638" s="13" t="s">
        <v>10401</v>
      </c>
      <c r="AB3638" s="13" t="s">
        <v>10402</v>
      </c>
    </row>
    <row r="3639" spans="1:28" ht="15" customHeight="1">
      <c r="A3639" s="2" t="s">
        <v>9784</v>
      </c>
      <c r="B3639" s="2" t="s">
        <v>978</v>
      </c>
      <c r="C3639" s="97" t="s">
        <v>4736</v>
      </c>
      <c r="D3639" s="2" t="s">
        <v>99</v>
      </c>
      <c r="E3639" s="2" t="s">
        <v>855</v>
      </c>
      <c r="F3639" s="11" t="s">
        <v>4990</v>
      </c>
      <c r="G3639" s="49" t="s">
        <v>1474</v>
      </c>
      <c r="H3639" s="2" t="s">
        <v>2677</v>
      </c>
      <c r="I3639" s="12" t="s">
        <v>4512</v>
      </c>
      <c r="J3639" s="22">
        <f>+Tabla1[[#This Row],[FECHA ENTRADA]]</f>
        <v>45900</v>
      </c>
      <c r="K3639" s="22">
        <v>45930</v>
      </c>
      <c r="L3639" s="23">
        <f>_xlfn.DAYS(Tabla1[[#This Row],[FECHA FIN ]],Tabla1[[#This Row],[FECHA INICIO]])</f>
        <v>30</v>
      </c>
      <c r="M3639" s="12"/>
      <c r="N3639" s="24">
        <v>260</v>
      </c>
      <c r="O3639" s="24">
        <f>(Tabla1[[#This Row],[COSTO FIJO ]]/30)*Tabla1[[#This Row],[TOTAL DIAS PROYECTO]]+(Tabla1[[#This Row],[COSTO TEMPORAL]])</f>
        <v>260</v>
      </c>
      <c r="P3639" s="12"/>
      <c r="Q3639" s="12">
        <f>+(Tabla1[[#This Row],[COSTO COCHE]]/30)*Tabla1[[#This Row],[TOTAL DIAS PROYECTO]]</f>
        <v>0</v>
      </c>
      <c r="R3639" s="12">
        <f>+Tabla1[[#This Row],[COSTO TOTAL ALOJAMIENTO]]+Tabla1[[#This Row],[COSTO TOTAL COCHE]]</f>
        <v>260</v>
      </c>
      <c r="S3639" s="2"/>
      <c r="T3639" s="14" t="s">
        <v>44</v>
      </c>
      <c r="U3639" s="14">
        <v>45900</v>
      </c>
      <c r="V3639" s="25">
        <v>45930</v>
      </c>
      <c r="W3639" s="71"/>
      <c r="X3639" s="2"/>
      <c r="Y3639" s="2" t="s">
        <v>4991</v>
      </c>
      <c r="Z3639" s="2" t="s">
        <v>36</v>
      </c>
      <c r="AA3639" s="13" t="s">
        <v>10401</v>
      </c>
      <c r="AB3639" s="13" t="s">
        <v>10402</v>
      </c>
    </row>
    <row r="3640" spans="1:28" ht="15" customHeight="1">
      <c r="A3640" s="2" t="s">
        <v>9912</v>
      </c>
      <c r="B3640" s="10" t="s">
        <v>711</v>
      </c>
      <c r="C3640" s="104" t="s">
        <v>5377</v>
      </c>
      <c r="D3640" s="2" t="s">
        <v>30</v>
      </c>
      <c r="E3640" s="2" t="s">
        <v>608</v>
      </c>
      <c r="F3640" s="11" t="s">
        <v>5378</v>
      </c>
      <c r="G3640" s="21" t="s">
        <v>5379</v>
      </c>
      <c r="H3640" s="2" t="s">
        <v>5380</v>
      </c>
      <c r="I3640" s="12" t="s">
        <v>5381</v>
      </c>
      <c r="J3640" s="22">
        <f>+Tabla1[[#This Row],[FECHA ENTRADA]]</f>
        <v>45923</v>
      </c>
      <c r="K3640" s="22">
        <v>45930</v>
      </c>
      <c r="L3640" s="23">
        <f>_xlfn.DAYS(Tabla1[[#This Row],[FECHA FIN ]],Tabla1[[#This Row],[FECHA INICIO]])</f>
        <v>7</v>
      </c>
      <c r="M3640" s="12">
        <v>205</v>
      </c>
      <c r="N3640" s="20"/>
      <c r="O3640" s="24">
        <f>(Tabla1[[#This Row],[COSTO FIJO ]]/30)*Tabla1[[#This Row],[TOTAL DIAS PROYECTO]]+(Tabla1[[#This Row],[COSTO TEMPORAL]])</f>
        <v>205</v>
      </c>
      <c r="P3640" s="12"/>
      <c r="Q3640" s="12">
        <f>+(Tabla1[[#This Row],[COSTO COCHE]]/30)*Tabla1[[#This Row],[TOTAL DIAS PROYECTO]]</f>
        <v>0</v>
      </c>
      <c r="R3640" s="12">
        <f>+Tabla1[[#This Row],[COSTO TOTAL ALOJAMIENTO]]+Tabla1[[#This Row],[COSTO TOTAL COCHE]]</f>
        <v>205</v>
      </c>
      <c r="S3640" s="2" t="s">
        <v>403</v>
      </c>
      <c r="T3640" s="14" t="s">
        <v>44</v>
      </c>
      <c r="U3640" s="14">
        <v>45923</v>
      </c>
      <c r="V3640" s="25">
        <v>45930</v>
      </c>
      <c r="W3640" s="71"/>
      <c r="X3640" s="2"/>
      <c r="Y3640" s="11"/>
      <c r="Z3640" s="2" t="s">
        <v>36</v>
      </c>
      <c r="AA3640" s="13" t="s">
        <v>10383</v>
      </c>
      <c r="AB3640" s="13" t="s">
        <v>10384</v>
      </c>
    </row>
    <row r="3641" spans="1:28" ht="15" customHeight="1">
      <c r="A3641" s="2" t="s">
        <v>9101</v>
      </c>
      <c r="B3641" s="10" t="s">
        <v>711</v>
      </c>
      <c r="C3641" s="104" t="s">
        <v>2027</v>
      </c>
      <c r="D3641" s="2" t="s">
        <v>30</v>
      </c>
      <c r="E3641" s="2" t="s">
        <v>608</v>
      </c>
      <c r="F3641" s="11" t="s">
        <v>5378</v>
      </c>
      <c r="G3641" s="21" t="s">
        <v>5379</v>
      </c>
      <c r="H3641" s="2" t="s">
        <v>5380</v>
      </c>
      <c r="I3641" s="12" t="s">
        <v>5381</v>
      </c>
      <c r="J3641" s="22">
        <f>+Tabla1[[#This Row],[FECHA ENTRADA]]</f>
        <v>45923</v>
      </c>
      <c r="K3641" s="22">
        <v>45930</v>
      </c>
      <c r="L3641" s="23">
        <f>_xlfn.DAYS(Tabla1[[#This Row],[FECHA FIN ]],Tabla1[[#This Row],[FECHA INICIO]])</f>
        <v>7</v>
      </c>
      <c r="M3641" s="12">
        <v>205</v>
      </c>
      <c r="N3641" s="20"/>
      <c r="O3641" s="24">
        <f>(Tabla1[[#This Row],[COSTO FIJO ]]/30)*Tabla1[[#This Row],[TOTAL DIAS PROYECTO]]+(Tabla1[[#This Row],[COSTO TEMPORAL]])</f>
        <v>205</v>
      </c>
      <c r="P3641" s="12"/>
      <c r="Q3641" s="12">
        <f>+(Tabla1[[#This Row],[COSTO COCHE]]/30)*Tabla1[[#This Row],[TOTAL DIAS PROYECTO]]</f>
        <v>0</v>
      </c>
      <c r="R3641" s="12">
        <f>+Tabla1[[#This Row],[COSTO TOTAL ALOJAMIENTO]]+Tabla1[[#This Row],[COSTO TOTAL COCHE]]</f>
        <v>205</v>
      </c>
      <c r="S3641" s="2" t="s">
        <v>403</v>
      </c>
      <c r="T3641" s="14" t="s">
        <v>44</v>
      </c>
      <c r="U3641" s="14">
        <v>45923</v>
      </c>
      <c r="V3641" s="25">
        <v>45930</v>
      </c>
      <c r="W3641" s="71"/>
      <c r="X3641" s="2"/>
      <c r="Y3641" s="11"/>
      <c r="Z3641" s="2" t="s">
        <v>36</v>
      </c>
      <c r="AA3641" s="13" t="s">
        <v>10383</v>
      </c>
      <c r="AB3641" s="13" t="s">
        <v>10384</v>
      </c>
    </row>
    <row r="3642" spans="1:28" ht="15" customHeight="1">
      <c r="A3642" s="2" t="s">
        <v>9827</v>
      </c>
      <c r="B3642" s="2" t="s">
        <v>28</v>
      </c>
      <c r="C3642" s="274" t="s">
        <v>4929</v>
      </c>
      <c r="D3642" s="2" t="s">
        <v>749</v>
      </c>
      <c r="E3642" s="2" t="s">
        <v>288</v>
      </c>
      <c r="F3642" s="11" t="s">
        <v>4873</v>
      </c>
      <c r="G3642" s="21" t="s">
        <v>4752</v>
      </c>
      <c r="H3642" s="2" t="s">
        <v>4930</v>
      </c>
      <c r="I3642" s="10" t="s">
        <v>753</v>
      </c>
      <c r="J3642" s="41">
        <f>+Tabla1[[#This Row],[FECHA ENTRADA]]</f>
        <v>45893</v>
      </c>
      <c r="K3642" s="22">
        <v>46022</v>
      </c>
      <c r="L3642" s="42">
        <f>_xlfn.DAYS(Tabla1[[#This Row],[FECHA FIN ]],Tabla1[[#This Row],[FECHA INICIO]])</f>
        <v>129</v>
      </c>
      <c r="M3642" s="12">
        <v>500</v>
      </c>
      <c r="N3642" s="28"/>
      <c r="O3642" s="28">
        <f>(Tabla1[[#This Row],[COSTO FIJO ]]/30)*Tabla1[[#This Row],[TOTAL DIAS PROYECTO]]+(Tabla1[[#This Row],[COSTO TEMPORAL]])</f>
        <v>500</v>
      </c>
      <c r="P3642" s="12"/>
      <c r="Q3642" s="12">
        <f>+(Tabla1[[#This Row],[COSTO COCHE]]/30)*Tabla1[[#This Row],[TOTAL DIAS PROYECTO]]</f>
        <v>0</v>
      </c>
      <c r="R3642" s="12">
        <f>+Tabla1[[#This Row],[COSTO TOTAL ALOJAMIENTO]]+Tabla1[[#This Row],[COSTO TOTAL COCHE]]</f>
        <v>500</v>
      </c>
      <c r="S3642" s="2"/>
      <c r="T3642" s="14" t="s">
        <v>44</v>
      </c>
      <c r="U3642" s="14">
        <v>45893</v>
      </c>
      <c r="V3642" s="25">
        <v>46023</v>
      </c>
      <c r="W3642" s="12"/>
      <c r="X3642" s="2"/>
      <c r="Y3642" s="11" t="s">
        <v>4874</v>
      </c>
      <c r="Z3642" s="2" t="s">
        <v>36</v>
      </c>
      <c r="AA3642" s="13" t="s">
        <v>10362</v>
      </c>
      <c r="AB3642" s="13" t="s">
        <v>10363</v>
      </c>
    </row>
    <row r="3643" spans="1:28" ht="15" customHeight="1">
      <c r="A3643" s="2" t="s">
        <v>9910</v>
      </c>
      <c r="B3643" s="2" t="s">
        <v>978</v>
      </c>
      <c r="C3643" s="104" t="s">
        <v>5372</v>
      </c>
      <c r="D3643" s="2" t="s">
        <v>99</v>
      </c>
      <c r="E3643" s="2" t="s">
        <v>245</v>
      </c>
      <c r="F3643" s="11"/>
      <c r="G3643" s="30"/>
      <c r="H3643" s="2" t="s">
        <v>2957</v>
      </c>
      <c r="I3643" s="116" t="s">
        <v>5314</v>
      </c>
      <c r="J3643" s="41">
        <f>+Tabla1[[#This Row],[FECHA ENTRADA]]</f>
        <v>45840</v>
      </c>
      <c r="K3643" s="41">
        <v>45840</v>
      </c>
      <c r="L3643" s="42">
        <f>_xlfn.DAYS(Tabla1[[#This Row],[FECHA FIN ]],Tabla1[[#This Row],[FECHA INICIO]])</f>
        <v>0</v>
      </c>
      <c r="M3643" s="12"/>
      <c r="N3643" s="12">
        <f>75.88/2</f>
        <v>37.94</v>
      </c>
      <c r="O3643" s="28">
        <f>(Tabla1[[#This Row],[COSTO FIJO ]]/30)*Tabla1[[#This Row],[TOTAL DIAS PROYECTO]]+(Tabla1[[#This Row],[COSTO TEMPORAL]])</f>
        <v>0</v>
      </c>
      <c r="P3643" s="12"/>
      <c r="Q3643" s="12">
        <f>+(Tabla1[[#This Row],[COSTO COCHE]]/30)*Tabla1[[#This Row],[TOTAL DIAS PROYECTO]]</f>
        <v>0</v>
      </c>
      <c r="R3643" s="12">
        <f>+Tabla1[[#This Row],[COSTO TOTAL ALOJAMIENTO]]+Tabla1[[#This Row],[COSTO TOTAL COCHE]]</f>
        <v>0</v>
      </c>
      <c r="S3643" s="2"/>
      <c r="T3643" s="14" t="s">
        <v>44</v>
      </c>
      <c r="U3643" s="14">
        <v>45840</v>
      </c>
      <c r="V3643" s="43">
        <v>45841</v>
      </c>
      <c r="W3643" s="12"/>
      <c r="X3643" s="2"/>
      <c r="Y3643" s="11"/>
      <c r="Z3643" s="2" t="s">
        <v>36</v>
      </c>
      <c r="AA3643" s="13" t="s">
        <v>10355</v>
      </c>
      <c r="AB3643" s="13" t="s">
        <v>10356</v>
      </c>
    </row>
    <row r="3644" spans="1:28" ht="15" customHeight="1">
      <c r="A3644" s="2" t="s">
        <v>9913</v>
      </c>
      <c r="B3644" s="2" t="s">
        <v>711</v>
      </c>
      <c r="C3644" s="104" t="s">
        <v>5382</v>
      </c>
      <c r="D3644" s="2" t="s">
        <v>99</v>
      </c>
      <c r="E3644" s="2" t="s">
        <v>245</v>
      </c>
      <c r="F3644" s="11" t="s">
        <v>5383</v>
      </c>
      <c r="G3644" s="46" t="s">
        <v>5384</v>
      </c>
      <c r="H3644" s="2" t="s">
        <v>5385</v>
      </c>
      <c r="I3644" s="12" t="s">
        <v>1019</v>
      </c>
      <c r="J3644" s="41">
        <f>+Tabla1[[#This Row],[FECHA ENTRADA]]</f>
        <v>45854</v>
      </c>
      <c r="K3644" s="41">
        <v>45861</v>
      </c>
      <c r="L3644" s="42">
        <f>_xlfn.DAYS(Tabla1[[#This Row],[FECHA FIN ]],Tabla1[[#This Row],[FECHA INICIO]])</f>
        <v>7</v>
      </c>
      <c r="M3644" s="12"/>
      <c r="N3644" s="12">
        <v>399.41</v>
      </c>
      <c r="O3644" s="28">
        <f>(Tabla1[[#This Row],[COSTO FIJO ]]/30)*Tabla1[[#This Row],[TOTAL DIAS PROYECTO]]+(Tabla1[[#This Row],[COSTO TEMPORAL]])</f>
        <v>93.195666666666682</v>
      </c>
      <c r="P3644" s="12"/>
      <c r="Q3644" s="12">
        <f>+(Tabla1[[#This Row],[COSTO COCHE]]/30)*Tabla1[[#This Row],[TOTAL DIAS PROYECTO]]</f>
        <v>0</v>
      </c>
      <c r="R3644" s="12">
        <f>+Tabla1[[#This Row],[COSTO TOTAL ALOJAMIENTO]]+Tabla1[[#This Row],[COSTO TOTAL COCHE]]</f>
        <v>93.195666666666682</v>
      </c>
      <c r="S3644" s="2"/>
      <c r="T3644" s="14" t="s">
        <v>44</v>
      </c>
      <c r="U3644" s="14">
        <v>45854</v>
      </c>
      <c r="V3644" s="43">
        <v>45861</v>
      </c>
      <c r="W3644" s="12"/>
      <c r="X3644" s="2"/>
      <c r="Y3644" s="11" t="s">
        <v>4968</v>
      </c>
      <c r="Z3644" s="2" t="s">
        <v>36</v>
      </c>
      <c r="AA3644" s="13" t="s">
        <v>10355</v>
      </c>
      <c r="AB3644" s="13" t="s">
        <v>10356</v>
      </c>
    </row>
    <row r="3645" spans="1:28" ht="15" customHeight="1">
      <c r="A3645" s="2" t="s">
        <v>9913</v>
      </c>
      <c r="B3645" s="2" t="s">
        <v>711</v>
      </c>
      <c r="C3645" s="104" t="s">
        <v>5382</v>
      </c>
      <c r="D3645" s="2" t="s">
        <v>99</v>
      </c>
      <c r="E3645" s="2" t="s">
        <v>245</v>
      </c>
      <c r="F3645" s="11" t="s">
        <v>5386</v>
      </c>
      <c r="G3645" s="46" t="s">
        <v>5387</v>
      </c>
      <c r="H3645" s="2" t="s">
        <v>5385</v>
      </c>
      <c r="I3645" s="12" t="s">
        <v>1019</v>
      </c>
      <c r="J3645" s="41">
        <f>+Tabla1[[#This Row],[FECHA ENTRADA]]</f>
        <v>45861</v>
      </c>
      <c r="K3645" s="41">
        <v>45865</v>
      </c>
      <c r="L3645" s="42">
        <f>_xlfn.DAYS(Tabla1[[#This Row],[FECHA FIN ]],Tabla1[[#This Row],[FECHA INICIO]])</f>
        <v>4</v>
      </c>
      <c r="M3645" s="12"/>
      <c r="N3645" s="12"/>
      <c r="O3645" s="28">
        <f>(Tabla1[[#This Row],[COSTO FIJO ]]/30)*Tabla1[[#This Row],[TOTAL DIAS PROYECTO]]+(Tabla1[[#This Row],[COSTO TEMPORAL]])</f>
        <v>0</v>
      </c>
      <c r="P3645" s="12"/>
      <c r="Q3645" s="12">
        <f>+(Tabla1[[#This Row],[COSTO COCHE]]/30)*Tabla1[[#This Row],[TOTAL DIAS PROYECTO]]</f>
        <v>0</v>
      </c>
      <c r="R3645" s="12">
        <f>+Tabla1[[#This Row],[COSTO TOTAL ALOJAMIENTO]]+Tabla1[[#This Row],[COSTO TOTAL COCHE]]</f>
        <v>0</v>
      </c>
      <c r="S3645" s="2"/>
      <c r="T3645" s="14" t="s">
        <v>35</v>
      </c>
      <c r="U3645" s="14">
        <v>45861</v>
      </c>
      <c r="V3645" s="43"/>
      <c r="W3645" s="12"/>
      <c r="X3645" s="2">
        <v>20</v>
      </c>
      <c r="Y3645" s="11" t="s">
        <v>5388</v>
      </c>
      <c r="Z3645" s="2" t="s">
        <v>36</v>
      </c>
      <c r="AA3645" s="13" t="s">
        <v>10355</v>
      </c>
      <c r="AB3645" s="13" t="s">
        <v>10356</v>
      </c>
    </row>
    <row r="3646" spans="1:28" ht="15" customHeight="1">
      <c r="A3646" s="2" t="s">
        <v>9751</v>
      </c>
      <c r="B3646" s="2" t="s">
        <v>978</v>
      </c>
      <c r="C3646" s="97" t="s">
        <v>4555</v>
      </c>
      <c r="D3646" s="2" t="s">
        <v>30</v>
      </c>
      <c r="E3646" s="2" t="s">
        <v>245</v>
      </c>
      <c r="F3646" s="11" t="s">
        <v>5045</v>
      </c>
      <c r="G3646" s="49" t="s">
        <v>5046</v>
      </c>
      <c r="H3646" s="2" t="s">
        <v>5389</v>
      </c>
      <c r="I3646" s="12" t="s">
        <v>5047</v>
      </c>
      <c r="J3646" s="22">
        <f>+Tabla1[[#This Row],[FECHA ENTRADA]]</f>
        <v>45880</v>
      </c>
      <c r="K3646" s="22">
        <v>45916</v>
      </c>
      <c r="L3646" s="23">
        <f>_xlfn.DAYS(Tabla1[[#This Row],[FECHA FIN ]],Tabla1[[#This Row],[FECHA INICIO]])</f>
        <v>36</v>
      </c>
      <c r="M3646" s="12"/>
      <c r="N3646" s="12">
        <f>30*Tabla1[[#This Row],[TOTAL DIAS PROYECTO]]</f>
        <v>1080</v>
      </c>
      <c r="O3646" s="24">
        <f>(Tabla1[[#This Row],[COSTO FIJO ]]/30)*Tabla1[[#This Row],[TOTAL DIAS PROYECTO]]+(Tabla1[[#This Row],[COSTO TEMPORAL]])</f>
        <v>1296</v>
      </c>
      <c r="P3646" s="12"/>
      <c r="Q3646" s="12">
        <f>+(Tabla1[[#This Row],[COSTO COCHE]]/30)*Tabla1[[#This Row],[TOTAL DIAS PROYECTO]]</f>
        <v>0</v>
      </c>
      <c r="R3646" s="12">
        <f>+Tabla1[[#This Row],[COSTO TOTAL ALOJAMIENTO]]+Tabla1[[#This Row],[COSTO TOTAL COCHE]]</f>
        <v>1296</v>
      </c>
      <c r="S3646" s="2"/>
      <c r="T3646" s="14" t="s">
        <v>44</v>
      </c>
      <c r="U3646" s="14">
        <v>45880</v>
      </c>
      <c r="V3646" s="43">
        <v>45916</v>
      </c>
      <c r="W3646" s="12"/>
      <c r="X3646" s="2"/>
      <c r="Y3646" s="11" t="s">
        <v>5390</v>
      </c>
      <c r="Z3646" s="2" t="s">
        <v>36</v>
      </c>
      <c r="AA3646" s="13" t="s">
        <v>10355</v>
      </c>
      <c r="AB3646" s="13" t="s">
        <v>10356</v>
      </c>
    </row>
    <row r="3647" spans="1:28" ht="15" customHeight="1">
      <c r="A3647" s="2" t="s">
        <v>9898</v>
      </c>
      <c r="B3647" s="2" t="s">
        <v>28</v>
      </c>
      <c r="C3647" s="11" t="s">
        <v>5259</v>
      </c>
      <c r="D3647" s="2" t="s">
        <v>30</v>
      </c>
      <c r="E3647" s="2" t="s">
        <v>127</v>
      </c>
      <c r="F3647" s="11" t="s">
        <v>820</v>
      </c>
      <c r="G3647" s="21" t="s">
        <v>1234</v>
      </c>
      <c r="H3647" s="2" t="s">
        <v>1509</v>
      </c>
      <c r="I3647" s="12" t="s">
        <v>96</v>
      </c>
      <c r="J3647" s="22">
        <f>+Tabla1[[#This Row],[FECHA ENTRADA]]</f>
        <v>45798</v>
      </c>
      <c r="K3647" s="8">
        <v>45857</v>
      </c>
      <c r="L3647" s="23">
        <f>_xlfn.DAYS(Tabla1[[#This Row],[FECHA FIN ]],Tabla1[[#This Row],[FECHA INICIO]])</f>
        <v>59</v>
      </c>
      <c r="M3647" s="12"/>
      <c r="N3647" s="12"/>
      <c r="O3647" s="24">
        <f>(Tabla1[[#This Row],[COSTO FIJO ]]/30)*Tabla1[[#This Row],[TOTAL DIAS PROYECTO]]+(Tabla1[[#This Row],[COSTO TEMPORAL]])</f>
        <v>0</v>
      </c>
      <c r="P3647" s="12"/>
      <c r="Q3647" s="12">
        <f>+(Tabla1[[#This Row],[COSTO COCHE]]/30)*Tabla1[[#This Row],[TOTAL DIAS PROYECTO]]</f>
        <v>0</v>
      </c>
      <c r="R3647" s="12">
        <f>+Tabla1[[#This Row],[COSTO TOTAL ALOJAMIENTO]]+Tabla1[[#This Row],[COSTO TOTAL COCHE]]</f>
        <v>0</v>
      </c>
      <c r="S3647" s="2"/>
      <c r="T3647" s="2" t="s">
        <v>44</v>
      </c>
      <c r="U3647" s="14">
        <v>45798</v>
      </c>
      <c r="V3647" s="25">
        <v>45857</v>
      </c>
      <c r="W3647" s="26"/>
      <c r="X3647" s="2"/>
      <c r="Y3647" s="11" t="s">
        <v>5391</v>
      </c>
      <c r="Z3647" s="2" t="s">
        <v>36</v>
      </c>
      <c r="AA3647" s="13" t="s">
        <v>10342</v>
      </c>
      <c r="AB3647" s="13" t="s">
        <v>10343</v>
      </c>
    </row>
    <row r="3648" spans="1:28" ht="15" customHeight="1">
      <c r="A3648" s="2" t="s">
        <v>9898</v>
      </c>
      <c r="B3648" s="2" t="s">
        <v>711</v>
      </c>
      <c r="C3648" s="97" t="s">
        <v>5259</v>
      </c>
      <c r="D3648" s="2" t="s">
        <v>30</v>
      </c>
      <c r="E3648" s="2" t="s">
        <v>127</v>
      </c>
      <c r="F3648" s="11"/>
      <c r="G3648" s="46"/>
      <c r="H3648" s="2" t="s">
        <v>1509</v>
      </c>
      <c r="I3648" s="12" t="s">
        <v>96</v>
      </c>
      <c r="J3648" s="41">
        <f>+Tabla1[[#This Row],[FECHA ENTRADA]]</f>
        <v>45857</v>
      </c>
      <c r="K3648" s="41">
        <v>46228</v>
      </c>
      <c r="L3648" s="42">
        <f>_xlfn.DAYS(Tabla1[[#This Row],[FECHA FIN ]],Tabla1[[#This Row],[FECHA INICIO]])</f>
        <v>371</v>
      </c>
      <c r="M3648" s="12"/>
      <c r="N3648" s="20">
        <v>300</v>
      </c>
      <c r="O3648" s="28">
        <f>(Tabla1[[#This Row],[COSTO FIJO ]]/30)*Tabla1[[#This Row],[TOTAL DIAS PROYECTO]]+(Tabla1[[#This Row],[COSTO TEMPORAL]])</f>
        <v>3710</v>
      </c>
      <c r="P3648" s="12"/>
      <c r="Q3648" s="12">
        <f>+(Tabla1[[#This Row],[COSTO COCHE]]/30)*Tabla1[[#This Row],[TOTAL DIAS PROYECTO]]</f>
        <v>0</v>
      </c>
      <c r="R3648" s="12">
        <f>+Tabla1[[#This Row],[COSTO TOTAL ALOJAMIENTO]]+Tabla1[[#This Row],[COSTO TOTAL COCHE]]</f>
        <v>3710</v>
      </c>
      <c r="S3648" s="2"/>
      <c r="T3648" s="14" t="s">
        <v>58</v>
      </c>
      <c r="U3648" s="14">
        <v>45857</v>
      </c>
      <c r="V3648" s="43"/>
      <c r="W3648" s="12"/>
      <c r="X3648" s="2"/>
      <c r="Y3648" s="11" t="s">
        <v>5392</v>
      </c>
      <c r="Z3648" s="2" t="s">
        <v>36</v>
      </c>
      <c r="AA3648" s="13" t="s">
        <v>10342</v>
      </c>
      <c r="AB3648" s="13" t="s">
        <v>10343</v>
      </c>
    </row>
    <row r="3649" spans="1:28" ht="15" customHeight="1">
      <c r="A3649" s="2" t="s">
        <v>9914</v>
      </c>
      <c r="B3649" s="2" t="s">
        <v>28</v>
      </c>
      <c r="C3649" s="115" t="s">
        <v>5393</v>
      </c>
      <c r="D3649" s="2" t="s">
        <v>30</v>
      </c>
      <c r="E3649" s="2" t="s">
        <v>92</v>
      </c>
      <c r="F3649" s="11" t="s">
        <v>93</v>
      </c>
      <c r="G3649" s="11" t="s">
        <v>94</v>
      </c>
      <c r="H3649" s="2" t="s">
        <v>2459</v>
      </c>
      <c r="I3649" s="12" t="s">
        <v>96</v>
      </c>
      <c r="J3649" s="8">
        <f>+Tabla1[[#This Row],[FECHA ENTRADA]]</f>
        <v>45375</v>
      </c>
      <c r="K3649" s="22">
        <v>45821</v>
      </c>
      <c r="L3649" s="13">
        <f>_xlfn.DAYS(Tabla1[[#This Row],[FECHA FIN ]],Tabla1[[#This Row],[FECHA INICIO]])</f>
        <v>446</v>
      </c>
      <c r="M3649" s="12"/>
      <c r="N3649" s="12">
        <v>312.5</v>
      </c>
      <c r="O3649" s="12">
        <f>(Tabla1[[#This Row],[COSTO FIJO ]]/30)*Tabla1[[#This Row],[TOTAL DIAS PROYECTO]]+(Tabla1[[#This Row],[COSTO TEMPORAL]])</f>
        <v>4645.833333333333</v>
      </c>
      <c r="P3649" s="12"/>
      <c r="Q3649" s="12">
        <f>+(Tabla1[[#This Row],[COSTO COCHE]]/30)*Tabla1[[#This Row],[TOTAL DIAS PROYECTO]]</f>
        <v>0</v>
      </c>
      <c r="R3649" s="12">
        <f>+Tabla1[[#This Row],[COSTO TOTAL ALOJAMIENTO]]+Tabla1[[#This Row],[COSTO TOTAL COCHE]]</f>
        <v>4645.833333333333</v>
      </c>
      <c r="S3649" s="2"/>
      <c r="T3649" s="2" t="s">
        <v>35</v>
      </c>
      <c r="U3649" s="14">
        <v>45375</v>
      </c>
      <c r="V3649" s="14"/>
      <c r="W3649" s="15"/>
      <c r="X3649" s="16">
        <v>11</v>
      </c>
      <c r="Y3649" s="31" t="s">
        <v>5394</v>
      </c>
      <c r="Z3649" s="2" t="s">
        <v>36</v>
      </c>
      <c r="AA3649" s="13" t="s">
        <v>10336</v>
      </c>
      <c r="AB3649" s="13" t="s">
        <v>10337</v>
      </c>
    </row>
    <row r="3650" spans="1:28" ht="15" customHeight="1">
      <c r="A3650" s="2" t="s">
        <v>9915</v>
      </c>
      <c r="B3650" s="2" t="s">
        <v>28</v>
      </c>
      <c r="C3650" s="115" t="s">
        <v>5395</v>
      </c>
      <c r="D3650" s="2" t="s">
        <v>30</v>
      </c>
      <c r="E3650" s="2" t="s">
        <v>1404</v>
      </c>
      <c r="F3650" s="11" t="s">
        <v>5396</v>
      </c>
      <c r="G3650" s="11" t="s">
        <v>5397</v>
      </c>
      <c r="H3650" s="2" t="s">
        <v>5398</v>
      </c>
      <c r="I3650" s="12" t="s">
        <v>96</v>
      </c>
      <c r="J3650" s="41">
        <f>+Tabla1[[#This Row],[FECHA ENTRADA]]</f>
        <v>45587</v>
      </c>
      <c r="K3650" s="22">
        <v>45821</v>
      </c>
      <c r="L3650" s="42">
        <f>_xlfn.DAYS(Tabla1[[#This Row],[FECHA FIN ]],Tabla1[[#This Row],[FECHA INICIO]])</f>
        <v>234</v>
      </c>
      <c r="M3650" s="12"/>
      <c r="N3650" s="20"/>
      <c r="O3650" s="28">
        <f>(Tabla1[[#This Row],[COSTO FIJO ]]/30)*Tabla1[[#This Row],[TOTAL DIAS PROYECTO]]+(Tabla1[[#This Row],[COSTO TEMPORAL]])</f>
        <v>0</v>
      </c>
      <c r="P3650" s="12">
        <f>+(784.73*50%)/4</f>
        <v>98.091250000000002</v>
      </c>
      <c r="Q3650" s="12">
        <f>+(Tabla1[[#This Row],[COSTO COCHE]]/30)*Tabla1[[#This Row],[TOTAL DIAS PROYECTO]]</f>
        <v>765.11175000000003</v>
      </c>
      <c r="R3650" s="12">
        <f>+Tabla1[[#This Row],[COSTO TOTAL ALOJAMIENTO]]+Tabla1[[#This Row],[COSTO TOTAL COCHE]]</f>
        <v>765.11175000000003</v>
      </c>
      <c r="S3650" s="2"/>
      <c r="T3650" s="2" t="s">
        <v>44</v>
      </c>
      <c r="U3650" s="14">
        <v>45587</v>
      </c>
      <c r="V3650" s="14">
        <v>45625</v>
      </c>
      <c r="W3650" s="26"/>
      <c r="X3650" s="2"/>
      <c r="Y3650" s="11" t="s">
        <v>5399</v>
      </c>
      <c r="Z3650" s="2" t="s">
        <v>36</v>
      </c>
      <c r="AA3650" s="13" t="s">
        <v>10418</v>
      </c>
      <c r="AB3650" s="13" t="s">
        <v>10419</v>
      </c>
    </row>
    <row r="3651" spans="1:28" ht="30.75" customHeight="1">
      <c r="A3651" s="2" t="s">
        <v>9916</v>
      </c>
      <c r="B3651" s="2" t="s">
        <v>711</v>
      </c>
      <c r="C3651" s="104" t="s">
        <v>5400</v>
      </c>
      <c r="D3651" s="2" t="s">
        <v>99</v>
      </c>
      <c r="E3651" s="2" t="s">
        <v>1719</v>
      </c>
      <c r="F3651" s="11" t="s">
        <v>5401</v>
      </c>
      <c r="G3651" s="21" t="s">
        <v>5402</v>
      </c>
      <c r="H3651" s="2" t="s">
        <v>5403</v>
      </c>
      <c r="I3651" s="12" t="s">
        <v>5139</v>
      </c>
      <c r="J3651" s="41">
        <f>+Tabla1[[#This Row],[FECHA ENTRADA]]</f>
        <v>45918</v>
      </c>
      <c r="K3651" s="41">
        <v>45931</v>
      </c>
      <c r="L3651" s="42">
        <f>_xlfn.DAYS(Tabla1[[#This Row],[FECHA FIN ]],Tabla1[[#This Row],[FECHA INICIO]])</f>
        <v>13</v>
      </c>
      <c r="M3651" s="12"/>
      <c r="N3651" s="28"/>
      <c r="O3651" s="28">
        <f>(Tabla1[[#This Row],[COSTO FIJO ]]/30)*Tabla1[[#This Row],[TOTAL DIAS PROYECTO]]+(Tabla1[[#This Row],[COSTO TEMPORAL]])</f>
        <v>0</v>
      </c>
      <c r="P3651" s="12"/>
      <c r="Q3651" s="12">
        <f>+(Tabla1[[#This Row],[COSTO COCHE]]/30)*Tabla1[[#This Row],[TOTAL DIAS PROYECTO]]</f>
        <v>0</v>
      </c>
      <c r="R3651" s="12">
        <f>+Tabla1[[#This Row],[COSTO TOTAL ALOJAMIENTO]]+Tabla1[[#This Row],[COSTO TOTAL COCHE]]</f>
        <v>0</v>
      </c>
      <c r="S3651" s="2" t="s">
        <v>84</v>
      </c>
      <c r="T3651" s="14" t="s">
        <v>44</v>
      </c>
      <c r="U3651" s="14">
        <v>45918</v>
      </c>
      <c r="V3651" s="25">
        <v>45931</v>
      </c>
      <c r="W3651" s="71"/>
      <c r="X3651" s="2"/>
      <c r="Y3651" s="136" t="s">
        <v>3697</v>
      </c>
      <c r="Z3651" s="2" t="s">
        <v>36</v>
      </c>
      <c r="AA3651" s="13" t="s">
        <v>10427</v>
      </c>
      <c r="AB3651" s="13">
        <v>4260003</v>
      </c>
    </row>
    <row r="3652" spans="1:28" ht="15" customHeight="1">
      <c r="A3652" s="2" t="s">
        <v>9904</v>
      </c>
      <c r="B3652" s="2" t="s">
        <v>28</v>
      </c>
      <c r="C3652" s="104" t="s">
        <v>5318</v>
      </c>
      <c r="D3652" s="2" t="s">
        <v>99</v>
      </c>
      <c r="E3652" s="2" t="s">
        <v>55</v>
      </c>
      <c r="F3652" s="11" t="s">
        <v>1618</v>
      </c>
      <c r="G3652" s="49" t="s">
        <v>5359</v>
      </c>
      <c r="H3652" s="2" t="s">
        <v>5404</v>
      </c>
      <c r="I3652" s="12" t="s">
        <v>1067</v>
      </c>
      <c r="J3652" s="41">
        <f>+Tabla1[[#This Row],[FECHA ENTRADA]]</f>
        <v>45929</v>
      </c>
      <c r="K3652" s="22">
        <v>45931</v>
      </c>
      <c r="L3652" s="42">
        <f>_xlfn.DAYS(Tabla1[[#This Row],[FECHA FIN ]],Tabla1[[#This Row],[FECHA INICIO]])</f>
        <v>2</v>
      </c>
      <c r="M3652" s="12">
        <f>(450+100)/2</f>
        <v>275</v>
      </c>
      <c r="N3652" s="28"/>
      <c r="O3652" s="28">
        <f>(Tabla1[[#This Row],[COSTO FIJO ]]/30)*Tabla1[[#This Row],[TOTAL DIAS PROYECTO]]+(Tabla1[[#This Row],[COSTO TEMPORAL]])</f>
        <v>275</v>
      </c>
      <c r="P3652" s="12"/>
      <c r="Q3652" s="12">
        <f>+(Tabla1[[#This Row],[COSTO COCHE]]/30)*Tabla1[[#This Row],[TOTAL DIAS PROYECTO]]</f>
        <v>0</v>
      </c>
      <c r="R3652" s="12">
        <f>+Tabla1[[#This Row],[COSTO TOTAL ALOJAMIENTO]]+Tabla1[[#This Row],[COSTO TOTAL COCHE]]</f>
        <v>275</v>
      </c>
      <c r="S3652" s="2"/>
      <c r="T3652" s="14" t="s">
        <v>44</v>
      </c>
      <c r="U3652" s="14">
        <v>45929</v>
      </c>
      <c r="V3652" s="43">
        <v>45933</v>
      </c>
      <c r="W3652" s="71"/>
      <c r="X3652" s="2"/>
      <c r="Y3652" s="11"/>
      <c r="Z3652" s="2" t="s">
        <v>36</v>
      </c>
      <c r="AA3652" s="13" t="s">
        <v>10327</v>
      </c>
      <c r="AB3652" s="13" t="s">
        <v>10328</v>
      </c>
    </row>
    <row r="3653" spans="1:28" ht="15" customHeight="1">
      <c r="A3653" s="2" t="s">
        <v>9917</v>
      </c>
      <c r="B3653" s="2" t="s">
        <v>28</v>
      </c>
      <c r="C3653" s="97" t="s">
        <v>5405</v>
      </c>
      <c r="D3653" s="2" t="s">
        <v>99</v>
      </c>
      <c r="E3653" s="2" t="s">
        <v>31</v>
      </c>
      <c r="F3653" s="11" t="s">
        <v>715</v>
      </c>
      <c r="G3653" s="11" t="s">
        <v>716</v>
      </c>
      <c r="H3653" s="2" t="s">
        <v>5406</v>
      </c>
      <c r="I3653" s="12" t="s">
        <v>357</v>
      </c>
      <c r="J3653" s="41">
        <f>+Tabla1[[#This Row],[FECHA ENTRADA]]</f>
        <v>45882</v>
      </c>
      <c r="K3653" s="41">
        <v>45932</v>
      </c>
      <c r="L3653" s="42">
        <f>_xlfn.DAYS(Tabla1[[#This Row],[FECHA FIN ]],Tabla1[[#This Row],[FECHA INICIO]])</f>
        <v>50</v>
      </c>
      <c r="M3653" s="12"/>
      <c r="N3653" s="12">
        <v>160</v>
      </c>
      <c r="O3653" s="28">
        <f>(Tabla1[[#This Row],[COSTO FIJO ]]/30)*Tabla1[[#This Row],[TOTAL DIAS PROYECTO]]+(Tabla1[[#This Row],[COSTO TEMPORAL]])</f>
        <v>266.66666666666663</v>
      </c>
      <c r="P3653" s="12"/>
      <c r="Q3653" s="12">
        <f>+(Tabla1[[#This Row],[COSTO COCHE]]/30)*Tabla1[[#This Row],[TOTAL DIAS PROYECTO]]</f>
        <v>0</v>
      </c>
      <c r="R3653" s="12">
        <f>+Tabla1[[#This Row],[COSTO TOTAL ALOJAMIENTO]]+Tabla1[[#This Row],[COSTO TOTAL COCHE]]</f>
        <v>266.66666666666663</v>
      </c>
      <c r="S3653" s="2"/>
      <c r="T3653" s="14" t="s">
        <v>35</v>
      </c>
      <c r="U3653" s="14">
        <v>45882</v>
      </c>
      <c r="V3653" s="43"/>
      <c r="W3653" s="12"/>
      <c r="X3653" s="2">
        <v>1</v>
      </c>
      <c r="Y3653" s="202" t="s">
        <v>5407</v>
      </c>
      <c r="Z3653" s="2" t="s">
        <v>36</v>
      </c>
      <c r="AA3653" s="13" t="s">
        <v>10323</v>
      </c>
      <c r="AB3653" s="13" t="s">
        <v>10324</v>
      </c>
    </row>
    <row r="3654" spans="1:28" ht="15" customHeight="1">
      <c r="A3654" s="2" t="s">
        <v>9445</v>
      </c>
      <c r="B3654" s="2" t="s">
        <v>368</v>
      </c>
      <c r="C3654" s="97" t="s">
        <v>3209</v>
      </c>
      <c r="D3654" s="2" t="s">
        <v>99</v>
      </c>
      <c r="E3654" s="2" t="s">
        <v>31</v>
      </c>
      <c r="F3654" s="11" t="s">
        <v>451</v>
      </c>
      <c r="G3654" s="50" t="s">
        <v>452</v>
      </c>
      <c r="H3654" s="2" t="s">
        <v>4004</v>
      </c>
      <c r="I3654" s="29" t="s">
        <v>4005</v>
      </c>
      <c r="J3654" s="22">
        <f>+Tabla1[[#This Row],[FECHA ENTRADA]]</f>
        <v>45796</v>
      </c>
      <c r="K3654" s="22">
        <v>45932</v>
      </c>
      <c r="L3654" s="23">
        <f>_xlfn.DAYS(Tabla1[[#This Row],[FECHA FIN ]],Tabla1[[#This Row],[FECHA INICIO]])</f>
        <v>136</v>
      </c>
      <c r="M3654" s="12"/>
      <c r="N3654" s="12">
        <v>340</v>
      </c>
      <c r="O3654" s="24">
        <f>(Tabla1[[#This Row],[COSTO FIJO ]]/30)*Tabla1[[#This Row],[TOTAL DIAS PROYECTO]]+(Tabla1[[#This Row],[COSTO TEMPORAL]])</f>
        <v>1541.3333333333335</v>
      </c>
      <c r="P3654" s="12"/>
      <c r="Q3654" s="12">
        <f>+(Tabla1[[#This Row],[COSTO COCHE]]/30)*Tabla1[[#This Row],[TOTAL DIAS PROYECTO]]</f>
        <v>0</v>
      </c>
      <c r="R3654" s="12">
        <f>+Tabla1[[#This Row],[COSTO TOTAL ALOJAMIENTO]]+Tabla1[[#This Row],[COSTO TOTAL COCHE]]</f>
        <v>1541.3333333333335</v>
      </c>
      <c r="S3654" s="2"/>
      <c r="T3654" s="2" t="s">
        <v>35</v>
      </c>
      <c r="U3654" s="14">
        <v>45796</v>
      </c>
      <c r="V3654" s="180"/>
      <c r="W3654" s="2"/>
      <c r="X3654" s="2">
        <v>1</v>
      </c>
      <c r="Y3654" s="253" t="s">
        <v>5408</v>
      </c>
      <c r="Z3654" s="2" t="s">
        <v>36</v>
      </c>
      <c r="AA3654" s="13" t="s">
        <v>10323</v>
      </c>
      <c r="AB3654" s="13" t="s">
        <v>10324</v>
      </c>
    </row>
    <row r="3655" spans="1:28" ht="15" customHeight="1">
      <c r="A3655" s="2" t="s">
        <v>9630</v>
      </c>
      <c r="B3655" s="2" t="s">
        <v>28</v>
      </c>
      <c r="C3655" s="104" t="s">
        <v>3962</v>
      </c>
      <c r="D3655" s="2" t="s">
        <v>99</v>
      </c>
      <c r="E3655" s="2" t="s">
        <v>55</v>
      </c>
      <c r="F3655" s="11" t="s">
        <v>1618</v>
      </c>
      <c r="G3655" s="46" t="s">
        <v>5359</v>
      </c>
      <c r="H3655" s="2" t="s">
        <v>5360</v>
      </c>
      <c r="I3655" s="12" t="s">
        <v>1067</v>
      </c>
      <c r="J3655" s="41">
        <f>+Tabla1[[#This Row],[FECHA ENTRADA]]</f>
        <v>45921</v>
      </c>
      <c r="K3655" s="41">
        <v>45932</v>
      </c>
      <c r="L3655" s="42">
        <f>_xlfn.DAYS(Tabla1[[#This Row],[FECHA FIN ]],Tabla1[[#This Row],[FECHA INICIO]])</f>
        <v>11</v>
      </c>
      <c r="M3655" s="12">
        <f>(450+100)/2</f>
        <v>275</v>
      </c>
      <c r="N3655" s="28"/>
      <c r="O3655" s="28">
        <f>(Tabla1[[#This Row],[COSTO FIJO ]]/30)*Tabla1[[#This Row],[TOTAL DIAS PROYECTO]]+(Tabla1[[#This Row],[COSTO TEMPORAL]])</f>
        <v>275</v>
      </c>
      <c r="P3655" s="12"/>
      <c r="Q3655" s="12">
        <f>+(Tabla1[[#This Row],[COSTO COCHE]]/30)*Tabla1[[#This Row],[TOTAL DIAS PROYECTO]]</f>
        <v>0</v>
      </c>
      <c r="R3655" s="12">
        <f>+Tabla1[[#This Row],[COSTO TOTAL ALOJAMIENTO]]+Tabla1[[#This Row],[COSTO TOTAL COCHE]]</f>
        <v>275</v>
      </c>
      <c r="S3655" s="2"/>
      <c r="T3655" s="14" t="s">
        <v>44</v>
      </c>
      <c r="U3655" s="14">
        <v>45921</v>
      </c>
      <c r="V3655" s="25">
        <v>45933</v>
      </c>
      <c r="W3655" s="71"/>
      <c r="X3655" s="2"/>
      <c r="Y3655" s="11" t="s">
        <v>5409</v>
      </c>
      <c r="Z3655" s="2" t="s">
        <v>36</v>
      </c>
      <c r="AA3655" s="13" t="s">
        <v>10327</v>
      </c>
      <c r="AB3655" s="13" t="s">
        <v>10328</v>
      </c>
    </row>
    <row r="3656" spans="1:28" ht="15" customHeight="1">
      <c r="A3656" s="2" t="s">
        <v>9094</v>
      </c>
      <c r="B3656" s="2" t="s">
        <v>978</v>
      </c>
      <c r="C3656" s="104" t="s">
        <v>1992</v>
      </c>
      <c r="D3656" s="2" t="s">
        <v>99</v>
      </c>
      <c r="E3656" s="2" t="s">
        <v>3400</v>
      </c>
      <c r="F3656" s="11" t="s">
        <v>5410</v>
      </c>
      <c r="G3656" s="21" t="s">
        <v>5411</v>
      </c>
      <c r="H3656" s="2" t="s">
        <v>4996</v>
      </c>
      <c r="I3656" s="12" t="s">
        <v>4296</v>
      </c>
      <c r="J3656" s="22">
        <f>+Tabla1[[#This Row],[FECHA ENTRADA]]</f>
        <v>45929</v>
      </c>
      <c r="K3656" s="22">
        <v>45932</v>
      </c>
      <c r="L3656" s="23">
        <f>_xlfn.DAYS(Tabla1[[#This Row],[FECHA FIN ]],Tabla1[[#This Row],[FECHA INICIO]])</f>
        <v>3</v>
      </c>
      <c r="M3656" s="12">
        <f>182.59/3</f>
        <v>60.863333333333337</v>
      </c>
      <c r="N3656" s="20"/>
      <c r="O3656" s="24">
        <f>(Tabla1[[#This Row],[COSTO FIJO ]]/30)*Tabla1[[#This Row],[TOTAL DIAS PROYECTO]]+(Tabla1[[#This Row],[COSTO TEMPORAL]])</f>
        <v>60.863333333333337</v>
      </c>
      <c r="P3656" s="12"/>
      <c r="Q3656" s="12">
        <f>+(Tabla1[[#This Row],[COSTO COCHE]]/30)*Tabla1[[#This Row],[TOTAL DIAS PROYECTO]]</f>
        <v>0</v>
      </c>
      <c r="R3656" s="12">
        <f>+Tabla1[[#This Row],[COSTO TOTAL ALOJAMIENTO]]+Tabla1[[#This Row],[COSTO TOTAL COCHE]]</f>
        <v>60.863333333333337</v>
      </c>
      <c r="S3656" s="2" t="s">
        <v>84</v>
      </c>
      <c r="T3656" s="14" t="s">
        <v>44</v>
      </c>
      <c r="U3656" s="14">
        <v>45929</v>
      </c>
      <c r="V3656" s="25">
        <v>45932</v>
      </c>
      <c r="W3656" s="71"/>
      <c r="X3656" s="2"/>
      <c r="Y3656" s="11" t="s">
        <v>5412</v>
      </c>
      <c r="Z3656" s="2" t="s">
        <v>36</v>
      </c>
      <c r="AA3656" s="13" t="e">
        <v>#N/A</v>
      </c>
      <c r="AB3656" s="13" t="e">
        <v>#N/A</v>
      </c>
    </row>
    <row r="3657" spans="1:28" ht="15" customHeight="1">
      <c r="A3657" s="2" t="s">
        <v>9840</v>
      </c>
      <c r="B3657" s="2" t="s">
        <v>978</v>
      </c>
      <c r="C3657" s="104" t="s">
        <v>5002</v>
      </c>
      <c r="D3657" s="2" t="s">
        <v>99</v>
      </c>
      <c r="E3657" s="2" t="s">
        <v>3400</v>
      </c>
      <c r="F3657" s="11" t="s">
        <v>5410</v>
      </c>
      <c r="G3657" s="21" t="s">
        <v>5411</v>
      </c>
      <c r="H3657" s="2" t="s">
        <v>1568</v>
      </c>
      <c r="I3657" s="12" t="s">
        <v>4296</v>
      </c>
      <c r="J3657" s="22">
        <f>+Tabla1[[#This Row],[FECHA ENTRADA]]</f>
        <v>45929</v>
      </c>
      <c r="K3657" s="22">
        <v>45932</v>
      </c>
      <c r="L3657" s="23">
        <f>_xlfn.DAYS(Tabla1[[#This Row],[FECHA FIN ]],Tabla1[[#This Row],[FECHA INICIO]])</f>
        <v>3</v>
      </c>
      <c r="M3657" s="12">
        <f>182.59/3</f>
        <v>60.863333333333337</v>
      </c>
      <c r="N3657" s="20"/>
      <c r="O3657" s="24">
        <f>(Tabla1[[#This Row],[COSTO FIJO ]]/30)*Tabla1[[#This Row],[TOTAL DIAS PROYECTO]]+(Tabla1[[#This Row],[COSTO TEMPORAL]])</f>
        <v>60.863333333333337</v>
      </c>
      <c r="P3657" s="12"/>
      <c r="Q3657" s="12">
        <f>+(Tabla1[[#This Row],[COSTO COCHE]]/30)*Tabla1[[#This Row],[TOTAL DIAS PROYECTO]]</f>
        <v>0</v>
      </c>
      <c r="R3657" s="12">
        <f>+Tabla1[[#This Row],[COSTO TOTAL ALOJAMIENTO]]+Tabla1[[#This Row],[COSTO TOTAL COCHE]]</f>
        <v>60.863333333333337</v>
      </c>
      <c r="S3657" s="2" t="s">
        <v>84</v>
      </c>
      <c r="T3657" s="14" t="s">
        <v>44</v>
      </c>
      <c r="U3657" s="14">
        <v>45929</v>
      </c>
      <c r="V3657" s="25">
        <v>45932</v>
      </c>
      <c r="W3657" s="71"/>
      <c r="X3657" s="2"/>
      <c r="Y3657" s="11" t="s">
        <v>5413</v>
      </c>
      <c r="Z3657" s="2" t="s">
        <v>36</v>
      </c>
      <c r="AA3657" s="13" t="e">
        <v>#N/A</v>
      </c>
      <c r="AB3657" s="13" t="e">
        <v>#N/A</v>
      </c>
    </row>
    <row r="3658" spans="1:28" ht="15" customHeight="1">
      <c r="A3658" s="2" t="s">
        <v>8781</v>
      </c>
      <c r="B3658" s="2" t="s">
        <v>978</v>
      </c>
      <c r="C3658" s="104" t="s">
        <v>746</v>
      </c>
      <c r="D3658" s="2" t="s">
        <v>99</v>
      </c>
      <c r="E3658" s="2" t="s">
        <v>3400</v>
      </c>
      <c r="F3658" s="11" t="s">
        <v>5410</v>
      </c>
      <c r="G3658" s="21" t="s">
        <v>5411</v>
      </c>
      <c r="H3658" s="157" t="s">
        <v>5267</v>
      </c>
      <c r="I3658" s="158" t="s">
        <v>4296</v>
      </c>
      <c r="J3658" s="22">
        <f>+Tabla1[[#This Row],[FECHA ENTRADA]]</f>
        <v>45929</v>
      </c>
      <c r="K3658" s="22">
        <v>45932</v>
      </c>
      <c r="L3658" s="23">
        <f>_xlfn.DAYS(Tabla1[[#This Row],[FECHA FIN ]],Tabla1[[#This Row],[FECHA INICIO]])</f>
        <v>3</v>
      </c>
      <c r="M3658" s="12">
        <f>182.59/3</f>
        <v>60.863333333333337</v>
      </c>
      <c r="N3658" s="20"/>
      <c r="O3658" s="24">
        <f>(Tabla1[[#This Row],[COSTO FIJO ]]/30)*Tabla1[[#This Row],[TOTAL DIAS PROYECTO]]+(Tabla1[[#This Row],[COSTO TEMPORAL]])</f>
        <v>60.863333333333337</v>
      </c>
      <c r="P3658" s="12"/>
      <c r="Q3658" s="12">
        <f>+(Tabla1[[#This Row],[COSTO COCHE]]/30)*Tabla1[[#This Row],[TOTAL DIAS PROYECTO]]</f>
        <v>0</v>
      </c>
      <c r="R3658" s="12">
        <f>+Tabla1[[#This Row],[COSTO TOTAL ALOJAMIENTO]]+Tabla1[[#This Row],[COSTO TOTAL COCHE]]</f>
        <v>60.863333333333337</v>
      </c>
      <c r="S3658" s="2" t="s">
        <v>84</v>
      </c>
      <c r="T3658" s="14" t="s">
        <v>44</v>
      </c>
      <c r="U3658" s="14">
        <v>45929</v>
      </c>
      <c r="V3658" s="25">
        <v>45932</v>
      </c>
      <c r="W3658" s="71"/>
      <c r="X3658" s="2"/>
      <c r="Y3658" s="11" t="s">
        <v>5412</v>
      </c>
      <c r="Z3658" s="2" t="s">
        <v>36</v>
      </c>
      <c r="AA3658" s="13" t="e">
        <v>#N/A</v>
      </c>
      <c r="AB3658" s="13" t="e">
        <v>#N/A</v>
      </c>
    </row>
    <row r="3659" spans="1:28" ht="15" customHeight="1">
      <c r="A3659" s="2" t="s">
        <v>9177</v>
      </c>
      <c r="B3659" s="2" t="s">
        <v>978</v>
      </c>
      <c r="C3659" s="104" t="s">
        <v>2328</v>
      </c>
      <c r="D3659" s="2" t="s">
        <v>30</v>
      </c>
      <c r="E3659" s="2" t="s">
        <v>245</v>
      </c>
      <c r="F3659" s="11" t="s">
        <v>5045</v>
      </c>
      <c r="G3659" s="49" t="s">
        <v>5046</v>
      </c>
      <c r="H3659" s="2" t="s">
        <v>5389</v>
      </c>
      <c r="I3659" s="12" t="s">
        <v>5047</v>
      </c>
      <c r="J3659" s="22">
        <f>+Tabla1[[#This Row],[FECHA ENTRADA]]</f>
        <v>45880</v>
      </c>
      <c r="K3659" s="22">
        <v>45931</v>
      </c>
      <c r="L3659" s="23">
        <f>_xlfn.DAYS(Tabla1[[#This Row],[FECHA FIN ]],Tabla1[[#This Row],[FECHA INICIO]])</f>
        <v>51</v>
      </c>
      <c r="M3659" s="12"/>
      <c r="N3659" s="12">
        <f>30*Tabla1[[#This Row],[TOTAL DIAS PROYECTO]]</f>
        <v>1530</v>
      </c>
      <c r="O3659" s="24">
        <f>(Tabla1[[#This Row],[COSTO FIJO ]]/30)*Tabla1[[#This Row],[TOTAL DIAS PROYECTO]]+(Tabla1[[#This Row],[COSTO TEMPORAL]])</f>
        <v>2601</v>
      </c>
      <c r="P3659" s="12"/>
      <c r="Q3659" s="12">
        <f>+(Tabla1[[#This Row],[COSTO COCHE]]/30)*Tabla1[[#This Row],[TOTAL DIAS PROYECTO]]</f>
        <v>0</v>
      </c>
      <c r="R3659" s="12">
        <f>+Tabla1[[#This Row],[COSTO TOTAL ALOJAMIENTO]]+Tabla1[[#This Row],[COSTO TOTAL COCHE]]</f>
        <v>2601</v>
      </c>
      <c r="S3659" s="2"/>
      <c r="T3659" s="14" t="s">
        <v>44</v>
      </c>
      <c r="U3659" s="14">
        <v>45880</v>
      </c>
      <c r="V3659" s="25">
        <v>45930</v>
      </c>
      <c r="W3659" s="12"/>
      <c r="X3659" s="2"/>
      <c r="Y3659" s="11" t="s">
        <v>5101</v>
      </c>
      <c r="Z3659" s="2" t="s">
        <v>36</v>
      </c>
      <c r="AA3659" s="13" t="s">
        <v>10355</v>
      </c>
      <c r="AB3659" s="13" t="s">
        <v>10356</v>
      </c>
    </row>
    <row r="3660" spans="1:28" ht="15" customHeight="1">
      <c r="A3660" s="2" t="s">
        <v>9913</v>
      </c>
      <c r="B3660" s="2" t="s">
        <v>711</v>
      </c>
      <c r="C3660" s="97" t="s">
        <v>5382</v>
      </c>
      <c r="D3660" s="2" t="s">
        <v>99</v>
      </c>
      <c r="E3660" s="2" t="s">
        <v>245</v>
      </c>
      <c r="F3660" s="11"/>
      <c r="G3660" s="46"/>
      <c r="H3660" s="2" t="s">
        <v>5385</v>
      </c>
      <c r="I3660" s="12" t="s">
        <v>1019</v>
      </c>
      <c r="J3660" s="41">
        <f>+Tabla1[[#This Row],[FECHA ENTRADA]]</f>
        <v>45892</v>
      </c>
      <c r="K3660" s="41">
        <v>45905</v>
      </c>
      <c r="L3660" s="42">
        <f>_xlfn.DAYS(Tabla1[[#This Row],[FECHA FIN ]],Tabla1[[#This Row],[FECHA INICIO]])</f>
        <v>13</v>
      </c>
      <c r="M3660" s="12"/>
      <c r="N3660" s="28">
        <v>300</v>
      </c>
      <c r="O3660" s="28">
        <f>(Tabla1[[#This Row],[COSTO FIJO ]]/30)*Tabla1[[#This Row],[TOTAL DIAS PROYECTO]]+(Tabla1[[#This Row],[COSTO TEMPORAL]])</f>
        <v>130</v>
      </c>
      <c r="P3660" s="12"/>
      <c r="Q3660" s="12">
        <f>+(Tabla1[[#This Row],[COSTO COCHE]]/30)*Tabla1[[#This Row],[TOTAL DIAS PROYECTO]]</f>
        <v>0</v>
      </c>
      <c r="R3660" s="12">
        <f>+Tabla1[[#This Row],[COSTO TOTAL ALOJAMIENTO]]+Tabla1[[#This Row],[COSTO TOTAL COCHE]]</f>
        <v>130</v>
      </c>
      <c r="S3660" s="2"/>
      <c r="T3660" s="14" t="s">
        <v>58</v>
      </c>
      <c r="U3660" s="14">
        <v>45892</v>
      </c>
      <c r="V3660" s="43"/>
      <c r="W3660" s="71"/>
      <c r="X3660" s="2"/>
      <c r="Y3660" s="253" t="s">
        <v>5414</v>
      </c>
      <c r="Z3660" s="2" t="s">
        <v>36</v>
      </c>
      <c r="AA3660" s="13" t="s">
        <v>10355</v>
      </c>
      <c r="AB3660" s="13" t="s">
        <v>10356</v>
      </c>
    </row>
    <row r="3661" spans="1:28" ht="15" customHeight="1">
      <c r="A3661" s="2" t="s">
        <v>9360</v>
      </c>
      <c r="B3661" s="2" t="s">
        <v>28</v>
      </c>
      <c r="C3661" s="97" t="s">
        <v>2928</v>
      </c>
      <c r="D3661" s="2" t="s">
        <v>30</v>
      </c>
      <c r="E3661" s="2" t="s">
        <v>245</v>
      </c>
      <c r="F3661" s="11"/>
      <c r="G3661" s="46"/>
      <c r="H3661" s="2" t="s">
        <v>5415</v>
      </c>
      <c r="I3661" s="12" t="s">
        <v>3201</v>
      </c>
      <c r="J3661" s="41">
        <f>+Tabla1[[#This Row],[FECHA ENTRADA]]</f>
        <v>45893</v>
      </c>
      <c r="K3661" s="41">
        <v>46035</v>
      </c>
      <c r="L3661" s="42">
        <f>_xlfn.DAYS(Tabla1[[#This Row],[FECHA FIN ]],Tabla1[[#This Row],[FECHA INICIO]])</f>
        <v>142</v>
      </c>
      <c r="M3661" s="12"/>
      <c r="N3661" s="28">
        <v>300</v>
      </c>
      <c r="O3661" s="28">
        <f>(Tabla1[[#This Row],[COSTO FIJO ]]/30)*Tabla1[[#This Row],[TOTAL DIAS PROYECTO]]+(Tabla1[[#This Row],[COSTO TEMPORAL]])</f>
        <v>1420</v>
      </c>
      <c r="P3661" s="12"/>
      <c r="Q3661" s="12">
        <f>+(Tabla1[[#This Row],[COSTO COCHE]]/30)*Tabla1[[#This Row],[TOTAL DIAS PROYECTO]]</f>
        <v>0</v>
      </c>
      <c r="R3661" s="12">
        <f>+Tabla1[[#This Row],[COSTO TOTAL ALOJAMIENTO]]+Tabla1[[#This Row],[COSTO TOTAL COCHE]]</f>
        <v>1420</v>
      </c>
      <c r="S3661" s="2"/>
      <c r="T3661" s="14" t="s">
        <v>58</v>
      </c>
      <c r="U3661" s="14">
        <v>45893</v>
      </c>
      <c r="V3661" s="43"/>
      <c r="W3661" s="12"/>
      <c r="X3661" s="2"/>
      <c r="Y3661" s="11" t="s">
        <v>5416</v>
      </c>
      <c r="Z3661" s="2" t="s">
        <v>36</v>
      </c>
      <c r="AA3661" s="13" t="s">
        <v>10355</v>
      </c>
      <c r="AB3661" s="13" t="s">
        <v>10356</v>
      </c>
    </row>
    <row r="3662" spans="1:28" ht="15" customHeight="1">
      <c r="A3662" s="117" t="s">
        <v>9886</v>
      </c>
      <c r="B3662" s="117" t="s">
        <v>368</v>
      </c>
      <c r="C3662" s="224" t="s">
        <v>5223</v>
      </c>
      <c r="D3662" s="117" t="s">
        <v>99</v>
      </c>
      <c r="E3662" s="2" t="s">
        <v>245</v>
      </c>
      <c r="F3662" s="11" t="s">
        <v>5386</v>
      </c>
      <c r="G3662" s="197" t="s">
        <v>5387</v>
      </c>
      <c r="H3662" s="117" t="s">
        <v>5417</v>
      </c>
      <c r="I3662" s="119" t="s">
        <v>1019</v>
      </c>
      <c r="J3662" s="121">
        <f>+Tabla1[[#This Row],[FECHA ENTRADA]]</f>
        <v>45915</v>
      </c>
      <c r="K3662" s="121">
        <v>46004</v>
      </c>
      <c r="L3662" s="129">
        <f>_xlfn.DAYS(Tabla1[[#This Row],[FECHA FIN ]],Tabla1[[#This Row],[FECHA INICIO]])</f>
        <v>89</v>
      </c>
      <c r="M3662" s="119"/>
      <c r="N3662" s="131">
        <v>500</v>
      </c>
      <c r="O3662" s="131">
        <f>(Tabla1[[#This Row],[COSTO FIJO ]]/30)*Tabla1[[#This Row],[TOTAL DIAS PROYECTO]]+(Tabla1[[#This Row],[COSTO TEMPORAL]])</f>
        <v>1483.3333333333335</v>
      </c>
      <c r="P3662" s="119"/>
      <c r="Q3662" s="119">
        <f>+(Tabla1[[#This Row],[COSTO COCHE]]/30)*Tabla1[[#This Row],[TOTAL DIAS PROYECTO]]</f>
        <v>0</v>
      </c>
      <c r="R3662" s="119">
        <f>+Tabla1[[#This Row],[COSTO TOTAL ALOJAMIENTO]]+Tabla1[[#This Row],[COSTO TOTAL COCHE]]</f>
        <v>1483.3333333333335</v>
      </c>
      <c r="S3662" s="117"/>
      <c r="T3662" s="124" t="s">
        <v>35</v>
      </c>
      <c r="U3662" s="124">
        <v>45915</v>
      </c>
      <c r="V3662" s="125"/>
      <c r="W3662" s="126"/>
      <c r="X3662" s="117">
        <v>13</v>
      </c>
      <c r="Y3662" s="118" t="s">
        <v>1166</v>
      </c>
      <c r="Z3662" s="117" t="s">
        <v>36</v>
      </c>
      <c r="AA3662" s="127" t="s">
        <v>10355</v>
      </c>
      <c r="AB3662" s="127" t="s">
        <v>10356</v>
      </c>
    </row>
    <row r="3663" spans="1:28" ht="15" customHeight="1">
      <c r="A3663" s="2" t="s">
        <v>9864</v>
      </c>
      <c r="B3663" s="2" t="s">
        <v>978</v>
      </c>
      <c r="C3663" s="104" t="s">
        <v>5100</v>
      </c>
      <c r="D3663" s="2" t="s">
        <v>30</v>
      </c>
      <c r="E3663" s="2" t="s">
        <v>245</v>
      </c>
      <c r="F3663" s="11" t="s">
        <v>5418</v>
      </c>
      <c r="G3663" s="46" t="s">
        <v>5419</v>
      </c>
      <c r="H3663" s="2" t="s">
        <v>1468</v>
      </c>
      <c r="I3663" s="12" t="s">
        <v>5047</v>
      </c>
      <c r="J3663" s="41">
        <f>+Tabla1[[#This Row],[FECHA ENTRADA]]</f>
        <v>45931</v>
      </c>
      <c r="K3663" s="41">
        <v>45932</v>
      </c>
      <c r="L3663" s="42">
        <f>_xlfn.DAYS(Tabla1[[#This Row],[FECHA FIN ]],Tabla1[[#This Row],[FECHA INICIO]])</f>
        <v>1</v>
      </c>
      <c r="M3663" s="12">
        <v>29</v>
      </c>
      <c r="N3663" s="28"/>
      <c r="O3663" s="28">
        <f>(Tabla1[[#This Row],[COSTO FIJO ]]/30)*Tabla1[[#This Row],[TOTAL DIAS PROYECTO]]+(Tabla1[[#This Row],[COSTO TEMPORAL]])</f>
        <v>29</v>
      </c>
      <c r="P3663" s="12"/>
      <c r="Q3663" s="12">
        <f>+(Tabla1[[#This Row],[COSTO COCHE]]/30)*Tabla1[[#This Row],[TOTAL DIAS PROYECTO]]</f>
        <v>0</v>
      </c>
      <c r="R3663" s="12">
        <f>+Tabla1[[#This Row],[COSTO TOTAL ALOJAMIENTO]]+Tabla1[[#This Row],[COSTO TOTAL COCHE]]</f>
        <v>29</v>
      </c>
      <c r="S3663" s="2" t="s">
        <v>403</v>
      </c>
      <c r="T3663" s="14" t="s">
        <v>44</v>
      </c>
      <c r="U3663" s="14">
        <v>45931</v>
      </c>
      <c r="V3663" s="43">
        <v>45932</v>
      </c>
      <c r="W3663" s="71"/>
      <c r="X3663" s="2"/>
      <c r="Y3663" s="11" t="s">
        <v>1120</v>
      </c>
      <c r="Z3663" s="2" t="s">
        <v>36</v>
      </c>
      <c r="AA3663" s="13" t="s">
        <v>10355</v>
      </c>
      <c r="AB3663" s="13" t="s">
        <v>10356</v>
      </c>
    </row>
    <row r="3664" spans="1:28" ht="15" customHeight="1">
      <c r="A3664" s="2" t="s">
        <v>8642</v>
      </c>
      <c r="B3664" s="2" t="s">
        <v>978</v>
      </c>
      <c r="C3664" s="11" t="s">
        <v>5420</v>
      </c>
      <c r="D3664" s="33" t="s">
        <v>99</v>
      </c>
      <c r="E3664" s="33" t="s">
        <v>422</v>
      </c>
      <c r="F3664" s="11" t="s">
        <v>956</v>
      </c>
      <c r="G3664" s="11" t="s">
        <v>957</v>
      </c>
      <c r="H3664" s="2" t="s">
        <v>2199</v>
      </c>
      <c r="I3664" s="12" t="s">
        <v>2473</v>
      </c>
      <c r="J3664" s="22">
        <f>+Tabla1[[#This Row],[FECHA ENTRADA]]</f>
        <v>45822</v>
      </c>
      <c r="K3664" s="41">
        <v>45874</v>
      </c>
      <c r="L3664" s="23">
        <f>_xlfn.DAYS(Tabla1[[#This Row],[FECHA FIN ]],Tabla1[[#This Row],[FECHA INICIO]])</f>
        <v>52</v>
      </c>
      <c r="M3664" s="12"/>
      <c r="N3664" s="12">
        <v>233.33333333333334</v>
      </c>
      <c r="O3664" s="24">
        <f>(Tabla1[[#This Row],[COSTO FIJO ]]/30)*Tabla1[[#This Row],[TOTAL DIAS PROYECTO]]+(Tabla1[[#This Row],[COSTO TEMPORAL]])</f>
        <v>404.44444444444446</v>
      </c>
      <c r="P3664" s="12"/>
      <c r="Q3664" s="12">
        <f>+(Tabla1[[#This Row],[COSTO COCHE]]/30)*Tabla1[[#This Row],[TOTAL DIAS PROYECTO]]</f>
        <v>0</v>
      </c>
      <c r="R3664" s="12">
        <f>+Tabla1[[#This Row],[COSTO TOTAL ALOJAMIENTO]]+Tabla1[[#This Row],[COSTO TOTAL COCHE]]</f>
        <v>404.44444444444446</v>
      </c>
      <c r="S3664" s="2"/>
      <c r="T3664" s="2" t="s">
        <v>35</v>
      </c>
      <c r="U3664" s="14">
        <v>45822</v>
      </c>
      <c r="V3664" s="25"/>
      <c r="W3664" s="2"/>
      <c r="X3664" s="2">
        <v>5</v>
      </c>
      <c r="Y3664" s="11"/>
      <c r="Z3664" s="2" t="s">
        <v>36</v>
      </c>
      <c r="AA3664" s="13">
        <v>-326.69799999999998</v>
      </c>
      <c r="AB3664" s="13" t="s">
        <v>10373</v>
      </c>
    </row>
    <row r="3665" spans="1:28" ht="15" customHeight="1">
      <c r="A3665" s="2" t="s">
        <v>8642</v>
      </c>
      <c r="B3665" s="2" t="s">
        <v>978</v>
      </c>
      <c r="C3665" s="104" t="s">
        <v>3608</v>
      </c>
      <c r="D3665" s="2" t="s">
        <v>99</v>
      </c>
      <c r="E3665" s="2" t="s">
        <v>422</v>
      </c>
      <c r="F3665" s="11" t="s">
        <v>956</v>
      </c>
      <c r="G3665" s="11" t="s">
        <v>957</v>
      </c>
      <c r="H3665" s="2" t="s">
        <v>1431</v>
      </c>
      <c r="I3665" s="12" t="s">
        <v>2473</v>
      </c>
      <c r="J3665" s="22">
        <f>+Tabla1[[#This Row],[FECHA ENTRADA]]</f>
        <v>45822</v>
      </c>
      <c r="K3665" s="41">
        <v>45874</v>
      </c>
      <c r="L3665" s="23">
        <f>_xlfn.DAYS(Tabla1[[#This Row],[FECHA FIN ]],Tabla1[[#This Row],[FECHA INICIO]])</f>
        <v>52</v>
      </c>
      <c r="M3665" s="12"/>
      <c r="N3665" s="12">
        <v>233.33333333333334</v>
      </c>
      <c r="O3665" s="24">
        <f>(Tabla1[[#This Row],[COSTO FIJO ]]/30)*Tabla1[[#This Row],[TOTAL DIAS PROYECTO]]+(Tabla1[[#This Row],[COSTO TEMPORAL]])</f>
        <v>404.44444444444446</v>
      </c>
      <c r="P3665" s="12"/>
      <c r="Q3665" s="12">
        <f>+(Tabla1[[#This Row],[COSTO COCHE]]/30)*Tabla1[[#This Row],[TOTAL DIAS PROYECTO]]</f>
        <v>0</v>
      </c>
      <c r="R3665" s="12">
        <f>+Tabla1[[#This Row],[COSTO TOTAL ALOJAMIENTO]]+Tabla1[[#This Row],[COSTO TOTAL COCHE]]</f>
        <v>404.44444444444446</v>
      </c>
      <c r="S3665" s="2"/>
      <c r="T3665" s="2" t="s">
        <v>35</v>
      </c>
      <c r="U3665" s="14">
        <v>45822</v>
      </c>
      <c r="V3665" s="25"/>
      <c r="W3665" s="2"/>
      <c r="X3665" s="2">
        <v>5</v>
      </c>
      <c r="Y3665" s="11"/>
      <c r="Z3665" s="2" t="s">
        <v>36</v>
      </c>
      <c r="AA3665" s="13">
        <v>-326.69799999999998</v>
      </c>
      <c r="AB3665" s="13" t="s">
        <v>10373</v>
      </c>
    </row>
    <row r="3666" spans="1:28" ht="15" customHeight="1">
      <c r="A3666" s="2" t="s">
        <v>9198</v>
      </c>
      <c r="B3666" s="2" t="s">
        <v>28</v>
      </c>
      <c r="C3666" s="31" t="s">
        <v>2407</v>
      </c>
      <c r="D3666" s="2" t="s">
        <v>99</v>
      </c>
      <c r="E3666" s="2" t="s">
        <v>31</v>
      </c>
      <c r="F3666" s="11" t="s">
        <v>5421</v>
      </c>
      <c r="G3666" s="30" t="s">
        <v>5422</v>
      </c>
      <c r="H3666" s="2" t="s">
        <v>2405</v>
      </c>
      <c r="I3666" s="12" t="s">
        <v>347</v>
      </c>
      <c r="J3666" s="22">
        <f>+Tabla1[[#This Row],[FECHA ENTRADA]]</f>
        <v>45806</v>
      </c>
      <c r="K3666" s="22">
        <v>45933</v>
      </c>
      <c r="L3666" s="13">
        <f>_xlfn.DAYS(Tabla1[[#This Row],[FECHA FIN ]],Tabla1[[#This Row],[FECHA INICIO]])</f>
        <v>127</v>
      </c>
      <c r="M3666" s="12"/>
      <c r="N3666" s="12">
        <v>325</v>
      </c>
      <c r="O3666" s="12">
        <f>(Tabla1[[#This Row],[COSTO FIJO ]]/30)*Tabla1[[#This Row],[TOTAL DIAS PROYECTO]]+(Tabla1[[#This Row],[COSTO TEMPORAL]])</f>
        <v>1375.8333333333335</v>
      </c>
      <c r="P3666" s="12"/>
      <c r="Q3666" s="12">
        <f>+(Tabla1[[#This Row],[COSTO COCHE]]/30)*Tabla1[[#This Row],[TOTAL DIAS PROYECTO]]</f>
        <v>0</v>
      </c>
      <c r="R3666" s="12">
        <f>+Tabla1[[#This Row],[COSTO TOTAL ALOJAMIENTO]]+Tabla1[[#This Row],[COSTO TOTAL COCHE]]</f>
        <v>1375.8333333333335</v>
      </c>
      <c r="S3666" s="2"/>
      <c r="T3666" s="2" t="s">
        <v>35</v>
      </c>
      <c r="U3666" s="14">
        <v>45806</v>
      </c>
      <c r="V3666" s="14"/>
      <c r="W3666" s="71"/>
      <c r="X3666" s="16">
        <v>1</v>
      </c>
      <c r="Y3666" s="18" t="s">
        <v>5423</v>
      </c>
      <c r="Z3666" s="2" t="s">
        <v>36</v>
      </c>
      <c r="AA3666" s="13" t="s">
        <v>10323</v>
      </c>
      <c r="AB3666" s="13" t="s">
        <v>10324</v>
      </c>
    </row>
    <row r="3667" spans="1:28" ht="15" customHeight="1">
      <c r="A3667" s="2" t="s">
        <v>9845</v>
      </c>
      <c r="B3667" s="2" t="s">
        <v>978</v>
      </c>
      <c r="C3667" s="104" t="s">
        <v>5025</v>
      </c>
      <c r="D3667" s="33" t="s">
        <v>99</v>
      </c>
      <c r="E3667" s="33" t="s">
        <v>422</v>
      </c>
      <c r="F3667" s="11" t="s">
        <v>956</v>
      </c>
      <c r="G3667" s="11" t="s">
        <v>957</v>
      </c>
      <c r="H3667" s="2" t="s">
        <v>1431</v>
      </c>
      <c r="I3667" s="12" t="s">
        <v>2473</v>
      </c>
      <c r="J3667" s="22">
        <f>+Tabla1[[#This Row],[FECHA ENTRADA]]</f>
        <v>45822</v>
      </c>
      <c r="K3667" s="22">
        <v>45881</v>
      </c>
      <c r="L3667" s="23">
        <f>_xlfn.DAYS(Tabla1[[#This Row],[FECHA FIN ]],Tabla1[[#This Row],[FECHA INICIO]])</f>
        <v>59</v>
      </c>
      <c r="M3667" s="12"/>
      <c r="N3667" s="12">
        <v>275</v>
      </c>
      <c r="O3667" s="24">
        <f>(Tabla1[[#This Row],[COSTO FIJO ]]/30)*Tabla1[[#This Row],[TOTAL DIAS PROYECTO]]+(Tabla1[[#This Row],[COSTO TEMPORAL]])</f>
        <v>540.83333333333326</v>
      </c>
      <c r="P3667" s="12"/>
      <c r="Q3667" s="12">
        <f>+(Tabla1[[#This Row],[COSTO COCHE]]/30)*Tabla1[[#This Row],[TOTAL DIAS PROYECTO]]</f>
        <v>0</v>
      </c>
      <c r="R3667" s="12">
        <f>+Tabla1[[#This Row],[COSTO TOTAL ALOJAMIENTO]]+Tabla1[[#This Row],[COSTO TOTAL COCHE]]</f>
        <v>540.83333333333326</v>
      </c>
      <c r="S3667" s="2"/>
      <c r="T3667" s="14" t="s">
        <v>35</v>
      </c>
      <c r="U3667" s="14">
        <v>45822</v>
      </c>
      <c r="V3667" s="25"/>
      <c r="W3667" s="2"/>
      <c r="X3667" s="2">
        <v>5</v>
      </c>
      <c r="Y3667" s="11"/>
      <c r="Z3667" s="2" t="s">
        <v>36</v>
      </c>
      <c r="AA3667" s="13">
        <v>-326.69799999999998</v>
      </c>
      <c r="AB3667" s="13" t="s">
        <v>10373</v>
      </c>
    </row>
    <row r="3668" spans="1:28" ht="15" customHeight="1">
      <c r="A3668" s="2" t="s">
        <v>9427</v>
      </c>
      <c r="B3668" s="2" t="s">
        <v>28</v>
      </c>
      <c r="C3668" s="97" t="s">
        <v>3130</v>
      </c>
      <c r="D3668" s="2" t="s">
        <v>99</v>
      </c>
      <c r="E3668" s="2" t="s">
        <v>422</v>
      </c>
      <c r="F3668" s="11" t="s">
        <v>4842</v>
      </c>
      <c r="G3668" s="30" t="s">
        <v>4843</v>
      </c>
      <c r="H3668" s="2" t="s">
        <v>5424</v>
      </c>
      <c r="I3668" s="12" t="s">
        <v>2638</v>
      </c>
      <c r="J3668" s="41">
        <f>+Tabla1[[#This Row],[FECHA ENTRADA]]</f>
        <v>45823</v>
      </c>
      <c r="K3668" s="22">
        <v>45836</v>
      </c>
      <c r="L3668" s="42">
        <f>_xlfn.DAYS(Tabla1[[#This Row],[FECHA FIN ]],Tabla1[[#This Row],[FECHA INICIO]])</f>
        <v>13</v>
      </c>
      <c r="M3668" s="12"/>
      <c r="N3668" s="28">
        <v>220</v>
      </c>
      <c r="O3668" s="28">
        <f>(Tabla1[[#This Row],[COSTO FIJO ]]/30)*Tabla1[[#This Row],[TOTAL DIAS PROYECTO]]+(Tabla1[[#This Row],[COSTO TEMPORAL]])</f>
        <v>95.333333333333329</v>
      </c>
      <c r="P3668" s="12"/>
      <c r="Q3668" s="12">
        <f>+(Tabla1[[#This Row],[COSTO COCHE]]/30)*Tabla1[[#This Row],[TOTAL DIAS PROYECTO]]</f>
        <v>0</v>
      </c>
      <c r="R3668" s="12">
        <f>+Tabla1[[#This Row],[COSTO TOTAL ALOJAMIENTO]]+Tabla1[[#This Row],[COSTO TOTAL COCHE]]</f>
        <v>95.333333333333329</v>
      </c>
      <c r="S3668" s="2"/>
      <c r="T3668" s="14" t="s">
        <v>35</v>
      </c>
      <c r="U3668" s="14">
        <v>45823</v>
      </c>
      <c r="V3668" s="43"/>
      <c r="W3668" s="2"/>
      <c r="X3668" s="2">
        <v>5</v>
      </c>
      <c r="Y3668" s="11"/>
      <c r="Z3668" s="2" t="s">
        <v>36</v>
      </c>
      <c r="AA3668" s="13">
        <v>-326.69799999999998</v>
      </c>
      <c r="AB3668" s="13" t="s">
        <v>10373</v>
      </c>
    </row>
    <row r="3669" spans="1:28" ht="15" customHeight="1">
      <c r="A3669" s="2" t="s">
        <v>9425</v>
      </c>
      <c r="B3669" s="2" t="s">
        <v>28</v>
      </c>
      <c r="C3669" s="97" t="s">
        <v>3127</v>
      </c>
      <c r="D3669" s="2" t="s">
        <v>99</v>
      </c>
      <c r="E3669" s="2" t="s">
        <v>259</v>
      </c>
      <c r="F3669" s="11" t="s">
        <v>4894</v>
      </c>
      <c r="G3669" s="46" t="s">
        <v>4207</v>
      </c>
      <c r="H3669" s="2" t="s">
        <v>3629</v>
      </c>
      <c r="I3669" s="12" t="s">
        <v>57</v>
      </c>
      <c r="J3669" s="41">
        <f>+Tabla1[[#This Row],[FECHA ENTRADA]]</f>
        <v>45829</v>
      </c>
      <c r="K3669" s="8">
        <v>45933</v>
      </c>
      <c r="L3669" s="42">
        <f>_xlfn.DAYS(Tabla1[[#This Row],[FECHA FIN ]],Tabla1[[#This Row],[FECHA INICIO]])</f>
        <v>104</v>
      </c>
      <c r="M3669" s="12"/>
      <c r="N3669" s="12"/>
      <c r="O3669" s="28">
        <f>(Tabla1[[#This Row],[COSTO FIJO ]]/30)*Tabla1[[#This Row],[TOTAL DIAS PROYECTO]]+(Tabla1[[#This Row],[COSTO TEMPORAL]])</f>
        <v>0</v>
      </c>
      <c r="P3669" s="12"/>
      <c r="Q3669" s="12">
        <f>+(Tabla1[[#This Row],[COSTO COCHE]]/30)*Tabla1[[#This Row],[TOTAL DIAS PROYECTO]]</f>
        <v>0</v>
      </c>
      <c r="R3669" s="12">
        <f>+Tabla1[[#This Row],[COSTO TOTAL ALOJAMIENTO]]+Tabla1[[#This Row],[COSTO TOTAL COCHE]]</f>
        <v>0</v>
      </c>
      <c r="S3669" s="2"/>
      <c r="T3669" s="14" t="s">
        <v>35</v>
      </c>
      <c r="U3669" s="14">
        <v>45829</v>
      </c>
      <c r="V3669" s="43"/>
      <c r="W3669" s="71"/>
      <c r="X3669" s="2">
        <v>5</v>
      </c>
      <c r="Y3669" s="11" t="s">
        <v>5425</v>
      </c>
      <c r="Z3669" s="2" t="s">
        <v>36</v>
      </c>
      <c r="AA3669" s="13">
        <v>-0.87734000000000001</v>
      </c>
      <c r="AB3669" s="13" t="s">
        <v>10359</v>
      </c>
    </row>
    <row r="3670" spans="1:28" ht="15" customHeight="1">
      <c r="A3670" s="2" t="s">
        <v>8880</v>
      </c>
      <c r="B3670" s="2" t="s">
        <v>28</v>
      </c>
      <c r="C3670" s="97" t="s">
        <v>1146</v>
      </c>
      <c r="D3670" s="2" t="s">
        <v>99</v>
      </c>
      <c r="E3670" s="2" t="s">
        <v>259</v>
      </c>
      <c r="F3670" s="11" t="s">
        <v>4894</v>
      </c>
      <c r="G3670" s="46" t="s">
        <v>4207</v>
      </c>
      <c r="H3670" s="2" t="s">
        <v>3397</v>
      </c>
      <c r="I3670" s="12" t="s">
        <v>57</v>
      </c>
      <c r="J3670" s="41">
        <f>+Tabla1[[#This Row],[FECHA ENTRADA]]</f>
        <v>45829</v>
      </c>
      <c r="K3670" s="8">
        <v>45933</v>
      </c>
      <c r="L3670" s="42">
        <f>_xlfn.DAYS(Tabla1[[#This Row],[FECHA FIN ]],Tabla1[[#This Row],[FECHA INICIO]])</f>
        <v>104</v>
      </c>
      <c r="M3670" s="12"/>
      <c r="N3670" s="28">
        <v>325</v>
      </c>
      <c r="O3670" s="28">
        <f>(Tabla1[[#This Row],[COSTO FIJO ]]/30)*Tabla1[[#This Row],[TOTAL DIAS PROYECTO]]+(Tabla1[[#This Row],[COSTO TEMPORAL]])</f>
        <v>1126.6666666666667</v>
      </c>
      <c r="P3670" s="12"/>
      <c r="Q3670" s="12">
        <f>+(Tabla1[[#This Row],[COSTO COCHE]]/30)*Tabla1[[#This Row],[TOTAL DIAS PROYECTO]]</f>
        <v>0</v>
      </c>
      <c r="R3670" s="12">
        <f>+Tabla1[[#This Row],[COSTO TOTAL ALOJAMIENTO]]+Tabla1[[#This Row],[COSTO TOTAL COCHE]]</f>
        <v>1126.6666666666667</v>
      </c>
      <c r="S3670" s="2"/>
      <c r="T3670" s="14" t="s">
        <v>35</v>
      </c>
      <c r="U3670" s="14">
        <v>45829</v>
      </c>
      <c r="V3670" s="43"/>
      <c r="W3670" s="71"/>
      <c r="X3670" s="2">
        <v>5</v>
      </c>
      <c r="Y3670" s="11" t="s">
        <v>5426</v>
      </c>
      <c r="Z3670" s="2" t="s">
        <v>36</v>
      </c>
      <c r="AA3670" s="13">
        <v>-0.87734000000000001</v>
      </c>
      <c r="AB3670" s="13" t="s">
        <v>10359</v>
      </c>
    </row>
    <row r="3671" spans="1:28" ht="15" customHeight="1">
      <c r="A3671" s="2" t="s">
        <v>9231</v>
      </c>
      <c r="B3671" s="2" t="s">
        <v>28</v>
      </c>
      <c r="C3671" s="104" t="s">
        <v>2522</v>
      </c>
      <c r="D3671" s="2" t="s">
        <v>99</v>
      </c>
      <c r="E3671" s="2" t="s">
        <v>422</v>
      </c>
      <c r="F3671" s="11" t="s">
        <v>4842</v>
      </c>
      <c r="G3671" s="30" t="s">
        <v>4843</v>
      </c>
      <c r="H3671" s="2" t="s">
        <v>5424</v>
      </c>
      <c r="I3671" s="12" t="s">
        <v>2638</v>
      </c>
      <c r="J3671" s="41">
        <f>+Tabla1[[#This Row],[FECHA ENTRADA]]</f>
        <v>45823</v>
      </c>
      <c r="K3671" s="22">
        <v>45836</v>
      </c>
      <c r="L3671" s="42">
        <f>_xlfn.DAYS(Tabla1[[#This Row],[FECHA FIN ]],Tabla1[[#This Row],[FECHA INICIO]])</f>
        <v>13</v>
      </c>
      <c r="M3671" s="12"/>
      <c r="N3671" s="28">
        <v>220</v>
      </c>
      <c r="O3671" s="28">
        <f>(Tabla1[[#This Row],[COSTO FIJO ]]/30)*Tabla1[[#This Row],[TOTAL DIAS PROYECTO]]+(Tabla1[[#This Row],[COSTO TEMPORAL]])</f>
        <v>95.333333333333329</v>
      </c>
      <c r="P3671" s="12"/>
      <c r="Q3671" s="12">
        <f>+(Tabla1[[#This Row],[COSTO COCHE]]/30)*Tabla1[[#This Row],[TOTAL DIAS PROYECTO]]</f>
        <v>0</v>
      </c>
      <c r="R3671" s="12">
        <f>+Tabla1[[#This Row],[COSTO TOTAL ALOJAMIENTO]]+Tabla1[[#This Row],[COSTO TOTAL COCHE]]</f>
        <v>95.333333333333329</v>
      </c>
      <c r="S3671" s="2"/>
      <c r="T3671" s="14" t="s">
        <v>35</v>
      </c>
      <c r="U3671" s="14">
        <v>45823</v>
      </c>
      <c r="V3671" s="43"/>
      <c r="W3671" s="2"/>
      <c r="X3671" s="2">
        <v>5</v>
      </c>
      <c r="Y3671" s="11"/>
      <c r="Z3671" s="2" t="s">
        <v>36</v>
      </c>
      <c r="AA3671" s="13">
        <v>-326.69799999999998</v>
      </c>
      <c r="AB3671" s="13" t="s">
        <v>10373</v>
      </c>
    </row>
    <row r="3672" spans="1:28" ht="15" customHeight="1">
      <c r="A3672" s="2" t="s">
        <v>9336</v>
      </c>
      <c r="B3672" s="2" t="s">
        <v>978</v>
      </c>
      <c r="C3672" s="104" t="s">
        <v>2850</v>
      </c>
      <c r="D3672" s="2" t="s">
        <v>30</v>
      </c>
      <c r="E3672" s="2" t="s">
        <v>422</v>
      </c>
      <c r="F3672" s="11" t="s">
        <v>5427</v>
      </c>
      <c r="G3672" s="11" t="s">
        <v>5428</v>
      </c>
      <c r="H3672" s="2" t="s">
        <v>5429</v>
      </c>
      <c r="I3672" s="12" t="s">
        <v>5430</v>
      </c>
      <c r="J3672" s="41">
        <f>+Tabla1[[#This Row],[FECHA ENTRADA]]</f>
        <v>45824</v>
      </c>
      <c r="K3672" s="22">
        <v>45869</v>
      </c>
      <c r="L3672" s="42">
        <f>_xlfn.DAYS(Tabla1[[#This Row],[FECHA FIN ]],Tabla1[[#This Row],[FECHA INICIO]])</f>
        <v>45</v>
      </c>
      <c r="M3672" s="12"/>
      <c r="N3672" s="28">
        <v>450</v>
      </c>
      <c r="O3672" s="28">
        <f>(Tabla1[[#This Row],[COSTO FIJO ]]/30)*Tabla1[[#This Row],[TOTAL DIAS PROYECTO]]+(Tabla1[[#This Row],[COSTO TEMPORAL]])</f>
        <v>675</v>
      </c>
      <c r="P3672" s="12"/>
      <c r="Q3672" s="12">
        <f>+(Tabla1[[#This Row],[COSTO COCHE]]/30)*Tabla1[[#This Row],[TOTAL DIAS PROYECTO]]</f>
        <v>0</v>
      </c>
      <c r="R3672" s="12">
        <f>+Tabla1[[#This Row],[COSTO TOTAL ALOJAMIENTO]]+Tabla1[[#This Row],[COSTO TOTAL COCHE]]</f>
        <v>675</v>
      </c>
      <c r="S3672" s="2"/>
      <c r="T3672" s="14" t="s">
        <v>35</v>
      </c>
      <c r="U3672" s="14">
        <v>45824</v>
      </c>
      <c r="V3672" s="43"/>
      <c r="W3672" s="12">
        <v>450</v>
      </c>
      <c r="X3672" s="2">
        <v>13</v>
      </c>
      <c r="Y3672" s="11" t="s">
        <v>5431</v>
      </c>
      <c r="Z3672" s="2" t="s">
        <v>36</v>
      </c>
      <c r="AA3672" s="13">
        <v>-326.69799999999998</v>
      </c>
      <c r="AB3672" s="13" t="s">
        <v>10373</v>
      </c>
    </row>
    <row r="3673" spans="1:28" ht="15" customHeight="1">
      <c r="A3673" s="2" t="s">
        <v>9386</v>
      </c>
      <c r="B3673" s="2" t="s">
        <v>978</v>
      </c>
      <c r="C3673" s="97" t="s">
        <v>3009</v>
      </c>
      <c r="D3673" s="2" t="s">
        <v>30</v>
      </c>
      <c r="E3673" s="2" t="s">
        <v>422</v>
      </c>
      <c r="F3673" s="11" t="s">
        <v>5432</v>
      </c>
      <c r="G3673" s="11" t="s">
        <v>5428</v>
      </c>
      <c r="H3673" s="2" t="s">
        <v>5429</v>
      </c>
      <c r="I3673" s="12" t="s">
        <v>5430</v>
      </c>
      <c r="J3673" s="41">
        <f>+Tabla1[[#This Row],[FECHA ENTRADA]]</f>
        <v>45824</v>
      </c>
      <c r="K3673" s="22">
        <v>45886</v>
      </c>
      <c r="L3673" s="42">
        <f>_xlfn.DAYS(Tabla1[[#This Row],[FECHA FIN ]],Tabla1[[#This Row],[FECHA INICIO]])</f>
        <v>62</v>
      </c>
      <c r="M3673" s="12"/>
      <c r="N3673" s="28">
        <v>450</v>
      </c>
      <c r="O3673" s="28">
        <f>(Tabla1[[#This Row],[COSTO FIJO ]]/30)*Tabla1[[#This Row],[TOTAL DIAS PROYECTO]]+(Tabla1[[#This Row],[COSTO TEMPORAL]])</f>
        <v>930</v>
      </c>
      <c r="P3673" s="12"/>
      <c r="Q3673" s="12">
        <f>+(Tabla1[[#This Row],[COSTO COCHE]]/30)*Tabla1[[#This Row],[TOTAL DIAS PROYECTO]]</f>
        <v>0</v>
      </c>
      <c r="R3673" s="12">
        <f>+Tabla1[[#This Row],[COSTO TOTAL ALOJAMIENTO]]+Tabla1[[#This Row],[COSTO TOTAL COCHE]]</f>
        <v>930</v>
      </c>
      <c r="S3673" s="2"/>
      <c r="T3673" s="14" t="s">
        <v>35</v>
      </c>
      <c r="U3673" s="14">
        <v>45824</v>
      </c>
      <c r="V3673" s="43"/>
      <c r="W3673" s="12">
        <v>450</v>
      </c>
      <c r="X3673" s="2">
        <v>13</v>
      </c>
      <c r="Y3673" s="11" t="s">
        <v>5433</v>
      </c>
      <c r="Z3673" s="2" t="s">
        <v>36</v>
      </c>
      <c r="AA3673" s="13">
        <v>-326.69799999999998</v>
      </c>
      <c r="AB3673" s="13" t="s">
        <v>10373</v>
      </c>
    </row>
    <row r="3674" spans="1:28" ht="15" customHeight="1">
      <c r="A3674" s="2" t="s">
        <v>9903</v>
      </c>
      <c r="B3674" s="2" t="s">
        <v>978</v>
      </c>
      <c r="C3674" s="104" t="s">
        <v>5310</v>
      </c>
      <c r="D3674" s="2" t="s">
        <v>30</v>
      </c>
      <c r="E3674" s="2" t="s">
        <v>422</v>
      </c>
      <c r="F3674" s="11" t="s">
        <v>5427</v>
      </c>
      <c r="G3674" s="11" t="s">
        <v>5428</v>
      </c>
      <c r="H3674" s="2" t="s">
        <v>3229</v>
      </c>
      <c r="I3674" s="12" t="s">
        <v>5430</v>
      </c>
      <c r="J3674" s="41">
        <f>+Tabla1[[#This Row],[FECHA ENTRADA]]</f>
        <v>45826</v>
      </c>
      <c r="K3674" s="22">
        <v>45849</v>
      </c>
      <c r="L3674" s="42">
        <f>_xlfn.DAYS(Tabla1[[#This Row],[FECHA FIN ]],Tabla1[[#This Row],[FECHA INICIO]])</f>
        <v>23</v>
      </c>
      <c r="M3674" s="12"/>
      <c r="N3674" s="12">
        <v>450</v>
      </c>
      <c r="O3674" s="28">
        <f>(Tabla1[[#This Row],[COSTO FIJO ]]/30)*Tabla1[[#This Row],[TOTAL DIAS PROYECTO]]+(Tabla1[[#This Row],[COSTO TEMPORAL]])</f>
        <v>345</v>
      </c>
      <c r="P3674" s="12"/>
      <c r="Q3674" s="12">
        <f>+(Tabla1[[#This Row],[COSTO COCHE]]/30)*Tabla1[[#This Row],[TOTAL DIAS PROYECTO]]</f>
        <v>0</v>
      </c>
      <c r="R3674" s="12">
        <f>+Tabla1[[#This Row],[COSTO TOTAL ALOJAMIENTO]]+Tabla1[[#This Row],[COSTO TOTAL COCHE]]</f>
        <v>345</v>
      </c>
      <c r="S3674" s="2"/>
      <c r="T3674" s="14" t="s">
        <v>35</v>
      </c>
      <c r="U3674" s="14">
        <v>45826</v>
      </c>
      <c r="V3674" s="43"/>
      <c r="W3674" s="12">
        <v>450</v>
      </c>
      <c r="X3674" s="2">
        <v>15</v>
      </c>
      <c r="Y3674" s="11" t="s">
        <v>5431</v>
      </c>
      <c r="Z3674" s="2" t="s">
        <v>36</v>
      </c>
      <c r="AA3674" s="13">
        <v>-326.69799999999998</v>
      </c>
      <c r="AB3674" s="13" t="s">
        <v>10373</v>
      </c>
    </row>
    <row r="3675" spans="1:28" ht="15" customHeight="1">
      <c r="A3675" s="2" t="s">
        <v>9130</v>
      </c>
      <c r="B3675" s="2" t="s">
        <v>368</v>
      </c>
      <c r="C3675" s="97" t="s">
        <v>2126</v>
      </c>
      <c r="D3675" s="2" t="s">
        <v>78</v>
      </c>
      <c r="E3675" s="2" t="s">
        <v>1297</v>
      </c>
      <c r="F3675" s="11" t="s">
        <v>4989</v>
      </c>
      <c r="G3675" s="21" t="s">
        <v>4911</v>
      </c>
      <c r="H3675" s="2" t="s">
        <v>4912</v>
      </c>
      <c r="I3675" s="29" t="s">
        <v>1301</v>
      </c>
      <c r="J3675" s="41">
        <f>+Tabla1[[#This Row],[FECHA ENTRADA]]</f>
        <v>45891</v>
      </c>
      <c r="K3675" s="41">
        <v>45933</v>
      </c>
      <c r="L3675" s="42">
        <f>_xlfn.DAYS(Tabla1[[#This Row],[FECHA FIN ]],Tabla1[[#This Row],[FECHA INICIO]])</f>
        <v>42</v>
      </c>
      <c r="M3675" s="12">
        <v>432.5</v>
      </c>
      <c r="N3675" s="12"/>
      <c r="O3675" s="28">
        <f>(Tabla1[[#This Row],[COSTO FIJO ]]/30)*Tabla1[[#This Row],[TOTAL DIAS PROYECTO]]+(Tabla1[[#This Row],[COSTO TEMPORAL]])</f>
        <v>432.5</v>
      </c>
      <c r="P3675" s="12"/>
      <c r="Q3675" s="12">
        <f>+(Tabla1[[#This Row],[COSTO COCHE]]/30)*Tabla1[[#This Row],[TOTAL DIAS PROYECTO]]</f>
        <v>0</v>
      </c>
      <c r="R3675" s="12">
        <f>+Tabla1[[#This Row],[COSTO TOTAL ALOJAMIENTO]]+Tabla1[[#This Row],[COSTO TOTAL COCHE]]</f>
        <v>432.5</v>
      </c>
      <c r="S3675" s="2"/>
      <c r="T3675" s="14" t="s">
        <v>44</v>
      </c>
      <c r="U3675" s="14">
        <v>45891</v>
      </c>
      <c r="V3675" s="43">
        <v>45938</v>
      </c>
      <c r="W3675" s="12"/>
      <c r="X3675" s="2"/>
      <c r="Y3675" s="11"/>
      <c r="Z3675" s="2" t="s">
        <v>36</v>
      </c>
      <c r="AA3675" s="13" t="s">
        <v>10414</v>
      </c>
      <c r="AB3675" s="13">
        <v>5094783</v>
      </c>
    </row>
    <row r="3676" spans="1:28" ht="15" customHeight="1">
      <c r="A3676" s="2" t="s">
        <v>9918</v>
      </c>
      <c r="B3676" s="2" t="s">
        <v>978</v>
      </c>
      <c r="C3676" s="104" t="s">
        <v>5434</v>
      </c>
      <c r="D3676" s="2" t="s">
        <v>30</v>
      </c>
      <c r="E3676" s="2" t="s">
        <v>422</v>
      </c>
      <c r="F3676" s="11" t="s">
        <v>5435</v>
      </c>
      <c r="G3676" s="11" t="s">
        <v>5428</v>
      </c>
      <c r="H3676" s="2" t="s">
        <v>2180</v>
      </c>
      <c r="I3676" s="12" t="s">
        <v>5430</v>
      </c>
      <c r="J3676" s="41">
        <f>+Tabla1[[#This Row],[FECHA ENTRADA]]</f>
        <v>45839</v>
      </c>
      <c r="K3676" s="22">
        <v>45886</v>
      </c>
      <c r="L3676" s="42">
        <f>_xlfn.DAYS(Tabla1[[#This Row],[FECHA FIN ]],Tabla1[[#This Row],[FECHA INICIO]])</f>
        <v>47</v>
      </c>
      <c r="M3676" s="12"/>
      <c r="N3676" s="28">
        <v>300</v>
      </c>
      <c r="O3676" s="28">
        <f>(Tabla1[[#This Row],[COSTO FIJO ]]/30)*Tabla1[[#This Row],[TOTAL DIAS PROYECTO]]+(Tabla1[[#This Row],[COSTO TEMPORAL]])</f>
        <v>470</v>
      </c>
      <c r="P3676" s="12"/>
      <c r="Q3676" s="12">
        <f>+(Tabla1[[#This Row],[COSTO COCHE]]/30)*Tabla1[[#This Row],[TOTAL DIAS PROYECTO]]</f>
        <v>0</v>
      </c>
      <c r="R3676" s="12">
        <f>+Tabla1[[#This Row],[COSTO TOTAL ALOJAMIENTO]]+Tabla1[[#This Row],[COSTO TOTAL COCHE]]</f>
        <v>470</v>
      </c>
      <c r="S3676" s="2"/>
      <c r="T3676" s="14" t="s">
        <v>35</v>
      </c>
      <c r="U3676" s="14">
        <v>45839</v>
      </c>
      <c r="V3676" s="43"/>
      <c r="W3676" s="12"/>
      <c r="X3676" s="2">
        <v>1</v>
      </c>
      <c r="Y3676" s="11" t="s">
        <v>1361</v>
      </c>
      <c r="Z3676" s="2" t="s">
        <v>36</v>
      </c>
      <c r="AA3676" s="13">
        <v>-326.69799999999998</v>
      </c>
      <c r="AB3676" s="13" t="s">
        <v>10373</v>
      </c>
    </row>
    <row r="3677" spans="1:28" ht="15" customHeight="1">
      <c r="A3677" s="2" t="s">
        <v>8944</v>
      </c>
      <c r="B3677" s="2" t="s">
        <v>368</v>
      </c>
      <c r="C3677" s="97" t="s">
        <v>1382</v>
      </c>
      <c r="D3677" s="2" t="s">
        <v>78</v>
      </c>
      <c r="E3677" s="2" t="s">
        <v>1297</v>
      </c>
      <c r="F3677" s="11" t="s">
        <v>3251</v>
      </c>
      <c r="G3677" s="46" t="s">
        <v>3252</v>
      </c>
      <c r="H3677" s="2" t="s">
        <v>1300</v>
      </c>
      <c r="I3677" s="12" t="s">
        <v>1301</v>
      </c>
      <c r="J3677" s="41">
        <f>+Tabla1[[#This Row],[FECHA ENTRADA]]</f>
        <v>45887</v>
      </c>
      <c r="K3677" s="41">
        <v>45933</v>
      </c>
      <c r="L3677" s="42">
        <f>_xlfn.DAYS(Tabla1[[#This Row],[FECHA FIN ]],Tabla1[[#This Row],[FECHA INICIO]])</f>
        <v>46</v>
      </c>
      <c r="M3677" s="12">
        <v>432.5</v>
      </c>
      <c r="N3677" s="28"/>
      <c r="O3677" s="28">
        <f>(Tabla1[[#This Row],[COSTO FIJO ]]/30)*Tabla1[[#This Row],[TOTAL DIAS PROYECTO]]+(Tabla1[[#This Row],[COSTO TEMPORAL]])</f>
        <v>432.5</v>
      </c>
      <c r="P3677" s="12"/>
      <c r="Q3677" s="12">
        <f>+(Tabla1[[#This Row],[COSTO COCHE]]/30)*Tabla1[[#This Row],[TOTAL DIAS PROYECTO]]</f>
        <v>0</v>
      </c>
      <c r="R3677" s="12">
        <f>+Tabla1[[#This Row],[COSTO TOTAL ALOJAMIENTO]]+Tabla1[[#This Row],[COSTO TOTAL COCHE]]</f>
        <v>432.5</v>
      </c>
      <c r="S3677" s="2"/>
      <c r="T3677" s="14" t="s">
        <v>44</v>
      </c>
      <c r="U3677" s="14">
        <v>45887</v>
      </c>
      <c r="V3677" s="43">
        <v>45938</v>
      </c>
      <c r="W3677" s="12"/>
      <c r="X3677" s="2"/>
      <c r="Y3677" s="11" t="s">
        <v>5364</v>
      </c>
      <c r="Z3677" s="2" t="s">
        <v>36</v>
      </c>
      <c r="AA3677" s="13" t="s">
        <v>10414</v>
      </c>
      <c r="AB3677" s="13">
        <v>5094783</v>
      </c>
    </row>
    <row r="3678" spans="1:28" ht="15" customHeight="1">
      <c r="A3678" s="2" t="s">
        <v>8901</v>
      </c>
      <c r="B3678" s="2" t="s">
        <v>978</v>
      </c>
      <c r="C3678" s="97" t="s">
        <v>1210</v>
      </c>
      <c r="D3678" s="2" t="s">
        <v>30</v>
      </c>
      <c r="E3678" s="2" t="s">
        <v>259</v>
      </c>
      <c r="F3678" s="11" t="s">
        <v>516</v>
      </c>
      <c r="G3678" s="11" t="s">
        <v>517</v>
      </c>
      <c r="H3678" s="2" t="s">
        <v>5436</v>
      </c>
      <c r="I3678" s="12" t="s">
        <v>3356</v>
      </c>
      <c r="J3678" s="22">
        <f>+Tabla1[[#This Row],[FECHA ENTRADA]]</f>
        <v>45930</v>
      </c>
      <c r="K3678" s="22">
        <v>45929</v>
      </c>
      <c r="L3678" s="23">
        <f>_xlfn.DAYS(Tabla1[[#This Row],[FECHA FIN ]],Tabla1[[#This Row],[FECHA INICIO]])</f>
        <v>-1</v>
      </c>
      <c r="M3678" s="12"/>
      <c r="N3678" s="24">
        <v>330</v>
      </c>
      <c r="O3678" s="24">
        <f>(Tabla1[[#This Row],[COSTO FIJO ]]/30)*Tabla1[[#This Row],[TOTAL DIAS PROYECTO]]+(Tabla1[[#This Row],[COSTO TEMPORAL]])</f>
        <v>-11</v>
      </c>
      <c r="P3678" s="12"/>
      <c r="Q3678" s="12">
        <f>+(Tabla1[[#This Row],[COSTO COCHE]]/30)*Tabla1[[#This Row],[TOTAL DIAS PROYECTO]]</f>
        <v>0</v>
      </c>
      <c r="R3678" s="12">
        <f>+Tabla1[[#This Row],[COSTO TOTAL ALOJAMIENTO]]+Tabla1[[#This Row],[COSTO TOTAL COCHE]]</f>
        <v>-11</v>
      </c>
      <c r="S3678" s="2"/>
      <c r="T3678" s="14" t="s">
        <v>35</v>
      </c>
      <c r="U3678" s="14">
        <v>45930</v>
      </c>
      <c r="V3678" s="25"/>
      <c r="W3678" s="71"/>
      <c r="X3678" s="2">
        <v>20</v>
      </c>
      <c r="Y3678" s="11" t="s">
        <v>5437</v>
      </c>
      <c r="Z3678" s="2" t="s">
        <v>36</v>
      </c>
      <c r="AA3678" s="13">
        <v>-0.87734000000000001</v>
      </c>
      <c r="AB3678" s="13" t="s">
        <v>10359</v>
      </c>
    </row>
    <row r="3679" spans="1:28" ht="15" customHeight="1">
      <c r="A3679" s="2" t="s">
        <v>9778</v>
      </c>
      <c r="B3679" s="2" t="s">
        <v>978</v>
      </c>
      <c r="C3679" s="97" t="s">
        <v>4692</v>
      </c>
      <c r="D3679" s="2" t="s">
        <v>30</v>
      </c>
      <c r="E3679" s="2" t="s">
        <v>259</v>
      </c>
      <c r="F3679" s="11" t="s">
        <v>516</v>
      </c>
      <c r="G3679" s="11" t="s">
        <v>517</v>
      </c>
      <c r="H3679" s="2" t="s">
        <v>5436</v>
      </c>
      <c r="I3679" s="12" t="s">
        <v>3356</v>
      </c>
      <c r="J3679" s="22">
        <f>+Tabla1[[#This Row],[FECHA ENTRADA]]</f>
        <v>45930</v>
      </c>
      <c r="K3679" s="22">
        <v>45933</v>
      </c>
      <c r="L3679" s="23">
        <f>_xlfn.DAYS(Tabla1[[#This Row],[FECHA FIN ]],Tabla1[[#This Row],[FECHA INICIO]])</f>
        <v>3</v>
      </c>
      <c r="M3679" s="12"/>
      <c r="N3679" s="24">
        <v>330</v>
      </c>
      <c r="O3679" s="24">
        <f>(Tabla1[[#This Row],[COSTO FIJO ]]/30)*Tabla1[[#This Row],[TOTAL DIAS PROYECTO]]+(Tabla1[[#This Row],[COSTO TEMPORAL]])</f>
        <v>33</v>
      </c>
      <c r="P3679" s="12"/>
      <c r="Q3679" s="12">
        <f>+(Tabla1[[#This Row],[COSTO COCHE]]/30)*Tabla1[[#This Row],[TOTAL DIAS PROYECTO]]</f>
        <v>0</v>
      </c>
      <c r="R3679" s="12">
        <f>+Tabla1[[#This Row],[COSTO TOTAL ALOJAMIENTO]]+Tabla1[[#This Row],[COSTO TOTAL COCHE]]</f>
        <v>33</v>
      </c>
      <c r="S3679" s="2"/>
      <c r="T3679" s="14" t="s">
        <v>35</v>
      </c>
      <c r="U3679" s="14">
        <v>45930</v>
      </c>
      <c r="V3679" s="25"/>
      <c r="W3679" s="71"/>
      <c r="X3679" s="2">
        <v>20</v>
      </c>
      <c r="Y3679" s="11" t="s">
        <v>5438</v>
      </c>
      <c r="Z3679" s="2" t="s">
        <v>36</v>
      </c>
      <c r="AA3679" s="13">
        <v>-0.87734000000000001</v>
      </c>
      <c r="AB3679" s="13" t="s">
        <v>10359</v>
      </c>
    </row>
    <row r="3680" spans="1:28" ht="15" customHeight="1">
      <c r="A3680" s="2" t="s">
        <v>9919</v>
      </c>
      <c r="B3680" s="2" t="s">
        <v>978</v>
      </c>
      <c r="C3680" s="97" t="s">
        <v>5439</v>
      </c>
      <c r="D3680" s="2" t="s">
        <v>30</v>
      </c>
      <c r="E3680" s="2" t="s">
        <v>1130</v>
      </c>
      <c r="F3680" s="11" t="s">
        <v>5440</v>
      </c>
      <c r="G3680" s="49" t="s">
        <v>5441</v>
      </c>
      <c r="H3680" s="2" t="s">
        <v>5442</v>
      </c>
      <c r="I3680" s="12" t="s">
        <v>5443</v>
      </c>
      <c r="J3680" s="22">
        <f>+Tabla1[[#This Row],[FECHA ENTRADA]]</f>
        <v>45929</v>
      </c>
      <c r="K3680" s="22">
        <v>45933</v>
      </c>
      <c r="L3680" s="23">
        <f>_xlfn.DAYS(Tabla1[[#This Row],[FECHA FIN ]],Tabla1[[#This Row],[FECHA INICIO]])</f>
        <v>4</v>
      </c>
      <c r="M3680" s="12"/>
      <c r="N3680" s="24"/>
      <c r="O3680" s="24">
        <f>(Tabla1[[#This Row],[COSTO FIJO ]]/30)*Tabla1[[#This Row],[TOTAL DIAS PROYECTO]]+(Tabla1[[#This Row],[COSTO TEMPORAL]])</f>
        <v>0</v>
      </c>
      <c r="P3680" s="12"/>
      <c r="Q3680" s="12">
        <f>+(Tabla1[[#This Row],[COSTO COCHE]]/30)*Tabla1[[#This Row],[TOTAL DIAS PROYECTO]]</f>
        <v>0</v>
      </c>
      <c r="R3680" s="12">
        <f>+Tabla1[[#This Row],[COSTO TOTAL ALOJAMIENTO]]+Tabla1[[#This Row],[COSTO TOTAL COCHE]]</f>
        <v>0</v>
      </c>
      <c r="S3680" s="2"/>
      <c r="T3680" s="14" t="s">
        <v>44</v>
      </c>
      <c r="U3680" s="14">
        <v>45929</v>
      </c>
      <c r="V3680" s="25">
        <v>45937</v>
      </c>
      <c r="W3680" s="71"/>
      <c r="X3680" s="2"/>
      <c r="Y3680" s="11" t="s">
        <v>5444</v>
      </c>
      <c r="Z3680" s="2" t="s">
        <v>36</v>
      </c>
      <c r="AA3680" s="13" t="s">
        <v>10412</v>
      </c>
      <c r="AB3680" s="13">
        <v>4200955</v>
      </c>
    </row>
    <row r="3681" spans="1:28" ht="15" customHeight="1">
      <c r="A3681" s="2" t="s">
        <v>9833</v>
      </c>
      <c r="B3681" s="2" t="s">
        <v>978</v>
      </c>
      <c r="C3681" s="104" t="s">
        <v>4948</v>
      </c>
      <c r="D3681" s="2" t="s">
        <v>99</v>
      </c>
      <c r="E3681" s="2" t="s">
        <v>31</v>
      </c>
      <c r="F3681" s="11" t="s">
        <v>32</v>
      </c>
      <c r="G3681" s="11" t="s">
        <v>33</v>
      </c>
      <c r="H3681" s="2" t="s">
        <v>4949</v>
      </c>
      <c r="I3681" s="12" t="s">
        <v>1540</v>
      </c>
      <c r="J3681" s="22">
        <f>+Tabla1[[#This Row],[FECHA ENTRADA]]</f>
        <v>45903</v>
      </c>
      <c r="K3681" s="22">
        <v>45934</v>
      </c>
      <c r="L3681" s="23">
        <f>_xlfn.DAYS(Tabla1[[#This Row],[FECHA FIN ]],Tabla1[[#This Row],[FECHA INICIO]])</f>
        <v>31</v>
      </c>
      <c r="M3681" s="12"/>
      <c r="N3681" s="12"/>
      <c r="O3681" s="24">
        <f>(Tabla1[[#This Row],[COSTO FIJO ]]/30)*Tabla1[[#This Row],[TOTAL DIAS PROYECTO]]+(Tabla1[[#This Row],[COSTO TEMPORAL]])</f>
        <v>0</v>
      </c>
      <c r="P3681" s="12"/>
      <c r="Q3681" s="12">
        <f>+(Tabla1[[#This Row],[COSTO COCHE]]/30)*Tabla1[[#This Row],[TOTAL DIAS PROYECTO]]</f>
        <v>0</v>
      </c>
      <c r="R3681" s="12">
        <f>+Tabla1[[#This Row],[COSTO TOTAL ALOJAMIENTO]]+Tabla1[[#This Row],[COSTO TOTAL COCHE]]</f>
        <v>0</v>
      </c>
      <c r="S3681" s="2"/>
      <c r="T3681" s="14" t="s">
        <v>35</v>
      </c>
      <c r="U3681" s="14">
        <v>45903</v>
      </c>
      <c r="V3681" s="25"/>
      <c r="W3681" s="71"/>
      <c r="X3681" s="2">
        <v>1</v>
      </c>
      <c r="Y3681" s="11"/>
      <c r="Z3681" s="2" t="s">
        <v>36</v>
      </c>
      <c r="AA3681" s="13" t="s">
        <v>10323</v>
      </c>
      <c r="AB3681" s="13" t="s">
        <v>10324</v>
      </c>
    </row>
    <row r="3682" spans="1:28" ht="15" customHeight="1">
      <c r="A3682" s="2" t="s">
        <v>9679</v>
      </c>
      <c r="B3682" s="2" t="s">
        <v>711</v>
      </c>
      <c r="C3682" s="97" t="s">
        <v>4190</v>
      </c>
      <c r="D3682" s="2" t="s">
        <v>78</v>
      </c>
      <c r="E3682" s="2" t="s">
        <v>1297</v>
      </c>
      <c r="F3682" s="11" t="s">
        <v>4989</v>
      </c>
      <c r="G3682" s="21" t="s">
        <v>4911</v>
      </c>
      <c r="H3682" s="2" t="s">
        <v>2168</v>
      </c>
      <c r="I3682" s="29" t="s">
        <v>1301</v>
      </c>
      <c r="J3682" s="41">
        <f>+Tabla1[[#This Row],[FECHA ENTRADA]]</f>
        <v>45891</v>
      </c>
      <c r="K3682" s="41">
        <v>45935</v>
      </c>
      <c r="L3682" s="42">
        <f>_xlfn.DAYS(Tabla1[[#This Row],[FECHA FIN ]],Tabla1[[#This Row],[FECHA INICIO]])</f>
        <v>44</v>
      </c>
      <c r="M3682" s="12">
        <v>300</v>
      </c>
      <c r="N3682" s="28"/>
      <c r="O3682" s="28">
        <f>(Tabla1[[#This Row],[COSTO FIJO ]]/30)*Tabla1[[#This Row],[TOTAL DIAS PROYECTO]]+(Tabla1[[#This Row],[COSTO TEMPORAL]])</f>
        <v>300</v>
      </c>
      <c r="P3682" s="12"/>
      <c r="Q3682" s="12">
        <f>+(Tabla1[[#This Row],[COSTO COCHE]]/30)*Tabla1[[#This Row],[TOTAL DIAS PROYECTO]]</f>
        <v>0</v>
      </c>
      <c r="R3682" s="12">
        <f>+Tabla1[[#This Row],[COSTO TOTAL ALOJAMIENTO]]+Tabla1[[#This Row],[COSTO TOTAL COCHE]]</f>
        <v>300</v>
      </c>
      <c r="S3682" s="2"/>
      <c r="T3682" s="14" t="s">
        <v>44</v>
      </c>
      <c r="U3682" s="14">
        <v>45891</v>
      </c>
      <c r="V3682" s="43">
        <v>45938</v>
      </c>
      <c r="W3682" s="12"/>
      <c r="X3682" s="2"/>
      <c r="Y3682" s="11" t="s">
        <v>5445</v>
      </c>
      <c r="Z3682" s="2" t="s">
        <v>36</v>
      </c>
      <c r="AA3682" s="13" t="s">
        <v>10414</v>
      </c>
      <c r="AB3682" s="13">
        <v>5094783</v>
      </c>
    </row>
    <row r="3683" spans="1:28" ht="15" customHeight="1">
      <c r="A3683" s="2" t="s">
        <v>8976</v>
      </c>
      <c r="B3683" s="2" t="s">
        <v>711</v>
      </c>
      <c r="C3683" s="31" t="s">
        <v>1570</v>
      </c>
      <c r="D3683" s="2" t="s">
        <v>78</v>
      </c>
      <c r="E3683" s="2" t="s">
        <v>1297</v>
      </c>
      <c r="F3683" s="11" t="s">
        <v>3251</v>
      </c>
      <c r="G3683" s="46" t="s">
        <v>3252</v>
      </c>
      <c r="H3683" s="2" t="s">
        <v>4530</v>
      </c>
      <c r="I3683" s="12" t="s">
        <v>1301</v>
      </c>
      <c r="J3683" s="41">
        <f>+Tabla1[[#This Row],[FECHA ENTRADA]]</f>
        <v>45887</v>
      </c>
      <c r="K3683" s="41">
        <v>45935</v>
      </c>
      <c r="L3683" s="42">
        <f>_xlfn.DAYS(Tabla1[[#This Row],[FECHA FIN ]],Tabla1[[#This Row],[FECHA INICIO]])</f>
        <v>48</v>
      </c>
      <c r="M3683" s="12">
        <v>432.5</v>
      </c>
      <c r="N3683" s="28"/>
      <c r="O3683" s="28">
        <f>(Tabla1[[#This Row],[COSTO FIJO ]]/30)*Tabla1[[#This Row],[TOTAL DIAS PROYECTO]]+(Tabla1[[#This Row],[COSTO TEMPORAL]])</f>
        <v>432.5</v>
      </c>
      <c r="P3683" s="12"/>
      <c r="Q3683" s="12">
        <f>+(Tabla1[[#This Row],[COSTO COCHE]]/30)*Tabla1[[#This Row],[TOTAL DIAS PROYECTO]]</f>
        <v>0</v>
      </c>
      <c r="R3683" s="12">
        <f>+Tabla1[[#This Row],[COSTO TOTAL ALOJAMIENTO]]+Tabla1[[#This Row],[COSTO TOTAL COCHE]]</f>
        <v>432.5</v>
      </c>
      <c r="S3683" s="2"/>
      <c r="T3683" s="14" t="s">
        <v>44</v>
      </c>
      <c r="U3683" s="14">
        <v>45887</v>
      </c>
      <c r="V3683" s="43">
        <v>45938</v>
      </c>
      <c r="W3683" s="12"/>
      <c r="X3683" s="2"/>
      <c r="Y3683" s="11" t="s">
        <v>5446</v>
      </c>
      <c r="Z3683" s="2" t="s">
        <v>36</v>
      </c>
      <c r="AA3683" s="13" t="s">
        <v>10414</v>
      </c>
      <c r="AB3683" s="13">
        <v>5094783</v>
      </c>
    </row>
    <row r="3684" spans="1:28" ht="15" customHeight="1">
      <c r="A3684" s="2" t="s">
        <v>9084</v>
      </c>
      <c r="B3684" s="2" t="s">
        <v>711</v>
      </c>
      <c r="C3684" s="97" t="s">
        <v>1947</v>
      </c>
      <c r="D3684" s="2" t="s">
        <v>78</v>
      </c>
      <c r="E3684" s="2" t="s">
        <v>1297</v>
      </c>
      <c r="F3684" s="11" t="s">
        <v>3251</v>
      </c>
      <c r="G3684" s="46" t="s">
        <v>3252</v>
      </c>
      <c r="H3684" s="2" t="s">
        <v>2168</v>
      </c>
      <c r="I3684" s="12" t="s">
        <v>1301</v>
      </c>
      <c r="J3684" s="41">
        <f>+Tabla1[[#This Row],[FECHA ENTRADA]]</f>
        <v>45887</v>
      </c>
      <c r="K3684" s="41">
        <v>45935</v>
      </c>
      <c r="L3684" s="42">
        <f>_xlfn.DAYS(Tabla1[[#This Row],[FECHA FIN ]],Tabla1[[#This Row],[FECHA INICIO]])</f>
        <v>48</v>
      </c>
      <c r="M3684" s="12">
        <v>432.5</v>
      </c>
      <c r="N3684" s="28"/>
      <c r="O3684" s="28">
        <f>(Tabla1[[#This Row],[COSTO FIJO ]]/30)*Tabla1[[#This Row],[TOTAL DIAS PROYECTO]]+(Tabla1[[#This Row],[COSTO TEMPORAL]])</f>
        <v>432.5</v>
      </c>
      <c r="P3684" s="12"/>
      <c r="Q3684" s="12">
        <f>+(Tabla1[[#This Row],[COSTO COCHE]]/30)*Tabla1[[#This Row],[TOTAL DIAS PROYECTO]]</f>
        <v>0</v>
      </c>
      <c r="R3684" s="12">
        <f>+Tabla1[[#This Row],[COSTO TOTAL ALOJAMIENTO]]+Tabla1[[#This Row],[COSTO TOTAL COCHE]]</f>
        <v>432.5</v>
      </c>
      <c r="S3684" s="2"/>
      <c r="T3684" s="14" t="s">
        <v>44</v>
      </c>
      <c r="U3684" s="14">
        <v>45887</v>
      </c>
      <c r="V3684" s="43">
        <v>45938</v>
      </c>
      <c r="W3684" s="12"/>
      <c r="X3684" s="2"/>
      <c r="Y3684" s="11" t="s">
        <v>5447</v>
      </c>
      <c r="Z3684" s="2" t="s">
        <v>36</v>
      </c>
      <c r="AA3684" s="13" t="s">
        <v>10414</v>
      </c>
      <c r="AB3684" s="13">
        <v>5094783</v>
      </c>
    </row>
    <row r="3685" spans="1:28" ht="15" customHeight="1">
      <c r="A3685" s="2" t="s">
        <v>9185</v>
      </c>
      <c r="B3685" s="2" t="s">
        <v>28</v>
      </c>
      <c r="C3685" s="97" t="s">
        <v>2354</v>
      </c>
      <c r="D3685" s="2" t="s">
        <v>30</v>
      </c>
      <c r="E3685" s="2" t="s">
        <v>626</v>
      </c>
      <c r="F3685" s="11"/>
      <c r="G3685" s="46"/>
      <c r="H3685" s="2" t="s">
        <v>2355</v>
      </c>
      <c r="I3685" s="12" t="s">
        <v>570</v>
      </c>
      <c r="J3685" s="41">
        <f>+Tabla1[[#This Row],[FECHA ENTRADA]]</f>
        <v>45809</v>
      </c>
      <c r="K3685" s="22">
        <v>45935</v>
      </c>
      <c r="L3685" s="42">
        <f>_xlfn.DAYS(Tabla1[[#This Row],[FECHA FIN ]],Tabla1[[#This Row],[FECHA INICIO]])</f>
        <v>126</v>
      </c>
      <c r="M3685" s="12"/>
      <c r="N3685" s="28">
        <v>300</v>
      </c>
      <c r="O3685" s="28">
        <f>(Tabla1[[#This Row],[COSTO FIJO ]]/30)*Tabla1[[#This Row],[TOTAL DIAS PROYECTO]]+(Tabla1[[#This Row],[COSTO TEMPORAL]])</f>
        <v>1260</v>
      </c>
      <c r="P3685" s="12"/>
      <c r="Q3685" s="12">
        <f>+(Tabla1[[#This Row],[COSTO COCHE]]/30)*Tabla1[[#This Row],[TOTAL DIAS PROYECTO]]</f>
        <v>0</v>
      </c>
      <c r="R3685" s="12">
        <f>+Tabla1[[#This Row],[COSTO TOTAL ALOJAMIENTO]]+Tabla1[[#This Row],[COSTO TOTAL COCHE]]</f>
        <v>1260</v>
      </c>
      <c r="S3685" s="2"/>
      <c r="T3685" s="14" t="s">
        <v>58</v>
      </c>
      <c r="U3685" s="14">
        <v>45809</v>
      </c>
      <c r="V3685" s="75"/>
      <c r="W3685" s="2"/>
      <c r="X3685" s="2"/>
      <c r="Y3685" s="11" t="s">
        <v>5448</v>
      </c>
      <c r="Z3685" s="2" t="s">
        <v>36</v>
      </c>
      <c r="AA3685" s="13" t="s">
        <v>10385</v>
      </c>
      <c r="AB3685" s="13" t="s">
        <v>10386</v>
      </c>
    </row>
    <row r="3686" spans="1:28" ht="15" customHeight="1">
      <c r="A3686" s="2" t="s">
        <v>9406</v>
      </c>
      <c r="B3686" s="2" t="s">
        <v>711</v>
      </c>
      <c r="C3686" s="104" t="s">
        <v>3075</v>
      </c>
      <c r="D3686" s="2" t="s">
        <v>99</v>
      </c>
      <c r="E3686" s="2" t="s">
        <v>253</v>
      </c>
      <c r="F3686" s="11" t="s">
        <v>1261</v>
      </c>
      <c r="G3686" s="11" t="s">
        <v>772</v>
      </c>
      <c r="H3686" s="2" t="s">
        <v>5449</v>
      </c>
      <c r="I3686" s="158" t="s">
        <v>2321</v>
      </c>
      <c r="J3686" s="22">
        <f>+Tabla1[[#This Row],[FECHA ENTRADA]]</f>
        <v>45928</v>
      </c>
      <c r="K3686" s="8">
        <v>45935</v>
      </c>
      <c r="L3686" s="23">
        <f>_xlfn.DAYS(Tabla1[[#This Row],[FECHA FIN ]],Tabla1[[#This Row],[FECHA INICIO]])</f>
        <v>7</v>
      </c>
      <c r="M3686" s="12">
        <f>(75*7)/3</f>
        <v>175</v>
      </c>
      <c r="N3686" s="24"/>
      <c r="O3686" s="24">
        <f>(Tabla1[[#This Row],[COSTO FIJO ]]/30)*Tabla1[[#This Row],[TOTAL DIAS PROYECTO]]+(Tabla1[[#This Row],[COSTO TEMPORAL]])</f>
        <v>175</v>
      </c>
      <c r="P3686" s="12"/>
      <c r="Q3686" s="12">
        <f>+(Tabla1[[#This Row],[COSTO COCHE]]/30)*Tabla1[[#This Row],[TOTAL DIAS PROYECTO]]</f>
        <v>0</v>
      </c>
      <c r="R3686" s="12">
        <f>+Tabla1[[#This Row],[COSTO TOTAL ALOJAMIENTO]]+Tabla1[[#This Row],[COSTO TOTAL COCHE]]</f>
        <v>175</v>
      </c>
      <c r="S3686" s="2"/>
      <c r="T3686" s="14" t="s">
        <v>44</v>
      </c>
      <c r="U3686" s="14">
        <v>45928</v>
      </c>
      <c r="V3686" s="25">
        <v>45935</v>
      </c>
      <c r="W3686" s="71"/>
      <c r="X3686" s="2"/>
      <c r="Y3686" s="11" t="s">
        <v>1361</v>
      </c>
      <c r="Z3686" s="2" t="s">
        <v>36</v>
      </c>
      <c r="AA3686" s="13" t="s">
        <v>10357</v>
      </c>
      <c r="AB3686" s="13" t="s">
        <v>10358</v>
      </c>
    </row>
    <row r="3687" spans="1:28" ht="15" customHeight="1">
      <c r="A3687" s="2" t="s">
        <v>9920</v>
      </c>
      <c r="B3687" s="2" t="s">
        <v>711</v>
      </c>
      <c r="C3687" s="104" t="s">
        <v>5450</v>
      </c>
      <c r="D3687" s="2" t="s">
        <v>99</v>
      </c>
      <c r="E3687" s="2" t="s">
        <v>253</v>
      </c>
      <c r="F3687" s="11" t="s">
        <v>1261</v>
      </c>
      <c r="G3687" s="11" t="s">
        <v>772</v>
      </c>
      <c r="H3687" s="2" t="s">
        <v>5449</v>
      </c>
      <c r="I3687" s="158" t="s">
        <v>2321</v>
      </c>
      <c r="J3687" s="22">
        <f>+Tabla1[[#This Row],[FECHA ENTRADA]]</f>
        <v>45928</v>
      </c>
      <c r="K3687" s="8">
        <v>45935</v>
      </c>
      <c r="L3687" s="23">
        <f>_xlfn.DAYS(Tabla1[[#This Row],[FECHA FIN ]],Tabla1[[#This Row],[FECHA INICIO]])</f>
        <v>7</v>
      </c>
      <c r="M3687" s="12">
        <f>(75*7)/3</f>
        <v>175</v>
      </c>
      <c r="N3687" s="24"/>
      <c r="O3687" s="24">
        <f>(Tabla1[[#This Row],[COSTO FIJO ]]/30)*Tabla1[[#This Row],[TOTAL DIAS PROYECTO]]+(Tabla1[[#This Row],[COSTO TEMPORAL]])</f>
        <v>175</v>
      </c>
      <c r="P3687" s="12"/>
      <c r="Q3687" s="12">
        <f>+(Tabla1[[#This Row],[COSTO COCHE]]/30)*Tabla1[[#This Row],[TOTAL DIAS PROYECTO]]</f>
        <v>0</v>
      </c>
      <c r="R3687" s="12">
        <f>+Tabla1[[#This Row],[COSTO TOTAL ALOJAMIENTO]]+Tabla1[[#This Row],[COSTO TOTAL COCHE]]</f>
        <v>175</v>
      </c>
      <c r="S3687" s="2"/>
      <c r="T3687" s="14" t="s">
        <v>44</v>
      </c>
      <c r="U3687" s="14">
        <v>45928</v>
      </c>
      <c r="V3687" s="25">
        <v>45935</v>
      </c>
      <c r="W3687" s="71"/>
      <c r="X3687" s="2"/>
      <c r="Y3687" s="11" t="s">
        <v>1361</v>
      </c>
      <c r="Z3687" s="2" t="s">
        <v>36</v>
      </c>
      <c r="AA3687" s="13" t="s">
        <v>10357</v>
      </c>
      <c r="AB3687" s="13" t="s">
        <v>10358</v>
      </c>
    </row>
    <row r="3688" spans="1:28" ht="15" customHeight="1">
      <c r="A3688" s="2" t="s">
        <v>9921</v>
      </c>
      <c r="B3688" s="2" t="s">
        <v>711</v>
      </c>
      <c r="C3688" s="104" t="s">
        <v>5451</v>
      </c>
      <c r="D3688" s="2" t="s">
        <v>99</v>
      </c>
      <c r="E3688" s="2" t="s">
        <v>253</v>
      </c>
      <c r="F3688" s="11" t="s">
        <v>1261</v>
      </c>
      <c r="G3688" s="11" t="s">
        <v>772</v>
      </c>
      <c r="H3688" s="2" t="s">
        <v>5449</v>
      </c>
      <c r="I3688" s="158" t="s">
        <v>2321</v>
      </c>
      <c r="J3688" s="22">
        <f>+Tabla1[[#This Row],[FECHA ENTRADA]]</f>
        <v>45928</v>
      </c>
      <c r="K3688" s="8">
        <v>45935</v>
      </c>
      <c r="L3688" s="23">
        <f>_xlfn.DAYS(Tabla1[[#This Row],[FECHA FIN ]],Tabla1[[#This Row],[FECHA INICIO]])</f>
        <v>7</v>
      </c>
      <c r="M3688" s="12">
        <f>(75*7)/3</f>
        <v>175</v>
      </c>
      <c r="N3688" s="24"/>
      <c r="O3688" s="24">
        <f>(Tabla1[[#This Row],[COSTO FIJO ]]/30)*Tabla1[[#This Row],[TOTAL DIAS PROYECTO]]+(Tabla1[[#This Row],[COSTO TEMPORAL]])</f>
        <v>175</v>
      </c>
      <c r="P3688" s="12"/>
      <c r="Q3688" s="12">
        <f>+(Tabla1[[#This Row],[COSTO COCHE]]/30)*Tabla1[[#This Row],[TOTAL DIAS PROYECTO]]</f>
        <v>0</v>
      </c>
      <c r="R3688" s="12">
        <f>+Tabla1[[#This Row],[COSTO TOTAL ALOJAMIENTO]]+Tabla1[[#This Row],[COSTO TOTAL COCHE]]</f>
        <v>175</v>
      </c>
      <c r="S3688" s="2"/>
      <c r="T3688" s="14" t="s">
        <v>44</v>
      </c>
      <c r="U3688" s="14">
        <v>45928</v>
      </c>
      <c r="V3688" s="25">
        <v>45935</v>
      </c>
      <c r="W3688" s="71"/>
      <c r="X3688" s="2"/>
      <c r="Y3688" s="11" t="s">
        <v>1361</v>
      </c>
      <c r="Z3688" s="2" t="s">
        <v>36</v>
      </c>
      <c r="AA3688" s="13" t="s">
        <v>10357</v>
      </c>
      <c r="AB3688" s="13" t="s">
        <v>10358</v>
      </c>
    </row>
    <row r="3689" spans="1:28" ht="15" customHeight="1">
      <c r="A3689" s="2" t="s">
        <v>9065</v>
      </c>
      <c r="B3689" s="2" t="s">
        <v>978</v>
      </c>
      <c r="C3689" s="104" t="s">
        <v>1850</v>
      </c>
      <c r="D3689" s="2" t="s">
        <v>30</v>
      </c>
      <c r="E3689" s="2" t="s">
        <v>253</v>
      </c>
      <c r="F3689" s="11" t="s">
        <v>5065</v>
      </c>
      <c r="G3689" s="21" t="s">
        <v>1985</v>
      </c>
      <c r="H3689" s="2" t="s">
        <v>5452</v>
      </c>
      <c r="I3689" s="12" t="s">
        <v>4696</v>
      </c>
      <c r="J3689" s="22">
        <f>+Tabla1[[#This Row],[FECHA ENTRADA]]</f>
        <v>45935</v>
      </c>
      <c r="K3689" s="22">
        <v>45935</v>
      </c>
      <c r="L3689" s="23">
        <f>_xlfn.DAYS(Tabla1[[#This Row],[FECHA FIN ]],Tabla1[[#This Row],[FECHA INICIO]])</f>
        <v>0</v>
      </c>
      <c r="M3689" s="12"/>
      <c r="N3689" s="20"/>
      <c r="O3689" s="24">
        <f>(Tabla1[[#This Row],[COSTO FIJO ]]/30)*Tabla1[[#This Row],[TOTAL DIAS PROYECTO]]+(Tabla1[[#This Row],[COSTO TEMPORAL]])</f>
        <v>0</v>
      </c>
      <c r="P3689" s="12"/>
      <c r="Q3689" s="12">
        <f>+(Tabla1[[#This Row],[COSTO COCHE]]/30)*Tabla1[[#This Row],[TOTAL DIAS PROYECTO]]</f>
        <v>0</v>
      </c>
      <c r="R3689" s="12">
        <f>+Tabla1[[#This Row],[COSTO TOTAL ALOJAMIENTO]]+Tabla1[[#This Row],[COSTO TOTAL COCHE]]</f>
        <v>0</v>
      </c>
      <c r="S3689" s="2"/>
      <c r="T3689" s="14" t="s">
        <v>44</v>
      </c>
      <c r="U3689" s="14">
        <v>45935</v>
      </c>
      <c r="V3689" s="79">
        <v>45935</v>
      </c>
      <c r="W3689" s="71"/>
      <c r="X3689" s="2"/>
      <c r="Y3689" s="11" t="s">
        <v>5453</v>
      </c>
      <c r="Z3689" s="2" t="s">
        <v>36</v>
      </c>
      <c r="AA3689" s="13" t="s">
        <v>10357</v>
      </c>
      <c r="AB3689" s="13" t="s">
        <v>10358</v>
      </c>
    </row>
    <row r="3690" spans="1:28" ht="15" customHeight="1">
      <c r="A3690" s="2" t="s">
        <v>9922</v>
      </c>
      <c r="B3690" s="2" t="s">
        <v>978</v>
      </c>
      <c r="C3690" s="104" t="s">
        <v>5454</v>
      </c>
      <c r="D3690" s="2" t="s">
        <v>30</v>
      </c>
      <c r="E3690" s="2" t="s">
        <v>1393</v>
      </c>
      <c r="F3690" s="11" t="s">
        <v>5455</v>
      </c>
      <c r="G3690" s="46" t="s">
        <v>5456</v>
      </c>
      <c r="H3690" s="2" t="s">
        <v>5457</v>
      </c>
      <c r="I3690" s="12" t="s">
        <v>5291</v>
      </c>
      <c r="J3690" s="41">
        <f>+Tabla1[[#This Row],[FECHA ENTRADA]]</f>
        <v>45925</v>
      </c>
      <c r="K3690" s="22">
        <v>45936</v>
      </c>
      <c r="L3690" s="42">
        <f>_xlfn.DAYS(Tabla1[[#This Row],[FECHA FIN ]],Tabla1[[#This Row],[FECHA INICIO]])</f>
        <v>11</v>
      </c>
      <c r="M3690" s="12">
        <v>382.5</v>
      </c>
      <c r="N3690" s="28"/>
      <c r="O3690" s="28">
        <f>(Tabla1[[#This Row],[COSTO FIJO ]]/30)*Tabla1[[#This Row],[TOTAL DIAS PROYECTO]]+(Tabla1[[#This Row],[COSTO TEMPORAL]])</f>
        <v>382.5</v>
      </c>
      <c r="P3690" s="12"/>
      <c r="Q3690" s="12">
        <f>+(Tabla1[[#This Row],[COSTO COCHE]]/30)*Tabla1[[#This Row],[TOTAL DIAS PROYECTO]]</f>
        <v>0</v>
      </c>
      <c r="R3690" s="12">
        <f>+Tabla1[[#This Row],[COSTO TOTAL ALOJAMIENTO]]+Tabla1[[#This Row],[COSTO TOTAL COCHE]]</f>
        <v>382.5</v>
      </c>
      <c r="S3690" s="2" t="s">
        <v>403</v>
      </c>
      <c r="T3690" s="14" t="s">
        <v>44</v>
      </c>
      <c r="U3690" s="14">
        <v>45925</v>
      </c>
      <c r="V3690" s="25">
        <v>45936</v>
      </c>
      <c r="W3690" s="71"/>
      <c r="X3690" s="2"/>
      <c r="Y3690" s="136"/>
      <c r="Z3690" s="2" t="s">
        <v>36</v>
      </c>
      <c r="AA3690" s="13" t="s">
        <v>10416</v>
      </c>
      <c r="AB3690" s="13" t="s">
        <v>10417</v>
      </c>
    </row>
    <row r="3691" spans="1:28" ht="15" customHeight="1">
      <c r="A3691" s="2" t="s">
        <v>9294</v>
      </c>
      <c r="B3691" s="2" t="s">
        <v>978</v>
      </c>
      <c r="C3691" s="104" t="s">
        <v>2731</v>
      </c>
      <c r="D3691" s="2" t="s">
        <v>30</v>
      </c>
      <c r="E3691" s="2" t="s">
        <v>109</v>
      </c>
      <c r="F3691" s="11" t="s">
        <v>5353</v>
      </c>
      <c r="G3691" s="49" t="s">
        <v>5354</v>
      </c>
      <c r="H3691" s="2" t="s">
        <v>5355</v>
      </c>
      <c r="I3691" s="12" t="s">
        <v>5356</v>
      </c>
      <c r="J3691" s="22">
        <f>+Tabla1[[#This Row],[FECHA ENTRADA]]</f>
        <v>45867</v>
      </c>
      <c r="K3691" s="22">
        <v>45875</v>
      </c>
      <c r="L3691" s="23">
        <f>_xlfn.DAYS(Tabla1[[#This Row],[FECHA FIN ]],Tabla1[[#This Row],[FECHA INICIO]])</f>
        <v>8</v>
      </c>
      <c r="M3691" s="12"/>
      <c r="N3691" s="12">
        <v>225.25</v>
      </c>
      <c r="O3691" s="24">
        <f>(Tabla1[[#This Row],[COSTO FIJO ]]/30)*Tabla1[[#This Row],[TOTAL DIAS PROYECTO]]+(Tabla1[[#This Row],[COSTO TEMPORAL]])</f>
        <v>60.06666666666667</v>
      </c>
      <c r="P3691" s="12"/>
      <c r="Q3691" s="12">
        <f>+(Tabla1[[#This Row],[COSTO COCHE]]/30)*Tabla1[[#This Row],[TOTAL DIAS PROYECTO]]</f>
        <v>0</v>
      </c>
      <c r="R3691" s="12">
        <f>+Tabla1[[#This Row],[COSTO TOTAL ALOJAMIENTO]]+Tabla1[[#This Row],[COSTO TOTAL COCHE]]</f>
        <v>60.06666666666667</v>
      </c>
      <c r="S3691" s="2" t="s">
        <v>403</v>
      </c>
      <c r="T3691" s="14" t="s">
        <v>44</v>
      </c>
      <c r="U3691" s="14">
        <v>45867</v>
      </c>
      <c r="V3691" s="25">
        <v>45875</v>
      </c>
      <c r="W3691" s="12"/>
      <c r="X3691" s="2"/>
      <c r="Y3691" s="11" t="s">
        <v>5357</v>
      </c>
      <c r="Z3691" s="2" t="s">
        <v>36</v>
      </c>
      <c r="AA3691" s="13">
        <v>0.62217999999999996</v>
      </c>
      <c r="AB3691" s="13" t="s">
        <v>10339</v>
      </c>
    </row>
    <row r="3692" spans="1:28" ht="15" customHeight="1">
      <c r="A3692" s="2" t="s">
        <v>9782</v>
      </c>
      <c r="B3692" s="2" t="s">
        <v>711</v>
      </c>
      <c r="C3692" s="104" t="s">
        <v>4725</v>
      </c>
      <c r="D3692" s="2" t="s">
        <v>99</v>
      </c>
      <c r="E3692" s="2" t="s">
        <v>626</v>
      </c>
      <c r="F3692" s="11" t="s">
        <v>2376</v>
      </c>
      <c r="G3692" s="21" t="s">
        <v>2377</v>
      </c>
      <c r="H3692" s="2" t="s">
        <v>4728</v>
      </c>
      <c r="I3692" s="12" t="s">
        <v>570</v>
      </c>
      <c r="J3692" s="22">
        <f>+Tabla1[[#This Row],[FECHA ENTRADA]]</f>
        <v>45928</v>
      </c>
      <c r="K3692" s="22">
        <v>45936</v>
      </c>
      <c r="L3692" s="23">
        <f>_xlfn.DAYS(Tabla1[[#This Row],[FECHA FIN ]],Tabla1[[#This Row],[FECHA INICIO]])</f>
        <v>8</v>
      </c>
      <c r="M3692" s="12">
        <v>160</v>
      </c>
      <c r="N3692" s="24"/>
      <c r="O3692" s="24">
        <f>(Tabla1[[#This Row],[COSTO FIJO ]]/30)*Tabla1[[#This Row],[TOTAL DIAS PROYECTO]]+(Tabla1[[#This Row],[COSTO TEMPORAL]])</f>
        <v>160</v>
      </c>
      <c r="P3692" s="12"/>
      <c r="Q3692" s="12">
        <f>+(Tabla1[[#This Row],[COSTO COCHE]]/30)*Tabla1[[#This Row],[TOTAL DIAS PROYECTO]]</f>
        <v>0</v>
      </c>
      <c r="R3692" s="12">
        <f>+Tabla1[[#This Row],[COSTO TOTAL ALOJAMIENTO]]+Tabla1[[#This Row],[COSTO TOTAL COCHE]]</f>
        <v>160</v>
      </c>
      <c r="S3692" s="2"/>
      <c r="T3692" s="14" t="s">
        <v>44</v>
      </c>
      <c r="U3692" s="14">
        <v>45928</v>
      </c>
      <c r="V3692" s="25">
        <v>45936</v>
      </c>
      <c r="W3692" s="71"/>
      <c r="X3692" s="2"/>
      <c r="Y3692" s="11"/>
      <c r="Z3692" s="2" t="s">
        <v>36</v>
      </c>
      <c r="AA3692" s="13" t="s">
        <v>10385</v>
      </c>
      <c r="AB3692" s="13" t="s">
        <v>10386</v>
      </c>
    </row>
    <row r="3693" spans="1:28" ht="15" customHeight="1">
      <c r="A3693" s="2" t="s">
        <v>8691</v>
      </c>
      <c r="B3693" s="2" t="s">
        <v>711</v>
      </c>
      <c r="C3693" s="104" t="s">
        <v>307</v>
      </c>
      <c r="D3693" s="2" t="s">
        <v>99</v>
      </c>
      <c r="E3693" s="2" t="s">
        <v>626</v>
      </c>
      <c r="F3693" s="11" t="s">
        <v>2376</v>
      </c>
      <c r="G3693" s="21" t="s">
        <v>2377</v>
      </c>
      <c r="H3693" s="2" t="s">
        <v>4731</v>
      </c>
      <c r="I3693" s="12" t="s">
        <v>570</v>
      </c>
      <c r="J3693" s="22">
        <f>+Tabla1[[#This Row],[FECHA ENTRADA]]</f>
        <v>45928</v>
      </c>
      <c r="K3693" s="22">
        <v>45936</v>
      </c>
      <c r="L3693" s="23">
        <f>_xlfn.DAYS(Tabla1[[#This Row],[FECHA FIN ]],Tabla1[[#This Row],[FECHA INICIO]])</f>
        <v>8</v>
      </c>
      <c r="M3693" s="12">
        <v>160</v>
      </c>
      <c r="N3693" s="24"/>
      <c r="O3693" s="24">
        <f>(Tabla1[[#This Row],[COSTO FIJO ]]/30)*Tabla1[[#This Row],[TOTAL DIAS PROYECTO]]+(Tabla1[[#This Row],[COSTO TEMPORAL]])</f>
        <v>160</v>
      </c>
      <c r="P3693" s="12"/>
      <c r="Q3693" s="12">
        <f>+(Tabla1[[#This Row],[COSTO COCHE]]/30)*Tabla1[[#This Row],[TOTAL DIAS PROYECTO]]</f>
        <v>0</v>
      </c>
      <c r="R3693" s="12">
        <f>+Tabla1[[#This Row],[COSTO TOTAL ALOJAMIENTO]]+Tabla1[[#This Row],[COSTO TOTAL COCHE]]</f>
        <v>160</v>
      </c>
      <c r="S3693" s="2"/>
      <c r="T3693" s="14" t="s">
        <v>44</v>
      </c>
      <c r="U3693" s="14">
        <v>45928</v>
      </c>
      <c r="V3693" s="25">
        <v>45936</v>
      </c>
      <c r="W3693" s="71"/>
      <c r="X3693" s="2"/>
      <c r="Y3693" s="11"/>
      <c r="Z3693" s="2" t="s">
        <v>36</v>
      </c>
      <c r="AA3693" s="13" t="s">
        <v>10385</v>
      </c>
      <c r="AB3693" s="13" t="s">
        <v>10386</v>
      </c>
    </row>
    <row r="3694" spans="1:28" ht="15" customHeight="1">
      <c r="A3694" s="2" t="s">
        <v>9545</v>
      </c>
      <c r="B3694" s="2" t="s">
        <v>711</v>
      </c>
      <c r="C3694" s="104" t="s">
        <v>3589</v>
      </c>
      <c r="D3694" s="2" t="s">
        <v>99</v>
      </c>
      <c r="E3694" s="2" t="s">
        <v>626</v>
      </c>
      <c r="F3694" s="11" t="s">
        <v>2376</v>
      </c>
      <c r="G3694" s="21" t="s">
        <v>2377</v>
      </c>
      <c r="H3694" s="2" t="s">
        <v>4728</v>
      </c>
      <c r="I3694" s="2" t="s">
        <v>570</v>
      </c>
      <c r="J3694" s="22">
        <f>+Tabla1[[#This Row],[FECHA ENTRADA]]</f>
        <v>45928</v>
      </c>
      <c r="K3694" s="22">
        <v>45936</v>
      </c>
      <c r="L3694" s="2">
        <f>_xlfn.DAYS(Tabla1[[#This Row],[FECHA FIN ]],Tabla1[[#This Row],[FECHA INICIO]])</f>
        <v>8</v>
      </c>
      <c r="M3694" s="12">
        <v>160</v>
      </c>
      <c r="N3694" s="24"/>
      <c r="O3694" s="24">
        <f>(Tabla1[[#This Row],[COSTO FIJO ]]/30)*Tabla1[[#This Row],[TOTAL DIAS PROYECTO]]+(Tabla1[[#This Row],[COSTO TEMPORAL]])</f>
        <v>160</v>
      </c>
      <c r="P3694" s="12"/>
      <c r="Q3694" s="12">
        <f>+(Tabla1[[#This Row],[COSTO COCHE]]/30)*Tabla1[[#This Row],[TOTAL DIAS PROYECTO]]</f>
        <v>0</v>
      </c>
      <c r="R3694" s="12">
        <f>+Tabla1[[#This Row],[COSTO TOTAL ALOJAMIENTO]]+Tabla1[[#This Row],[COSTO TOTAL COCHE]]</f>
        <v>160</v>
      </c>
      <c r="S3694" s="2"/>
      <c r="T3694" s="14" t="s">
        <v>44</v>
      </c>
      <c r="U3694" s="14">
        <v>45928</v>
      </c>
      <c r="V3694" s="25">
        <v>45936</v>
      </c>
      <c r="W3694" s="71"/>
      <c r="X3694" s="2"/>
      <c r="Y3694" s="11"/>
      <c r="Z3694" s="2" t="s">
        <v>36</v>
      </c>
      <c r="AA3694" s="13" t="s">
        <v>10385</v>
      </c>
      <c r="AB3694" s="13" t="s">
        <v>10386</v>
      </c>
    </row>
    <row r="3695" spans="1:28" ht="15" customHeight="1">
      <c r="A3695" s="2" t="s">
        <v>9770</v>
      </c>
      <c r="B3695" s="2" t="s">
        <v>711</v>
      </c>
      <c r="C3695" s="104" t="s">
        <v>4661</v>
      </c>
      <c r="D3695" s="2" t="s">
        <v>99</v>
      </c>
      <c r="E3695" s="2" t="s">
        <v>626</v>
      </c>
      <c r="F3695" s="11" t="s">
        <v>2376</v>
      </c>
      <c r="G3695" s="21" t="s">
        <v>2377</v>
      </c>
      <c r="H3695" s="2" t="s">
        <v>4728</v>
      </c>
      <c r="I3695" s="157" t="s">
        <v>570</v>
      </c>
      <c r="J3695" s="22">
        <f>+Tabla1[[#This Row],[FECHA ENTRADA]]</f>
        <v>45928</v>
      </c>
      <c r="K3695" s="22">
        <v>45936</v>
      </c>
      <c r="L3695" s="2">
        <f>_xlfn.DAYS(Tabla1[[#This Row],[FECHA FIN ]],Tabla1[[#This Row],[FECHA INICIO]])</f>
        <v>8</v>
      </c>
      <c r="M3695" s="12">
        <v>160</v>
      </c>
      <c r="N3695" s="24"/>
      <c r="O3695" s="24">
        <f>(Tabla1[[#This Row],[COSTO FIJO ]]/30)*Tabla1[[#This Row],[TOTAL DIAS PROYECTO]]+(Tabla1[[#This Row],[COSTO TEMPORAL]])</f>
        <v>160</v>
      </c>
      <c r="P3695" s="12"/>
      <c r="Q3695" s="12">
        <f>+(Tabla1[[#This Row],[COSTO COCHE]]/30)*Tabla1[[#This Row],[TOTAL DIAS PROYECTO]]</f>
        <v>0</v>
      </c>
      <c r="R3695" s="12">
        <f>+Tabla1[[#This Row],[COSTO TOTAL ALOJAMIENTO]]+Tabla1[[#This Row],[COSTO TOTAL COCHE]]</f>
        <v>160</v>
      </c>
      <c r="S3695" s="2"/>
      <c r="T3695" s="14" t="s">
        <v>44</v>
      </c>
      <c r="U3695" s="14">
        <v>45928</v>
      </c>
      <c r="V3695" s="25">
        <v>45936</v>
      </c>
      <c r="W3695" s="71"/>
      <c r="X3695" s="2"/>
      <c r="Y3695" s="11"/>
      <c r="Z3695" s="2" t="s">
        <v>36</v>
      </c>
      <c r="AA3695" s="13" t="s">
        <v>10385</v>
      </c>
      <c r="AB3695" s="13" t="s">
        <v>10386</v>
      </c>
    </row>
    <row r="3696" spans="1:28" ht="15" customHeight="1">
      <c r="A3696" s="2" t="s">
        <v>9475</v>
      </c>
      <c r="B3696" s="2" t="s">
        <v>368</v>
      </c>
      <c r="C3696" s="104" t="s">
        <v>3329</v>
      </c>
      <c r="D3696" s="2" t="s">
        <v>30</v>
      </c>
      <c r="E3696" s="2" t="s">
        <v>87</v>
      </c>
      <c r="F3696" s="11" t="s">
        <v>1106</v>
      </c>
      <c r="G3696" s="21"/>
      <c r="H3696" s="2" t="s">
        <v>5367</v>
      </c>
      <c r="I3696" s="158" t="s">
        <v>42</v>
      </c>
      <c r="J3696" s="22">
        <f>+Tabla1[[#This Row],[FECHA ENTRADA]]</f>
        <v>45929</v>
      </c>
      <c r="K3696" s="22">
        <v>45936</v>
      </c>
      <c r="L3696" s="23">
        <f>_xlfn.DAYS(Tabla1[[#This Row],[FECHA FIN ]],Tabla1[[#This Row],[FECHA INICIO]])</f>
        <v>7</v>
      </c>
      <c r="M3696" s="12"/>
      <c r="N3696" s="24"/>
      <c r="O3696" s="24">
        <f>(Tabla1[[#This Row],[COSTO FIJO ]]/30)*Tabla1[[#This Row],[TOTAL DIAS PROYECTO]]+(Tabla1[[#This Row],[COSTO TEMPORAL]])</f>
        <v>0</v>
      </c>
      <c r="P3696" s="12"/>
      <c r="Q3696" s="12">
        <f>+(Tabla1[[#This Row],[COSTO COCHE]]/30)*Tabla1[[#This Row],[TOTAL DIAS PROYECTO]]</f>
        <v>0</v>
      </c>
      <c r="R3696" s="12">
        <f>+Tabla1[[#This Row],[COSTO TOTAL ALOJAMIENTO]]+Tabla1[[#This Row],[COSTO TOTAL COCHE]]</f>
        <v>0</v>
      </c>
      <c r="S3696" s="2"/>
      <c r="T3696" s="2" t="s">
        <v>8</v>
      </c>
      <c r="U3696" s="14">
        <v>45929</v>
      </c>
      <c r="V3696" s="25"/>
      <c r="W3696" s="71"/>
      <c r="X3696" s="2"/>
      <c r="Y3696" s="11" t="s">
        <v>1106</v>
      </c>
      <c r="Z3696" s="2" t="s">
        <v>36</v>
      </c>
      <c r="AA3696" s="13" t="s">
        <v>10335</v>
      </c>
      <c r="AB3696" s="13">
        <v>404.16500000000002</v>
      </c>
    </row>
    <row r="3697" spans="1:28" ht="15" customHeight="1">
      <c r="A3697" s="2" t="s">
        <v>9915</v>
      </c>
      <c r="B3697" s="2" t="s">
        <v>28</v>
      </c>
      <c r="C3697" s="275" t="s">
        <v>5395</v>
      </c>
      <c r="D3697" s="2" t="s">
        <v>30</v>
      </c>
      <c r="E3697" s="2" t="s">
        <v>3684</v>
      </c>
      <c r="F3697" s="11" t="s">
        <v>4013</v>
      </c>
      <c r="G3697" s="46" t="s">
        <v>4014</v>
      </c>
      <c r="H3697" s="2" t="s">
        <v>5458</v>
      </c>
      <c r="I3697" s="12" t="s">
        <v>96</v>
      </c>
      <c r="J3697" s="41">
        <v>45611</v>
      </c>
      <c r="K3697" s="22">
        <v>45821</v>
      </c>
      <c r="L3697" s="42">
        <f>_xlfn.DAYS(Tabla1[[#This Row],[FECHA FIN ]],Tabla1[[#This Row],[FECHA INICIO]])</f>
        <v>210</v>
      </c>
      <c r="M3697" s="12"/>
      <c r="N3697" s="20"/>
      <c r="O3697" s="28">
        <f>(Tabla1[[#This Row],[COSTO FIJO ]]/30)*Tabla1[[#This Row],[TOTAL DIAS PROYECTO]]+(Tabla1[[#This Row],[COSTO TEMPORAL]])</f>
        <v>0</v>
      </c>
      <c r="P3697" s="12">
        <f>1714.47/34</f>
        <v>50.425588235294121</v>
      </c>
      <c r="Q3697" s="12">
        <f>+(Tabla1[[#This Row],[COSTO COCHE]]/30)*Tabla1[[#This Row],[TOTAL DIAS PROYECTO]]</f>
        <v>352.97911764705884</v>
      </c>
      <c r="R3697" s="12">
        <f>+Tabla1[[#This Row],[COSTO TOTAL ALOJAMIENTO]]+Tabla1[[#This Row],[COSTO TOTAL COCHE]]</f>
        <v>352.97911764705884</v>
      </c>
      <c r="S3697" s="2"/>
      <c r="T3697" s="2" t="s">
        <v>44</v>
      </c>
      <c r="U3697" s="14">
        <v>45604</v>
      </c>
      <c r="V3697" s="43">
        <v>45696</v>
      </c>
      <c r="W3697" s="26"/>
      <c r="X3697" s="2"/>
      <c r="Y3697" s="11" t="s">
        <v>1361</v>
      </c>
      <c r="Z3697" s="2" t="s">
        <v>36</v>
      </c>
      <c r="AA3697" s="13" t="s">
        <v>10442</v>
      </c>
      <c r="AB3697" s="13">
        <v>3588919</v>
      </c>
    </row>
    <row r="3698" spans="1:28" ht="15.75" customHeight="1">
      <c r="A3698" s="2" t="s">
        <v>9737</v>
      </c>
      <c r="B3698" s="2" t="s">
        <v>978</v>
      </c>
      <c r="C3698" s="104" t="s">
        <v>4500</v>
      </c>
      <c r="D3698" s="2" t="s">
        <v>30</v>
      </c>
      <c r="E3698" s="2" t="s">
        <v>5459</v>
      </c>
      <c r="F3698" s="11" t="s">
        <v>5460</v>
      </c>
      <c r="G3698" s="49" t="s">
        <v>5461</v>
      </c>
      <c r="H3698" s="2" t="s">
        <v>5077</v>
      </c>
      <c r="I3698" s="12" t="s">
        <v>4504</v>
      </c>
      <c r="J3698" s="22">
        <f>+Tabla1[[#This Row],[FECHA ENTRADA]]</f>
        <v>45905</v>
      </c>
      <c r="K3698" s="22">
        <v>45937</v>
      </c>
      <c r="L3698" s="23">
        <f>_xlfn.DAYS(Tabla1[[#This Row],[FECHA FIN ]],Tabla1[[#This Row],[FECHA INICIO]])</f>
        <v>32</v>
      </c>
      <c r="M3698" s="12"/>
      <c r="N3698" s="20">
        <f>2254.05/4</f>
        <v>563.51250000000005</v>
      </c>
      <c r="O3698" s="24">
        <f>(Tabla1[[#This Row],[COSTO FIJO ]]/30)*Tabla1[[#This Row],[TOTAL DIAS PROYECTO]]+(Tabla1[[#This Row],[COSTO TEMPORAL]])</f>
        <v>601.08000000000004</v>
      </c>
      <c r="P3698" s="12"/>
      <c r="Q3698" s="12">
        <f>+(Tabla1[[#This Row],[COSTO COCHE]]/30)*Tabla1[[#This Row],[TOTAL DIAS PROYECTO]]</f>
        <v>0</v>
      </c>
      <c r="R3698" s="12">
        <f>+Tabla1[[#This Row],[COSTO TOTAL ALOJAMIENTO]]+Tabla1[[#This Row],[COSTO TOTAL COCHE]]</f>
        <v>601.08000000000004</v>
      </c>
      <c r="S3698" s="2" t="s">
        <v>403</v>
      </c>
      <c r="T3698" s="14" t="s">
        <v>44</v>
      </c>
      <c r="U3698" s="14">
        <v>45905</v>
      </c>
      <c r="V3698" s="25">
        <v>45938</v>
      </c>
      <c r="W3698" s="71"/>
      <c r="X3698" s="2"/>
      <c r="Y3698" s="11" t="s">
        <v>5462</v>
      </c>
      <c r="Z3698" s="2" t="s">
        <v>36</v>
      </c>
      <c r="AA3698" s="13" t="e">
        <v>#N/A</v>
      </c>
      <c r="AB3698" s="13" t="e">
        <v>#N/A</v>
      </c>
    </row>
    <row r="3699" spans="1:28" ht="15.75" customHeight="1">
      <c r="A3699" s="2" t="s">
        <v>9860</v>
      </c>
      <c r="B3699" s="2" t="s">
        <v>978</v>
      </c>
      <c r="C3699" s="104" t="s">
        <v>5079</v>
      </c>
      <c r="D3699" s="2" t="s">
        <v>30</v>
      </c>
      <c r="E3699" s="2" t="s">
        <v>5459</v>
      </c>
      <c r="F3699" s="11" t="s">
        <v>5460</v>
      </c>
      <c r="G3699" s="49" t="s">
        <v>5461</v>
      </c>
      <c r="H3699" s="2" t="s">
        <v>5077</v>
      </c>
      <c r="I3699" s="12" t="s">
        <v>4504</v>
      </c>
      <c r="J3699" s="22">
        <f>+Tabla1[[#This Row],[FECHA ENTRADA]]</f>
        <v>45905</v>
      </c>
      <c r="K3699" s="22">
        <v>45937</v>
      </c>
      <c r="L3699" s="23">
        <f>_xlfn.DAYS(Tabla1[[#This Row],[FECHA FIN ]],Tabla1[[#This Row],[FECHA INICIO]])</f>
        <v>32</v>
      </c>
      <c r="M3699" s="12"/>
      <c r="N3699" s="20">
        <f>2254.05/4</f>
        <v>563.51250000000005</v>
      </c>
      <c r="O3699" s="24">
        <f>(Tabla1[[#This Row],[COSTO FIJO ]]/30)*Tabla1[[#This Row],[TOTAL DIAS PROYECTO]]+(Tabla1[[#This Row],[COSTO TEMPORAL]])</f>
        <v>601.08000000000004</v>
      </c>
      <c r="P3699" s="12"/>
      <c r="Q3699" s="12">
        <f>+(Tabla1[[#This Row],[COSTO COCHE]]/30)*Tabla1[[#This Row],[TOTAL DIAS PROYECTO]]</f>
        <v>0</v>
      </c>
      <c r="R3699" s="12">
        <f>+Tabla1[[#This Row],[COSTO TOTAL ALOJAMIENTO]]+Tabla1[[#This Row],[COSTO TOTAL COCHE]]</f>
        <v>601.08000000000004</v>
      </c>
      <c r="S3699" s="2" t="s">
        <v>403</v>
      </c>
      <c r="T3699" s="14" t="s">
        <v>44</v>
      </c>
      <c r="U3699" s="14">
        <v>45905</v>
      </c>
      <c r="V3699" s="25">
        <v>45938</v>
      </c>
      <c r="W3699" s="71"/>
      <c r="X3699" s="2"/>
      <c r="Y3699" s="11" t="s">
        <v>5462</v>
      </c>
      <c r="Z3699" s="2" t="s">
        <v>36</v>
      </c>
      <c r="AA3699" s="13" t="e">
        <v>#N/A</v>
      </c>
      <c r="AB3699" s="13" t="e">
        <v>#N/A</v>
      </c>
    </row>
    <row r="3700" spans="1:28" ht="15" customHeight="1">
      <c r="A3700" s="2" t="s">
        <v>9210</v>
      </c>
      <c r="B3700" s="2" t="s">
        <v>978</v>
      </c>
      <c r="C3700" s="104" t="s">
        <v>2447</v>
      </c>
      <c r="D3700" s="2" t="s">
        <v>30</v>
      </c>
      <c r="E3700" s="2" t="s">
        <v>5459</v>
      </c>
      <c r="F3700" s="11" t="s">
        <v>5460</v>
      </c>
      <c r="G3700" s="49" t="s">
        <v>5461</v>
      </c>
      <c r="H3700" s="2" t="s">
        <v>5077</v>
      </c>
      <c r="I3700" s="12" t="s">
        <v>4504</v>
      </c>
      <c r="J3700" s="22">
        <f>+Tabla1[[#This Row],[FECHA ENTRADA]]</f>
        <v>45905</v>
      </c>
      <c r="K3700" s="22">
        <v>45937</v>
      </c>
      <c r="L3700" s="23">
        <f>_xlfn.DAYS(Tabla1[[#This Row],[FECHA FIN ]],Tabla1[[#This Row],[FECHA INICIO]])</f>
        <v>32</v>
      </c>
      <c r="M3700" s="12"/>
      <c r="N3700" s="20">
        <f>2254.05/4</f>
        <v>563.51250000000005</v>
      </c>
      <c r="O3700" s="24">
        <f>(Tabla1[[#This Row],[COSTO FIJO ]]/30)*Tabla1[[#This Row],[TOTAL DIAS PROYECTO]]+(Tabla1[[#This Row],[COSTO TEMPORAL]])</f>
        <v>601.08000000000004</v>
      </c>
      <c r="P3700" s="12"/>
      <c r="Q3700" s="12">
        <f>+(Tabla1[[#This Row],[COSTO COCHE]]/30)*Tabla1[[#This Row],[TOTAL DIAS PROYECTO]]</f>
        <v>0</v>
      </c>
      <c r="R3700" s="12">
        <f>+Tabla1[[#This Row],[COSTO TOTAL ALOJAMIENTO]]+Tabla1[[#This Row],[COSTO TOTAL COCHE]]</f>
        <v>601.08000000000004</v>
      </c>
      <c r="S3700" s="2" t="s">
        <v>403</v>
      </c>
      <c r="T3700" s="14" t="s">
        <v>44</v>
      </c>
      <c r="U3700" s="14">
        <v>45905</v>
      </c>
      <c r="V3700" s="25">
        <v>45938</v>
      </c>
      <c r="W3700" s="71"/>
      <c r="X3700" s="2"/>
      <c r="Y3700" s="11" t="s">
        <v>5462</v>
      </c>
      <c r="Z3700" s="2" t="s">
        <v>36</v>
      </c>
      <c r="AA3700" s="13" t="e">
        <v>#N/A</v>
      </c>
      <c r="AB3700" s="13" t="e">
        <v>#N/A</v>
      </c>
    </row>
    <row r="3701" spans="1:28" ht="15" customHeight="1">
      <c r="A3701" s="2" t="s">
        <v>9862</v>
      </c>
      <c r="B3701" s="2" t="s">
        <v>978</v>
      </c>
      <c r="C3701" s="104" t="s">
        <v>5097</v>
      </c>
      <c r="D3701" s="2" t="s">
        <v>30</v>
      </c>
      <c r="E3701" s="2" t="s">
        <v>5459</v>
      </c>
      <c r="F3701" s="11" t="s">
        <v>5460</v>
      </c>
      <c r="G3701" s="49" t="s">
        <v>5461</v>
      </c>
      <c r="H3701" s="2" t="s">
        <v>5077</v>
      </c>
      <c r="I3701" s="12" t="s">
        <v>4504</v>
      </c>
      <c r="J3701" s="22">
        <f>+Tabla1[[#This Row],[FECHA ENTRADA]]</f>
        <v>45905</v>
      </c>
      <c r="K3701" s="22">
        <v>45937</v>
      </c>
      <c r="L3701" s="23">
        <f>_xlfn.DAYS(Tabla1[[#This Row],[FECHA FIN ]],Tabla1[[#This Row],[FECHA INICIO]])</f>
        <v>32</v>
      </c>
      <c r="M3701" s="12"/>
      <c r="N3701" s="20">
        <f>2254.05/4</f>
        <v>563.51250000000005</v>
      </c>
      <c r="O3701" s="24">
        <f>(Tabla1[[#This Row],[COSTO FIJO ]]/30)*Tabla1[[#This Row],[TOTAL DIAS PROYECTO]]+(Tabla1[[#This Row],[COSTO TEMPORAL]])</f>
        <v>601.08000000000004</v>
      </c>
      <c r="P3701" s="12"/>
      <c r="Q3701" s="12">
        <f>+(Tabla1[[#This Row],[COSTO COCHE]]/30)*Tabla1[[#This Row],[TOTAL DIAS PROYECTO]]</f>
        <v>0</v>
      </c>
      <c r="R3701" s="12">
        <f>+Tabla1[[#This Row],[COSTO TOTAL ALOJAMIENTO]]+Tabla1[[#This Row],[COSTO TOTAL COCHE]]</f>
        <v>601.08000000000004</v>
      </c>
      <c r="S3701" s="2" t="s">
        <v>403</v>
      </c>
      <c r="T3701" s="14" t="s">
        <v>44</v>
      </c>
      <c r="U3701" s="14">
        <v>45905</v>
      </c>
      <c r="V3701" s="25">
        <v>45938</v>
      </c>
      <c r="W3701" s="71"/>
      <c r="X3701" s="2"/>
      <c r="Y3701" s="11" t="s">
        <v>5462</v>
      </c>
      <c r="Z3701" s="2" t="s">
        <v>36</v>
      </c>
      <c r="AA3701" s="13" t="e">
        <v>#N/A</v>
      </c>
      <c r="AB3701" s="13" t="e">
        <v>#N/A</v>
      </c>
    </row>
    <row r="3702" spans="1:28" ht="15" customHeight="1">
      <c r="A3702" s="2" t="s">
        <v>9029</v>
      </c>
      <c r="B3702" s="2" t="s">
        <v>28</v>
      </c>
      <c r="C3702" s="104" t="s">
        <v>1739</v>
      </c>
      <c r="D3702" s="2" t="s">
        <v>99</v>
      </c>
      <c r="E3702" s="2" t="s">
        <v>31</v>
      </c>
      <c r="F3702" s="11" t="s">
        <v>4614</v>
      </c>
      <c r="G3702" s="21" t="s">
        <v>4615</v>
      </c>
      <c r="H3702" s="2" t="s">
        <v>5308</v>
      </c>
      <c r="I3702" s="12" t="s">
        <v>385</v>
      </c>
      <c r="J3702" s="22">
        <f>+Tabla1[[#This Row],[FECHA ENTRADA]]</f>
        <v>45926</v>
      </c>
      <c r="K3702" s="22">
        <v>45937</v>
      </c>
      <c r="L3702" s="23">
        <f>_xlfn.DAYS(Tabla1[[#This Row],[FECHA FIN ]],Tabla1[[#This Row],[FECHA INICIO]])</f>
        <v>11</v>
      </c>
      <c r="M3702" s="12">
        <v>225</v>
      </c>
      <c r="N3702" s="24"/>
      <c r="O3702" s="24">
        <f>(Tabla1[[#This Row],[COSTO FIJO ]]/30)*Tabla1[[#This Row],[TOTAL DIAS PROYECTO]]+(Tabla1[[#This Row],[COSTO TEMPORAL]])</f>
        <v>225</v>
      </c>
      <c r="P3702" s="12"/>
      <c r="Q3702" s="12">
        <f>+(Tabla1[[#This Row],[COSTO COCHE]]/30)*Tabla1[[#This Row],[TOTAL DIAS PROYECTO]]</f>
        <v>0</v>
      </c>
      <c r="R3702" s="12">
        <f>+Tabla1[[#This Row],[COSTO TOTAL ALOJAMIENTO]]+Tabla1[[#This Row],[COSTO TOTAL COCHE]]</f>
        <v>225</v>
      </c>
      <c r="S3702" s="2"/>
      <c r="T3702" s="14" t="s">
        <v>44</v>
      </c>
      <c r="U3702" s="14">
        <v>45926</v>
      </c>
      <c r="V3702" s="25">
        <v>45937</v>
      </c>
      <c r="W3702" s="71"/>
      <c r="X3702" s="2"/>
      <c r="Y3702" s="11" t="s">
        <v>5463</v>
      </c>
      <c r="Z3702" s="2" t="s">
        <v>36</v>
      </c>
      <c r="AA3702" s="13" t="s">
        <v>10323</v>
      </c>
      <c r="AB3702" s="13" t="s">
        <v>10324</v>
      </c>
    </row>
    <row r="3703" spans="1:28" ht="15" customHeight="1">
      <c r="A3703" s="2" t="s">
        <v>9915</v>
      </c>
      <c r="B3703" s="2" t="s">
        <v>28</v>
      </c>
      <c r="C3703" s="104" t="s">
        <v>5395</v>
      </c>
      <c r="D3703" s="2" t="s">
        <v>99</v>
      </c>
      <c r="E3703" s="2" t="s">
        <v>1664</v>
      </c>
      <c r="F3703" s="11" t="s">
        <v>5464</v>
      </c>
      <c r="G3703" s="21" t="s">
        <v>1795</v>
      </c>
      <c r="H3703" s="2" t="s">
        <v>5465</v>
      </c>
      <c r="I3703" s="12" t="s">
        <v>96</v>
      </c>
      <c r="J3703" s="22">
        <f>+Tabla1[[#This Row],[FECHA ENTRADA]]</f>
        <v>45768</v>
      </c>
      <c r="K3703" s="22">
        <v>45821</v>
      </c>
      <c r="L3703" s="23">
        <f>_xlfn.DAYS(Tabla1[[#This Row],[FECHA FIN ]],Tabla1[[#This Row],[FECHA INICIO]])</f>
        <v>53</v>
      </c>
      <c r="M3703" s="12"/>
      <c r="N3703" s="24"/>
      <c r="O3703" s="24">
        <f>(Tabla1[[#This Row],[COSTO FIJO ]]/30)*Tabla1[[#This Row],[TOTAL DIAS PROYECTO]]+(Tabla1[[#This Row],[COSTO TEMPORAL]])</f>
        <v>0</v>
      </c>
      <c r="P3703" s="12"/>
      <c r="Q3703" s="12">
        <f>+(Tabla1[[#This Row],[COSTO COCHE]]/30)*Tabla1[[#This Row],[TOTAL DIAS PROYECTO]]</f>
        <v>0</v>
      </c>
      <c r="R3703" s="12">
        <f>+Tabla1[[#This Row],[COSTO TOTAL ALOJAMIENTO]]+Tabla1[[#This Row],[COSTO TOTAL COCHE]]</f>
        <v>0</v>
      </c>
      <c r="S3703" s="2" t="s">
        <v>84</v>
      </c>
      <c r="T3703" s="2" t="s">
        <v>44</v>
      </c>
      <c r="U3703" s="14">
        <v>45768</v>
      </c>
      <c r="V3703" s="25">
        <v>45784</v>
      </c>
      <c r="W3703" s="26"/>
      <c r="X3703" s="2"/>
      <c r="Y3703" s="11"/>
      <c r="Z3703" s="2" t="s">
        <v>36</v>
      </c>
      <c r="AA3703" s="13" t="s">
        <v>10425</v>
      </c>
      <c r="AB3703" s="13" t="s">
        <v>10426</v>
      </c>
    </row>
    <row r="3704" spans="1:28" ht="15" customHeight="1">
      <c r="A3704" s="2" t="s">
        <v>9915</v>
      </c>
      <c r="B3704" s="2" t="s">
        <v>28</v>
      </c>
      <c r="C3704" s="97" t="s">
        <v>5395</v>
      </c>
      <c r="D3704" s="2" t="s">
        <v>99</v>
      </c>
      <c r="E3704" s="2" t="s">
        <v>3684</v>
      </c>
      <c r="F3704" s="11" t="s">
        <v>3685</v>
      </c>
      <c r="G3704" s="49" t="s">
        <v>3686</v>
      </c>
      <c r="H3704" s="2" t="s">
        <v>5458</v>
      </c>
      <c r="I3704" s="12" t="s">
        <v>96</v>
      </c>
      <c r="J3704" s="22">
        <f>+Tabla1[[#This Row],[FECHA ENTRADA]]</f>
        <v>45696</v>
      </c>
      <c r="K3704" s="22">
        <v>45821</v>
      </c>
      <c r="L3704" s="23">
        <f>_xlfn.DAYS(Tabla1[[#This Row],[FECHA FIN ]],Tabla1[[#This Row],[FECHA INICIO]])</f>
        <v>125</v>
      </c>
      <c r="M3704" s="12"/>
      <c r="N3704" s="20">
        <v>300</v>
      </c>
      <c r="O3704" s="24">
        <f>(Tabla1[[#This Row],[COSTO FIJO ]]/30)*Tabla1[[#This Row],[TOTAL DIAS PROYECTO]]+(Tabla1[[#This Row],[COSTO TEMPORAL]])</f>
        <v>1250</v>
      </c>
      <c r="P3704" s="12"/>
      <c r="Q3704" s="12">
        <f>+(Tabla1[[#This Row],[COSTO COCHE]]/30)*Tabla1[[#This Row],[TOTAL DIAS PROYECTO]]</f>
        <v>0</v>
      </c>
      <c r="R3704" s="12">
        <f>+Tabla1[[#This Row],[COSTO TOTAL ALOJAMIENTO]]+Tabla1[[#This Row],[COSTO TOTAL COCHE]]</f>
        <v>1250</v>
      </c>
      <c r="S3704" s="2"/>
      <c r="T3704" s="2" t="s">
        <v>35</v>
      </c>
      <c r="U3704" s="14">
        <v>45696</v>
      </c>
      <c r="V3704" s="25">
        <v>45785</v>
      </c>
      <c r="W3704" s="26"/>
      <c r="X3704" s="2">
        <v>5</v>
      </c>
      <c r="Y3704" s="11"/>
      <c r="Z3704" s="2" t="s">
        <v>36</v>
      </c>
      <c r="AA3704" s="13" t="s">
        <v>10442</v>
      </c>
      <c r="AB3704" s="13">
        <v>3588919</v>
      </c>
    </row>
    <row r="3705" spans="1:28" ht="15" customHeight="1">
      <c r="A3705" s="2" t="s">
        <v>9877</v>
      </c>
      <c r="B3705" s="2" t="s">
        <v>711</v>
      </c>
      <c r="C3705" s="104" t="s">
        <v>5183</v>
      </c>
      <c r="D3705" s="2" t="s">
        <v>30</v>
      </c>
      <c r="E3705" s="2" t="s">
        <v>1130</v>
      </c>
      <c r="F3705" s="11" t="s">
        <v>5466</v>
      </c>
      <c r="G3705" s="49" t="s">
        <v>5467</v>
      </c>
      <c r="H3705" s="2" t="s">
        <v>5468</v>
      </c>
      <c r="I3705" s="12" t="s">
        <v>5469</v>
      </c>
      <c r="J3705" s="22">
        <f>+Tabla1[[#This Row],[FECHA ENTRADA]]</f>
        <v>45928</v>
      </c>
      <c r="K3705" s="22">
        <v>45937</v>
      </c>
      <c r="L3705" s="23">
        <f>_xlfn.DAYS(Tabla1[[#This Row],[FECHA FIN ]],Tabla1[[#This Row],[FECHA INICIO]])</f>
        <v>9</v>
      </c>
      <c r="M3705" s="12">
        <v>233.33333333333334</v>
      </c>
      <c r="N3705" s="24"/>
      <c r="O3705" s="24">
        <f>(Tabla1[[#This Row],[COSTO FIJO ]]/30)*Tabla1[[#This Row],[TOTAL DIAS PROYECTO]]+(Tabla1[[#This Row],[COSTO TEMPORAL]])</f>
        <v>233.33333333333334</v>
      </c>
      <c r="P3705" s="12"/>
      <c r="Q3705" s="12">
        <f>+(Tabla1[[#This Row],[COSTO COCHE]]/30)*Tabla1[[#This Row],[TOTAL DIAS PROYECTO]]</f>
        <v>0</v>
      </c>
      <c r="R3705" s="12">
        <f>+Tabla1[[#This Row],[COSTO TOTAL ALOJAMIENTO]]+Tabla1[[#This Row],[COSTO TOTAL COCHE]]</f>
        <v>233.33333333333334</v>
      </c>
      <c r="S3705" s="2" t="s">
        <v>403</v>
      </c>
      <c r="T3705" s="14" t="s">
        <v>44</v>
      </c>
      <c r="U3705" s="14">
        <v>45928</v>
      </c>
      <c r="V3705" s="25">
        <v>45938</v>
      </c>
      <c r="W3705" s="71"/>
      <c r="X3705" s="2"/>
      <c r="Y3705" s="11" t="s">
        <v>1166</v>
      </c>
      <c r="Z3705" s="2" t="s">
        <v>36</v>
      </c>
      <c r="AA3705" s="13" t="s">
        <v>10412</v>
      </c>
      <c r="AB3705" s="13">
        <v>4200955</v>
      </c>
    </row>
    <row r="3706" spans="1:28" ht="15" customHeight="1">
      <c r="A3706" s="2" t="s">
        <v>9923</v>
      </c>
      <c r="B3706" s="2" t="s">
        <v>711</v>
      </c>
      <c r="C3706" s="11" t="s">
        <v>5470</v>
      </c>
      <c r="D3706" s="2" t="s">
        <v>30</v>
      </c>
      <c r="E3706" s="2" t="s">
        <v>1130</v>
      </c>
      <c r="F3706" s="11" t="s">
        <v>5466</v>
      </c>
      <c r="G3706" s="49" t="s">
        <v>5467</v>
      </c>
      <c r="H3706" s="157" t="s">
        <v>5468</v>
      </c>
      <c r="I3706" s="158" t="s">
        <v>5469</v>
      </c>
      <c r="J3706" s="22">
        <f>+Tabla1[[#This Row],[FECHA ENTRADA]]</f>
        <v>45928</v>
      </c>
      <c r="K3706" s="22">
        <v>45937</v>
      </c>
      <c r="L3706" s="23">
        <f>_xlfn.DAYS(Tabla1[[#This Row],[FECHA FIN ]],Tabla1[[#This Row],[FECHA INICIO]])</f>
        <v>9</v>
      </c>
      <c r="M3706" s="12">
        <v>233.33333333333334</v>
      </c>
      <c r="N3706" s="24"/>
      <c r="O3706" s="24">
        <f>(Tabla1[[#This Row],[COSTO FIJO ]]/30)*Tabla1[[#This Row],[TOTAL DIAS PROYECTO]]+(Tabla1[[#This Row],[COSTO TEMPORAL]])</f>
        <v>233.33333333333334</v>
      </c>
      <c r="P3706" s="12"/>
      <c r="Q3706" s="12">
        <f>+(Tabla1[[#This Row],[COSTO COCHE]]/30)*Tabla1[[#This Row],[TOTAL DIAS PROYECTO]]</f>
        <v>0</v>
      </c>
      <c r="R3706" s="12">
        <f>+Tabla1[[#This Row],[COSTO TOTAL ALOJAMIENTO]]+Tabla1[[#This Row],[COSTO TOTAL COCHE]]</f>
        <v>233.33333333333334</v>
      </c>
      <c r="S3706" s="2" t="s">
        <v>403</v>
      </c>
      <c r="T3706" s="14" t="s">
        <v>44</v>
      </c>
      <c r="U3706" s="14">
        <v>45928</v>
      </c>
      <c r="V3706" s="25">
        <v>45938</v>
      </c>
      <c r="W3706" s="71"/>
      <c r="X3706" s="2"/>
      <c r="Y3706" s="11" t="s">
        <v>1166</v>
      </c>
      <c r="Z3706" s="2" t="s">
        <v>36</v>
      </c>
      <c r="AA3706" s="13" t="s">
        <v>10412</v>
      </c>
      <c r="AB3706" s="13">
        <v>4200955</v>
      </c>
    </row>
    <row r="3707" spans="1:28" ht="15" customHeight="1">
      <c r="A3707" s="2" t="s">
        <v>9924</v>
      </c>
      <c r="B3707" s="2" t="s">
        <v>711</v>
      </c>
      <c r="C3707" s="104" t="s">
        <v>5471</v>
      </c>
      <c r="D3707" s="2" t="s">
        <v>30</v>
      </c>
      <c r="E3707" s="2" t="s">
        <v>1130</v>
      </c>
      <c r="F3707" s="11" t="s">
        <v>5466</v>
      </c>
      <c r="G3707" s="49" t="s">
        <v>5467</v>
      </c>
      <c r="H3707" s="2" t="s">
        <v>5468</v>
      </c>
      <c r="I3707" s="12" t="s">
        <v>5469</v>
      </c>
      <c r="J3707" s="22">
        <f>+Tabla1[[#This Row],[FECHA ENTRADA]]</f>
        <v>45928</v>
      </c>
      <c r="K3707" s="22">
        <v>45937</v>
      </c>
      <c r="L3707" s="23">
        <f>_xlfn.DAYS(Tabla1[[#This Row],[FECHA FIN ]],Tabla1[[#This Row],[FECHA INICIO]])</f>
        <v>9</v>
      </c>
      <c r="M3707" s="12">
        <v>233.33333333333334</v>
      </c>
      <c r="N3707" s="24"/>
      <c r="O3707" s="24">
        <f>(Tabla1[[#This Row],[COSTO FIJO ]]/30)*Tabla1[[#This Row],[TOTAL DIAS PROYECTO]]+(Tabla1[[#This Row],[COSTO TEMPORAL]])</f>
        <v>233.33333333333334</v>
      </c>
      <c r="P3707" s="12"/>
      <c r="Q3707" s="12">
        <f>+(Tabla1[[#This Row],[COSTO COCHE]]/30)*Tabla1[[#This Row],[TOTAL DIAS PROYECTO]]</f>
        <v>0</v>
      </c>
      <c r="R3707" s="12">
        <f>+Tabla1[[#This Row],[COSTO TOTAL ALOJAMIENTO]]+Tabla1[[#This Row],[COSTO TOTAL COCHE]]</f>
        <v>233.33333333333334</v>
      </c>
      <c r="S3707" s="2" t="s">
        <v>403</v>
      </c>
      <c r="T3707" s="14" t="s">
        <v>44</v>
      </c>
      <c r="U3707" s="14">
        <v>45928</v>
      </c>
      <c r="V3707" s="25">
        <v>45938</v>
      </c>
      <c r="W3707" s="71"/>
      <c r="X3707" s="2"/>
      <c r="Y3707" s="11" t="s">
        <v>1166</v>
      </c>
      <c r="Z3707" s="2" t="s">
        <v>36</v>
      </c>
      <c r="AA3707" s="13" t="s">
        <v>10412</v>
      </c>
      <c r="AB3707" s="13">
        <v>4200955</v>
      </c>
    </row>
    <row r="3708" spans="1:28" ht="15" customHeight="1">
      <c r="A3708" s="2" t="s">
        <v>9925</v>
      </c>
      <c r="B3708" s="2" t="s">
        <v>28</v>
      </c>
      <c r="C3708" s="104" t="s">
        <v>5472</v>
      </c>
      <c r="D3708" s="2" t="s">
        <v>30</v>
      </c>
      <c r="E3708" s="2" t="s">
        <v>626</v>
      </c>
      <c r="F3708" s="11" t="s">
        <v>4726</v>
      </c>
      <c r="G3708" s="21" t="s">
        <v>4727</v>
      </c>
      <c r="H3708" s="2" t="s">
        <v>5473</v>
      </c>
      <c r="I3708" s="157" t="s">
        <v>570</v>
      </c>
      <c r="J3708" s="41">
        <f>+Tabla1[[#This Row],[FECHA ENTRADA]]</f>
        <v>45901</v>
      </c>
      <c r="K3708" s="22">
        <v>45937</v>
      </c>
      <c r="L3708" s="42">
        <f>_xlfn.DAYS(Tabla1[[#This Row],[FECHA FIN ]],Tabla1[[#This Row],[FECHA INICIO]])</f>
        <v>36</v>
      </c>
      <c r="M3708" s="12"/>
      <c r="N3708" s="28"/>
      <c r="O3708" s="28">
        <f>(Tabla1[[#This Row],[COSTO FIJO ]]/30)*Tabla1[[#This Row],[TOTAL DIAS PROYECTO]]+(Tabla1[[#This Row],[COSTO TEMPORAL]])</f>
        <v>0</v>
      </c>
      <c r="P3708" s="12"/>
      <c r="Q3708" s="12">
        <f>+(Tabla1[[#This Row],[COSTO COCHE]]/30)*Tabla1[[#This Row],[TOTAL DIAS PROYECTO]]</f>
        <v>0</v>
      </c>
      <c r="R3708" s="12">
        <f>+Tabla1[[#This Row],[COSTO TOTAL ALOJAMIENTO]]+Tabla1[[#This Row],[COSTO TOTAL COCHE]]</f>
        <v>0</v>
      </c>
      <c r="S3708" s="2"/>
      <c r="T3708" s="14" t="s">
        <v>44</v>
      </c>
      <c r="U3708" s="14">
        <v>45901</v>
      </c>
      <c r="V3708" s="25">
        <v>45937</v>
      </c>
      <c r="W3708" s="12"/>
      <c r="X3708" s="2"/>
      <c r="Y3708" s="11" t="s">
        <v>5474</v>
      </c>
      <c r="Z3708" s="2" t="s">
        <v>36</v>
      </c>
      <c r="AA3708" s="13" t="s">
        <v>10385</v>
      </c>
      <c r="AB3708" s="13" t="s">
        <v>10386</v>
      </c>
    </row>
    <row r="3709" spans="1:28" ht="15" customHeight="1">
      <c r="A3709" s="2" t="s">
        <v>9800</v>
      </c>
      <c r="B3709" s="2" t="s">
        <v>368</v>
      </c>
      <c r="C3709" s="97" t="s">
        <v>4803</v>
      </c>
      <c r="D3709" s="2" t="s">
        <v>30</v>
      </c>
      <c r="E3709" s="2" t="s">
        <v>87</v>
      </c>
      <c r="F3709" s="11" t="s">
        <v>1106</v>
      </c>
      <c r="G3709" s="49"/>
      <c r="H3709" s="2" t="s">
        <v>5475</v>
      </c>
      <c r="I3709" s="158" t="s">
        <v>42</v>
      </c>
      <c r="J3709" s="22">
        <f>+Tabla1[[#This Row],[FECHA ENTRADA]]</f>
        <v>45929</v>
      </c>
      <c r="K3709" s="22">
        <v>45937</v>
      </c>
      <c r="L3709" s="23">
        <f>_xlfn.DAYS(Tabla1[[#This Row],[FECHA FIN ]],Tabla1[[#This Row],[FECHA INICIO]])</f>
        <v>8</v>
      </c>
      <c r="M3709" s="12"/>
      <c r="N3709" s="24"/>
      <c r="O3709" s="24">
        <f>(Tabla1[[#This Row],[COSTO FIJO ]]/30)*Tabla1[[#This Row],[TOTAL DIAS PROYECTO]]+(Tabla1[[#This Row],[COSTO TEMPORAL]])</f>
        <v>0</v>
      </c>
      <c r="P3709" s="12"/>
      <c r="Q3709" s="12">
        <f>+(Tabla1[[#This Row],[COSTO COCHE]]/30)*Tabla1[[#This Row],[TOTAL DIAS PROYECTO]]</f>
        <v>0</v>
      </c>
      <c r="R3709" s="12">
        <f>+Tabla1[[#This Row],[COSTO TOTAL ALOJAMIENTO]]+Tabla1[[#This Row],[COSTO TOTAL COCHE]]</f>
        <v>0</v>
      </c>
      <c r="S3709" s="2"/>
      <c r="T3709" s="2" t="s">
        <v>8</v>
      </c>
      <c r="U3709" s="14">
        <v>45929</v>
      </c>
      <c r="V3709" s="25">
        <v>45943</v>
      </c>
      <c r="W3709" s="71"/>
      <c r="X3709" s="2"/>
      <c r="Y3709" s="11" t="s">
        <v>5476</v>
      </c>
      <c r="Z3709" s="2" t="s">
        <v>36</v>
      </c>
      <c r="AA3709" s="13" t="s">
        <v>10335</v>
      </c>
      <c r="AB3709" s="13">
        <v>404.16500000000002</v>
      </c>
    </row>
    <row r="3710" spans="1:28" ht="15" customHeight="1">
      <c r="A3710" s="2" t="s">
        <v>9414</v>
      </c>
      <c r="B3710" s="2" t="s">
        <v>368</v>
      </c>
      <c r="C3710" s="104" t="s">
        <v>3098</v>
      </c>
      <c r="D3710" s="2" t="s">
        <v>30</v>
      </c>
      <c r="E3710" s="2" t="s">
        <v>31</v>
      </c>
      <c r="F3710" s="11" t="s">
        <v>1206</v>
      </c>
      <c r="G3710" s="167" t="s">
        <v>1005</v>
      </c>
      <c r="H3710" s="2" t="s">
        <v>3053</v>
      </c>
      <c r="I3710" s="158" t="s">
        <v>3054</v>
      </c>
      <c r="J3710" s="41">
        <f>+Tabla1[[#This Row],[FECHA ENTRADA]]</f>
        <v>45717</v>
      </c>
      <c r="K3710" s="22">
        <v>45937</v>
      </c>
      <c r="L3710" s="42">
        <f>_xlfn.DAYS(Tabla1[[#This Row],[FECHA FIN ]],Tabla1[[#This Row],[FECHA INICIO]])</f>
        <v>220</v>
      </c>
      <c r="M3710" s="12"/>
      <c r="N3710" s="20">
        <v>357.14285714285717</v>
      </c>
      <c r="O3710" s="28">
        <f>(Tabla1[[#This Row],[COSTO FIJO ]]/30)*Tabla1[[#This Row],[TOTAL DIAS PROYECTO]]+(Tabla1[[#This Row],[COSTO TEMPORAL]])</f>
        <v>2619.0476190476193</v>
      </c>
      <c r="P3710" s="12">
        <v>85.714285714285708</v>
      </c>
      <c r="Q3710" s="12">
        <f>+(Tabla1[[#This Row],[COSTO COCHE]]/30)*Tabla1[[#This Row],[TOTAL DIAS PROYECTO]]</f>
        <v>628.57142857142844</v>
      </c>
      <c r="R3710" s="12">
        <f>+Tabla1[[#This Row],[COSTO TOTAL ALOJAMIENTO]]+Tabla1[[#This Row],[COSTO TOTAL COCHE]]</f>
        <v>3247.6190476190477</v>
      </c>
      <c r="S3710" s="2"/>
      <c r="T3710" s="2" t="s">
        <v>35</v>
      </c>
      <c r="U3710" s="14">
        <v>45717</v>
      </c>
      <c r="V3710" s="43"/>
      <c r="W3710" s="26"/>
      <c r="X3710" s="2">
        <v>27</v>
      </c>
      <c r="Y3710" s="11" t="s">
        <v>5477</v>
      </c>
      <c r="Z3710" s="2" t="s">
        <v>36</v>
      </c>
      <c r="AA3710" s="13" t="s">
        <v>10323</v>
      </c>
      <c r="AB3710" s="13" t="s">
        <v>10324</v>
      </c>
    </row>
    <row r="3711" spans="1:28" ht="15" customHeight="1">
      <c r="A3711" s="2" t="s">
        <v>9550</v>
      </c>
      <c r="B3711" s="2" t="s">
        <v>978</v>
      </c>
      <c r="C3711" s="104" t="s">
        <v>3596</v>
      </c>
      <c r="D3711" s="2" t="s">
        <v>99</v>
      </c>
      <c r="E3711" s="2" t="s">
        <v>31</v>
      </c>
      <c r="F3711" s="11" t="s">
        <v>5258</v>
      </c>
      <c r="G3711" s="49" t="s">
        <v>5083</v>
      </c>
      <c r="H3711" s="2" t="s">
        <v>4410</v>
      </c>
      <c r="I3711" s="158" t="s">
        <v>1540</v>
      </c>
      <c r="J3711" s="41">
        <f>+Tabla1[[#This Row],[FECHA ENTRADA]]</f>
        <v>45902</v>
      </c>
      <c r="K3711" s="41">
        <v>45903</v>
      </c>
      <c r="L3711" s="42">
        <f>_xlfn.DAYS(Tabla1[[#This Row],[FECHA FIN ]],Tabla1[[#This Row],[FECHA INICIO]])</f>
        <v>1</v>
      </c>
      <c r="M3711" s="12"/>
      <c r="N3711" s="12"/>
      <c r="O3711" s="28">
        <f>(Tabla1[[#This Row],[COSTO FIJO ]]/30)*Tabla1[[#This Row],[TOTAL DIAS PROYECTO]]+(Tabla1[[#This Row],[COSTO TEMPORAL]])</f>
        <v>0</v>
      </c>
      <c r="P3711" s="12"/>
      <c r="Q3711" s="12">
        <f>+(Tabla1[[#This Row],[COSTO COCHE]]/30)*Tabla1[[#This Row],[TOTAL DIAS PROYECTO]]</f>
        <v>0</v>
      </c>
      <c r="R3711" s="12">
        <f>+Tabla1[[#This Row],[COSTO TOTAL ALOJAMIENTO]]+Tabla1[[#This Row],[COSTO TOTAL COCHE]]</f>
        <v>0</v>
      </c>
      <c r="S3711" s="2"/>
      <c r="T3711" s="14" t="s">
        <v>44</v>
      </c>
      <c r="U3711" s="14">
        <v>45902</v>
      </c>
      <c r="V3711" s="43">
        <v>45928</v>
      </c>
      <c r="W3711" s="71"/>
      <c r="X3711" s="2"/>
      <c r="Y3711" s="11"/>
      <c r="Z3711" s="2" t="s">
        <v>36</v>
      </c>
      <c r="AA3711" s="13" t="s">
        <v>10323</v>
      </c>
      <c r="AB3711" s="13" t="s">
        <v>10324</v>
      </c>
    </row>
    <row r="3712" spans="1:28" ht="15" customHeight="1">
      <c r="A3712" s="2" t="s">
        <v>9833</v>
      </c>
      <c r="B3712" s="2" t="s">
        <v>978</v>
      </c>
      <c r="C3712" s="104" t="s">
        <v>4948</v>
      </c>
      <c r="D3712" s="2" t="s">
        <v>99</v>
      </c>
      <c r="E3712" s="2" t="s">
        <v>31</v>
      </c>
      <c r="F3712" s="11" t="s">
        <v>5258</v>
      </c>
      <c r="G3712" s="49" t="s">
        <v>5083</v>
      </c>
      <c r="H3712" s="2" t="s">
        <v>4949</v>
      </c>
      <c r="I3712" s="158" t="s">
        <v>1540</v>
      </c>
      <c r="J3712" s="41">
        <f>+Tabla1[[#This Row],[FECHA ENTRADA]]</f>
        <v>45902</v>
      </c>
      <c r="K3712" s="41">
        <v>45903</v>
      </c>
      <c r="L3712" s="42">
        <f>_xlfn.DAYS(Tabla1[[#This Row],[FECHA FIN ]],Tabla1[[#This Row],[FECHA INICIO]])</f>
        <v>1</v>
      </c>
      <c r="M3712" s="12"/>
      <c r="N3712" s="12"/>
      <c r="O3712" s="28">
        <f>(Tabla1[[#This Row],[COSTO FIJO ]]/30)*Tabla1[[#This Row],[TOTAL DIAS PROYECTO]]+(Tabla1[[#This Row],[COSTO TEMPORAL]])</f>
        <v>0</v>
      </c>
      <c r="P3712" s="12"/>
      <c r="Q3712" s="12">
        <f>+(Tabla1[[#This Row],[COSTO COCHE]]/30)*Tabla1[[#This Row],[TOTAL DIAS PROYECTO]]</f>
        <v>0</v>
      </c>
      <c r="R3712" s="12">
        <f>+Tabla1[[#This Row],[COSTO TOTAL ALOJAMIENTO]]+Tabla1[[#This Row],[COSTO TOTAL COCHE]]</f>
        <v>0</v>
      </c>
      <c r="S3712" s="2"/>
      <c r="T3712" s="14" t="s">
        <v>44</v>
      </c>
      <c r="U3712" s="14">
        <v>45902</v>
      </c>
      <c r="V3712" s="43">
        <v>45928</v>
      </c>
      <c r="W3712" s="71"/>
      <c r="X3712" s="2"/>
      <c r="Y3712" s="11"/>
      <c r="Z3712" s="2" t="s">
        <v>36</v>
      </c>
      <c r="AA3712" s="13" t="s">
        <v>10323</v>
      </c>
      <c r="AB3712" s="13" t="s">
        <v>10324</v>
      </c>
    </row>
    <row r="3713" spans="1:28" ht="15" customHeight="1">
      <c r="A3713" s="2" t="s">
        <v>9787</v>
      </c>
      <c r="B3713" s="2" t="s">
        <v>978</v>
      </c>
      <c r="C3713" s="104" t="s">
        <v>4740</v>
      </c>
      <c r="D3713" s="2" t="s">
        <v>30</v>
      </c>
      <c r="E3713" s="2" t="s">
        <v>608</v>
      </c>
      <c r="F3713" s="11" t="s">
        <v>5478</v>
      </c>
      <c r="G3713" s="46" t="s">
        <v>5479</v>
      </c>
      <c r="H3713" s="2" t="s">
        <v>5480</v>
      </c>
      <c r="I3713" s="158" t="s">
        <v>4255</v>
      </c>
      <c r="J3713" s="41">
        <f>+Tabla1[[#This Row],[FECHA ENTRADA]]</f>
        <v>45929</v>
      </c>
      <c r="K3713" s="22">
        <v>45938</v>
      </c>
      <c r="L3713" s="42">
        <f>_xlfn.DAYS(Tabla1[[#This Row],[FECHA FIN ]],Tabla1[[#This Row],[FECHA INICIO]])</f>
        <v>9</v>
      </c>
      <c r="M3713" s="12">
        <v>225</v>
      </c>
      <c r="N3713" s="28"/>
      <c r="O3713" s="28">
        <f>(Tabla1[[#This Row],[COSTO FIJO ]]/30)*Tabla1[[#This Row],[TOTAL DIAS PROYECTO]]+(Tabla1[[#This Row],[COSTO TEMPORAL]])</f>
        <v>225</v>
      </c>
      <c r="P3713" s="12"/>
      <c r="Q3713" s="12">
        <f>+(Tabla1[[#This Row],[COSTO COCHE]]/30)*Tabla1[[#This Row],[TOTAL DIAS PROYECTO]]</f>
        <v>0</v>
      </c>
      <c r="R3713" s="12">
        <f>+Tabla1[[#This Row],[COSTO TOTAL ALOJAMIENTO]]+Tabla1[[#This Row],[COSTO TOTAL COCHE]]</f>
        <v>225</v>
      </c>
      <c r="S3713" s="2" t="s">
        <v>403</v>
      </c>
      <c r="T3713" s="14" t="s">
        <v>44</v>
      </c>
      <c r="U3713" s="14">
        <v>45929</v>
      </c>
      <c r="V3713" s="43">
        <v>45938</v>
      </c>
      <c r="W3713" s="71"/>
      <c r="X3713" s="2"/>
      <c r="Y3713" s="11" t="s">
        <v>1166</v>
      </c>
      <c r="Z3713" s="2" t="s">
        <v>36</v>
      </c>
      <c r="AA3713" s="13" t="s">
        <v>10383</v>
      </c>
      <c r="AB3713" s="13" t="s">
        <v>10384</v>
      </c>
    </row>
    <row r="3714" spans="1:28" ht="15" customHeight="1">
      <c r="A3714" s="2" t="s">
        <v>8980</v>
      </c>
      <c r="B3714" s="2" t="s">
        <v>28</v>
      </c>
      <c r="C3714" s="104" t="s">
        <v>1578</v>
      </c>
      <c r="D3714" s="2" t="s">
        <v>30</v>
      </c>
      <c r="E3714" s="2" t="s">
        <v>626</v>
      </c>
      <c r="F3714" s="11" t="s">
        <v>1037</v>
      </c>
      <c r="G3714" s="11" t="s">
        <v>1038</v>
      </c>
      <c r="H3714" s="2" t="s">
        <v>2357</v>
      </c>
      <c r="I3714" s="158" t="s">
        <v>570</v>
      </c>
      <c r="J3714" s="41">
        <f>+Tabla1[[#This Row],[FECHA ENTRADA]]</f>
        <v>45774</v>
      </c>
      <c r="K3714" s="22">
        <v>45938</v>
      </c>
      <c r="L3714" s="23">
        <f>_xlfn.DAYS(Tabla1[[#This Row],[FECHA FIN ]],Tabla1[[#This Row],[FECHA INICIO]])</f>
        <v>164</v>
      </c>
      <c r="M3714" s="12"/>
      <c r="N3714" s="12"/>
      <c r="O3714" s="24">
        <f>(Tabla1[[#This Row],[COSTO FIJO ]]/30)*Tabla1[[#This Row],[TOTAL DIAS PROYECTO]]+(Tabla1[[#This Row],[COSTO TEMPORAL]])</f>
        <v>0</v>
      </c>
      <c r="P3714" s="12"/>
      <c r="Q3714" s="12">
        <f>+(Tabla1[[#This Row],[COSTO COCHE]]/30)*Tabla1[[#This Row],[TOTAL DIAS PROYECTO]]</f>
        <v>0</v>
      </c>
      <c r="R3714" s="12">
        <f>+Tabla1[[#This Row],[COSTO TOTAL ALOJAMIENTO]]+Tabla1[[#This Row],[COSTO TOTAL COCHE]]</f>
        <v>0</v>
      </c>
      <c r="S3714" s="2"/>
      <c r="T3714" s="2" t="s">
        <v>35</v>
      </c>
      <c r="U3714" s="14">
        <v>45774</v>
      </c>
      <c r="V3714" s="25"/>
      <c r="W3714" s="26"/>
      <c r="X3714" s="2">
        <v>5</v>
      </c>
      <c r="Y3714" s="11" t="s">
        <v>5481</v>
      </c>
      <c r="Z3714" s="2" t="s">
        <v>36</v>
      </c>
      <c r="AA3714" s="13" t="s">
        <v>10385</v>
      </c>
      <c r="AB3714" s="13" t="s">
        <v>10386</v>
      </c>
    </row>
    <row r="3715" spans="1:28" ht="15" customHeight="1">
      <c r="A3715" s="2" t="s">
        <v>9830</v>
      </c>
      <c r="B3715" s="2" t="s">
        <v>711</v>
      </c>
      <c r="C3715" s="97" t="s">
        <v>4944</v>
      </c>
      <c r="D3715" s="2" t="s">
        <v>78</v>
      </c>
      <c r="E3715" s="2" t="s">
        <v>4055</v>
      </c>
      <c r="F3715" s="11" t="s">
        <v>5482</v>
      </c>
      <c r="G3715" s="49" t="s">
        <v>4515</v>
      </c>
      <c r="H3715" s="2" t="s">
        <v>5483</v>
      </c>
      <c r="I3715" s="12" t="s">
        <v>800</v>
      </c>
      <c r="J3715" s="22">
        <f>+Tabla1[[#This Row],[FECHA ENTRADA]]</f>
        <v>45908</v>
      </c>
      <c r="K3715" s="22">
        <v>45938</v>
      </c>
      <c r="L3715" s="23">
        <f>_xlfn.DAYS(Tabla1[[#This Row],[FECHA FIN ]],Tabla1[[#This Row],[FECHA INICIO]])</f>
        <v>30</v>
      </c>
      <c r="M3715" s="12">
        <f>797.56/2</f>
        <v>398.78</v>
      </c>
      <c r="N3715" s="20"/>
      <c r="O3715" s="24">
        <f>(Tabla1[[#This Row],[COSTO FIJO ]]/30)*Tabla1[[#This Row],[TOTAL DIAS PROYECTO]]+(Tabla1[[#This Row],[COSTO TEMPORAL]])</f>
        <v>398.78</v>
      </c>
      <c r="P3715" s="12"/>
      <c r="Q3715" s="12">
        <f>+(Tabla1[[#This Row],[COSTO COCHE]]/30)*Tabla1[[#This Row],[TOTAL DIAS PROYECTO]]</f>
        <v>0</v>
      </c>
      <c r="R3715" s="12">
        <f>+Tabla1[[#This Row],[COSTO TOTAL ALOJAMIENTO]]+Tabla1[[#This Row],[COSTO TOTAL COCHE]]</f>
        <v>398.78</v>
      </c>
      <c r="S3715" s="2" t="s">
        <v>84</v>
      </c>
      <c r="T3715" s="14" t="s">
        <v>44</v>
      </c>
      <c r="U3715" s="14">
        <v>45908</v>
      </c>
      <c r="V3715" s="79">
        <v>45938</v>
      </c>
      <c r="W3715" s="71"/>
      <c r="X3715" s="2"/>
      <c r="Y3715" s="11" t="s">
        <v>5484</v>
      </c>
      <c r="Z3715" s="2" t="s">
        <v>36</v>
      </c>
      <c r="AA3715" s="13" t="e">
        <v>#N/A</v>
      </c>
      <c r="AB3715" s="13" t="e">
        <v>#N/A</v>
      </c>
    </row>
    <row r="3716" spans="1:28" ht="15" customHeight="1">
      <c r="A3716" s="2" t="s">
        <v>9912</v>
      </c>
      <c r="B3716" s="2" t="s">
        <v>711</v>
      </c>
      <c r="C3716" s="97" t="s">
        <v>5377</v>
      </c>
      <c r="D3716" s="2" t="s">
        <v>78</v>
      </c>
      <c r="E3716" s="2" t="s">
        <v>4055</v>
      </c>
      <c r="F3716" s="11" t="s">
        <v>5482</v>
      </c>
      <c r="G3716" s="49" t="s">
        <v>4515</v>
      </c>
      <c r="H3716" s="2" t="s">
        <v>5483</v>
      </c>
      <c r="I3716" s="12" t="s">
        <v>800</v>
      </c>
      <c r="J3716" s="22">
        <f>+Tabla1[[#This Row],[FECHA ENTRADA]]</f>
        <v>45908</v>
      </c>
      <c r="K3716" s="22">
        <v>45938</v>
      </c>
      <c r="L3716" s="23">
        <f>_xlfn.DAYS(Tabla1[[#This Row],[FECHA FIN ]],Tabla1[[#This Row],[FECHA INICIO]])</f>
        <v>30</v>
      </c>
      <c r="M3716" s="12">
        <f>797.56/2</f>
        <v>398.78</v>
      </c>
      <c r="N3716" s="20"/>
      <c r="O3716" s="24">
        <f>(Tabla1[[#This Row],[COSTO FIJO ]]/30)*Tabla1[[#This Row],[TOTAL DIAS PROYECTO]]+(Tabla1[[#This Row],[COSTO TEMPORAL]])</f>
        <v>398.78</v>
      </c>
      <c r="P3716" s="12"/>
      <c r="Q3716" s="12">
        <f>+(Tabla1[[#This Row],[COSTO COCHE]]/30)*Tabla1[[#This Row],[TOTAL DIAS PROYECTO]]</f>
        <v>0</v>
      </c>
      <c r="R3716" s="12">
        <f>+Tabla1[[#This Row],[COSTO TOTAL ALOJAMIENTO]]+Tabla1[[#This Row],[COSTO TOTAL COCHE]]</f>
        <v>398.78</v>
      </c>
      <c r="S3716" s="2" t="s">
        <v>84</v>
      </c>
      <c r="T3716" s="14" t="s">
        <v>44</v>
      </c>
      <c r="U3716" s="14">
        <v>45908</v>
      </c>
      <c r="V3716" s="79">
        <v>45938</v>
      </c>
      <c r="W3716" s="71"/>
      <c r="X3716" s="2"/>
      <c r="Y3716" t="s">
        <v>5484</v>
      </c>
      <c r="Z3716" s="2" t="s">
        <v>36</v>
      </c>
      <c r="AA3716" s="13" t="e">
        <v>#N/A</v>
      </c>
      <c r="AB3716" s="13" t="e">
        <v>#N/A</v>
      </c>
    </row>
    <row r="3717" spans="1:28" ht="15" customHeight="1">
      <c r="A3717" s="2" t="s">
        <v>9133</v>
      </c>
      <c r="B3717" s="2" t="s">
        <v>28</v>
      </c>
      <c r="C3717" s="104" t="s">
        <v>2143</v>
      </c>
      <c r="D3717" s="2" t="s">
        <v>99</v>
      </c>
      <c r="E3717" s="2" t="s">
        <v>213</v>
      </c>
      <c r="F3717" s="11" t="s">
        <v>5485</v>
      </c>
      <c r="G3717" s="46"/>
      <c r="H3717" s="2" t="s">
        <v>2146</v>
      </c>
      <c r="I3717" s="12" t="s">
        <v>2147</v>
      </c>
      <c r="J3717" s="41">
        <f>+Tabla1[[#This Row],[FECHA ENTRADA]]</f>
        <v>45777</v>
      </c>
      <c r="K3717" s="41">
        <v>45938</v>
      </c>
      <c r="L3717" s="23">
        <f>_xlfn.DAYS(Tabla1[[#This Row],[FECHA FIN ]],Tabla1[[#This Row],[FECHA INICIO]])</f>
        <v>161</v>
      </c>
      <c r="M3717" s="12"/>
      <c r="N3717" s="12"/>
      <c r="O3717" s="28">
        <f>(Tabla1[[#This Row],[COSTO FIJO ]]/30)*Tabla1[[#This Row],[TOTAL DIAS PROYECTO]]+(Tabla1[[#This Row],[COSTO TEMPORAL]])</f>
        <v>0</v>
      </c>
      <c r="P3717" s="12"/>
      <c r="Q3717" s="12">
        <f>+(Tabla1[[#This Row],[COSTO COCHE]]/30)*Tabla1[[#This Row],[TOTAL DIAS PROYECTO]]</f>
        <v>0</v>
      </c>
      <c r="R3717" s="12">
        <f>+Tabla1[[#This Row],[COSTO TOTAL ALOJAMIENTO]]+Tabla1[[#This Row],[COSTO TOTAL COCHE]]</f>
        <v>0</v>
      </c>
      <c r="S3717" s="2"/>
      <c r="T3717" s="14" t="s">
        <v>35</v>
      </c>
      <c r="U3717" s="14">
        <v>45777</v>
      </c>
      <c r="V3717" s="75"/>
      <c r="W3717" s="2"/>
      <c r="X3717" s="2"/>
      <c r="Y3717" s="11" t="s">
        <v>5486</v>
      </c>
      <c r="Z3717" s="2" t="s">
        <v>36</v>
      </c>
      <c r="AA3717" s="13" t="s">
        <v>10349</v>
      </c>
      <c r="AB3717" s="13" t="s">
        <v>10350</v>
      </c>
    </row>
    <row r="3718" spans="1:28" ht="15" customHeight="1">
      <c r="A3718" s="2" t="s">
        <v>9693</v>
      </c>
      <c r="B3718" s="2" t="s">
        <v>711</v>
      </c>
      <c r="C3718" s="104" t="s">
        <v>4272</v>
      </c>
      <c r="D3718" s="2" t="s">
        <v>30</v>
      </c>
      <c r="E3718" s="2" t="s">
        <v>31</v>
      </c>
      <c r="F3718" s="11" t="s">
        <v>5487</v>
      </c>
      <c r="G3718" s="49" t="s">
        <v>5488</v>
      </c>
      <c r="H3718" s="2" t="s">
        <v>5489</v>
      </c>
      <c r="I3718" s="12" t="s">
        <v>5085</v>
      </c>
      <c r="J3718" s="22">
        <f>+Tabla1[[#This Row],[FECHA ENTRADA]]</f>
        <v>45909</v>
      </c>
      <c r="K3718" s="22">
        <v>45939</v>
      </c>
      <c r="L3718" s="23">
        <f>_xlfn.DAYS(Tabla1[[#This Row],[FECHA FIN ]],Tabla1[[#This Row],[FECHA INICIO]])</f>
        <v>30</v>
      </c>
      <c r="M3718" s="12"/>
      <c r="N3718" s="24">
        <v>480</v>
      </c>
      <c r="O3718" s="24">
        <f>(Tabla1[[#This Row],[COSTO FIJO ]]/30)*Tabla1[[#This Row],[TOTAL DIAS PROYECTO]]+(Tabla1[[#This Row],[COSTO TEMPORAL]])</f>
        <v>480</v>
      </c>
      <c r="P3718" s="12"/>
      <c r="Q3718" s="12">
        <f>+(Tabla1[[#This Row],[COSTO COCHE]]/30)*Tabla1[[#This Row],[TOTAL DIAS PROYECTO]]</f>
        <v>0</v>
      </c>
      <c r="R3718" s="12">
        <f>+Tabla1[[#This Row],[COSTO TOTAL ALOJAMIENTO]]+Tabla1[[#This Row],[COSTO TOTAL COCHE]]</f>
        <v>480</v>
      </c>
      <c r="S3718" s="2"/>
      <c r="T3718" s="14" t="s">
        <v>44</v>
      </c>
      <c r="U3718" s="14">
        <v>45909</v>
      </c>
      <c r="V3718" s="25">
        <v>45939</v>
      </c>
      <c r="W3718" s="71"/>
      <c r="X3718" s="2"/>
      <c r="Y3718" s="11" t="s">
        <v>5490</v>
      </c>
      <c r="Z3718" s="2" t="s">
        <v>36</v>
      </c>
      <c r="AA3718" s="13" t="s">
        <v>10323</v>
      </c>
      <c r="AB3718" s="13" t="s">
        <v>10324</v>
      </c>
    </row>
    <row r="3719" spans="1:28" ht="15" customHeight="1">
      <c r="A3719" s="2" t="s">
        <v>9747</v>
      </c>
      <c r="B3719" s="2" t="s">
        <v>711</v>
      </c>
      <c r="C3719" s="104" t="s">
        <v>4547</v>
      </c>
      <c r="D3719" s="2" t="s">
        <v>30</v>
      </c>
      <c r="E3719" s="2" t="s">
        <v>31</v>
      </c>
      <c r="F3719" s="11" t="s">
        <v>5487</v>
      </c>
      <c r="G3719" s="49" t="s">
        <v>5488</v>
      </c>
      <c r="H3719" s="2" t="s">
        <v>5489</v>
      </c>
      <c r="I3719" s="12" t="s">
        <v>5085</v>
      </c>
      <c r="J3719" s="22">
        <f>+Tabla1[[#This Row],[FECHA ENTRADA]]</f>
        <v>45909</v>
      </c>
      <c r="K3719" s="22">
        <v>45939</v>
      </c>
      <c r="L3719" s="23">
        <f>_xlfn.DAYS(Tabla1[[#This Row],[FECHA FIN ]],Tabla1[[#This Row],[FECHA INICIO]])</f>
        <v>30</v>
      </c>
      <c r="M3719" s="12"/>
      <c r="N3719" s="24">
        <v>480</v>
      </c>
      <c r="O3719" s="24">
        <f>(Tabla1[[#This Row],[COSTO FIJO ]]/30)*Tabla1[[#This Row],[TOTAL DIAS PROYECTO]]+(Tabla1[[#This Row],[COSTO TEMPORAL]])</f>
        <v>480</v>
      </c>
      <c r="P3719" s="12"/>
      <c r="Q3719" s="12">
        <f>+(Tabla1[[#This Row],[COSTO COCHE]]/30)*Tabla1[[#This Row],[TOTAL DIAS PROYECTO]]</f>
        <v>0</v>
      </c>
      <c r="R3719" s="12">
        <f>+Tabla1[[#This Row],[COSTO TOTAL ALOJAMIENTO]]+Tabla1[[#This Row],[COSTO TOTAL COCHE]]</f>
        <v>480</v>
      </c>
      <c r="S3719" s="2"/>
      <c r="T3719" s="14" t="s">
        <v>44</v>
      </c>
      <c r="U3719" s="14">
        <v>45909</v>
      </c>
      <c r="V3719" s="25">
        <v>45939</v>
      </c>
      <c r="W3719" s="71"/>
      <c r="X3719" s="2"/>
      <c r="Y3719" s="11" t="s">
        <v>5491</v>
      </c>
      <c r="Z3719" s="2" t="s">
        <v>36</v>
      </c>
      <c r="AA3719" s="13" t="s">
        <v>10323</v>
      </c>
      <c r="AB3719" s="13" t="s">
        <v>10324</v>
      </c>
    </row>
    <row r="3720" spans="1:28" ht="15" customHeight="1">
      <c r="A3720" s="2" t="s">
        <v>9748</v>
      </c>
      <c r="B3720" s="2" t="s">
        <v>711</v>
      </c>
      <c r="C3720" s="104" t="s">
        <v>4548</v>
      </c>
      <c r="D3720" s="2" t="s">
        <v>30</v>
      </c>
      <c r="E3720" s="2" t="s">
        <v>31</v>
      </c>
      <c r="F3720" s="11" t="s">
        <v>5487</v>
      </c>
      <c r="G3720" s="49" t="s">
        <v>5488</v>
      </c>
      <c r="H3720" s="2" t="s">
        <v>5489</v>
      </c>
      <c r="I3720" s="12" t="s">
        <v>5085</v>
      </c>
      <c r="J3720" s="22">
        <f>+Tabla1[[#This Row],[FECHA ENTRADA]]</f>
        <v>45909</v>
      </c>
      <c r="K3720" s="22">
        <v>45939</v>
      </c>
      <c r="L3720" s="23">
        <f>_xlfn.DAYS(Tabla1[[#This Row],[FECHA FIN ]],Tabla1[[#This Row],[FECHA INICIO]])</f>
        <v>30</v>
      </c>
      <c r="M3720" s="12"/>
      <c r="N3720" s="24">
        <v>480</v>
      </c>
      <c r="O3720" s="24">
        <f>(Tabla1[[#This Row],[COSTO FIJO ]]/30)*Tabla1[[#This Row],[TOTAL DIAS PROYECTO]]+(Tabla1[[#This Row],[COSTO TEMPORAL]])</f>
        <v>480</v>
      </c>
      <c r="P3720" s="12"/>
      <c r="Q3720" s="12">
        <f>+(Tabla1[[#This Row],[COSTO COCHE]]/30)*Tabla1[[#This Row],[TOTAL DIAS PROYECTO]]</f>
        <v>0</v>
      </c>
      <c r="R3720" s="12">
        <f>+Tabla1[[#This Row],[COSTO TOTAL ALOJAMIENTO]]+Tabla1[[#This Row],[COSTO TOTAL COCHE]]</f>
        <v>480</v>
      </c>
      <c r="S3720" s="2"/>
      <c r="T3720" s="14" t="s">
        <v>44</v>
      </c>
      <c r="U3720" s="14">
        <v>45909</v>
      </c>
      <c r="V3720" s="25">
        <v>45939</v>
      </c>
      <c r="W3720" s="71"/>
      <c r="X3720" s="2"/>
      <c r="Y3720" s="11" t="s">
        <v>5491</v>
      </c>
      <c r="Z3720" s="2" t="s">
        <v>36</v>
      </c>
      <c r="AA3720" s="13" t="s">
        <v>10323</v>
      </c>
      <c r="AB3720" s="13" t="s">
        <v>10324</v>
      </c>
    </row>
    <row r="3721" spans="1:28" ht="15" customHeight="1">
      <c r="A3721" s="2" t="s">
        <v>9015</v>
      </c>
      <c r="B3721" s="2" t="s">
        <v>711</v>
      </c>
      <c r="C3721" s="104" t="s">
        <v>1703</v>
      </c>
      <c r="D3721" s="2" t="s">
        <v>30</v>
      </c>
      <c r="E3721" s="2" t="s">
        <v>31</v>
      </c>
      <c r="F3721" s="11" t="s">
        <v>5487</v>
      </c>
      <c r="G3721" s="49" t="s">
        <v>5488</v>
      </c>
      <c r="H3721" s="2" t="s">
        <v>5489</v>
      </c>
      <c r="I3721" s="12" t="s">
        <v>5085</v>
      </c>
      <c r="J3721" s="22">
        <f>+Tabla1[[#This Row],[FECHA ENTRADA]]</f>
        <v>45909</v>
      </c>
      <c r="K3721" s="22">
        <v>45939</v>
      </c>
      <c r="L3721" s="23">
        <f>_xlfn.DAYS(Tabla1[[#This Row],[FECHA FIN ]],Tabla1[[#This Row],[FECHA INICIO]])</f>
        <v>30</v>
      </c>
      <c r="M3721" s="12"/>
      <c r="N3721" s="24">
        <v>480</v>
      </c>
      <c r="O3721" s="24">
        <f>(Tabla1[[#This Row],[COSTO FIJO ]]/30)*Tabla1[[#This Row],[TOTAL DIAS PROYECTO]]+(Tabla1[[#This Row],[COSTO TEMPORAL]])</f>
        <v>480</v>
      </c>
      <c r="P3721" s="12"/>
      <c r="Q3721" s="12">
        <f>+(Tabla1[[#This Row],[COSTO COCHE]]/30)*Tabla1[[#This Row],[TOTAL DIAS PROYECTO]]</f>
        <v>0</v>
      </c>
      <c r="R3721" s="12">
        <f>+Tabla1[[#This Row],[COSTO TOTAL ALOJAMIENTO]]+Tabla1[[#This Row],[COSTO TOTAL COCHE]]</f>
        <v>480</v>
      </c>
      <c r="S3721" s="2"/>
      <c r="T3721" s="14" t="s">
        <v>44</v>
      </c>
      <c r="U3721" s="14">
        <v>45909</v>
      </c>
      <c r="V3721" s="25">
        <v>45939</v>
      </c>
      <c r="W3721" s="71"/>
      <c r="X3721" s="2"/>
      <c r="Y3721" s="11" t="s">
        <v>5491</v>
      </c>
      <c r="Z3721" s="2" t="s">
        <v>36</v>
      </c>
      <c r="AA3721" s="13" t="s">
        <v>10323</v>
      </c>
      <c r="AB3721" s="13" t="s">
        <v>10324</v>
      </c>
    </row>
    <row r="3722" spans="1:28" ht="15" customHeight="1">
      <c r="A3722" s="2" t="s">
        <v>9926</v>
      </c>
      <c r="B3722" s="2" t="s">
        <v>368</v>
      </c>
      <c r="C3722" s="97" t="s">
        <v>5492</v>
      </c>
      <c r="D3722" s="2" t="s">
        <v>99</v>
      </c>
      <c r="E3722" s="2" t="s">
        <v>31</v>
      </c>
      <c r="F3722" s="11" t="s">
        <v>530</v>
      </c>
      <c r="G3722" t="s">
        <v>531</v>
      </c>
      <c r="H3722" s="2" t="s">
        <v>5493</v>
      </c>
      <c r="I3722" s="12" t="s">
        <v>4005</v>
      </c>
      <c r="J3722" s="22">
        <f>+Tabla1[[#This Row],[FECHA ENTRADA]]</f>
        <v>45811</v>
      </c>
      <c r="K3722" s="8">
        <v>45940</v>
      </c>
      <c r="L3722" s="23">
        <f>_xlfn.DAYS(Tabla1[[#This Row],[FECHA FIN ]],Tabla1[[#This Row],[FECHA INICIO]])</f>
        <v>129</v>
      </c>
      <c r="M3722" s="12"/>
      <c r="N3722" s="12">
        <v>214.28571428571428</v>
      </c>
      <c r="O3722" s="24">
        <f>(Tabla1[[#This Row],[COSTO FIJO ]]/30)*Tabla1[[#This Row],[TOTAL DIAS PROYECTO]]+(Tabla1[[#This Row],[COSTO TEMPORAL]])</f>
        <v>921.42857142857133</v>
      </c>
      <c r="P3722" s="12"/>
      <c r="Q3722" s="12">
        <f>+(Tabla1[[#This Row],[COSTO COCHE]]/30)*Tabla1[[#This Row],[TOTAL DIAS PROYECTO]]</f>
        <v>0</v>
      </c>
      <c r="R3722" s="12">
        <f>+Tabla1[[#This Row],[COSTO TOTAL ALOJAMIENTO]]+Tabla1[[#This Row],[COSTO TOTAL COCHE]]</f>
        <v>921.42857142857133</v>
      </c>
      <c r="S3722" s="2"/>
      <c r="T3722" s="14" t="s">
        <v>35</v>
      </c>
      <c r="U3722" s="14">
        <v>45811</v>
      </c>
      <c r="V3722" s="180"/>
      <c r="W3722" s="2"/>
      <c r="X3722" s="2">
        <v>1</v>
      </c>
      <c r="Y3722" s="253" t="s">
        <v>5494</v>
      </c>
      <c r="Z3722" s="2" t="s">
        <v>36</v>
      </c>
      <c r="AA3722" s="13" t="s">
        <v>10323</v>
      </c>
      <c r="AB3722" s="13" t="s">
        <v>10324</v>
      </c>
    </row>
    <row r="3723" spans="1:28" ht="15" customHeight="1">
      <c r="A3723" s="2" t="s">
        <v>9927</v>
      </c>
      <c r="B3723" s="2" t="s">
        <v>368</v>
      </c>
      <c r="C3723" s="97" t="s">
        <v>5495</v>
      </c>
      <c r="D3723" s="2" t="s">
        <v>99</v>
      </c>
      <c r="E3723" s="2" t="s">
        <v>31</v>
      </c>
      <c r="F3723" s="11" t="s">
        <v>715</v>
      </c>
      <c r="G3723" s="11" t="s">
        <v>716</v>
      </c>
      <c r="H3723" s="2" t="s">
        <v>4004</v>
      </c>
      <c r="I3723" s="10" t="s">
        <v>4005</v>
      </c>
      <c r="J3723" s="22">
        <f>+Tabla1[[#This Row],[FECHA ENTRADA]]</f>
        <v>45783</v>
      </c>
      <c r="K3723" s="22">
        <v>45940</v>
      </c>
      <c r="L3723" s="23">
        <f>_xlfn.DAYS(Tabla1[[#This Row],[FECHA FIN ]],Tabla1[[#This Row],[FECHA INICIO]])</f>
        <v>157</v>
      </c>
      <c r="M3723" s="12"/>
      <c r="N3723" s="12">
        <v>160</v>
      </c>
      <c r="O3723" s="24">
        <f>(Tabla1[[#This Row],[COSTO FIJO ]]/30)*Tabla1[[#This Row],[TOTAL DIAS PROYECTO]]+(Tabla1[[#This Row],[COSTO TEMPORAL]])</f>
        <v>837.33333333333326</v>
      </c>
      <c r="P3723" s="12"/>
      <c r="Q3723" s="12">
        <f>+(Tabla1[[#This Row],[COSTO COCHE]]/30)*Tabla1[[#This Row],[TOTAL DIAS PROYECTO]]</f>
        <v>0</v>
      </c>
      <c r="R3723" s="12">
        <f>+Tabla1[[#This Row],[COSTO TOTAL ALOJAMIENTO]]+Tabla1[[#This Row],[COSTO TOTAL COCHE]]</f>
        <v>837.33333333333326</v>
      </c>
      <c r="S3723" s="2"/>
      <c r="T3723" s="2" t="s">
        <v>35</v>
      </c>
      <c r="U3723" s="14">
        <v>45783</v>
      </c>
      <c r="V3723" s="79"/>
      <c r="W3723" s="26"/>
      <c r="X3723" s="2">
        <v>1</v>
      </c>
      <c r="Y3723" s="253" t="s">
        <v>5494</v>
      </c>
      <c r="Z3723" s="2" t="s">
        <v>36</v>
      </c>
      <c r="AA3723" s="13" t="s">
        <v>10323</v>
      </c>
      <c r="AB3723" s="13" t="s">
        <v>10324</v>
      </c>
    </row>
    <row r="3724" spans="1:28" ht="15" customHeight="1">
      <c r="A3724" s="2" t="s">
        <v>9256</v>
      </c>
      <c r="B3724" s="2" t="s">
        <v>28</v>
      </c>
      <c r="C3724" s="97" t="s">
        <v>2611</v>
      </c>
      <c r="D3724" s="2" t="s">
        <v>99</v>
      </c>
      <c r="E3724" s="2" t="s">
        <v>31</v>
      </c>
      <c r="F3724" s="11" t="s">
        <v>715</v>
      </c>
      <c r="G3724" s="11" t="s">
        <v>716</v>
      </c>
      <c r="H3724" s="2" t="s">
        <v>5496</v>
      </c>
      <c r="I3724" s="12" t="s">
        <v>2062</v>
      </c>
      <c r="J3724" s="41">
        <f>+Tabla1[[#This Row],[FECHA ENTRADA]]</f>
        <v>45883</v>
      </c>
      <c r="K3724" s="41">
        <v>45940</v>
      </c>
      <c r="L3724" s="42">
        <f>_xlfn.DAYS(Tabla1[[#This Row],[FECHA FIN ]],Tabla1[[#This Row],[FECHA INICIO]])</f>
        <v>57</v>
      </c>
      <c r="M3724" s="12"/>
      <c r="N3724" s="12">
        <v>160</v>
      </c>
      <c r="O3724" s="28">
        <f>(Tabla1[[#This Row],[COSTO FIJO ]]/30)*Tabla1[[#This Row],[TOTAL DIAS PROYECTO]]+(Tabla1[[#This Row],[COSTO TEMPORAL]])</f>
        <v>304</v>
      </c>
      <c r="P3724" s="12"/>
      <c r="Q3724" s="12">
        <f>+(Tabla1[[#This Row],[COSTO COCHE]]/30)*Tabla1[[#This Row],[TOTAL DIAS PROYECTO]]</f>
        <v>0</v>
      </c>
      <c r="R3724" s="12">
        <f>+Tabla1[[#This Row],[COSTO TOTAL ALOJAMIENTO]]+Tabla1[[#This Row],[COSTO TOTAL COCHE]]</f>
        <v>304</v>
      </c>
      <c r="S3724" s="2"/>
      <c r="T3724" s="14" t="s">
        <v>613</v>
      </c>
      <c r="U3724" s="14">
        <v>45883</v>
      </c>
      <c r="V3724" s="43"/>
      <c r="W3724" s="12"/>
      <c r="X3724" s="2">
        <v>1</v>
      </c>
      <c r="Y3724" s="11" t="s">
        <v>5497</v>
      </c>
      <c r="Z3724" s="2" t="s">
        <v>36</v>
      </c>
      <c r="AA3724" s="13" t="s">
        <v>10323</v>
      </c>
      <c r="AB3724" s="13" t="s">
        <v>10324</v>
      </c>
    </row>
    <row r="3725" spans="1:28" ht="15" customHeight="1">
      <c r="A3725" s="2" t="s">
        <v>9558</v>
      </c>
      <c r="B3725" s="2" t="s">
        <v>368</v>
      </c>
      <c r="C3725" s="97" t="s">
        <v>3612</v>
      </c>
      <c r="D3725" s="2" t="s">
        <v>99</v>
      </c>
      <c r="E3725" s="2" t="s">
        <v>55</v>
      </c>
      <c r="F3725" s="11" t="s">
        <v>231</v>
      </c>
      <c r="G3725" s="18" t="s">
        <v>106</v>
      </c>
      <c r="H3725" s="157" t="s">
        <v>5498</v>
      </c>
      <c r="I3725" s="158" t="s">
        <v>1316</v>
      </c>
      <c r="J3725" s="22">
        <f>+Tabla1[[#This Row],[FECHA ENTRADA]]</f>
        <v>45900</v>
      </c>
      <c r="K3725" s="22">
        <v>45940</v>
      </c>
      <c r="L3725" s="23">
        <f>_xlfn.DAYS(Tabla1[[#This Row],[FECHA FIN ]],Tabla1[[#This Row],[FECHA INICIO]])</f>
        <v>40</v>
      </c>
      <c r="M3725" s="12"/>
      <c r="N3725" s="20">
        <v>500</v>
      </c>
      <c r="O3725" s="24">
        <f>(Tabla1[[#This Row],[COSTO FIJO ]]/30)*Tabla1[[#This Row],[TOTAL DIAS PROYECTO]]+(Tabla1[[#This Row],[COSTO TEMPORAL]])</f>
        <v>666.66666666666674</v>
      </c>
      <c r="P3725" s="12"/>
      <c r="Q3725" s="12">
        <f>+(Tabla1[[#This Row],[COSTO COCHE]]/30)*Tabla1[[#This Row],[TOTAL DIAS PROYECTO]]</f>
        <v>0</v>
      </c>
      <c r="R3725" s="12">
        <f>+Tabla1[[#This Row],[COSTO TOTAL ALOJAMIENTO]]+Tabla1[[#This Row],[COSTO TOTAL COCHE]]</f>
        <v>666.66666666666674</v>
      </c>
      <c r="S3725" s="2"/>
      <c r="T3725" s="14" t="s">
        <v>35</v>
      </c>
      <c r="U3725" s="14">
        <v>45900</v>
      </c>
      <c r="V3725" s="79"/>
      <c r="W3725" s="12">
        <v>600</v>
      </c>
      <c r="X3725" s="2">
        <v>1</v>
      </c>
      <c r="Y3725" s="11" t="s">
        <v>5499</v>
      </c>
      <c r="Z3725" s="2" t="s">
        <v>36</v>
      </c>
      <c r="AA3725" s="13" t="s">
        <v>10327</v>
      </c>
      <c r="AB3725" s="13" t="s">
        <v>10328</v>
      </c>
    </row>
    <row r="3726" spans="1:28" ht="15" customHeight="1">
      <c r="A3726" s="2" t="s">
        <v>9254</v>
      </c>
      <c r="B3726" s="2" t="s">
        <v>368</v>
      </c>
      <c r="C3726" s="97" t="s">
        <v>2607</v>
      </c>
      <c r="D3726" s="2" t="s">
        <v>99</v>
      </c>
      <c r="E3726" s="2" t="s">
        <v>55</v>
      </c>
      <c r="F3726" s="11" t="s">
        <v>231</v>
      </c>
      <c r="G3726" s="18" t="s">
        <v>106</v>
      </c>
      <c r="H3726" s="2" t="s">
        <v>5498</v>
      </c>
      <c r="I3726" s="12" t="s">
        <v>1316</v>
      </c>
      <c r="J3726" s="22">
        <f>+Tabla1[[#This Row],[FECHA ENTRADA]]</f>
        <v>45900</v>
      </c>
      <c r="K3726" s="22">
        <v>45940</v>
      </c>
      <c r="L3726" s="23">
        <f>_xlfn.DAYS(Tabla1[[#This Row],[FECHA FIN ]],Tabla1[[#This Row],[FECHA INICIO]])</f>
        <v>40</v>
      </c>
      <c r="M3726" s="12"/>
      <c r="N3726" s="20">
        <v>500</v>
      </c>
      <c r="O3726" s="24">
        <f>(Tabla1[[#This Row],[COSTO FIJO ]]/30)*Tabla1[[#This Row],[TOTAL DIAS PROYECTO]]+(Tabla1[[#This Row],[COSTO TEMPORAL]])</f>
        <v>666.66666666666674</v>
      </c>
      <c r="P3726" s="12"/>
      <c r="Q3726" s="12">
        <f>+(Tabla1[[#This Row],[COSTO COCHE]]/30)*Tabla1[[#This Row],[TOTAL DIAS PROYECTO]]</f>
        <v>0</v>
      </c>
      <c r="R3726" s="12">
        <f>+Tabla1[[#This Row],[COSTO TOTAL ALOJAMIENTO]]+Tabla1[[#This Row],[COSTO TOTAL COCHE]]</f>
        <v>666.66666666666674</v>
      </c>
      <c r="S3726" s="2"/>
      <c r="T3726" s="14" t="s">
        <v>35</v>
      </c>
      <c r="U3726" s="14">
        <v>45900</v>
      </c>
      <c r="V3726" s="79"/>
      <c r="W3726" s="12"/>
      <c r="X3726" s="2">
        <v>1</v>
      </c>
      <c r="Y3726" s="11" t="s">
        <v>5500</v>
      </c>
      <c r="Z3726" s="2" t="s">
        <v>36</v>
      </c>
      <c r="AA3726" s="13" t="s">
        <v>10327</v>
      </c>
      <c r="AB3726" s="13" t="s">
        <v>10328</v>
      </c>
    </row>
    <row r="3727" spans="1:28" ht="15" customHeight="1">
      <c r="A3727" s="2" t="s">
        <v>9928</v>
      </c>
      <c r="B3727" s="2" t="s">
        <v>978</v>
      </c>
      <c r="C3727" s="97" t="s">
        <v>5501</v>
      </c>
      <c r="D3727" s="2" t="s">
        <v>30</v>
      </c>
      <c r="E3727" s="2" t="s">
        <v>422</v>
      </c>
      <c r="F3727" s="11" t="s">
        <v>5502</v>
      </c>
      <c r="G3727" s="11" t="s">
        <v>5428</v>
      </c>
      <c r="H3727" s="2" t="s">
        <v>4519</v>
      </c>
      <c r="I3727" s="12" t="s">
        <v>5430</v>
      </c>
      <c r="J3727" s="41">
        <f>+Tabla1[[#This Row],[FECHA ENTRADA]]</f>
        <v>45839</v>
      </c>
      <c r="K3727" s="22">
        <v>45886</v>
      </c>
      <c r="L3727" s="42">
        <f>_xlfn.DAYS(Tabla1[[#This Row],[FECHA FIN ]],Tabla1[[#This Row],[FECHA INICIO]])</f>
        <v>47</v>
      </c>
      <c r="M3727" s="12"/>
      <c r="N3727" s="28">
        <v>300</v>
      </c>
      <c r="O3727" s="28">
        <f>(Tabla1[[#This Row],[COSTO FIJO ]]/30)*Tabla1[[#This Row],[TOTAL DIAS PROYECTO]]+(Tabla1[[#This Row],[COSTO TEMPORAL]])</f>
        <v>470</v>
      </c>
      <c r="P3727" s="12"/>
      <c r="Q3727" s="12">
        <f>+(Tabla1[[#This Row],[COSTO COCHE]]/30)*Tabla1[[#This Row],[TOTAL DIAS PROYECTO]]</f>
        <v>0</v>
      </c>
      <c r="R3727" s="12">
        <f>+Tabla1[[#This Row],[COSTO TOTAL ALOJAMIENTO]]+Tabla1[[#This Row],[COSTO TOTAL COCHE]]</f>
        <v>470</v>
      </c>
      <c r="S3727" s="2"/>
      <c r="T3727" s="14" t="s">
        <v>35</v>
      </c>
      <c r="U3727" s="14">
        <v>45839</v>
      </c>
      <c r="V3727" s="43"/>
      <c r="W3727" s="12"/>
      <c r="X3727" s="2">
        <v>1</v>
      </c>
      <c r="Y3727" s="11" t="s">
        <v>5433</v>
      </c>
      <c r="Z3727" s="2" t="s">
        <v>36</v>
      </c>
      <c r="AA3727" s="13">
        <v>-326.69799999999998</v>
      </c>
      <c r="AB3727" s="13" t="s">
        <v>10373</v>
      </c>
    </row>
    <row r="3728" spans="1:28" ht="15" customHeight="1">
      <c r="A3728" s="2" t="s">
        <v>9929</v>
      </c>
      <c r="B3728" s="2" t="s">
        <v>978</v>
      </c>
      <c r="C3728" s="97" t="s">
        <v>5503</v>
      </c>
      <c r="D3728" s="2" t="s">
        <v>30</v>
      </c>
      <c r="E3728" s="2" t="s">
        <v>259</v>
      </c>
      <c r="F3728" s="11" t="s">
        <v>4206</v>
      </c>
      <c r="G3728" s="68" t="s">
        <v>4207</v>
      </c>
      <c r="H3728" s="2" t="s">
        <v>4208</v>
      </c>
      <c r="I3728" s="12" t="s">
        <v>4209</v>
      </c>
      <c r="J3728" s="41">
        <f>+Tabla1[[#This Row],[FECHA ENTRADA]]</f>
        <v>45784</v>
      </c>
      <c r="K3728" s="41">
        <v>45958</v>
      </c>
      <c r="L3728" s="42">
        <f>_xlfn.DAYS(Tabla1[[#This Row],[FECHA FIN ]],Tabla1[[#This Row],[FECHA INICIO]])</f>
        <v>174</v>
      </c>
      <c r="M3728" s="12"/>
      <c r="N3728" s="28">
        <v>283.33333333333331</v>
      </c>
      <c r="O3728" s="28">
        <f>(Tabla1[[#This Row],[COSTO FIJO ]]/30)*Tabla1[[#This Row],[TOTAL DIAS PROYECTO]]+(Tabla1[[#This Row],[COSTO TEMPORAL]])</f>
        <v>1643.3333333333333</v>
      </c>
      <c r="P3728" s="12"/>
      <c r="Q3728" s="12">
        <f>+(Tabla1[[#This Row],[COSTO COCHE]]/30)*Tabla1[[#This Row],[TOTAL DIAS PROYECTO]]</f>
        <v>0</v>
      </c>
      <c r="R3728" s="12">
        <f>+Tabla1[[#This Row],[COSTO TOTAL ALOJAMIENTO]]+Tabla1[[#This Row],[COSTO TOTAL COCHE]]</f>
        <v>1643.3333333333333</v>
      </c>
      <c r="S3728" s="2"/>
      <c r="T3728" s="14" t="s">
        <v>35</v>
      </c>
      <c r="U3728" s="14">
        <v>45784</v>
      </c>
      <c r="V3728" s="43"/>
      <c r="W3728" s="12">
        <v>850</v>
      </c>
      <c r="X3728" s="2">
        <v>5</v>
      </c>
      <c r="Y3728" s="11" t="s">
        <v>5504</v>
      </c>
      <c r="Z3728" s="2" t="s">
        <v>36</v>
      </c>
      <c r="AA3728" s="13">
        <v>-0.87734000000000001</v>
      </c>
      <c r="AB3728" s="13" t="s">
        <v>10359</v>
      </c>
    </row>
    <row r="3729" spans="1:28" ht="15.75" customHeight="1">
      <c r="A3729" s="2" t="s">
        <v>9131</v>
      </c>
      <c r="B3729" s="2" t="s">
        <v>978</v>
      </c>
      <c r="C3729" s="104" t="s">
        <v>2131</v>
      </c>
      <c r="D3729" s="2" t="s">
        <v>30</v>
      </c>
      <c r="E3729" s="2" t="s">
        <v>422</v>
      </c>
      <c r="F3729" s="11" t="s">
        <v>5502</v>
      </c>
      <c r="G3729" s="11" t="s">
        <v>5428</v>
      </c>
      <c r="H3729" s="2" t="s">
        <v>4519</v>
      </c>
      <c r="I3729" s="116" t="s">
        <v>5430</v>
      </c>
      <c r="J3729" s="41">
        <f>+Tabla1[[#This Row],[FECHA ENTRADA]]</f>
        <v>45839</v>
      </c>
      <c r="K3729" s="22">
        <v>45886</v>
      </c>
      <c r="L3729" s="42">
        <f>_xlfn.DAYS(Tabla1[[#This Row],[FECHA FIN ]],Tabla1[[#This Row],[FECHA INICIO]])</f>
        <v>47</v>
      </c>
      <c r="M3729" s="12"/>
      <c r="N3729" s="28">
        <v>300</v>
      </c>
      <c r="O3729" s="28">
        <f>(Tabla1[[#This Row],[COSTO FIJO ]]/30)*Tabla1[[#This Row],[TOTAL DIAS PROYECTO]]+(Tabla1[[#This Row],[COSTO TEMPORAL]])</f>
        <v>470</v>
      </c>
      <c r="P3729" s="12"/>
      <c r="Q3729" s="12">
        <f>+(Tabla1[[#This Row],[COSTO COCHE]]/30)*Tabla1[[#This Row],[TOTAL DIAS PROYECTO]]</f>
        <v>0</v>
      </c>
      <c r="R3729" s="12">
        <f>+Tabla1[[#This Row],[COSTO TOTAL ALOJAMIENTO]]+Tabla1[[#This Row],[COSTO TOTAL COCHE]]</f>
        <v>470</v>
      </c>
      <c r="S3729" s="2"/>
      <c r="T3729" s="14" t="s">
        <v>35</v>
      </c>
      <c r="U3729" s="14">
        <v>45839</v>
      </c>
      <c r="V3729" s="43"/>
      <c r="W3729" s="12"/>
      <c r="X3729" s="2">
        <v>1</v>
      </c>
      <c r="Y3729" s="11" t="s">
        <v>1361</v>
      </c>
      <c r="Z3729" s="2" t="s">
        <v>36</v>
      </c>
      <c r="AA3729" s="13">
        <v>-326.69799999999998</v>
      </c>
      <c r="AB3729" s="13" t="s">
        <v>10373</v>
      </c>
    </row>
    <row r="3730" spans="1:28" ht="15" customHeight="1">
      <c r="A3730" s="2" t="s">
        <v>9183</v>
      </c>
      <c r="B3730" s="2" t="s">
        <v>978</v>
      </c>
      <c r="C3730" s="97" t="s">
        <v>2344</v>
      </c>
      <c r="D3730" s="2" t="s">
        <v>30</v>
      </c>
      <c r="E3730" s="2" t="s">
        <v>422</v>
      </c>
      <c r="F3730" s="11" t="s">
        <v>5505</v>
      </c>
      <c r="G3730" s="11" t="s">
        <v>5428</v>
      </c>
      <c r="H3730" s="157" t="s">
        <v>5506</v>
      </c>
      <c r="I3730" s="158" t="s">
        <v>5430</v>
      </c>
      <c r="J3730" s="41">
        <f>+Tabla1[[#This Row],[FECHA ENTRADA]]</f>
        <v>45839</v>
      </c>
      <c r="K3730" s="22">
        <v>45926</v>
      </c>
      <c r="L3730" s="42">
        <f>_xlfn.DAYS(Tabla1[[#This Row],[FECHA FIN ]],Tabla1[[#This Row],[FECHA INICIO]])</f>
        <v>87</v>
      </c>
      <c r="M3730" s="12"/>
      <c r="N3730" s="12">
        <v>450</v>
      </c>
      <c r="O3730" s="28">
        <f>(Tabla1[[#This Row],[COSTO FIJO ]]/30)*Tabla1[[#This Row],[TOTAL DIAS PROYECTO]]+(Tabla1[[#This Row],[COSTO TEMPORAL]])</f>
        <v>1305</v>
      </c>
      <c r="P3730" s="12"/>
      <c r="Q3730" s="12">
        <f>+(Tabla1[[#This Row],[COSTO COCHE]]/30)*Tabla1[[#This Row],[TOTAL DIAS PROYECTO]]</f>
        <v>0</v>
      </c>
      <c r="R3730" s="12">
        <f>+Tabla1[[#This Row],[COSTO TOTAL ALOJAMIENTO]]+Tabla1[[#This Row],[COSTO TOTAL COCHE]]</f>
        <v>1305</v>
      </c>
      <c r="S3730" s="2"/>
      <c r="T3730" s="14" t="s">
        <v>35</v>
      </c>
      <c r="U3730" s="14">
        <v>45839</v>
      </c>
      <c r="V3730" s="43"/>
      <c r="W3730" s="12">
        <v>450</v>
      </c>
      <c r="X3730" s="2">
        <v>1</v>
      </c>
      <c r="Y3730" s="11" t="s">
        <v>5507</v>
      </c>
      <c r="Z3730" s="2" t="s">
        <v>36</v>
      </c>
      <c r="AA3730" s="13">
        <v>-326.69799999999998</v>
      </c>
      <c r="AB3730" s="13" t="s">
        <v>10373</v>
      </c>
    </row>
    <row r="3731" spans="1:28" ht="15" customHeight="1">
      <c r="A3731" s="2" t="s">
        <v>9118</v>
      </c>
      <c r="B3731" s="10" t="s">
        <v>711</v>
      </c>
      <c r="C3731" s="104" t="s">
        <v>2074</v>
      </c>
      <c r="D3731" s="2" t="s">
        <v>30</v>
      </c>
      <c r="E3731" s="2" t="s">
        <v>415</v>
      </c>
      <c r="F3731" s="11" t="s">
        <v>487</v>
      </c>
      <c r="G3731" s="49" t="s">
        <v>488</v>
      </c>
      <c r="H3731" s="157" t="s">
        <v>5508</v>
      </c>
      <c r="I3731" s="158" t="s">
        <v>1392</v>
      </c>
      <c r="J3731" s="41">
        <f>+Tabla1[[#This Row],[FECHA ENTRADA]]</f>
        <v>45900</v>
      </c>
      <c r="K3731" s="22">
        <v>45917</v>
      </c>
      <c r="L3731" s="42">
        <f>_xlfn.DAYS(Tabla1[[#This Row],[FECHA FIN ]],Tabla1[[#This Row],[FECHA INICIO]])</f>
        <v>17</v>
      </c>
      <c r="M3731" s="12"/>
      <c r="N3731" s="12"/>
      <c r="O3731" s="28">
        <f>(Tabla1[[#This Row],[COSTO FIJO ]]/30)*Tabla1[[#This Row],[TOTAL DIAS PROYECTO]]+(Tabla1[[#This Row],[COSTO TEMPORAL]])</f>
        <v>0</v>
      </c>
      <c r="P3731" s="12"/>
      <c r="Q3731" s="12">
        <f>+(Tabla1[[#This Row],[COSTO COCHE]]/30)*Tabla1[[#This Row],[TOTAL DIAS PROYECTO]]</f>
        <v>0</v>
      </c>
      <c r="R3731" s="12">
        <f>+Tabla1[[#This Row],[COSTO TOTAL ALOJAMIENTO]]+Tabla1[[#This Row],[COSTO TOTAL COCHE]]</f>
        <v>0</v>
      </c>
      <c r="S3731" s="2"/>
      <c r="T3731" s="14" t="s">
        <v>35</v>
      </c>
      <c r="U3731" s="14">
        <v>45900</v>
      </c>
      <c r="V3731" s="43"/>
      <c r="W3731" s="12"/>
      <c r="X3731" s="2">
        <v>5</v>
      </c>
      <c r="Y3731" t="s">
        <v>5509</v>
      </c>
      <c r="Z3731" s="2" t="s">
        <v>36</v>
      </c>
      <c r="AA3731" s="13">
        <v>-0.37739</v>
      </c>
      <c r="AB3731" s="13" t="s">
        <v>10372</v>
      </c>
    </row>
    <row r="3732" spans="1:28" ht="15" customHeight="1">
      <c r="A3732" s="2" t="s">
        <v>9930</v>
      </c>
      <c r="B3732" s="2" t="s">
        <v>28</v>
      </c>
      <c r="C3732" s="213" t="s">
        <v>5510</v>
      </c>
      <c r="D3732" s="2" t="s">
        <v>30</v>
      </c>
      <c r="E3732" s="2" t="s">
        <v>790</v>
      </c>
      <c r="F3732" s="11" t="s">
        <v>4316</v>
      </c>
      <c r="G3732" t="s">
        <v>4317</v>
      </c>
      <c r="H3732" s="2" t="s">
        <v>4650</v>
      </c>
      <c r="I3732" s="10" t="s">
        <v>292</v>
      </c>
      <c r="J3732" s="41">
        <f>+Tabla1[[#This Row],[FECHA ENTRADA]]</f>
        <v>45872</v>
      </c>
      <c r="K3732" s="22">
        <v>45940</v>
      </c>
      <c r="L3732" s="42">
        <f>_xlfn.DAYS(Tabla1[[#This Row],[FECHA FIN ]],Tabla1[[#This Row],[FECHA INICIO]])</f>
        <v>68</v>
      </c>
      <c r="M3732" s="12"/>
      <c r="N3732" s="28">
        <v>200</v>
      </c>
      <c r="O3732" s="28">
        <f>(Tabla1[[#This Row],[COSTO FIJO ]]/30)*Tabla1[[#This Row],[TOTAL DIAS PROYECTO]]+(Tabla1[[#This Row],[COSTO TEMPORAL]])</f>
        <v>453.33333333333337</v>
      </c>
      <c r="P3732" s="12"/>
      <c r="Q3732" s="12">
        <f>+(Tabla1[[#This Row],[COSTO COCHE]]/30)*Tabla1[[#This Row],[TOTAL DIAS PROYECTO]]</f>
        <v>0</v>
      </c>
      <c r="R3732" s="12">
        <f>+Tabla1[[#This Row],[COSTO TOTAL ALOJAMIENTO]]+Tabla1[[#This Row],[COSTO TOTAL COCHE]]</f>
        <v>453.33333333333337</v>
      </c>
      <c r="S3732" s="2"/>
      <c r="T3732" s="14" t="s">
        <v>35</v>
      </c>
      <c r="U3732" s="14">
        <v>45872</v>
      </c>
      <c r="V3732" s="43">
        <v>45952</v>
      </c>
      <c r="W3732" s="12">
        <v>600</v>
      </c>
      <c r="X3732" s="2">
        <v>20</v>
      </c>
      <c r="Y3732" s="257" t="s">
        <v>5511</v>
      </c>
      <c r="Z3732" s="2" t="s">
        <v>36</v>
      </c>
      <c r="AA3732" s="13">
        <v>-574377</v>
      </c>
      <c r="AB3732" s="13">
        <v>4150368</v>
      </c>
    </row>
    <row r="3733" spans="1:28" ht="15" customHeight="1">
      <c r="A3733" s="2" t="s">
        <v>9702</v>
      </c>
      <c r="B3733" s="2" t="s">
        <v>28</v>
      </c>
      <c r="C3733" s="97" t="s">
        <v>4314</v>
      </c>
      <c r="D3733" s="2" t="s">
        <v>30</v>
      </c>
      <c r="E3733" s="2" t="s">
        <v>790</v>
      </c>
      <c r="F3733" s="11"/>
      <c r="G3733" s="49"/>
      <c r="H3733" s="157" t="s">
        <v>4650</v>
      </c>
      <c r="I3733" s="203" t="s">
        <v>292</v>
      </c>
      <c r="J3733" s="22">
        <f>+Tabla1[[#This Row],[FECHA ENTRADA]]</f>
        <v>45922</v>
      </c>
      <c r="K3733" s="22">
        <v>45940</v>
      </c>
      <c r="L3733" s="23">
        <f>_xlfn.DAYS(Tabla1[[#This Row],[FECHA FIN ]],Tabla1[[#This Row],[FECHA INICIO]])</f>
        <v>18</v>
      </c>
      <c r="M3733" s="12"/>
      <c r="N3733" s="20">
        <v>300</v>
      </c>
      <c r="O3733" s="24">
        <f>(Tabla1[[#This Row],[COSTO FIJO ]]/30)*Tabla1[[#This Row],[TOTAL DIAS PROYECTO]]+(Tabla1[[#This Row],[COSTO TEMPORAL]])</f>
        <v>180</v>
      </c>
      <c r="P3733" s="12"/>
      <c r="Q3733" s="12">
        <f>+(Tabla1[[#This Row],[COSTO COCHE]]/30)*Tabla1[[#This Row],[TOTAL DIAS PROYECTO]]</f>
        <v>0</v>
      </c>
      <c r="R3733" s="12">
        <f>+Tabla1[[#This Row],[COSTO TOTAL ALOJAMIENTO]]+Tabla1[[#This Row],[COSTO TOTAL COCHE]]</f>
        <v>180</v>
      </c>
      <c r="S3733" s="2"/>
      <c r="T3733" s="14" t="s">
        <v>58</v>
      </c>
      <c r="U3733" s="14">
        <v>45922</v>
      </c>
      <c r="V3733" s="25"/>
      <c r="W3733" s="71"/>
      <c r="X3733" s="2"/>
      <c r="Y3733" s="11" t="s">
        <v>5512</v>
      </c>
      <c r="Z3733" s="2" t="s">
        <v>36</v>
      </c>
      <c r="AA3733" s="13">
        <v>-574377</v>
      </c>
      <c r="AB3733" s="13">
        <v>4150368</v>
      </c>
    </row>
    <row r="3734" spans="1:28" ht="15" customHeight="1">
      <c r="A3734" s="2" t="s">
        <v>9892</v>
      </c>
      <c r="B3734" s="2" t="s">
        <v>978</v>
      </c>
      <c r="C3734" s="104" t="s">
        <v>5238</v>
      </c>
      <c r="D3734" s="2" t="s">
        <v>30</v>
      </c>
      <c r="E3734" s="2" t="s">
        <v>245</v>
      </c>
      <c r="F3734" s="11" t="s">
        <v>5418</v>
      </c>
      <c r="G3734" s="46" t="s">
        <v>5419</v>
      </c>
      <c r="H3734" s="157" t="s">
        <v>1468</v>
      </c>
      <c r="I3734" s="158" t="s">
        <v>5047</v>
      </c>
      <c r="J3734" s="41">
        <f>+Tabla1[[#This Row],[FECHA ENTRADA]]</f>
        <v>45931</v>
      </c>
      <c r="K3734" s="41">
        <v>45932</v>
      </c>
      <c r="L3734" s="42">
        <f>_xlfn.DAYS(Tabla1[[#This Row],[FECHA FIN ]],Tabla1[[#This Row],[FECHA INICIO]])</f>
        <v>1</v>
      </c>
      <c r="M3734" s="12">
        <v>29</v>
      </c>
      <c r="N3734" s="28"/>
      <c r="O3734" s="28">
        <f>(Tabla1[[#This Row],[COSTO FIJO ]]/30)*Tabla1[[#This Row],[TOTAL DIAS PROYECTO]]+(Tabla1[[#This Row],[COSTO TEMPORAL]])</f>
        <v>29</v>
      </c>
      <c r="P3734" s="12"/>
      <c r="Q3734" s="12">
        <f>+(Tabla1[[#This Row],[COSTO COCHE]]/30)*Tabla1[[#This Row],[TOTAL DIAS PROYECTO]]</f>
        <v>0</v>
      </c>
      <c r="R3734" s="12">
        <f>+Tabla1[[#This Row],[COSTO TOTAL ALOJAMIENTO]]+Tabla1[[#This Row],[COSTO TOTAL COCHE]]</f>
        <v>29</v>
      </c>
      <c r="S3734" s="2" t="s">
        <v>403</v>
      </c>
      <c r="T3734" s="14" t="s">
        <v>44</v>
      </c>
      <c r="U3734" s="14">
        <v>45931</v>
      </c>
      <c r="V3734" s="43">
        <v>45932</v>
      </c>
      <c r="W3734" s="71"/>
      <c r="X3734" s="2"/>
      <c r="Y3734" s="11" t="s">
        <v>1120</v>
      </c>
      <c r="Z3734" s="2" t="s">
        <v>36</v>
      </c>
      <c r="AA3734" s="13" t="s">
        <v>10355</v>
      </c>
      <c r="AB3734" s="13" t="s">
        <v>10356</v>
      </c>
    </row>
    <row r="3735" spans="1:28" ht="15" customHeight="1">
      <c r="A3735" s="2" t="s">
        <v>9723</v>
      </c>
      <c r="B3735" s="2" t="s">
        <v>978</v>
      </c>
      <c r="C3735" s="104" t="s">
        <v>4409</v>
      </c>
      <c r="D3735" s="2" t="s">
        <v>99</v>
      </c>
      <c r="E3735" s="2" t="s">
        <v>31</v>
      </c>
      <c r="F3735" s="11" t="s">
        <v>5258</v>
      </c>
      <c r="G3735" s="49" t="s">
        <v>5083</v>
      </c>
      <c r="H3735" s="157" t="s">
        <v>4410</v>
      </c>
      <c r="I3735" s="158" t="s">
        <v>1540</v>
      </c>
      <c r="J3735" s="41">
        <f>+Tabla1[[#This Row],[FECHA ENTRADA]]</f>
        <v>45902</v>
      </c>
      <c r="K3735" s="41">
        <v>45903</v>
      </c>
      <c r="L3735" s="42">
        <f>_xlfn.DAYS(Tabla1[[#This Row],[FECHA FIN ]],Tabla1[[#This Row],[FECHA INICIO]])</f>
        <v>1</v>
      </c>
      <c r="M3735" s="12"/>
      <c r="N3735" s="12"/>
      <c r="O3735" s="28">
        <f>(Tabla1[[#This Row],[COSTO FIJO ]]/30)*Tabla1[[#This Row],[TOTAL DIAS PROYECTO]]+(Tabla1[[#This Row],[COSTO TEMPORAL]])</f>
        <v>0</v>
      </c>
      <c r="P3735" s="12"/>
      <c r="Q3735" s="12">
        <f>+(Tabla1[[#This Row],[COSTO COCHE]]/30)*Tabla1[[#This Row],[TOTAL DIAS PROYECTO]]</f>
        <v>0</v>
      </c>
      <c r="R3735" s="12">
        <f>+Tabla1[[#This Row],[COSTO TOTAL ALOJAMIENTO]]+Tabla1[[#This Row],[COSTO TOTAL COCHE]]</f>
        <v>0</v>
      </c>
      <c r="S3735" s="2"/>
      <c r="T3735" s="14" t="s">
        <v>44</v>
      </c>
      <c r="U3735" s="14">
        <v>45902</v>
      </c>
      <c r="V3735" s="43">
        <v>45928</v>
      </c>
      <c r="W3735" s="71"/>
      <c r="X3735" s="2"/>
      <c r="Y3735" s="11"/>
      <c r="Z3735" s="2" t="s">
        <v>36</v>
      </c>
      <c r="AA3735" s="13" t="s">
        <v>10323</v>
      </c>
      <c r="AB3735" s="13" t="s">
        <v>10324</v>
      </c>
    </row>
    <row r="3736" spans="1:28" ht="15" customHeight="1">
      <c r="A3736" s="2" t="s">
        <v>9422</v>
      </c>
      <c r="B3736" s="2" t="s">
        <v>978</v>
      </c>
      <c r="C3736" s="97" t="s">
        <v>3118</v>
      </c>
      <c r="D3736" s="2" t="s">
        <v>30</v>
      </c>
      <c r="E3736" s="2" t="s">
        <v>4467</v>
      </c>
      <c r="F3736" s="11" t="s">
        <v>1106</v>
      </c>
      <c r="G3736" s="21"/>
      <c r="H3736" s="157" t="s">
        <v>1363</v>
      </c>
      <c r="I3736" s="158" t="s">
        <v>4276</v>
      </c>
      <c r="J3736" s="41">
        <f>+Tabla1[[#This Row],[FECHA ENTRADA]]</f>
        <v>45928</v>
      </c>
      <c r="K3736" s="22">
        <v>45940</v>
      </c>
      <c r="L3736" s="42">
        <f>_xlfn.DAYS(Tabla1[[#This Row],[FECHA FIN ]],Tabla1[[#This Row],[FECHA INICIO]])</f>
        <v>12</v>
      </c>
      <c r="M3736" s="12"/>
      <c r="N3736" s="28">
        <v>0</v>
      </c>
      <c r="O3736" s="28">
        <f>(Tabla1[[#This Row],[COSTO FIJO ]]/30)*Tabla1[[#This Row],[TOTAL DIAS PROYECTO]]+(Tabla1[[#This Row],[COSTO TEMPORAL]])</f>
        <v>0</v>
      </c>
      <c r="P3736" s="12"/>
      <c r="Q3736" s="12">
        <f>+(Tabla1[[#This Row],[COSTO COCHE]]/30)*Tabla1[[#This Row],[TOTAL DIAS PROYECTO]]</f>
        <v>0</v>
      </c>
      <c r="R3736" s="12">
        <f>+Tabla1[[#This Row],[COSTO TOTAL ALOJAMIENTO]]+Tabla1[[#This Row],[COSTO TOTAL COCHE]]</f>
        <v>0</v>
      </c>
      <c r="S3736" s="2"/>
      <c r="T3736" s="2" t="s">
        <v>8</v>
      </c>
      <c r="U3736" s="14">
        <v>45928</v>
      </c>
      <c r="V3736" s="43"/>
      <c r="W3736" s="71"/>
      <c r="X3736" s="2"/>
      <c r="Y3736" s="11" t="s">
        <v>5513</v>
      </c>
      <c r="Z3736" s="2" t="s">
        <v>36</v>
      </c>
      <c r="AA3736" s="13" t="s">
        <v>10447</v>
      </c>
      <c r="AB3736" s="13" t="s">
        <v>10448</v>
      </c>
    </row>
    <row r="3737" spans="1:28" ht="15" customHeight="1">
      <c r="A3737" s="2" t="s">
        <v>9765</v>
      </c>
      <c r="B3737" s="2" t="s">
        <v>978</v>
      </c>
      <c r="C3737" s="97" t="s">
        <v>4648</v>
      </c>
      <c r="D3737" s="2" t="s">
        <v>30</v>
      </c>
      <c r="E3737" s="2" t="s">
        <v>4467</v>
      </c>
      <c r="F3737" s="11" t="s">
        <v>1106</v>
      </c>
      <c r="G3737" s="21"/>
      <c r="H3737" s="157" t="s">
        <v>4279</v>
      </c>
      <c r="I3737" s="158" t="s">
        <v>4276</v>
      </c>
      <c r="J3737" s="41">
        <f>+Tabla1[[#This Row],[FECHA ENTRADA]]</f>
        <v>45928</v>
      </c>
      <c r="K3737" s="22">
        <v>45940</v>
      </c>
      <c r="L3737" s="42">
        <f>_xlfn.DAYS(Tabla1[[#This Row],[FECHA FIN ]],Tabla1[[#This Row],[FECHA INICIO]])</f>
        <v>12</v>
      </c>
      <c r="M3737" s="12"/>
      <c r="N3737" s="28">
        <v>0</v>
      </c>
      <c r="O3737" s="28">
        <f>(Tabla1[[#This Row],[COSTO FIJO ]]/30)*Tabla1[[#This Row],[TOTAL DIAS PROYECTO]]+(Tabla1[[#This Row],[COSTO TEMPORAL]])</f>
        <v>0</v>
      </c>
      <c r="P3737" s="12"/>
      <c r="Q3737" s="12">
        <f>+(Tabla1[[#This Row],[COSTO COCHE]]/30)*Tabla1[[#This Row],[TOTAL DIAS PROYECTO]]</f>
        <v>0</v>
      </c>
      <c r="R3737" s="12">
        <f>+Tabla1[[#This Row],[COSTO TOTAL ALOJAMIENTO]]+Tabla1[[#This Row],[COSTO TOTAL COCHE]]</f>
        <v>0</v>
      </c>
      <c r="S3737" s="2"/>
      <c r="T3737" s="2" t="s">
        <v>8</v>
      </c>
      <c r="U3737" s="14">
        <v>45928</v>
      </c>
      <c r="V3737" s="43"/>
      <c r="W3737" s="71"/>
      <c r="X3737" s="2"/>
      <c r="Y3737" s="11" t="s">
        <v>5514</v>
      </c>
      <c r="Z3737" s="2" t="s">
        <v>36</v>
      </c>
      <c r="AA3737" s="13" t="s">
        <v>10447</v>
      </c>
      <c r="AB3737" s="13" t="s">
        <v>10448</v>
      </c>
    </row>
    <row r="3738" spans="1:28" ht="15" customHeight="1">
      <c r="A3738" s="2" t="s">
        <v>8895</v>
      </c>
      <c r="B3738" s="2" t="s">
        <v>368</v>
      </c>
      <c r="C3738" s="97" t="s">
        <v>1189</v>
      </c>
      <c r="D3738" s="2" t="s">
        <v>99</v>
      </c>
      <c r="E3738" s="2" t="s">
        <v>31</v>
      </c>
      <c r="F3738" s="11" t="s">
        <v>344</v>
      </c>
      <c r="G3738" s="11" t="s">
        <v>345</v>
      </c>
      <c r="H3738" s="157" t="s">
        <v>5493</v>
      </c>
      <c r="I3738" s="203" t="s">
        <v>4005</v>
      </c>
      <c r="J3738" s="22">
        <f>+Tabla1[[#This Row],[FECHA ENTRADA]]</f>
        <v>45804</v>
      </c>
      <c r="K3738" s="22">
        <v>45940</v>
      </c>
      <c r="L3738" s="23">
        <f>_xlfn.DAYS(Tabla1[[#This Row],[FECHA FIN ]],Tabla1[[#This Row],[FECHA INICIO]])</f>
        <v>136</v>
      </c>
      <c r="M3738" s="12"/>
      <c r="N3738" s="28">
        <f>1677.13/5</f>
        <v>335.42600000000004</v>
      </c>
      <c r="O3738" s="24">
        <f>(Tabla1[[#This Row],[COSTO FIJO ]]/30)*Tabla1[[#This Row],[TOTAL DIAS PROYECTO]]+(Tabla1[[#This Row],[COSTO TEMPORAL]])</f>
        <v>1520.597866666667</v>
      </c>
      <c r="P3738" s="12"/>
      <c r="Q3738" s="12">
        <f>+(Tabla1[[#This Row],[COSTO COCHE]]/30)*Tabla1[[#This Row],[TOTAL DIAS PROYECTO]]</f>
        <v>0</v>
      </c>
      <c r="R3738" s="12">
        <f>+Tabla1[[#This Row],[COSTO TOTAL ALOJAMIENTO]]+Tabla1[[#This Row],[COSTO TOTAL COCHE]]</f>
        <v>1520.597866666667</v>
      </c>
      <c r="S3738" s="2"/>
      <c r="T3738" s="2" t="s">
        <v>35</v>
      </c>
      <c r="U3738" s="14">
        <v>45804</v>
      </c>
      <c r="V3738" s="79"/>
      <c r="W3738" s="26"/>
      <c r="X3738" s="2"/>
      <c r="Y3738" s="253" t="s">
        <v>5494</v>
      </c>
      <c r="Z3738" s="2" t="s">
        <v>36</v>
      </c>
      <c r="AA3738" s="13" t="s">
        <v>10323</v>
      </c>
      <c r="AB3738" s="13" t="s">
        <v>10324</v>
      </c>
    </row>
    <row r="3739" spans="1:28" ht="15" customHeight="1">
      <c r="A3739" s="2" t="s">
        <v>9562</v>
      </c>
      <c r="B3739" s="2" t="s">
        <v>28</v>
      </c>
      <c r="C3739" s="97" t="s">
        <v>3652</v>
      </c>
      <c r="D3739" s="2" t="s">
        <v>99</v>
      </c>
      <c r="E3739" s="2" t="s">
        <v>790</v>
      </c>
      <c r="F3739" s="11" t="s">
        <v>4649</v>
      </c>
      <c r="G3739" t="s">
        <v>4317</v>
      </c>
      <c r="H3739" s="157" t="s">
        <v>5515</v>
      </c>
      <c r="I3739" s="158" t="s">
        <v>292</v>
      </c>
      <c r="J3739" s="41">
        <f>+Tabla1[[#This Row],[FECHA ENTRADA]]</f>
        <v>45900</v>
      </c>
      <c r="K3739" s="22">
        <v>45929</v>
      </c>
      <c r="L3739" s="42">
        <f>_xlfn.DAYS(Tabla1[[#This Row],[FECHA FIN ]],Tabla1[[#This Row],[FECHA INICIO]])</f>
        <v>29</v>
      </c>
      <c r="M3739" s="12"/>
      <c r="N3739" s="20">
        <v>250</v>
      </c>
      <c r="O3739" s="28">
        <f>(Tabla1[[#This Row],[COSTO FIJO ]]/30)*Tabla1[[#This Row],[TOTAL DIAS PROYECTO]]+(Tabla1[[#This Row],[COSTO TEMPORAL]])</f>
        <v>241.66666666666669</v>
      </c>
      <c r="P3739" s="12"/>
      <c r="Q3739" s="12">
        <f>+(Tabla1[[#This Row],[COSTO COCHE]]/30)*Tabla1[[#This Row],[TOTAL DIAS PROYECTO]]</f>
        <v>0</v>
      </c>
      <c r="R3739" s="12">
        <f>+Tabla1[[#This Row],[COSTO TOTAL ALOJAMIENTO]]+Tabla1[[#This Row],[COSTO TOTAL COCHE]]</f>
        <v>241.66666666666669</v>
      </c>
      <c r="S3739" s="2"/>
      <c r="T3739" s="14" t="s">
        <v>35</v>
      </c>
      <c r="U3739" s="14">
        <v>45900</v>
      </c>
      <c r="V3739" s="43"/>
      <c r="W3739" s="12"/>
      <c r="X3739" s="2">
        <v>1</v>
      </c>
      <c r="Y3739" s="202" t="s">
        <v>5516</v>
      </c>
      <c r="Z3739" s="2" t="s">
        <v>36</v>
      </c>
      <c r="AA3739" s="13">
        <v>-574377</v>
      </c>
      <c r="AB3739" s="13">
        <v>4150368</v>
      </c>
    </row>
    <row r="3740" spans="1:28" ht="15" customHeight="1">
      <c r="A3740" s="2" t="s">
        <v>9931</v>
      </c>
      <c r="B3740" s="2" t="s">
        <v>978</v>
      </c>
      <c r="C3740" s="104" t="s">
        <v>5517</v>
      </c>
      <c r="D3740" s="2" t="s">
        <v>30</v>
      </c>
      <c r="E3740" s="2" t="s">
        <v>422</v>
      </c>
      <c r="F3740" s="11" t="s">
        <v>5518</v>
      </c>
      <c r="G3740" s="46">
        <v>613275932</v>
      </c>
      <c r="H3740" s="157" t="s">
        <v>5519</v>
      </c>
      <c r="I3740" s="158" t="s">
        <v>5430</v>
      </c>
      <c r="J3740" s="41">
        <f>+Tabla1[[#This Row],[FECHA ENTRADA]]</f>
        <v>45848</v>
      </c>
      <c r="K3740" s="41">
        <v>45849</v>
      </c>
      <c r="L3740" s="42">
        <f>_xlfn.DAYS(Tabla1[[#This Row],[FECHA FIN ]],Tabla1[[#This Row],[FECHA INICIO]])</f>
        <v>1</v>
      </c>
      <c r="M3740" s="12"/>
      <c r="N3740" s="12">
        <v>225</v>
      </c>
      <c r="O3740" s="28">
        <f>(Tabla1[[#This Row],[COSTO FIJO ]]/30)*Tabla1[[#This Row],[TOTAL DIAS PROYECTO]]+(Tabla1[[#This Row],[COSTO TEMPORAL]])</f>
        <v>7.5</v>
      </c>
      <c r="P3740" s="12"/>
      <c r="Q3740" s="12">
        <f>+(Tabla1[[#This Row],[COSTO COCHE]]/30)*Tabla1[[#This Row],[TOTAL DIAS PROYECTO]]</f>
        <v>0</v>
      </c>
      <c r="R3740" s="12">
        <f>+Tabla1[[#This Row],[COSTO TOTAL ALOJAMIENTO]]+Tabla1[[#This Row],[COSTO TOTAL COCHE]]</f>
        <v>7.5</v>
      </c>
      <c r="S3740" s="2"/>
      <c r="T3740" s="14" t="s">
        <v>44</v>
      </c>
      <c r="U3740" s="14">
        <v>45848</v>
      </c>
      <c r="V3740" s="43">
        <v>45854</v>
      </c>
      <c r="W3740" s="12"/>
      <c r="X3740" s="2"/>
      <c r="Y3740" s="11" t="s">
        <v>407</v>
      </c>
      <c r="Z3740" s="2" t="s">
        <v>36</v>
      </c>
      <c r="AA3740" s="13">
        <v>-326.69799999999998</v>
      </c>
      <c r="AB3740" s="13" t="s">
        <v>10373</v>
      </c>
    </row>
    <row r="3741" spans="1:28" ht="15" customHeight="1">
      <c r="A3741" s="2" t="s">
        <v>9711</v>
      </c>
      <c r="B3741" s="2" t="s">
        <v>978</v>
      </c>
      <c r="C3741" s="97" t="s">
        <v>4355</v>
      </c>
      <c r="D3741" s="2" t="s">
        <v>30</v>
      </c>
      <c r="E3741" s="2" t="s">
        <v>422</v>
      </c>
      <c r="F3741" s="11" t="s">
        <v>5505</v>
      </c>
      <c r="G3741" s="11" t="s">
        <v>5428</v>
      </c>
      <c r="H3741" s="2" t="s">
        <v>5519</v>
      </c>
      <c r="I3741" s="12" t="s">
        <v>5430</v>
      </c>
      <c r="J3741" s="41">
        <f>+Tabla1[[#This Row],[FECHA ENTRADA]]</f>
        <v>45848</v>
      </c>
      <c r="K3741" s="41">
        <v>45920</v>
      </c>
      <c r="L3741" s="42">
        <f>_xlfn.DAYS(Tabla1[[#This Row],[FECHA FIN ]],Tabla1[[#This Row],[FECHA INICIO]])</f>
        <v>72</v>
      </c>
      <c r="M3741" s="12"/>
      <c r="N3741" s="28">
        <v>450</v>
      </c>
      <c r="O3741" s="28">
        <f>(Tabla1[[#This Row],[COSTO FIJO ]]/30)*Tabla1[[#This Row],[TOTAL DIAS PROYECTO]]+(Tabla1[[#This Row],[COSTO TEMPORAL]])</f>
        <v>1080</v>
      </c>
      <c r="P3741" s="12"/>
      <c r="Q3741" s="12">
        <f>+(Tabla1[[#This Row],[COSTO COCHE]]/30)*Tabla1[[#This Row],[TOTAL DIAS PROYECTO]]</f>
        <v>0</v>
      </c>
      <c r="R3741" s="12">
        <f>+Tabla1[[#This Row],[COSTO TOTAL ALOJAMIENTO]]+Tabla1[[#This Row],[COSTO TOTAL COCHE]]</f>
        <v>1080</v>
      </c>
      <c r="S3741" s="2"/>
      <c r="T3741" s="14" t="s">
        <v>35</v>
      </c>
      <c r="U3741" s="14">
        <v>45848</v>
      </c>
      <c r="V3741" s="43"/>
      <c r="W3741" s="12">
        <v>450</v>
      </c>
      <c r="X3741" s="2">
        <v>15</v>
      </c>
      <c r="Y3741" s="11" t="s">
        <v>5520</v>
      </c>
      <c r="Z3741" s="2" t="s">
        <v>36</v>
      </c>
      <c r="AA3741" s="13">
        <v>-326.69799999999998</v>
      </c>
      <c r="AB3741" s="13" t="s">
        <v>10373</v>
      </c>
    </row>
    <row r="3742" spans="1:28" ht="15" customHeight="1">
      <c r="A3742" s="2" t="s">
        <v>9777</v>
      </c>
      <c r="B3742" s="2" t="s">
        <v>711</v>
      </c>
      <c r="C3742" s="104" t="s">
        <v>4687</v>
      </c>
      <c r="D3742" s="2" t="s">
        <v>30</v>
      </c>
      <c r="E3742" s="2" t="s">
        <v>790</v>
      </c>
      <c r="F3742" s="11" t="s">
        <v>4318</v>
      </c>
      <c r="G3742" t="s">
        <v>4319</v>
      </c>
      <c r="H3742" s="157" t="s">
        <v>5521</v>
      </c>
      <c r="I3742" s="158" t="s">
        <v>794</v>
      </c>
      <c r="J3742" s="22">
        <f>+Tabla1[[#This Row],[FECHA ENTRADA]]</f>
        <v>45936</v>
      </c>
      <c r="K3742" s="22">
        <v>45941</v>
      </c>
      <c r="L3742" s="23">
        <f>_xlfn.DAYS(Tabla1[[#This Row],[FECHA FIN ]],Tabla1[[#This Row],[FECHA INICIO]])</f>
        <v>5</v>
      </c>
      <c r="M3742" s="12"/>
      <c r="N3742" s="24">
        <v>350</v>
      </c>
      <c r="O3742" s="24">
        <f>(Tabla1[[#This Row],[COSTO FIJO ]]/30)*Tabla1[[#This Row],[TOTAL DIAS PROYECTO]]+(Tabla1[[#This Row],[COSTO TEMPORAL]])</f>
        <v>58.333333333333329</v>
      </c>
      <c r="P3742" s="12"/>
      <c r="Q3742" s="12">
        <f>+(Tabla1[[#This Row],[COSTO COCHE]]/30)*Tabla1[[#This Row],[TOTAL DIAS PROYECTO]]</f>
        <v>0</v>
      </c>
      <c r="R3742" s="12">
        <f>+Tabla1[[#This Row],[COSTO TOTAL ALOJAMIENTO]]+Tabla1[[#This Row],[COSTO TOTAL COCHE]]</f>
        <v>58.333333333333329</v>
      </c>
      <c r="S3742" s="2"/>
      <c r="T3742" s="14" t="s">
        <v>35</v>
      </c>
      <c r="U3742" s="14">
        <v>45936</v>
      </c>
      <c r="V3742" s="25"/>
      <c r="W3742" s="71"/>
      <c r="X3742" s="2">
        <v>5</v>
      </c>
      <c r="Y3742" s="11"/>
      <c r="Z3742" s="2" t="s">
        <v>36</v>
      </c>
      <c r="AA3742" s="13">
        <v>-574377</v>
      </c>
      <c r="AB3742" s="13">
        <v>4150368</v>
      </c>
    </row>
    <row r="3743" spans="1:28" ht="15" customHeight="1">
      <c r="A3743" s="2" t="s">
        <v>9636</v>
      </c>
      <c r="B3743" s="2" t="s">
        <v>28</v>
      </c>
      <c r="C3743" s="104" t="s">
        <v>4018</v>
      </c>
      <c r="D3743" s="2" t="s">
        <v>30</v>
      </c>
      <c r="E3743" s="2" t="s">
        <v>415</v>
      </c>
      <c r="F3743" s="11" t="s">
        <v>5522</v>
      </c>
      <c r="G3743" s="46" t="s">
        <v>5523</v>
      </c>
      <c r="H3743" s="157" t="s">
        <v>5524</v>
      </c>
      <c r="I3743" s="158" t="s">
        <v>34</v>
      </c>
      <c r="J3743" s="41">
        <f>+Tabla1[[#This Row],[FECHA ENTRADA]]</f>
        <v>45929</v>
      </c>
      <c r="K3743" s="8">
        <v>45941</v>
      </c>
      <c r="L3743" s="42">
        <f>_xlfn.DAYS(Tabla1[[#This Row],[FECHA FIN ]],Tabla1[[#This Row],[FECHA INICIO]])</f>
        <v>12</v>
      </c>
      <c r="M3743" s="12">
        <f>369.74/2</f>
        <v>184.87</v>
      </c>
      <c r="N3743" s="28"/>
      <c r="O3743" s="28">
        <f>(Tabla1[[#This Row],[COSTO FIJO ]]/30)*Tabla1[[#This Row],[TOTAL DIAS PROYECTO]]+(Tabla1[[#This Row],[COSTO TEMPORAL]])</f>
        <v>184.87</v>
      </c>
      <c r="P3743" s="12"/>
      <c r="Q3743" s="12">
        <f>+(Tabla1[[#This Row],[COSTO COCHE]]/30)*Tabla1[[#This Row],[TOTAL DIAS PROYECTO]]</f>
        <v>0</v>
      </c>
      <c r="R3743" s="12">
        <f>+Tabla1[[#This Row],[COSTO TOTAL ALOJAMIENTO]]+Tabla1[[#This Row],[COSTO TOTAL COCHE]]</f>
        <v>184.87</v>
      </c>
      <c r="S3743" s="2" t="s">
        <v>84</v>
      </c>
      <c r="T3743" s="14" t="s">
        <v>44</v>
      </c>
      <c r="U3743" s="14">
        <v>45929</v>
      </c>
      <c r="V3743" s="43">
        <v>45941</v>
      </c>
      <c r="W3743" s="71"/>
      <c r="X3743" s="2"/>
      <c r="Y3743" s="11" t="s">
        <v>5525</v>
      </c>
      <c r="Z3743" s="2" t="s">
        <v>36</v>
      </c>
      <c r="AA3743" s="13">
        <v>-0.37739</v>
      </c>
      <c r="AB3743" s="13" t="s">
        <v>10372</v>
      </c>
    </row>
    <row r="3744" spans="1:28" ht="15" customHeight="1">
      <c r="A3744" s="2" t="s">
        <v>9907</v>
      </c>
      <c r="B3744" s="2" t="s">
        <v>28</v>
      </c>
      <c r="C3744" s="104" t="s">
        <v>5335</v>
      </c>
      <c r="D3744" s="2" t="s">
        <v>30</v>
      </c>
      <c r="E3744" s="2" t="s">
        <v>415</v>
      </c>
      <c r="F3744" s="11" t="s">
        <v>5522</v>
      </c>
      <c r="G3744" s="21" t="s">
        <v>5523</v>
      </c>
      <c r="H3744" s="157" t="s">
        <v>5524</v>
      </c>
      <c r="I3744" s="158" t="s">
        <v>34</v>
      </c>
      <c r="J3744" s="41">
        <f>+Tabla1[[#This Row],[FECHA ENTRADA]]</f>
        <v>45929</v>
      </c>
      <c r="K3744" s="8">
        <v>45941</v>
      </c>
      <c r="L3744" s="42">
        <f>_xlfn.DAYS(Tabla1[[#This Row],[FECHA FIN ]],Tabla1[[#This Row],[FECHA INICIO]])</f>
        <v>12</v>
      </c>
      <c r="M3744" s="12">
        <f>369.74/2</f>
        <v>184.87</v>
      </c>
      <c r="N3744" s="28"/>
      <c r="O3744" s="28">
        <f>(Tabla1[[#This Row],[COSTO FIJO ]]/30)*Tabla1[[#This Row],[TOTAL DIAS PROYECTO]]+(Tabla1[[#This Row],[COSTO TEMPORAL]])</f>
        <v>184.87</v>
      </c>
      <c r="P3744" s="12"/>
      <c r="Q3744" s="12">
        <f>+(Tabla1[[#This Row],[COSTO COCHE]]/30)*Tabla1[[#This Row],[TOTAL DIAS PROYECTO]]</f>
        <v>0</v>
      </c>
      <c r="R3744" s="12">
        <f>+Tabla1[[#This Row],[COSTO TOTAL ALOJAMIENTO]]+Tabla1[[#This Row],[COSTO TOTAL COCHE]]</f>
        <v>184.87</v>
      </c>
      <c r="S3744" s="2" t="s">
        <v>84</v>
      </c>
      <c r="T3744" s="14" t="s">
        <v>44</v>
      </c>
      <c r="U3744" s="14">
        <v>45929</v>
      </c>
      <c r="V3744" s="43">
        <v>45941</v>
      </c>
      <c r="W3744" s="71"/>
      <c r="X3744" s="2"/>
      <c r="Y3744" s="11" t="s">
        <v>5525</v>
      </c>
      <c r="Z3744" s="2" t="s">
        <v>36</v>
      </c>
      <c r="AA3744" s="13">
        <v>-0.37739</v>
      </c>
      <c r="AB3744" s="13" t="s">
        <v>10372</v>
      </c>
    </row>
    <row r="3745" spans="1:28" ht="15" customHeight="1">
      <c r="A3745" s="2" t="s">
        <v>8956</v>
      </c>
      <c r="B3745" s="2" t="s">
        <v>711</v>
      </c>
      <c r="C3745" s="104" t="s">
        <v>1467</v>
      </c>
      <c r="D3745" s="2" t="s">
        <v>30</v>
      </c>
      <c r="E3745" s="2" t="s">
        <v>626</v>
      </c>
      <c r="F3745" s="11" t="s">
        <v>4726</v>
      </c>
      <c r="G3745" s="21" t="s">
        <v>4727</v>
      </c>
      <c r="H3745" s="157" t="s">
        <v>4916</v>
      </c>
      <c r="I3745" s="157" t="s">
        <v>570</v>
      </c>
      <c r="J3745" s="22">
        <f>+Tabla1[[#This Row],[FECHA ENTRADA]]</f>
        <v>45876</v>
      </c>
      <c r="K3745" s="22">
        <v>45941</v>
      </c>
      <c r="L3745" s="23">
        <f>_xlfn.DAYS(Tabla1[[#This Row],[FECHA FIN ]],Tabla1[[#This Row],[FECHA INICIO]])</f>
        <v>65</v>
      </c>
      <c r="M3745" s="12"/>
      <c r="N3745" s="24"/>
      <c r="O3745" s="24">
        <f>(Tabla1[[#This Row],[COSTO FIJO ]]/30)*Tabla1[[#This Row],[TOTAL DIAS PROYECTO]]+(Tabla1[[#This Row],[COSTO TEMPORAL]])</f>
        <v>0</v>
      </c>
      <c r="P3745" s="12"/>
      <c r="Q3745" s="12">
        <f>+(Tabla1[[#This Row],[COSTO COCHE]]/30)*Tabla1[[#This Row],[TOTAL DIAS PROYECTO]]</f>
        <v>0</v>
      </c>
      <c r="R3745" s="12">
        <f>+Tabla1[[#This Row],[COSTO TOTAL ALOJAMIENTO]]+Tabla1[[#This Row],[COSTO TOTAL COCHE]]</f>
        <v>0</v>
      </c>
      <c r="S3745" s="2"/>
      <c r="T3745" s="14" t="s">
        <v>44</v>
      </c>
      <c r="U3745" s="14">
        <v>45876</v>
      </c>
      <c r="V3745" s="25">
        <v>45941</v>
      </c>
      <c r="W3745" s="12"/>
      <c r="X3745" s="2"/>
      <c r="Y3745" s="11" t="s">
        <v>5526</v>
      </c>
      <c r="Z3745" s="2" t="s">
        <v>36</v>
      </c>
      <c r="AA3745" s="13" t="s">
        <v>10385</v>
      </c>
      <c r="AB3745" s="13" t="s">
        <v>10386</v>
      </c>
    </row>
    <row r="3746" spans="1:28" ht="15" customHeight="1">
      <c r="A3746" s="2" t="s">
        <v>9932</v>
      </c>
      <c r="B3746" s="2" t="s">
        <v>711</v>
      </c>
      <c r="C3746" s="104" t="s">
        <v>5527</v>
      </c>
      <c r="D3746" s="2" t="s">
        <v>30</v>
      </c>
      <c r="E3746" s="2" t="s">
        <v>31</v>
      </c>
      <c r="F3746" s="11" t="s">
        <v>5528</v>
      </c>
      <c r="G3746" s="21" t="s">
        <v>5529</v>
      </c>
      <c r="H3746" s="157" t="s">
        <v>5530</v>
      </c>
      <c r="I3746" s="158" t="s">
        <v>5531</v>
      </c>
      <c r="J3746" s="22">
        <f>+Tabla1[[#This Row],[FECHA ENTRADA]]</f>
        <v>45938</v>
      </c>
      <c r="K3746" s="41">
        <v>45941</v>
      </c>
      <c r="L3746" s="23">
        <f>_xlfn.DAYS(Tabla1[[#This Row],[FECHA FIN ]],Tabla1[[#This Row],[FECHA INICIO]])</f>
        <v>3</v>
      </c>
      <c r="M3746" s="12">
        <v>112.98</v>
      </c>
      <c r="N3746" s="20"/>
      <c r="O3746" s="24">
        <f>(Tabla1[[#This Row],[COSTO FIJO ]]/30)*Tabla1[[#This Row],[TOTAL DIAS PROYECTO]]+(Tabla1[[#This Row],[COSTO TEMPORAL]])</f>
        <v>112.98</v>
      </c>
      <c r="P3746" s="12"/>
      <c r="Q3746" s="12">
        <f>+(Tabla1[[#This Row],[COSTO COCHE]]/30)*Tabla1[[#This Row],[TOTAL DIAS PROYECTO]]</f>
        <v>0</v>
      </c>
      <c r="R3746" s="12">
        <f>+Tabla1[[#This Row],[COSTO TOTAL ALOJAMIENTO]]+Tabla1[[#This Row],[COSTO TOTAL COCHE]]</f>
        <v>112.98</v>
      </c>
      <c r="S3746" s="2" t="s">
        <v>84</v>
      </c>
      <c r="T3746" s="14" t="s">
        <v>44</v>
      </c>
      <c r="U3746" s="14">
        <v>45938</v>
      </c>
      <c r="V3746" s="79">
        <v>45941</v>
      </c>
      <c r="W3746" s="71"/>
      <c r="X3746" s="2"/>
      <c r="Y3746" s="11" t="s">
        <v>5532</v>
      </c>
      <c r="Z3746" s="2" t="s">
        <v>36</v>
      </c>
      <c r="AA3746" s="13" t="s">
        <v>10323</v>
      </c>
      <c r="AB3746" s="13" t="s">
        <v>10324</v>
      </c>
    </row>
    <row r="3747" spans="1:28" ht="15" customHeight="1">
      <c r="A3747" s="117" t="s">
        <v>9933</v>
      </c>
      <c r="B3747" s="117" t="s">
        <v>606</v>
      </c>
      <c r="C3747" s="224" t="s">
        <v>5533</v>
      </c>
      <c r="D3747" s="117" t="s">
        <v>30</v>
      </c>
      <c r="E3747" s="117" t="s">
        <v>855</v>
      </c>
      <c r="F3747" s="11" t="s">
        <v>3272</v>
      </c>
      <c r="G3747" s="68" t="s">
        <v>1474</v>
      </c>
      <c r="H3747" s="198" t="s">
        <v>3273</v>
      </c>
      <c r="I3747" s="199" t="s">
        <v>3274</v>
      </c>
      <c r="J3747" s="120">
        <f>+Tabla1[[#This Row],[FECHA ENTRADA]]</f>
        <v>46049</v>
      </c>
      <c r="K3747" s="121">
        <v>46187</v>
      </c>
      <c r="L3747" s="122">
        <f>_xlfn.DAYS(Tabla1[[#This Row],[FECHA FIN ]],Tabla1[[#This Row],[FECHA INICIO]])</f>
        <v>138</v>
      </c>
      <c r="M3747" s="119">
        <v>605</v>
      </c>
      <c r="N3747" s="123"/>
      <c r="O3747" s="123">
        <f>(Tabla1[[#This Row],[COSTO FIJO ]]/30)*Tabla1[[#This Row],[TOTAL DIAS PROYECTO]]+(Tabla1[[#This Row],[COSTO TEMPORAL]])</f>
        <v>605</v>
      </c>
      <c r="P3747" s="119"/>
      <c r="Q3747" s="119">
        <f>+(Tabla1[[#This Row],[COSTO COCHE]]/30)*Tabla1[[#This Row],[TOTAL DIAS PROYECTO]]</f>
        <v>0</v>
      </c>
      <c r="R3747" s="119">
        <v>605</v>
      </c>
      <c r="S3747" s="117"/>
      <c r="T3747" s="124" t="s">
        <v>44</v>
      </c>
      <c r="U3747" s="124">
        <v>46049</v>
      </c>
      <c r="V3747" s="132">
        <v>46188</v>
      </c>
      <c r="W3747" s="119"/>
      <c r="X3747" s="117"/>
      <c r="Y3747" s="118" t="s">
        <v>3275</v>
      </c>
      <c r="Z3747" s="117" t="s">
        <v>36</v>
      </c>
      <c r="AA3747" s="127" t="s">
        <v>10401</v>
      </c>
      <c r="AB3747" s="127" t="s">
        <v>10402</v>
      </c>
    </row>
    <row r="3748" spans="1:28" ht="15" customHeight="1">
      <c r="A3748" s="2" t="s">
        <v>9934</v>
      </c>
      <c r="B3748" s="2" t="s">
        <v>606</v>
      </c>
      <c r="C3748" s="97" t="s">
        <v>5534</v>
      </c>
      <c r="D3748" s="2" t="s">
        <v>30</v>
      </c>
      <c r="E3748" s="2" t="s">
        <v>855</v>
      </c>
      <c r="F3748" s="11" t="s">
        <v>3272</v>
      </c>
      <c r="G3748" s="21" t="s">
        <v>1474</v>
      </c>
      <c r="H3748" s="157" t="s">
        <v>5535</v>
      </c>
      <c r="I3748" s="158" t="s">
        <v>3274</v>
      </c>
      <c r="J3748" s="41">
        <f>+Tabla1[[#This Row],[FECHA ENTRADA]]</f>
        <v>46050</v>
      </c>
      <c r="K3748" s="22">
        <v>46051</v>
      </c>
      <c r="L3748" s="42">
        <f>_xlfn.DAYS(Tabla1[[#This Row],[FECHA FIN ]],Tabla1[[#This Row],[FECHA INICIO]])</f>
        <v>1</v>
      </c>
      <c r="M3748" s="12">
        <v>403.33333333333331</v>
      </c>
      <c r="N3748" s="28"/>
      <c r="O3748" s="28">
        <f>(Tabla1[[#This Row],[COSTO FIJO ]]/30)*Tabla1[[#This Row],[TOTAL DIAS PROYECTO]]+(Tabla1[[#This Row],[COSTO TEMPORAL]])</f>
        <v>403.33333333333331</v>
      </c>
      <c r="P3748" s="12"/>
      <c r="Q3748" s="12">
        <f>+(Tabla1[[#This Row],[COSTO COCHE]]/30)*Tabla1[[#This Row],[TOTAL DIAS PROYECTO]]</f>
        <v>0</v>
      </c>
      <c r="R3748" s="12">
        <f>+Tabla1[[#This Row],[COSTO TOTAL ALOJAMIENTO]]+Tabla1[[#This Row],[COSTO TOTAL COCHE]]</f>
        <v>403.33333333333331</v>
      </c>
      <c r="S3748" s="2"/>
      <c r="T3748" s="14" t="s">
        <v>44</v>
      </c>
      <c r="U3748" s="14">
        <v>46050</v>
      </c>
      <c r="V3748" s="79">
        <v>46082</v>
      </c>
      <c r="W3748" s="12"/>
      <c r="X3748" s="2"/>
      <c r="Y3748" s="11" t="s">
        <v>5536</v>
      </c>
      <c r="Z3748" s="2" t="s">
        <v>36</v>
      </c>
      <c r="AA3748" s="13" t="s">
        <v>10401</v>
      </c>
      <c r="AB3748" s="13" t="s">
        <v>10402</v>
      </c>
    </row>
    <row r="3749" spans="1:28" ht="15" customHeight="1">
      <c r="A3749" s="2" t="s">
        <v>9092</v>
      </c>
      <c r="B3749" s="2" t="s">
        <v>606</v>
      </c>
      <c r="C3749" s="104" t="s">
        <v>1977</v>
      </c>
      <c r="D3749" s="2" t="s">
        <v>99</v>
      </c>
      <c r="E3749" s="2" t="s">
        <v>3533</v>
      </c>
      <c r="F3749" s="11" t="s">
        <v>5537</v>
      </c>
      <c r="G3749" s="46" t="s">
        <v>5538</v>
      </c>
      <c r="H3749" s="157" t="s">
        <v>5539</v>
      </c>
      <c r="I3749" s="158" t="s">
        <v>2638</v>
      </c>
      <c r="J3749" s="41">
        <f>+Tabla1[[#This Row],[FECHA ENTRADA]]</f>
        <v>46146</v>
      </c>
      <c r="K3749" s="22">
        <v>46149</v>
      </c>
      <c r="L3749" s="42">
        <f>_xlfn.DAYS(Tabla1[[#This Row],[FECHA FIN ]],Tabla1[[#This Row],[FECHA INICIO]])</f>
        <v>3</v>
      </c>
      <c r="M3749" s="12">
        <v>126</v>
      </c>
      <c r="N3749" s="28"/>
      <c r="O3749" s="28">
        <f>(Tabla1[[#This Row],[COSTO FIJO ]]/30)*Tabla1[[#This Row],[TOTAL DIAS PROYECTO]]+(Tabla1[[#This Row],[COSTO TEMPORAL]])</f>
        <v>126</v>
      </c>
      <c r="P3749" s="12"/>
      <c r="Q3749" s="12">
        <f>+(Tabla1[[#This Row],[COSTO COCHE]]/30)*Tabla1[[#This Row],[TOTAL DIAS PROYECTO]]</f>
        <v>0</v>
      </c>
      <c r="R3749" s="12">
        <f>+Tabla1[[#This Row],[COSTO TOTAL ALOJAMIENTO]]+Tabla1[[#This Row],[COSTO TOTAL COCHE]]</f>
        <v>126</v>
      </c>
      <c r="S3749" s="2"/>
      <c r="T3749" s="14" t="s">
        <v>44</v>
      </c>
      <c r="U3749" s="14">
        <v>46146</v>
      </c>
      <c r="V3749" s="43">
        <v>46149</v>
      </c>
      <c r="W3749" s="12"/>
      <c r="X3749" s="2"/>
      <c r="Y3749" s="11"/>
      <c r="Z3749" s="2" t="s">
        <v>36</v>
      </c>
      <c r="AA3749" s="13">
        <v>-164692</v>
      </c>
      <c r="AB3749" s="13">
        <v>4266807</v>
      </c>
    </row>
    <row r="3750" spans="1:28">
      <c r="A3750" s="2" t="s">
        <v>9464</v>
      </c>
      <c r="B3750" s="2" t="s">
        <v>28</v>
      </c>
      <c r="C3750" s="104" t="s">
        <v>3280</v>
      </c>
      <c r="D3750" s="2" t="s">
        <v>749</v>
      </c>
      <c r="E3750" s="2" t="s">
        <v>288</v>
      </c>
      <c r="F3750" s="11" t="s">
        <v>3464</v>
      </c>
      <c r="G3750" s="30" t="s">
        <v>1142</v>
      </c>
      <c r="H3750" s="157" t="s">
        <v>5540</v>
      </c>
      <c r="I3750" s="268" t="s">
        <v>753</v>
      </c>
      <c r="J3750" s="41">
        <f>+Tabla1[[#This Row],[FECHA ENTRADA]]</f>
        <v>45852</v>
      </c>
      <c r="K3750" s="41">
        <v>45889</v>
      </c>
      <c r="L3750" s="42">
        <f>_xlfn.DAYS(Tabla1[[#This Row],[FECHA FIN ]],Tabla1[[#This Row],[FECHA INICIO]])</f>
        <v>37</v>
      </c>
      <c r="M3750" s="12"/>
      <c r="N3750" s="12"/>
      <c r="O3750" s="28">
        <f>(Tabla1[[#This Row],[COSTO FIJO ]]/30)*Tabla1[[#This Row],[TOTAL DIAS PROYECTO]]+(Tabla1[[#This Row],[COSTO TEMPORAL]])</f>
        <v>0</v>
      </c>
      <c r="P3750" s="12"/>
      <c r="Q3750" s="12">
        <f>+(Tabla1[[#This Row],[COSTO COCHE]]/30)*Tabla1[[#This Row],[TOTAL DIAS PROYECTO]]</f>
        <v>0</v>
      </c>
      <c r="R3750" s="12">
        <f>+Tabla1[[#This Row],[COSTO TOTAL ALOJAMIENTO]]+Tabla1[[#This Row],[COSTO TOTAL COCHE]]</f>
        <v>0</v>
      </c>
      <c r="S3750" s="2"/>
      <c r="T3750" s="14" t="s">
        <v>35</v>
      </c>
      <c r="U3750" s="14">
        <v>45852</v>
      </c>
      <c r="V3750" s="43"/>
      <c r="W3750" s="12"/>
      <c r="X3750" s="2">
        <v>2</v>
      </c>
      <c r="Y3750" s="11" t="s">
        <v>5541</v>
      </c>
      <c r="Z3750" s="2" t="s">
        <v>36</v>
      </c>
      <c r="AA3750" s="13" t="s">
        <v>10362</v>
      </c>
      <c r="AB3750" s="13" t="s">
        <v>10363</v>
      </c>
    </row>
    <row r="3751" spans="1:28" ht="15" customHeight="1">
      <c r="A3751" s="2" t="s">
        <v>9119</v>
      </c>
      <c r="B3751" s="2" t="s">
        <v>368</v>
      </c>
      <c r="C3751" s="104" t="s">
        <v>2081</v>
      </c>
      <c r="D3751" s="2" t="s">
        <v>99</v>
      </c>
      <c r="E3751" s="2" t="s">
        <v>1987</v>
      </c>
      <c r="F3751" s="11"/>
      <c r="G3751" s="49"/>
      <c r="H3751" s="157" t="s">
        <v>4382</v>
      </c>
      <c r="I3751" s="12" t="s">
        <v>3769</v>
      </c>
      <c r="J3751" s="41">
        <f>+Tabla1[[#This Row],[FECHA ENTRADA]]</f>
        <v>45852</v>
      </c>
      <c r="K3751" s="22">
        <v>45942</v>
      </c>
      <c r="L3751" s="42">
        <f>_xlfn.DAYS(Tabla1[[#This Row],[FECHA FIN ]],Tabla1[[#This Row],[FECHA INICIO]])</f>
        <v>90</v>
      </c>
      <c r="M3751" s="12"/>
      <c r="N3751" s="28">
        <v>300</v>
      </c>
      <c r="O3751" s="28">
        <f>(Tabla1[[#This Row],[COSTO FIJO ]]/30)*Tabla1[[#This Row],[TOTAL DIAS PROYECTO]]+(Tabla1[[#This Row],[COSTO TEMPORAL]])</f>
        <v>900</v>
      </c>
      <c r="P3751" s="12"/>
      <c r="Q3751" s="12">
        <f>+(Tabla1[[#This Row],[COSTO COCHE]]/30)*Tabla1[[#This Row],[TOTAL DIAS PROYECTO]]</f>
        <v>0</v>
      </c>
      <c r="R3751" s="12">
        <f>+Tabla1[[#This Row],[COSTO TOTAL ALOJAMIENTO]]+Tabla1[[#This Row],[COSTO TOTAL COCHE]]</f>
        <v>900</v>
      </c>
      <c r="S3751" s="2"/>
      <c r="T3751" s="14" t="s">
        <v>58</v>
      </c>
      <c r="U3751" s="14">
        <v>45852</v>
      </c>
      <c r="V3751" s="43"/>
      <c r="W3751" s="2"/>
      <c r="X3751" s="2"/>
      <c r="Y3751" s="11" t="s">
        <v>5542</v>
      </c>
      <c r="Z3751" s="2" t="s">
        <v>36</v>
      </c>
      <c r="AA3751" s="13" t="s">
        <v>10435</v>
      </c>
      <c r="AB3751" s="13">
        <v>42.136150000000001</v>
      </c>
    </row>
    <row r="3752" spans="1:28" ht="15" customHeight="1">
      <c r="A3752" s="2" t="s">
        <v>9147</v>
      </c>
      <c r="B3752" s="10" t="s">
        <v>711</v>
      </c>
      <c r="C3752" s="97" t="s">
        <v>2212</v>
      </c>
      <c r="D3752" s="2" t="s">
        <v>30</v>
      </c>
      <c r="E3752" s="2" t="s">
        <v>415</v>
      </c>
      <c r="F3752" s="11" t="s">
        <v>487</v>
      </c>
      <c r="G3752" s="49" t="s">
        <v>488</v>
      </c>
      <c r="H3752" s="157" t="s">
        <v>5508</v>
      </c>
      <c r="I3752" s="158" t="s">
        <v>1392</v>
      </c>
      <c r="J3752" s="41">
        <f>+Tabla1[[#This Row],[FECHA ENTRADA]]</f>
        <v>45900</v>
      </c>
      <c r="K3752" s="22">
        <v>45942</v>
      </c>
      <c r="L3752" s="42">
        <f>_xlfn.DAYS(Tabla1[[#This Row],[FECHA FIN ]],Tabla1[[#This Row],[FECHA INICIO]])</f>
        <v>42</v>
      </c>
      <c r="M3752" s="12"/>
      <c r="N3752" s="28">
        <v>460</v>
      </c>
      <c r="O3752" s="28">
        <f>(Tabla1[[#This Row],[COSTO FIJO ]]/30)*Tabla1[[#This Row],[TOTAL DIAS PROYECTO]]+(Tabla1[[#This Row],[COSTO TEMPORAL]])</f>
        <v>644</v>
      </c>
      <c r="P3752" s="12"/>
      <c r="Q3752" s="12">
        <f>+(Tabla1[[#This Row],[COSTO COCHE]]/30)*Tabla1[[#This Row],[TOTAL DIAS PROYECTO]]</f>
        <v>0</v>
      </c>
      <c r="R3752" s="12">
        <f>+Tabla1[[#This Row],[COSTO TOTAL ALOJAMIENTO]]+Tabla1[[#This Row],[COSTO TOTAL COCHE]]</f>
        <v>644</v>
      </c>
      <c r="S3752" s="2"/>
      <c r="T3752" s="14" t="s">
        <v>35</v>
      </c>
      <c r="U3752" s="14">
        <v>45900</v>
      </c>
      <c r="V3752" s="43"/>
      <c r="W3752" s="12"/>
      <c r="X3752" s="2">
        <v>5</v>
      </c>
      <c r="Y3752" s="11" t="s">
        <v>5543</v>
      </c>
      <c r="Z3752" s="2" t="s">
        <v>36</v>
      </c>
      <c r="AA3752" s="13">
        <v>-0.37739</v>
      </c>
      <c r="AB3752" s="13" t="s">
        <v>10372</v>
      </c>
    </row>
    <row r="3753" spans="1:28" ht="15" customHeight="1">
      <c r="A3753" s="2" t="s">
        <v>9153</v>
      </c>
      <c r="B3753" s="10" t="s">
        <v>711</v>
      </c>
      <c r="C3753" s="97" t="s">
        <v>2245</v>
      </c>
      <c r="D3753" s="2" t="s">
        <v>30</v>
      </c>
      <c r="E3753" s="2" t="s">
        <v>415</v>
      </c>
      <c r="F3753" s="11" t="s">
        <v>487</v>
      </c>
      <c r="G3753" s="49" t="s">
        <v>488</v>
      </c>
      <c r="H3753" s="157" t="s">
        <v>5508</v>
      </c>
      <c r="I3753" s="158" t="s">
        <v>1392</v>
      </c>
      <c r="J3753" s="41">
        <f>+Tabla1[[#This Row],[FECHA ENTRADA]]</f>
        <v>45900</v>
      </c>
      <c r="K3753" s="22">
        <v>45942</v>
      </c>
      <c r="L3753" s="42">
        <f>_xlfn.DAYS(Tabla1[[#This Row],[FECHA FIN ]],Tabla1[[#This Row],[FECHA INICIO]])</f>
        <v>42</v>
      </c>
      <c r="M3753" s="12"/>
      <c r="N3753" s="28">
        <v>460</v>
      </c>
      <c r="O3753" s="28">
        <f>(Tabla1[[#This Row],[COSTO FIJO ]]/30)*Tabla1[[#This Row],[TOTAL DIAS PROYECTO]]+(Tabla1[[#This Row],[COSTO TEMPORAL]])</f>
        <v>644</v>
      </c>
      <c r="P3753" s="12"/>
      <c r="Q3753" s="12">
        <f>+(Tabla1[[#This Row],[COSTO COCHE]]/30)*Tabla1[[#This Row],[TOTAL DIAS PROYECTO]]</f>
        <v>0</v>
      </c>
      <c r="R3753" s="12">
        <f>+Tabla1[[#This Row],[COSTO TOTAL ALOJAMIENTO]]+Tabla1[[#This Row],[COSTO TOTAL COCHE]]</f>
        <v>644</v>
      </c>
      <c r="S3753" s="2"/>
      <c r="T3753" s="14" t="s">
        <v>35</v>
      </c>
      <c r="U3753" s="14">
        <v>45900</v>
      </c>
      <c r="V3753" s="43"/>
      <c r="W3753" s="12">
        <v>700</v>
      </c>
      <c r="X3753" s="2">
        <v>5</v>
      </c>
      <c r="Y3753" s="11" t="s">
        <v>5543</v>
      </c>
      <c r="Z3753" s="2" t="s">
        <v>36</v>
      </c>
      <c r="AA3753" s="13">
        <v>-0.37739</v>
      </c>
      <c r="AB3753" s="13" t="s">
        <v>10372</v>
      </c>
    </row>
    <row r="3754" spans="1:28" ht="15" customHeight="1">
      <c r="A3754" s="2" t="s">
        <v>8737</v>
      </c>
      <c r="B3754" s="10" t="s">
        <v>711</v>
      </c>
      <c r="C3754" s="97" t="s">
        <v>510</v>
      </c>
      <c r="D3754" s="2" t="s">
        <v>30</v>
      </c>
      <c r="E3754" s="2" t="s">
        <v>415</v>
      </c>
      <c r="F3754" s="11" t="s">
        <v>487</v>
      </c>
      <c r="G3754" s="49" t="s">
        <v>488</v>
      </c>
      <c r="H3754" s="157" t="s">
        <v>5544</v>
      </c>
      <c r="I3754" s="158" t="s">
        <v>1392</v>
      </c>
      <c r="J3754" s="41">
        <f>+Tabla1[[#This Row],[FECHA ENTRADA]]</f>
        <v>45917</v>
      </c>
      <c r="K3754" s="22">
        <v>45942</v>
      </c>
      <c r="L3754" s="42">
        <f>_xlfn.DAYS(Tabla1[[#This Row],[FECHA FIN ]],Tabla1[[#This Row],[FECHA INICIO]])</f>
        <v>25</v>
      </c>
      <c r="M3754" s="12"/>
      <c r="N3754" s="28">
        <v>460</v>
      </c>
      <c r="O3754" s="28">
        <f>(Tabla1[[#This Row],[COSTO FIJO ]]/30)*Tabla1[[#This Row],[TOTAL DIAS PROYECTO]]+(Tabla1[[#This Row],[COSTO TEMPORAL]])</f>
        <v>383.33333333333337</v>
      </c>
      <c r="P3754" s="12"/>
      <c r="Q3754" s="12">
        <f>+(Tabla1[[#This Row],[COSTO COCHE]]/30)*Tabla1[[#This Row],[TOTAL DIAS PROYECTO]]</f>
        <v>0</v>
      </c>
      <c r="R3754" s="12">
        <f>+Tabla1[[#This Row],[COSTO TOTAL ALOJAMIENTO]]+Tabla1[[#This Row],[COSTO TOTAL COCHE]]</f>
        <v>383.33333333333337</v>
      </c>
      <c r="S3754" s="2"/>
      <c r="T3754" s="14" t="s">
        <v>35</v>
      </c>
      <c r="U3754" s="14">
        <v>45917</v>
      </c>
      <c r="V3754" s="43"/>
      <c r="W3754" s="71"/>
      <c r="X3754" s="2">
        <v>5</v>
      </c>
      <c r="Y3754" s="11" t="s">
        <v>5543</v>
      </c>
      <c r="Z3754" s="2" t="s">
        <v>36</v>
      </c>
      <c r="AA3754" s="13">
        <v>-0.37739</v>
      </c>
      <c r="AB3754" s="13" t="s">
        <v>10372</v>
      </c>
    </row>
    <row r="3755" spans="1:28" ht="15" customHeight="1">
      <c r="A3755" s="2" t="s">
        <v>9778</v>
      </c>
      <c r="B3755" s="2" t="s">
        <v>978</v>
      </c>
      <c r="C3755" s="97" t="s">
        <v>4692</v>
      </c>
      <c r="D3755" s="2" t="s">
        <v>30</v>
      </c>
      <c r="E3755" s="2" t="s">
        <v>734</v>
      </c>
      <c r="F3755" s="11" t="s">
        <v>735</v>
      </c>
      <c r="G3755" t="s">
        <v>736</v>
      </c>
      <c r="H3755" s="157" t="s">
        <v>5545</v>
      </c>
      <c r="I3755" s="158" t="s">
        <v>5263</v>
      </c>
      <c r="J3755" s="41">
        <f>+Tabla1[[#This Row],[FECHA ENTRADA]]</f>
        <v>45929</v>
      </c>
      <c r="K3755" s="22">
        <v>45942</v>
      </c>
      <c r="L3755" s="42">
        <f>_xlfn.DAYS(Tabla1[[#This Row],[FECHA FIN ]],Tabla1[[#This Row],[FECHA INICIO]])</f>
        <v>13</v>
      </c>
      <c r="M3755" s="12"/>
      <c r="N3755" s="12">
        <v>360</v>
      </c>
      <c r="O3755" s="28">
        <f>(Tabla1[[#This Row],[COSTO FIJO ]]/30)*Tabla1[[#This Row],[TOTAL DIAS PROYECTO]]+(Tabla1[[#This Row],[COSTO TEMPORAL]])</f>
        <v>156</v>
      </c>
      <c r="P3755" s="12"/>
      <c r="Q3755" s="12">
        <f>+(Tabla1[[#This Row],[COSTO COCHE]]/30)*Tabla1[[#This Row],[TOTAL DIAS PROYECTO]]</f>
        <v>0</v>
      </c>
      <c r="R3755" s="12">
        <f>+Tabla1[[#This Row],[COSTO TOTAL ALOJAMIENTO]]+Tabla1[[#This Row],[COSTO TOTAL COCHE]]</f>
        <v>156</v>
      </c>
      <c r="S3755" s="2"/>
      <c r="T3755" s="14" t="s">
        <v>35</v>
      </c>
      <c r="U3755" s="14">
        <v>45929</v>
      </c>
      <c r="V3755" s="43"/>
      <c r="W3755" s="71"/>
      <c r="X3755" s="2">
        <v>5</v>
      </c>
      <c r="Y3755" s="11" t="s">
        <v>5546</v>
      </c>
      <c r="Z3755" s="2" t="s">
        <v>36</v>
      </c>
      <c r="AA3755" s="13" t="s">
        <v>10396</v>
      </c>
      <c r="AB3755" s="13" t="s">
        <v>10397</v>
      </c>
    </row>
    <row r="3756" spans="1:28" ht="15" customHeight="1">
      <c r="A3756" s="2" t="s">
        <v>9578</v>
      </c>
      <c r="B3756" s="2" t="s">
        <v>711</v>
      </c>
      <c r="C3756" s="97" t="s">
        <v>3738</v>
      </c>
      <c r="D3756" s="2" t="s">
        <v>99</v>
      </c>
      <c r="E3756" s="2" t="s">
        <v>626</v>
      </c>
      <c r="F3756" s="11" t="s">
        <v>5547</v>
      </c>
      <c r="G3756" s="21" t="s">
        <v>5548</v>
      </c>
      <c r="H3756" s="157" t="s">
        <v>5549</v>
      </c>
      <c r="I3756" s="157" t="s">
        <v>570</v>
      </c>
      <c r="J3756" s="22">
        <f>+Tabla1[[#This Row],[FECHA ENTRADA]]</f>
        <v>45935</v>
      </c>
      <c r="K3756" s="41">
        <v>45942</v>
      </c>
      <c r="L3756" s="23">
        <f>_xlfn.DAYS(Tabla1[[#This Row],[FECHA FIN ]],Tabla1[[#This Row],[FECHA INICIO]])</f>
        <v>7</v>
      </c>
      <c r="M3756" s="12">
        <v>230</v>
      </c>
      <c r="N3756" s="20"/>
      <c r="O3756" s="24">
        <f>(Tabla1[[#This Row],[COSTO FIJO ]]/30)*Tabla1[[#This Row],[TOTAL DIAS PROYECTO]]+(Tabla1[[#This Row],[COSTO TEMPORAL]])</f>
        <v>230</v>
      </c>
      <c r="P3756" s="12"/>
      <c r="Q3756" s="12">
        <f>+(Tabla1[[#This Row],[COSTO COCHE]]/30)*Tabla1[[#This Row],[TOTAL DIAS PROYECTO]]</f>
        <v>0</v>
      </c>
      <c r="R3756" s="12">
        <f>+Tabla1[[#This Row],[COSTO TOTAL ALOJAMIENTO]]+Tabla1[[#This Row],[COSTO TOTAL COCHE]]</f>
        <v>230</v>
      </c>
      <c r="S3756" s="2"/>
      <c r="T3756" s="14" t="s">
        <v>44</v>
      </c>
      <c r="U3756" s="14">
        <v>45935</v>
      </c>
      <c r="V3756" s="79">
        <v>45945</v>
      </c>
      <c r="W3756" s="71"/>
      <c r="X3756" s="2"/>
      <c r="Y3756" s="11" t="s">
        <v>5550</v>
      </c>
      <c r="Z3756" s="2" t="s">
        <v>36</v>
      </c>
      <c r="AA3756" s="13" t="s">
        <v>10385</v>
      </c>
      <c r="AB3756" s="13" t="s">
        <v>10386</v>
      </c>
    </row>
    <row r="3757" spans="1:28" ht="15" customHeight="1">
      <c r="A3757" s="2" t="s">
        <v>9386</v>
      </c>
      <c r="B3757" s="2" t="s">
        <v>711</v>
      </c>
      <c r="C3757" s="104" t="s">
        <v>3009</v>
      </c>
      <c r="D3757" s="2" t="s">
        <v>30</v>
      </c>
      <c r="E3757" s="2" t="s">
        <v>626</v>
      </c>
      <c r="F3757" s="11" t="s">
        <v>5547</v>
      </c>
      <c r="G3757" s="21" t="s">
        <v>5548</v>
      </c>
      <c r="H3757" s="157" t="s">
        <v>5549</v>
      </c>
      <c r="I3757" s="157" t="s">
        <v>570</v>
      </c>
      <c r="J3757" s="22">
        <f>+Tabla1[[#This Row],[FECHA ENTRADA]]</f>
        <v>45935</v>
      </c>
      <c r="K3757" s="41">
        <v>45942</v>
      </c>
      <c r="L3757" s="23">
        <f>_xlfn.DAYS(Tabla1[[#This Row],[FECHA FIN ]],Tabla1[[#This Row],[FECHA INICIO]])</f>
        <v>7</v>
      </c>
      <c r="M3757" s="12">
        <v>230</v>
      </c>
      <c r="N3757" s="20"/>
      <c r="O3757" s="24">
        <f>(Tabla1[[#This Row],[COSTO FIJO ]]/30)*Tabla1[[#This Row],[TOTAL DIAS PROYECTO]]+(Tabla1[[#This Row],[COSTO TEMPORAL]])</f>
        <v>230</v>
      </c>
      <c r="P3757" s="12"/>
      <c r="Q3757" s="12">
        <f>+(Tabla1[[#This Row],[COSTO COCHE]]/30)*Tabla1[[#This Row],[TOTAL DIAS PROYECTO]]</f>
        <v>0</v>
      </c>
      <c r="R3757" s="12">
        <f>+Tabla1[[#This Row],[COSTO TOTAL ALOJAMIENTO]]+Tabla1[[#This Row],[COSTO TOTAL COCHE]]</f>
        <v>230</v>
      </c>
      <c r="S3757" s="2"/>
      <c r="T3757" s="14" t="s">
        <v>44</v>
      </c>
      <c r="U3757" s="14">
        <v>45935</v>
      </c>
      <c r="V3757" s="79">
        <v>45945</v>
      </c>
      <c r="W3757" s="71"/>
      <c r="X3757" s="2"/>
      <c r="Y3757" s="11" t="s">
        <v>5551</v>
      </c>
      <c r="Z3757" s="2" t="s">
        <v>36</v>
      </c>
      <c r="AA3757" s="13" t="s">
        <v>10385</v>
      </c>
      <c r="AB3757" s="13" t="s">
        <v>10386</v>
      </c>
    </row>
    <row r="3758" spans="1:28" ht="15" customHeight="1">
      <c r="A3758" s="2" t="s">
        <v>9693</v>
      </c>
      <c r="B3758" s="2" t="s">
        <v>711</v>
      </c>
      <c r="C3758" s="104" t="s">
        <v>4272</v>
      </c>
      <c r="D3758" s="2" t="s">
        <v>30</v>
      </c>
      <c r="E3758" s="2" t="s">
        <v>31</v>
      </c>
      <c r="F3758" s="11" t="s">
        <v>5552</v>
      </c>
      <c r="G3758" s="49" t="s">
        <v>5553</v>
      </c>
      <c r="H3758" s="157" t="s">
        <v>5489</v>
      </c>
      <c r="I3758" s="158" t="s">
        <v>5085</v>
      </c>
      <c r="J3758" s="22">
        <f>+Tabla1[[#This Row],[FECHA ENTRADA]]</f>
        <v>45939</v>
      </c>
      <c r="K3758" s="22">
        <v>45942</v>
      </c>
      <c r="L3758" s="23">
        <f>_xlfn.DAYS(Tabla1[[#This Row],[FECHA FIN ]],Tabla1[[#This Row],[FECHA INICIO]])</f>
        <v>3</v>
      </c>
      <c r="M3758" s="12">
        <f>348.89/4</f>
        <v>87.222499999999997</v>
      </c>
      <c r="N3758" s="24"/>
      <c r="O3758" s="24">
        <f>(Tabla1[[#This Row],[COSTO FIJO ]]/30)*Tabla1[[#This Row],[TOTAL DIAS PROYECTO]]+(Tabla1[[#This Row],[COSTO TEMPORAL]])</f>
        <v>87.222499999999997</v>
      </c>
      <c r="P3758" s="12"/>
      <c r="Q3758" s="12">
        <f>+(Tabla1[[#This Row],[COSTO COCHE]]/30)*Tabla1[[#This Row],[TOTAL DIAS PROYECTO]]</f>
        <v>0</v>
      </c>
      <c r="R3758" s="12">
        <f>+Tabla1[[#This Row],[COSTO TOTAL ALOJAMIENTO]]+Tabla1[[#This Row],[COSTO TOTAL COCHE]]</f>
        <v>87.222499999999997</v>
      </c>
      <c r="S3758" s="2"/>
      <c r="T3758" s="14" t="s">
        <v>44</v>
      </c>
      <c r="U3758" s="14">
        <v>45939</v>
      </c>
      <c r="V3758" s="25">
        <v>45942</v>
      </c>
      <c r="W3758" s="71"/>
      <c r="X3758" s="2"/>
      <c r="Y3758" s="11" t="s">
        <v>5554</v>
      </c>
      <c r="Z3758" s="2" t="s">
        <v>36</v>
      </c>
      <c r="AA3758" s="13" t="s">
        <v>10323</v>
      </c>
      <c r="AB3758" s="13" t="s">
        <v>10324</v>
      </c>
    </row>
    <row r="3759" spans="1:28" ht="15" customHeight="1">
      <c r="A3759" s="2" t="s">
        <v>9747</v>
      </c>
      <c r="B3759" s="2" t="s">
        <v>711</v>
      </c>
      <c r="C3759" s="104" t="s">
        <v>4547</v>
      </c>
      <c r="D3759" s="2" t="s">
        <v>30</v>
      </c>
      <c r="E3759" s="2" t="s">
        <v>31</v>
      </c>
      <c r="F3759" s="11" t="s">
        <v>5552</v>
      </c>
      <c r="G3759" s="49" t="s">
        <v>5553</v>
      </c>
      <c r="H3759" s="157" t="s">
        <v>5489</v>
      </c>
      <c r="I3759" s="158" t="s">
        <v>5085</v>
      </c>
      <c r="J3759" s="22">
        <f>+Tabla1[[#This Row],[FECHA ENTRADA]]</f>
        <v>45939</v>
      </c>
      <c r="K3759" s="22">
        <v>45942</v>
      </c>
      <c r="L3759" s="23">
        <f>_xlfn.DAYS(Tabla1[[#This Row],[FECHA FIN ]],Tabla1[[#This Row],[FECHA INICIO]])</f>
        <v>3</v>
      </c>
      <c r="M3759" s="12">
        <f>348.89/4</f>
        <v>87.222499999999997</v>
      </c>
      <c r="N3759" s="24"/>
      <c r="O3759" s="24">
        <f>(Tabla1[[#This Row],[COSTO FIJO ]]/30)*Tabla1[[#This Row],[TOTAL DIAS PROYECTO]]+(Tabla1[[#This Row],[COSTO TEMPORAL]])</f>
        <v>87.222499999999997</v>
      </c>
      <c r="P3759" s="12"/>
      <c r="Q3759" s="12">
        <f>+(Tabla1[[#This Row],[COSTO COCHE]]/30)*Tabla1[[#This Row],[TOTAL DIAS PROYECTO]]</f>
        <v>0</v>
      </c>
      <c r="R3759" s="12">
        <f>+Tabla1[[#This Row],[COSTO TOTAL ALOJAMIENTO]]+Tabla1[[#This Row],[COSTO TOTAL COCHE]]</f>
        <v>87.222499999999997</v>
      </c>
      <c r="S3759" s="2"/>
      <c r="T3759" s="14" t="s">
        <v>44</v>
      </c>
      <c r="U3759" s="14">
        <v>45939</v>
      </c>
      <c r="V3759" s="25">
        <v>45942</v>
      </c>
      <c r="W3759" s="71"/>
      <c r="X3759" s="2"/>
      <c r="Y3759" s="11" t="s">
        <v>5555</v>
      </c>
      <c r="Z3759" s="2" t="s">
        <v>36</v>
      </c>
      <c r="AA3759" s="13" t="s">
        <v>10323</v>
      </c>
      <c r="AB3759" s="13" t="s">
        <v>10324</v>
      </c>
    </row>
    <row r="3760" spans="1:28" ht="15" customHeight="1">
      <c r="A3760" s="2" t="s">
        <v>9748</v>
      </c>
      <c r="B3760" s="2" t="s">
        <v>711</v>
      </c>
      <c r="C3760" s="104" t="s">
        <v>4548</v>
      </c>
      <c r="D3760" s="2" t="s">
        <v>30</v>
      </c>
      <c r="E3760" s="2" t="s">
        <v>31</v>
      </c>
      <c r="F3760" s="11" t="s">
        <v>5552</v>
      </c>
      <c r="G3760" s="49" t="s">
        <v>5553</v>
      </c>
      <c r="H3760" s="157" t="s">
        <v>5489</v>
      </c>
      <c r="I3760" s="158" t="s">
        <v>5085</v>
      </c>
      <c r="J3760" s="22">
        <f>+Tabla1[[#This Row],[FECHA ENTRADA]]</f>
        <v>45939</v>
      </c>
      <c r="K3760" s="22">
        <v>45942</v>
      </c>
      <c r="L3760" s="23">
        <f>_xlfn.DAYS(Tabla1[[#This Row],[FECHA FIN ]],Tabla1[[#This Row],[FECHA INICIO]])</f>
        <v>3</v>
      </c>
      <c r="M3760" s="12">
        <f>348.89/4</f>
        <v>87.222499999999997</v>
      </c>
      <c r="N3760" s="24"/>
      <c r="O3760" s="24">
        <f>(Tabla1[[#This Row],[COSTO FIJO ]]/30)*Tabla1[[#This Row],[TOTAL DIAS PROYECTO]]+(Tabla1[[#This Row],[COSTO TEMPORAL]])</f>
        <v>87.222499999999997</v>
      </c>
      <c r="P3760" s="12"/>
      <c r="Q3760" s="12">
        <f>+(Tabla1[[#This Row],[COSTO COCHE]]/30)*Tabla1[[#This Row],[TOTAL DIAS PROYECTO]]</f>
        <v>0</v>
      </c>
      <c r="R3760" s="12">
        <f>+Tabla1[[#This Row],[COSTO TOTAL ALOJAMIENTO]]+Tabla1[[#This Row],[COSTO TOTAL COCHE]]</f>
        <v>87.222499999999997</v>
      </c>
      <c r="S3760" s="2"/>
      <c r="T3760" s="14" t="s">
        <v>44</v>
      </c>
      <c r="U3760" s="14">
        <v>45939</v>
      </c>
      <c r="V3760" s="25">
        <v>45942</v>
      </c>
      <c r="W3760" s="71"/>
      <c r="X3760" s="2"/>
      <c r="Y3760" s="11" t="s">
        <v>5556</v>
      </c>
      <c r="Z3760" s="2" t="s">
        <v>36</v>
      </c>
      <c r="AA3760" s="13" t="s">
        <v>10323</v>
      </c>
      <c r="AB3760" s="13" t="s">
        <v>10324</v>
      </c>
    </row>
    <row r="3761" spans="1:28" ht="15" customHeight="1">
      <c r="A3761" s="2" t="s">
        <v>9015</v>
      </c>
      <c r="B3761" s="2" t="s">
        <v>711</v>
      </c>
      <c r="C3761" s="104" t="s">
        <v>1703</v>
      </c>
      <c r="D3761" s="2" t="s">
        <v>30</v>
      </c>
      <c r="E3761" s="2" t="s">
        <v>31</v>
      </c>
      <c r="F3761" s="11" t="s">
        <v>5552</v>
      </c>
      <c r="G3761" s="49" t="s">
        <v>5553</v>
      </c>
      <c r="H3761" s="2" t="s">
        <v>5489</v>
      </c>
      <c r="I3761" s="12" t="s">
        <v>5085</v>
      </c>
      <c r="J3761" s="22">
        <f>+Tabla1[[#This Row],[FECHA ENTRADA]]</f>
        <v>45939</v>
      </c>
      <c r="K3761" s="22">
        <v>45942</v>
      </c>
      <c r="L3761" s="23">
        <f>_xlfn.DAYS(Tabla1[[#This Row],[FECHA FIN ]],Tabla1[[#This Row],[FECHA INICIO]])</f>
        <v>3</v>
      </c>
      <c r="M3761" s="12">
        <f>348.89/4</f>
        <v>87.222499999999997</v>
      </c>
      <c r="N3761" s="24"/>
      <c r="O3761" s="24">
        <f>(Tabla1[[#This Row],[COSTO FIJO ]]/30)*Tabla1[[#This Row],[TOTAL DIAS PROYECTO]]+(Tabla1[[#This Row],[COSTO TEMPORAL]])</f>
        <v>87.222499999999997</v>
      </c>
      <c r="P3761" s="12"/>
      <c r="Q3761" s="12">
        <f>+(Tabla1[[#This Row],[COSTO COCHE]]/30)*Tabla1[[#This Row],[TOTAL DIAS PROYECTO]]</f>
        <v>0</v>
      </c>
      <c r="R3761" s="12">
        <f>+Tabla1[[#This Row],[COSTO TOTAL ALOJAMIENTO]]+Tabla1[[#This Row],[COSTO TOTAL COCHE]]</f>
        <v>87.222499999999997</v>
      </c>
      <c r="S3761" s="2"/>
      <c r="T3761" s="14" t="s">
        <v>44</v>
      </c>
      <c r="U3761" s="14">
        <v>45939</v>
      </c>
      <c r="V3761" s="25">
        <v>45942</v>
      </c>
      <c r="W3761" s="71"/>
      <c r="X3761" s="2"/>
      <c r="Y3761" s="11" t="s">
        <v>5557</v>
      </c>
      <c r="Z3761" s="2" t="s">
        <v>36</v>
      </c>
      <c r="AA3761" s="13" t="s">
        <v>10323</v>
      </c>
      <c r="AB3761" s="13" t="s">
        <v>10324</v>
      </c>
    </row>
    <row r="3762" spans="1:28" ht="15" customHeight="1">
      <c r="A3762" s="2" t="s">
        <v>9915</v>
      </c>
      <c r="B3762" s="2" t="s">
        <v>28</v>
      </c>
      <c r="C3762" s="115" t="s">
        <v>5395</v>
      </c>
      <c r="D3762" s="2" t="s">
        <v>30</v>
      </c>
      <c r="E3762" s="2" t="s">
        <v>92</v>
      </c>
      <c r="F3762" s="11" t="s">
        <v>93</v>
      </c>
      <c r="G3762" s="11" t="s">
        <v>94</v>
      </c>
      <c r="H3762" s="2" t="s">
        <v>2459</v>
      </c>
      <c r="I3762" s="12" t="s">
        <v>96</v>
      </c>
      <c r="J3762" s="8">
        <f>+Tabla1[[#This Row],[FECHA ENTRADA]]</f>
        <v>45375</v>
      </c>
      <c r="K3762" s="22">
        <v>45821</v>
      </c>
      <c r="L3762" s="13">
        <f>_xlfn.DAYS(Tabla1[[#This Row],[FECHA FIN ]],Tabla1[[#This Row],[FECHA INICIO]])</f>
        <v>446</v>
      </c>
      <c r="M3762" s="12"/>
      <c r="N3762" s="12">
        <v>312.5</v>
      </c>
      <c r="O3762" s="12">
        <f>(Tabla1[[#This Row],[COSTO FIJO ]]/30)*Tabla1[[#This Row],[TOTAL DIAS PROYECTO]]+(Tabla1[[#This Row],[COSTO TEMPORAL]])</f>
        <v>4645.833333333333</v>
      </c>
      <c r="P3762" s="12"/>
      <c r="Q3762" s="12">
        <f>+(Tabla1[[#This Row],[COSTO COCHE]]/30)*Tabla1[[#This Row],[TOTAL DIAS PROYECTO]]</f>
        <v>0</v>
      </c>
      <c r="R3762" s="12">
        <f>+Tabla1[[#This Row],[COSTO TOTAL ALOJAMIENTO]]+Tabla1[[#This Row],[COSTO TOTAL COCHE]]</f>
        <v>4645.833333333333</v>
      </c>
      <c r="S3762" s="2"/>
      <c r="T3762" s="2" t="s">
        <v>35</v>
      </c>
      <c r="U3762" s="14">
        <v>45375</v>
      </c>
      <c r="V3762" s="14"/>
      <c r="W3762" s="15"/>
      <c r="X3762" s="2">
        <v>11</v>
      </c>
      <c r="Y3762" s="11" t="s">
        <v>5558</v>
      </c>
      <c r="Z3762" s="2" t="s">
        <v>36</v>
      </c>
      <c r="AA3762" s="13" t="s">
        <v>10336</v>
      </c>
      <c r="AB3762" s="13" t="s">
        <v>10337</v>
      </c>
    </row>
    <row r="3763" spans="1:28" ht="15" customHeight="1">
      <c r="A3763" s="2" t="s">
        <v>9935</v>
      </c>
      <c r="B3763" s="2" t="s">
        <v>978</v>
      </c>
      <c r="C3763" s="104" t="s">
        <v>5559</v>
      </c>
      <c r="D3763" s="2" t="s">
        <v>30</v>
      </c>
      <c r="E3763" s="2" t="s">
        <v>422</v>
      </c>
      <c r="F3763" s="11" t="s">
        <v>5518</v>
      </c>
      <c r="G3763" s="46">
        <v>613275932</v>
      </c>
      <c r="H3763" s="2" t="s">
        <v>5560</v>
      </c>
      <c r="I3763" s="12" t="s">
        <v>5430</v>
      </c>
      <c r="J3763" s="41">
        <f>+Tabla1[[#This Row],[FECHA ENTRADA]]</f>
        <v>45850</v>
      </c>
      <c r="K3763" s="41">
        <v>45850</v>
      </c>
      <c r="L3763" s="42">
        <f>_xlfn.DAYS(Tabla1[[#This Row],[FECHA FIN ]],Tabla1[[#This Row],[FECHA INICIO]])</f>
        <v>0</v>
      </c>
      <c r="M3763" s="12"/>
      <c r="N3763" s="12">
        <v>225</v>
      </c>
      <c r="O3763" s="28">
        <f>(Tabla1[[#This Row],[COSTO FIJO ]]/30)*Tabla1[[#This Row],[TOTAL DIAS PROYECTO]]+(Tabla1[[#This Row],[COSTO TEMPORAL]])</f>
        <v>0</v>
      </c>
      <c r="P3763" s="12"/>
      <c r="Q3763" s="12">
        <f>+(Tabla1[[#This Row],[COSTO COCHE]]/30)*Tabla1[[#This Row],[TOTAL DIAS PROYECTO]]</f>
        <v>0</v>
      </c>
      <c r="R3763" s="12">
        <f>+Tabla1[[#This Row],[COSTO TOTAL ALOJAMIENTO]]+Tabla1[[#This Row],[COSTO TOTAL COCHE]]</f>
        <v>0</v>
      </c>
      <c r="S3763" s="2"/>
      <c r="T3763" s="14" t="s">
        <v>44</v>
      </c>
      <c r="U3763" s="14">
        <v>45850</v>
      </c>
      <c r="V3763" s="43">
        <v>45858</v>
      </c>
      <c r="W3763" s="12"/>
      <c r="X3763" s="2"/>
      <c r="Y3763" s="11" t="s">
        <v>4671</v>
      </c>
      <c r="Z3763" s="2" t="s">
        <v>36</v>
      </c>
      <c r="AA3763" s="13">
        <v>-326.69799999999998</v>
      </c>
      <c r="AB3763" s="13" t="s">
        <v>10373</v>
      </c>
    </row>
    <row r="3764" spans="1:28" ht="15" customHeight="1">
      <c r="A3764" s="2" t="s">
        <v>9936</v>
      </c>
      <c r="B3764" s="2" t="s">
        <v>978</v>
      </c>
      <c r="C3764" s="104" t="s">
        <v>5561</v>
      </c>
      <c r="D3764" s="2" t="s">
        <v>99</v>
      </c>
      <c r="E3764" s="2" t="s">
        <v>422</v>
      </c>
      <c r="F3764" s="11" t="s">
        <v>5518</v>
      </c>
      <c r="G3764" s="49">
        <v>613275932</v>
      </c>
      <c r="H3764" s="2" t="s">
        <v>5562</v>
      </c>
      <c r="I3764" s="12" t="s">
        <v>5430</v>
      </c>
      <c r="J3764" s="22">
        <f>+Tabla1[[#This Row],[FECHA ENTRADA]]</f>
        <v>45859</v>
      </c>
      <c r="K3764" s="22">
        <v>45869</v>
      </c>
      <c r="L3764" s="23">
        <f>_xlfn.DAYS(Tabla1[[#This Row],[FECHA FIN ]],Tabla1[[#This Row],[FECHA INICIO]])</f>
        <v>10</v>
      </c>
      <c r="M3764" s="12"/>
      <c r="N3764" s="12"/>
      <c r="O3764" s="24">
        <f>(Tabla1[[#This Row],[COSTO FIJO ]]/30)*Tabla1[[#This Row],[TOTAL DIAS PROYECTO]]+(Tabla1[[#This Row],[COSTO TEMPORAL]])</f>
        <v>0</v>
      </c>
      <c r="P3764" s="12"/>
      <c r="Q3764" s="12">
        <f>+(Tabla1[[#This Row],[COSTO COCHE]]/30)*Tabla1[[#This Row],[TOTAL DIAS PROYECTO]]</f>
        <v>0</v>
      </c>
      <c r="R3764" s="12">
        <f>+Tabla1[[#This Row],[COSTO TOTAL ALOJAMIENTO]]+Tabla1[[#This Row],[COSTO TOTAL COCHE]]</f>
        <v>0</v>
      </c>
      <c r="S3764" s="2"/>
      <c r="T3764" s="14" t="s">
        <v>44</v>
      </c>
      <c r="U3764" s="14">
        <v>45859</v>
      </c>
      <c r="V3764" s="25">
        <v>45874</v>
      </c>
      <c r="W3764" s="12"/>
      <c r="X3764" s="2"/>
      <c r="Y3764" s="11" t="s">
        <v>5563</v>
      </c>
      <c r="Z3764" s="2" t="s">
        <v>36</v>
      </c>
      <c r="AA3764" s="13">
        <v>-326.69799999999998</v>
      </c>
      <c r="AB3764" s="13" t="s">
        <v>10373</v>
      </c>
    </row>
    <row r="3765" spans="1:28" ht="15" customHeight="1">
      <c r="A3765" s="2" t="s">
        <v>9854</v>
      </c>
      <c r="B3765" s="2" t="s">
        <v>28</v>
      </c>
      <c r="C3765" s="104" t="s">
        <v>5056</v>
      </c>
      <c r="D3765" s="2" t="s">
        <v>99</v>
      </c>
      <c r="E3765" s="2" t="s">
        <v>4161</v>
      </c>
      <c r="F3765" s="11" t="s">
        <v>5564</v>
      </c>
      <c r="G3765" s="11" t="s">
        <v>5565</v>
      </c>
      <c r="H3765" s="2" t="s">
        <v>5566</v>
      </c>
      <c r="I3765" s="12" t="s">
        <v>118</v>
      </c>
      <c r="J3765" s="41">
        <f>+Tabla1[[#This Row],[FECHA ENTRADA]]</f>
        <v>45893</v>
      </c>
      <c r="K3765" s="41">
        <v>45943</v>
      </c>
      <c r="L3765" s="42">
        <f>_xlfn.DAYS(Tabla1[[#This Row],[FECHA FIN ]],Tabla1[[#This Row],[FECHA INICIO]])</f>
        <v>50</v>
      </c>
      <c r="M3765" s="12">
        <f>1947.7/4</f>
        <v>486.92500000000001</v>
      </c>
      <c r="N3765" s="28"/>
      <c r="O3765" s="28">
        <f>(Tabla1[[#This Row],[COSTO FIJO ]]/30)*Tabla1[[#This Row],[TOTAL DIAS PROYECTO]]+(Tabla1[[#This Row],[COSTO TEMPORAL]])</f>
        <v>486.92500000000001</v>
      </c>
      <c r="P3765" s="12"/>
      <c r="Q3765" s="12">
        <f>+(Tabla1[[#This Row],[COSTO COCHE]]/30)*Tabla1[[#This Row],[TOTAL DIAS PROYECTO]]</f>
        <v>0</v>
      </c>
      <c r="R3765" s="12">
        <f>+Tabla1[[#This Row],[COSTO TOTAL ALOJAMIENTO]]+Tabla1[[#This Row],[COSTO TOTAL COCHE]]</f>
        <v>486.92500000000001</v>
      </c>
      <c r="S3765" s="2" t="s">
        <v>84</v>
      </c>
      <c r="T3765" s="14" t="s">
        <v>44</v>
      </c>
      <c r="U3765" s="14">
        <v>45893</v>
      </c>
      <c r="V3765" s="25">
        <v>45943</v>
      </c>
      <c r="W3765" s="12"/>
      <c r="X3765" s="2"/>
      <c r="Y3765" s="11" t="s">
        <v>5567</v>
      </c>
      <c r="Z3765" s="2" t="s">
        <v>36</v>
      </c>
      <c r="AA3765" s="13" t="e">
        <v>#N/A</v>
      </c>
      <c r="AB3765" s="13" t="e">
        <v>#N/A</v>
      </c>
    </row>
    <row r="3766" spans="1:28" ht="15" customHeight="1">
      <c r="A3766" s="2" t="s">
        <v>9798</v>
      </c>
      <c r="B3766" s="2" t="s">
        <v>28</v>
      </c>
      <c r="C3766" s="104" t="s">
        <v>4800</v>
      </c>
      <c r="D3766" s="2" t="s">
        <v>99</v>
      </c>
      <c r="E3766" s="2" t="s">
        <v>4161</v>
      </c>
      <c r="F3766" s="11" t="s">
        <v>5564</v>
      </c>
      <c r="G3766" s="11" t="s">
        <v>5565</v>
      </c>
      <c r="H3766" s="2" t="s">
        <v>5566</v>
      </c>
      <c r="I3766" s="12" t="s">
        <v>118</v>
      </c>
      <c r="J3766" s="41">
        <f>+Tabla1[[#This Row],[FECHA ENTRADA]]</f>
        <v>45893</v>
      </c>
      <c r="K3766" s="41">
        <v>45943</v>
      </c>
      <c r="L3766" s="42">
        <f>_xlfn.DAYS(Tabla1[[#This Row],[FECHA FIN ]],Tabla1[[#This Row],[FECHA INICIO]])</f>
        <v>50</v>
      </c>
      <c r="M3766" s="12">
        <f>1947.7/4</f>
        <v>486.92500000000001</v>
      </c>
      <c r="N3766" s="28"/>
      <c r="O3766" s="28">
        <f>(Tabla1[[#This Row],[COSTO FIJO ]]/30)*Tabla1[[#This Row],[TOTAL DIAS PROYECTO]]+(Tabla1[[#This Row],[COSTO TEMPORAL]])</f>
        <v>486.92500000000001</v>
      </c>
      <c r="P3766" s="12"/>
      <c r="Q3766" s="12">
        <f>+(Tabla1[[#This Row],[COSTO COCHE]]/30)*Tabla1[[#This Row],[TOTAL DIAS PROYECTO]]</f>
        <v>0</v>
      </c>
      <c r="R3766" s="12">
        <f>+Tabla1[[#This Row],[COSTO TOTAL ALOJAMIENTO]]+Tabla1[[#This Row],[COSTO TOTAL COCHE]]</f>
        <v>486.92500000000001</v>
      </c>
      <c r="S3766" s="2" t="s">
        <v>84</v>
      </c>
      <c r="T3766" s="14" t="s">
        <v>44</v>
      </c>
      <c r="U3766" s="14">
        <v>45893</v>
      </c>
      <c r="V3766" s="25">
        <v>45943</v>
      </c>
      <c r="W3766" s="12"/>
      <c r="X3766" s="2"/>
      <c r="Y3766" s="11" t="s">
        <v>5567</v>
      </c>
      <c r="Z3766" s="2" t="s">
        <v>36</v>
      </c>
      <c r="AA3766" s="13" t="e">
        <v>#N/A</v>
      </c>
      <c r="AB3766" s="13" t="e">
        <v>#N/A</v>
      </c>
    </row>
    <row r="3767" spans="1:28" ht="15" customHeight="1">
      <c r="A3767" s="2" t="s">
        <v>9937</v>
      </c>
      <c r="B3767" s="2" t="s">
        <v>28</v>
      </c>
      <c r="C3767" s="104" t="s">
        <v>5568</v>
      </c>
      <c r="D3767" s="2" t="s">
        <v>99</v>
      </c>
      <c r="E3767" s="2" t="s">
        <v>4161</v>
      </c>
      <c r="F3767" s="11" t="s">
        <v>5564</v>
      </c>
      <c r="G3767" s="11" t="s">
        <v>5565</v>
      </c>
      <c r="H3767" s="2" t="s">
        <v>5566</v>
      </c>
      <c r="I3767" s="12" t="s">
        <v>118</v>
      </c>
      <c r="J3767" s="41">
        <f>+Tabla1[[#This Row],[FECHA ENTRADA]]</f>
        <v>45893</v>
      </c>
      <c r="K3767" s="41">
        <v>45943</v>
      </c>
      <c r="L3767" s="42">
        <f>_xlfn.DAYS(Tabla1[[#This Row],[FECHA FIN ]],Tabla1[[#This Row],[FECHA INICIO]])</f>
        <v>50</v>
      </c>
      <c r="M3767" s="12">
        <f>1947.7/4</f>
        <v>486.92500000000001</v>
      </c>
      <c r="N3767" s="28"/>
      <c r="O3767" s="28">
        <f>(Tabla1[[#This Row],[COSTO FIJO ]]/30)*Tabla1[[#This Row],[TOTAL DIAS PROYECTO]]+(Tabla1[[#This Row],[COSTO TEMPORAL]])</f>
        <v>486.92500000000001</v>
      </c>
      <c r="P3767" s="12"/>
      <c r="Q3767" s="12">
        <f>+(Tabla1[[#This Row],[COSTO COCHE]]/30)*Tabla1[[#This Row],[TOTAL DIAS PROYECTO]]</f>
        <v>0</v>
      </c>
      <c r="R3767" s="12">
        <f>+Tabla1[[#This Row],[COSTO TOTAL ALOJAMIENTO]]+Tabla1[[#This Row],[COSTO TOTAL COCHE]]</f>
        <v>486.92500000000001</v>
      </c>
      <c r="S3767" s="2" t="s">
        <v>84</v>
      </c>
      <c r="T3767" s="14" t="s">
        <v>44</v>
      </c>
      <c r="U3767" s="14">
        <v>45893</v>
      </c>
      <c r="V3767" s="25">
        <v>45943</v>
      </c>
      <c r="W3767" s="12"/>
      <c r="X3767" s="2"/>
      <c r="Y3767" s="11" t="s">
        <v>5569</v>
      </c>
      <c r="Z3767" s="2" t="s">
        <v>36</v>
      </c>
      <c r="AA3767" s="13" t="e">
        <v>#N/A</v>
      </c>
      <c r="AB3767" s="13" t="e">
        <v>#N/A</v>
      </c>
    </row>
    <row r="3768" spans="1:28" ht="15" customHeight="1">
      <c r="A3768" s="2" t="s">
        <v>9672</v>
      </c>
      <c r="B3768" s="2" t="s">
        <v>28</v>
      </c>
      <c r="C3768" s="104" t="s">
        <v>4170</v>
      </c>
      <c r="D3768" s="2" t="s">
        <v>99</v>
      </c>
      <c r="E3768" s="2" t="s">
        <v>4161</v>
      </c>
      <c r="F3768" s="11" t="s">
        <v>5564</v>
      </c>
      <c r="G3768" s="11" t="s">
        <v>5565</v>
      </c>
      <c r="H3768" s="2" t="s">
        <v>5566</v>
      </c>
      <c r="I3768" s="12" t="s">
        <v>118</v>
      </c>
      <c r="J3768" s="41">
        <f>+Tabla1[[#This Row],[FECHA ENTRADA]]</f>
        <v>45893</v>
      </c>
      <c r="K3768" s="41">
        <v>45943</v>
      </c>
      <c r="L3768" s="42">
        <f>_xlfn.DAYS(Tabla1[[#This Row],[FECHA FIN ]],Tabla1[[#This Row],[FECHA INICIO]])</f>
        <v>50</v>
      </c>
      <c r="M3768" s="12">
        <f>1947.7/4</f>
        <v>486.92500000000001</v>
      </c>
      <c r="N3768" s="28"/>
      <c r="O3768" s="28">
        <f>(Tabla1[[#This Row],[COSTO FIJO ]]/30)*Tabla1[[#This Row],[TOTAL DIAS PROYECTO]]+(Tabla1[[#This Row],[COSTO TEMPORAL]])</f>
        <v>486.92500000000001</v>
      </c>
      <c r="P3768" s="12"/>
      <c r="Q3768" s="12">
        <f>+(Tabla1[[#This Row],[COSTO COCHE]]/30)*Tabla1[[#This Row],[TOTAL DIAS PROYECTO]]</f>
        <v>0</v>
      </c>
      <c r="R3768" s="12">
        <f>+Tabla1[[#This Row],[COSTO TOTAL ALOJAMIENTO]]+Tabla1[[#This Row],[COSTO TOTAL COCHE]]</f>
        <v>486.92500000000001</v>
      </c>
      <c r="S3768" s="2" t="s">
        <v>84</v>
      </c>
      <c r="T3768" s="14" t="s">
        <v>44</v>
      </c>
      <c r="U3768" s="14">
        <v>45893</v>
      </c>
      <c r="V3768" s="25">
        <v>45943</v>
      </c>
      <c r="W3768" s="12"/>
      <c r="X3768" s="2"/>
      <c r="Y3768" s="11" t="s">
        <v>5569</v>
      </c>
      <c r="Z3768" s="2" t="s">
        <v>36</v>
      </c>
      <c r="AA3768" s="13" t="e">
        <v>#N/A</v>
      </c>
      <c r="AB3768" s="13" t="e">
        <v>#N/A</v>
      </c>
    </row>
    <row r="3769" spans="1:28" ht="15" customHeight="1">
      <c r="A3769" s="2" t="s">
        <v>9089</v>
      </c>
      <c r="B3769" s="2" t="s">
        <v>368</v>
      </c>
      <c r="C3769" s="104" t="s">
        <v>1963</v>
      </c>
      <c r="D3769" s="2" t="s">
        <v>30</v>
      </c>
      <c r="E3769" s="2" t="s">
        <v>87</v>
      </c>
      <c r="F3769" s="11" t="s">
        <v>1106</v>
      </c>
      <c r="G3769" s="21"/>
      <c r="H3769" s="2" t="s">
        <v>5570</v>
      </c>
      <c r="I3769" s="12" t="s">
        <v>42</v>
      </c>
      <c r="J3769" s="22">
        <f>+Tabla1[[#This Row],[FECHA ENTRADA]]</f>
        <v>45931</v>
      </c>
      <c r="K3769" s="22">
        <v>45943</v>
      </c>
      <c r="L3769" s="23">
        <f>_xlfn.DAYS(Tabla1[[#This Row],[FECHA FIN ]],Tabla1[[#This Row],[FECHA INICIO]])</f>
        <v>12</v>
      </c>
      <c r="M3769" s="12"/>
      <c r="N3769" s="20">
        <v>0</v>
      </c>
      <c r="O3769" s="24">
        <f>(Tabla1[[#This Row],[COSTO FIJO ]]/30)*Tabla1[[#This Row],[TOTAL DIAS PROYECTO]]+(Tabla1[[#This Row],[COSTO TEMPORAL]])</f>
        <v>0</v>
      </c>
      <c r="P3769" s="12"/>
      <c r="Q3769" s="12">
        <f>+(Tabla1[[#This Row],[COSTO COCHE]]/30)*Tabla1[[#This Row],[TOTAL DIAS PROYECTO]]</f>
        <v>0</v>
      </c>
      <c r="R3769" s="12">
        <f>+Tabla1[[#This Row],[COSTO TOTAL ALOJAMIENTO]]+Tabla1[[#This Row],[COSTO TOTAL COCHE]]</f>
        <v>0</v>
      </c>
      <c r="S3769" s="2"/>
      <c r="T3769" s="2" t="s">
        <v>8</v>
      </c>
      <c r="U3769" s="14">
        <v>45931</v>
      </c>
      <c r="V3769" s="79">
        <v>45943</v>
      </c>
      <c r="W3769" s="71"/>
      <c r="X3769" s="2"/>
      <c r="Y3769" s="11" t="s">
        <v>5571</v>
      </c>
      <c r="Z3769" s="2" t="s">
        <v>36</v>
      </c>
      <c r="AA3769" s="13" t="s">
        <v>10335</v>
      </c>
      <c r="AB3769" s="13">
        <v>404.16500000000002</v>
      </c>
    </row>
    <row r="3770" spans="1:28" ht="15" customHeight="1">
      <c r="A3770" s="2" t="s">
        <v>9928</v>
      </c>
      <c r="B3770" s="2" t="s">
        <v>711</v>
      </c>
      <c r="C3770" s="97" t="s">
        <v>5501</v>
      </c>
      <c r="D3770" s="2" t="s">
        <v>30</v>
      </c>
      <c r="E3770" s="2" t="s">
        <v>626</v>
      </c>
      <c r="F3770" s="11" t="s">
        <v>5547</v>
      </c>
      <c r="G3770" s="21" t="s">
        <v>5548</v>
      </c>
      <c r="H3770" s="2" t="s">
        <v>5549</v>
      </c>
      <c r="I3770" s="2" t="s">
        <v>570</v>
      </c>
      <c r="J3770" s="22">
        <f>+Tabla1[[#This Row],[FECHA ENTRADA]]</f>
        <v>45935</v>
      </c>
      <c r="K3770" s="41">
        <v>45943</v>
      </c>
      <c r="L3770" s="23">
        <f>_xlfn.DAYS(Tabla1[[#This Row],[FECHA FIN ]],Tabla1[[#This Row],[FECHA INICIO]])</f>
        <v>8</v>
      </c>
      <c r="M3770" s="12">
        <v>230</v>
      </c>
      <c r="N3770" s="20"/>
      <c r="O3770" s="24">
        <f>(Tabla1[[#This Row],[COSTO FIJO ]]/30)*Tabla1[[#This Row],[TOTAL DIAS PROYECTO]]+(Tabla1[[#This Row],[COSTO TEMPORAL]])</f>
        <v>230</v>
      </c>
      <c r="P3770" s="12"/>
      <c r="Q3770" s="12">
        <f>+(Tabla1[[#This Row],[COSTO COCHE]]/30)*Tabla1[[#This Row],[TOTAL DIAS PROYECTO]]</f>
        <v>0</v>
      </c>
      <c r="R3770" s="12">
        <f>+Tabla1[[#This Row],[COSTO TOTAL ALOJAMIENTO]]+Tabla1[[#This Row],[COSTO TOTAL COCHE]]</f>
        <v>230</v>
      </c>
      <c r="S3770" s="2"/>
      <c r="T3770" s="14" t="s">
        <v>44</v>
      </c>
      <c r="U3770" s="14">
        <v>45935</v>
      </c>
      <c r="V3770" s="79">
        <v>45950</v>
      </c>
      <c r="W3770" s="71"/>
      <c r="X3770" s="2"/>
      <c r="Y3770" s="202" t="s">
        <v>5572</v>
      </c>
      <c r="Z3770" s="2" t="s">
        <v>36</v>
      </c>
      <c r="AA3770" s="13" t="s">
        <v>10385</v>
      </c>
      <c r="AB3770" s="13" t="s">
        <v>10386</v>
      </c>
    </row>
    <row r="3771" spans="1:28" ht="15" customHeight="1">
      <c r="A3771" s="2" t="s">
        <v>9938</v>
      </c>
      <c r="B3771" s="2" t="s">
        <v>711</v>
      </c>
      <c r="C3771" s="97" t="s">
        <v>5573</v>
      </c>
      <c r="D3771" s="2" t="s">
        <v>30</v>
      </c>
      <c r="E3771" s="2" t="s">
        <v>626</v>
      </c>
      <c r="F3771" s="11" t="s">
        <v>5547</v>
      </c>
      <c r="G3771" s="21" t="s">
        <v>5548</v>
      </c>
      <c r="H3771" s="2" t="s">
        <v>5549</v>
      </c>
      <c r="I3771" s="2" t="s">
        <v>570</v>
      </c>
      <c r="J3771" s="22">
        <f>+Tabla1[[#This Row],[FECHA ENTRADA]]</f>
        <v>45935</v>
      </c>
      <c r="K3771" s="41">
        <v>45943</v>
      </c>
      <c r="L3771" s="23">
        <f>_xlfn.DAYS(Tabla1[[#This Row],[FECHA FIN ]],Tabla1[[#This Row],[FECHA INICIO]])</f>
        <v>8</v>
      </c>
      <c r="M3771" s="12">
        <v>230</v>
      </c>
      <c r="N3771" s="20"/>
      <c r="O3771" s="24">
        <f>(Tabla1[[#This Row],[COSTO FIJO ]]/30)*Tabla1[[#This Row],[TOTAL DIAS PROYECTO]]+(Tabla1[[#This Row],[COSTO TEMPORAL]])</f>
        <v>230</v>
      </c>
      <c r="P3771" s="12"/>
      <c r="Q3771" s="12">
        <f>+(Tabla1[[#This Row],[COSTO COCHE]]/30)*Tabla1[[#This Row],[TOTAL DIAS PROYECTO]]</f>
        <v>0</v>
      </c>
      <c r="R3771" s="12">
        <f>+Tabla1[[#This Row],[COSTO TOTAL ALOJAMIENTO]]+Tabla1[[#This Row],[COSTO TOTAL COCHE]]</f>
        <v>230</v>
      </c>
      <c r="S3771" s="2"/>
      <c r="T3771" s="14" t="s">
        <v>44</v>
      </c>
      <c r="U3771" s="14">
        <v>45935</v>
      </c>
      <c r="V3771" s="79">
        <v>45945</v>
      </c>
      <c r="W3771" s="71"/>
      <c r="X3771" s="2"/>
      <c r="Y3771" s="202" t="s">
        <v>5574</v>
      </c>
      <c r="Z3771" s="2" t="s">
        <v>36</v>
      </c>
      <c r="AA3771" s="13" t="s">
        <v>10385</v>
      </c>
      <c r="AB3771" s="13" t="s">
        <v>10386</v>
      </c>
    </row>
    <row r="3772" spans="1:28" ht="15" customHeight="1">
      <c r="A3772" s="2" t="s">
        <v>9939</v>
      </c>
      <c r="B3772" s="2" t="s">
        <v>978</v>
      </c>
      <c r="C3772" s="104" t="s">
        <v>5575</v>
      </c>
      <c r="D3772" s="2" t="s">
        <v>30</v>
      </c>
      <c r="E3772" s="2" t="s">
        <v>855</v>
      </c>
      <c r="F3772" s="11" t="s">
        <v>1662</v>
      </c>
      <c r="G3772" s="46" t="s">
        <v>1474</v>
      </c>
      <c r="H3772" s="2" t="s">
        <v>5576</v>
      </c>
      <c r="I3772" s="12" t="s">
        <v>4362</v>
      </c>
      <c r="J3772" s="41">
        <f>+Tabla1[[#This Row],[FECHA ENTRADA]]</f>
        <v>45943</v>
      </c>
      <c r="K3772" s="22">
        <v>45943</v>
      </c>
      <c r="L3772" s="42">
        <f>_xlfn.DAYS(Tabla1[[#This Row],[FECHA FIN ]],Tabla1[[#This Row],[FECHA INICIO]])</f>
        <v>0</v>
      </c>
      <c r="M3772" s="12">
        <v>166.66666666666666</v>
      </c>
      <c r="N3772" s="28"/>
      <c r="O3772" s="28">
        <f>(Tabla1[[#This Row],[COSTO FIJO ]]/30)*Tabla1[[#This Row],[TOTAL DIAS PROYECTO]]+(Tabla1[[#This Row],[COSTO TEMPORAL]])</f>
        <v>166.66666666666666</v>
      </c>
      <c r="P3772" s="12"/>
      <c r="Q3772" s="12">
        <f>+(Tabla1[[#This Row],[COSTO COCHE]]/30)*Tabla1[[#This Row],[TOTAL DIAS PROYECTO]]</f>
        <v>0</v>
      </c>
      <c r="R3772" s="12">
        <f>+Tabla1[[#This Row],[COSTO TOTAL ALOJAMIENTO]]+Tabla1[[#This Row],[COSTO TOTAL COCHE]]</f>
        <v>166.66666666666666</v>
      </c>
      <c r="S3772" s="2"/>
      <c r="T3772" s="14" t="s">
        <v>44</v>
      </c>
      <c r="U3772" s="14">
        <v>45943</v>
      </c>
      <c r="V3772" s="25">
        <v>45973</v>
      </c>
      <c r="W3772" s="71"/>
      <c r="X3772" s="2"/>
      <c r="Y3772" s="11" t="s">
        <v>852</v>
      </c>
      <c r="Z3772" s="2" t="s">
        <v>36</v>
      </c>
      <c r="AA3772" s="13" t="s">
        <v>10401</v>
      </c>
      <c r="AB3772" s="13" t="s">
        <v>10402</v>
      </c>
    </row>
    <row r="3773" spans="1:28" ht="15" customHeight="1">
      <c r="A3773" s="2" t="s">
        <v>9915</v>
      </c>
      <c r="B3773" s="2" t="s">
        <v>28</v>
      </c>
      <c r="C3773" s="104" t="s">
        <v>5395</v>
      </c>
      <c r="D3773" s="2" t="s">
        <v>99</v>
      </c>
      <c r="E3773" s="2" t="s">
        <v>1664</v>
      </c>
      <c r="F3773" s="11" t="s">
        <v>1794</v>
      </c>
      <c r="G3773" s="21" t="s">
        <v>1795</v>
      </c>
      <c r="H3773" s="2" t="s">
        <v>5465</v>
      </c>
      <c r="I3773" s="12" t="s">
        <v>96</v>
      </c>
      <c r="J3773" s="22">
        <f>+Tabla1[[#This Row],[FECHA ENTRADA]]</f>
        <v>45784</v>
      </c>
      <c r="K3773" s="8">
        <v>45823</v>
      </c>
      <c r="L3773" s="23">
        <f>_xlfn.DAYS(Tabla1[[#This Row],[FECHA FIN ]],Tabla1[[#This Row],[FECHA INICIO]])</f>
        <v>39</v>
      </c>
      <c r="M3773" s="12"/>
      <c r="N3773" s="12"/>
      <c r="O3773" s="24">
        <f>(Tabla1[[#This Row],[COSTO FIJO ]]/30)*Tabla1[[#This Row],[TOTAL DIAS PROYECTO]]+(Tabla1[[#This Row],[COSTO TEMPORAL]])</f>
        <v>0</v>
      </c>
      <c r="P3773" s="12"/>
      <c r="Q3773" s="12">
        <f>+(Tabla1[[#This Row],[COSTO COCHE]]/30)*Tabla1[[#This Row],[TOTAL DIAS PROYECTO]]</f>
        <v>0</v>
      </c>
      <c r="R3773" s="12">
        <f>+Tabla1[[#This Row],[COSTO TOTAL ALOJAMIENTO]]+Tabla1[[#This Row],[COSTO TOTAL COCHE]]</f>
        <v>0</v>
      </c>
      <c r="S3773" s="2" t="s">
        <v>84</v>
      </c>
      <c r="T3773" s="2" t="s">
        <v>44</v>
      </c>
      <c r="U3773" s="14">
        <v>45784</v>
      </c>
      <c r="V3773" s="25">
        <v>45845</v>
      </c>
      <c r="W3773" s="2"/>
      <c r="X3773" s="2">
        <v>1</v>
      </c>
      <c r="Y3773" s="11" t="s">
        <v>5577</v>
      </c>
      <c r="Z3773" s="2" t="s">
        <v>36</v>
      </c>
      <c r="AA3773" s="13" t="s">
        <v>10425</v>
      </c>
      <c r="AB3773" s="13" t="s">
        <v>10426</v>
      </c>
    </row>
    <row r="3774" spans="1:28" ht="15" customHeight="1">
      <c r="A3774" s="2" t="s">
        <v>9915</v>
      </c>
      <c r="B3774" s="2" t="s">
        <v>28</v>
      </c>
      <c r="C3774" s="104" t="s">
        <v>5395</v>
      </c>
      <c r="D3774" s="2" t="s">
        <v>30</v>
      </c>
      <c r="E3774" s="2" t="s">
        <v>1987</v>
      </c>
      <c r="F3774" s="11" t="s">
        <v>3567</v>
      </c>
      <c r="G3774" s="46" t="s">
        <v>3568</v>
      </c>
      <c r="H3774" s="2" t="s">
        <v>2459</v>
      </c>
      <c r="I3774" s="12" t="s">
        <v>96</v>
      </c>
      <c r="J3774" s="41">
        <f>+Tabla1[[#This Row],[FECHA ENTRADA]]</f>
        <v>45823</v>
      </c>
      <c r="K3774" s="41">
        <v>45843</v>
      </c>
      <c r="L3774" s="42">
        <f>_xlfn.DAYS(Tabla1[[#This Row],[FECHA FIN ]],Tabla1[[#This Row],[FECHA INICIO]])</f>
        <v>20</v>
      </c>
      <c r="M3774" s="12"/>
      <c r="N3774" s="12"/>
      <c r="O3774" s="28">
        <f>(Tabla1[[#This Row],[COSTO FIJO ]]/30)*Tabla1[[#This Row],[TOTAL DIAS PROYECTO]]+(Tabla1[[#This Row],[COSTO TEMPORAL]])</f>
        <v>0</v>
      </c>
      <c r="P3774" s="12"/>
      <c r="Q3774" s="12">
        <f>+(Tabla1[[#This Row],[COSTO COCHE]]/30)*Tabla1[[#This Row],[TOTAL DIAS PROYECTO]]</f>
        <v>0</v>
      </c>
      <c r="R3774" s="12">
        <f>+Tabla1[[#This Row],[COSTO TOTAL ALOJAMIENTO]]+Tabla1[[#This Row],[COSTO TOTAL COCHE]]</f>
        <v>0</v>
      </c>
      <c r="S3774" s="2"/>
      <c r="T3774" s="2" t="s">
        <v>44</v>
      </c>
      <c r="U3774" s="14">
        <v>45823</v>
      </c>
      <c r="V3774" s="43">
        <v>45853</v>
      </c>
      <c r="W3774" s="2"/>
      <c r="X3774" s="2"/>
      <c r="Y3774" s="11"/>
      <c r="Z3774" s="2" t="s">
        <v>36</v>
      </c>
      <c r="AA3774" s="13" t="s">
        <v>10435</v>
      </c>
      <c r="AB3774" s="13">
        <v>42.136150000000001</v>
      </c>
    </row>
    <row r="3775" spans="1:28" ht="15" customHeight="1">
      <c r="A3775" s="2" t="s">
        <v>9336</v>
      </c>
      <c r="B3775" s="2" t="s">
        <v>978</v>
      </c>
      <c r="C3775" s="104" t="s">
        <v>2850</v>
      </c>
      <c r="D3775" s="2" t="s">
        <v>30</v>
      </c>
      <c r="E3775" s="2" t="s">
        <v>422</v>
      </c>
      <c r="F3775" s="11" t="s">
        <v>5518</v>
      </c>
      <c r="G3775" s="49">
        <v>613275932</v>
      </c>
      <c r="H3775" s="2" t="s">
        <v>5429</v>
      </c>
      <c r="I3775" s="12" t="s">
        <v>5430</v>
      </c>
      <c r="J3775" s="41">
        <f>+Tabla1[[#This Row],[FECHA ENTRADA]]</f>
        <v>45869</v>
      </c>
      <c r="K3775" s="41">
        <v>45874</v>
      </c>
      <c r="L3775" s="42">
        <f>_xlfn.DAYS(Tabla1[[#This Row],[FECHA FIN ]],Tabla1[[#This Row],[FECHA INICIO]])</f>
        <v>5</v>
      </c>
      <c r="M3775" s="12"/>
      <c r="N3775" s="12"/>
      <c r="O3775" s="28">
        <f>(Tabla1[[#This Row],[COSTO FIJO ]]/30)*Tabla1[[#This Row],[TOTAL DIAS PROYECTO]]+(Tabla1[[#This Row],[COSTO TEMPORAL]])</f>
        <v>0</v>
      </c>
      <c r="P3775" s="12"/>
      <c r="Q3775" s="12">
        <f>+(Tabla1[[#This Row],[COSTO COCHE]]/30)*Tabla1[[#This Row],[TOTAL DIAS PROYECTO]]</f>
        <v>0</v>
      </c>
      <c r="R3775" s="12">
        <f>+Tabla1[[#This Row],[COSTO TOTAL ALOJAMIENTO]]+Tabla1[[#This Row],[COSTO TOTAL COCHE]]</f>
        <v>0</v>
      </c>
      <c r="S3775" s="2"/>
      <c r="T3775" s="14" t="s">
        <v>44</v>
      </c>
      <c r="U3775" s="14">
        <v>45869</v>
      </c>
      <c r="V3775" s="43">
        <v>45874</v>
      </c>
      <c r="W3775" s="12"/>
      <c r="X3775" s="2"/>
      <c r="Y3775" s="11"/>
      <c r="Z3775" s="2" t="s">
        <v>36</v>
      </c>
      <c r="AA3775" s="13">
        <v>-326.69799999999998</v>
      </c>
      <c r="AB3775" s="13" t="s">
        <v>10373</v>
      </c>
    </row>
    <row r="3776" spans="1:28" ht="15" customHeight="1">
      <c r="A3776" s="2" t="s">
        <v>9936</v>
      </c>
      <c r="B3776" s="2" t="s">
        <v>978</v>
      </c>
      <c r="C3776" s="104" t="s">
        <v>5561</v>
      </c>
      <c r="D3776" s="2" t="s">
        <v>99</v>
      </c>
      <c r="E3776" s="2" t="s">
        <v>422</v>
      </c>
      <c r="F3776" s="11" t="s">
        <v>5427</v>
      </c>
      <c r="G3776" s="11" t="s">
        <v>5428</v>
      </c>
      <c r="H3776" s="2" t="s">
        <v>5562</v>
      </c>
      <c r="I3776" s="12" t="s">
        <v>5430</v>
      </c>
      <c r="J3776" s="41">
        <f>+Tabla1[[#This Row],[FECHA ENTRADA]]</f>
        <v>45869</v>
      </c>
      <c r="K3776" s="41">
        <v>45886</v>
      </c>
      <c r="L3776" s="42">
        <f>_xlfn.DAYS(Tabla1[[#This Row],[FECHA FIN ]],Tabla1[[#This Row],[FECHA INICIO]])</f>
        <v>17</v>
      </c>
      <c r="M3776" s="12"/>
      <c r="N3776" s="12">
        <v>450</v>
      </c>
      <c r="O3776" s="28">
        <f>(Tabla1[[#This Row],[COSTO FIJO ]]/30)*Tabla1[[#This Row],[TOTAL DIAS PROYECTO]]+(Tabla1[[#This Row],[COSTO TEMPORAL]])</f>
        <v>255</v>
      </c>
      <c r="P3776" s="12"/>
      <c r="Q3776" s="12">
        <f>+(Tabla1[[#This Row],[COSTO COCHE]]/30)*Tabla1[[#This Row],[TOTAL DIAS PROYECTO]]</f>
        <v>0</v>
      </c>
      <c r="R3776" s="12">
        <f>+Tabla1[[#This Row],[COSTO TOTAL ALOJAMIENTO]]+Tabla1[[#This Row],[COSTO TOTAL COCHE]]</f>
        <v>255</v>
      </c>
      <c r="S3776" s="2"/>
      <c r="T3776" s="14" t="s">
        <v>35</v>
      </c>
      <c r="U3776" s="14">
        <v>45869</v>
      </c>
      <c r="V3776" s="43"/>
      <c r="W3776" s="12">
        <v>450</v>
      </c>
      <c r="X3776" s="2">
        <v>13</v>
      </c>
      <c r="Y3776" s="11" t="s">
        <v>1361</v>
      </c>
      <c r="Z3776" s="2" t="s">
        <v>36</v>
      </c>
      <c r="AA3776" s="13">
        <v>-326.69799999999998</v>
      </c>
      <c r="AB3776" s="13" t="s">
        <v>10373</v>
      </c>
    </row>
    <row r="3777" spans="1:28" ht="15" customHeight="1">
      <c r="A3777" s="2" t="s">
        <v>9940</v>
      </c>
      <c r="B3777" s="2" t="s">
        <v>368</v>
      </c>
      <c r="C3777" s="97" t="s">
        <v>5578</v>
      </c>
      <c r="D3777" s="2" t="s">
        <v>99</v>
      </c>
      <c r="E3777" s="2" t="s">
        <v>422</v>
      </c>
      <c r="F3777" s="11" t="s">
        <v>4786</v>
      </c>
      <c r="G3777" s="49" t="s">
        <v>4787</v>
      </c>
      <c r="H3777" s="2" t="s">
        <v>5579</v>
      </c>
      <c r="I3777" s="12" t="s">
        <v>4327</v>
      </c>
      <c r="J3777" s="22">
        <f>+Tabla1[[#This Row],[FECHA ENTRADA]]</f>
        <v>45870</v>
      </c>
      <c r="K3777" s="22">
        <v>45933</v>
      </c>
      <c r="L3777" s="23">
        <f>_xlfn.DAYS(Tabla1[[#This Row],[FECHA FIN ]],Tabla1[[#This Row],[FECHA INICIO]])</f>
        <v>63</v>
      </c>
      <c r="M3777" s="12"/>
      <c r="N3777" s="24">
        <v>400</v>
      </c>
      <c r="O3777" s="24">
        <f>(Tabla1[[#This Row],[COSTO FIJO ]]/30)*Tabla1[[#This Row],[TOTAL DIAS PROYECTO]]+(Tabla1[[#This Row],[COSTO TEMPORAL]])</f>
        <v>840</v>
      </c>
      <c r="P3777" s="12"/>
      <c r="Q3777" s="12">
        <f>+(Tabla1[[#This Row],[COSTO COCHE]]/30)*Tabla1[[#This Row],[TOTAL DIAS PROYECTO]]</f>
        <v>0</v>
      </c>
      <c r="R3777" s="12">
        <f>+Tabla1[[#This Row],[COSTO TOTAL ALOJAMIENTO]]+Tabla1[[#This Row],[COSTO TOTAL COCHE]]</f>
        <v>840</v>
      </c>
      <c r="S3777" s="2"/>
      <c r="T3777" s="14" t="s">
        <v>35</v>
      </c>
      <c r="U3777" s="14">
        <v>45870</v>
      </c>
      <c r="V3777" s="25"/>
      <c r="W3777" s="71"/>
      <c r="X3777" s="2">
        <v>5</v>
      </c>
      <c r="Y3777" s="11" t="s">
        <v>4839</v>
      </c>
      <c r="Z3777" s="2" t="s">
        <v>36</v>
      </c>
      <c r="AA3777" s="13">
        <v>-326.69799999999998</v>
      </c>
      <c r="AB3777" s="13" t="s">
        <v>10373</v>
      </c>
    </row>
    <row r="3778" spans="1:28" ht="15" customHeight="1">
      <c r="A3778" s="2" t="s">
        <v>9941</v>
      </c>
      <c r="B3778" s="2" t="s">
        <v>978</v>
      </c>
      <c r="C3778" s="97" t="s">
        <v>5580</v>
      </c>
      <c r="D3778" s="2" t="s">
        <v>99</v>
      </c>
      <c r="E3778" s="2" t="s">
        <v>422</v>
      </c>
      <c r="F3778" s="11" t="s">
        <v>1375</v>
      </c>
      <c r="G3778" t="s">
        <v>1376</v>
      </c>
      <c r="H3778" s="2" t="s">
        <v>2199</v>
      </c>
      <c r="I3778" s="12" t="s">
        <v>2473</v>
      </c>
      <c r="J3778" s="22">
        <f>+Tabla1[[#This Row],[FECHA ENTRADA]]</f>
        <v>45822</v>
      </c>
      <c r="K3778" s="41">
        <v>45838</v>
      </c>
      <c r="L3778" s="23">
        <f>_xlfn.DAYS(Tabla1[[#This Row],[FECHA FIN ]],Tabla1[[#This Row],[FECHA INICIO]])</f>
        <v>16</v>
      </c>
      <c r="M3778" s="12"/>
      <c r="N3778" s="12">
        <v>268.75</v>
      </c>
      <c r="O3778" s="24">
        <f>(Tabla1[[#This Row],[COSTO FIJO ]]/30)*Tabla1[[#This Row],[TOTAL DIAS PROYECTO]]+(Tabla1[[#This Row],[COSTO TEMPORAL]])</f>
        <v>143.33333333333334</v>
      </c>
      <c r="P3778" s="12"/>
      <c r="Q3778" s="12">
        <f>+(Tabla1[[#This Row],[COSTO COCHE]]/30)*Tabla1[[#This Row],[TOTAL DIAS PROYECTO]]</f>
        <v>0</v>
      </c>
      <c r="R3778" s="12">
        <f>+Tabla1[[#This Row],[COSTO TOTAL ALOJAMIENTO]]+Tabla1[[#This Row],[COSTO TOTAL COCHE]]</f>
        <v>143.33333333333334</v>
      </c>
      <c r="S3778" s="2"/>
      <c r="T3778" s="2" t="s">
        <v>35</v>
      </c>
      <c r="U3778" s="14">
        <v>45822</v>
      </c>
      <c r="V3778" s="25"/>
      <c r="W3778" s="2"/>
      <c r="X3778" s="2">
        <v>5</v>
      </c>
      <c r="Y3778" s="11" t="s">
        <v>5581</v>
      </c>
      <c r="Z3778" s="2" t="s">
        <v>36</v>
      </c>
      <c r="AA3778" s="13">
        <v>-326.69799999999998</v>
      </c>
      <c r="AB3778" s="13" t="s">
        <v>10373</v>
      </c>
    </row>
    <row r="3779" spans="1:28" ht="15" customHeight="1">
      <c r="A3779" s="2" t="s">
        <v>8642</v>
      </c>
      <c r="B3779" s="2" t="s">
        <v>978</v>
      </c>
      <c r="C3779" s="97" t="s">
        <v>5582</v>
      </c>
      <c r="D3779" s="2" t="s">
        <v>99</v>
      </c>
      <c r="E3779" s="2" t="s">
        <v>422</v>
      </c>
      <c r="F3779" s="11" t="s">
        <v>1375</v>
      </c>
      <c r="G3779" t="s">
        <v>1376</v>
      </c>
      <c r="H3779" s="2" t="s">
        <v>2199</v>
      </c>
      <c r="I3779" s="12" t="s">
        <v>2473</v>
      </c>
      <c r="J3779" s="22">
        <f>+Tabla1[[#This Row],[FECHA ENTRADA]]</f>
        <v>45874</v>
      </c>
      <c r="K3779" s="22">
        <v>45873</v>
      </c>
      <c r="L3779" s="23">
        <f>_xlfn.DAYS(Tabla1[[#This Row],[FECHA FIN ]],Tabla1[[#This Row],[FECHA INICIO]])</f>
        <v>-1</v>
      </c>
      <c r="M3779" s="12"/>
      <c r="N3779" s="24">
        <v>268.75</v>
      </c>
      <c r="O3779" s="24">
        <f>(Tabla1[[#This Row],[COSTO FIJO ]]/30)*Tabla1[[#This Row],[TOTAL DIAS PROYECTO]]+(Tabla1[[#This Row],[COSTO TEMPORAL]])</f>
        <v>-8.9583333333333339</v>
      </c>
      <c r="P3779" s="12"/>
      <c r="Q3779" s="12">
        <f>+(Tabla1[[#This Row],[COSTO COCHE]]/30)*Tabla1[[#This Row],[TOTAL DIAS PROYECTO]]</f>
        <v>0</v>
      </c>
      <c r="R3779" s="12">
        <f>+Tabla1[[#This Row],[COSTO TOTAL ALOJAMIENTO]]+Tabla1[[#This Row],[COSTO TOTAL COCHE]]</f>
        <v>-8.9583333333333339</v>
      </c>
      <c r="S3779" s="2"/>
      <c r="T3779" s="14" t="s">
        <v>35</v>
      </c>
      <c r="U3779" s="14">
        <v>45874</v>
      </c>
      <c r="V3779" s="25"/>
      <c r="W3779" s="12"/>
      <c r="X3779" s="2">
        <v>5</v>
      </c>
      <c r="Y3779" s="11" t="s">
        <v>5583</v>
      </c>
      <c r="Z3779" s="2" t="s">
        <v>36</v>
      </c>
      <c r="AA3779" s="13">
        <v>-326.69799999999998</v>
      </c>
      <c r="AB3779" s="13" t="s">
        <v>10373</v>
      </c>
    </row>
    <row r="3780" spans="1:28" ht="15" customHeight="1">
      <c r="A3780" s="2" t="s">
        <v>9942</v>
      </c>
      <c r="B3780" s="10" t="s">
        <v>711</v>
      </c>
      <c r="C3780" s="97" t="s">
        <v>5584</v>
      </c>
      <c r="D3780" s="2" t="s">
        <v>99</v>
      </c>
      <c r="E3780" s="2" t="s">
        <v>422</v>
      </c>
      <c r="F3780" s="11" t="s">
        <v>956</v>
      </c>
      <c r="G3780" s="11" t="s">
        <v>957</v>
      </c>
      <c r="H3780" s="2" t="s">
        <v>5585</v>
      </c>
      <c r="I3780" s="12" t="s">
        <v>5586</v>
      </c>
      <c r="J3780" s="41">
        <f>+Tabla1[[#This Row],[FECHA ENTRADA]]</f>
        <v>45874</v>
      </c>
      <c r="K3780" s="41">
        <v>45882</v>
      </c>
      <c r="L3780" s="42">
        <f>_xlfn.DAYS(Tabla1[[#This Row],[FECHA FIN ]],Tabla1[[#This Row],[FECHA INICIO]])</f>
        <v>8</v>
      </c>
      <c r="M3780" s="12"/>
      <c r="N3780" s="28">
        <v>275</v>
      </c>
      <c r="O3780" s="28">
        <f>(Tabla1[[#This Row],[COSTO FIJO ]]/30)*Tabla1[[#This Row],[TOTAL DIAS PROYECTO]]+(Tabla1[[#This Row],[COSTO TEMPORAL]])</f>
        <v>73.333333333333329</v>
      </c>
      <c r="P3780" s="12"/>
      <c r="Q3780" s="12">
        <f>+(Tabla1[[#This Row],[COSTO COCHE]]/30)*Tabla1[[#This Row],[TOTAL DIAS PROYECTO]]</f>
        <v>0</v>
      </c>
      <c r="R3780" s="12">
        <f>+Tabla1[[#This Row],[COSTO TOTAL ALOJAMIENTO]]+Tabla1[[#This Row],[COSTO TOTAL COCHE]]</f>
        <v>73.333333333333329</v>
      </c>
      <c r="S3780" s="2"/>
      <c r="T3780" s="14" t="s">
        <v>35</v>
      </c>
      <c r="U3780" s="14">
        <v>45874</v>
      </c>
      <c r="V3780" s="43"/>
      <c r="W3780" s="12"/>
      <c r="X3780" s="2">
        <v>5</v>
      </c>
      <c r="Y3780" s="11" t="s">
        <v>5587</v>
      </c>
      <c r="Z3780" s="2" t="s">
        <v>36</v>
      </c>
      <c r="AA3780" s="13">
        <v>-326.69799999999998</v>
      </c>
      <c r="AB3780" s="13" t="s">
        <v>10373</v>
      </c>
    </row>
    <row r="3781" spans="1:28" ht="15" customHeight="1">
      <c r="A3781" s="2" t="s">
        <v>9578</v>
      </c>
      <c r="B3781" s="2" t="s">
        <v>711</v>
      </c>
      <c r="C3781" s="97" t="s">
        <v>3738</v>
      </c>
      <c r="D3781" s="2" t="s">
        <v>99</v>
      </c>
      <c r="E3781" s="2" t="s">
        <v>626</v>
      </c>
      <c r="F3781" s="11" t="s">
        <v>1037</v>
      </c>
      <c r="G3781" s="11" t="s">
        <v>1038</v>
      </c>
      <c r="H3781" s="2" t="s">
        <v>5549</v>
      </c>
      <c r="I3781" s="12" t="s">
        <v>570</v>
      </c>
      <c r="J3781" s="22">
        <f>+Tabla1[[#This Row],[FECHA ENTRADA]]</f>
        <v>45942</v>
      </c>
      <c r="K3781" s="22">
        <v>45944</v>
      </c>
      <c r="L3781" s="23">
        <f>_xlfn.DAYS(Tabla1[[#This Row],[FECHA FIN ]],Tabla1[[#This Row],[FECHA INICIO]])</f>
        <v>2</v>
      </c>
      <c r="M3781" s="12"/>
      <c r="N3781" s="20">
        <v>366.66666666666669</v>
      </c>
      <c r="O3781" s="24">
        <f>(Tabla1[[#This Row],[COSTO FIJO ]]/30)*Tabla1[[#This Row],[TOTAL DIAS PROYECTO]]+(Tabla1[[#This Row],[COSTO TEMPORAL]])</f>
        <v>24.444444444444446</v>
      </c>
      <c r="P3781" s="12"/>
      <c r="Q3781" s="12">
        <f>+(Tabla1[[#This Row],[COSTO COCHE]]/30)*Tabla1[[#This Row],[TOTAL DIAS PROYECTO]]</f>
        <v>0</v>
      </c>
      <c r="R3781" s="12">
        <f>+Tabla1[[#This Row],[COSTO TOTAL ALOJAMIENTO]]+Tabla1[[#This Row],[COSTO TOTAL COCHE]]</f>
        <v>24.444444444444446</v>
      </c>
      <c r="S3781" s="2"/>
      <c r="T3781" s="14" t="s">
        <v>35</v>
      </c>
      <c r="U3781" s="14">
        <v>45942</v>
      </c>
      <c r="V3781" s="79"/>
      <c r="W3781" s="71"/>
      <c r="X3781" s="2">
        <v>5</v>
      </c>
      <c r="Y3781" s="67" t="s">
        <v>5588</v>
      </c>
      <c r="Z3781" s="2" t="s">
        <v>36</v>
      </c>
      <c r="AA3781" s="13" t="s">
        <v>10385</v>
      </c>
      <c r="AB3781" s="13" t="s">
        <v>10386</v>
      </c>
    </row>
    <row r="3782" spans="1:28" ht="15" customHeight="1">
      <c r="A3782" s="2" t="s">
        <v>9943</v>
      </c>
      <c r="B3782" s="2" t="s">
        <v>978</v>
      </c>
      <c r="C3782" s="104" t="s">
        <v>5589</v>
      </c>
      <c r="D3782" s="2" t="s">
        <v>30</v>
      </c>
      <c r="E3782" s="2" t="s">
        <v>1130</v>
      </c>
      <c r="F3782" s="11" t="s">
        <v>5440</v>
      </c>
      <c r="G3782" s="49" t="s">
        <v>5441</v>
      </c>
      <c r="H3782" s="2" t="s">
        <v>5442</v>
      </c>
      <c r="I3782" s="12" t="s">
        <v>5443</v>
      </c>
      <c r="J3782" s="22">
        <f>+Tabla1[[#This Row],[FECHA ENTRADA]]</f>
        <v>45929</v>
      </c>
      <c r="K3782" s="22">
        <v>45944</v>
      </c>
      <c r="L3782" s="23">
        <f>_xlfn.DAYS(Tabla1[[#This Row],[FECHA FIN ]],Tabla1[[#This Row],[FECHA INICIO]])</f>
        <v>15</v>
      </c>
      <c r="M3782" s="12">
        <f>145+180</f>
        <v>325</v>
      </c>
      <c r="N3782" s="24"/>
      <c r="O3782" s="24">
        <f>(Tabla1[[#This Row],[COSTO FIJO ]]/30)*Tabla1[[#This Row],[TOTAL DIAS PROYECTO]]+(Tabla1[[#This Row],[COSTO TEMPORAL]])</f>
        <v>325</v>
      </c>
      <c r="P3782" s="12"/>
      <c r="Q3782" s="12">
        <f>+(Tabla1[[#This Row],[COSTO COCHE]]/30)*Tabla1[[#This Row],[TOTAL DIAS PROYECTO]]</f>
        <v>0</v>
      </c>
      <c r="R3782" s="12">
        <f>+Tabla1[[#This Row],[COSTO TOTAL ALOJAMIENTO]]+Tabla1[[#This Row],[COSTO TOTAL COCHE]]</f>
        <v>325</v>
      </c>
      <c r="S3782" s="2"/>
      <c r="T3782" s="14" t="s">
        <v>44</v>
      </c>
      <c r="U3782" s="14">
        <v>45929</v>
      </c>
      <c r="V3782" s="25">
        <v>45944</v>
      </c>
      <c r="W3782" s="71"/>
      <c r="X3782" s="2"/>
      <c r="Y3782" s="11" t="s">
        <v>5590</v>
      </c>
      <c r="Z3782" s="2" t="s">
        <v>36</v>
      </c>
      <c r="AA3782" s="13" t="s">
        <v>10412</v>
      </c>
      <c r="AB3782" s="13">
        <v>4200955</v>
      </c>
    </row>
    <row r="3783" spans="1:28" ht="15" customHeight="1">
      <c r="A3783" s="2" t="s">
        <v>9554</v>
      </c>
      <c r="B3783" s="2" t="s">
        <v>978</v>
      </c>
      <c r="C3783" s="104" t="s">
        <v>3603</v>
      </c>
      <c r="D3783" s="2" t="s">
        <v>30</v>
      </c>
      <c r="E3783" s="2" t="s">
        <v>1130</v>
      </c>
      <c r="F3783" s="11" t="s">
        <v>5440</v>
      </c>
      <c r="G3783" s="49" t="s">
        <v>5441</v>
      </c>
      <c r="H3783" s="2" t="s">
        <v>5442</v>
      </c>
      <c r="I3783" s="12" t="s">
        <v>5443</v>
      </c>
      <c r="J3783" s="41">
        <f>+Tabla1[[#This Row],[FECHA ENTRADA]]</f>
        <v>45932</v>
      </c>
      <c r="K3783" s="22">
        <v>45944</v>
      </c>
      <c r="L3783" s="42">
        <f>_xlfn.DAYS(Tabla1[[#This Row],[FECHA FIN ]],Tabla1[[#This Row],[FECHA INICIO]])</f>
        <v>12</v>
      </c>
      <c r="M3783" s="12">
        <f>145+180</f>
        <v>325</v>
      </c>
      <c r="N3783" s="28"/>
      <c r="O3783" s="28">
        <f>(Tabla1[[#This Row],[COSTO FIJO ]]/30)*Tabla1[[#This Row],[TOTAL DIAS PROYECTO]]+(Tabla1[[#This Row],[COSTO TEMPORAL]])</f>
        <v>325</v>
      </c>
      <c r="P3783" s="12"/>
      <c r="Q3783" s="12">
        <f>+(Tabla1[[#This Row],[COSTO COCHE]]/30)*Tabla1[[#This Row],[TOTAL DIAS PROYECTO]]</f>
        <v>0</v>
      </c>
      <c r="R3783" s="12">
        <f>+Tabla1[[#This Row],[COSTO TOTAL ALOJAMIENTO]]+Tabla1[[#This Row],[COSTO TOTAL COCHE]]</f>
        <v>325</v>
      </c>
      <c r="S3783" s="2"/>
      <c r="T3783" s="14" t="s">
        <v>44</v>
      </c>
      <c r="U3783" s="14">
        <v>45932</v>
      </c>
      <c r="V3783" s="25">
        <v>45944</v>
      </c>
      <c r="W3783" s="71"/>
      <c r="X3783" s="2"/>
      <c r="Y3783" s="11" t="s">
        <v>5591</v>
      </c>
      <c r="Z3783" s="2" t="s">
        <v>36</v>
      </c>
      <c r="AA3783" s="13" t="s">
        <v>10412</v>
      </c>
      <c r="AB3783" s="13">
        <v>4200955</v>
      </c>
    </row>
    <row r="3784" spans="1:28" ht="15" customHeight="1">
      <c r="A3784" s="2" t="s">
        <v>9799</v>
      </c>
      <c r="B3784" s="2" t="s">
        <v>711</v>
      </c>
      <c r="C3784" s="97" t="s">
        <v>4801</v>
      </c>
      <c r="D3784" s="2" t="s">
        <v>99</v>
      </c>
      <c r="E3784" s="2" t="s">
        <v>1719</v>
      </c>
      <c r="F3784" s="11" t="s">
        <v>5592</v>
      </c>
      <c r="G3784" s="21" t="s">
        <v>5593</v>
      </c>
      <c r="H3784" s="2" t="s">
        <v>5138</v>
      </c>
      <c r="I3784" s="12" t="s">
        <v>5139</v>
      </c>
      <c r="J3784" s="41">
        <f>+Tabla1[[#This Row],[FECHA ENTRADA]]</f>
        <v>45931</v>
      </c>
      <c r="K3784" s="22">
        <v>45944</v>
      </c>
      <c r="L3784" s="42">
        <f>_xlfn.DAYS(Tabla1[[#This Row],[FECHA FIN ]],Tabla1[[#This Row],[FECHA INICIO]])</f>
        <v>13</v>
      </c>
      <c r="M3784" s="12">
        <v>395.5</v>
      </c>
      <c r="N3784" s="28"/>
      <c r="O3784" s="28">
        <f>(Tabla1[[#This Row],[COSTO FIJO ]]/30)*Tabla1[[#This Row],[TOTAL DIAS PROYECTO]]+(Tabla1[[#This Row],[COSTO TEMPORAL]])</f>
        <v>395.5</v>
      </c>
      <c r="P3784" s="12"/>
      <c r="Q3784" s="12">
        <f>+(Tabla1[[#This Row],[COSTO COCHE]]/30)*Tabla1[[#This Row],[TOTAL DIAS PROYECTO]]</f>
        <v>0</v>
      </c>
      <c r="R3784" s="12">
        <f>+Tabla1[[#This Row],[COSTO TOTAL ALOJAMIENTO]]+Tabla1[[#This Row],[COSTO TOTAL COCHE]]</f>
        <v>395.5</v>
      </c>
      <c r="S3784" s="2"/>
      <c r="T3784" s="14" t="s">
        <v>44</v>
      </c>
      <c r="U3784" s="14">
        <v>45931</v>
      </c>
      <c r="V3784" s="43">
        <v>45944</v>
      </c>
      <c r="W3784" s="71"/>
      <c r="X3784" s="2"/>
      <c r="Y3784" s="11" t="s">
        <v>5594</v>
      </c>
      <c r="Z3784" s="2" t="s">
        <v>36</v>
      </c>
      <c r="AA3784" s="13" t="s">
        <v>10427</v>
      </c>
      <c r="AB3784" s="13">
        <v>4260003</v>
      </c>
    </row>
    <row r="3785" spans="1:28" ht="15" customHeight="1">
      <c r="A3785" s="2" t="s">
        <v>9916</v>
      </c>
      <c r="B3785" s="2" t="s">
        <v>711</v>
      </c>
      <c r="C3785" s="97" t="s">
        <v>5400</v>
      </c>
      <c r="D3785" s="2" t="s">
        <v>99</v>
      </c>
      <c r="E3785" s="2" t="s">
        <v>1719</v>
      </c>
      <c r="F3785" s="11" t="s">
        <v>5592</v>
      </c>
      <c r="G3785" s="21" t="s">
        <v>5593</v>
      </c>
      <c r="H3785" s="2" t="s">
        <v>5403</v>
      </c>
      <c r="I3785" s="12" t="s">
        <v>5139</v>
      </c>
      <c r="J3785" s="41">
        <f>+Tabla1[[#This Row],[FECHA ENTRADA]]</f>
        <v>45931</v>
      </c>
      <c r="K3785" s="22">
        <v>45944</v>
      </c>
      <c r="L3785" s="42">
        <f>_xlfn.DAYS(Tabla1[[#This Row],[FECHA FIN ]],Tabla1[[#This Row],[FECHA INICIO]])</f>
        <v>13</v>
      </c>
      <c r="M3785" s="12">
        <v>395.5</v>
      </c>
      <c r="N3785" s="28"/>
      <c r="O3785" s="28">
        <f>(Tabla1[[#This Row],[COSTO FIJO ]]/30)*Tabla1[[#This Row],[TOTAL DIAS PROYECTO]]+(Tabla1[[#This Row],[COSTO TEMPORAL]])</f>
        <v>395.5</v>
      </c>
      <c r="P3785" s="12"/>
      <c r="Q3785" s="12">
        <f>+(Tabla1[[#This Row],[COSTO COCHE]]/30)*Tabla1[[#This Row],[TOTAL DIAS PROYECTO]]</f>
        <v>0</v>
      </c>
      <c r="R3785" s="12">
        <f>+Tabla1[[#This Row],[COSTO TOTAL ALOJAMIENTO]]+Tabla1[[#This Row],[COSTO TOTAL COCHE]]</f>
        <v>395.5</v>
      </c>
      <c r="S3785" s="2"/>
      <c r="T3785" s="14" t="s">
        <v>44</v>
      </c>
      <c r="U3785" s="14">
        <v>45931</v>
      </c>
      <c r="V3785" s="43">
        <v>45944</v>
      </c>
      <c r="W3785" s="71"/>
      <c r="X3785" s="2"/>
      <c r="Y3785" s="11" t="s">
        <v>5594</v>
      </c>
      <c r="Z3785" s="2" t="s">
        <v>36</v>
      </c>
      <c r="AA3785" s="13" t="s">
        <v>10427</v>
      </c>
      <c r="AB3785" s="13">
        <v>4260003</v>
      </c>
    </row>
    <row r="3786" spans="1:28" ht="15" customHeight="1">
      <c r="A3786" s="2" t="s">
        <v>9944</v>
      </c>
      <c r="B3786" s="2" t="s">
        <v>978</v>
      </c>
      <c r="C3786" s="97" t="s">
        <v>5595</v>
      </c>
      <c r="D3786" s="2" t="s">
        <v>99</v>
      </c>
      <c r="E3786" s="2" t="s">
        <v>1393</v>
      </c>
      <c r="F3786" s="11" t="s">
        <v>5124</v>
      </c>
      <c r="G3786" s="49" t="s">
        <v>5125</v>
      </c>
      <c r="H3786" s="2" t="s">
        <v>5596</v>
      </c>
      <c r="I3786" s="12" t="s">
        <v>5597</v>
      </c>
      <c r="J3786" s="22">
        <f>+Tabla1[[#This Row],[FECHA ENTRADA]]</f>
        <v>45880</v>
      </c>
      <c r="K3786" s="22">
        <v>45944</v>
      </c>
      <c r="L3786" s="23">
        <f>_xlfn.DAYS(Tabla1[[#This Row],[FECHA FIN ]],Tabla1[[#This Row],[FECHA INICIO]])</f>
        <v>64</v>
      </c>
      <c r="M3786" s="12"/>
      <c r="N3786" s="24"/>
      <c r="O3786" s="24">
        <f>(Tabla1[[#This Row],[COSTO FIJO ]]/30)*Tabla1[[#This Row],[TOTAL DIAS PROYECTO]]+(Tabla1[[#This Row],[COSTO TEMPORAL]])</f>
        <v>0</v>
      </c>
      <c r="P3786" s="12"/>
      <c r="Q3786" s="12">
        <f>+(Tabla1[[#This Row],[COSTO COCHE]]/30)*Tabla1[[#This Row],[TOTAL DIAS PROYECTO]]</f>
        <v>0</v>
      </c>
      <c r="R3786" s="12">
        <f>+Tabla1[[#This Row],[COSTO TOTAL ALOJAMIENTO]]+Tabla1[[#This Row],[COSTO TOTAL COCHE]]</f>
        <v>0</v>
      </c>
      <c r="S3786" s="2"/>
      <c r="T3786" s="14" t="s">
        <v>44</v>
      </c>
      <c r="U3786" s="14">
        <v>45880</v>
      </c>
      <c r="V3786" s="25">
        <v>45958</v>
      </c>
      <c r="W3786" s="12"/>
      <c r="X3786" s="2"/>
      <c r="Y3786" s="11" t="s">
        <v>5598</v>
      </c>
      <c r="Z3786" s="2" t="s">
        <v>36</v>
      </c>
      <c r="AA3786" s="13" t="s">
        <v>10416</v>
      </c>
      <c r="AB3786" s="13" t="s">
        <v>10417</v>
      </c>
    </row>
    <row r="3787" spans="1:28" ht="15" customHeight="1">
      <c r="A3787" s="2" t="s">
        <v>9194</v>
      </c>
      <c r="B3787" s="2" t="s">
        <v>978</v>
      </c>
      <c r="C3787" s="97" t="s">
        <v>2396</v>
      </c>
      <c r="D3787" s="2" t="s">
        <v>99</v>
      </c>
      <c r="E3787" s="2" t="s">
        <v>1393</v>
      </c>
      <c r="F3787" s="11" t="s">
        <v>5124</v>
      </c>
      <c r="G3787" s="49" t="s">
        <v>5125</v>
      </c>
      <c r="H3787" s="2" t="s">
        <v>5599</v>
      </c>
      <c r="I3787" s="12" t="s">
        <v>4296</v>
      </c>
      <c r="J3787" s="41">
        <f>+Tabla1[[#This Row],[FECHA ENTRADA]]</f>
        <v>45921</v>
      </c>
      <c r="K3787" s="22">
        <v>45944</v>
      </c>
      <c r="L3787" s="42">
        <f>_xlfn.DAYS(Tabla1[[#This Row],[FECHA FIN ]],Tabla1[[#This Row],[FECHA INICIO]])</f>
        <v>23</v>
      </c>
      <c r="M3787" s="12"/>
      <c r="N3787" s="28"/>
      <c r="O3787" s="28">
        <f>(Tabla1[[#This Row],[COSTO FIJO ]]/30)*Tabla1[[#This Row],[TOTAL DIAS PROYECTO]]+(Tabla1[[#This Row],[COSTO TEMPORAL]])</f>
        <v>0</v>
      </c>
      <c r="P3787" s="12"/>
      <c r="Q3787" s="12">
        <f>+(Tabla1[[#This Row],[COSTO COCHE]]/30)*Tabla1[[#This Row],[TOTAL DIAS PROYECTO]]</f>
        <v>0</v>
      </c>
      <c r="R3787" s="12">
        <f>+Tabla1[[#This Row],[COSTO TOTAL ALOJAMIENTO]]+Tabla1[[#This Row],[COSTO TOTAL COCHE]]</f>
        <v>0</v>
      </c>
      <c r="S3787" s="2"/>
      <c r="T3787" s="14" t="s">
        <v>44</v>
      </c>
      <c r="U3787" s="14">
        <v>45921</v>
      </c>
      <c r="V3787" s="25">
        <v>45958</v>
      </c>
      <c r="W3787" s="71"/>
      <c r="X3787" s="2"/>
      <c r="Y3787" s="11" t="s">
        <v>5598</v>
      </c>
      <c r="Z3787" s="2" t="s">
        <v>36</v>
      </c>
      <c r="AA3787" s="13" t="s">
        <v>10416</v>
      </c>
      <c r="AB3787" s="13" t="s">
        <v>10417</v>
      </c>
    </row>
    <row r="3788" spans="1:28" ht="15" customHeight="1">
      <c r="A3788" s="2" t="s">
        <v>9843</v>
      </c>
      <c r="B3788" s="2" t="s">
        <v>711</v>
      </c>
      <c r="C3788" s="97" t="s">
        <v>5021</v>
      </c>
      <c r="D3788" s="2" t="s">
        <v>30</v>
      </c>
      <c r="E3788" s="2" t="s">
        <v>31</v>
      </c>
      <c r="F3788" s="11" t="s">
        <v>5258</v>
      </c>
      <c r="G3788" s="49" t="s">
        <v>5083</v>
      </c>
      <c r="H3788" s="2" t="s">
        <v>5600</v>
      </c>
      <c r="I3788" s="12" t="s">
        <v>5601</v>
      </c>
      <c r="J3788" s="22">
        <f>+Tabla1[[#This Row],[FECHA ENTRADA]]</f>
        <v>45908</v>
      </c>
      <c r="K3788" s="22">
        <v>45921</v>
      </c>
      <c r="L3788" s="23">
        <f>_xlfn.DAYS(Tabla1[[#This Row],[FECHA FIN ]],Tabla1[[#This Row],[FECHA INICIO]])</f>
        <v>13</v>
      </c>
      <c r="M3788" s="12"/>
      <c r="N3788" s="12"/>
      <c r="O3788" s="24">
        <f>(Tabla1[[#This Row],[COSTO FIJO ]]/30)*Tabla1[[#This Row],[TOTAL DIAS PROYECTO]]+(Tabla1[[#This Row],[COSTO TEMPORAL]])</f>
        <v>0</v>
      </c>
      <c r="P3788" s="12"/>
      <c r="Q3788" s="12">
        <f>+(Tabla1[[#This Row],[COSTO COCHE]]/30)*Tabla1[[#This Row],[TOTAL DIAS PROYECTO]]</f>
        <v>0</v>
      </c>
      <c r="R3788" s="12">
        <f>+Tabla1[[#This Row],[COSTO TOTAL ALOJAMIENTO]]+Tabla1[[#This Row],[COSTO TOTAL COCHE]]</f>
        <v>0</v>
      </c>
      <c r="S3788" s="2"/>
      <c r="T3788" s="14" t="s">
        <v>44</v>
      </c>
      <c r="U3788" s="14">
        <v>45908</v>
      </c>
      <c r="V3788" s="79">
        <v>45928</v>
      </c>
      <c r="W3788" s="71">
        <v>500</v>
      </c>
      <c r="X3788" s="2">
        <v>25</v>
      </c>
      <c r="Y3788" s="11" t="s">
        <v>5602</v>
      </c>
      <c r="Z3788" s="2" t="s">
        <v>36</v>
      </c>
      <c r="AA3788" s="13" t="s">
        <v>10323</v>
      </c>
      <c r="AB3788" s="13" t="s">
        <v>10324</v>
      </c>
    </row>
    <row r="3789" spans="1:28" ht="15" customHeight="1">
      <c r="A3789" s="2" t="s">
        <v>8903</v>
      </c>
      <c r="B3789" s="2" t="s">
        <v>28</v>
      </c>
      <c r="C3789" s="104" t="s">
        <v>1213</v>
      </c>
      <c r="D3789" s="2" t="s">
        <v>30</v>
      </c>
      <c r="E3789" s="2" t="s">
        <v>626</v>
      </c>
      <c r="F3789" s="11" t="s">
        <v>2792</v>
      </c>
      <c r="G3789" s="11">
        <v>34622279691</v>
      </c>
      <c r="H3789" s="2" t="s">
        <v>868</v>
      </c>
      <c r="I3789" s="12" t="s">
        <v>570</v>
      </c>
      <c r="J3789" s="8">
        <f>+Tabla1[[#This Row],[FECHA ENTRADA]]</f>
        <v>45488</v>
      </c>
      <c r="K3789" s="22">
        <v>45821</v>
      </c>
      <c r="L3789" s="13">
        <f>_xlfn.DAYS(Tabla1[[#This Row],[FECHA FIN ]],Tabla1[[#This Row],[FECHA INICIO]])</f>
        <v>333</v>
      </c>
      <c r="M3789" s="12"/>
      <c r="N3789" s="12"/>
      <c r="O3789" s="12">
        <f>(Tabla1[[#This Row],[COSTO FIJO ]]/30)*Tabla1[[#This Row],[TOTAL DIAS PROYECTO]]+(Tabla1[[#This Row],[COSTO TEMPORAL]])</f>
        <v>0</v>
      </c>
      <c r="P3789" s="12"/>
      <c r="Q3789" s="12">
        <f>+(Tabla1[[#This Row],[COSTO COCHE]]/30)*Tabla1[[#This Row],[TOTAL DIAS PROYECTO]]</f>
        <v>0</v>
      </c>
      <c r="R3789" s="12">
        <f>+Tabla1[[#This Row],[COSTO TOTAL ALOJAMIENTO]]+Tabla1[[#This Row],[COSTO TOTAL COCHE]]</f>
        <v>0</v>
      </c>
      <c r="S3789" s="2"/>
      <c r="T3789" s="2" t="s">
        <v>35</v>
      </c>
      <c r="U3789" s="14">
        <v>45488</v>
      </c>
      <c r="V3789" s="14"/>
      <c r="W3789" s="26">
        <v>380</v>
      </c>
      <c r="X3789" s="2"/>
      <c r="Y3789" s="18" t="s">
        <v>3942</v>
      </c>
      <c r="Z3789" s="2" t="s">
        <v>36</v>
      </c>
      <c r="AA3789" s="13" t="s">
        <v>10385</v>
      </c>
      <c r="AB3789" s="13" t="s">
        <v>10386</v>
      </c>
    </row>
    <row r="3790" spans="1:28" ht="15" customHeight="1">
      <c r="A3790" s="2" t="s">
        <v>9494</v>
      </c>
      <c r="B3790" s="2" t="s">
        <v>978</v>
      </c>
      <c r="C3790" s="97" t="s">
        <v>3374</v>
      </c>
      <c r="D3790" s="2" t="s">
        <v>99</v>
      </c>
      <c r="E3790" s="2" t="s">
        <v>1130</v>
      </c>
      <c r="F3790" s="11" t="s">
        <v>1131</v>
      </c>
      <c r="G3790" s="11" t="s">
        <v>1132</v>
      </c>
      <c r="H3790" s="2" t="s">
        <v>4431</v>
      </c>
      <c r="I3790" s="12" t="s">
        <v>4432</v>
      </c>
      <c r="J3790" s="41">
        <f>+Tabla1[[#This Row],[FECHA ENTRADA]]</f>
        <v>45853</v>
      </c>
      <c r="K3790" s="41">
        <v>45945</v>
      </c>
      <c r="L3790" s="42">
        <f>_xlfn.DAYS(Tabla1[[#This Row],[FECHA FIN ]],Tabla1[[#This Row],[FECHA INICIO]])</f>
        <v>92</v>
      </c>
      <c r="M3790" s="12"/>
      <c r="N3790" s="24">
        <v>250</v>
      </c>
      <c r="O3790" s="28">
        <f>(Tabla1[[#This Row],[COSTO FIJO ]]/30)*Tabla1[[#This Row],[TOTAL DIAS PROYECTO]]+(Tabla1[[#This Row],[COSTO TEMPORAL]])</f>
        <v>766.66666666666674</v>
      </c>
      <c r="P3790" s="12"/>
      <c r="Q3790" s="12">
        <f>+(Tabla1[[#This Row],[COSTO COCHE]]/30)*Tabla1[[#This Row],[TOTAL DIAS PROYECTO]]</f>
        <v>0</v>
      </c>
      <c r="R3790" s="12">
        <f>+Tabla1[[#This Row],[COSTO TOTAL ALOJAMIENTO]]+Tabla1[[#This Row],[COSTO TOTAL COCHE]]</f>
        <v>766.66666666666674</v>
      </c>
      <c r="S3790" s="2"/>
      <c r="T3790" s="14" t="s">
        <v>35</v>
      </c>
      <c r="U3790" s="14">
        <v>45853</v>
      </c>
      <c r="V3790" s="43"/>
      <c r="W3790" s="12">
        <v>1000</v>
      </c>
      <c r="X3790" s="2">
        <v>14</v>
      </c>
      <c r="Y3790" s="136" t="s">
        <v>5603</v>
      </c>
      <c r="Z3790" s="2" t="s">
        <v>36</v>
      </c>
      <c r="AA3790" s="13" t="s">
        <v>10412</v>
      </c>
      <c r="AB3790" s="13">
        <v>4200955</v>
      </c>
    </row>
    <row r="3791" spans="1:28" ht="15" customHeight="1">
      <c r="A3791" s="2" t="s">
        <v>9765</v>
      </c>
      <c r="B3791" s="2" t="s">
        <v>978</v>
      </c>
      <c r="C3791" s="97" t="s">
        <v>4648</v>
      </c>
      <c r="D3791" s="2" t="s">
        <v>30</v>
      </c>
      <c r="E3791" s="2" t="s">
        <v>4467</v>
      </c>
      <c r="F3791" s="11" t="s">
        <v>5604</v>
      </c>
      <c r="G3791" s="21" t="s">
        <v>5605</v>
      </c>
      <c r="H3791" s="2" t="s">
        <v>4279</v>
      </c>
      <c r="I3791" s="12" t="s">
        <v>4276</v>
      </c>
      <c r="J3791" s="22">
        <f>+Tabla1[[#This Row],[FECHA ENTRADA]]</f>
        <v>45940</v>
      </c>
      <c r="K3791" s="22">
        <v>45945</v>
      </c>
      <c r="L3791" s="23">
        <f>_xlfn.DAYS(Tabla1[[#This Row],[FECHA FIN ]],Tabla1[[#This Row],[FECHA INICIO]])</f>
        <v>5</v>
      </c>
      <c r="M3791" s="12">
        <v>100</v>
      </c>
      <c r="N3791" s="20"/>
      <c r="O3791" s="24">
        <f>(Tabla1[[#This Row],[COSTO FIJO ]]/30)*Tabla1[[#This Row],[TOTAL DIAS PROYECTO]]+(Tabla1[[#This Row],[COSTO TEMPORAL]])</f>
        <v>100</v>
      </c>
      <c r="P3791" s="12"/>
      <c r="Q3791" s="12">
        <f>+(Tabla1[[#This Row],[COSTO COCHE]]/30)*Tabla1[[#This Row],[TOTAL DIAS PROYECTO]]</f>
        <v>0</v>
      </c>
      <c r="R3791" s="12">
        <f>+Tabla1[[#This Row],[COSTO TOTAL ALOJAMIENTO]]+Tabla1[[#This Row],[COSTO TOTAL COCHE]]</f>
        <v>100</v>
      </c>
      <c r="S3791" s="2"/>
      <c r="T3791" s="14" t="s">
        <v>44</v>
      </c>
      <c r="U3791" s="14">
        <v>45940</v>
      </c>
      <c r="V3791" s="79">
        <v>45945</v>
      </c>
      <c r="W3791" s="71"/>
      <c r="X3791" s="2"/>
      <c r="Y3791" s="11" t="s">
        <v>5606</v>
      </c>
      <c r="Z3791" s="2" t="s">
        <v>36</v>
      </c>
      <c r="AA3791" s="13" t="s">
        <v>10447</v>
      </c>
      <c r="AB3791" s="13" t="s">
        <v>10448</v>
      </c>
    </row>
    <row r="3792" spans="1:28" ht="15" customHeight="1">
      <c r="A3792" s="2" t="s">
        <v>9212</v>
      </c>
      <c r="B3792" s="2" t="s">
        <v>711</v>
      </c>
      <c r="C3792" s="104" t="s">
        <v>2461</v>
      </c>
      <c r="D3792" s="2" t="s">
        <v>78</v>
      </c>
      <c r="E3792" s="2" t="s">
        <v>5607</v>
      </c>
      <c r="F3792" s="11" t="s">
        <v>5608</v>
      </c>
      <c r="G3792" s="46" t="s">
        <v>5609</v>
      </c>
      <c r="H3792" s="2" t="s">
        <v>5610</v>
      </c>
      <c r="I3792" s="12" t="s">
        <v>5611</v>
      </c>
      <c r="J3792" s="41">
        <f>+Tabla1[[#This Row],[FECHA ENTRADA]]</f>
        <v>45930</v>
      </c>
      <c r="K3792" s="22">
        <v>45945</v>
      </c>
      <c r="L3792" s="42">
        <f>_xlfn.DAYS(Tabla1[[#This Row],[FECHA FIN ]],Tabla1[[#This Row],[FECHA INICIO]])</f>
        <v>15</v>
      </c>
      <c r="M3792" s="12">
        <v>588.57000000000005</v>
      </c>
      <c r="N3792" s="28"/>
      <c r="O3792" s="28">
        <f>(Tabla1[[#This Row],[COSTO FIJO ]]/30)*Tabla1[[#This Row],[TOTAL DIAS PROYECTO]]+(Tabla1[[#This Row],[COSTO TEMPORAL]])</f>
        <v>588.57000000000005</v>
      </c>
      <c r="P3792" s="12"/>
      <c r="Q3792" s="12">
        <f>+(Tabla1[[#This Row],[COSTO COCHE]]/30)*Tabla1[[#This Row],[TOTAL DIAS PROYECTO]]</f>
        <v>0</v>
      </c>
      <c r="R3792" s="12">
        <f>+Tabla1[[#This Row],[COSTO TOTAL ALOJAMIENTO]]+Tabla1[[#This Row],[COSTO TOTAL COCHE]]</f>
        <v>588.57000000000005</v>
      </c>
      <c r="S3792" s="2" t="s">
        <v>84</v>
      </c>
      <c r="T3792" s="14" t="s">
        <v>44</v>
      </c>
      <c r="U3792" s="14">
        <v>45930</v>
      </c>
      <c r="V3792" s="43">
        <v>45945</v>
      </c>
      <c r="W3792" s="71"/>
      <c r="X3792" s="2"/>
      <c r="Y3792" s="11" t="s">
        <v>1361</v>
      </c>
      <c r="Z3792" s="2" t="s">
        <v>36</v>
      </c>
      <c r="AA3792" s="13" t="e">
        <v>#N/A</v>
      </c>
      <c r="AB3792" s="13" t="e">
        <v>#N/A</v>
      </c>
    </row>
    <row r="3793" spans="1:28" ht="15" customHeight="1">
      <c r="A3793" s="2" t="s">
        <v>9781</v>
      </c>
      <c r="B3793" s="2" t="s">
        <v>711</v>
      </c>
      <c r="C3793" s="104" t="s">
        <v>4720</v>
      </c>
      <c r="D3793" s="2" t="s">
        <v>30</v>
      </c>
      <c r="E3793" s="2" t="s">
        <v>626</v>
      </c>
      <c r="F3793" s="11" t="s">
        <v>5547</v>
      </c>
      <c r="G3793" s="21" t="s">
        <v>5548</v>
      </c>
      <c r="H3793" s="2" t="s">
        <v>4916</v>
      </c>
      <c r="I3793" s="12" t="s">
        <v>570</v>
      </c>
      <c r="J3793" s="22">
        <f>+Tabla1[[#This Row],[FECHA ENTRADA]]</f>
        <v>45941</v>
      </c>
      <c r="K3793" s="41">
        <v>45945</v>
      </c>
      <c r="L3793" s="23">
        <f>_xlfn.DAYS(Tabla1[[#This Row],[FECHA FIN ]],Tabla1[[#This Row],[FECHA INICIO]])</f>
        <v>4</v>
      </c>
      <c r="M3793" s="12">
        <f>230+102.4+152</f>
        <v>484.4</v>
      </c>
      <c r="N3793" s="20"/>
      <c r="O3793" s="24">
        <f>(Tabla1[[#This Row],[COSTO FIJO ]]/30)*Tabla1[[#This Row],[TOTAL DIAS PROYECTO]]+(Tabla1[[#This Row],[COSTO TEMPORAL]])</f>
        <v>484.4</v>
      </c>
      <c r="P3793" s="12"/>
      <c r="Q3793" s="12">
        <f>+(Tabla1[[#This Row],[COSTO COCHE]]/30)*Tabla1[[#This Row],[TOTAL DIAS PROYECTO]]</f>
        <v>0</v>
      </c>
      <c r="R3793" s="12">
        <f>+Tabla1[[#This Row],[COSTO TOTAL ALOJAMIENTO]]+Tabla1[[#This Row],[COSTO TOTAL COCHE]]</f>
        <v>484.4</v>
      </c>
      <c r="S3793" s="2"/>
      <c r="T3793" s="14" t="s">
        <v>44</v>
      </c>
      <c r="U3793" s="14">
        <v>45941</v>
      </c>
      <c r="V3793" s="79">
        <v>45951</v>
      </c>
      <c r="W3793" s="71"/>
      <c r="X3793" s="2"/>
      <c r="Y3793" s="11" t="s">
        <v>5612</v>
      </c>
      <c r="Z3793" s="2" t="s">
        <v>36</v>
      </c>
      <c r="AA3793" s="13" t="s">
        <v>10385</v>
      </c>
      <c r="AB3793" s="13" t="s">
        <v>10386</v>
      </c>
    </row>
    <row r="3794" spans="1:28" ht="15" customHeight="1">
      <c r="A3794" s="2" t="s">
        <v>9925</v>
      </c>
      <c r="B3794" s="2" t="s">
        <v>28</v>
      </c>
      <c r="C3794" s="104" t="s">
        <v>5472</v>
      </c>
      <c r="D3794" s="2" t="s">
        <v>30</v>
      </c>
      <c r="E3794" s="2" t="s">
        <v>626</v>
      </c>
      <c r="F3794" s="11" t="s">
        <v>5547</v>
      </c>
      <c r="G3794" s="21" t="s">
        <v>5548</v>
      </c>
      <c r="H3794" s="2" t="s">
        <v>5473</v>
      </c>
      <c r="I3794" s="12" t="s">
        <v>570</v>
      </c>
      <c r="J3794" s="22">
        <f>+Tabla1[[#This Row],[FECHA ENTRADA]]</f>
        <v>45937</v>
      </c>
      <c r="K3794" s="41">
        <v>45945</v>
      </c>
      <c r="L3794" s="23">
        <f>_xlfn.DAYS(Tabla1[[#This Row],[FECHA FIN ]],Tabla1[[#This Row],[FECHA INICIO]])</f>
        <v>8</v>
      </c>
      <c r="M3794" s="12">
        <v>230</v>
      </c>
      <c r="N3794" s="20"/>
      <c r="O3794" s="24">
        <f>(Tabla1[[#This Row],[COSTO FIJO ]]/30)*Tabla1[[#This Row],[TOTAL DIAS PROYECTO]]+(Tabla1[[#This Row],[COSTO TEMPORAL]])</f>
        <v>230</v>
      </c>
      <c r="P3794" s="12"/>
      <c r="Q3794" s="12">
        <f>+(Tabla1[[#This Row],[COSTO COCHE]]/30)*Tabla1[[#This Row],[TOTAL DIAS PROYECTO]]</f>
        <v>0</v>
      </c>
      <c r="R3794" s="12">
        <f>+Tabla1[[#This Row],[COSTO TOTAL ALOJAMIENTO]]+Tabla1[[#This Row],[COSTO TOTAL COCHE]]</f>
        <v>230</v>
      </c>
      <c r="S3794" s="2"/>
      <c r="T3794" s="14" t="s">
        <v>44</v>
      </c>
      <c r="U3794" s="14">
        <v>45937</v>
      </c>
      <c r="V3794" s="79">
        <v>45945</v>
      </c>
      <c r="W3794" s="71"/>
      <c r="X3794" s="2"/>
      <c r="Y3794" s="11" t="s">
        <v>5613</v>
      </c>
      <c r="Z3794" s="2" t="s">
        <v>36</v>
      </c>
      <c r="AA3794" s="13" t="s">
        <v>10385</v>
      </c>
      <c r="AB3794" s="13" t="s">
        <v>10386</v>
      </c>
    </row>
    <row r="3795" spans="1:28" ht="15" customHeight="1">
      <c r="A3795" s="2" t="s">
        <v>8642</v>
      </c>
      <c r="B3795" s="2" t="s">
        <v>978</v>
      </c>
      <c r="C3795" s="104" t="s">
        <v>5614</v>
      </c>
      <c r="D3795" s="184" t="s">
        <v>99</v>
      </c>
      <c r="E3795" s="2" t="s">
        <v>985</v>
      </c>
      <c r="F3795" s="11" t="s">
        <v>5615</v>
      </c>
      <c r="G3795" s="49" t="s">
        <v>5616</v>
      </c>
      <c r="H3795" s="2" t="s">
        <v>5617</v>
      </c>
      <c r="I3795" s="12" t="s">
        <v>5618</v>
      </c>
      <c r="J3795" s="22">
        <f>+Tabla1[[#This Row],[FECHA ENTRADA]]</f>
        <v>45945</v>
      </c>
      <c r="K3795" s="22">
        <v>45945</v>
      </c>
      <c r="L3795" s="23">
        <f>_xlfn.DAYS(Tabla1[[#This Row],[FECHA FIN ]],Tabla1[[#This Row],[FECHA INICIO]])</f>
        <v>0</v>
      </c>
      <c r="M3795" s="12">
        <f>1659.2/5</f>
        <v>331.84000000000003</v>
      </c>
      <c r="N3795" s="20"/>
      <c r="O3795" s="24">
        <f>(Tabla1[[#This Row],[COSTO FIJO ]]/30)*Tabla1[[#This Row],[TOTAL DIAS PROYECTO]]+(Tabla1[[#This Row],[COSTO TEMPORAL]])</f>
        <v>331.84000000000003</v>
      </c>
      <c r="P3795" s="12"/>
      <c r="Q3795" s="12">
        <f>+(Tabla1[[#This Row],[COSTO COCHE]]/30)*Tabla1[[#This Row],[TOTAL DIAS PROYECTO]]</f>
        <v>0</v>
      </c>
      <c r="R3795" s="12">
        <f>+Tabla1[[#This Row],[COSTO TOTAL ALOJAMIENTO]]+Tabla1[[#This Row],[COSTO TOTAL COCHE]]</f>
        <v>331.84000000000003</v>
      </c>
      <c r="S3795" s="2" t="s">
        <v>84</v>
      </c>
      <c r="T3795" s="14" t="s">
        <v>44</v>
      </c>
      <c r="U3795" s="14">
        <v>45945</v>
      </c>
      <c r="V3795" s="43">
        <v>45972</v>
      </c>
      <c r="W3795" s="71"/>
      <c r="X3795" s="2"/>
      <c r="Y3795" s="11" t="s">
        <v>5619</v>
      </c>
      <c r="Z3795" s="2" t="s">
        <v>36</v>
      </c>
      <c r="AA3795" s="13" t="s">
        <v>10407</v>
      </c>
      <c r="AB3795" s="13" t="s">
        <v>10408</v>
      </c>
    </row>
    <row r="3796" spans="1:28" ht="15" customHeight="1">
      <c r="A3796" s="2" t="s">
        <v>9422</v>
      </c>
      <c r="B3796" s="2" t="s">
        <v>978</v>
      </c>
      <c r="C3796" s="97" t="s">
        <v>3118</v>
      </c>
      <c r="D3796" s="2" t="s">
        <v>30</v>
      </c>
      <c r="E3796" s="2" t="s">
        <v>4467</v>
      </c>
      <c r="F3796" s="11" t="s">
        <v>5604</v>
      </c>
      <c r="G3796" s="21" t="s">
        <v>5605</v>
      </c>
      <c r="H3796" s="157" t="s">
        <v>1363</v>
      </c>
      <c r="I3796" s="158" t="s">
        <v>4276</v>
      </c>
      <c r="J3796" s="22">
        <f>+Tabla1[[#This Row],[FECHA ENTRADA]]</f>
        <v>45940</v>
      </c>
      <c r="K3796" s="22">
        <v>45945</v>
      </c>
      <c r="L3796" s="23">
        <f>_xlfn.DAYS(Tabla1[[#This Row],[FECHA FIN ]],Tabla1[[#This Row],[FECHA INICIO]])</f>
        <v>5</v>
      </c>
      <c r="M3796" s="12">
        <v>100</v>
      </c>
      <c r="N3796" s="20"/>
      <c r="O3796" s="24">
        <f>(Tabla1[[#This Row],[COSTO FIJO ]]/30)*Tabla1[[#This Row],[TOTAL DIAS PROYECTO]]+(Tabla1[[#This Row],[COSTO TEMPORAL]])</f>
        <v>100</v>
      </c>
      <c r="P3796" s="12"/>
      <c r="Q3796" s="12">
        <f>+(Tabla1[[#This Row],[COSTO COCHE]]/30)*Tabla1[[#This Row],[TOTAL DIAS PROYECTO]]</f>
        <v>0</v>
      </c>
      <c r="R3796" s="12">
        <f>+Tabla1[[#This Row],[COSTO TOTAL ALOJAMIENTO]]+Tabla1[[#This Row],[COSTO TOTAL COCHE]]</f>
        <v>100</v>
      </c>
      <c r="S3796" s="2"/>
      <c r="T3796" s="14" t="s">
        <v>44</v>
      </c>
      <c r="U3796" s="14">
        <v>45940</v>
      </c>
      <c r="V3796" s="79">
        <v>45945</v>
      </c>
      <c r="W3796" s="71"/>
      <c r="X3796" s="2"/>
      <c r="Y3796" s="11" t="s">
        <v>5620</v>
      </c>
      <c r="Z3796" s="2" t="s">
        <v>36</v>
      </c>
      <c r="AA3796" s="13" t="s">
        <v>10447</v>
      </c>
      <c r="AB3796" s="13" t="s">
        <v>10448</v>
      </c>
    </row>
    <row r="3797" spans="1:28" ht="15" customHeight="1">
      <c r="A3797" s="2" t="s">
        <v>8862</v>
      </c>
      <c r="B3797" s="2" t="s">
        <v>28</v>
      </c>
      <c r="C3797" s="223" t="s">
        <v>1060</v>
      </c>
      <c r="D3797" s="2" t="s">
        <v>30</v>
      </c>
      <c r="E3797" s="2" t="s">
        <v>648</v>
      </c>
      <c r="F3797" s="11" t="s">
        <v>1544</v>
      </c>
      <c r="G3797" s="11" t="s">
        <v>1545</v>
      </c>
      <c r="H3797" s="2" t="s">
        <v>5621</v>
      </c>
      <c r="I3797" s="12" t="s">
        <v>96</v>
      </c>
      <c r="J3797" s="41">
        <f>+Tabla1[[#This Row],[FECHA ENTRADA]]</f>
        <v>45671</v>
      </c>
      <c r="K3797" s="22">
        <v>45689</v>
      </c>
      <c r="L3797" s="42">
        <f>_xlfn.DAYS(Tabla1[[#This Row],[FECHA FIN ]],Tabla1[[#This Row],[FECHA INICIO]])</f>
        <v>18</v>
      </c>
      <c r="M3797" s="12"/>
      <c r="N3797" s="12">
        <v>181.25</v>
      </c>
      <c r="O3797" s="28">
        <f>(Tabla1[[#This Row],[COSTO FIJO ]]/30)*Tabla1[[#This Row],[TOTAL DIAS PROYECTO]]+(Tabla1[[#This Row],[COSTO TEMPORAL]])</f>
        <v>108.75</v>
      </c>
      <c r="P3797" s="12"/>
      <c r="Q3797" s="12">
        <f>+(Tabla1[[#This Row],[COSTO COCHE]]/30)*Tabla1[[#This Row],[TOTAL DIAS PROYECTO]]</f>
        <v>0</v>
      </c>
      <c r="R3797" s="12">
        <f>+Tabla1[[#This Row],[COSTO TOTAL ALOJAMIENTO]]+Tabla1[[#This Row],[COSTO TOTAL COCHE]]</f>
        <v>108.75</v>
      </c>
      <c r="S3797" s="2"/>
      <c r="T3797" s="2" t="s">
        <v>35</v>
      </c>
      <c r="U3797" s="14">
        <v>45671</v>
      </c>
      <c r="V3797" s="43"/>
      <c r="W3797" s="26"/>
      <c r="X3797" s="2">
        <v>1</v>
      </c>
      <c r="Y3797" s="11" t="s">
        <v>2635</v>
      </c>
      <c r="Z3797" s="2" t="s">
        <v>36</v>
      </c>
      <c r="AA3797" s="13" t="s">
        <v>10387</v>
      </c>
      <c r="AB3797" s="13" t="s">
        <v>10388</v>
      </c>
    </row>
    <row r="3798" spans="1:28" ht="15" customHeight="1">
      <c r="A3798" s="2" t="s">
        <v>9750</v>
      </c>
      <c r="B3798" s="2" t="s">
        <v>978</v>
      </c>
      <c r="C3798" s="31" t="s">
        <v>4554</v>
      </c>
      <c r="D3798" s="2" t="s">
        <v>30</v>
      </c>
      <c r="E3798" s="2" t="s">
        <v>253</v>
      </c>
      <c r="F3798" s="11" t="s">
        <v>1883</v>
      </c>
      <c r="G3798" s="30" t="s">
        <v>1693</v>
      </c>
      <c r="H3798" s="2" t="s">
        <v>2838</v>
      </c>
      <c r="I3798" s="12" t="s">
        <v>1155</v>
      </c>
      <c r="J3798" s="22">
        <f>+Tabla1[[#This Row],[FECHA ENTRADA]]</f>
        <v>45861</v>
      </c>
      <c r="K3798" s="22">
        <v>45946</v>
      </c>
      <c r="L3798" s="23">
        <f>_xlfn.DAYS(Tabla1[[#This Row],[FECHA FIN ]],Tabla1[[#This Row],[FECHA INICIO]])</f>
        <v>85</v>
      </c>
      <c r="M3798" s="12"/>
      <c r="N3798" s="12">
        <v>480</v>
      </c>
      <c r="O3798" s="24">
        <f>(Tabla1[[#This Row],[COSTO FIJO ]]/30)*Tabla1[[#This Row],[TOTAL DIAS PROYECTO]]+(Tabla1[[#This Row],[COSTO TEMPORAL]])</f>
        <v>1360</v>
      </c>
      <c r="P3798" s="12"/>
      <c r="Q3798" s="12">
        <f>+(Tabla1[[#This Row],[COSTO COCHE]]/30)*Tabla1[[#This Row],[TOTAL DIAS PROYECTO]]</f>
        <v>0</v>
      </c>
      <c r="R3798" s="12">
        <f>+Tabla1[[#This Row],[COSTO TOTAL ALOJAMIENTO]]+Tabla1[[#This Row],[COSTO TOTAL COCHE]]</f>
        <v>1360</v>
      </c>
      <c r="S3798" s="2"/>
      <c r="T3798" s="14" t="s">
        <v>35</v>
      </c>
      <c r="U3798" s="14">
        <v>45861</v>
      </c>
      <c r="V3798" s="79"/>
      <c r="W3798" s="12"/>
      <c r="X3798" s="2">
        <v>1</v>
      </c>
      <c r="Y3798" s="11" t="s">
        <v>5622</v>
      </c>
      <c r="Z3798" s="2" t="s">
        <v>36</v>
      </c>
      <c r="AA3798" s="13" t="s">
        <v>10357</v>
      </c>
      <c r="AB3798" s="13" t="s">
        <v>10358</v>
      </c>
    </row>
    <row r="3799" spans="1:28" ht="15" customHeight="1">
      <c r="A3799" s="2" t="s">
        <v>9658</v>
      </c>
      <c r="B3799" s="2" t="s">
        <v>978</v>
      </c>
      <c r="C3799" s="97" t="s">
        <v>4099</v>
      </c>
      <c r="D3799" s="2" t="s">
        <v>30</v>
      </c>
      <c r="E3799" s="2" t="s">
        <v>734</v>
      </c>
      <c r="F3799" s="11" t="s">
        <v>735</v>
      </c>
      <c r="G3799" t="s">
        <v>736</v>
      </c>
      <c r="H3799" s="2" t="s">
        <v>5545</v>
      </c>
      <c r="I3799" s="12" t="s">
        <v>5263</v>
      </c>
      <c r="J3799" s="41">
        <f>+Tabla1[[#This Row],[FECHA ENTRADA]]</f>
        <v>45929</v>
      </c>
      <c r="K3799" s="22">
        <v>45946</v>
      </c>
      <c r="L3799" s="42">
        <f>_xlfn.DAYS(Tabla1[[#This Row],[FECHA FIN ]],Tabla1[[#This Row],[FECHA INICIO]])</f>
        <v>17</v>
      </c>
      <c r="M3799" s="12"/>
      <c r="N3799" s="12">
        <v>257.14285714285717</v>
      </c>
      <c r="O3799" s="28">
        <f>(Tabla1[[#This Row],[COSTO FIJO ]]/30)*Tabla1[[#This Row],[TOTAL DIAS PROYECTO]]+(Tabla1[[#This Row],[COSTO TEMPORAL]])</f>
        <v>145.71428571428575</v>
      </c>
      <c r="P3799" s="12"/>
      <c r="Q3799" s="12">
        <f>+(Tabla1[[#This Row],[COSTO COCHE]]/30)*Tabla1[[#This Row],[TOTAL DIAS PROYECTO]]</f>
        <v>0</v>
      </c>
      <c r="R3799" s="12">
        <f>+Tabla1[[#This Row],[COSTO TOTAL ALOJAMIENTO]]+Tabla1[[#This Row],[COSTO TOTAL COCHE]]</f>
        <v>145.71428571428575</v>
      </c>
      <c r="S3799" s="2"/>
      <c r="T3799" s="14" t="s">
        <v>35</v>
      </c>
      <c r="U3799" s="14">
        <v>45929</v>
      </c>
      <c r="V3799" s="43"/>
      <c r="W3799" s="71"/>
      <c r="X3799" s="2">
        <v>5</v>
      </c>
      <c r="Y3799" s="202" t="s">
        <v>5623</v>
      </c>
      <c r="Z3799" s="2" t="s">
        <v>36</v>
      </c>
      <c r="AA3799" s="13" t="s">
        <v>10396</v>
      </c>
      <c r="AB3799" s="13" t="s">
        <v>10397</v>
      </c>
    </row>
    <row r="3800" spans="1:28" ht="15" customHeight="1">
      <c r="A3800" s="2" t="s">
        <v>9945</v>
      </c>
      <c r="B3800" s="2" t="s">
        <v>978</v>
      </c>
      <c r="C3800" s="213" t="s">
        <v>5624</v>
      </c>
      <c r="D3800" s="2" t="s">
        <v>30</v>
      </c>
      <c r="E3800" s="2" t="s">
        <v>734</v>
      </c>
      <c r="F3800" s="11" t="s">
        <v>735</v>
      </c>
      <c r="G3800" t="s">
        <v>736</v>
      </c>
      <c r="H3800" s="2" t="s">
        <v>5545</v>
      </c>
      <c r="I3800" s="12" t="s">
        <v>5263</v>
      </c>
      <c r="J3800" s="41">
        <f>+Tabla1[[#This Row],[FECHA ENTRADA]]</f>
        <v>45929</v>
      </c>
      <c r="K3800" s="22">
        <v>45946</v>
      </c>
      <c r="L3800" s="42">
        <f>_xlfn.DAYS(Tabla1[[#This Row],[FECHA FIN ]],Tabla1[[#This Row],[FECHA INICIO]])</f>
        <v>17</v>
      </c>
      <c r="M3800" s="12"/>
      <c r="N3800" s="12">
        <v>257.14285714285717</v>
      </c>
      <c r="O3800" s="28">
        <f>(Tabla1[[#This Row],[COSTO FIJO ]]/30)*Tabla1[[#This Row],[TOTAL DIAS PROYECTO]]+(Tabla1[[#This Row],[COSTO TEMPORAL]])</f>
        <v>145.71428571428575</v>
      </c>
      <c r="P3800" s="12"/>
      <c r="Q3800" s="12">
        <f>+(Tabla1[[#This Row],[COSTO COCHE]]/30)*Tabla1[[#This Row],[TOTAL DIAS PROYECTO]]</f>
        <v>0</v>
      </c>
      <c r="R3800" s="12">
        <f>+Tabla1[[#This Row],[COSTO TOTAL ALOJAMIENTO]]+Tabla1[[#This Row],[COSTO TOTAL COCHE]]</f>
        <v>145.71428571428575</v>
      </c>
      <c r="S3800" s="2"/>
      <c r="T3800" s="14" t="s">
        <v>35</v>
      </c>
      <c r="U3800" s="14">
        <v>45929</v>
      </c>
      <c r="V3800" s="43"/>
      <c r="W3800" s="71"/>
      <c r="X3800" s="2">
        <v>5</v>
      </c>
      <c r="Y3800" s="202" t="s">
        <v>5623</v>
      </c>
      <c r="Z3800" s="2" t="s">
        <v>36</v>
      </c>
      <c r="AA3800" s="13" t="s">
        <v>10396</v>
      </c>
      <c r="AB3800" s="13" t="s">
        <v>10397</v>
      </c>
    </row>
    <row r="3801" spans="1:28" ht="15" customHeight="1">
      <c r="A3801" s="2" t="s">
        <v>9242</v>
      </c>
      <c r="B3801" s="2" t="s">
        <v>978</v>
      </c>
      <c r="C3801" s="213" t="s">
        <v>2560</v>
      </c>
      <c r="D3801" s="2" t="s">
        <v>30</v>
      </c>
      <c r="E3801" s="2" t="s">
        <v>734</v>
      </c>
      <c r="F3801" s="11" t="s">
        <v>735</v>
      </c>
      <c r="G3801" t="s">
        <v>736</v>
      </c>
      <c r="H3801" s="2" t="s">
        <v>5545</v>
      </c>
      <c r="I3801" s="12" t="s">
        <v>5263</v>
      </c>
      <c r="J3801" s="41">
        <f>+Tabla1[[#This Row],[FECHA ENTRADA]]</f>
        <v>45929</v>
      </c>
      <c r="K3801" s="22">
        <v>45946</v>
      </c>
      <c r="L3801" s="42">
        <f>_xlfn.DAYS(Tabla1[[#This Row],[FECHA FIN ]],Tabla1[[#This Row],[FECHA INICIO]])</f>
        <v>17</v>
      </c>
      <c r="M3801" s="12"/>
      <c r="N3801" s="12">
        <v>257.14285714285717</v>
      </c>
      <c r="O3801" s="28">
        <f>(Tabla1[[#This Row],[COSTO FIJO ]]/30)*Tabla1[[#This Row],[TOTAL DIAS PROYECTO]]+(Tabla1[[#This Row],[COSTO TEMPORAL]])</f>
        <v>145.71428571428575</v>
      </c>
      <c r="P3801" s="12"/>
      <c r="Q3801" s="12">
        <f>+(Tabla1[[#This Row],[COSTO COCHE]]/30)*Tabla1[[#This Row],[TOTAL DIAS PROYECTO]]</f>
        <v>0</v>
      </c>
      <c r="R3801" s="12">
        <f>+Tabla1[[#This Row],[COSTO TOTAL ALOJAMIENTO]]+Tabla1[[#This Row],[COSTO TOTAL COCHE]]</f>
        <v>145.71428571428575</v>
      </c>
      <c r="S3801" s="2"/>
      <c r="T3801" s="14" t="s">
        <v>35</v>
      </c>
      <c r="U3801" s="14">
        <v>45929</v>
      </c>
      <c r="V3801" s="43"/>
      <c r="W3801" s="71"/>
      <c r="X3801" s="2">
        <v>5</v>
      </c>
      <c r="Y3801" s="202" t="s">
        <v>5623</v>
      </c>
      <c r="Z3801" s="2" t="s">
        <v>36</v>
      </c>
      <c r="AA3801" s="13" t="s">
        <v>10396</v>
      </c>
      <c r="AB3801" s="13" t="s">
        <v>10397</v>
      </c>
    </row>
    <row r="3802" spans="1:28" ht="15" customHeight="1">
      <c r="A3802" s="2" t="s">
        <v>9946</v>
      </c>
      <c r="B3802" s="2" t="s">
        <v>978</v>
      </c>
      <c r="C3802" s="104" t="s">
        <v>5625</v>
      </c>
      <c r="D3802" s="2" t="s">
        <v>99</v>
      </c>
      <c r="E3802" s="2" t="s">
        <v>1404</v>
      </c>
      <c r="F3802" s="11" t="s">
        <v>5626</v>
      </c>
      <c r="G3802" s="46" t="s">
        <v>5627</v>
      </c>
      <c r="H3802" s="2" t="s">
        <v>5628</v>
      </c>
      <c r="I3802" s="12" t="s">
        <v>5629</v>
      </c>
      <c r="J3802" s="41">
        <f>+Tabla1[[#This Row],[FECHA ENTRADA]]</f>
        <v>45818</v>
      </c>
      <c r="K3802" s="41">
        <v>45946</v>
      </c>
      <c r="L3802" s="42">
        <f>_xlfn.DAYS(Tabla1[[#This Row],[FECHA FIN ]],Tabla1[[#This Row],[FECHA INICIO]])</f>
        <v>128</v>
      </c>
      <c r="M3802" s="12"/>
      <c r="N3802" s="12">
        <f>2117.5/5</f>
        <v>423.5</v>
      </c>
      <c r="O3802" s="28">
        <f>(Tabla1[[#This Row],[COSTO FIJO ]]/30)*Tabla1[[#This Row],[TOTAL DIAS PROYECTO]]+(Tabla1[[#This Row],[COSTO TEMPORAL]])</f>
        <v>1806.9333333333334</v>
      </c>
      <c r="P3802" s="12"/>
      <c r="Q3802" s="12">
        <f>+(Tabla1[[#This Row],[COSTO COCHE]]/30)*Tabla1[[#This Row],[TOTAL DIAS PROYECTO]]</f>
        <v>0</v>
      </c>
      <c r="R3802" s="12">
        <f>+Tabla1[[#This Row],[COSTO TOTAL ALOJAMIENTO]]+Tabla1[[#This Row],[COSTO TOTAL COCHE]]</f>
        <v>1806.9333333333334</v>
      </c>
      <c r="S3802" s="2"/>
      <c r="T3802" s="14" t="s">
        <v>35</v>
      </c>
      <c r="U3802" s="14">
        <v>45818</v>
      </c>
      <c r="V3802" s="43">
        <v>45940</v>
      </c>
      <c r="W3802" s="12"/>
      <c r="X3802" s="2">
        <v>8</v>
      </c>
      <c r="Y3802" s="253" t="s">
        <v>5630</v>
      </c>
      <c r="Z3802" s="2" t="s">
        <v>36</v>
      </c>
      <c r="AA3802" s="13" t="s">
        <v>10418</v>
      </c>
      <c r="AB3802" s="13" t="s">
        <v>10419</v>
      </c>
    </row>
    <row r="3803" spans="1:28" ht="15" customHeight="1">
      <c r="A3803" s="2" t="s">
        <v>9841</v>
      </c>
      <c r="B3803" s="2" t="s">
        <v>978</v>
      </c>
      <c r="C3803" s="97" t="s">
        <v>5003</v>
      </c>
      <c r="D3803" s="2" t="s">
        <v>30</v>
      </c>
      <c r="E3803" s="2" t="s">
        <v>253</v>
      </c>
      <c r="F3803" s="11" t="s">
        <v>1688</v>
      </c>
      <c r="G3803" s="49" t="s">
        <v>1689</v>
      </c>
      <c r="H3803" s="2" t="s">
        <v>2838</v>
      </c>
      <c r="I3803" s="12" t="s">
        <v>1155</v>
      </c>
      <c r="J3803" s="41">
        <f>+Tabla1[[#This Row],[FECHA ENTRADA]]</f>
        <v>45899</v>
      </c>
      <c r="K3803" s="8">
        <v>45946</v>
      </c>
      <c r="L3803" s="42">
        <f>_xlfn.DAYS(Tabla1[[#This Row],[FECHA FIN ]],Tabla1[[#This Row],[FECHA INICIO]])</f>
        <v>47</v>
      </c>
      <c r="M3803" s="12"/>
      <c r="N3803" s="28">
        <v>480</v>
      </c>
      <c r="O3803" s="28">
        <f>(Tabla1[[#This Row],[COSTO FIJO ]]/30)*Tabla1[[#This Row],[TOTAL DIAS PROYECTO]]+(Tabla1[[#This Row],[COSTO TEMPORAL]])</f>
        <v>752</v>
      </c>
      <c r="P3803" s="12"/>
      <c r="Q3803" s="12">
        <f>+(Tabla1[[#This Row],[COSTO COCHE]]/30)*Tabla1[[#This Row],[TOTAL DIAS PROYECTO]]</f>
        <v>0</v>
      </c>
      <c r="R3803" s="12">
        <f>+Tabla1[[#This Row],[COSTO TOTAL ALOJAMIENTO]]+Tabla1[[#This Row],[COSTO TOTAL COCHE]]</f>
        <v>752</v>
      </c>
      <c r="S3803" s="2"/>
      <c r="T3803" s="14" t="s">
        <v>35</v>
      </c>
      <c r="U3803" s="14">
        <v>45899</v>
      </c>
      <c r="V3803" s="43"/>
      <c r="W3803" s="71"/>
      <c r="X3803" s="2">
        <v>18</v>
      </c>
      <c r="Y3803" s="11" t="s">
        <v>4271</v>
      </c>
      <c r="Z3803" s="2" t="s">
        <v>36</v>
      </c>
      <c r="AA3803" s="13" t="s">
        <v>10357</v>
      </c>
      <c r="AB3803" s="13" t="s">
        <v>10358</v>
      </c>
    </row>
    <row r="3804" spans="1:28" ht="15" customHeight="1">
      <c r="A3804" s="2" t="s">
        <v>9943</v>
      </c>
      <c r="B3804" s="2" t="s">
        <v>978</v>
      </c>
      <c r="C3804" s="104" t="s">
        <v>5589</v>
      </c>
      <c r="D3804" s="2" t="s">
        <v>30</v>
      </c>
      <c r="E3804" s="2" t="s">
        <v>1130</v>
      </c>
      <c r="F3804" s="11" t="s">
        <v>5631</v>
      </c>
      <c r="G3804" s="49" t="s">
        <v>5632</v>
      </c>
      <c r="H3804" s="157" t="s">
        <v>5442</v>
      </c>
      <c r="I3804" s="158" t="s">
        <v>5443</v>
      </c>
      <c r="J3804" s="22">
        <f>+Tabla1[[#This Row],[FECHA ENTRADA]]</f>
        <v>45944</v>
      </c>
      <c r="K3804" s="22">
        <v>45946</v>
      </c>
      <c r="L3804" s="23">
        <f>_xlfn.DAYS(Tabla1[[#This Row],[FECHA FIN ]],Tabla1[[#This Row],[FECHA INICIO]])</f>
        <v>2</v>
      </c>
      <c r="M3804" s="12">
        <v>54</v>
      </c>
      <c r="N3804" s="24"/>
      <c r="O3804" s="24">
        <f>(Tabla1[[#This Row],[COSTO FIJO ]]/30)*Tabla1[[#This Row],[TOTAL DIAS PROYECTO]]+(Tabla1[[#This Row],[COSTO TEMPORAL]])</f>
        <v>54</v>
      </c>
      <c r="P3804" s="12"/>
      <c r="Q3804" s="12">
        <f>+(Tabla1[[#This Row],[COSTO COCHE]]/30)*Tabla1[[#This Row],[TOTAL DIAS PROYECTO]]</f>
        <v>0</v>
      </c>
      <c r="R3804" s="12">
        <f>+Tabla1[[#This Row],[COSTO TOTAL ALOJAMIENTO]]+Tabla1[[#This Row],[COSTO TOTAL COCHE]]</f>
        <v>54</v>
      </c>
      <c r="S3804" s="2" t="s">
        <v>403</v>
      </c>
      <c r="T3804" s="14" t="s">
        <v>44</v>
      </c>
      <c r="U3804" s="14">
        <v>45944</v>
      </c>
      <c r="V3804" s="25">
        <v>45946</v>
      </c>
      <c r="W3804" s="71"/>
      <c r="X3804" s="2"/>
      <c r="Y3804" s="178" t="s">
        <v>5633</v>
      </c>
      <c r="Z3804" s="2" t="s">
        <v>36</v>
      </c>
      <c r="AA3804" s="13" t="s">
        <v>10412</v>
      </c>
      <c r="AB3804" s="13">
        <v>4200955</v>
      </c>
    </row>
    <row r="3805" spans="1:28" ht="15" customHeight="1">
      <c r="A3805" s="2" t="s">
        <v>9554</v>
      </c>
      <c r="B3805" s="2" t="s">
        <v>978</v>
      </c>
      <c r="C3805" s="104" t="s">
        <v>3603</v>
      </c>
      <c r="D3805" s="2" t="s">
        <v>30</v>
      </c>
      <c r="E3805" s="2" t="s">
        <v>1130</v>
      </c>
      <c r="F3805" s="11" t="s">
        <v>5631</v>
      </c>
      <c r="G3805" s="49" t="s">
        <v>5634</v>
      </c>
      <c r="H3805" s="2" t="s">
        <v>5442</v>
      </c>
      <c r="I3805" s="12" t="s">
        <v>5443</v>
      </c>
      <c r="J3805" s="22">
        <f>+Tabla1[[#This Row],[FECHA ENTRADA]]</f>
        <v>45944</v>
      </c>
      <c r="K3805" s="22">
        <v>45946</v>
      </c>
      <c r="L3805" s="23">
        <f>_xlfn.DAYS(Tabla1[[#This Row],[FECHA FIN ]],Tabla1[[#This Row],[FECHA INICIO]])</f>
        <v>2</v>
      </c>
      <c r="M3805" s="12">
        <v>54</v>
      </c>
      <c r="N3805" s="24"/>
      <c r="O3805" s="24">
        <f>(Tabla1[[#This Row],[COSTO FIJO ]]/30)*Tabla1[[#This Row],[TOTAL DIAS PROYECTO]]+(Tabla1[[#This Row],[COSTO TEMPORAL]])</f>
        <v>54</v>
      </c>
      <c r="P3805" s="12"/>
      <c r="Q3805" s="12">
        <f>+(Tabla1[[#This Row],[COSTO COCHE]]/30)*Tabla1[[#This Row],[TOTAL DIAS PROYECTO]]</f>
        <v>0</v>
      </c>
      <c r="R3805" s="12">
        <f>+Tabla1[[#This Row],[COSTO TOTAL ALOJAMIENTO]]+Tabla1[[#This Row],[COSTO TOTAL COCHE]]</f>
        <v>54</v>
      </c>
      <c r="S3805" s="2" t="s">
        <v>403</v>
      </c>
      <c r="T3805" s="14" t="s">
        <v>44</v>
      </c>
      <c r="U3805" s="14">
        <v>45944</v>
      </c>
      <c r="V3805" s="25">
        <v>45946</v>
      </c>
      <c r="W3805" s="71"/>
      <c r="X3805" s="2"/>
      <c r="Y3805" s="178" t="s">
        <v>5633</v>
      </c>
      <c r="Z3805" s="2" t="s">
        <v>36</v>
      </c>
      <c r="AA3805" s="13" t="s">
        <v>10412</v>
      </c>
      <c r="AB3805" s="13">
        <v>4200955</v>
      </c>
    </row>
    <row r="3806" spans="1:28" ht="15" customHeight="1">
      <c r="A3806" s="2" t="s">
        <v>9947</v>
      </c>
      <c r="B3806" s="2" t="s">
        <v>978</v>
      </c>
      <c r="C3806" s="97" t="s">
        <v>5635</v>
      </c>
      <c r="D3806" s="2" t="s">
        <v>99</v>
      </c>
      <c r="E3806" s="2" t="s">
        <v>253</v>
      </c>
      <c r="F3806" s="11" t="s">
        <v>1883</v>
      </c>
      <c r="G3806" t="s">
        <v>1693</v>
      </c>
      <c r="H3806" s="2" t="s">
        <v>5636</v>
      </c>
      <c r="I3806" s="12" t="s">
        <v>256</v>
      </c>
      <c r="J3806" s="41">
        <f>+Tabla1[[#This Row],[FECHA ENTRADA]]</f>
        <v>45869</v>
      </c>
      <c r="K3806" s="22">
        <v>45947</v>
      </c>
      <c r="L3806" s="42">
        <f>_xlfn.DAYS(Tabla1[[#This Row],[FECHA FIN ]],Tabla1[[#This Row],[FECHA INICIO]])</f>
        <v>78</v>
      </c>
      <c r="M3806" s="12"/>
      <c r="N3806" s="28">
        <v>480</v>
      </c>
      <c r="O3806" s="28">
        <f>(Tabla1[[#This Row],[COSTO FIJO ]]/30)*Tabla1[[#This Row],[TOTAL DIAS PROYECTO]]+(Tabla1[[#This Row],[COSTO TEMPORAL]])</f>
        <v>1248</v>
      </c>
      <c r="P3806" s="12"/>
      <c r="Q3806" s="12">
        <f>+(Tabla1[[#This Row],[COSTO COCHE]]/30)*Tabla1[[#This Row],[TOTAL DIAS PROYECTO]]</f>
        <v>0</v>
      </c>
      <c r="R3806" s="12">
        <f>+Tabla1[[#This Row],[COSTO TOTAL ALOJAMIENTO]]+Tabla1[[#This Row],[COSTO TOTAL COCHE]]</f>
        <v>1248</v>
      </c>
      <c r="S3806" s="2"/>
      <c r="T3806" s="14" t="s">
        <v>35</v>
      </c>
      <c r="U3806" s="14">
        <v>45869</v>
      </c>
      <c r="V3806" s="43"/>
      <c r="W3806" s="12"/>
      <c r="X3806" s="2">
        <v>1</v>
      </c>
      <c r="Y3806" s="202" t="s">
        <v>5637</v>
      </c>
      <c r="Z3806" s="2" t="s">
        <v>36</v>
      </c>
      <c r="AA3806" s="13" t="s">
        <v>10357</v>
      </c>
      <c r="AB3806" s="13" t="s">
        <v>10358</v>
      </c>
    </row>
    <row r="3807" spans="1:28" ht="15" customHeight="1">
      <c r="A3807" s="2" t="s">
        <v>9550</v>
      </c>
      <c r="B3807" s="2" t="s">
        <v>978</v>
      </c>
      <c r="C3807" s="97" t="s">
        <v>3596</v>
      </c>
      <c r="D3807" s="2" t="s">
        <v>99</v>
      </c>
      <c r="E3807" s="2" t="s">
        <v>31</v>
      </c>
      <c r="F3807" s="11" t="s">
        <v>758</v>
      </c>
      <c r="G3807" s="11" t="s">
        <v>759</v>
      </c>
      <c r="H3807" s="2" t="s">
        <v>4410</v>
      </c>
      <c r="I3807" s="12" t="s">
        <v>1540</v>
      </c>
      <c r="J3807" s="22">
        <f>+Tabla1[[#This Row],[FECHA ENTRADA]]</f>
        <v>45903</v>
      </c>
      <c r="K3807" s="22">
        <v>45947</v>
      </c>
      <c r="L3807" s="23">
        <f>_xlfn.DAYS(Tabla1[[#This Row],[FECHA FIN ]],Tabla1[[#This Row],[FECHA INICIO]])</f>
        <v>44</v>
      </c>
      <c r="M3807" s="12"/>
      <c r="N3807" s="20">
        <v>141.66999999999999</v>
      </c>
      <c r="O3807" s="24">
        <f>(Tabla1[[#This Row],[COSTO FIJO ]]/30)*Tabla1[[#This Row],[TOTAL DIAS PROYECTO]]+(Tabla1[[#This Row],[COSTO TEMPORAL]])</f>
        <v>207.78266666666667</v>
      </c>
      <c r="P3807" s="12"/>
      <c r="Q3807" s="12">
        <f>+(Tabla1[[#This Row],[COSTO COCHE]]/30)*Tabla1[[#This Row],[TOTAL DIAS PROYECTO]]</f>
        <v>0</v>
      </c>
      <c r="R3807" s="12">
        <f>+Tabla1[[#This Row],[COSTO TOTAL ALOJAMIENTO]]+Tabla1[[#This Row],[COSTO TOTAL COCHE]]</f>
        <v>207.78266666666667</v>
      </c>
      <c r="S3807" s="2"/>
      <c r="T3807" s="14" t="s">
        <v>35</v>
      </c>
      <c r="U3807" s="14">
        <v>45903</v>
      </c>
      <c r="V3807" s="25"/>
      <c r="W3807" s="71"/>
      <c r="X3807" s="2">
        <v>1</v>
      </c>
      <c r="Y3807" s="11" t="s">
        <v>5638</v>
      </c>
      <c r="Z3807" s="2" t="s">
        <v>36</v>
      </c>
      <c r="AA3807" s="13" t="s">
        <v>10323</v>
      </c>
      <c r="AB3807" s="13" t="s">
        <v>10324</v>
      </c>
    </row>
    <row r="3808" spans="1:28" ht="15" customHeight="1">
      <c r="A3808" s="2" t="s">
        <v>9833</v>
      </c>
      <c r="B3808" s="2" t="s">
        <v>978</v>
      </c>
      <c r="C3808" s="97" t="s">
        <v>4948</v>
      </c>
      <c r="D3808" s="2" t="s">
        <v>99</v>
      </c>
      <c r="E3808" s="2" t="s">
        <v>31</v>
      </c>
      <c r="F3808" s="11" t="s">
        <v>451</v>
      </c>
      <c r="G3808" s="50" t="s">
        <v>452</v>
      </c>
      <c r="H3808" s="2" t="s">
        <v>4949</v>
      </c>
      <c r="I3808" s="12" t="s">
        <v>1540</v>
      </c>
      <c r="J3808" s="22">
        <f>+Tabla1[[#This Row],[FECHA ENTRADA]]</f>
        <v>45934</v>
      </c>
      <c r="K3808" s="22">
        <v>45947</v>
      </c>
      <c r="L3808" s="23">
        <f>_xlfn.DAYS(Tabla1[[#This Row],[FECHA FIN ]],Tabla1[[#This Row],[FECHA INICIO]])</f>
        <v>13</v>
      </c>
      <c r="M3808" s="12"/>
      <c r="N3808" s="12">
        <v>340</v>
      </c>
      <c r="O3808" s="24">
        <f>(Tabla1[[#This Row],[COSTO FIJO ]]/30)*Tabla1[[#This Row],[TOTAL DIAS PROYECTO]]+(Tabla1[[#This Row],[COSTO TEMPORAL]])</f>
        <v>147.33333333333334</v>
      </c>
      <c r="P3808" s="12"/>
      <c r="Q3808" s="12">
        <f>+(Tabla1[[#This Row],[COSTO COCHE]]/30)*Tabla1[[#This Row],[TOTAL DIAS PROYECTO]]</f>
        <v>0</v>
      </c>
      <c r="R3808" s="12">
        <f>+Tabla1[[#This Row],[COSTO TOTAL ALOJAMIENTO]]+Tabla1[[#This Row],[COSTO TOTAL COCHE]]</f>
        <v>147.33333333333334</v>
      </c>
      <c r="S3808" s="2"/>
      <c r="T3808" s="14" t="s">
        <v>35</v>
      </c>
      <c r="U3808" s="14">
        <v>45934</v>
      </c>
      <c r="V3808" s="79"/>
      <c r="W3808" s="71"/>
      <c r="X3808" s="2">
        <v>1</v>
      </c>
      <c r="Y3808" s="11" t="s">
        <v>5638</v>
      </c>
      <c r="Z3808" s="2" t="s">
        <v>36</v>
      </c>
      <c r="AA3808" s="13" t="s">
        <v>10323</v>
      </c>
      <c r="AB3808" s="13" t="s">
        <v>10324</v>
      </c>
    </row>
    <row r="3809" spans="1:28" ht="15" customHeight="1">
      <c r="A3809" s="2" t="s">
        <v>9308</v>
      </c>
      <c r="B3809" s="10" t="s">
        <v>711</v>
      </c>
      <c r="C3809" s="97" t="s">
        <v>2777</v>
      </c>
      <c r="D3809" s="2" t="s">
        <v>99</v>
      </c>
      <c r="E3809" s="2" t="s">
        <v>422</v>
      </c>
      <c r="F3809" s="11" t="s">
        <v>956</v>
      </c>
      <c r="G3809" s="11" t="s">
        <v>957</v>
      </c>
      <c r="H3809" s="157" t="s">
        <v>5585</v>
      </c>
      <c r="I3809" s="158" t="s">
        <v>5586</v>
      </c>
      <c r="J3809" s="41">
        <f>+Tabla1[[#This Row],[FECHA ENTRADA]]</f>
        <v>45874</v>
      </c>
      <c r="K3809" s="41">
        <v>45882</v>
      </c>
      <c r="L3809" s="42">
        <f>_xlfn.DAYS(Tabla1[[#This Row],[FECHA FIN ]],Tabla1[[#This Row],[FECHA INICIO]])</f>
        <v>8</v>
      </c>
      <c r="M3809" s="12"/>
      <c r="N3809" s="28">
        <v>275</v>
      </c>
      <c r="O3809" s="28">
        <f>(Tabla1[[#This Row],[COSTO FIJO ]]/30)*Tabla1[[#This Row],[TOTAL DIAS PROYECTO]]+(Tabla1[[#This Row],[COSTO TEMPORAL]])</f>
        <v>73.333333333333329</v>
      </c>
      <c r="P3809" s="12"/>
      <c r="Q3809" s="12">
        <f>+(Tabla1[[#This Row],[COSTO COCHE]]/30)*Tabla1[[#This Row],[TOTAL DIAS PROYECTO]]</f>
        <v>0</v>
      </c>
      <c r="R3809" s="12">
        <f>+Tabla1[[#This Row],[COSTO TOTAL ALOJAMIENTO]]+Tabla1[[#This Row],[COSTO TOTAL COCHE]]</f>
        <v>73.333333333333329</v>
      </c>
      <c r="S3809" s="2"/>
      <c r="T3809" s="14" t="s">
        <v>35</v>
      </c>
      <c r="U3809" s="14">
        <v>45874</v>
      </c>
      <c r="V3809" s="43"/>
      <c r="W3809" s="12"/>
      <c r="X3809" s="2">
        <v>5</v>
      </c>
      <c r="Y3809" s="11" t="s">
        <v>5587</v>
      </c>
      <c r="Z3809" s="2" t="s">
        <v>36</v>
      </c>
      <c r="AA3809" s="13">
        <v>-326.69799999999998</v>
      </c>
      <c r="AB3809" s="13" t="s">
        <v>10373</v>
      </c>
    </row>
    <row r="3810" spans="1:28" ht="15" customHeight="1">
      <c r="A3810" s="2" t="s">
        <v>9948</v>
      </c>
      <c r="B3810" s="2" t="s">
        <v>711</v>
      </c>
      <c r="C3810" s="97" t="s">
        <v>5639</v>
      </c>
      <c r="D3810" s="2" t="s">
        <v>30</v>
      </c>
      <c r="E3810" s="2" t="s">
        <v>1443</v>
      </c>
      <c r="F3810" s="11" t="s">
        <v>5184</v>
      </c>
      <c r="G3810" s="46" t="s">
        <v>5185</v>
      </c>
      <c r="H3810" s="157" t="s">
        <v>5640</v>
      </c>
      <c r="I3810" s="158" t="s">
        <v>5187</v>
      </c>
      <c r="J3810" s="41">
        <f>+Tabla1[[#This Row],[FECHA ENTRADA]]</f>
        <v>45893</v>
      </c>
      <c r="K3810" s="41">
        <v>45947</v>
      </c>
      <c r="L3810" s="42">
        <f>_xlfn.DAYS(Tabla1[[#This Row],[FECHA FIN ]],Tabla1[[#This Row],[FECHA INICIO]])</f>
        <v>54</v>
      </c>
      <c r="M3810" s="12">
        <f>(1317.17/4)+(950/4)</f>
        <v>566.79250000000002</v>
      </c>
      <c r="N3810" s="12"/>
      <c r="O3810" s="28">
        <f>(Tabla1[[#This Row],[COSTO FIJO ]]/30)*Tabla1[[#This Row],[TOTAL DIAS PROYECTO]]+(Tabla1[[#This Row],[COSTO TEMPORAL]])</f>
        <v>566.79250000000002</v>
      </c>
      <c r="P3810" s="12"/>
      <c r="Q3810" s="12">
        <f>+(Tabla1[[#This Row],[COSTO COCHE]]/30)*Tabla1[[#This Row],[TOTAL DIAS PROYECTO]]</f>
        <v>0</v>
      </c>
      <c r="R3810" s="12">
        <f>+Tabla1[[#This Row],[COSTO TOTAL ALOJAMIENTO]]+Tabla1[[#This Row],[COSTO TOTAL COCHE]]</f>
        <v>566.79250000000002</v>
      </c>
      <c r="S3810" s="2" t="s">
        <v>84</v>
      </c>
      <c r="T3810" s="14" t="s">
        <v>44</v>
      </c>
      <c r="U3810" s="14">
        <v>45893</v>
      </c>
      <c r="V3810" s="25">
        <v>45947</v>
      </c>
      <c r="W3810" s="12"/>
      <c r="X3810" s="2"/>
      <c r="Y3810" s="11" t="s">
        <v>5641</v>
      </c>
      <c r="Z3810" s="2" t="s">
        <v>36</v>
      </c>
      <c r="AA3810" s="13" t="s">
        <v>10420</v>
      </c>
      <c r="AB3810" s="13">
        <v>3907741</v>
      </c>
    </row>
    <row r="3811" spans="1:28" ht="15" customHeight="1">
      <c r="A3811" s="2" t="s">
        <v>9949</v>
      </c>
      <c r="B3811" s="2" t="s">
        <v>711</v>
      </c>
      <c r="C3811" s="97" t="s">
        <v>5642</v>
      </c>
      <c r="D3811" s="2" t="s">
        <v>99</v>
      </c>
      <c r="E3811" s="2" t="s">
        <v>1443</v>
      </c>
      <c r="F3811" s="11" t="s">
        <v>5184</v>
      </c>
      <c r="G3811" s="46" t="s">
        <v>5185</v>
      </c>
      <c r="H3811" s="157" t="s">
        <v>5304</v>
      </c>
      <c r="I3811" s="158" t="s">
        <v>5187</v>
      </c>
      <c r="J3811" s="41">
        <f>+Tabla1[[#This Row],[FECHA ENTRADA]]</f>
        <v>45893</v>
      </c>
      <c r="K3811" s="22">
        <v>45947</v>
      </c>
      <c r="L3811" s="42">
        <f>_xlfn.DAYS(Tabla1[[#This Row],[FECHA FIN ]],Tabla1[[#This Row],[FECHA INICIO]])</f>
        <v>54</v>
      </c>
      <c r="M3811" s="12">
        <f>(1317.17/4)+(950/4)</f>
        <v>566.79250000000002</v>
      </c>
      <c r="N3811" s="12"/>
      <c r="O3811" s="28">
        <f>(Tabla1[[#This Row],[COSTO FIJO ]]/30)*Tabla1[[#This Row],[TOTAL DIAS PROYECTO]]+(Tabla1[[#This Row],[COSTO TEMPORAL]])</f>
        <v>566.79250000000002</v>
      </c>
      <c r="P3811" s="12"/>
      <c r="Q3811" s="12">
        <f>+(Tabla1[[#This Row],[COSTO COCHE]]/30)*Tabla1[[#This Row],[TOTAL DIAS PROYECTO]]</f>
        <v>0</v>
      </c>
      <c r="R3811" s="12">
        <f>+Tabla1[[#This Row],[COSTO TOTAL ALOJAMIENTO]]+Tabla1[[#This Row],[COSTO TOTAL COCHE]]</f>
        <v>566.79250000000002</v>
      </c>
      <c r="S3811" s="2" t="s">
        <v>84</v>
      </c>
      <c r="T3811" s="14" t="s">
        <v>44</v>
      </c>
      <c r="U3811" s="14">
        <v>45893</v>
      </c>
      <c r="V3811" s="25">
        <v>45947</v>
      </c>
      <c r="W3811" s="12"/>
      <c r="X3811" s="2"/>
      <c r="Y3811" s="11" t="s">
        <v>5643</v>
      </c>
      <c r="Z3811" s="2" t="s">
        <v>36</v>
      </c>
      <c r="AA3811" s="13" t="s">
        <v>10420</v>
      </c>
      <c r="AB3811" s="13">
        <v>3907741</v>
      </c>
    </row>
    <row r="3812" spans="1:28" ht="15" customHeight="1">
      <c r="A3812" s="2" t="s">
        <v>9891</v>
      </c>
      <c r="B3812" s="2" t="s">
        <v>711</v>
      </c>
      <c r="C3812" s="97" t="s">
        <v>5232</v>
      </c>
      <c r="D3812" s="2" t="s">
        <v>30</v>
      </c>
      <c r="E3812" s="2" t="s">
        <v>1443</v>
      </c>
      <c r="F3812" s="11" t="s">
        <v>5184</v>
      </c>
      <c r="G3812" s="46" t="s">
        <v>5185</v>
      </c>
      <c r="H3812" s="2" t="s">
        <v>5235</v>
      </c>
      <c r="I3812" s="12" t="s">
        <v>5187</v>
      </c>
      <c r="J3812" s="41">
        <f>+Tabla1[[#This Row],[FECHA ENTRADA]]</f>
        <v>45917</v>
      </c>
      <c r="K3812" s="41">
        <v>45947</v>
      </c>
      <c r="L3812" s="42">
        <f>_xlfn.DAYS(Tabla1[[#This Row],[FECHA FIN ]],Tabla1[[#This Row],[FECHA INICIO]])</f>
        <v>30</v>
      </c>
      <c r="M3812" s="12">
        <f>(1317.17/4)+(950/4)</f>
        <v>566.79250000000002</v>
      </c>
      <c r="N3812" s="28"/>
      <c r="O3812" s="28">
        <f>(Tabla1[[#This Row],[COSTO FIJO ]]/30)*Tabla1[[#This Row],[TOTAL DIAS PROYECTO]]+(Tabla1[[#This Row],[COSTO TEMPORAL]])</f>
        <v>566.79250000000002</v>
      </c>
      <c r="P3812" s="12"/>
      <c r="Q3812" s="12">
        <f>+(Tabla1[[#This Row],[COSTO COCHE]]/30)*Tabla1[[#This Row],[TOTAL DIAS PROYECTO]]</f>
        <v>0</v>
      </c>
      <c r="R3812" s="12">
        <f>+Tabla1[[#This Row],[COSTO TOTAL ALOJAMIENTO]]+Tabla1[[#This Row],[COSTO TOTAL COCHE]]</f>
        <v>566.79250000000002</v>
      </c>
      <c r="S3812" s="2" t="s">
        <v>84</v>
      </c>
      <c r="T3812" s="14" t="s">
        <v>44</v>
      </c>
      <c r="U3812" s="14">
        <v>45917</v>
      </c>
      <c r="V3812" s="25">
        <v>45947</v>
      </c>
      <c r="W3812" s="71"/>
      <c r="X3812" s="2"/>
      <c r="Y3812" s="11" t="s">
        <v>5644</v>
      </c>
      <c r="Z3812" s="2" t="s">
        <v>36</v>
      </c>
      <c r="AA3812" s="13" t="s">
        <v>10420</v>
      </c>
      <c r="AB3812" s="13">
        <v>3907741</v>
      </c>
    </row>
    <row r="3813" spans="1:28" ht="15" customHeight="1">
      <c r="A3813" s="2" t="s">
        <v>9336</v>
      </c>
      <c r="B3813" s="2" t="s">
        <v>28</v>
      </c>
      <c r="C3813" s="97" t="s">
        <v>2850</v>
      </c>
      <c r="D3813" s="2" t="s">
        <v>30</v>
      </c>
      <c r="E3813" s="2" t="s">
        <v>253</v>
      </c>
      <c r="F3813" s="11" t="s">
        <v>5065</v>
      </c>
      <c r="G3813" s="49" t="s">
        <v>1985</v>
      </c>
      <c r="H3813" s="2" t="s">
        <v>5066</v>
      </c>
      <c r="I3813" s="2" t="s">
        <v>582</v>
      </c>
      <c r="J3813" s="22">
        <f>+Tabla1[[#This Row],[FECHA ENTRADA]]</f>
        <v>45880</v>
      </c>
      <c r="K3813" s="22">
        <v>45947</v>
      </c>
      <c r="L3813" s="23">
        <f>_xlfn.DAYS(Tabla1[[#This Row],[FECHA FIN ]],Tabla1[[#This Row],[FECHA INICIO]])</f>
        <v>67</v>
      </c>
      <c r="M3813" s="12"/>
      <c r="N3813" s="24"/>
      <c r="O3813" s="24">
        <f>(Tabla1[[#This Row],[COSTO FIJO ]]/30)*Tabla1[[#This Row],[TOTAL DIAS PROYECTO]]+(Tabla1[[#This Row],[COSTO TEMPORAL]])</f>
        <v>0</v>
      </c>
      <c r="P3813" s="12"/>
      <c r="Q3813" s="12">
        <f>+(Tabla1[[#This Row],[COSTO COCHE]]/30)*Tabla1[[#This Row],[TOTAL DIAS PROYECTO]]</f>
        <v>0</v>
      </c>
      <c r="R3813" s="12">
        <f>+Tabla1[[#This Row],[COSTO TOTAL ALOJAMIENTO]]+Tabla1[[#This Row],[COSTO TOTAL COCHE]]</f>
        <v>0</v>
      </c>
      <c r="S3813" s="2"/>
      <c r="T3813" s="14" t="s">
        <v>44</v>
      </c>
      <c r="U3813" s="14">
        <v>45880</v>
      </c>
      <c r="V3813" s="25">
        <v>45947</v>
      </c>
      <c r="W3813" s="12"/>
      <c r="X3813" s="2"/>
      <c r="Y3813" s="11" t="s">
        <v>5645</v>
      </c>
      <c r="Z3813" s="2" t="s">
        <v>36</v>
      </c>
      <c r="AA3813" s="13" t="s">
        <v>10357</v>
      </c>
      <c r="AB3813" s="13" t="s">
        <v>10358</v>
      </c>
    </row>
    <row r="3814" spans="1:28" ht="15" customHeight="1">
      <c r="A3814" s="2" t="s">
        <v>9950</v>
      </c>
      <c r="B3814" s="2" t="s">
        <v>28</v>
      </c>
      <c r="C3814" s="97" t="s">
        <v>5646</v>
      </c>
      <c r="D3814" s="2" t="s">
        <v>99</v>
      </c>
      <c r="E3814" s="2" t="s">
        <v>253</v>
      </c>
      <c r="F3814" s="11" t="s">
        <v>5065</v>
      </c>
      <c r="G3814" t="s">
        <v>1985</v>
      </c>
      <c r="H3814" s="2" t="s">
        <v>5066</v>
      </c>
      <c r="I3814" s="2" t="s">
        <v>582</v>
      </c>
      <c r="J3814" s="22">
        <f>+Tabla1[[#This Row],[FECHA ENTRADA]]</f>
        <v>45880</v>
      </c>
      <c r="K3814" s="22">
        <v>45947</v>
      </c>
      <c r="L3814" s="23">
        <f>_xlfn.DAYS(Tabla1[[#This Row],[FECHA FIN ]],Tabla1[[#This Row],[FECHA INICIO]])</f>
        <v>67</v>
      </c>
      <c r="M3814" s="12"/>
      <c r="N3814" s="24"/>
      <c r="O3814" s="24">
        <f>(Tabla1[[#This Row],[COSTO FIJO ]]/30)*Tabla1[[#This Row],[TOTAL DIAS PROYECTO]]+(Tabla1[[#This Row],[COSTO TEMPORAL]])</f>
        <v>0</v>
      </c>
      <c r="P3814" s="12"/>
      <c r="Q3814" s="12">
        <f>+(Tabla1[[#This Row],[COSTO COCHE]]/30)*Tabla1[[#This Row],[TOTAL DIAS PROYECTO]]</f>
        <v>0</v>
      </c>
      <c r="R3814" s="12">
        <f>+Tabla1[[#This Row],[COSTO TOTAL ALOJAMIENTO]]+Tabla1[[#This Row],[COSTO TOTAL COCHE]]</f>
        <v>0</v>
      </c>
      <c r="S3814" s="2"/>
      <c r="T3814" s="14" t="s">
        <v>44</v>
      </c>
      <c r="U3814" s="14">
        <v>45880</v>
      </c>
      <c r="V3814" s="25">
        <v>45947</v>
      </c>
      <c r="W3814" s="12"/>
      <c r="X3814" s="2"/>
      <c r="Y3814" s="11" t="s">
        <v>5645</v>
      </c>
      <c r="Z3814" s="2" t="s">
        <v>36</v>
      </c>
      <c r="AA3814" s="13" t="s">
        <v>10357</v>
      </c>
      <c r="AB3814" s="13" t="s">
        <v>10358</v>
      </c>
    </row>
    <row r="3815" spans="1:28" ht="15" customHeight="1">
      <c r="A3815" s="2" t="s">
        <v>9160</v>
      </c>
      <c r="B3815" s="2" t="s">
        <v>28</v>
      </c>
      <c r="C3815" s="97" t="s">
        <v>2277</v>
      </c>
      <c r="D3815" s="2" t="s">
        <v>99</v>
      </c>
      <c r="E3815" s="2" t="s">
        <v>720</v>
      </c>
      <c r="F3815" s="11" t="s">
        <v>5647</v>
      </c>
      <c r="G3815" t="s">
        <v>5648</v>
      </c>
      <c r="H3815" s="2" t="s">
        <v>5649</v>
      </c>
      <c r="I3815" s="12" t="s">
        <v>2176</v>
      </c>
      <c r="J3815" s="22">
        <f>+Tabla1[[#This Row],[FECHA ENTRADA]]</f>
        <v>45867</v>
      </c>
      <c r="K3815" s="22">
        <v>45947</v>
      </c>
      <c r="L3815" s="23">
        <f>_xlfn.DAYS(Tabla1[[#This Row],[FECHA FIN ]],Tabla1[[#This Row],[FECHA INICIO]])</f>
        <v>80</v>
      </c>
      <c r="M3815" s="12"/>
      <c r="N3815" s="24">
        <v>225</v>
      </c>
      <c r="O3815" s="24">
        <f>(Tabla1[[#This Row],[COSTO FIJO ]]/30)*Tabla1[[#This Row],[TOTAL DIAS PROYECTO]]+(Tabla1[[#This Row],[COSTO TEMPORAL]])</f>
        <v>600</v>
      </c>
      <c r="P3815" s="12"/>
      <c r="Q3815" s="12">
        <f>+(Tabla1[[#This Row],[COSTO COCHE]]/30)*Tabla1[[#This Row],[TOTAL DIAS PROYECTO]]</f>
        <v>0</v>
      </c>
      <c r="R3815" s="12">
        <f>+Tabla1[[#This Row],[COSTO TOTAL ALOJAMIENTO]]+Tabla1[[#This Row],[COSTO TOTAL COCHE]]</f>
        <v>600</v>
      </c>
      <c r="S3815" s="2"/>
      <c r="T3815" s="14" t="s">
        <v>35</v>
      </c>
      <c r="U3815" s="14">
        <v>45867</v>
      </c>
      <c r="V3815" s="25"/>
      <c r="W3815" s="12">
        <v>450</v>
      </c>
      <c r="X3815" s="2">
        <v>26</v>
      </c>
      <c r="Y3815" s="11" t="s">
        <v>5650</v>
      </c>
      <c r="Z3815" s="2" t="s">
        <v>36</v>
      </c>
      <c r="AA3815" s="13" t="s">
        <v>10394</v>
      </c>
      <c r="AB3815" s="13" t="s">
        <v>10395</v>
      </c>
    </row>
    <row r="3816" spans="1:28" ht="15" customHeight="1">
      <c r="A3816" s="2" t="s">
        <v>9630</v>
      </c>
      <c r="B3816" s="2" t="s">
        <v>28</v>
      </c>
      <c r="C3816" s="97" t="s">
        <v>3962</v>
      </c>
      <c r="D3816" s="2" t="s">
        <v>99</v>
      </c>
      <c r="E3816" s="2" t="s">
        <v>55</v>
      </c>
      <c r="F3816" s="11" t="s">
        <v>5651</v>
      </c>
      <c r="G3816" s="46" t="s">
        <v>5652</v>
      </c>
      <c r="H3816" s="2" t="s">
        <v>5360</v>
      </c>
      <c r="I3816" s="12" t="s">
        <v>1067</v>
      </c>
      <c r="J3816" s="41">
        <f>+Tabla1[[#This Row],[FECHA ENTRADA]]</f>
        <v>45932</v>
      </c>
      <c r="K3816" s="41">
        <v>45947</v>
      </c>
      <c r="L3816" s="42">
        <f>_xlfn.DAYS(Tabla1[[#This Row],[FECHA FIN ]],Tabla1[[#This Row],[FECHA INICIO]])</f>
        <v>15</v>
      </c>
      <c r="M3816" s="12">
        <v>597.34</v>
      </c>
      <c r="N3816" s="28"/>
      <c r="O3816" s="28">
        <f>(Tabla1[[#This Row],[COSTO FIJO ]]/30)*Tabla1[[#This Row],[TOTAL DIAS PROYECTO]]+(Tabla1[[#This Row],[COSTO TEMPORAL]])</f>
        <v>597.34</v>
      </c>
      <c r="P3816" s="12"/>
      <c r="Q3816" s="12">
        <f>+(Tabla1[[#This Row],[COSTO COCHE]]/30)*Tabla1[[#This Row],[TOTAL DIAS PROYECTO]]</f>
        <v>0</v>
      </c>
      <c r="R3816" s="12">
        <f>+Tabla1[[#This Row],[COSTO TOTAL ALOJAMIENTO]]+Tabla1[[#This Row],[COSTO TOTAL COCHE]]</f>
        <v>597.34</v>
      </c>
      <c r="S3816" s="2" t="s">
        <v>84</v>
      </c>
      <c r="T3816" s="14" t="s">
        <v>44</v>
      </c>
      <c r="U3816" s="14">
        <v>45932</v>
      </c>
      <c r="V3816" s="43">
        <v>45962</v>
      </c>
      <c r="W3816" s="71"/>
      <c r="X3816" s="2"/>
      <c r="Y3816" s="11" t="s">
        <v>5653</v>
      </c>
      <c r="Z3816" s="2" t="s">
        <v>36</v>
      </c>
      <c r="AA3816" s="13" t="s">
        <v>10327</v>
      </c>
      <c r="AB3816" s="13" t="s">
        <v>10328</v>
      </c>
    </row>
    <row r="3817" spans="1:28" ht="15" customHeight="1">
      <c r="A3817" s="2" t="s">
        <v>9923</v>
      </c>
      <c r="B3817" s="2" t="s">
        <v>711</v>
      </c>
      <c r="C3817" s="97" t="s">
        <v>5470</v>
      </c>
      <c r="D3817" s="2" t="s">
        <v>30</v>
      </c>
      <c r="E3817" s="2" t="s">
        <v>1130</v>
      </c>
      <c r="F3817" s="11" t="s">
        <v>5654</v>
      </c>
      <c r="G3817" s="21" t="s">
        <v>5655</v>
      </c>
      <c r="H3817" s="2" t="s">
        <v>5468</v>
      </c>
      <c r="I3817" s="12" t="s">
        <v>5469</v>
      </c>
      <c r="J3817" s="22">
        <f>+Tabla1[[#This Row],[FECHA ENTRADA]]</f>
        <v>45940</v>
      </c>
      <c r="K3817" s="22">
        <v>45948</v>
      </c>
      <c r="L3817" s="23">
        <f>_xlfn.DAYS(Tabla1[[#This Row],[FECHA FIN ]],Tabla1[[#This Row],[FECHA INICIO]])</f>
        <v>8</v>
      </c>
      <c r="M3817" s="12"/>
      <c r="N3817" s="12"/>
      <c r="O3817" s="24">
        <f>(Tabla1[[#This Row],[COSTO FIJO ]]/30)*Tabla1[[#This Row],[TOTAL DIAS PROYECTO]]+(Tabla1[[#This Row],[COSTO TEMPORAL]])</f>
        <v>0</v>
      </c>
      <c r="P3817" s="12"/>
      <c r="Q3817" s="12">
        <f>+(Tabla1[[#This Row],[COSTO COCHE]]/30)*Tabla1[[#This Row],[TOTAL DIAS PROYECTO]]</f>
        <v>0</v>
      </c>
      <c r="R3817" s="12">
        <f>+Tabla1[[#This Row],[COSTO TOTAL ALOJAMIENTO]]+Tabla1[[#This Row],[COSTO TOTAL COCHE]]</f>
        <v>0</v>
      </c>
      <c r="S3817" s="2"/>
      <c r="T3817" s="14" t="s">
        <v>35</v>
      </c>
      <c r="U3817" s="14">
        <v>45940</v>
      </c>
      <c r="V3817" s="79"/>
      <c r="W3817" s="71">
        <v>250</v>
      </c>
      <c r="X3817" s="2">
        <v>1</v>
      </c>
      <c r="Y3817" s="11" t="s">
        <v>5656</v>
      </c>
      <c r="Z3817" s="2" t="s">
        <v>36</v>
      </c>
      <c r="AA3817" s="13" t="s">
        <v>10412</v>
      </c>
      <c r="AB3817" s="13">
        <v>4200955</v>
      </c>
    </row>
    <row r="3818" spans="1:28" ht="15" customHeight="1">
      <c r="A3818" s="2" t="s">
        <v>9865</v>
      </c>
      <c r="B3818" s="2" t="s">
        <v>978</v>
      </c>
      <c r="C3818" s="104" t="s">
        <v>5102</v>
      </c>
      <c r="D3818" s="2" t="s">
        <v>30</v>
      </c>
      <c r="E3818" s="2" t="s">
        <v>259</v>
      </c>
      <c r="F3818" s="11" t="s">
        <v>5657</v>
      </c>
      <c r="G3818" s="49" t="s">
        <v>4207</v>
      </c>
      <c r="H3818" s="2" t="s">
        <v>5103</v>
      </c>
      <c r="I3818" s="12" t="s">
        <v>4255</v>
      </c>
      <c r="J3818" s="41">
        <f>+Tabla1[[#This Row],[FECHA ENTRADA]]</f>
        <v>45905</v>
      </c>
      <c r="K3818" s="22">
        <v>45948</v>
      </c>
      <c r="L3818" s="42">
        <f>_xlfn.DAYS(Tabla1[[#This Row],[FECHA FIN ]],Tabla1[[#This Row],[FECHA INICIO]])</f>
        <v>43</v>
      </c>
      <c r="M3818" s="12"/>
      <c r="N3818" s="12">
        <v>466.67</v>
      </c>
      <c r="O3818" s="28">
        <f>(Tabla1[[#This Row],[COSTO FIJO ]]/30)*Tabla1[[#This Row],[TOTAL DIAS PROYECTO]]+(Tabla1[[#This Row],[COSTO TEMPORAL]])</f>
        <v>668.89366666666672</v>
      </c>
      <c r="P3818" s="12"/>
      <c r="Q3818" s="12">
        <f>+(Tabla1[[#This Row],[COSTO COCHE]]/30)*Tabla1[[#This Row],[TOTAL DIAS PROYECTO]]</f>
        <v>0</v>
      </c>
      <c r="R3818" s="12">
        <f>+Tabla1[[#This Row],[COSTO TOTAL ALOJAMIENTO]]+Tabla1[[#This Row],[COSTO TOTAL COCHE]]</f>
        <v>668.89366666666672</v>
      </c>
      <c r="S3818" s="2"/>
      <c r="T3818" s="14" t="s">
        <v>35</v>
      </c>
      <c r="U3818" s="14">
        <v>45905</v>
      </c>
      <c r="V3818" s="43"/>
      <c r="W3818" s="71"/>
      <c r="X3818" s="2">
        <v>1</v>
      </c>
      <c r="Y3818" s="11"/>
      <c r="Z3818" s="2" t="s">
        <v>36</v>
      </c>
      <c r="AA3818" s="13">
        <v>-0.87734000000000001</v>
      </c>
      <c r="AB3818" s="13" t="s">
        <v>10359</v>
      </c>
    </row>
    <row r="3819" spans="1:28" ht="15" customHeight="1">
      <c r="A3819" s="2" t="s">
        <v>9731</v>
      </c>
      <c r="B3819" s="2" t="s">
        <v>978</v>
      </c>
      <c r="C3819" s="104" t="s">
        <v>4461</v>
      </c>
      <c r="D3819" s="2" t="s">
        <v>30</v>
      </c>
      <c r="E3819" s="2" t="s">
        <v>608</v>
      </c>
      <c r="F3819" s="11" t="s">
        <v>5215</v>
      </c>
      <c r="G3819" s="49" t="s">
        <v>5216</v>
      </c>
      <c r="H3819" s="2" t="s">
        <v>5658</v>
      </c>
      <c r="I3819" s="12" t="s">
        <v>4255</v>
      </c>
      <c r="J3819" s="22">
        <f>+Tabla1[[#This Row],[FECHA ENTRADA]]</f>
        <v>45909</v>
      </c>
      <c r="K3819" s="22">
        <v>45948</v>
      </c>
      <c r="L3819" s="23">
        <f>_xlfn.DAYS(Tabla1[[#This Row],[FECHA FIN ]],Tabla1[[#This Row],[FECHA INICIO]])</f>
        <v>39</v>
      </c>
      <c r="M3819" s="12">
        <f>456.47/2</f>
        <v>228.23500000000001</v>
      </c>
      <c r="N3819" s="24"/>
      <c r="O3819" s="24">
        <f>(Tabla1[[#This Row],[COSTO FIJO ]]/30)*Tabla1[[#This Row],[TOTAL DIAS PROYECTO]]+(Tabla1[[#This Row],[COSTO TEMPORAL]])</f>
        <v>228.23500000000001</v>
      </c>
      <c r="P3819" s="12"/>
      <c r="Q3819" s="12">
        <f>+(Tabla1[[#This Row],[COSTO COCHE]]/30)*Tabla1[[#This Row],[TOTAL DIAS PROYECTO]]</f>
        <v>0</v>
      </c>
      <c r="R3819" s="12">
        <f>+Tabla1[[#This Row],[COSTO TOTAL ALOJAMIENTO]]+Tabla1[[#This Row],[COSTO TOTAL COCHE]]</f>
        <v>228.23500000000001</v>
      </c>
      <c r="S3819" s="2" t="s">
        <v>84</v>
      </c>
      <c r="T3819" s="14" t="s">
        <v>44</v>
      </c>
      <c r="U3819" s="14">
        <v>45909</v>
      </c>
      <c r="V3819" s="25">
        <v>45953</v>
      </c>
      <c r="W3819" s="71"/>
      <c r="X3819" s="2"/>
      <c r="Y3819" s="11" t="s">
        <v>5659</v>
      </c>
      <c r="Z3819" s="2" t="s">
        <v>36</v>
      </c>
      <c r="AA3819" s="13" t="s">
        <v>10383</v>
      </c>
      <c r="AB3819" s="13" t="s">
        <v>10384</v>
      </c>
    </row>
    <row r="3820" spans="1:28" ht="15" customHeight="1">
      <c r="A3820" s="2" t="s">
        <v>9788</v>
      </c>
      <c r="B3820" s="2" t="s">
        <v>978</v>
      </c>
      <c r="C3820" s="104" t="s">
        <v>4744</v>
      </c>
      <c r="D3820" s="2" t="s">
        <v>30</v>
      </c>
      <c r="E3820" s="2" t="s">
        <v>608</v>
      </c>
      <c r="F3820" s="11" t="s">
        <v>5215</v>
      </c>
      <c r="G3820" s="46" t="s">
        <v>5216</v>
      </c>
      <c r="H3820" s="2" t="s">
        <v>5658</v>
      </c>
      <c r="I3820" s="12" t="s">
        <v>4255</v>
      </c>
      <c r="J3820" s="22">
        <f>+Tabla1[[#This Row],[FECHA ENTRADA]]</f>
        <v>45909</v>
      </c>
      <c r="K3820" s="22">
        <v>45948</v>
      </c>
      <c r="L3820" s="23">
        <f>_xlfn.DAYS(Tabla1[[#This Row],[FECHA FIN ]],Tabla1[[#This Row],[FECHA INICIO]])</f>
        <v>39</v>
      </c>
      <c r="M3820" s="12">
        <f>456.47/2</f>
        <v>228.23500000000001</v>
      </c>
      <c r="N3820" s="24"/>
      <c r="O3820" s="24">
        <f>(Tabla1[[#This Row],[COSTO FIJO ]]/30)*Tabla1[[#This Row],[TOTAL DIAS PROYECTO]]+(Tabla1[[#This Row],[COSTO TEMPORAL]])</f>
        <v>228.23500000000001</v>
      </c>
      <c r="P3820" s="12"/>
      <c r="Q3820" s="12">
        <f>+(Tabla1[[#This Row],[COSTO COCHE]]/30)*Tabla1[[#This Row],[TOTAL DIAS PROYECTO]]</f>
        <v>0</v>
      </c>
      <c r="R3820" s="12">
        <f>+Tabla1[[#This Row],[COSTO TOTAL ALOJAMIENTO]]+Tabla1[[#This Row],[COSTO TOTAL COCHE]]</f>
        <v>228.23500000000001</v>
      </c>
      <c r="S3820" s="2" t="s">
        <v>84</v>
      </c>
      <c r="T3820" s="14" t="s">
        <v>44</v>
      </c>
      <c r="U3820" s="14">
        <v>45909</v>
      </c>
      <c r="V3820" s="25">
        <v>45953</v>
      </c>
      <c r="W3820" s="71"/>
      <c r="X3820" s="2"/>
      <c r="Y3820" s="11" t="s">
        <v>5660</v>
      </c>
      <c r="Z3820" s="2" t="s">
        <v>36</v>
      </c>
      <c r="AA3820" s="13" t="s">
        <v>10383</v>
      </c>
      <c r="AB3820" s="13" t="s">
        <v>10384</v>
      </c>
    </row>
    <row r="3821" spans="1:28" ht="15" customHeight="1">
      <c r="A3821" s="2" t="s">
        <v>8642</v>
      </c>
      <c r="B3821" s="10" t="s">
        <v>978</v>
      </c>
      <c r="C3821" s="104" t="s">
        <v>5661</v>
      </c>
      <c r="D3821" s="2" t="s">
        <v>30</v>
      </c>
      <c r="E3821" s="2" t="s">
        <v>259</v>
      </c>
      <c r="F3821" s="11" t="s">
        <v>5662</v>
      </c>
      <c r="G3821" s="46" t="s">
        <v>4207</v>
      </c>
      <c r="H3821" s="2" t="s">
        <v>1465</v>
      </c>
      <c r="I3821" s="12" t="s">
        <v>4255</v>
      </c>
      <c r="J3821" s="41">
        <f>+Tabla1[[#This Row],[FECHA ENTRADA]]</f>
        <v>45782</v>
      </c>
      <c r="K3821" s="41">
        <v>45948</v>
      </c>
      <c r="L3821" s="42">
        <f>_xlfn.DAYS(Tabla1[[#This Row],[FECHA FIN ]],Tabla1[[#This Row],[FECHA INICIO]])</f>
        <v>166</v>
      </c>
      <c r="M3821" s="12"/>
      <c r="N3821" s="12">
        <v>300</v>
      </c>
      <c r="O3821" s="28">
        <f>(Tabla1[[#This Row],[COSTO FIJO ]]/30)*Tabla1[[#This Row],[TOTAL DIAS PROYECTO]]+(Tabla1[[#This Row],[COSTO TEMPORAL]])</f>
        <v>1660</v>
      </c>
      <c r="P3821" s="12"/>
      <c r="Q3821" s="12">
        <f>+(Tabla1[[#This Row],[COSTO COCHE]]/30)*Tabla1[[#This Row],[TOTAL DIAS PROYECTO]]</f>
        <v>0</v>
      </c>
      <c r="R3821" s="12">
        <f>+Tabla1[[#This Row],[COSTO TOTAL ALOJAMIENTO]]+Tabla1[[#This Row],[COSTO TOTAL COCHE]]</f>
        <v>1660</v>
      </c>
      <c r="S3821" s="2"/>
      <c r="T3821" s="14" t="s">
        <v>35</v>
      </c>
      <c r="U3821" s="14">
        <v>45782</v>
      </c>
      <c r="V3821" s="43"/>
      <c r="W3821" s="12">
        <v>1200</v>
      </c>
      <c r="X3821" s="2">
        <v>5</v>
      </c>
      <c r="Y3821" s="11"/>
      <c r="Z3821" s="2" t="s">
        <v>36</v>
      </c>
      <c r="AA3821" s="13">
        <v>-0.87734000000000001</v>
      </c>
      <c r="AB3821" s="13" t="s">
        <v>10359</v>
      </c>
    </row>
    <row r="3822" spans="1:28" ht="15" customHeight="1">
      <c r="A3822" s="2" t="s">
        <v>9787</v>
      </c>
      <c r="B3822" s="2" t="s">
        <v>978</v>
      </c>
      <c r="C3822" s="104" t="s">
        <v>4740</v>
      </c>
      <c r="D3822" s="2" t="s">
        <v>30</v>
      </c>
      <c r="E3822" s="2" t="s">
        <v>608</v>
      </c>
      <c r="F3822" s="11" t="s">
        <v>5663</v>
      </c>
      <c r="G3822" s="21" t="s">
        <v>5664</v>
      </c>
      <c r="H3822" s="2" t="s">
        <v>5480</v>
      </c>
      <c r="I3822" s="12" t="s">
        <v>4255</v>
      </c>
      <c r="J3822" s="22">
        <f>+Tabla1[[#This Row],[FECHA ENTRADA]]</f>
        <v>45938</v>
      </c>
      <c r="K3822" s="22">
        <v>45948</v>
      </c>
      <c r="L3822" s="23">
        <f>_xlfn.DAYS(Tabla1[[#This Row],[FECHA FIN ]],Tabla1[[#This Row],[FECHA INICIO]])</f>
        <v>10</v>
      </c>
      <c r="M3822" s="12">
        <v>210</v>
      </c>
      <c r="N3822" s="20"/>
      <c r="O3822" s="24">
        <f>(Tabla1[[#This Row],[COSTO FIJO ]]/30)*Tabla1[[#This Row],[TOTAL DIAS PROYECTO]]+(Tabla1[[#This Row],[COSTO TEMPORAL]])</f>
        <v>210</v>
      </c>
      <c r="P3822" s="12"/>
      <c r="Q3822" s="12">
        <f>+(Tabla1[[#This Row],[COSTO COCHE]]/30)*Tabla1[[#This Row],[TOTAL DIAS PROYECTO]]</f>
        <v>0</v>
      </c>
      <c r="R3822" s="12">
        <f>+Tabla1[[#This Row],[COSTO TOTAL ALOJAMIENTO]]+Tabla1[[#This Row],[COSTO TOTAL COCHE]]</f>
        <v>210</v>
      </c>
      <c r="S3822" s="2"/>
      <c r="T3822" s="14" t="s">
        <v>44</v>
      </c>
      <c r="U3822" s="14">
        <v>45938</v>
      </c>
      <c r="V3822" s="79">
        <v>45951</v>
      </c>
      <c r="W3822" s="71"/>
      <c r="X3822" s="2"/>
      <c r="Y3822" s="11" t="s">
        <v>5665</v>
      </c>
      <c r="Z3822" s="2" t="s">
        <v>36</v>
      </c>
      <c r="AA3822" s="13" t="s">
        <v>10383</v>
      </c>
      <c r="AB3822" s="13" t="s">
        <v>10384</v>
      </c>
    </row>
    <row r="3823" spans="1:28" ht="15" customHeight="1">
      <c r="A3823" s="2" t="s">
        <v>9951</v>
      </c>
      <c r="B3823" s="2" t="s">
        <v>368</v>
      </c>
      <c r="C3823" s="97" t="s">
        <v>5666</v>
      </c>
      <c r="D3823" s="2" t="s">
        <v>30</v>
      </c>
      <c r="E3823" s="2" t="s">
        <v>127</v>
      </c>
      <c r="F3823" s="11" t="s">
        <v>820</v>
      </c>
      <c r="G3823" s="21" t="s">
        <v>1234</v>
      </c>
      <c r="H3823" s="2" t="s">
        <v>5667</v>
      </c>
      <c r="I3823" s="12" t="s">
        <v>1193</v>
      </c>
      <c r="J3823" s="41">
        <f>+Tabla1[[#This Row],[FECHA ENTRADA]]</f>
        <v>45944</v>
      </c>
      <c r="K3823" s="22">
        <v>45948</v>
      </c>
      <c r="L3823" s="42">
        <f>_xlfn.DAYS(Tabla1[[#This Row],[FECHA FIN ]],Tabla1[[#This Row],[FECHA INICIO]])</f>
        <v>4</v>
      </c>
      <c r="M3823" s="12">
        <v>75</v>
      </c>
      <c r="N3823" s="20"/>
      <c r="O3823" s="28">
        <f>(Tabla1[[#This Row],[COSTO FIJO ]]/30)*Tabla1[[#This Row],[TOTAL DIAS PROYECTO]]+(Tabla1[[#This Row],[COSTO TEMPORAL]])</f>
        <v>75</v>
      </c>
      <c r="P3823" s="12"/>
      <c r="Q3823" s="12">
        <f>+(Tabla1[[#This Row],[COSTO COCHE]]/30)*Tabla1[[#This Row],[TOTAL DIAS PROYECTO]]</f>
        <v>0</v>
      </c>
      <c r="R3823" s="12">
        <f>+Tabla1[[#This Row],[COSTO TOTAL ALOJAMIENTO]]+Tabla1[[#This Row],[COSTO TOTAL COCHE]]</f>
        <v>75</v>
      </c>
      <c r="S3823" s="2"/>
      <c r="T3823" s="14" t="s">
        <v>44</v>
      </c>
      <c r="U3823" s="14">
        <v>45944</v>
      </c>
      <c r="V3823" s="79">
        <v>45948</v>
      </c>
      <c r="W3823" s="71"/>
      <c r="X3823" s="2"/>
      <c r="Y3823" s="11" t="s">
        <v>5668</v>
      </c>
      <c r="Z3823" s="2" t="s">
        <v>36</v>
      </c>
      <c r="AA3823" s="13" t="s">
        <v>10342</v>
      </c>
      <c r="AB3823" s="13" t="s">
        <v>10343</v>
      </c>
    </row>
    <row r="3824" spans="1:28" ht="15" customHeight="1">
      <c r="A3824" s="2" t="s">
        <v>9952</v>
      </c>
      <c r="B3824" s="2" t="s">
        <v>368</v>
      </c>
      <c r="C3824" s="97" t="s">
        <v>5669</v>
      </c>
      <c r="D3824" s="2" t="s">
        <v>30</v>
      </c>
      <c r="E3824" s="2" t="s">
        <v>127</v>
      </c>
      <c r="F3824" s="11" t="s">
        <v>820</v>
      </c>
      <c r="G3824" s="21" t="s">
        <v>1234</v>
      </c>
      <c r="H3824" s="2" t="s">
        <v>5667</v>
      </c>
      <c r="I3824" s="12" t="s">
        <v>1193</v>
      </c>
      <c r="J3824" s="41">
        <f>+Tabla1[[#This Row],[FECHA ENTRADA]]</f>
        <v>45944</v>
      </c>
      <c r="K3824" s="22">
        <v>45948</v>
      </c>
      <c r="L3824" s="42">
        <f>_xlfn.DAYS(Tabla1[[#This Row],[FECHA FIN ]],Tabla1[[#This Row],[FECHA INICIO]])</f>
        <v>4</v>
      </c>
      <c r="M3824" s="12">
        <v>75</v>
      </c>
      <c r="N3824" s="20"/>
      <c r="O3824" s="28">
        <f>(Tabla1[[#This Row],[COSTO FIJO ]]/30)*Tabla1[[#This Row],[TOTAL DIAS PROYECTO]]+(Tabla1[[#This Row],[COSTO TEMPORAL]])</f>
        <v>75</v>
      </c>
      <c r="P3824" s="12"/>
      <c r="Q3824" s="12">
        <f>+(Tabla1[[#This Row],[COSTO COCHE]]/30)*Tabla1[[#This Row],[TOTAL DIAS PROYECTO]]</f>
        <v>0</v>
      </c>
      <c r="R3824" s="12">
        <f>+Tabla1[[#This Row],[COSTO TOTAL ALOJAMIENTO]]+Tabla1[[#This Row],[COSTO TOTAL COCHE]]</f>
        <v>75</v>
      </c>
      <c r="S3824" s="2"/>
      <c r="T3824" s="14" t="s">
        <v>44</v>
      </c>
      <c r="U3824" s="14">
        <v>45944</v>
      </c>
      <c r="V3824" s="79">
        <v>45948</v>
      </c>
      <c r="W3824" s="71"/>
      <c r="X3824" s="2"/>
      <c r="Y3824" s="11" t="s">
        <v>5668</v>
      </c>
      <c r="Z3824" s="2" t="s">
        <v>36</v>
      </c>
      <c r="AA3824" s="13" t="s">
        <v>10342</v>
      </c>
      <c r="AB3824" s="13" t="s">
        <v>10343</v>
      </c>
    </row>
    <row r="3825" spans="1:28" ht="15" customHeight="1">
      <c r="A3825" s="2" t="s">
        <v>9017</v>
      </c>
      <c r="B3825" s="2" t="s">
        <v>368</v>
      </c>
      <c r="C3825" s="97" t="s">
        <v>1705</v>
      </c>
      <c r="D3825" s="2" t="s">
        <v>30</v>
      </c>
      <c r="E3825" s="2" t="s">
        <v>127</v>
      </c>
      <c r="F3825" s="11" t="s">
        <v>820</v>
      </c>
      <c r="G3825" s="21" t="s">
        <v>1234</v>
      </c>
      <c r="H3825" s="2" t="s">
        <v>5667</v>
      </c>
      <c r="I3825" s="12" t="s">
        <v>1193</v>
      </c>
      <c r="J3825" s="41">
        <f>+Tabla1[[#This Row],[FECHA ENTRADA]]</f>
        <v>45944</v>
      </c>
      <c r="K3825" s="22">
        <v>45948</v>
      </c>
      <c r="L3825" s="42">
        <f>_xlfn.DAYS(Tabla1[[#This Row],[FECHA FIN ]],Tabla1[[#This Row],[FECHA INICIO]])</f>
        <v>4</v>
      </c>
      <c r="M3825" s="12">
        <v>75</v>
      </c>
      <c r="N3825" s="20"/>
      <c r="O3825" s="28">
        <f>(Tabla1[[#This Row],[COSTO FIJO ]]/30)*Tabla1[[#This Row],[TOTAL DIAS PROYECTO]]+(Tabla1[[#This Row],[COSTO TEMPORAL]])</f>
        <v>75</v>
      </c>
      <c r="P3825" s="12"/>
      <c r="Q3825" s="12">
        <f>+(Tabla1[[#This Row],[COSTO COCHE]]/30)*Tabla1[[#This Row],[TOTAL DIAS PROYECTO]]</f>
        <v>0</v>
      </c>
      <c r="R3825" s="12">
        <f>+Tabla1[[#This Row],[COSTO TOTAL ALOJAMIENTO]]+Tabla1[[#This Row],[COSTO TOTAL COCHE]]</f>
        <v>75</v>
      </c>
      <c r="S3825" s="2"/>
      <c r="T3825" s="14" t="s">
        <v>44</v>
      </c>
      <c r="U3825" s="14">
        <v>45944</v>
      </c>
      <c r="V3825" s="79">
        <v>45948</v>
      </c>
      <c r="W3825" s="71"/>
      <c r="X3825" s="2"/>
      <c r="Y3825" s="11" t="s">
        <v>5668</v>
      </c>
      <c r="Z3825" s="2" t="s">
        <v>36</v>
      </c>
      <c r="AA3825" s="13" t="s">
        <v>10342</v>
      </c>
      <c r="AB3825" s="13" t="s">
        <v>10343</v>
      </c>
    </row>
    <row r="3826" spans="1:28" ht="15" customHeight="1">
      <c r="A3826" s="2" t="s">
        <v>9194</v>
      </c>
      <c r="B3826" s="2" t="s">
        <v>368</v>
      </c>
      <c r="C3826" s="97" t="s">
        <v>2396</v>
      </c>
      <c r="D3826" s="2" t="s">
        <v>30</v>
      </c>
      <c r="E3826" s="2" t="s">
        <v>127</v>
      </c>
      <c r="F3826" s="11" t="s">
        <v>820</v>
      </c>
      <c r="G3826" s="21" t="s">
        <v>1234</v>
      </c>
      <c r="H3826" s="2" t="s">
        <v>5667</v>
      </c>
      <c r="I3826" s="12" t="s">
        <v>1193</v>
      </c>
      <c r="J3826" s="41">
        <f>+Tabla1[[#This Row],[FECHA ENTRADA]]</f>
        <v>45944</v>
      </c>
      <c r="K3826" s="22">
        <v>45948</v>
      </c>
      <c r="L3826" s="42">
        <f>_xlfn.DAYS(Tabla1[[#This Row],[FECHA FIN ]],Tabla1[[#This Row],[FECHA INICIO]])</f>
        <v>4</v>
      </c>
      <c r="M3826" s="12">
        <v>75</v>
      </c>
      <c r="N3826" s="20"/>
      <c r="O3826" s="28">
        <f>(Tabla1[[#This Row],[COSTO FIJO ]]/30)*Tabla1[[#This Row],[TOTAL DIAS PROYECTO]]+(Tabla1[[#This Row],[COSTO TEMPORAL]])</f>
        <v>75</v>
      </c>
      <c r="P3826" s="12"/>
      <c r="Q3826" s="12">
        <f>+(Tabla1[[#This Row],[COSTO COCHE]]/30)*Tabla1[[#This Row],[TOTAL DIAS PROYECTO]]</f>
        <v>0</v>
      </c>
      <c r="R3826" s="12">
        <f>+Tabla1[[#This Row],[COSTO TOTAL ALOJAMIENTO]]+Tabla1[[#This Row],[COSTO TOTAL COCHE]]</f>
        <v>75</v>
      </c>
      <c r="S3826" s="2"/>
      <c r="T3826" s="14" t="s">
        <v>44</v>
      </c>
      <c r="U3826" s="14">
        <v>45944</v>
      </c>
      <c r="V3826" s="79">
        <v>45948</v>
      </c>
      <c r="W3826" s="71"/>
      <c r="X3826" s="2"/>
      <c r="Y3826" s="11" t="s">
        <v>5668</v>
      </c>
      <c r="Z3826" s="2" t="s">
        <v>36</v>
      </c>
      <c r="AA3826" s="13" t="s">
        <v>10342</v>
      </c>
      <c r="AB3826" s="13" t="s">
        <v>10343</v>
      </c>
    </row>
    <row r="3827" spans="1:28" ht="15" customHeight="1">
      <c r="A3827" s="2" t="s">
        <v>9194</v>
      </c>
      <c r="B3827" s="2" t="s">
        <v>978</v>
      </c>
      <c r="C3827" s="97" t="s">
        <v>2396</v>
      </c>
      <c r="D3827" s="2" t="s">
        <v>30</v>
      </c>
      <c r="E3827" s="2" t="s">
        <v>855</v>
      </c>
      <c r="F3827" s="11" t="s">
        <v>1662</v>
      </c>
      <c r="G3827" s="49" t="s">
        <v>1474</v>
      </c>
      <c r="H3827" s="2" t="s">
        <v>5576</v>
      </c>
      <c r="I3827" s="12" t="s">
        <v>4362</v>
      </c>
      <c r="J3827" s="22">
        <f>+Tabla1[[#This Row],[FECHA ENTRADA]]</f>
        <v>45945</v>
      </c>
      <c r="K3827" s="22">
        <v>45948</v>
      </c>
      <c r="L3827" s="23">
        <f>_xlfn.DAYS(Tabla1[[#This Row],[FECHA FIN ]],Tabla1[[#This Row],[FECHA INICIO]])</f>
        <v>3</v>
      </c>
      <c r="M3827" s="12">
        <v>166.66666666666666</v>
      </c>
      <c r="N3827" s="20"/>
      <c r="O3827" s="24">
        <f>(Tabla1[[#This Row],[COSTO FIJO ]]/30)*Tabla1[[#This Row],[TOTAL DIAS PROYECTO]]+(Tabla1[[#This Row],[COSTO TEMPORAL]])</f>
        <v>166.66666666666666</v>
      </c>
      <c r="P3827" s="12"/>
      <c r="Q3827" s="12">
        <f>+(Tabla1[[#This Row],[COSTO COCHE]]/30)*Tabla1[[#This Row],[TOTAL DIAS PROYECTO]]</f>
        <v>0</v>
      </c>
      <c r="R3827" s="12">
        <f>+Tabla1[[#This Row],[COSTO TOTAL ALOJAMIENTO]]+Tabla1[[#This Row],[COSTO TOTAL COCHE]]</f>
        <v>166.66666666666666</v>
      </c>
      <c r="S3827" s="2"/>
      <c r="T3827" s="14" t="s">
        <v>44</v>
      </c>
      <c r="U3827" s="14">
        <v>45945</v>
      </c>
      <c r="V3827" s="25">
        <v>45948</v>
      </c>
      <c r="W3827" s="71"/>
      <c r="X3827" s="2"/>
      <c r="Y3827" s="11" t="s">
        <v>5670</v>
      </c>
      <c r="Z3827" s="2" t="s">
        <v>36</v>
      </c>
      <c r="AA3827" s="13" t="s">
        <v>10401</v>
      </c>
      <c r="AB3827" s="13" t="s">
        <v>10402</v>
      </c>
    </row>
    <row r="3828" spans="1:28" ht="15" customHeight="1">
      <c r="A3828" s="2" t="s">
        <v>9715</v>
      </c>
      <c r="B3828" s="2" t="s">
        <v>711</v>
      </c>
      <c r="C3828" s="97" t="s">
        <v>4371</v>
      </c>
      <c r="D3828" s="2" t="s">
        <v>30</v>
      </c>
      <c r="E3828" s="2" t="s">
        <v>422</v>
      </c>
      <c r="F3828" s="11" t="s">
        <v>5145</v>
      </c>
      <c r="G3828" t="s">
        <v>1376</v>
      </c>
      <c r="H3828" s="2" t="s">
        <v>5671</v>
      </c>
      <c r="I3828" s="30" t="s">
        <v>1322</v>
      </c>
      <c r="J3828" s="22">
        <f>+Tabla1[[#This Row],[FECHA ENTRADA]]</f>
        <v>45874</v>
      </c>
      <c r="K3828" s="8">
        <v>45886</v>
      </c>
      <c r="L3828" s="23">
        <f>_xlfn.DAYS(Tabla1[[#This Row],[FECHA FIN ]],Tabla1[[#This Row],[FECHA INICIO]])</f>
        <v>12</v>
      </c>
      <c r="M3828" s="12"/>
      <c r="N3828" s="20">
        <v>240</v>
      </c>
      <c r="O3828" s="24">
        <f>(Tabla1[[#This Row],[COSTO FIJO ]]/30)*Tabla1[[#This Row],[TOTAL DIAS PROYECTO]]+(Tabla1[[#This Row],[COSTO TEMPORAL]])</f>
        <v>96</v>
      </c>
      <c r="P3828" s="12"/>
      <c r="Q3828" s="12">
        <f>+(Tabla1[[#This Row],[COSTO COCHE]]/30)*Tabla1[[#This Row],[TOTAL DIAS PROYECTO]]</f>
        <v>0</v>
      </c>
      <c r="R3828" s="12">
        <f>+Tabla1[[#This Row],[COSTO TOTAL ALOJAMIENTO]]+Tabla1[[#This Row],[COSTO TOTAL COCHE]]</f>
        <v>96</v>
      </c>
      <c r="S3828" s="2"/>
      <c r="T3828" s="14" t="s">
        <v>35</v>
      </c>
      <c r="U3828" s="14">
        <v>45874</v>
      </c>
      <c r="V3828" s="79"/>
      <c r="W3828" s="12">
        <v>1200</v>
      </c>
      <c r="X3828" s="2">
        <v>5</v>
      </c>
      <c r="Y3828" s="11" t="s">
        <v>5672</v>
      </c>
      <c r="Z3828" s="2" t="s">
        <v>36</v>
      </c>
      <c r="AA3828" s="13">
        <v>-326.69799999999998</v>
      </c>
      <c r="AB3828" s="13" t="s">
        <v>10373</v>
      </c>
    </row>
    <row r="3829" spans="1:28" ht="15" customHeight="1">
      <c r="A3829" s="2" t="s">
        <v>9902</v>
      </c>
      <c r="B3829" s="2" t="s">
        <v>711</v>
      </c>
      <c r="C3829" s="97" t="s">
        <v>5303</v>
      </c>
      <c r="D3829" s="2" t="s">
        <v>30</v>
      </c>
      <c r="E3829" s="2" t="s">
        <v>626</v>
      </c>
      <c r="F3829" s="11" t="s">
        <v>5547</v>
      </c>
      <c r="G3829" s="21" t="s">
        <v>5548</v>
      </c>
      <c r="H3829" s="2" t="s">
        <v>5549</v>
      </c>
      <c r="I3829" s="2" t="s">
        <v>570</v>
      </c>
      <c r="J3829" s="22">
        <f>+Tabla1[[#This Row],[FECHA ENTRADA]]</f>
        <v>45935</v>
      </c>
      <c r="K3829" s="41">
        <v>45949</v>
      </c>
      <c r="L3829" s="23">
        <f>_xlfn.DAYS(Tabla1[[#This Row],[FECHA FIN ]],Tabla1[[#This Row],[FECHA INICIO]])</f>
        <v>14</v>
      </c>
      <c r="M3829" s="12">
        <f>230+102.4</f>
        <v>332.4</v>
      </c>
      <c r="N3829" s="20"/>
      <c r="O3829" s="24">
        <f>(Tabla1[[#This Row],[COSTO FIJO ]]/30)*Tabla1[[#This Row],[TOTAL DIAS PROYECTO]]+(Tabla1[[#This Row],[COSTO TEMPORAL]])</f>
        <v>332.4</v>
      </c>
      <c r="P3829" s="12"/>
      <c r="Q3829" s="12">
        <f>+(Tabla1[[#This Row],[COSTO COCHE]]/30)*Tabla1[[#This Row],[TOTAL DIAS PROYECTO]]</f>
        <v>0</v>
      </c>
      <c r="R3829" s="12">
        <f>+Tabla1[[#This Row],[COSTO TOTAL ALOJAMIENTO]]+Tabla1[[#This Row],[COSTO TOTAL COCHE]]</f>
        <v>332.4</v>
      </c>
      <c r="S3829" s="2"/>
      <c r="T3829" s="14" t="s">
        <v>44</v>
      </c>
      <c r="U3829" s="14">
        <v>45935</v>
      </c>
      <c r="V3829" s="79">
        <v>45949</v>
      </c>
      <c r="W3829" s="71"/>
      <c r="X3829" s="2"/>
      <c r="Y3829" s="202" t="s">
        <v>5673</v>
      </c>
      <c r="Z3829" s="2" t="s">
        <v>36</v>
      </c>
      <c r="AA3829" s="13" t="s">
        <v>10385</v>
      </c>
      <c r="AB3829" s="13" t="s">
        <v>10386</v>
      </c>
    </row>
    <row r="3830" spans="1:28" ht="15" customHeight="1">
      <c r="A3830" s="2" t="s">
        <v>8656</v>
      </c>
      <c r="B3830" s="2" t="s">
        <v>4701</v>
      </c>
      <c r="C3830" s="97" t="s">
        <v>150</v>
      </c>
      <c r="D3830" s="2" t="s">
        <v>99</v>
      </c>
      <c r="E3830" s="2" t="s">
        <v>31</v>
      </c>
      <c r="F3830" s="11"/>
      <c r="G3830" s="46"/>
      <c r="H3830" s="2" t="s">
        <v>5674</v>
      </c>
      <c r="I3830" s="12" t="s">
        <v>385</v>
      </c>
      <c r="J3830" s="41">
        <f>+Tabla1[[#This Row],[FECHA ENTRADA]]</f>
        <v>45942</v>
      </c>
      <c r="K3830" s="41">
        <v>45950</v>
      </c>
      <c r="L3830" s="42">
        <f>_xlfn.DAYS(Tabla1[[#This Row],[FECHA FIN ]],Tabla1[[#This Row],[FECHA INICIO]])</f>
        <v>8</v>
      </c>
      <c r="M3830" s="12"/>
      <c r="N3830" s="28">
        <v>300</v>
      </c>
      <c r="O3830" s="28">
        <f>(Tabla1[[#This Row],[COSTO FIJO ]]/30)*Tabla1[[#This Row],[TOTAL DIAS PROYECTO]]+(Tabla1[[#This Row],[COSTO TEMPORAL]])</f>
        <v>80</v>
      </c>
      <c r="P3830" s="12"/>
      <c r="Q3830" s="12">
        <f>+(Tabla1[[#This Row],[COSTO COCHE]]/30)*Tabla1[[#This Row],[TOTAL DIAS PROYECTO]]</f>
        <v>0</v>
      </c>
      <c r="R3830" s="12">
        <f>+Tabla1[[#This Row],[COSTO TOTAL ALOJAMIENTO]]+Tabla1[[#This Row],[COSTO TOTAL COCHE]]</f>
        <v>80</v>
      </c>
      <c r="S3830" s="2"/>
      <c r="T3830" s="14" t="s">
        <v>58</v>
      </c>
      <c r="U3830" s="14">
        <v>45942</v>
      </c>
      <c r="V3830" s="43"/>
      <c r="W3830" s="71"/>
      <c r="X3830" s="2"/>
      <c r="Y3830" s="11" t="s">
        <v>5675</v>
      </c>
      <c r="Z3830" s="2" t="s">
        <v>36</v>
      </c>
      <c r="AA3830" s="13" t="s">
        <v>10323</v>
      </c>
      <c r="AB3830" s="13" t="s">
        <v>10324</v>
      </c>
    </row>
    <row r="3831" spans="1:28" ht="15" customHeight="1">
      <c r="A3831" s="2" t="s">
        <v>9905</v>
      </c>
      <c r="B3831" s="2" t="s">
        <v>28</v>
      </c>
      <c r="C3831" s="97" t="s">
        <v>5322</v>
      </c>
      <c r="D3831" s="2" t="s">
        <v>30</v>
      </c>
      <c r="E3831" s="2" t="s">
        <v>31</v>
      </c>
      <c r="F3831" s="11" t="s">
        <v>451</v>
      </c>
      <c r="G3831" s="50" t="s">
        <v>452</v>
      </c>
      <c r="H3831" s="2" t="s">
        <v>5338</v>
      </c>
      <c r="I3831" s="12" t="s">
        <v>181</v>
      </c>
      <c r="J3831" s="22">
        <f>+Tabla1[[#This Row],[FECHA ENTRADA]]</f>
        <v>45928</v>
      </c>
      <c r="K3831" s="8">
        <v>45950</v>
      </c>
      <c r="L3831" s="23">
        <f>_xlfn.DAYS(Tabla1[[#This Row],[FECHA FIN ]],Tabla1[[#This Row],[FECHA INICIO]])</f>
        <v>22</v>
      </c>
      <c r="M3831" s="12"/>
      <c r="N3831" s="12">
        <v>425</v>
      </c>
      <c r="O3831" s="24">
        <f>(Tabla1[[#This Row],[COSTO FIJO ]]/30)*Tabla1[[#This Row],[TOTAL DIAS PROYECTO]]+(Tabla1[[#This Row],[COSTO TEMPORAL]])</f>
        <v>311.66666666666663</v>
      </c>
      <c r="P3831" s="12"/>
      <c r="Q3831" s="12">
        <f>+(Tabla1[[#This Row],[COSTO COCHE]]/30)*Tabla1[[#This Row],[TOTAL DIAS PROYECTO]]</f>
        <v>0</v>
      </c>
      <c r="R3831" s="12">
        <f>+Tabla1[[#This Row],[COSTO TOTAL ALOJAMIENTO]]+Tabla1[[#This Row],[COSTO TOTAL COCHE]]</f>
        <v>311.66666666666663</v>
      </c>
      <c r="S3831" s="2"/>
      <c r="T3831" s="14" t="s">
        <v>35</v>
      </c>
      <c r="U3831" s="14">
        <v>45928</v>
      </c>
      <c r="V3831" s="25"/>
      <c r="W3831" s="71"/>
      <c r="X3831" s="2">
        <v>1</v>
      </c>
      <c r="Y3831" s="11" t="s">
        <v>5676</v>
      </c>
      <c r="Z3831" s="2" t="s">
        <v>36</v>
      </c>
      <c r="AA3831" s="13" t="s">
        <v>10323</v>
      </c>
      <c r="AB3831" s="13" t="s">
        <v>10324</v>
      </c>
    </row>
    <row r="3832" spans="1:28" ht="15" customHeight="1">
      <c r="A3832" s="2" t="s">
        <v>9953</v>
      </c>
      <c r="B3832" s="2" t="s">
        <v>978</v>
      </c>
      <c r="C3832" s="97" t="s">
        <v>5677</v>
      </c>
      <c r="D3832" s="2" t="s">
        <v>30</v>
      </c>
      <c r="E3832" s="2" t="s">
        <v>253</v>
      </c>
      <c r="F3832" s="11" t="s">
        <v>5678</v>
      </c>
      <c r="G3832" s="46" t="s">
        <v>981</v>
      </c>
      <c r="H3832" s="2" t="s">
        <v>1530</v>
      </c>
      <c r="I3832" s="12" t="s">
        <v>1155</v>
      </c>
      <c r="J3832" s="22">
        <f>+Tabla1[[#This Row],[FECHA ENTRADA]]</f>
        <v>45574</v>
      </c>
      <c r="K3832" s="8">
        <v>45950</v>
      </c>
      <c r="L3832" s="42">
        <f>_xlfn.DAYS(Tabla1[[#This Row],[FECHA FIN ]],Tabla1[[#This Row],[FECHA INICIO]])</f>
        <v>376</v>
      </c>
      <c r="M3832" s="12"/>
      <c r="N3832" s="12">
        <v>550</v>
      </c>
      <c r="O3832" s="28">
        <f>(Tabla1[[#This Row],[COSTO FIJO ]]/30)*Tabla1[[#This Row],[TOTAL DIAS PROYECTO]]+(Tabla1[[#This Row],[COSTO TEMPORAL]])</f>
        <v>6893.333333333333</v>
      </c>
      <c r="P3832" s="12"/>
      <c r="Q3832" s="12">
        <f>+(Tabla1[[#This Row],[COSTO COCHE]]/30)*Tabla1[[#This Row],[TOTAL DIAS PROYECTO]]</f>
        <v>0</v>
      </c>
      <c r="R3832" s="12">
        <f>+Tabla1[[#This Row],[COSTO TOTAL ALOJAMIENTO]]+Tabla1[[#This Row],[COSTO TOTAL COCHE]]</f>
        <v>6893.333333333333</v>
      </c>
      <c r="S3832" s="2"/>
      <c r="T3832" s="2" t="s">
        <v>35</v>
      </c>
      <c r="U3832" s="14">
        <v>45574</v>
      </c>
      <c r="V3832" s="43"/>
      <c r="W3832" s="26"/>
      <c r="X3832" s="2">
        <v>5</v>
      </c>
      <c r="Y3832" s="11" t="s">
        <v>5679</v>
      </c>
      <c r="Z3832" s="2" t="s">
        <v>36</v>
      </c>
      <c r="AA3832" s="13" t="s">
        <v>10357</v>
      </c>
      <c r="AB3832" s="13" t="s">
        <v>10358</v>
      </c>
    </row>
    <row r="3833" spans="1:28" ht="15" customHeight="1">
      <c r="A3833" s="2" t="s">
        <v>9172</v>
      </c>
      <c r="B3833" s="2" t="s">
        <v>711</v>
      </c>
      <c r="C3833" s="97" t="s">
        <v>2312</v>
      </c>
      <c r="D3833" s="2" t="s">
        <v>30</v>
      </c>
      <c r="E3833" s="2" t="s">
        <v>422</v>
      </c>
      <c r="F3833" s="11" t="s">
        <v>5145</v>
      </c>
      <c r="G3833" t="s">
        <v>1376</v>
      </c>
      <c r="H3833" s="2" t="s">
        <v>5671</v>
      </c>
      <c r="I3833" s="30" t="s">
        <v>1322</v>
      </c>
      <c r="J3833" s="22">
        <f>+Tabla1[[#This Row],[FECHA ENTRADA]]</f>
        <v>45874</v>
      </c>
      <c r="K3833" s="8">
        <v>45886</v>
      </c>
      <c r="L3833" s="23">
        <f>_xlfn.DAYS(Tabla1[[#This Row],[FECHA FIN ]],Tabla1[[#This Row],[FECHA INICIO]])</f>
        <v>12</v>
      </c>
      <c r="M3833" s="12"/>
      <c r="N3833" s="20">
        <v>240</v>
      </c>
      <c r="O3833" s="24">
        <f>(Tabla1[[#This Row],[COSTO FIJO ]]/30)*Tabla1[[#This Row],[TOTAL DIAS PROYECTO]]+(Tabla1[[#This Row],[COSTO TEMPORAL]])</f>
        <v>96</v>
      </c>
      <c r="P3833" s="12"/>
      <c r="Q3833" s="12">
        <f>+(Tabla1[[#This Row],[COSTO COCHE]]/30)*Tabla1[[#This Row],[TOTAL DIAS PROYECTO]]</f>
        <v>0</v>
      </c>
      <c r="R3833" s="12">
        <f>+Tabla1[[#This Row],[COSTO TOTAL ALOJAMIENTO]]+Tabla1[[#This Row],[COSTO TOTAL COCHE]]</f>
        <v>96</v>
      </c>
      <c r="S3833" s="2"/>
      <c r="T3833" s="14" t="s">
        <v>35</v>
      </c>
      <c r="U3833" s="14">
        <v>45874</v>
      </c>
      <c r="V3833" s="79"/>
      <c r="W3833" s="12"/>
      <c r="X3833" s="2">
        <v>5</v>
      </c>
      <c r="Y3833" s="11" t="s">
        <v>5672</v>
      </c>
      <c r="Z3833" s="2" t="s">
        <v>36</v>
      </c>
      <c r="AA3833" s="13">
        <v>-326.69799999999998</v>
      </c>
      <c r="AB3833" s="13" t="s">
        <v>10373</v>
      </c>
    </row>
    <row r="3834" spans="1:28" ht="15" customHeight="1">
      <c r="A3834" s="2" t="s">
        <v>9954</v>
      </c>
      <c r="B3834" s="2" t="s">
        <v>978</v>
      </c>
      <c r="C3834" s="97" t="s">
        <v>5680</v>
      </c>
      <c r="D3834" s="2" t="s">
        <v>30</v>
      </c>
      <c r="E3834" s="2" t="s">
        <v>253</v>
      </c>
      <c r="F3834" s="11" t="s">
        <v>5678</v>
      </c>
      <c r="G3834" s="49" t="s">
        <v>981</v>
      </c>
      <c r="H3834" s="2" t="s">
        <v>2838</v>
      </c>
      <c r="I3834" s="12" t="s">
        <v>1155</v>
      </c>
      <c r="J3834" s="41">
        <f>+Tabla1[[#This Row],[FECHA ENTRADA]]</f>
        <v>45850</v>
      </c>
      <c r="K3834" s="22">
        <v>45950</v>
      </c>
      <c r="L3834" s="42">
        <f>_xlfn.DAYS(Tabla1[[#This Row],[FECHA FIN ]],Tabla1[[#This Row],[FECHA INICIO]])</f>
        <v>100</v>
      </c>
      <c r="M3834" s="12"/>
      <c r="N3834" s="28">
        <v>500</v>
      </c>
      <c r="O3834" s="28">
        <f>(Tabla1[[#This Row],[COSTO FIJO ]]/30)*Tabla1[[#This Row],[TOTAL DIAS PROYECTO]]+(Tabla1[[#This Row],[COSTO TEMPORAL]])</f>
        <v>1666.6666666666667</v>
      </c>
      <c r="P3834" s="12"/>
      <c r="Q3834" s="12">
        <f>+(Tabla1[[#This Row],[COSTO COCHE]]/30)*Tabla1[[#This Row],[TOTAL DIAS PROYECTO]]</f>
        <v>0</v>
      </c>
      <c r="R3834" s="12">
        <f>+Tabla1[[#This Row],[COSTO TOTAL ALOJAMIENTO]]+Tabla1[[#This Row],[COSTO TOTAL COCHE]]</f>
        <v>1666.6666666666667</v>
      </c>
      <c r="S3834" s="2"/>
      <c r="T3834" s="2" t="s">
        <v>35</v>
      </c>
      <c r="U3834" s="14">
        <v>45850</v>
      </c>
      <c r="V3834" s="43"/>
      <c r="W3834" s="12"/>
      <c r="X3834" s="2">
        <v>10</v>
      </c>
      <c r="Y3834" s="11" t="s">
        <v>5681</v>
      </c>
      <c r="Z3834" s="2" t="s">
        <v>36</v>
      </c>
      <c r="AA3834" s="13" t="s">
        <v>10357</v>
      </c>
      <c r="AB3834" s="13" t="s">
        <v>10358</v>
      </c>
    </row>
    <row r="3835" spans="1:28" ht="15" customHeight="1">
      <c r="A3835" s="2" t="s">
        <v>9560</v>
      </c>
      <c r="B3835" s="2" t="s">
        <v>28</v>
      </c>
      <c r="C3835" s="104" t="s">
        <v>3649</v>
      </c>
      <c r="D3835" s="2" t="s">
        <v>99</v>
      </c>
      <c r="E3835" s="2" t="s">
        <v>253</v>
      </c>
      <c r="F3835" s="11" t="s">
        <v>5065</v>
      </c>
      <c r="G3835" s="49" t="s">
        <v>1985</v>
      </c>
      <c r="H3835" s="2" t="s">
        <v>5168</v>
      </c>
      <c r="I3835" s="12" t="s">
        <v>5169</v>
      </c>
      <c r="J3835" s="41">
        <f>+Tabla1[[#This Row],[FECHA ENTRADA]]</f>
        <v>45887</v>
      </c>
      <c r="K3835" s="22">
        <v>45950</v>
      </c>
      <c r="L3835" s="42">
        <f>_xlfn.DAYS(Tabla1[[#This Row],[FECHA FIN ]],Tabla1[[#This Row],[FECHA INICIO]])</f>
        <v>63</v>
      </c>
      <c r="M3835" s="12"/>
      <c r="N3835" s="28"/>
      <c r="O3835" s="28">
        <f>(Tabla1[[#This Row],[COSTO FIJO ]]/30)*Tabla1[[#This Row],[TOTAL DIAS PROYECTO]]+(Tabla1[[#This Row],[COSTO TEMPORAL]])</f>
        <v>0</v>
      </c>
      <c r="P3835" s="12"/>
      <c r="Q3835" s="12">
        <f>+(Tabla1[[#This Row],[COSTO COCHE]]/30)*Tabla1[[#This Row],[TOTAL DIAS PROYECTO]]</f>
        <v>0</v>
      </c>
      <c r="R3835" s="12">
        <f>+Tabla1[[#This Row],[COSTO TOTAL ALOJAMIENTO]]+Tabla1[[#This Row],[COSTO TOTAL COCHE]]</f>
        <v>0</v>
      </c>
      <c r="S3835" s="2"/>
      <c r="T3835" s="14" t="s">
        <v>44</v>
      </c>
      <c r="U3835" s="14">
        <v>45887</v>
      </c>
      <c r="V3835" s="25">
        <v>45950</v>
      </c>
      <c r="W3835" s="12"/>
      <c r="X3835" s="2"/>
      <c r="Y3835" s="11" t="s">
        <v>5682</v>
      </c>
      <c r="Z3835" s="2" t="s">
        <v>36</v>
      </c>
      <c r="AA3835" s="13" t="s">
        <v>10357</v>
      </c>
      <c r="AB3835" s="13" t="s">
        <v>10358</v>
      </c>
    </row>
    <row r="3836" spans="1:28" ht="15" customHeight="1">
      <c r="A3836" s="2" t="s">
        <v>8642</v>
      </c>
      <c r="B3836" s="2" t="s">
        <v>978</v>
      </c>
      <c r="C3836" s="104" t="s">
        <v>5683</v>
      </c>
      <c r="D3836" s="2" t="s">
        <v>30</v>
      </c>
      <c r="E3836" s="2" t="s">
        <v>253</v>
      </c>
      <c r="F3836" s="11" t="s">
        <v>5065</v>
      </c>
      <c r="G3836" s="21" t="s">
        <v>1985</v>
      </c>
      <c r="H3836" s="2" t="s">
        <v>5452</v>
      </c>
      <c r="I3836" s="12" t="s">
        <v>4696</v>
      </c>
      <c r="J3836" s="22">
        <f>+Tabla1[[#This Row],[FECHA ENTRADA]]</f>
        <v>45935</v>
      </c>
      <c r="K3836" s="22">
        <v>45950</v>
      </c>
      <c r="L3836" s="23">
        <f>_xlfn.DAYS(Tabla1[[#This Row],[FECHA FIN ]],Tabla1[[#This Row],[FECHA INICIO]])</f>
        <v>15</v>
      </c>
      <c r="M3836" s="12"/>
      <c r="N3836" s="20"/>
      <c r="O3836" s="24">
        <f>(Tabla1[[#This Row],[COSTO FIJO ]]/30)*Tabla1[[#This Row],[TOTAL DIAS PROYECTO]]+(Tabla1[[#This Row],[COSTO TEMPORAL]])</f>
        <v>0</v>
      </c>
      <c r="P3836" s="12"/>
      <c r="Q3836" s="12">
        <f>+(Tabla1[[#This Row],[COSTO COCHE]]/30)*Tabla1[[#This Row],[TOTAL DIAS PROYECTO]]</f>
        <v>0</v>
      </c>
      <c r="R3836" s="12">
        <f>+Tabla1[[#This Row],[COSTO TOTAL ALOJAMIENTO]]+Tabla1[[#This Row],[COSTO TOTAL COCHE]]</f>
        <v>0</v>
      </c>
      <c r="S3836" s="2"/>
      <c r="T3836" s="14" t="s">
        <v>44</v>
      </c>
      <c r="U3836" s="14">
        <v>45935</v>
      </c>
      <c r="V3836" s="25">
        <v>45950</v>
      </c>
      <c r="W3836" s="71"/>
      <c r="X3836" s="2"/>
      <c r="Y3836" s="11" t="s">
        <v>5682</v>
      </c>
      <c r="Z3836" s="2" t="s">
        <v>36</v>
      </c>
      <c r="AA3836" s="13" t="s">
        <v>10357</v>
      </c>
      <c r="AB3836" s="13" t="s">
        <v>10358</v>
      </c>
    </row>
    <row r="3837" spans="1:28" ht="15" customHeight="1">
      <c r="A3837" s="2" t="s">
        <v>9955</v>
      </c>
      <c r="B3837" s="2" t="s">
        <v>978</v>
      </c>
      <c r="C3837" s="104" t="s">
        <v>5684</v>
      </c>
      <c r="D3837" s="2" t="s">
        <v>30</v>
      </c>
      <c r="E3837" s="2" t="s">
        <v>253</v>
      </c>
      <c r="F3837" s="11" t="s">
        <v>5065</v>
      </c>
      <c r="G3837" s="21" t="s">
        <v>1985</v>
      </c>
      <c r="H3837" s="2" t="s">
        <v>5452</v>
      </c>
      <c r="I3837" s="12" t="s">
        <v>4696</v>
      </c>
      <c r="J3837" s="22">
        <f>+Tabla1[[#This Row],[FECHA ENTRADA]]</f>
        <v>45935</v>
      </c>
      <c r="K3837" s="22">
        <v>45950</v>
      </c>
      <c r="L3837" s="23">
        <f>_xlfn.DAYS(Tabla1[[#This Row],[FECHA FIN ]],Tabla1[[#This Row],[FECHA INICIO]])</f>
        <v>15</v>
      </c>
      <c r="M3837" s="12"/>
      <c r="N3837" s="20"/>
      <c r="O3837" s="24">
        <f>(Tabla1[[#This Row],[COSTO FIJO ]]/30)*Tabla1[[#This Row],[TOTAL DIAS PROYECTO]]+(Tabla1[[#This Row],[COSTO TEMPORAL]])</f>
        <v>0</v>
      </c>
      <c r="P3837" s="12"/>
      <c r="Q3837" s="12">
        <f>+(Tabla1[[#This Row],[COSTO COCHE]]/30)*Tabla1[[#This Row],[TOTAL DIAS PROYECTO]]</f>
        <v>0</v>
      </c>
      <c r="R3837" s="12">
        <f>+Tabla1[[#This Row],[COSTO TOTAL ALOJAMIENTO]]+Tabla1[[#This Row],[COSTO TOTAL COCHE]]</f>
        <v>0</v>
      </c>
      <c r="S3837" s="2"/>
      <c r="T3837" s="14" t="s">
        <v>44</v>
      </c>
      <c r="U3837" s="14">
        <v>45935</v>
      </c>
      <c r="V3837" s="25">
        <v>45950</v>
      </c>
      <c r="W3837" s="71"/>
      <c r="X3837" s="2"/>
      <c r="Y3837" s="11" t="s">
        <v>5682</v>
      </c>
      <c r="Z3837" s="2" t="s">
        <v>36</v>
      </c>
      <c r="AA3837" s="13" t="s">
        <v>10357</v>
      </c>
      <c r="AB3837" s="13" t="s">
        <v>10358</v>
      </c>
    </row>
    <row r="3838" spans="1:28" ht="15" customHeight="1">
      <c r="A3838" s="2" t="s">
        <v>9052</v>
      </c>
      <c r="B3838" s="2" t="s">
        <v>711</v>
      </c>
      <c r="C3838" s="104" t="s">
        <v>1813</v>
      </c>
      <c r="D3838" s="2" t="s">
        <v>30</v>
      </c>
      <c r="E3838" s="2" t="s">
        <v>2378</v>
      </c>
      <c r="F3838" s="11" t="s">
        <v>5276</v>
      </c>
      <c r="G3838" s="46" t="s">
        <v>5685</v>
      </c>
      <c r="H3838" s="2" t="s">
        <v>5686</v>
      </c>
      <c r="I3838" s="12" t="s">
        <v>5187</v>
      </c>
      <c r="J3838" s="41">
        <f>+Tabla1[[#This Row],[FECHA ENTRADA]]</f>
        <v>45942</v>
      </c>
      <c r="K3838" s="41">
        <v>45950</v>
      </c>
      <c r="L3838" s="42">
        <f>_xlfn.DAYS(Tabla1[[#This Row],[FECHA FIN ]],Tabla1[[#This Row],[FECHA INICIO]])</f>
        <v>8</v>
      </c>
      <c r="M3838" s="12">
        <v>247.5</v>
      </c>
      <c r="N3838" s="28"/>
      <c r="O3838" s="28">
        <f>(Tabla1[[#This Row],[COSTO FIJO ]]/30)*Tabla1[[#This Row],[TOTAL DIAS PROYECTO]]+(Tabla1[[#This Row],[COSTO TEMPORAL]])</f>
        <v>247.5</v>
      </c>
      <c r="P3838" s="12"/>
      <c r="Q3838" s="12">
        <f>+(Tabla1[[#This Row],[COSTO COCHE]]/30)*Tabla1[[#This Row],[TOTAL DIAS PROYECTO]]</f>
        <v>0</v>
      </c>
      <c r="R3838" s="12">
        <f>+Tabla1[[#This Row],[COSTO TOTAL ALOJAMIENTO]]+Tabla1[[#This Row],[COSTO TOTAL COCHE]]</f>
        <v>247.5</v>
      </c>
      <c r="S3838" s="2"/>
      <c r="T3838" s="14" t="s">
        <v>44</v>
      </c>
      <c r="U3838" s="14">
        <v>45942</v>
      </c>
      <c r="V3838" s="43">
        <v>45951</v>
      </c>
      <c r="W3838" s="71"/>
      <c r="X3838" s="2"/>
      <c r="Y3838" s="11" t="s">
        <v>5687</v>
      </c>
      <c r="Z3838" s="2" t="s">
        <v>36</v>
      </c>
      <c r="AA3838" s="13" t="e">
        <v>#N/A</v>
      </c>
      <c r="AB3838" s="13" t="e">
        <v>#N/A</v>
      </c>
    </row>
    <row r="3839" spans="1:28" ht="15" customHeight="1">
      <c r="A3839" s="2" t="s">
        <v>9051</v>
      </c>
      <c r="B3839" s="2" t="s">
        <v>711</v>
      </c>
      <c r="C3839" s="104" t="s">
        <v>1812</v>
      </c>
      <c r="D3839" s="2" t="s">
        <v>30</v>
      </c>
      <c r="E3839" s="2" t="s">
        <v>2378</v>
      </c>
      <c r="F3839" s="11" t="s">
        <v>5276</v>
      </c>
      <c r="G3839" s="46" t="s">
        <v>5685</v>
      </c>
      <c r="H3839" s="2" t="s">
        <v>5686</v>
      </c>
      <c r="I3839" s="12" t="s">
        <v>5187</v>
      </c>
      <c r="J3839" s="41">
        <f>+Tabla1[[#This Row],[FECHA ENTRADA]]</f>
        <v>45942</v>
      </c>
      <c r="K3839" s="41">
        <v>45950</v>
      </c>
      <c r="L3839" s="42">
        <f>_xlfn.DAYS(Tabla1[[#This Row],[FECHA FIN ]],Tabla1[[#This Row],[FECHA INICIO]])</f>
        <v>8</v>
      </c>
      <c r="M3839" s="12">
        <v>247.5</v>
      </c>
      <c r="N3839" s="28"/>
      <c r="O3839" s="28">
        <f>(Tabla1[[#This Row],[COSTO FIJO ]]/30)*Tabla1[[#This Row],[TOTAL DIAS PROYECTO]]+(Tabla1[[#This Row],[COSTO TEMPORAL]])</f>
        <v>247.5</v>
      </c>
      <c r="P3839" s="12"/>
      <c r="Q3839" s="12">
        <f>+(Tabla1[[#This Row],[COSTO COCHE]]/30)*Tabla1[[#This Row],[TOTAL DIAS PROYECTO]]</f>
        <v>0</v>
      </c>
      <c r="R3839" s="12">
        <f>+Tabla1[[#This Row],[COSTO TOTAL ALOJAMIENTO]]+Tabla1[[#This Row],[COSTO TOTAL COCHE]]</f>
        <v>247.5</v>
      </c>
      <c r="S3839" s="2"/>
      <c r="T3839" s="14" t="s">
        <v>44</v>
      </c>
      <c r="U3839" s="14">
        <v>45942</v>
      </c>
      <c r="V3839" s="43">
        <v>45951</v>
      </c>
      <c r="W3839" s="71"/>
      <c r="X3839" s="2"/>
      <c r="Y3839" s="11" t="s">
        <v>5687</v>
      </c>
      <c r="Z3839" s="2" t="s">
        <v>36</v>
      </c>
      <c r="AA3839" s="13" t="e">
        <v>#N/A</v>
      </c>
      <c r="AB3839" s="13" t="e">
        <v>#N/A</v>
      </c>
    </row>
    <row r="3840" spans="1:28" ht="15" customHeight="1">
      <c r="A3840" s="2" t="s">
        <v>8761</v>
      </c>
      <c r="B3840" s="2" t="s">
        <v>978</v>
      </c>
      <c r="C3840" s="104" t="s">
        <v>633</v>
      </c>
      <c r="D3840" s="2" t="s">
        <v>99</v>
      </c>
      <c r="E3840" s="2" t="s">
        <v>31</v>
      </c>
      <c r="F3840" s="11" t="s">
        <v>5258</v>
      </c>
      <c r="G3840" s="49" t="s">
        <v>5083</v>
      </c>
      <c r="H3840" s="2" t="s">
        <v>5688</v>
      </c>
      <c r="I3840" s="12" t="s">
        <v>3791</v>
      </c>
      <c r="J3840" s="22">
        <f>+Tabla1[[#This Row],[FECHA ENTRADA]]</f>
        <v>45915</v>
      </c>
      <c r="K3840" s="22">
        <v>46021</v>
      </c>
      <c r="L3840" s="23">
        <f>_xlfn.DAYS(Tabla1[[#This Row],[FECHA FIN ]],Tabla1[[#This Row],[FECHA INICIO]])</f>
        <v>106</v>
      </c>
      <c r="M3840" s="12"/>
      <c r="N3840" s="24">
        <v>416.66666666666669</v>
      </c>
      <c r="O3840" s="24">
        <f>(Tabla1[[#This Row],[COSTO FIJO ]]/30)*Tabla1[[#This Row],[TOTAL DIAS PROYECTO]]+(Tabla1[[#This Row],[COSTO TEMPORAL]])</f>
        <v>1472.2222222222222</v>
      </c>
      <c r="P3840" s="12"/>
      <c r="Q3840" s="12">
        <f>+(Tabla1[[#This Row],[COSTO COCHE]]/30)*Tabla1[[#This Row],[TOTAL DIAS PROYECTO]]</f>
        <v>0</v>
      </c>
      <c r="R3840" s="12">
        <f>+Tabla1[[#This Row],[COSTO TOTAL ALOJAMIENTO]]+Tabla1[[#This Row],[COSTO TOTAL COCHE]]</f>
        <v>1472.2222222222222</v>
      </c>
      <c r="S3840" s="2"/>
      <c r="T3840" s="14" t="s">
        <v>44</v>
      </c>
      <c r="U3840" s="14">
        <v>45915</v>
      </c>
      <c r="V3840" s="25">
        <v>46021</v>
      </c>
      <c r="W3840" s="71">
        <v>500</v>
      </c>
      <c r="X3840" s="2">
        <v>25</v>
      </c>
      <c r="Y3840" s="11" t="s">
        <v>5689</v>
      </c>
      <c r="Z3840" s="2" t="s">
        <v>36</v>
      </c>
      <c r="AA3840" s="13" t="s">
        <v>10323</v>
      </c>
      <c r="AB3840" s="13" t="s">
        <v>10324</v>
      </c>
    </row>
    <row r="3841" spans="1:28" ht="15" customHeight="1">
      <c r="A3841" s="2" t="s">
        <v>9828</v>
      </c>
      <c r="B3841" s="2" t="s">
        <v>711</v>
      </c>
      <c r="C3841" s="97" t="s">
        <v>4931</v>
      </c>
      <c r="D3841" s="2" t="s">
        <v>99</v>
      </c>
      <c r="E3841" s="2" t="s">
        <v>5690</v>
      </c>
      <c r="F3841" s="11" t="s">
        <v>5691</v>
      </c>
      <c r="G3841" s="49" t="s">
        <v>5692</v>
      </c>
      <c r="H3841" s="2" t="s">
        <v>5693</v>
      </c>
      <c r="I3841" s="12" t="s">
        <v>5694</v>
      </c>
      <c r="J3841" s="22">
        <f>+Tabla1[[#This Row],[FECHA ENTRADA]]</f>
        <v>45951</v>
      </c>
      <c r="K3841" s="22">
        <v>45950</v>
      </c>
      <c r="L3841" s="23">
        <f>_xlfn.DAYS(Tabla1[[#This Row],[FECHA FIN ]],Tabla1[[#This Row],[FECHA INICIO]])</f>
        <v>-1</v>
      </c>
      <c r="M3841" s="12">
        <f>1561.8/4</f>
        <v>390.45</v>
      </c>
      <c r="N3841" s="24"/>
      <c r="O3841" s="24">
        <f>(Tabla1[[#This Row],[COSTO FIJO ]]/30)*Tabla1[[#This Row],[TOTAL DIAS PROYECTO]]+(Tabla1[[#This Row],[COSTO TEMPORAL]])</f>
        <v>390.45</v>
      </c>
      <c r="P3841" s="12"/>
      <c r="Q3841" s="12">
        <f>+(Tabla1[[#This Row],[COSTO COCHE]]/30)*Tabla1[[#This Row],[TOTAL DIAS PROYECTO]]</f>
        <v>0</v>
      </c>
      <c r="R3841" s="12">
        <f>+Tabla1[[#This Row],[COSTO TOTAL ALOJAMIENTO]]+Tabla1[[#This Row],[COSTO TOTAL COCHE]]</f>
        <v>390.45</v>
      </c>
      <c r="S3841" s="2" t="s">
        <v>403</v>
      </c>
      <c r="T3841" s="14" t="s">
        <v>44</v>
      </c>
      <c r="U3841" s="14">
        <v>45951</v>
      </c>
      <c r="V3841" s="25">
        <v>45966</v>
      </c>
      <c r="W3841" s="71"/>
      <c r="X3841" s="2"/>
      <c r="Y3841" s="11" t="s">
        <v>5695</v>
      </c>
      <c r="Z3841" s="2" t="s">
        <v>36</v>
      </c>
      <c r="AA3841" s="13" t="e">
        <v>#N/A</v>
      </c>
      <c r="AB3841" s="13" t="e">
        <v>#N/A</v>
      </c>
    </row>
    <row r="3842" spans="1:28" ht="15" customHeight="1">
      <c r="A3842" s="2" t="s">
        <v>9130</v>
      </c>
      <c r="B3842" s="2" t="s">
        <v>978</v>
      </c>
      <c r="C3842" s="104" t="s">
        <v>2126</v>
      </c>
      <c r="D3842" s="2" t="s">
        <v>99</v>
      </c>
      <c r="E3842" s="2" t="s">
        <v>100</v>
      </c>
      <c r="F3842" s="11" t="s">
        <v>5696</v>
      </c>
      <c r="G3842" s="21">
        <v>34958430344</v>
      </c>
      <c r="H3842" s="2" t="s">
        <v>5697</v>
      </c>
      <c r="I3842" s="12" t="s">
        <v>4663</v>
      </c>
      <c r="J3842" s="22">
        <f>+Tabla1[[#This Row],[FECHA ENTRADA]]</f>
        <v>45945</v>
      </c>
      <c r="K3842" s="22">
        <v>45950</v>
      </c>
      <c r="L3842" s="23">
        <f>_xlfn.DAYS(Tabla1[[#This Row],[FECHA FIN ]],Tabla1[[#This Row],[FECHA INICIO]])</f>
        <v>5</v>
      </c>
      <c r="M3842" s="12">
        <v>201</v>
      </c>
      <c r="N3842" s="20"/>
      <c r="O3842" s="24">
        <f>(Tabla1[[#This Row],[COSTO FIJO ]]/30)*Tabla1[[#This Row],[TOTAL DIAS PROYECTO]]+(Tabla1[[#This Row],[COSTO TEMPORAL]])</f>
        <v>201</v>
      </c>
      <c r="P3842" s="12"/>
      <c r="Q3842" s="12">
        <f>+(Tabla1[[#This Row],[COSTO COCHE]]/30)*Tabla1[[#This Row],[TOTAL DIAS PROYECTO]]</f>
        <v>0</v>
      </c>
      <c r="R3842" s="12">
        <f>+Tabla1[[#This Row],[COSTO TOTAL ALOJAMIENTO]]+Tabla1[[#This Row],[COSTO TOTAL COCHE]]</f>
        <v>201</v>
      </c>
      <c r="S3842" s="2"/>
      <c r="T3842" s="14" t="s">
        <v>44</v>
      </c>
      <c r="U3842" s="14">
        <v>45945</v>
      </c>
      <c r="V3842" s="79">
        <v>45950</v>
      </c>
      <c r="W3842" s="71"/>
      <c r="X3842" s="2"/>
      <c r="Y3842" s="11" t="s">
        <v>5698</v>
      </c>
      <c r="Z3842" s="2" t="s">
        <v>36</v>
      </c>
      <c r="AA3842" s="13" t="s">
        <v>10338</v>
      </c>
      <c r="AB3842" s="13">
        <v>3718817</v>
      </c>
    </row>
    <row r="3843" spans="1:28" ht="15" customHeight="1">
      <c r="A3843" s="2" t="s">
        <v>9669</v>
      </c>
      <c r="B3843" s="2" t="s">
        <v>606</v>
      </c>
      <c r="C3843" s="97" t="s">
        <v>4149</v>
      </c>
      <c r="D3843" s="2" t="s">
        <v>30</v>
      </c>
      <c r="E3843" s="2" t="s">
        <v>31</v>
      </c>
      <c r="F3843" s="11" t="s">
        <v>5699</v>
      </c>
      <c r="G3843" t="s">
        <v>5700</v>
      </c>
      <c r="H3843" s="2" t="s">
        <v>834</v>
      </c>
      <c r="I3843" s="29" t="s">
        <v>835</v>
      </c>
      <c r="J3843" s="22">
        <f>+Tabla1[[#This Row],[FECHA ENTRADA]]</f>
        <v>45838</v>
      </c>
      <c r="K3843" s="8">
        <v>45950</v>
      </c>
      <c r="L3843" s="23">
        <f>_xlfn.DAYS(Tabla1[[#This Row],[FECHA FIN ]],Tabla1[[#This Row],[FECHA INICIO]])</f>
        <v>112</v>
      </c>
      <c r="M3843" s="12"/>
      <c r="N3843" s="24">
        <v>370</v>
      </c>
      <c r="O3843" s="24">
        <f>(Tabla1[[#This Row],[COSTO FIJO ]]/30)*Tabla1[[#This Row],[TOTAL DIAS PROYECTO]]+(Tabla1[[#This Row],[COSTO TEMPORAL]])</f>
        <v>1381.3333333333335</v>
      </c>
      <c r="P3843" s="12"/>
      <c r="Q3843" s="12">
        <f>+(Tabla1[[#This Row],[COSTO COCHE]]/30)*Tabla1[[#This Row],[TOTAL DIAS PROYECTO]]</f>
        <v>0</v>
      </c>
      <c r="R3843" s="12">
        <f>+Tabla1[[#This Row],[COSTO TOTAL ALOJAMIENTO]]+Tabla1[[#This Row],[COSTO TOTAL COCHE]]</f>
        <v>1381.3333333333335</v>
      </c>
      <c r="S3843" s="2"/>
      <c r="T3843" s="14" t="s">
        <v>35</v>
      </c>
      <c r="U3843" s="14">
        <v>45838</v>
      </c>
      <c r="V3843" s="25"/>
      <c r="W3843" s="12"/>
      <c r="X3843" s="2">
        <v>30</v>
      </c>
      <c r="Y3843" s="11" t="s">
        <v>5701</v>
      </c>
      <c r="Z3843" s="2" t="s">
        <v>36</v>
      </c>
      <c r="AA3843" s="13" t="s">
        <v>10323</v>
      </c>
      <c r="AB3843" s="13" t="s">
        <v>10324</v>
      </c>
    </row>
    <row r="3844" spans="1:28" ht="15" customHeight="1">
      <c r="A3844" s="2" t="s">
        <v>9737</v>
      </c>
      <c r="B3844" s="2" t="s">
        <v>978</v>
      </c>
      <c r="C3844" s="104" t="s">
        <v>4500</v>
      </c>
      <c r="D3844" s="2" t="s">
        <v>30</v>
      </c>
      <c r="E3844" s="2" t="s">
        <v>109</v>
      </c>
      <c r="F3844" s="11" t="s">
        <v>5353</v>
      </c>
      <c r="G3844" s="49" t="s">
        <v>5354</v>
      </c>
      <c r="H3844" s="2" t="s">
        <v>5355</v>
      </c>
      <c r="I3844" s="12" t="s">
        <v>5356</v>
      </c>
      <c r="J3844" s="22">
        <f>+Tabla1[[#This Row],[FECHA ENTRADA]]</f>
        <v>45867</v>
      </c>
      <c r="K3844" s="22">
        <v>45875</v>
      </c>
      <c r="L3844" s="23">
        <f>_xlfn.DAYS(Tabla1[[#This Row],[FECHA FIN ]],Tabla1[[#This Row],[FECHA INICIO]])</f>
        <v>8</v>
      </c>
      <c r="M3844" s="12"/>
      <c r="N3844" s="12">
        <v>225.25</v>
      </c>
      <c r="O3844" s="24">
        <f>(Tabla1[[#This Row],[COSTO FIJO ]]/30)*Tabla1[[#This Row],[TOTAL DIAS PROYECTO]]+(Tabla1[[#This Row],[COSTO TEMPORAL]])</f>
        <v>60.06666666666667</v>
      </c>
      <c r="P3844" s="12"/>
      <c r="Q3844" s="12">
        <f>+(Tabla1[[#This Row],[COSTO COCHE]]/30)*Tabla1[[#This Row],[TOTAL DIAS PROYECTO]]</f>
        <v>0</v>
      </c>
      <c r="R3844" s="12">
        <f>+Tabla1[[#This Row],[COSTO TOTAL ALOJAMIENTO]]+Tabla1[[#This Row],[COSTO TOTAL COCHE]]</f>
        <v>60.06666666666667</v>
      </c>
      <c r="S3844" s="2" t="s">
        <v>403</v>
      </c>
      <c r="T3844" s="14" t="s">
        <v>44</v>
      </c>
      <c r="U3844" s="14">
        <v>45867</v>
      </c>
      <c r="V3844" s="25">
        <v>45875</v>
      </c>
      <c r="W3844" s="12"/>
      <c r="X3844" s="2"/>
      <c r="Y3844" s="11" t="s">
        <v>5357</v>
      </c>
      <c r="Z3844" s="2" t="s">
        <v>36</v>
      </c>
      <c r="AA3844" s="13">
        <v>0.62217999999999996</v>
      </c>
      <c r="AB3844" s="13" t="s">
        <v>10339</v>
      </c>
    </row>
    <row r="3845" spans="1:28" ht="15" customHeight="1">
      <c r="A3845" s="2" t="s">
        <v>9769</v>
      </c>
      <c r="B3845" s="2" t="s">
        <v>978</v>
      </c>
      <c r="C3845" s="97" t="s">
        <v>4658</v>
      </c>
      <c r="D3845" s="2" t="s">
        <v>30</v>
      </c>
      <c r="E3845" s="2" t="s">
        <v>476</v>
      </c>
      <c r="F3845" s="11" t="s">
        <v>5315</v>
      </c>
      <c r="G3845" s="21" t="s">
        <v>5316</v>
      </c>
      <c r="H3845" s="2" t="s">
        <v>4713</v>
      </c>
      <c r="I3845" s="12" t="s">
        <v>4714</v>
      </c>
      <c r="J3845" s="22">
        <f>+Tabla1[[#This Row],[FECHA ENTRADA]]</f>
        <v>45923</v>
      </c>
      <c r="K3845" s="22">
        <v>45951</v>
      </c>
      <c r="L3845" s="23">
        <f>_xlfn.DAYS(Tabla1[[#This Row],[FECHA FIN ]],Tabla1[[#This Row],[FECHA INICIO]])</f>
        <v>28</v>
      </c>
      <c r="M3845" s="12">
        <v>140</v>
      </c>
      <c r="N3845" s="20"/>
      <c r="O3845" s="24">
        <f>(Tabla1[[#This Row],[COSTO FIJO ]]/30)*Tabla1[[#This Row],[TOTAL DIAS PROYECTO]]+(Tabla1[[#This Row],[COSTO TEMPORAL]])</f>
        <v>140</v>
      </c>
      <c r="P3845" s="12"/>
      <c r="Q3845" s="12">
        <f>+(Tabla1[[#This Row],[COSTO COCHE]]/30)*Tabla1[[#This Row],[TOTAL DIAS PROYECTO]]</f>
        <v>0</v>
      </c>
      <c r="R3845" s="12">
        <f>+Tabla1[[#This Row],[COSTO TOTAL ALOJAMIENTO]]+Tabla1[[#This Row],[COSTO TOTAL COCHE]]</f>
        <v>140</v>
      </c>
      <c r="S3845" s="2"/>
      <c r="T3845" s="14" t="s">
        <v>44</v>
      </c>
      <c r="U3845" s="14">
        <v>45923</v>
      </c>
      <c r="V3845" s="25">
        <v>45951</v>
      </c>
      <c r="W3845" s="71"/>
      <c r="X3845" s="2"/>
      <c r="Y3845" s="256" t="s">
        <v>5702</v>
      </c>
      <c r="Z3845" s="2" t="s">
        <v>36</v>
      </c>
      <c r="AA3845" s="13">
        <v>-7.8640699999999999</v>
      </c>
      <c r="AB3845" s="13">
        <v>42.336689999999997</v>
      </c>
    </row>
    <row r="3846" spans="1:28" ht="15" customHeight="1">
      <c r="A3846" s="2" t="s">
        <v>9690</v>
      </c>
      <c r="B3846" s="2" t="s">
        <v>368</v>
      </c>
      <c r="C3846" s="104" t="s">
        <v>4248</v>
      </c>
      <c r="D3846" s="2" t="s">
        <v>99</v>
      </c>
      <c r="E3846" s="2" t="s">
        <v>985</v>
      </c>
      <c r="F3846" s="11" t="s">
        <v>5703</v>
      </c>
      <c r="G3846" s="21" t="s">
        <v>5704</v>
      </c>
      <c r="H3846" s="2" t="s">
        <v>2401</v>
      </c>
      <c r="I3846" s="12" t="s">
        <v>989</v>
      </c>
      <c r="J3846" s="22">
        <f>+Tabla1[[#This Row],[FECHA ENTRADA]]</f>
        <v>45923</v>
      </c>
      <c r="K3846" s="22">
        <v>45951</v>
      </c>
      <c r="L3846" s="23">
        <f>_xlfn.DAYS(Tabla1[[#This Row],[FECHA FIN ]],Tabla1[[#This Row],[FECHA INICIO]])</f>
        <v>28</v>
      </c>
      <c r="M3846" s="12">
        <f>1988.24/4</f>
        <v>497.06</v>
      </c>
      <c r="N3846" s="20"/>
      <c r="O3846" s="24">
        <f>(Tabla1[[#This Row],[COSTO FIJO ]]/30)*Tabla1[[#This Row],[TOTAL DIAS PROYECTO]]+(Tabla1[[#This Row],[COSTO TEMPORAL]])</f>
        <v>497.06</v>
      </c>
      <c r="P3846" s="12"/>
      <c r="Q3846" s="12">
        <f>+(Tabla1[[#This Row],[COSTO COCHE]]/30)*Tabla1[[#This Row],[TOTAL DIAS PROYECTO]]</f>
        <v>0</v>
      </c>
      <c r="R3846" s="12">
        <f>+Tabla1[[#This Row],[COSTO TOTAL ALOJAMIENTO]]+Tabla1[[#This Row],[COSTO TOTAL COCHE]]</f>
        <v>497.06</v>
      </c>
      <c r="S3846" s="2" t="s">
        <v>403</v>
      </c>
      <c r="T3846" s="14" t="s">
        <v>44</v>
      </c>
      <c r="U3846" s="14">
        <v>45923</v>
      </c>
      <c r="V3846" s="79">
        <v>45952</v>
      </c>
      <c r="W3846" s="71"/>
      <c r="X3846" s="2"/>
      <c r="Y3846" s="11" t="s">
        <v>1361</v>
      </c>
      <c r="Z3846" s="2" t="s">
        <v>36</v>
      </c>
      <c r="AA3846" s="13" t="s">
        <v>10407</v>
      </c>
      <c r="AB3846" s="13" t="s">
        <v>10408</v>
      </c>
    </row>
    <row r="3847" spans="1:28" ht="15" customHeight="1">
      <c r="A3847" s="2" t="s">
        <v>9900</v>
      </c>
      <c r="B3847" s="2" t="s">
        <v>368</v>
      </c>
      <c r="C3847" s="104" t="s">
        <v>5275</v>
      </c>
      <c r="D3847" s="2" t="s">
        <v>99</v>
      </c>
      <c r="E3847" s="2" t="s">
        <v>985</v>
      </c>
      <c r="F3847" s="11" t="s">
        <v>5703</v>
      </c>
      <c r="G3847" s="21" t="s">
        <v>5704</v>
      </c>
      <c r="H3847" s="2" t="s">
        <v>2401</v>
      </c>
      <c r="I3847" s="12" t="s">
        <v>989</v>
      </c>
      <c r="J3847" s="22">
        <f>+Tabla1[[#This Row],[FECHA ENTRADA]]</f>
        <v>45923</v>
      </c>
      <c r="K3847" s="22">
        <v>45951</v>
      </c>
      <c r="L3847" s="23">
        <f>_xlfn.DAYS(Tabla1[[#This Row],[FECHA FIN ]],Tabla1[[#This Row],[FECHA INICIO]])</f>
        <v>28</v>
      </c>
      <c r="M3847" s="12">
        <f>1988.24/4</f>
        <v>497.06</v>
      </c>
      <c r="N3847" s="20"/>
      <c r="O3847" s="24">
        <f>(Tabla1[[#This Row],[COSTO FIJO ]]/30)*Tabla1[[#This Row],[TOTAL DIAS PROYECTO]]+(Tabla1[[#This Row],[COSTO TEMPORAL]])</f>
        <v>497.06</v>
      </c>
      <c r="P3847" s="12"/>
      <c r="Q3847" s="12">
        <f>+(Tabla1[[#This Row],[COSTO COCHE]]/30)*Tabla1[[#This Row],[TOTAL DIAS PROYECTO]]</f>
        <v>0</v>
      </c>
      <c r="R3847" s="12">
        <f>+Tabla1[[#This Row],[COSTO TOTAL ALOJAMIENTO]]+Tabla1[[#This Row],[COSTO TOTAL COCHE]]</f>
        <v>497.06</v>
      </c>
      <c r="S3847" s="2" t="s">
        <v>403</v>
      </c>
      <c r="T3847" s="14" t="s">
        <v>44</v>
      </c>
      <c r="U3847" s="14">
        <v>45923</v>
      </c>
      <c r="V3847" s="79">
        <v>45952</v>
      </c>
      <c r="W3847" s="71"/>
      <c r="X3847" s="2"/>
      <c r="Y3847" s="11" t="s">
        <v>1361</v>
      </c>
      <c r="Z3847" s="2" t="s">
        <v>36</v>
      </c>
      <c r="AA3847" s="13" t="s">
        <v>10407</v>
      </c>
      <c r="AB3847" s="13" t="s">
        <v>10408</v>
      </c>
    </row>
    <row r="3848" spans="1:28" ht="15" customHeight="1">
      <c r="A3848" s="2" t="s">
        <v>9195</v>
      </c>
      <c r="B3848" s="2" t="s">
        <v>368</v>
      </c>
      <c r="C3848" s="104" t="s">
        <v>2400</v>
      </c>
      <c r="D3848" s="2" t="s">
        <v>99</v>
      </c>
      <c r="E3848" s="2" t="s">
        <v>985</v>
      </c>
      <c r="F3848" s="11" t="s">
        <v>5703</v>
      </c>
      <c r="G3848" s="21" t="s">
        <v>5704</v>
      </c>
      <c r="H3848" s="2" t="s">
        <v>2401</v>
      </c>
      <c r="I3848" s="12" t="s">
        <v>989</v>
      </c>
      <c r="J3848" s="22">
        <f>+Tabla1[[#This Row],[FECHA ENTRADA]]</f>
        <v>45923</v>
      </c>
      <c r="K3848" s="22">
        <v>45951</v>
      </c>
      <c r="L3848" s="23">
        <f>_xlfn.DAYS(Tabla1[[#This Row],[FECHA FIN ]],Tabla1[[#This Row],[FECHA INICIO]])</f>
        <v>28</v>
      </c>
      <c r="M3848" s="12">
        <f>1988.24/4</f>
        <v>497.06</v>
      </c>
      <c r="N3848" s="20"/>
      <c r="O3848" s="24">
        <f>(Tabla1[[#This Row],[COSTO FIJO ]]/30)*Tabla1[[#This Row],[TOTAL DIAS PROYECTO]]+(Tabla1[[#This Row],[COSTO TEMPORAL]])</f>
        <v>497.06</v>
      </c>
      <c r="P3848" s="12"/>
      <c r="Q3848" s="12">
        <f>+(Tabla1[[#This Row],[COSTO COCHE]]/30)*Tabla1[[#This Row],[TOTAL DIAS PROYECTO]]</f>
        <v>0</v>
      </c>
      <c r="R3848" s="12">
        <f>+Tabla1[[#This Row],[COSTO TOTAL ALOJAMIENTO]]+Tabla1[[#This Row],[COSTO TOTAL COCHE]]</f>
        <v>497.06</v>
      </c>
      <c r="S3848" s="2" t="s">
        <v>403</v>
      </c>
      <c r="T3848" s="14" t="s">
        <v>44</v>
      </c>
      <c r="U3848" s="14">
        <v>45923</v>
      </c>
      <c r="V3848" s="79">
        <v>45952</v>
      </c>
      <c r="W3848" s="71"/>
      <c r="X3848" s="2"/>
      <c r="Y3848" s="11" t="s">
        <v>1361</v>
      </c>
      <c r="Z3848" s="2" t="s">
        <v>36</v>
      </c>
      <c r="AA3848" s="13" t="s">
        <v>10407</v>
      </c>
      <c r="AB3848" s="13" t="s">
        <v>10408</v>
      </c>
    </row>
    <row r="3849" spans="1:28" ht="15" customHeight="1">
      <c r="A3849" s="2" t="s">
        <v>9828</v>
      </c>
      <c r="B3849" s="2" t="s">
        <v>711</v>
      </c>
      <c r="C3849" s="104" t="s">
        <v>4931</v>
      </c>
      <c r="D3849" s="2" t="s">
        <v>99</v>
      </c>
      <c r="E3849" s="2" t="s">
        <v>5690</v>
      </c>
      <c r="F3849" s="11" t="s">
        <v>5705</v>
      </c>
      <c r="G3849" s="46" t="s">
        <v>5706</v>
      </c>
      <c r="H3849" s="2" t="s">
        <v>5693</v>
      </c>
      <c r="I3849" s="158" t="s">
        <v>5694</v>
      </c>
      <c r="J3849" s="41">
        <f>+Tabla1[[#This Row],[FECHA ENTRADA]]</f>
        <v>45929</v>
      </c>
      <c r="K3849" s="22">
        <v>45951</v>
      </c>
      <c r="L3849" s="42">
        <f>_xlfn.DAYS(Tabla1[[#This Row],[FECHA FIN ]],Tabla1[[#This Row],[FECHA INICIO]])</f>
        <v>22</v>
      </c>
      <c r="M3849" s="12">
        <v>524.5</v>
      </c>
      <c r="N3849" s="28"/>
      <c r="O3849" s="28">
        <f>(Tabla1[[#This Row],[COSTO FIJO ]]/30)*Tabla1[[#This Row],[TOTAL DIAS PROYECTO]]+(Tabla1[[#This Row],[COSTO TEMPORAL]])</f>
        <v>524.5</v>
      </c>
      <c r="P3849" s="12"/>
      <c r="Q3849" s="12">
        <f>+(Tabla1[[#This Row],[COSTO COCHE]]/30)*Tabla1[[#This Row],[TOTAL DIAS PROYECTO]]</f>
        <v>0</v>
      </c>
      <c r="R3849" s="12">
        <f>+Tabla1[[#This Row],[COSTO TOTAL ALOJAMIENTO]]+Tabla1[[#This Row],[COSTO TOTAL COCHE]]</f>
        <v>524.5</v>
      </c>
      <c r="S3849" s="2" t="s">
        <v>84</v>
      </c>
      <c r="T3849" s="14" t="s">
        <v>44</v>
      </c>
      <c r="U3849" s="14">
        <v>45929</v>
      </c>
      <c r="V3849" s="43">
        <v>45952</v>
      </c>
      <c r="W3849" s="71"/>
      <c r="X3849" s="2"/>
      <c r="Y3849" s="11" t="s">
        <v>1166</v>
      </c>
      <c r="Z3849" s="2" t="s">
        <v>36</v>
      </c>
      <c r="AA3849" s="13" t="e">
        <v>#N/A</v>
      </c>
      <c r="AB3849" s="13" t="e">
        <v>#N/A</v>
      </c>
    </row>
    <row r="3850" spans="1:28" ht="15" customHeight="1">
      <c r="A3850" s="2" t="s">
        <v>9829</v>
      </c>
      <c r="B3850" s="2" t="s">
        <v>711</v>
      </c>
      <c r="C3850" s="104" t="s">
        <v>4934</v>
      </c>
      <c r="D3850" s="2" t="s">
        <v>99</v>
      </c>
      <c r="E3850" s="2" t="s">
        <v>5690</v>
      </c>
      <c r="F3850" s="11" t="s">
        <v>5705</v>
      </c>
      <c r="G3850" s="46" t="s">
        <v>5706</v>
      </c>
      <c r="H3850" s="2" t="s">
        <v>5693</v>
      </c>
      <c r="I3850" s="12" t="s">
        <v>5694</v>
      </c>
      <c r="J3850" s="41">
        <f>+Tabla1[[#This Row],[FECHA ENTRADA]]</f>
        <v>45929</v>
      </c>
      <c r="K3850" s="22">
        <v>45951</v>
      </c>
      <c r="L3850" s="42">
        <f>_xlfn.DAYS(Tabla1[[#This Row],[FECHA FIN ]],Tabla1[[#This Row],[FECHA INICIO]])</f>
        <v>22</v>
      </c>
      <c r="M3850" s="12">
        <v>524.5</v>
      </c>
      <c r="N3850" s="28"/>
      <c r="O3850" s="28">
        <f>(Tabla1[[#This Row],[COSTO FIJO ]]/30)*Tabla1[[#This Row],[TOTAL DIAS PROYECTO]]+(Tabla1[[#This Row],[COSTO TEMPORAL]])</f>
        <v>524.5</v>
      </c>
      <c r="P3850" s="12"/>
      <c r="Q3850" s="12">
        <f>+(Tabla1[[#This Row],[COSTO COCHE]]/30)*Tabla1[[#This Row],[TOTAL DIAS PROYECTO]]</f>
        <v>0</v>
      </c>
      <c r="R3850" s="12">
        <f>+Tabla1[[#This Row],[COSTO TOTAL ALOJAMIENTO]]+Tabla1[[#This Row],[COSTO TOTAL COCHE]]</f>
        <v>524.5</v>
      </c>
      <c r="S3850" s="2" t="s">
        <v>84</v>
      </c>
      <c r="T3850" s="14" t="s">
        <v>44</v>
      </c>
      <c r="U3850" s="14">
        <v>45929</v>
      </c>
      <c r="V3850" s="43">
        <v>45952</v>
      </c>
      <c r="W3850" s="71"/>
      <c r="X3850" s="2"/>
      <c r="Y3850" s="11" t="s">
        <v>1166</v>
      </c>
      <c r="Z3850" s="2" t="s">
        <v>36</v>
      </c>
      <c r="AA3850" s="13" t="e">
        <v>#N/A</v>
      </c>
      <c r="AB3850" s="13" t="e">
        <v>#N/A</v>
      </c>
    </row>
    <row r="3851" spans="1:28" ht="15" customHeight="1">
      <c r="A3851" s="2" t="s">
        <v>9703</v>
      </c>
      <c r="B3851" s="2" t="s">
        <v>711</v>
      </c>
      <c r="C3851" s="104" t="s">
        <v>4328</v>
      </c>
      <c r="D3851" s="2" t="s">
        <v>99</v>
      </c>
      <c r="E3851" s="2" t="s">
        <v>5690</v>
      </c>
      <c r="F3851" s="11" t="s">
        <v>5705</v>
      </c>
      <c r="G3851" s="46" t="s">
        <v>5706</v>
      </c>
      <c r="H3851" s="2" t="s">
        <v>5693</v>
      </c>
      <c r="I3851" s="12" t="s">
        <v>5694</v>
      </c>
      <c r="J3851" s="41">
        <f>+Tabla1[[#This Row],[FECHA ENTRADA]]</f>
        <v>45929</v>
      </c>
      <c r="K3851" s="22">
        <v>45951</v>
      </c>
      <c r="L3851" s="42">
        <f>_xlfn.DAYS(Tabla1[[#This Row],[FECHA FIN ]],Tabla1[[#This Row],[FECHA INICIO]])</f>
        <v>22</v>
      </c>
      <c r="M3851" s="12">
        <v>524.5</v>
      </c>
      <c r="N3851" s="28"/>
      <c r="O3851" s="28">
        <f>(Tabla1[[#This Row],[COSTO FIJO ]]/30)*Tabla1[[#This Row],[TOTAL DIAS PROYECTO]]+(Tabla1[[#This Row],[COSTO TEMPORAL]])</f>
        <v>524.5</v>
      </c>
      <c r="P3851" s="12"/>
      <c r="Q3851" s="12">
        <f>+(Tabla1[[#This Row],[COSTO COCHE]]/30)*Tabla1[[#This Row],[TOTAL DIAS PROYECTO]]</f>
        <v>0</v>
      </c>
      <c r="R3851" s="12">
        <f>+Tabla1[[#This Row],[COSTO TOTAL ALOJAMIENTO]]+Tabla1[[#This Row],[COSTO TOTAL COCHE]]</f>
        <v>524.5</v>
      </c>
      <c r="S3851" s="2" t="s">
        <v>84</v>
      </c>
      <c r="T3851" s="14" t="s">
        <v>44</v>
      </c>
      <c r="U3851" s="14">
        <v>45929</v>
      </c>
      <c r="V3851" s="43">
        <v>45952</v>
      </c>
      <c r="W3851" s="71"/>
      <c r="X3851" s="2"/>
      <c r="Y3851" s="11" t="s">
        <v>1166</v>
      </c>
      <c r="Z3851" s="2" t="s">
        <v>36</v>
      </c>
      <c r="AA3851" s="13" t="e">
        <v>#N/A</v>
      </c>
      <c r="AB3851" s="13" t="e">
        <v>#N/A</v>
      </c>
    </row>
    <row r="3852" spans="1:28" ht="15" customHeight="1">
      <c r="A3852" s="2" t="s">
        <v>9562</v>
      </c>
      <c r="B3852" s="2" t="s">
        <v>711</v>
      </c>
      <c r="C3852" s="104" t="s">
        <v>3652</v>
      </c>
      <c r="D3852" s="2" t="s">
        <v>99</v>
      </c>
      <c r="E3852" s="2" t="s">
        <v>5690</v>
      </c>
      <c r="F3852" s="11" t="s">
        <v>5705</v>
      </c>
      <c r="G3852" s="46" t="s">
        <v>5706</v>
      </c>
      <c r="H3852" s="2" t="s">
        <v>5693</v>
      </c>
      <c r="I3852" s="12" t="s">
        <v>5694</v>
      </c>
      <c r="J3852" s="41">
        <f>+Tabla1[[#This Row],[FECHA ENTRADA]]</f>
        <v>45929</v>
      </c>
      <c r="K3852" s="22">
        <v>45951</v>
      </c>
      <c r="L3852" s="42">
        <f>_xlfn.DAYS(Tabla1[[#This Row],[FECHA FIN ]],Tabla1[[#This Row],[FECHA INICIO]])</f>
        <v>22</v>
      </c>
      <c r="M3852" s="12">
        <v>524.5</v>
      </c>
      <c r="N3852" s="28"/>
      <c r="O3852" s="28">
        <f>(Tabla1[[#This Row],[COSTO FIJO ]]/30)*Tabla1[[#This Row],[TOTAL DIAS PROYECTO]]+(Tabla1[[#This Row],[COSTO TEMPORAL]])</f>
        <v>524.5</v>
      </c>
      <c r="P3852" s="12"/>
      <c r="Q3852" s="12">
        <f>+(Tabla1[[#This Row],[COSTO COCHE]]/30)*Tabla1[[#This Row],[TOTAL DIAS PROYECTO]]</f>
        <v>0</v>
      </c>
      <c r="R3852" s="12">
        <f>+Tabla1[[#This Row],[COSTO TOTAL ALOJAMIENTO]]+Tabla1[[#This Row],[COSTO TOTAL COCHE]]</f>
        <v>524.5</v>
      </c>
      <c r="S3852" s="2" t="s">
        <v>84</v>
      </c>
      <c r="T3852" s="14" t="s">
        <v>44</v>
      </c>
      <c r="U3852" s="14">
        <v>45929</v>
      </c>
      <c r="V3852" s="43">
        <v>45952</v>
      </c>
      <c r="W3852" s="71"/>
      <c r="X3852" s="2"/>
      <c r="Y3852" s="11" t="s">
        <v>1166</v>
      </c>
      <c r="Z3852" s="2" t="s">
        <v>36</v>
      </c>
      <c r="AA3852" s="13" t="e">
        <v>#N/A</v>
      </c>
      <c r="AB3852" s="13" t="e">
        <v>#N/A</v>
      </c>
    </row>
    <row r="3853" spans="1:28" ht="15" customHeight="1">
      <c r="A3853" s="2" t="s">
        <v>9815</v>
      </c>
      <c r="B3853" s="2" t="s">
        <v>711</v>
      </c>
      <c r="C3853" s="276" t="s">
        <v>4878</v>
      </c>
      <c r="D3853" s="2" t="s">
        <v>30</v>
      </c>
      <c r="E3853" s="2" t="s">
        <v>31</v>
      </c>
      <c r="F3853" s="31" t="s">
        <v>5707</v>
      </c>
      <c r="G3853" s="46" t="s">
        <v>5708</v>
      </c>
      <c r="H3853" s="2" t="s">
        <v>5709</v>
      </c>
      <c r="I3853" s="12" t="s">
        <v>5710</v>
      </c>
      <c r="J3853" s="41">
        <f>+Tabla1[[#This Row],[FECHA ENTRADA]]</f>
        <v>46254</v>
      </c>
      <c r="K3853" s="41">
        <v>46258</v>
      </c>
      <c r="L3853" s="42">
        <f>_xlfn.DAYS(Tabla1[[#This Row],[FECHA FIN ]],Tabla1[[#This Row],[FECHA INICIO]])</f>
        <v>4</v>
      </c>
      <c r="M3853" s="12"/>
      <c r="N3853" s="28">
        <v>333.33333333333331</v>
      </c>
      <c r="O3853" s="28">
        <f>(Tabla1[[#This Row],[COSTO FIJO ]]/30)*Tabla1[[#This Row],[TOTAL DIAS PROYECTO]]+(Tabla1[[#This Row],[COSTO TEMPORAL]])</f>
        <v>44.444444444444443</v>
      </c>
      <c r="P3853" s="12"/>
      <c r="Q3853" s="12">
        <f>+(Tabla1[[#This Row],[COSTO COCHE]]/30)*Tabla1[[#This Row],[TOTAL DIAS PROYECTO]]</f>
        <v>0</v>
      </c>
      <c r="R3853" s="12">
        <f>+Tabla1[[#This Row],[COSTO TOTAL ALOJAMIENTO]]+Tabla1[[#This Row],[COSTO TOTAL COCHE]]</f>
        <v>44.444444444444443</v>
      </c>
      <c r="S3853" s="2"/>
      <c r="T3853" s="14" t="s">
        <v>44</v>
      </c>
      <c r="U3853" s="14">
        <v>46254</v>
      </c>
      <c r="V3853" s="43">
        <v>46269</v>
      </c>
      <c r="W3853" s="12">
        <v>500</v>
      </c>
      <c r="X3853" s="2"/>
      <c r="Y3853" s="11" t="s">
        <v>5711</v>
      </c>
      <c r="Z3853" s="2" t="s">
        <v>5712</v>
      </c>
      <c r="AA3853" s="13" t="s">
        <v>10323</v>
      </c>
      <c r="AB3853" s="13" t="s">
        <v>10324</v>
      </c>
    </row>
    <row r="3854" spans="1:28" ht="15" customHeight="1">
      <c r="A3854" s="2" t="s">
        <v>9956</v>
      </c>
      <c r="B3854" s="2" t="s">
        <v>28</v>
      </c>
      <c r="C3854" s="191" t="s">
        <v>5713</v>
      </c>
      <c r="D3854" s="2" t="s">
        <v>30</v>
      </c>
      <c r="E3854" s="2" t="s">
        <v>648</v>
      </c>
      <c r="F3854" s="11" t="s">
        <v>1544</v>
      </c>
      <c r="G3854" s="11" t="s">
        <v>1545</v>
      </c>
      <c r="H3854" s="2" t="s">
        <v>5714</v>
      </c>
      <c r="I3854" s="12" t="s">
        <v>96</v>
      </c>
      <c r="J3854" s="22">
        <f>+Tabla1[[#This Row],[FECHA ENTRADA]]</f>
        <v>45594</v>
      </c>
      <c r="K3854" s="22">
        <v>45671</v>
      </c>
      <c r="L3854" s="23">
        <f>_xlfn.DAYS(Tabla1[[#This Row],[FECHA FIN ]],Tabla1[[#This Row],[FECHA INICIO]])</f>
        <v>77</v>
      </c>
      <c r="M3854" s="12"/>
      <c r="N3854" s="12">
        <v>181.25</v>
      </c>
      <c r="O3854" s="24">
        <f>(Tabla1[[#This Row],[COSTO FIJO ]]/30)*Tabla1[[#This Row],[TOTAL DIAS PROYECTO]]+(Tabla1[[#This Row],[COSTO TEMPORAL]])</f>
        <v>465.20833333333337</v>
      </c>
      <c r="P3854" s="12"/>
      <c r="Q3854" s="12">
        <f>+(Tabla1[[#This Row],[COSTO COCHE]]/30)*Tabla1[[#This Row],[TOTAL DIAS PROYECTO]]</f>
        <v>0</v>
      </c>
      <c r="R3854" s="12">
        <f>+Tabla1[[#This Row],[COSTO TOTAL ALOJAMIENTO]]+Tabla1[[#This Row],[COSTO TOTAL COCHE]]</f>
        <v>465.20833333333337</v>
      </c>
      <c r="S3854" s="2"/>
      <c r="T3854" s="2" t="s">
        <v>35</v>
      </c>
      <c r="U3854" s="14">
        <v>45594</v>
      </c>
      <c r="V3854" s="25"/>
      <c r="W3854" s="26"/>
      <c r="X3854" s="2">
        <v>1</v>
      </c>
      <c r="Y3854" s="11"/>
      <c r="Z3854" s="2" t="s">
        <v>36</v>
      </c>
      <c r="AA3854" s="13" t="s">
        <v>10387</v>
      </c>
      <c r="AB3854" s="13" t="s">
        <v>10388</v>
      </c>
    </row>
    <row r="3855" spans="1:28" ht="15" customHeight="1">
      <c r="A3855" s="2" t="s">
        <v>9956</v>
      </c>
      <c r="B3855" s="2" t="s">
        <v>28</v>
      </c>
      <c r="C3855" s="115" t="s">
        <v>5713</v>
      </c>
      <c r="D3855" s="2" t="s">
        <v>30</v>
      </c>
      <c r="E3855" s="2" t="s">
        <v>648</v>
      </c>
      <c r="F3855" s="11" t="s">
        <v>1386</v>
      </c>
      <c r="G3855" s="30" t="s">
        <v>1387</v>
      </c>
      <c r="H3855" s="2" t="s">
        <v>2279</v>
      </c>
      <c r="I3855" s="12" t="s">
        <v>96</v>
      </c>
      <c r="J3855" s="8">
        <f>+Tabla1[[#This Row],[FECHA ENTRADA]]</f>
        <v>45434</v>
      </c>
      <c r="K3855" s="22">
        <v>45594</v>
      </c>
      <c r="L3855" s="13">
        <f>_xlfn.DAYS(Tabla1[[#This Row],[FECHA FIN ]],Tabla1[[#This Row],[FECHA INICIO]])</f>
        <v>160</v>
      </c>
      <c r="M3855" s="12"/>
      <c r="N3855" s="12">
        <v>350</v>
      </c>
      <c r="O3855" s="12">
        <f>(Tabla1[[#This Row],[COSTO FIJO ]]/30)*Tabla1[[#This Row],[TOTAL DIAS PROYECTO]]+(Tabla1[[#This Row],[COSTO TEMPORAL]])</f>
        <v>1866.6666666666665</v>
      </c>
      <c r="P3855" s="12"/>
      <c r="Q3855" s="12">
        <f>+(Tabla1[[#This Row],[COSTO COCHE]]/30)*Tabla1[[#This Row],[TOTAL DIAS PROYECTO]]</f>
        <v>0</v>
      </c>
      <c r="R3855" s="12">
        <f>+Tabla1[[#This Row],[COSTO TOTAL ALOJAMIENTO]]+Tabla1[[#This Row],[COSTO TOTAL COCHE]]</f>
        <v>1866.6666666666665</v>
      </c>
      <c r="S3855" s="2"/>
      <c r="T3855" s="2" t="s">
        <v>35</v>
      </c>
      <c r="U3855" s="14">
        <v>45434</v>
      </c>
      <c r="V3855" s="14"/>
      <c r="W3855" s="26">
        <v>500</v>
      </c>
      <c r="X3855" s="2">
        <v>10</v>
      </c>
      <c r="Y3855" s="11" t="s">
        <v>5715</v>
      </c>
      <c r="Z3855" s="2" t="s">
        <v>36</v>
      </c>
      <c r="AA3855" s="13" t="s">
        <v>10387</v>
      </c>
      <c r="AB3855" s="13" t="s">
        <v>10388</v>
      </c>
    </row>
    <row r="3856" spans="1:28" ht="15" customHeight="1">
      <c r="A3856" s="2" t="s">
        <v>9533</v>
      </c>
      <c r="B3856" s="2" t="s">
        <v>711</v>
      </c>
      <c r="C3856" s="97" t="s">
        <v>3563</v>
      </c>
      <c r="D3856" s="2" t="s">
        <v>99</v>
      </c>
      <c r="E3856" s="2" t="s">
        <v>626</v>
      </c>
      <c r="F3856" s="11" t="s">
        <v>2376</v>
      </c>
      <c r="G3856" s="21" t="s">
        <v>2377</v>
      </c>
      <c r="H3856" s="2" t="s">
        <v>5716</v>
      </c>
      <c r="I3856" s="12" t="s">
        <v>794</v>
      </c>
      <c r="J3856" s="22">
        <f>+Tabla1[[#This Row],[FECHA ENTRADA]]</f>
        <v>45956</v>
      </c>
      <c r="K3856" s="22">
        <v>45951</v>
      </c>
      <c r="L3856" s="23">
        <f>_xlfn.DAYS(Tabla1[[#This Row],[FECHA FIN ]],Tabla1[[#This Row],[FECHA INICIO]])</f>
        <v>-5</v>
      </c>
      <c r="M3856" s="12"/>
      <c r="N3856" s="20"/>
      <c r="O3856" s="24">
        <f>(Tabla1[[#This Row],[COSTO FIJO ]]/30)*Tabla1[[#This Row],[TOTAL DIAS PROYECTO]]+(Tabla1[[#This Row],[COSTO TEMPORAL]])</f>
        <v>0</v>
      </c>
      <c r="P3856" s="12"/>
      <c r="Q3856" s="12">
        <f>+(Tabla1[[#This Row],[COSTO COCHE]]/30)*Tabla1[[#This Row],[TOTAL DIAS PROYECTO]]</f>
        <v>0</v>
      </c>
      <c r="R3856" s="12">
        <f>+Tabla1[[#This Row],[COSTO TOTAL ALOJAMIENTO]]+Tabla1[[#This Row],[COSTO TOTAL COCHE]]</f>
        <v>0</v>
      </c>
      <c r="S3856" s="2"/>
      <c r="T3856" s="14" t="s">
        <v>44</v>
      </c>
      <c r="U3856" s="14">
        <v>45956</v>
      </c>
      <c r="V3856" s="79">
        <v>45951</v>
      </c>
      <c r="W3856" s="71"/>
      <c r="X3856" s="2"/>
      <c r="Y3856" s="11"/>
      <c r="Z3856" s="2" t="s">
        <v>36</v>
      </c>
      <c r="AA3856" s="13" t="s">
        <v>10385</v>
      </c>
      <c r="AB3856" s="13" t="s">
        <v>10386</v>
      </c>
    </row>
    <row r="3857" spans="1:28" ht="15" customHeight="1">
      <c r="A3857" s="2" t="s">
        <v>9957</v>
      </c>
      <c r="B3857" s="2" t="s">
        <v>978</v>
      </c>
      <c r="C3857" s="97" t="s">
        <v>5717</v>
      </c>
      <c r="D3857" s="2" t="s">
        <v>30</v>
      </c>
      <c r="E3857" s="2" t="s">
        <v>985</v>
      </c>
      <c r="F3857" s="11" t="s">
        <v>5615</v>
      </c>
      <c r="G3857" s="46" t="s">
        <v>5616</v>
      </c>
      <c r="H3857" s="2" t="s">
        <v>5718</v>
      </c>
      <c r="I3857" s="12" t="s">
        <v>5618</v>
      </c>
      <c r="J3857" s="41">
        <f>+Tabla1[[#This Row],[FECHA ENTRADA]]</f>
        <v>45943</v>
      </c>
      <c r="K3857" s="22">
        <v>45951</v>
      </c>
      <c r="L3857" s="42">
        <f>_xlfn.DAYS(Tabla1[[#This Row],[FECHA FIN ]],Tabla1[[#This Row],[FECHA INICIO]])</f>
        <v>8</v>
      </c>
      <c r="M3857" s="12">
        <f>1659.2/5</f>
        <v>331.84000000000003</v>
      </c>
      <c r="N3857" s="28"/>
      <c r="O3857" s="28">
        <f>(Tabla1[[#This Row],[COSTO FIJO ]]/30)*Tabla1[[#This Row],[TOTAL DIAS PROYECTO]]+(Tabla1[[#This Row],[COSTO TEMPORAL]])</f>
        <v>331.84000000000003</v>
      </c>
      <c r="P3857" s="12"/>
      <c r="Q3857" s="12">
        <f>+(Tabla1[[#This Row],[COSTO COCHE]]/30)*Tabla1[[#This Row],[TOTAL DIAS PROYECTO]]</f>
        <v>0</v>
      </c>
      <c r="R3857" s="12">
        <f>+Tabla1[[#This Row],[COSTO TOTAL ALOJAMIENTO]]+Tabla1[[#This Row],[COSTO TOTAL COCHE]]</f>
        <v>331.84000000000003</v>
      </c>
      <c r="S3857" s="2" t="s">
        <v>84</v>
      </c>
      <c r="T3857" s="14" t="s">
        <v>44</v>
      </c>
      <c r="U3857" s="14">
        <v>45943</v>
      </c>
      <c r="V3857" s="43">
        <v>45972</v>
      </c>
      <c r="W3857" s="71"/>
      <c r="X3857" s="2"/>
      <c r="Y3857" s="11" t="s">
        <v>5719</v>
      </c>
      <c r="Z3857" s="2" t="s">
        <v>36</v>
      </c>
      <c r="AA3857" s="13" t="s">
        <v>10407</v>
      </c>
      <c r="AB3857" s="13" t="s">
        <v>10408</v>
      </c>
    </row>
    <row r="3858" spans="1:28" ht="15" customHeight="1">
      <c r="A3858" s="2" t="s">
        <v>9336</v>
      </c>
      <c r="B3858" s="2" t="s">
        <v>711</v>
      </c>
      <c r="C3858" s="97" t="s">
        <v>2850</v>
      </c>
      <c r="D3858" s="2" t="s">
        <v>30</v>
      </c>
      <c r="E3858" s="2" t="s">
        <v>720</v>
      </c>
      <c r="F3858" s="11" t="s">
        <v>1872</v>
      </c>
      <c r="G3858" s="49" t="s">
        <v>1873</v>
      </c>
      <c r="H3858" s="2" t="s">
        <v>5720</v>
      </c>
      <c r="I3858" s="12" t="s">
        <v>506</v>
      </c>
      <c r="J3858" s="41">
        <f>+Tabla1[[#This Row],[FECHA ENTRADA]]</f>
        <v>45951</v>
      </c>
      <c r="K3858" s="22">
        <v>45951</v>
      </c>
      <c r="L3858" s="42">
        <f>_xlfn.DAYS(Tabla1[[#This Row],[FECHA FIN ]],Tabla1[[#This Row],[FECHA INICIO]])</f>
        <v>0</v>
      </c>
      <c r="M3858" s="12">
        <v>352</v>
      </c>
      <c r="N3858" s="28"/>
      <c r="O3858" s="28">
        <f>(Tabla1[[#This Row],[COSTO FIJO ]]/30)*Tabla1[[#This Row],[TOTAL DIAS PROYECTO]]+(Tabla1[[#This Row],[COSTO TEMPORAL]])</f>
        <v>352</v>
      </c>
      <c r="P3858" s="12"/>
      <c r="Q3858" s="12">
        <f>+(Tabla1[[#This Row],[COSTO COCHE]]/30)*Tabla1[[#This Row],[TOTAL DIAS PROYECTO]]</f>
        <v>0</v>
      </c>
      <c r="R3858" s="12">
        <f>+Tabla1[[#This Row],[COSTO TOTAL ALOJAMIENTO]]+Tabla1[[#This Row],[COSTO TOTAL COCHE]]</f>
        <v>352</v>
      </c>
      <c r="S3858" s="2"/>
      <c r="T3858" s="14" t="s">
        <v>528</v>
      </c>
      <c r="U3858" s="14">
        <v>45951</v>
      </c>
      <c r="V3858" s="43">
        <v>45965</v>
      </c>
      <c r="W3858" s="71"/>
      <c r="X3858" s="2"/>
      <c r="Y3858" s="11" t="s">
        <v>5721</v>
      </c>
      <c r="Z3858" s="2" t="s">
        <v>36</v>
      </c>
      <c r="AA3858" s="13" t="s">
        <v>10394</v>
      </c>
      <c r="AB3858" s="13" t="s">
        <v>10395</v>
      </c>
    </row>
    <row r="3859" spans="1:28" ht="15" customHeight="1">
      <c r="A3859" s="2" t="s">
        <v>9950</v>
      </c>
      <c r="B3859" s="2" t="s">
        <v>711</v>
      </c>
      <c r="C3859" s="97" t="s">
        <v>5646</v>
      </c>
      <c r="D3859" s="2" t="s">
        <v>30</v>
      </c>
      <c r="E3859" s="2" t="s">
        <v>720</v>
      </c>
      <c r="F3859" s="11" t="s">
        <v>1872</v>
      </c>
      <c r="G3859" s="49" t="s">
        <v>1873</v>
      </c>
      <c r="H3859" s="2" t="s">
        <v>5720</v>
      </c>
      <c r="I3859" s="12" t="s">
        <v>506</v>
      </c>
      <c r="J3859" s="41">
        <f>+Tabla1[[#This Row],[FECHA ENTRADA]]</f>
        <v>45951</v>
      </c>
      <c r="K3859" s="22">
        <v>45951</v>
      </c>
      <c r="L3859" s="42">
        <f>_xlfn.DAYS(Tabla1[[#This Row],[FECHA FIN ]],Tabla1[[#This Row],[FECHA INICIO]])</f>
        <v>0</v>
      </c>
      <c r="M3859" s="12">
        <v>352</v>
      </c>
      <c r="N3859" s="28"/>
      <c r="O3859" s="28">
        <f>(Tabla1[[#This Row],[COSTO FIJO ]]/30)*Tabla1[[#This Row],[TOTAL DIAS PROYECTO]]+(Tabla1[[#This Row],[COSTO TEMPORAL]])</f>
        <v>352</v>
      </c>
      <c r="P3859" s="12"/>
      <c r="Q3859" s="12">
        <f>+(Tabla1[[#This Row],[COSTO COCHE]]/30)*Tabla1[[#This Row],[TOTAL DIAS PROYECTO]]</f>
        <v>0</v>
      </c>
      <c r="R3859" s="12">
        <f>+Tabla1[[#This Row],[COSTO TOTAL ALOJAMIENTO]]+Tabla1[[#This Row],[COSTO TOTAL COCHE]]</f>
        <v>352</v>
      </c>
      <c r="S3859" s="2"/>
      <c r="T3859" s="14" t="s">
        <v>528</v>
      </c>
      <c r="U3859" s="14">
        <v>45951</v>
      </c>
      <c r="V3859" s="43">
        <v>45965</v>
      </c>
      <c r="W3859" s="71"/>
      <c r="X3859" s="2"/>
      <c r="Y3859" s="11" t="s">
        <v>5721</v>
      </c>
      <c r="Z3859" s="2" t="s">
        <v>36</v>
      </c>
      <c r="AA3859" s="13" t="s">
        <v>10394</v>
      </c>
      <c r="AB3859" s="13" t="s">
        <v>10395</v>
      </c>
    </row>
    <row r="3860" spans="1:28" ht="15" customHeight="1">
      <c r="A3860" s="2" t="s">
        <v>9958</v>
      </c>
      <c r="B3860" s="2" t="s">
        <v>606</v>
      </c>
      <c r="C3860" s="192" t="s">
        <v>5722</v>
      </c>
      <c r="D3860" s="2" t="s">
        <v>30</v>
      </c>
      <c r="E3860" s="2" t="s">
        <v>259</v>
      </c>
      <c r="F3860" s="11"/>
      <c r="G3860" s="11"/>
      <c r="H3860" s="2" t="s">
        <v>3928</v>
      </c>
      <c r="I3860" s="2" t="s">
        <v>57</v>
      </c>
      <c r="J3860" s="8">
        <f>+Tabla1[[#This Row],[FECHA ENTRADA]]</f>
        <v>45440</v>
      </c>
      <c r="K3860" s="8">
        <v>45952</v>
      </c>
      <c r="L3860" s="13">
        <f>_xlfn.DAYS(Tabla1[[#This Row],[FECHA FIN ]],Tabla1[[#This Row],[FECHA INICIO]])</f>
        <v>512</v>
      </c>
      <c r="M3860" s="12"/>
      <c r="N3860" s="28">
        <v>300</v>
      </c>
      <c r="O3860" s="12">
        <f>(Tabla1[[#This Row],[COSTO FIJO ]]/30)*Tabla1[[#This Row],[TOTAL DIAS PROYECTO]]+(Tabla1[[#This Row],[COSTO TEMPORAL]])</f>
        <v>5120</v>
      </c>
      <c r="P3860" s="13">
        <f>666.23/4</f>
        <v>166.5575</v>
      </c>
      <c r="Q3860" s="12">
        <f>+(Tabla1[[#This Row],[COSTO COCHE]]/30)*Tabla1[[#This Row],[TOTAL DIAS PROYECTO]]</f>
        <v>2842.5813333333335</v>
      </c>
      <c r="R3860" s="12">
        <f>+Tabla1[[#This Row],[COSTO TOTAL ALOJAMIENTO]]+Tabla1[[#This Row],[COSTO TOTAL COCHE]]</f>
        <v>7962.5813333333335</v>
      </c>
      <c r="S3860" s="2"/>
      <c r="T3860" s="2" t="s">
        <v>58</v>
      </c>
      <c r="U3860" s="14">
        <v>45440</v>
      </c>
      <c r="V3860" s="14"/>
      <c r="W3860" s="26"/>
      <c r="X3860" s="2"/>
      <c r="Y3860" s="11" t="s">
        <v>5723</v>
      </c>
      <c r="Z3860" s="2" t="s">
        <v>36</v>
      </c>
      <c r="AA3860" s="13">
        <v>-0.87734000000000001</v>
      </c>
      <c r="AB3860" s="13" t="s">
        <v>10359</v>
      </c>
    </row>
    <row r="3861" spans="1:28" ht="15" customHeight="1">
      <c r="A3861" s="2" t="s">
        <v>9752</v>
      </c>
      <c r="B3861" s="2" t="s">
        <v>368</v>
      </c>
      <c r="C3861" s="97" t="s">
        <v>4565</v>
      </c>
      <c r="D3861" s="2" t="s">
        <v>30</v>
      </c>
      <c r="E3861" s="2" t="s">
        <v>415</v>
      </c>
      <c r="F3861" s="11" t="s">
        <v>1290</v>
      </c>
      <c r="G3861" t="s">
        <v>1291</v>
      </c>
      <c r="H3861" s="2" t="s">
        <v>5724</v>
      </c>
      <c r="I3861" s="10" t="s">
        <v>4165</v>
      </c>
      <c r="J3861" s="41">
        <f>+Tabla1[[#This Row],[FECHA ENTRADA]]</f>
        <v>45922</v>
      </c>
      <c r="K3861" s="22">
        <v>45952</v>
      </c>
      <c r="L3861" s="42">
        <f>_xlfn.DAYS(Tabla1[[#This Row],[FECHA FIN ]],Tabla1[[#This Row],[FECHA INICIO]])</f>
        <v>30</v>
      </c>
      <c r="M3861" s="12"/>
      <c r="N3861" s="12"/>
      <c r="O3861" s="28">
        <f>(Tabla1[[#This Row],[COSTO FIJO ]]/30)*Tabla1[[#This Row],[TOTAL DIAS PROYECTO]]+(Tabla1[[#This Row],[COSTO TEMPORAL]])</f>
        <v>0</v>
      </c>
      <c r="P3861" s="12"/>
      <c r="Q3861" s="12">
        <f>+(Tabla1[[#This Row],[COSTO COCHE]]/30)*Tabla1[[#This Row],[TOTAL DIAS PROYECTO]]</f>
        <v>0</v>
      </c>
      <c r="R3861" s="12">
        <f>+Tabla1[[#This Row],[COSTO TOTAL ALOJAMIENTO]]+Tabla1[[#This Row],[COSTO TOTAL COCHE]]</f>
        <v>0</v>
      </c>
      <c r="S3861" s="2"/>
      <c r="T3861" s="14" t="s">
        <v>35</v>
      </c>
      <c r="U3861" s="14">
        <v>45922</v>
      </c>
      <c r="V3861" s="43"/>
      <c r="W3861" s="71"/>
      <c r="X3861" s="2">
        <v>1</v>
      </c>
      <c r="Y3861" s="11" t="s">
        <v>5725</v>
      </c>
      <c r="Z3861" s="2" t="s">
        <v>36</v>
      </c>
      <c r="AA3861" s="13">
        <v>-0.37739</v>
      </c>
      <c r="AB3861" s="13" t="s">
        <v>10372</v>
      </c>
    </row>
    <row r="3862" spans="1:28" ht="15" customHeight="1">
      <c r="A3862" s="2" t="s">
        <v>9713</v>
      </c>
      <c r="B3862" s="2" t="s">
        <v>978</v>
      </c>
      <c r="C3862" s="97" t="s">
        <v>4366</v>
      </c>
      <c r="D3862" s="2" t="s">
        <v>30</v>
      </c>
      <c r="E3862" s="2" t="s">
        <v>31</v>
      </c>
      <c r="F3862" s="11" t="s">
        <v>715</v>
      </c>
      <c r="G3862" s="11" t="s">
        <v>716</v>
      </c>
      <c r="H3862" s="2" t="s">
        <v>1575</v>
      </c>
      <c r="I3862" s="12" t="s">
        <v>2391</v>
      </c>
      <c r="J3862" s="22">
        <f>+Tabla1[[#This Row],[FECHA ENTRADA]]</f>
        <v>45851</v>
      </c>
      <c r="K3862" s="22">
        <v>45952</v>
      </c>
      <c r="L3862" s="23">
        <f>_xlfn.DAYS(Tabla1[[#This Row],[FECHA FIN ]],Tabla1[[#This Row],[FECHA INICIO]])</f>
        <v>101</v>
      </c>
      <c r="M3862" s="12"/>
      <c r="N3862" s="12">
        <v>160</v>
      </c>
      <c r="O3862" s="24">
        <f>(Tabla1[[#This Row],[COSTO FIJO ]]/30)*Tabla1[[#This Row],[TOTAL DIAS PROYECTO]]+(Tabla1[[#This Row],[COSTO TEMPORAL]])</f>
        <v>538.66666666666663</v>
      </c>
      <c r="P3862" s="12"/>
      <c r="Q3862" s="12">
        <f>+(Tabla1[[#This Row],[COSTO COCHE]]/30)*Tabla1[[#This Row],[TOTAL DIAS PROYECTO]]</f>
        <v>0</v>
      </c>
      <c r="R3862" s="12">
        <f>+Tabla1[[#This Row],[COSTO TOTAL ALOJAMIENTO]]+Tabla1[[#This Row],[COSTO TOTAL COCHE]]</f>
        <v>538.66666666666663</v>
      </c>
      <c r="S3862" s="2"/>
      <c r="T3862" s="14" t="s">
        <v>35</v>
      </c>
      <c r="U3862" s="14">
        <v>45851</v>
      </c>
      <c r="V3862" s="79"/>
      <c r="W3862" s="12"/>
      <c r="X3862" s="2">
        <v>1</v>
      </c>
      <c r="Y3862" s="11" t="s">
        <v>5726</v>
      </c>
      <c r="Z3862" s="2" t="s">
        <v>36</v>
      </c>
      <c r="AA3862" s="13" t="s">
        <v>10323</v>
      </c>
      <c r="AB3862" s="13" t="s">
        <v>10324</v>
      </c>
    </row>
    <row r="3863" spans="1:28" ht="15" customHeight="1">
      <c r="A3863" s="2" t="s">
        <v>9716</v>
      </c>
      <c r="B3863" s="2" t="s">
        <v>978</v>
      </c>
      <c r="C3863" s="97" t="s">
        <v>4377</v>
      </c>
      <c r="D3863" s="2" t="s">
        <v>30</v>
      </c>
      <c r="E3863" s="2" t="s">
        <v>31</v>
      </c>
      <c r="F3863" s="11" t="s">
        <v>715</v>
      </c>
      <c r="G3863" s="11" t="s">
        <v>716</v>
      </c>
      <c r="H3863" s="2" t="s">
        <v>1575</v>
      </c>
      <c r="I3863" s="12" t="s">
        <v>2391</v>
      </c>
      <c r="J3863" s="22">
        <f>+Tabla1[[#This Row],[FECHA ENTRADA]]</f>
        <v>45851</v>
      </c>
      <c r="K3863" s="22">
        <v>45952</v>
      </c>
      <c r="L3863" s="23">
        <f>_xlfn.DAYS(Tabla1[[#This Row],[FECHA FIN ]],Tabla1[[#This Row],[FECHA INICIO]])</f>
        <v>101</v>
      </c>
      <c r="M3863" s="12"/>
      <c r="N3863" s="12">
        <v>160</v>
      </c>
      <c r="O3863" s="24">
        <f>(Tabla1[[#This Row],[COSTO FIJO ]]/30)*Tabla1[[#This Row],[TOTAL DIAS PROYECTO]]+(Tabla1[[#This Row],[COSTO TEMPORAL]])</f>
        <v>538.66666666666663</v>
      </c>
      <c r="P3863" s="12"/>
      <c r="Q3863" s="12">
        <f>+(Tabla1[[#This Row],[COSTO COCHE]]/30)*Tabla1[[#This Row],[TOTAL DIAS PROYECTO]]</f>
        <v>0</v>
      </c>
      <c r="R3863" s="12">
        <f>+Tabla1[[#This Row],[COSTO TOTAL ALOJAMIENTO]]+Tabla1[[#This Row],[COSTO TOTAL COCHE]]</f>
        <v>538.66666666666663</v>
      </c>
      <c r="S3863" s="2"/>
      <c r="T3863" s="14" t="s">
        <v>35</v>
      </c>
      <c r="U3863" s="14">
        <v>45851</v>
      </c>
      <c r="V3863" s="79"/>
      <c r="W3863" s="12"/>
      <c r="X3863" s="2">
        <v>1</v>
      </c>
      <c r="Y3863" s="11" t="s">
        <v>5726</v>
      </c>
      <c r="Z3863" s="2" t="s">
        <v>36</v>
      </c>
      <c r="AA3863" s="13" t="s">
        <v>10323</v>
      </c>
      <c r="AB3863" s="13" t="s">
        <v>10324</v>
      </c>
    </row>
    <row r="3864" spans="1:28" ht="15" customHeight="1">
      <c r="A3864" s="2" t="s">
        <v>9064</v>
      </c>
      <c r="B3864" s="2" t="s">
        <v>368</v>
      </c>
      <c r="C3864" s="104" t="s">
        <v>1847</v>
      </c>
      <c r="D3864" s="2" t="s">
        <v>99</v>
      </c>
      <c r="E3864" s="2" t="s">
        <v>985</v>
      </c>
      <c r="F3864" s="11" t="s">
        <v>5703</v>
      </c>
      <c r="G3864" s="21" t="s">
        <v>5704</v>
      </c>
      <c r="H3864" s="2" t="s">
        <v>988</v>
      </c>
      <c r="I3864" s="12" t="s">
        <v>989</v>
      </c>
      <c r="J3864" s="22">
        <f>+Tabla1[[#This Row],[FECHA ENTRADA]]</f>
        <v>45923</v>
      </c>
      <c r="K3864" s="22">
        <v>45952</v>
      </c>
      <c r="L3864" s="23">
        <f>_xlfn.DAYS(Tabla1[[#This Row],[FECHA FIN ]],Tabla1[[#This Row],[FECHA INICIO]])</f>
        <v>29</v>
      </c>
      <c r="M3864" s="12">
        <f>1988.24/4</f>
        <v>497.06</v>
      </c>
      <c r="N3864" s="20"/>
      <c r="O3864" s="24">
        <f>(Tabla1[[#This Row],[COSTO FIJO ]]/30)*Tabla1[[#This Row],[TOTAL DIAS PROYECTO]]+(Tabla1[[#This Row],[COSTO TEMPORAL]])</f>
        <v>497.06</v>
      </c>
      <c r="P3864" s="12"/>
      <c r="Q3864" s="12">
        <f>+(Tabla1[[#This Row],[COSTO COCHE]]/30)*Tabla1[[#This Row],[TOTAL DIAS PROYECTO]]</f>
        <v>0</v>
      </c>
      <c r="R3864" s="12">
        <f>+Tabla1[[#This Row],[COSTO TOTAL ALOJAMIENTO]]+Tabla1[[#This Row],[COSTO TOTAL COCHE]]</f>
        <v>497.06</v>
      </c>
      <c r="S3864" s="2" t="s">
        <v>403</v>
      </c>
      <c r="T3864" s="14" t="s">
        <v>44</v>
      </c>
      <c r="U3864" s="14">
        <v>45923</v>
      </c>
      <c r="V3864" s="79">
        <v>45952</v>
      </c>
      <c r="W3864" s="71"/>
      <c r="X3864" s="2"/>
      <c r="Y3864" s="11" t="s">
        <v>5727</v>
      </c>
      <c r="Z3864" s="2" t="s">
        <v>36</v>
      </c>
      <c r="AA3864" s="13" t="s">
        <v>10407</v>
      </c>
      <c r="AB3864" s="13" t="s">
        <v>10408</v>
      </c>
    </row>
    <row r="3865" spans="1:28" ht="15" customHeight="1">
      <c r="A3865" s="2" t="s">
        <v>8642</v>
      </c>
      <c r="B3865" s="2" t="s">
        <v>368</v>
      </c>
      <c r="C3865" s="97" t="s">
        <v>5728</v>
      </c>
      <c r="D3865" s="2" t="s">
        <v>30</v>
      </c>
      <c r="E3865" s="2" t="s">
        <v>415</v>
      </c>
      <c r="F3865" s="11" t="s">
        <v>5729</v>
      </c>
      <c r="G3865" s="21" t="s">
        <v>5730</v>
      </c>
      <c r="H3865" s="2" t="s">
        <v>5731</v>
      </c>
      <c r="I3865" s="12" t="s">
        <v>4165</v>
      </c>
      <c r="J3865" s="22">
        <f>+Tabla1[[#This Row],[FECHA ENTRADA]]</f>
        <v>45944</v>
      </c>
      <c r="K3865" s="22">
        <v>45952</v>
      </c>
      <c r="L3865" s="23">
        <f>_xlfn.DAYS(Tabla1[[#This Row],[FECHA FIN ]],Tabla1[[#This Row],[FECHA INICIO]])</f>
        <v>8</v>
      </c>
      <c r="M3865" s="12">
        <v>495</v>
      </c>
      <c r="N3865" s="20"/>
      <c r="O3865" s="24">
        <f>(Tabla1[[#This Row],[COSTO FIJO ]]/30)*Tabla1[[#This Row],[TOTAL DIAS PROYECTO]]+(Tabla1[[#This Row],[COSTO TEMPORAL]])</f>
        <v>495</v>
      </c>
      <c r="P3865" s="12"/>
      <c r="Q3865" s="12">
        <f>+(Tabla1[[#This Row],[COSTO COCHE]]/30)*Tabla1[[#This Row],[TOTAL DIAS PROYECTO]]</f>
        <v>0</v>
      </c>
      <c r="R3865" s="12">
        <f>+Tabla1[[#This Row],[COSTO TOTAL ALOJAMIENTO]]+Tabla1[[#This Row],[COSTO TOTAL COCHE]]</f>
        <v>495</v>
      </c>
      <c r="S3865" s="2"/>
      <c r="T3865" s="14" t="s">
        <v>44</v>
      </c>
      <c r="U3865" s="14">
        <v>45944</v>
      </c>
      <c r="V3865" s="79">
        <v>45974</v>
      </c>
      <c r="W3865" s="71"/>
      <c r="X3865" s="2"/>
      <c r="Y3865" s="11" t="s">
        <v>5725</v>
      </c>
      <c r="Z3865" s="2" t="s">
        <v>36</v>
      </c>
      <c r="AA3865" s="13">
        <v>-0.37739</v>
      </c>
      <c r="AB3865" s="13" t="s">
        <v>10372</v>
      </c>
    </row>
    <row r="3866" spans="1:28" ht="15" customHeight="1">
      <c r="A3866" s="2" t="s">
        <v>9959</v>
      </c>
      <c r="B3866" s="2" t="s">
        <v>978</v>
      </c>
      <c r="C3866" s="104" t="s">
        <v>5732</v>
      </c>
      <c r="D3866" s="2" t="s">
        <v>30</v>
      </c>
      <c r="E3866" s="2" t="s">
        <v>253</v>
      </c>
      <c r="F3866" s="11" t="s">
        <v>5065</v>
      </c>
      <c r="G3866" t="s">
        <v>1985</v>
      </c>
      <c r="H3866" s="2" t="s">
        <v>5733</v>
      </c>
      <c r="I3866" s="12" t="s">
        <v>256</v>
      </c>
      <c r="J3866" s="22">
        <f>+Tabla1[[#This Row],[FECHA ENTRADA]]</f>
        <v>45951</v>
      </c>
      <c r="K3866" s="22">
        <v>45952</v>
      </c>
      <c r="L3866" s="23">
        <f>_xlfn.DAYS(Tabla1[[#This Row],[FECHA FIN ]],Tabla1[[#This Row],[FECHA INICIO]])</f>
        <v>1</v>
      </c>
      <c r="M3866" s="12"/>
      <c r="N3866" s="20"/>
      <c r="O3866" s="24">
        <f>(Tabla1[[#This Row],[COSTO FIJO ]]/30)*Tabla1[[#This Row],[TOTAL DIAS PROYECTO]]+(Tabla1[[#This Row],[COSTO TEMPORAL]])</f>
        <v>0</v>
      </c>
      <c r="P3866" s="12"/>
      <c r="Q3866" s="12">
        <f>+(Tabla1[[#This Row],[COSTO COCHE]]/30)*Tabla1[[#This Row],[TOTAL DIAS PROYECTO]]</f>
        <v>0</v>
      </c>
      <c r="R3866" s="12">
        <f>+Tabla1[[#This Row],[COSTO TOTAL ALOJAMIENTO]]+Tabla1[[#This Row],[COSTO TOTAL COCHE]]</f>
        <v>0</v>
      </c>
      <c r="S3866" s="2"/>
      <c r="T3866" s="14" t="s">
        <v>44</v>
      </c>
      <c r="U3866" s="14">
        <v>45951</v>
      </c>
      <c r="V3866" s="79">
        <v>45952</v>
      </c>
      <c r="W3866" s="71"/>
      <c r="X3866" s="2"/>
      <c r="Y3866" s="11" t="s">
        <v>4376</v>
      </c>
      <c r="Z3866" s="2" t="s">
        <v>36</v>
      </c>
      <c r="AA3866" s="13" t="s">
        <v>10357</v>
      </c>
      <c r="AB3866" s="13" t="s">
        <v>10358</v>
      </c>
    </row>
    <row r="3867" spans="1:28" ht="15" customHeight="1">
      <c r="A3867" s="2" t="s">
        <v>9817</v>
      </c>
      <c r="B3867" s="2" t="s">
        <v>978</v>
      </c>
      <c r="C3867" s="104" t="s">
        <v>4883</v>
      </c>
      <c r="D3867" s="2" t="s">
        <v>30</v>
      </c>
      <c r="E3867" s="2" t="s">
        <v>253</v>
      </c>
      <c r="F3867" s="11" t="s">
        <v>5065</v>
      </c>
      <c r="G3867" t="s">
        <v>1985</v>
      </c>
      <c r="H3867" s="2" t="s">
        <v>5733</v>
      </c>
      <c r="I3867" s="12" t="s">
        <v>256</v>
      </c>
      <c r="J3867" s="22">
        <f>+Tabla1[[#This Row],[FECHA ENTRADA]]</f>
        <v>45951</v>
      </c>
      <c r="K3867" s="22">
        <v>45952</v>
      </c>
      <c r="L3867" s="23">
        <f>_xlfn.DAYS(Tabla1[[#This Row],[FECHA FIN ]],Tabla1[[#This Row],[FECHA INICIO]])</f>
        <v>1</v>
      </c>
      <c r="M3867" s="12"/>
      <c r="N3867" s="20"/>
      <c r="O3867" s="24">
        <f>(Tabla1[[#This Row],[COSTO FIJO ]]/30)*Tabla1[[#This Row],[TOTAL DIAS PROYECTO]]+(Tabla1[[#This Row],[COSTO TEMPORAL]])</f>
        <v>0</v>
      </c>
      <c r="P3867" s="12"/>
      <c r="Q3867" s="12">
        <f>+(Tabla1[[#This Row],[COSTO COCHE]]/30)*Tabla1[[#This Row],[TOTAL DIAS PROYECTO]]</f>
        <v>0</v>
      </c>
      <c r="R3867" s="12">
        <f>+Tabla1[[#This Row],[COSTO TOTAL ALOJAMIENTO]]+Tabla1[[#This Row],[COSTO TOTAL COCHE]]</f>
        <v>0</v>
      </c>
      <c r="S3867" s="2"/>
      <c r="T3867" s="14" t="s">
        <v>44</v>
      </c>
      <c r="U3867" s="14">
        <v>45951</v>
      </c>
      <c r="V3867" s="79">
        <v>45952</v>
      </c>
      <c r="W3867" s="71"/>
      <c r="X3867" s="2"/>
      <c r="Y3867" s="11" t="s">
        <v>4376</v>
      </c>
      <c r="Z3867" s="2" t="s">
        <v>36</v>
      </c>
      <c r="AA3867" s="13" t="s">
        <v>10357</v>
      </c>
      <c r="AB3867" s="13" t="s">
        <v>10358</v>
      </c>
    </row>
    <row r="3868" spans="1:28" ht="15" customHeight="1">
      <c r="A3868" s="2" t="s">
        <v>9905</v>
      </c>
      <c r="B3868" s="2" t="s">
        <v>978</v>
      </c>
      <c r="C3868" s="104" t="s">
        <v>5322</v>
      </c>
      <c r="D3868" s="2" t="s">
        <v>30</v>
      </c>
      <c r="E3868" s="2" t="s">
        <v>253</v>
      </c>
      <c r="F3868" s="11" t="s">
        <v>5065</v>
      </c>
      <c r="G3868" t="s">
        <v>1985</v>
      </c>
      <c r="H3868" s="157" t="s">
        <v>5733</v>
      </c>
      <c r="I3868" s="158" t="s">
        <v>256</v>
      </c>
      <c r="J3868" s="22">
        <f>+Tabla1[[#This Row],[FECHA ENTRADA]]</f>
        <v>45951</v>
      </c>
      <c r="K3868" s="22">
        <v>45952</v>
      </c>
      <c r="L3868" s="23">
        <f>_xlfn.DAYS(Tabla1[[#This Row],[FECHA FIN ]],Tabla1[[#This Row],[FECHA INICIO]])</f>
        <v>1</v>
      </c>
      <c r="M3868" s="12"/>
      <c r="N3868" s="20"/>
      <c r="O3868" s="24">
        <f>(Tabla1[[#This Row],[COSTO FIJO ]]/30)*Tabla1[[#This Row],[TOTAL DIAS PROYECTO]]+(Tabla1[[#This Row],[COSTO TEMPORAL]])</f>
        <v>0</v>
      </c>
      <c r="P3868" s="12"/>
      <c r="Q3868" s="12">
        <f>+(Tabla1[[#This Row],[COSTO COCHE]]/30)*Tabla1[[#This Row],[TOTAL DIAS PROYECTO]]</f>
        <v>0</v>
      </c>
      <c r="R3868" s="12">
        <f>+Tabla1[[#This Row],[COSTO TOTAL ALOJAMIENTO]]+Tabla1[[#This Row],[COSTO TOTAL COCHE]]</f>
        <v>0</v>
      </c>
      <c r="S3868" s="2"/>
      <c r="T3868" s="14" t="s">
        <v>44</v>
      </c>
      <c r="U3868" s="14">
        <v>45951</v>
      </c>
      <c r="V3868" s="79">
        <v>45952</v>
      </c>
      <c r="W3868" s="71"/>
      <c r="X3868" s="2"/>
      <c r="Y3868" s="11" t="s">
        <v>4376</v>
      </c>
      <c r="Z3868" s="2" t="s">
        <v>36</v>
      </c>
      <c r="AA3868" s="13" t="s">
        <v>10357</v>
      </c>
      <c r="AB3868" s="13" t="s">
        <v>10358</v>
      </c>
    </row>
    <row r="3869" spans="1:28" ht="15" customHeight="1">
      <c r="A3869" s="2" t="s">
        <v>9777</v>
      </c>
      <c r="B3869" s="2" t="s">
        <v>711</v>
      </c>
      <c r="C3869" s="97" t="s">
        <v>4687</v>
      </c>
      <c r="D3869" s="2" t="s">
        <v>30</v>
      </c>
      <c r="E3869" s="2" t="s">
        <v>790</v>
      </c>
      <c r="F3869" s="11" t="s">
        <v>4316</v>
      </c>
      <c r="G3869" t="s">
        <v>4317</v>
      </c>
      <c r="H3869" s="157" t="s">
        <v>5521</v>
      </c>
      <c r="I3869" s="158" t="s">
        <v>794</v>
      </c>
      <c r="J3869" s="22">
        <f>+Tabla1[[#This Row],[FECHA ENTRADA]]</f>
        <v>45941</v>
      </c>
      <c r="K3869" s="22">
        <v>45953</v>
      </c>
      <c r="L3869" s="23">
        <f>_xlfn.DAYS(Tabla1[[#This Row],[FECHA FIN ]],Tabla1[[#This Row],[FECHA INICIO]])</f>
        <v>12</v>
      </c>
      <c r="M3869" s="12"/>
      <c r="N3869" s="20">
        <v>200</v>
      </c>
      <c r="O3869" s="24">
        <f>(Tabla1[[#This Row],[COSTO FIJO ]]/30)*Tabla1[[#This Row],[TOTAL DIAS PROYECTO]]+(Tabla1[[#This Row],[COSTO TEMPORAL]])</f>
        <v>80</v>
      </c>
      <c r="P3869" s="12"/>
      <c r="Q3869" s="12">
        <f>+(Tabla1[[#This Row],[COSTO COCHE]]/30)*Tabla1[[#This Row],[TOTAL DIAS PROYECTO]]</f>
        <v>0</v>
      </c>
      <c r="R3869" s="12">
        <f>+Tabla1[[#This Row],[COSTO TOTAL ALOJAMIENTO]]+Tabla1[[#This Row],[COSTO TOTAL COCHE]]</f>
        <v>80</v>
      </c>
      <c r="S3869" s="2"/>
      <c r="T3869" s="14" t="s">
        <v>35</v>
      </c>
      <c r="U3869" s="14">
        <v>45941</v>
      </c>
      <c r="V3869" s="79">
        <v>45952</v>
      </c>
      <c r="W3869" s="71"/>
      <c r="X3869" s="2">
        <v>20</v>
      </c>
      <c r="Y3869" s="11" t="s">
        <v>5734</v>
      </c>
      <c r="Z3869" s="2" t="s">
        <v>36</v>
      </c>
      <c r="AA3869" s="13">
        <v>-574377</v>
      </c>
      <c r="AB3869" s="13">
        <v>4150368</v>
      </c>
    </row>
    <row r="3870" spans="1:28" ht="15" customHeight="1">
      <c r="A3870" s="2" t="s">
        <v>9960</v>
      </c>
      <c r="B3870" s="2" t="s">
        <v>711</v>
      </c>
      <c r="C3870" s="104" t="s">
        <v>5735</v>
      </c>
      <c r="D3870" s="2" t="s">
        <v>30</v>
      </c>
      <c r="E3870" s="2" t="s">
        <v>259</v>
      </c>
      <c r="F3870" s="11" t="s">
        <v>5736</v>
      </c>
      <c r="G3870" s="46" t="s">
        <v>5737</v>
      </c>
      <c r="H3870" s="157" t="s">
        <v>5738</v>
      </c>
      <c r="I3870" s="158" t="s">
        <v>794</v>
      </c>
      <c r="J3870" s="41">
        <f>+Tabla1[[#This Row],[FECHA ENTRADA]]</f>
        <v>45942</v>
      </c>
      <c r="K3870" s="41">
        <v>45953</v>
      </c>
      <c r="L3870" s="42">
        <f>_xlfn.DAYS(Tabla1[[#This Row],[FECHA FIN ]],Tabla1[[#This Row],[FECHA INICIO]])</f>
        <v>11</v>
      </c>
      <c r="M3870" s="12">
        <f>1018.45/3</f>
        <v>339.48333333333335</v>
      </c>
      <c r="N3870" s="28"/>
      <c r="O3870" s="28">
        <f>(Tabla1[[#This Row],[COSTO FIJO ]]/30)*Tabla1[[#This Row],[TOTAL DIAS PROYECTO]]+(Tabla1[[#This Row],[COSTO TEMPORAL]])</f>
        <v>339.48333333333335</v>
      </c>
      <c r="P3870" s="12"/>
      <c r="Q3870" s="12">
        <f>+(Tabla1[[#This Row],[COSTO COCHE]]/30)*Tabla1[[#This Row],[TOTAL DIAS PROYECTO]]</f>
        <v>0</v>
      </c>
      <c r="R3870" s="12">
        <f>+Tabla1[[#This Row],[COSTO TOTAL ALOJAMIENTO]]+Tabla1[[#This Row],[COSTO TOTAL COCHE]]</f>
        <v>339.48333333333335</v>
      </c>
      <c r="S3870" s="2" t="s">
        <v>403</v>
      </c>
      <c r="T3870" s="14" t="s">
        <v>44</v>
      </c>
      <c r="U3870" s="14">
        <v>45942</v>
      </c>
      <c r="V3870" s="43">
        <v>45954</v>
      </c>
      <c r="W3870" s="71"/>
      <c r="X3870" s="2"/>
      <c r="Y3870" s="11" t="s">
        <v>5739</v>
      </c>
      <c r="Z3870" s="2" t="s">
        <v>36</v>
      </c>
      <c r="AA3870" s="13">
        <v>-0.87734000000000001</v>
      </c>
      <c r="AB3870" s="13" t="s">
        <v>10359</v>
      </c>
    </row>
    <row r="3871" spans="1:28" ht="15" customHeight="1">
      <c r="A3871" s="2" t="s">
        <v>8996</v>
      </c>
      <c r="B3871" s="2" t="s">
        <v>711</v>
      </c>
      <c r="C3871" s="104" t="s">
        <v>1625</v>
      </c>
      <c r="D3871" s="2" t="s">
        <v>30</v>
      </c>
      <c r="E3871" s="2" t="s">
        <v>259</v>
      </c>
      <c r="F3871" s="11" t="s">
        <v>5736</v>
      </c>
      <c r="G3871" s="46" t="s">
        <v>5737</v>
      </c>
      <c r="H3871" s="157" t="s">
        <v>5738</v>
      </c>
      <c r="I3871" s="158" t="s">
        <v>794</v>
      </c>
      <c r="J3871" s="41">
        <f>+Tabla1[[#This Row],[FECHA ENTRADA]]</f>
        <v>45942</v>
      </c>
      <c r="K3871" s="41">
        <v>45953</v>
      </c>
      <c r="L3871" s="42">
        <f>_xlfn.DAYS(Tabla1[[#This Row],[FECHA FIN ]],Tabla1[[#This Row],[FECHA INICIO]])</f>
        <v>11</v>
      </c>
      <c r="M3871" s="12">
        <f>1018.45/3</f>
        <v>339.48333333333335</v>
      </c>
      <c r="N3871" s="28"/>
      <c r="O3871" s="28">
        <f>(Tabla1[[#This Row],[COSTO FIJO ]]/30)*Tabla1[[#This Row],[TOTAL DIAS PROYECTO]]+(Tabla1[[#This Row],[COSTO TEMPORAL]])</f>
        <v>339.48333333333335</v>
      </c>
      <c r="P3871" s="12"/>
      <c r="Q3871" s="12">
        <f>+(Tabla1[[#This Row],[COSTO COCHE]]/30)*Tabla1[[#This Row],[TOTAL DIAS PROYECTO]]</f>
        <v>0</v>
      </c>
      <c r="R3871" s="12">
        <f>+Tabla1[[#This Row],[COSTO TOTAL ALOJAMIENTO]]+Tabla1[[#This Row],[COSTO TOTAL COCHE]]</f>
        <v>339.48333333333335</v>
      </c>
      <c r="S3871" s="2" t="s">
        <v>403</v>
      </c>
      <c r="T3871" s="14" t="s">
        <v>44</v>
      </c>
      <c r="U3871" s="14">
        <v>45942</v>
      </c>
      <c r="V3871" s="25">
        <v>45954</v>
      </c>
      <c r="W3871" s="71"/>
      <c r="X3871" s="2"/>
      <c r="Y3871" s="11" t="s">
        <v>5739</v>
      </c>
      <c r="Z3871" s="2" t="s">
        <v>36</v>
      </c>
      <c r="AA3871" s="13">
        <v>-0.87734000000000001</v>
      </c>
      <c r="AB3871" s="13" t="s">
        <v>10359</v>
      </c>
    </row>
    <row r="3872" spans="1:28" ht="15" customHeight="1">
      <c r="A3872" s="2" t="s">
        <v>9902</v>
      </c>
      <c r="B3872" s="2" t="s">
        <v>711</v>
      </c>
      <c r="C3872" s="104" t="s">
        <v>5303</v>
      </c>
      <c r="D3872" s="2" t="s">
        <v>30</v>
      </c>
      <c r="E3872" s="2" t="s">
        <v>259</v>
      </c>
      <c r="F3872" s="11" t="s">
        <v>5736</v>
      </c>
      <c r="G3872" s="46" t="s">
        <v>5737</v>
      </c>
      <c r="H3872" s="157" t="s">
        <v>5738</v>
      </c>
      <c r="I3872" s="158" t="s">
        <v>794</v>
      </c>
      <c r="J3872" s="41">
        <f>+Tabla1[[#This Row],[FECHA ENTRADA]]</f>
        <v>45942</v>
      </c>
      <c r="K3872" s="41">
        <v>45953</v>
      </c>
      <c r="L3872" s="42">
        <f>_xlfn.DAYS(Tabla1[[#This Row],[FECHA FIN ]],Tabla1[[#This Row],[FECHA INICIO]])</f>
        <v>11</v>
      </c>
      <c r="M3872" s="12">
        <f>1018.45/3</f>
        <v>339.48333333333335</v>
      </c>
      <c r="N3872" s="28"/>
      <c r="O3872" s="28">
        <f>(Tabla1[[#This Row],[COSTO FIJO ]]/30)*Tabla1[[#This Row],[TOTAL DIAS PROYECTO]]+(Tabla1[[#This Row],[COSTO TEMPORAL]])</f>
        <v>339.48333333333335</v>
      </c>
      <c r="P3872" s="12"/>
      <c r="Q3872" s="12">
        <f>+(Tabla1[[#This Row],[COSTO COCHE]]/30)*Tabla1[[#This Row],[TOTAL DIAS PROYECTO]]</f>
        <v>0</v>
      </c>
      <c r="R3872" s="12">
        <f>+Tabla1[[#This Row],[COSTO TOTAL ALOJAMIENTO]]+Tabla1[[#This Row],[COSTO TOTAL COCHE]]</f>
        <v>339.48333333333335</v>
      </c>
      <c r="S3872" s="2" t="s">
        <v>403</v>
      </c>
      <c r="T3872" s="14" t="s">
        <v>44</v>
      </c>
      <c r="U3872" s="14">
        <v>45942</v>
      </c>
      <c r="V3872" s="43">
        <v>45954</v>
      </c>
      <c r="W3872" s="71"/>
      <c r="X3872" s="2"/>
      <c r="Y3872" s="11" t="s">
        <v>5739</v>
      </c>
      <c r="Z3872" s="2" t="s">
        <v>36</v>
      </c>
      <c r="AA3872" s="13">
        <v>-0.87734000000000001</v>
      </c>
      <c r="AB3872" s="13" t="s">
        <v>10359</v>
      </c>
    </row>
    <row r="3873" spans="1:28" ht="15" customHeight="1">
      <c r="A3873" s="2" t="s">
        <v>9961</v>
      </c>
      <c r="B3873" s="2" t="s">
        <v>978</v>
      </c>
      <c r="C3873" s="104" t="s">
        <v>5740</v>
      </c>
      <c r="D3873" s="2" t="s">
        <v>99</v>
      </c>
      <c r="E3873" s="2" t="s">
        <v>259</v>
      </c>
      <c r="F3873" s="11" t="s">
        <v>5741</v>
      </c>
      <c r="G3873" s="46" t="s">
        <v>5742</v>
      </c>
      <c r="H3873" s="2" t="s">
        <v>5262</v>
      </c>
      <c r="I3873" s="158" t="s">
        <v>5263</v>
      </c>
      <c r="J3873" s="41">
        <f>+Tabla1[[#This Row],[FECHA ENTRADA]]</f>
        <v>45943</v>
      </c>
      <c r="K3873" s="41">
        <v>45953</v>
      </c>
      <c r="L3873" s="42">
        <f>_xlfn.DAYS(Tabla1[[#This Row],[FECHA FIN ]],Tabla1[[#This Row],[FECHA INICIO]])</f>
        <v>10</v>
      </c>
      <c r="M3873" s="12">
        <f>735.6/4</f>
        <v>183.9</v>
      </c>
      <c r="N3873" s="28"/>
      <c r="O3873" s="28">
        <f>(Tabla1[[#This Row],[COSTO FIJO ]]/30)*Tabla1[[#This Row],[TOTAL DIAS PROYECTO]]+(Tabla1[[#This Row],[COSTO TEMPORAL]])</f>
        <v>183.9</v>
      </c>
      <c r="P3873" s="12"/>
      <c r="Q3873" s="12">
        <f>+(Tabla1[[#This Row],[COSTO COCHE]]/30)*Tabla1[[#This Row],[TOTAL DIAS PROYECTO]]</f>
        <v>0</v>
      </c>
      <c r="R3873" s="12">
        <f>+Tabla1[[#This Row],[COSTO TOTAL ALOJAMIENTO]]+Tabla1[[#This Row],[COSTO TOTAL COCHE]]</f>
        <v>183.9</v>
      </c>
      <c r="S3873" s="2" t="s">
        <v>403</v>
      </c>
      <c r="T3873" s="14" t="s">
        <v>44</v>
      </c>
      <c r="U3873" s="14">
        <v>45943</v>
      </c>
      <c r="V3873" s="43">
        <v>45954</v>
      </c>
      <c r="W3873" s="71"/>
      <c r="X3873" s="2"/>
      <c r="Y3873" s="11" t="s">
        <v>5743</v>
      </c>
      <c r="Z3873" s="2" t="s">
        <v>36</v>
      </c>
      <c r="AA3873" s="13">
        <v>-0.87734000000000001</v>
      </c>
      <c r="AB3873" s="13" t="s">
        <v>10359</v>
      </c>
    </row>
    <row r="3874" spans="1:28" ht="15" customHeight="1">
      <c r="A3874" s="2" t="s">
        <v>9962</v>
      </c>
      <c r="B3874" s="2" t="s">
        <v>978</v>
      </c>
      <c r="C3874" s="97" t="s">
        <v>5744</v>
      </c>
      <c r="D3874" s="2" t="s">
        <v>30</v>
      </c>
      <c r="E3874" s="2" t="s">
        <v>259</v>
      </c>
      <c r="F3874" s="11" t="s">
        <v>5741</v>
      </c>
      <c r="G3874" s="46" t="s">
        <v>5742</v>
      </c>
      <c r="H3874" s="2" t="s">
        <v>5262</v>
      </c>
      <c r="I3874" s="158" t="s">
        <v>5263</v>
      </c>
      <c r="J3874" s="41">
        <f>+Tabla1[[#This Row],[FECHA ENTRADA]]</f>
        <v>45943</v>
      </c>
      <c r="K3874" s="41">
        <v>45953</v>
      </c>
      <c r="L3874" s="42">
        <f>_xlfn.DAYS(Tabla1[[#This Row],[FECHA FIN ]],Tabla1[[#This Row],[FECHA INICIO]])</f>
        <v>10</v>
      </c>
      <c r="M3874" s="12">
        <f>735.6/4</f>
        <v>183.9</v>
      </c>
      <c r="N3874" s="28"/>
      <c r="O3874" s="28">
        <f>(Tabla1[[#This Row],[COSTO FIJO ]]/30)*Tabla1[[#This Row],[TOTAL DIAS PROYECTO]]+(Tabla1[[#This Row],[COSTO TEMPORAL]])</f>
        <v>183.9</v>
      </c>
      <c r="P3874" s="12"/>
      <c r="Q3874" s="12">
        <f>+(Tabla1[[#This Row],[COSTO COCHE]]/30)*Tabla1[[#This Row],[TOTAL DIAS PROYECTO]]</f>
        <v>0</v>
      </c>
      <c r="R3874" s="12">
        <f>+Tabla1[[#This Row],[COSTO TOTAL ALOJAMIENTO]]+Tabla1[[#This Row],[COSTO TOTAL COCHE]]</f>
        <v>183.9</v>
      </c>
      <c r="S3874" s="2" t="s">
        <v>403</v>
      </c>
      <c r="T3874" s="14" t="s">
        <v>44</v>
      </c>
      <c r="U3874" s="14">
        <v>45943</v>
      </c>
      <c r="V3874" s="43">
        <v>45954</v>
      </c>
      <c r="W3874" s="71"/>
      <c r="X3874" s="2"/>
      <c r="Y3874" s="11" t="s">
        <v>5745</v>
      </c>
      <c r="Z3874" s="2" t="s">
        <v>36</v>
      </c>
      <c r="AA3874" s="13">
        <v>-0.87734000000000001</v>
      </c>
      <c r="AB3874" s="13" t="s">
        <v>10359</v>
      </c>
    </row>
    <row r="3875" spans="1:28" ht="15" customHeight="1">
      <c r="A3875" s="2" t="s">
        <v>9899</v>
      </c>
      <c r="B3875" s="2" t="s">
        <v>978</v>
      </c>
      <c r="C3875" s="104" t="s">
        <v>5260</v>
      </c>
      <c r="D3875" s="2" t="s">
        <v>30</v>
      </c>
      <c r="E3875" s="2" t="s">
        <v>259</v>
      </c>
      <c r="F3875" s="11" t="s">
        <v>5741</v>
      </c>
      <c r="G3875" s="46" t="s">
        <v>5742</v>
      </c>
      <c r="H3875" s="2" t="s">
        <v>5262</v>
      </c>
      <c r="I3875" s="158" t="s">
        <v>5263</v>
      </c>
      <c r="J3875" s="41">
        <f>+Tabla1[[#This Row],[FECHA ENTRADA]]</f>
        <v>45943</v>
      </c>
      <c r="K3875" s="41">
        <v>45953</v>
      </c>
      <c r="L3875" s="42">
        <f>_xlfn.DAYS(Tabla1[[#This Row],[FECHA FIN ]],Tabla1[[#This Row],[FECHA INICIO]])</f>
        <v>10</v>
      </c>
      <c r="M3875" s="12">
        <f>735.6/4</f>
        <v>183.9</v>
      </c>
      <c r="N3875" s="28"/>
      <c r="O3875" s="28">
        <f>(Tabla1[[#This Row],[COSTO FIJO ]]/30)*Tabla1[[#This Row],[TOTAL DIAS PROYECTO]]+(Tabla1[[#This Row],[COSTO TEMPORAL]])</f>
        <v>183.9</v>
      </c>
      <c r="P3875" s="12"/>
      <c r="Q3875" s="12">
        <f>+(Tabla1[[#This Row],[COSTO COCHE]]/30)*Tabla1[[#This Row],[TOTAL DIAS PROYECTO]]</f>
        <v>0</v>
      </c>
      <c r="R3875" s="12">
        <f>+Tabla1[[#This Row],[COSTO TOTAL ALOJAMIENTO]]+Tabla1[[#This Row],[COSTO TOTAL COCHE]]</f>
        <v>183.9</v>
      </c>
      <c r="S3875" s="2" t="s">
        <v>403</v>
      </c>
      <c r="T3875" s="14" t="s">
        <v>44</v>
      </c>
      <c r="U3875" s="14">
        <v>45943</v>
      </c>
      <c r="V3875" s="43">
        <v>45954</v>
      </c>
      <c r="W3875" s="71"/>
      <c r="X3875" s="2"/>
      <c r="Y3875" s="11" t="s">
        <v>5743</v>
      </c>
      <c r="Z3875" s="2" t="s">
        <v>36</v>
      </c>
      <c r="AA3875" s="13">
        <v>-0.87734000000000001</v>
      </c>
      <c r="AB3875" s="13" t="s">
        <v>10359</v>
      </c>
    </row>
    <row r="3876" spans="1:28" ht="15" customHeight="1">
      <c r="A3876" s="2" t="s">
        <v>9963</v>
      </c>
      <c r="B3876" s="2" t="s">
        <v>978</v>
      </c>
      <c r="C3876" s="104" t="s">
        <v>5746</v>
      </c>
      <c r="D3876" s="2" t="s">
        <v>30</v>
      </c>
      <c r="E3876" s="2" t="s">
        <v>259</v>
      </c>
      <c r="F3876" s="11" t="s">
        <v>5741</v>
      </c>
      <c r="G3876" s="46" t="s">
        <v>5742</v>
      </c>
      <c r="H3876" s="2" t="s">
        <v>5262</v>
      </c>
      <c r="I3876" s="12" t="s">
        <v>5263</v>
      </c>
      <c r="J3876" s="41">
        <f>+Tabla1[[#This Row],[FECHA ENTRADA]]</f>
        <v>45943</v>
      </c>
      <c r="K3876" s="41">
        <v>45953</v>
      </c>
      <c r="L3876" s="42">
        <f>_xlfn.DAYS(Tabla1[[#This Row],[FECHA FIN ]],Tabla1[[#This Row],[FECHA INICIO]])</f>
        <v>10</v>
      </c>
      <c r="M3876" s="12">
        <f>735.6/4</f>
        <v>183.9</v>
      </c>
      <c r="N3876" s="28"/>
      <c r="O3876" s="28">
        <f>(Tabla1[[#This Row],[COSTO FIJO ]]/30)*Tabla1[[#This Row],[TOTAL DIAS PROYECTO]]+(Tabla1[[#This Row],[COSTO TEMPORAL]])</f>
        <v>183.9</v>
      </c>
      <c r="P3876" s="12"/>
      <c r="Q3876" s="12">
        <f>+(Tabla1[[#This Row],[COSTO COCHE]]/30)*Tabla1[[#This Row],[TOTAL DIAS PROYECTO]]</f>
        <v>0</v>
      </c>
      <c r="R3876" s="12">
        <f>+Tabla1[[#This Row],[COSTO TOTAL ALOJAMIENTO]]+Tabla1[[#This Row],[COSTO TOTAL COCHE]]</f>
        <v>183.9</v>
      </c>
      <c r="S3876" s="2" t="s">
        <v>403</v>
      </c>
      <c r="T3876" s="14" t="s">
        <v>44</v>
      </c>
      <c r="U3876" s="14">
        <v>45943</v>
      </c>
      <c r="V3876" s="43">
        <v>45954</v>
      </c>
      <c r="W3876" s="71"/>
      <c r="X3876" s="2"/>
      <c r="Y3876" s="11" t="s">
        <v>5743</v>
      </c>
      <c r="Z3876" s="2" t="s">
        <v>36</v>
      </c>
      <c r="AA3876" s="13">
        <v>-0.87734000000000001</v>
      </c>
      <c r="AB3876" s="13" t="s">
        <v>10359</v>
      </c>
    </row>
    <row r="3877" spans="1:28" ht="15" customHeight="1">
      <c r="A3877" s="2" t="s">
        <v>8642</v>
      </c>
      <c r="B3877" s="2" t="s">
        <v>978</v>
      </c>
      <c r="C3877" s="104" t="s">
        <v>5329</v>
      </c>
      <c r="D3877" s="2" t="s">
        <v>99</v>
      </c>
      <c r="E3877" s="2" t="s">
        <v>380</v>
      </c>
      <c r="F3877" s="11" t="s">
        <v>4645</v>
      </c>
      <c r="G3877" s="46" t="s">
        <v>4646</v>
      </c>
      <c r="H3877" s="2" t="s">
        <v>1799</v>
      </c>
      <c r="I3877" s="12" t="s">
        <v>5328</v>
      </c>
      <c r="J3877" s="41">
        <f>+Tabla1[[#This Row],[FECHA ENTRADA]]</f>
        <v>45847</v>
      </c>
      <c r="K3877" s="41">
        <v>45856</v>
      </c>
      <c r="L3877" s="42">
        <f>_xlfn.DAYS(Tabla1[[#This Row],[FECHA FIN ]],Tabla1[[#This Row],[FECHA INICIO]])</f>
        <v>9</v>
      </c>
      <c r="M3877" s="12"/>
      <c r="N3877" s="12">
        <f>495.99/3</f>
        <v>165.33</v>
      </c>
      <c r="O3877" s="28">
        <f>(Tabla1[[#This Row],[COSTO FIJO ]]/30)*Tabla1[[#This Row],[TOTAL DIAS PROYECTO]]+(Tabla1[[#This Row],[COSTO TEMPORAL]])</f>
        <v>49.599000000000004</v>
      </c>
      <c r="P3877" s="12"/>
      <c r="Q3877" s="12">
        <f>+(Tabla1[[#This Row],[COSTO COCHE]]/30)*Tabla1[[#This Row],[TOTAL DIAS PROYECTO]]</f>
        <v>0</v>
      </c>
      <c r="R3877" s="12">
        <f>+Tabla1[[#This Row],[COSTO TOTAL ALOJAMIENTO]]+Tabla1[[#This Row],[COSTO TOTAL COCHE]]</f>
        <v>49.599000000000004</v>
      </c>
      <c r="S3877" s="2"/>
      <c r="T3877" s="14" t="s">
        <v>44</v>
      </c>
      <c r="U3877" s="14">
        <v>45847</v>
      </c>
      <c r="V3877" s="43">
        <v>45856</v>
      </c>
      <c r="W3877" s="12"/>
      <c r="X3877" s="2"/>
      <c r="Y3877" s="11"/>
      <c r="Z3877" s="2" t="s">
        <v>36</v>
      </c>
      <c r="AA3877" s="13" t="s">
        <v>10370</v>
      </c>
      <c r="AB3877" s="13" t="s">
        <v>10371</v>
      </c>
    </row>
    <row r="3878" spans="1:28" ht="15" customHeight="1">
      <c r="A3878" s="117" t="s">
        <v>9964</v>
      </c>
      <c r="B3878" s="117" t="s">
        <v>711</v>
      </c>
      <c r="C3878" s="224" t="s">
        <v>5747</v>
      </c>
      <c r="D3878" s="117" t="s">
        <v>30</v>
      </c>
      <c r="E3878" s="117" t="s">
        <v>213</v>
      </c>
      <c r="F3878" s="11" t="s">
        <v>916</v>
      </c>
      <c r="G3878" s="118" t="s">
        <v>917</v>
      </c>
      <c r="H3878" s="117" t="s">
        <v>5130</v>
      </c>
      <c r="I3878" s="277" t="s">
        <v>4464</v>
      </c>
      <c r="J3878" s="120">
        <f>+Tabla1[[#This Row],[FECHA ENTRADA]]</f>
        <v>45901</v>
      </c>
      <c r="K3878" s="120">
        <v>46067</v>
      </c>
      <c r="L3878" s="122">
        <f>_xlfn.DAYS(Tabla1[[#This Row],[FECHA FIN ]],Tabla1[[#This Row],[FECHA INICIO]])</f>
        <v>166</v>
      </c>
      <c r="M3878" s="119"/>
      <c r="N3878" s="123">
        <v>238.75</v>
      </c>
      <c r="O3878" s="123">
        <f>(Tabla1[[#This Row],[COSTO FIJO ]]/30)*Tabla1[[#This Row],[TOTAL DIAS PROYECTO]]+(Tabla1[[#This Row],[COSTO TEMPORAL]])</f>
        <v>1321.0833333333333</v>
      </c>
      <c r="P3878" s="119"/>
      <c r="Q3878" s="119">
        <f>+(Tabla1[[#This Row],[COSTO COCHE]]/30)*Tabla1[[#This Row],[TOTAL DIAS PROYECTO]]</f>
        <v>0</v>
      </c>
      <c r="R3878" s="119">
        <f>+Tabla1[[#This Row],[COSTO TOTAL ALOJAMIENTO]]+Tabla1[[#This Row],[COSTO TOTAL COCHE]]</f>
        <v>1321.0833333333333</v>
      </c>
      <c r="S3878" s="117"/>
      <c r="T3878" s="124" t="s">
        <v>35</v>
      </c>
      <c r="U3878" s="124">
        <v>45901</v>
      </c>
      <c r="V3878" s="159"/>
      <c r="W3878" s="126"/>
      <c r="X3878" s="117"/>
      <c r="Y3878" s="118" t="s">
        <v>1361</v>
      </c>
      <c r="Z3878" s="117" t="s">
        <v>36</v>
      </c>
      <c r="AA3878" s="127" t="s">
        <v>10349</v>
      </c>
      <c r="AB3878" s="127" t="s">
        <v>10350</v>
      </c>
    </row>
    <row r="3879" spans="1:28" ht="15" customHeight="1">
      <c r="A3879" s="2" t="s">
        <v>9965</v>
      </c>
      <c r="B3879" s="2" t="s">
        <v>711</v>
      </c>
      <c r="C3879" s="97" t="s">
        <v>5748</v>
      </c>
      <c r="D3879" s="2" t="s">
        <v>30</v>
      </c>
      <c r="E3879" s="2" t="s">
        <v>213</v>
      </c>
      <c r="F3879" s="11" t="s">
        <v>5129</v>
      </c>
      <c r="G3879" s="118" t="s">
        <v>558</v>
      </c>
      <c r="H3879" s="2" t="s">
        <v>5130</v>
      </c>
      <c r="I3879" s="10" t="s">
        <v>4464</v>
      </c>
      <c r="J3879" s="41">
        <f>+Tabla1[[#This Row],[FECHA ENTRADA]]</f>
        <v>45901</v>
      </c>
      <c r="K3879" s="41">
        <v>46108</v>
      </c>
      <c r="L3879" s="42">
        <f>_xlfn.DAYS(Tabla1[[#This Row],[FECHA FIN ]],Tabla1[[#This Row],[FECHA INICIO]])</f>
        <v>207</v>
      </c>
      <c r="M3879" s="12"/>
      <c r="N3879" s="12">
        <v>433.33333333333331</v>
      </c>
      <c r="O3879" s="28">
        <f>(Tabla1[[#This Row],[COSTO FIJO ]]/30)*Tabla1[[#This Row],[TOTAL DIAS PROYECTO]]+(Tabla1[[#This Row],[COSTO TEMPORAL]])</f>
        <v>2990</v>
      </c>
      <c r="P3879" s="12"/>
      <c r="Q3879" s="12">
        <f>+(Tabla1[[#This Row],[COSTO COCHE]]/30)*Tabla1[[#This Row],[TOTAL DIAS PROYECTO]]</f>
        <v>0</v>
      </c>
      <c r="R3879" s="12">
        <f>+Tabla1[[#This Row],[COSTO TOTAL ALOJAMIENTO]]+Tabla1[[#This Row],[COSTO TOTAL COCHE]]</f>
        <v>2990</v>
      </c>
      <c r="S3879" s="2"/>
      <c r="T3879" s="14" t="s">
        <v>35</v>
      </c>
      <c r="U3879" s="14">
        <v>45901</v>
      </c>
      <c r="V3879" s="43"/>
      <c r="W3879" s="71"/>
      <c r="X3879" s="2">
        <v>20</v>
      </c>
      <c r="Y3879" s="11" t="s">
        <v>5749</v>
      </c>
      <c r="Z3879" s="2" t="s">
        <v>36</v>
      </c>
      <c r="AA3879" s="13" t="s">
        <v>10349</v>
      </c>
      <c r="AB3879" s="13" t="s">
        <v>10350</v>
      </c>
    </row>
    <row r="3880" spans="1:28" ht="15" customHeight="1">
      <c r="A3880" s="2" t="s">
        <v>9966</v>
      </c>
      <c r="B3880" s="2" t="s">
        <v>711</v>
      </c>
      <c r="C3880" s="104" t="s">
        <v>5750</v>
      </c>
      <c r="D3880" s="2" t="s">
        <v>30</v>
      </c>
      <c r="E3880" s="2" t="s">
        <v>213</v>
      </c>
      <c r="F3880" s="11" t="s">
        <v>916</v>
      </c>
      <c r="G3880" s="11" t="s">
        <v>917</v>
      </c>
      <c r="H3880" s="2" t="s">
        <v>5130</v>
      </c>
      <c r="I3880" s="10" t="s">
        <v>4464</v>
      </c>
      <c r="J3880" s="41">
        <f>+Tabla1[[#This Row],[FECHA ENTRADA]]</f>
        <v>45901</v>
      </c>
      <c r="K3880" s="41">
        <v>46184</v>
      </c>
      <c r="L3880" s="42">
        <f>_xlfn.DAYS(Tabla1[[#This Row],[FECHA FIN ]],Tabla1[[#This Row],[FECHA INICIO]])</f>
        <v>283</v>
      </c>
      <c r="M3880" s="12"/>
      <c r="N3880" s="12">
        <v>238.75</v>
      </c>
      <c r="O3880" s="28">
        <f>(Tabla1[[#This Row],[COSTO FIJO ]]/30)*Tabla1[[#This Row],[TOTAL DIAS PROYECTO]]+(Tabla1[[#This Row],[COSTO TEMPORAL]])</f>
        <v>2252.208333333333</v>
      </c>
      <c r="P3880" s="12"/>
      <c r="Q3880" s="12">
        <f>+(Tabla1[[#This Row],[COSTO COCHE]]/30)*Tabla1[[#This Row],[TOTAL DIAS PROYECTO]]</f>
        <v>0</v>
      </c>
      <c r="R3880" s="12">
        <f>+Tabla1[[#This Row],[COSTO TOTAL ALOJAMIENTO]]+Tabla1[[#This Row],[COSTO TOTAL COCHE]]</f>
        <v>2252.208333333333</v>
      </c>
      <c r="S3880" s="2"/>
      <c r="T3880" s="14" t="s">
        <v>35</v>
      </c>
      <c r="U3880" s="14">
        <v>45901</v>
      </c>
      <c r="V3880" s="43"/>
      <c r="W3880" s="12"/>
      <c r="X3880" s="2"/>
      <c r="Y3880" s="11" t="s">
        <v>5751</v>
      </c>
      <c r="Z3880" s="2" t="s">
        <v>36</v>
      </c>
      <c r="AA3880" s="13" t="s">
        <v>10349</v>
      </c>
      <c r="AB3880" s="13" t="s">
        <v>10350</v>
      </c>
    </row>
    <row r="3881" spans="1:28" ht="15" customHeight="1">
      <c r="A3881" s="2" t="s">
        <v>9967</v>
      </c>
      <c r="B3881" s="2" t="s">
        <v>711</v>
      </c>
      <c r="C3881" s="273" t="s">
        <v>5752</v>
      </c>
      <c r="D3881" s="2" t="s">
        <v>30</v>
      </c>
      <c r="E3881" s="2" t="s">
        <v>648</v>
      </c>
      <c r="F3881" s="11" t="s">
        <v>712</v>
      </c>
      <c r="G3881" s="70" t="s">
        <v>713</v>
      </c>
      <c r="H3881" s="2" t="s">
        <v>5753</v>
      </c>
      <c r="I3881" s="12" t="s">
        <v>96</v>
      </c>
      <c r="J3881" s="41">
        <f>+Tabla1[[#This Row],[FECHA ENTRADA]]</f>
        <v>46146</v>
      </c>
      <c r="K3881" s="22">
        <v>46159</v>
      </c>
      <c r="L3881" s="42">
        <f>_xlfn.DAYS(Tabla1[[#This Row],[FECHA FIN ]],Tabla1[[#This Row],[FECHA INICIO]])</f>
        <v>13</v>
      </c>
      <c r="M3881" s="12"/>
      <c r="N3881" s="24">
        <v>133.33333333333334</v>
      </c>
      <c r="O3881" s="28">
        <f>(Tabla1[[#This Row],[COSTO FIJO ]]/30)*Tabla1[[#This Row],[TOTAL DIAS PROYECTO]]+(Tabla1[[#This Row],[COSTO TEMPORAL]])</f>
        <v>57.777777777777779</v>
      </c>
      <c r="P3881" s="12"/>
      <c r="Q3881" s="12">
        <f>+(Tabla1[[#This Row],[COSTO COCHE]]/30)*Tabla1[[#This Row],[TOTAL DIAS PROYECTO]]</f>
        <v>0</v>
      </c>
      <c r="R3881" s="12">
        <f>+Tabla1[[#This Row],[COSTO TOTAL ALOJAMIENTO]]+Tabla1[[#This Row],[COSTO TOTAL COCHE]]</f>
        <v>57.777777777777779</v>
      </c>
      <c r="S3881" s="2"/>
      <c r="T3881" s="14" t="s">
        <v>35</v>
      </c>
      <c r="U3881" s="14">
        <v>46146</v>
      </c>
      <c r="V3881" s="43"/>
      <c r="W3881" s="12"/>
      <c r="X3881" s="2">
        <v>14</v>
      </c>
      <c r="Y3881" s="11" t="s">
        <v>5754</v>
      </c>
      <c r="Z3881" s="2" t="s">
        <v>36</v>
      </c>
      <c r="AA3881" s="13" t="s">
        <v>10387</v>
      </c>
      <c r="AB3881" s="13" t="s">
        <v>10388</v>
      </c>
    </row>
    <row r="3882" spans="1:28" ht="15" customHeight="1">
      <c r="A3882" s="2" t="s">
        <v>9968</v>
      </c>
      <c r="B3882" s="2" t="s">
        <v>978</v>
      </c>
      <c r="C3882" s="11" t="s">
        <v>5755</v>
      </c>
      <c r="D3882" s="2" t="s">
        <v>30</v>
      </c>
      <c r="E3882" s="2" t="s">
        <v>109</v>
      </c>
      <c r="F3882" s="11" t="s">
        <v>5353</v>
      </c>
      <c r="G3882" s="49" t="s">
        <v>5354</v>
      </c>
      <c r="H3882" s="2" t="s">
        <v>5355</v>
      </c>
      <c r="I3882" s="12" t="s">
        <v>5356</v>
      </c>
      <c r="J3882" s="22">
        <f>+Tabla1[[#This Row],[FECHA ENTRADA]]</f>
        <v>45867</v>
      </c>
      <c r="K3882" s="22">
        <v>45875</v>
      </c>
      <c r="L3882" s="23">
        <f>_xlfn.DAYS(Tabla1[[#This Row],[FECHA FIN ]],Tabla1[[#This Row],[FECHA INICIO]])</f>
        <v>8</v>
      </c>
      <c r="M3882" s="12"/>
      <c r="N3882" s="12">
        <v>225.25</v>
      </c>
      <c r="O3882" s="24">
        <f>(Tabla1[[#This Row],[COSTO FIJO ]]/30)*Tabla1[[#This Row],[TOTAL DIAS PROYECTO]]+(Tabla1[[#This Row],[COSTO TEMPORAL]])</f>
        <v>60.06666666666667</v>
      </c>
      <c r="P3882" s="12"/>
      <c r="Q3882" s="12">
        <f>+(Tabla1[[#This Row],[COSTO COCHE]]/30)*Tabla1[[#This Row],[TOTAL DIAS PROYECTO]]</f>
        <v>0</v>
      </c>
      <c r="R3882" s="12">
        <f>+Tabla1[[#This Row],[COSTO TOTAL ALOJAMIENTO]]+Tabla1[[#This Row],[COSTO TOTAL COCHE]]</f>
        <v>60.06666666666667</v>
      </c>
      <c r="S3882" s="2" t="s">
        <v>403</v>
      </c>
      <c r="T3882" s="14" t="s">
        <v>44</v>
      </c>
      <c r="U3882" s="14">
        <v>45867</v>
      </c>
      <c r="V3882" s="25">
        <v>45875</v>
      </c>
      <c r="W3882" s="12"/>
      <c r="X3882" s="2"/>
      <c r="Y3882" s="11" t="s">
        <v>5357</v>
      </c>
      <c r="Z3882" s="2" t="s">
        <v>36</v>
      </c>
      <c r="AA3882" s="13">
        <v>0.62217999999999996</v>
      </c>
      <c r="AB3882" s="13" t="s">
        <v>10339</v>
      </c>
    </row>
    <row r="3883" spans="1:28" ht="15" customHeight="1">
      <c r="A3883" s="2" t="s">
        <v>9816</v>
      </c>
      <c r="B3883" s="2" t="s">
        <v>978</v>
      </c>
      <c r="C3883" s="97" t="s">
        <v>4882</v>
      </c>
      <c r="D3883" s="2" t="s">
        <v>30</v>
      </c>
      <c r="E3883" s="2" t="s">
        <v>31</v>
      </c>
      <c r="F3883" s="11" t="s">
        <v>1004</v>
      </c>
      <c r="G3883" s="167" t="s">
        <v>1005</v>
      </c>
      <c r="H3883" s="2" t="s">
        <v>4881</v>
      </c>
      <c r="I3883" s="12" t="s">
        <v>2391</v>
      </c>
      <c r="J3883" s="41">
        <f>+Tabla1[[#This Row],[FECHA ENTRADA]]</f>
        <v>45902</v>
      </c>
      <c r="K3883" s="22">
        <v>45961</v>
      </c>
      <c r="L3883" s="42">
        <f>_xlfn.DAYS(Tabla1[[#This Row],[FECHA FIN ]],Tabla1[[#This Row],[FECHA INICIO]])</f>
        <v>59</v>
      </c>
      <c r="M3883" s="12"/>
      <c r="N3883" s="28">
        <v>320</v>
      </c>
      <c r="O3883" s="28">
        <f>(Tabla1[[#This Row],[COSTO FIJO ]]/30)*Tabla1[[#This Row],[TOTAL DIAS PROYECTO]]+(Tabla1[[#This Row],[COSTO TEMPORAL]])</f>
        <v>629.33333333333326</v>
      </c>
      <c r="P3883" s="12"/>
      <c r="Q3883" s="12">
        <f>+(Tabla1[[#This Row],[COSTO COCHE]]/30)*Tabla1[[#This Row],[TOTAL DIAS PROYECTO]]</f>
        <v>0</v>
      </c>
      <c r="R3883" s="12">
        <f>+Tabla1[[#This Row],[COSTO TOTAL ALOJAMIENTO]]+Tabla1[[#This Row],[COSTO TOTAL COCHE]]</f>
        <v>629.33333333333326</v>
      </c>
      <c r="S3883" s="2"/>
      <c r="T3883" s="14" t="s">
        <v>35</v>
      </c>
      <c r="U3883" s="14">
        <v>45902</v>
      </c>
      <c r="V3883" s="43"/>
      <c r="W3883" s="71"/>
      <c r="X3883" s="2">
        <v>1</v>
      </c>
      <c r="Y3883" s="11" t="s">
        <v>5756</v>
      </c>
      <c r="Z3883" s="2" t="s">
        <v>36</v>
      </c>
      <c r="AA3883" s="13" t="s">
        <v>10323</v>
      </c>
      <c r="AB3883" s="13" t="s">
        <v>10324</v>
      </c>
    </row>
    <row r="3884" spans="1:28" ht="15" customHeight="1">
      <c r="A3884" s="2" t="s">
        <v>9753</v>
      </c>
      <c r="B3884" s="2" t="s">
        <v>978</v>
      </c>
      <c r="C3884" s="104" t="s">
        <v>4566</v>
      </c>
      <c r="D3884" s="2" t="s">
        <v>99</v>
      </c>
      <c r="E3884" s="2" t="s">
        <v>380</v>
      </c>
      <c r="F3884" s="11" t="s">
        <v>4645</v>
      </c>
      <c r="G3884" s="46" t="s">
        <v>4646</v>
      </c>
      <c r="H3884" s="2" t="s">
        <v>1799</v>
      </c>
      <c r="I3884" s="12" t="s">
        <v>5328</v>
      </c>
      <c r="J3884" s="41">
        <f>+Tabla1[[#This Row],[FECHA ENTRADA]]</f>
        <v>45847</v>
      </c>
      <c r="K3884" s="41">
        <v>45856</v>
      </c>
      <c r="L3884" s="42">
        <f>_xlfn.DAYS(Tabla1[[#This Row],[FECHA FIN ]],Tabla1[[#This Row],[FECHA INICIO]])</f>
        <v>9</v>
      </c>
      <c r="M3884" s="12"/>
      <c r="N3884" s="12">
        <f>495.99/3</f>
        <v>165.33</v>
      </c>
      <c r="O3884" s="28">
        <f>(Tabla1[[#This Row],[COSTO FIJO ]]/30)*Tabla1[[#This Row],[TOTAL DIAS PROYECTO]]+(Tabla1[[#This Row],[COSTO TEMPORAL]])</f>
        <v>49.599000000000004</v>
      </c>
      <c r="P3884" s="12"/>
      <c r="Q3884" s="12">
        <f>+(Tabla1[[#This Row],[COSTO COCHE]]/30)*Tabla1[[#This Row],[TOTAL DIAS PROYECTO]]</f>
        <v>0</v>
      </c>
      <c r="R3884" s="12">
        <f>+Tabla1[[#This Row],[COSTO TOTAL ALOJAMIENTO]]+Tabla1[[#This Row],[COSTO TOTAL COCHE]]</f>
        <v>49.599000000000004</v>
      </c>
      <c r="S3884" s="2"/>
      <c r="T3884" s="14" t="s">
        <v>44</v>
      </c>
      <c r="U3884" s="14">
        <v>45847</v>
      </c>
      <c r="V3884" s="43">
        <v>45856</v>
      </c>
      <c r="W3884" s="12"/>
      <c r="X3884" s="2"/>
      <c r="Y3884" s="11"/>
      <c r="Z3884" s="2" t="s">
        <v>36</v>
      </c>
      <c r="AA3884" s="13" t="s">
        <v>10370</v>
      </c>
      <c r="AB3884" s="13" t="s">
        <v>10371</v>
      </c>
    </row>
    <row r="3885" spans="1:28" ht="15" customHeight="1">
      <c r="A3885" s="117" t="s">
        <v>9967</v>
      </c>
      <c r="B3885" s="117" t="s">
        <v>711</v>
      </c>
      <c r="C3885" s="224" t="s">
        <v>5752</v>
      </c>
      <c r="D3885" s="117" t="s">
        <v>30</v>
      </c>
      <c r="E3885" s="117" t="s">
        <v>855</v>
      </c>
      <c r="F3885" s="11" t="s">
        <v>5757</v>
      </c>
      <c r="G3885" s="68" t="s">
        <v>5758</v>
      </c>
      <c r="H3885" s="117" t="s">
        <v>5753</v>
      </c>
      <c r="I3885" s="119" t="s">
        <v>96</v>
      </c>
      <c r="J3885" s="120">
        <f>+Tabla1[[#This Row],[FECHA ENTRADA]]</f>
        <v>45966</v>
      </c>
      <c r="K3885" s="121">
        <v>46014</v>
      </c>
      <c r="L3885" s="122">
        <f>_xlfn.DAYS(Tabla1[[#This Row],[FECHA FIN ]],Tabla1[[#This Row],[FECHA INICIO]])</f>
        <v>48</v>
      </c>
      <c r="M3885" s="119">
        <v>210</v>
      </c>
      <c r="N3885" s="123"/>
      <c r="O3885" s="123">
        <f>(Tabla1[[#This Row],[COSTO FIJO ]]/30)*Tabla1[[#This Row],[TOTAL DIAS PROYECTO]]+(Tabla1[[#This Row],[COSTO TEMPORAL]])</f>
        <v>210</v>
      </c>
      <c r="P3885" s="119"/>
      <c r="Q3885" s="119">
        <f>+(Tabla1[[#This Row],[COSTO COCHE]]/30)*Tabla1[[#This Row],[TOTAL DIAS PROYECTO]]</f>
        <v>0</v>
      </c>
      <c r="R3885" s="119">
        <f>+Tabla1[[#This Row],[COSTO TOTAL ALOJAMIENTO]]+Tabla1[[#This Row],[COSTO TOTAL COCHE]]</f>
        <v>210</v>
      </c>
      <c r="S3885" s="117"/>
      <c r="T3885" s="124" t="s">
        <v>44</v>
      </c>
      <c r="U3885" s="124">
        <v>45966</v>
      </c>
      <c r="V3885" s="125">
        <v>46014</v>
      </c>
      <c r="W3885" s="126"/>
      <c r="X3885" s="117"/>
      <c r="Y3885" s="118" t="s">
        <v>5759</v>
      </c>
      <c r="Z3885" s="117" t="s">
        <v>36</v>
      </c>
      <c r="AA3885" s="127" t="s">
        <v>10401</v>
      </c>
      <c r="AB3885" s="127" t="s">
        <v>10402</v>
      </c>
    </row>
    <row r="3886" spans="1:28" ht="15" customHeight="1">
      <c r="A3886" s="2" t="s">
        <v>9967</v>
      </c>
      <c r="B3886" s="2" t="s">
        <v>711</v>
      </c>
      <c r="C3886" s="104" t="s">
        <v>5752</v>
      </c>
      <c r="D3886" s="2" t="s">
        <v>30</v>
      </c>
      <c r="E3886" s="2" t="s">
        <v>127</v>
      </c>
      <c r="F3886" s="11" t="s">
        <v>820</v>
      </c>
      <c r="G3886" s="21" t="s">
        <v>821</v>
      </c>
      <c r="H3886" s="2" t="s">
        <v>3440</v>
      </c>
      <c r="I3886" s="12" t="s">
        <v>96</v>
      </c>
      <c r="J3886" s="22">
        <f>+Tabla1[[#This Row],[FECHA ENTRADA]]</f>
        <v>46159</v>
      </c>
      <c r="K3886" s="22">
        <v>46174</v>
      </c>
      <c r="L3886" s="23">
        <f>_xlfn.DAYS(Tabla1[[#This Row],[FECHA FIN ]],Tabla1[[#This Row],[FECHA INICIO]])</f>
        <v>15</v>
      </c>
      <c r="M3886" s="20">
        <f>80*15/4</f>
        <v>300</v>
      </c>
      <c r="N3886" s="24"/>
      <c r="O3886" s="24">
        <f>(Tabla1[[#This Row],[COSTO FIJO ]]/30)*Tabla1[[#This Row],[TOTAL DIAS PROYECTO]]+(Tabla1[[#This Row],[COSTO TEMPORAL]])</f>
        <v>300</v>
      </c>
      <c r="P3886" s="12"/>
      <c r="Q3886" s="12">
        <f>+(Tabla1[[#This Row],[COSTO COCHE]]/30)*Tabla1[[#This Row],[TOTAL DIAS PROYECTO]]</f>
        <v>0</v>
      </c>
      <c r="R3886" s="12">
        <f>+Tabla1[[#This Row],[COSTO TOTAL ALOJAMIENTO]]+Tabla1[[#This Row],[COSTO TOTAL COCHE]]</f>
        <v>300</v>
      </c>
      <c r="S3886" s="2"/>
      <c r="T3886" s="14" t="s">
        <v>44</v>
      </c>
      <c r="U3886" s="14">
        <v>46159</v>
      </c>
      <c r="V3886" s="79">
        <v>46174</v>
      </c>
      <c r="W3886" s="12"/>
      <c r="X3886" s="2"/>
      <c r="Y3886" s="11" t="s">
        <v>1364</v>
      </c>
      <c r="Z3886" s="2" t="s">
        <v>36</v>
      </c>
      <c r="AA3886" s="13" t="s">
        <v>10342</v>
      </c>
      <c r="AB3886" s="13" t="s">
        <v>10343</v>
      </c>
    </row>
    <row r="3887" spans="1:28" ht="15" customHeight="1">
      <c r="A3887" s="2" t="s">
        <v>9418</v>
      </c>
      <c r="B3887" s="2" t="s">
        <v>606</v>
      </c>
      <c r="C3887" s="261" t="s">
        <v>3105</v>
      </c>
      <c r="D3887" s="2" t="s">
        <v>30</v>
      </c>
      <c r="E3887" s="2" t="s">
        <v>31</v>
      </c>
      <c r="F3887" s="11" t="s">
        <v>4577</v>
      </c>
      <c r="G3887" s="46" t="s">
        <v>4400</v>
      </c>
      <c r="H3887" s="2" t="s">
        <v>3106</v>
      </c>
      <c r="I3887" s="10" t="s">
        <v>835</v>
      </c>
      <c r="J3887" s="41">
        <v>45629</v>
      </c>
      <c r="K3887" s="22">
        <v>45956</v>
      </c>
      <c r="L3887" s="42">
        <f>_xlfn.DAYS(Tabla1[[#This Row],[FECHA FIN ]],Tabla1[[#This Row],[FECHA INICIO]])</f>
        <v>327</v>
      </c>
      <c r="M3887" s="12"/>
      <c r="N3887" s="12">
        <f>340+55</f>
        <v>395</v>
      </c>
      <c r="O3887" s="28">
        <f>(Tabla1[[#This Row],[COSTO FIJO ]]/30)*Tabla1[[#This Row],[TOTAL DIAS PROYECTO]]+(Tabla1[[#This Row],[COSTO TEMPORAL]])</f>
        <v>4305.5</v>
      </c>
      <c r="P3887" s="12"/>
      <c r="Q3887" s="12">
        <f>+(Tabla1[[#This Row],[COSTO COCHE]]/30)*Tabla1[[#This Row],[TOTAL DIAS PROYECTO]]</f>
        <v>0</v>
      </c>
      <c r="R3887" s="12">
        <f>+Tabla1[[#This Row],[COSTO TOTAL ALOJAMIENTO]]+Tabla1[[#This Row],[COSTO TOTAL COCHE]]</f>
        <v>4305.5</v>
      </c>
      <c r="S3887" s="2" t="s">
        <v>3706</v>
      </c>
      <c r="T3887" s="2" t="s">
        <v>35</v>
      </c>
      <c r="U3887" s="14">
        <v>45629</v>
      </c>
      <c r="V3887" s="43"/>
      <c r="W3887" s="26">
        <v>500</v>
      </c>
      <c r="X3887" s="2">
        <v>1</v>
      </c>
      <c r="Y3887" s="11" t="s">
        <v>5760</v>
      </c>
      <c r="Z3887" s="2" t="s">
        <v>36</v>
      </c>
      <c r="AA3887" s="13" t="s">
        <v>10323</v>
      </c>
      <c r="AB3887" s="13" t="s">
        <v>10324</v>
      </c>
    </row>
    <row r="3888" spans="1:28" ht="15" customHeight="1">
      <c r="A3888" s="2" t="s">
        <v>9615</v>
      </c>
      <c r="B3888" s="2" t="s">
        <v>606</v>
      </c>
      <c r="C3888" s="97" t="s">
        <v>3880</v>
      </c>
      <c r="D3888" s="2" t="s">
        <v>30</v>
      </c>
      <c r="E3888" s="2" t="s">
        <v>31</v>
      </c>
      <c r="F3888" s="11" t="s">
        <v>5761</v>
      </c>
      <c r="G3888" s="46" t="s">
        <v>5762</v>
      </c>
      <c r="H3888" s="2" t="s">
        <v>3106</v>
      </c>
      <c r="I3888" s="10" t="s">
        <v>835</v>
      </c>
      <c r="J3888" s="22">
        <f>+Tabla1[[#This Row],[FECHA ENTRADA]]</f>
        <v>45834</v>
      </c>
      <c r="K3888" s="22">
        <v>45956</v>
      </c>
      <c r="L3888" s="23">
        <f>_xlfn.DAYS(Tabla1[[#This Row],[FECHA FIN ]],Tabla1[[#This Row],[FECHA INICIO]])</f>
        <v>122</v>
      </c>
      <c r="M3888" s="12"/>
      <c r="N3888" s="24">
        <v>350</v>
      </c>
      <c r="O3888" s="24">
        <f>(Tabla1[[#This Row],[COSTO FIJO ]]/30)*Tabla1[[#This Row],[TOTAL DIAS PROYECTO]]+(Tabla1[[#This Row],[COSTO TEMPORAL]])</f>
        <v>1423.3333333333333</v>
      </c>
      <c r="P3888" s="12"/>
      <c r="Q3888" s="12">
        <f>+(Tabla1[[#This Row],[COSTO COCHE]]/30)*Tabla1[[#This Row],[TOTAL DIAS PROYECTO]]</f>
        <v>0</v>
      </c>
      <c r="R3888" s="12">
        <f>+Tabla1[[#This Row],[COSTO TOTAL ALOJAMIENTO]]+Tabla1[[#This Row],[COSTO TOTAL COCHE]]</f>
        <v>1423.3333333333333</v>
      </c>
      <c r="S3888" s="2"/>
      <c r="T3888" s="14" t="s">
        <v>35</v>
      </c>
      <c r="U3888" s="14">
        <v>45834</v>
      </c>
      <c r="V3888" s="25"/>
      <c r="W3888" s="2"/>
      <c r="X3888" s="2">
        <v>1</v>
      </c>
      <c r="Y3888" s="11" t="s">
        <v>5763</v>
      </c>
      <c r="Z3888" s="2" t="s">
        <v>36</v>
      </c>
      <c r="AA3888" s="13" t="s">
        <v>10323</v>
      </c>
      <c r="AB3888" s="13" t="s">
        <v>10324</v>
      </c>
    </row>
    <row r="3889" spans="1:28" ht="15" customHeight="1">
      <c r="A3889" s="2" t="s">
        <v>8642</v>
      </c>
      <c r="B3889" s="2" t="s">
        <v>28</v>
      </c>
      <c r="C3889" s="104" t="s">
        <v>4613</v>
      </c>
      <c r="D3889" s="2" t="s">
        <v>30</v>
      </c>
      <c r="E3889" s="2" t="s">
        <v>31</v>
      </c>
      <c r="F3889" s="11" t="s">
        <v>4577</v>
      </c>
      <c r="G3889" s="46" t="s">
        <v>4400</v>
      </c>
      <c r="H3889" s="2" t="s">
        <v>4616</v>
      </c>
      <c r="I3889" s="12" t="s">
        <v>385</v>
      </c>
      <c r="J3889" s="41">
        <f>+Tabla1[[#This Row],[FECHA ENTRADA]]</f>
        <v>45869</v>
      </c>
      <c r="K3889" s="41">
        <v>45956</v>
      </c>
      <c r="L3889" s="42">
        <f>_xlfn.DAYS(Tabla1[[#This Row],[FECHA FIN ]],Tabla1[[#This Row],[FECHA INICIO]])</f>
        <v>87</v>
      </c>
      <c r="M3889" s="12"/>
      <c r="N3889" s="28">
        <f>355+55</f>
        <v>410</v>
      </c>
      <c r="O3889" s="28">
        <f>(Tabla1[[#This Row],[COSTO FIJO ]]/30)*Tabla1[[#This Row],[TOTAL DIAS PROYECTO]]+(Tabla1[[#This Row],[COSTO TEMPORAL]])</f>
        <v>1189</v>
      </c>
      <c r="P3889" s="12"/>
      <c r="Q3889" s="12">
        <f>+(Tabla1[[#This Row],[COSTO COCHE]]/30)*Tabla1[[#This Row],[TOTAL DIAS PROYECTO]]</f>
        <v>0</v>
      </c>
      <c r="R3889" s="12">
        <f>+Tabla1[[#This Row],[COSTO TOTAL ALOJAMIENTO]]+Tabla1[[#This Row],[COSTO TOTAL COCHE]]</f>
        <v>1189</v>
      </c>
      <c r="S3889" s="2"/>
      <c r="T3889" s="14" t="s">
        <v>35</v>
      </c>
      <c r="U3889" s="14">
        <v>45869</v>
      </c>
      <c r="V3889" s="43"/>
      <c r="W3889" s="12">
        <v>500</v>
      </c>
      <c r="X3889" s="2">
        <v>1</v>
      </c>
      <c r="Y3889" s="11" t="s">
        <v>5764</v>
      </c>
      <c r="Z3889" s="2" t="s">
        <v>36</v>
      </c>
      <c r="AA3889" s="13" t="s">
        <v>10323</v>
      </c>
      <c r="AB3889" s="13" t="s">
        <v>10324</v>
      </c>
    </row>
    <row r="3890" spans="1:28" ht="15" customHeight="1">
      <c r="A3890" s="2" t="s">
        <v>9489</v>
      </c>
      <c r="B3890" s="2" t="s">
        <v>978</v>
      </c>
      <c r="C3890" s="261" t="s">
        <v>3366</v>
      </c>
      <c r="D3890" s="2" t="s">
        <v>30</v>
      </c>
      <c r="E3890" s="2" t="s">
        <v>31</v>
      </c>
      <c r="F3890" s="11" t="s">
        <v>4577</v>
      </c>
      <c r="G3890" s="46" t="s">
        <v>4400</v>
      </c>
      <c r="H3890" s="2" t="s">
        <v>5765</v>
      </c>
      <c r="I3890" s="10" t="s">
        <v>3364</v>
      </c>
      <c r="J3890" s="41">
        <f>+Tabla1[[#This Row],[FECHA ENTRADA]]</f>
        <v>45914</v>
      </c>
      <c r="K3890" s="41">
        <v>45956</v>
      </c>
      <c r="L3890" s="42">
        <f>_xlfn.DAYS(Tabla1[[#This Row],[FECHA FIN ]],Tabla1[[#This Row],[FECHA INICIO]])</f>
        <v>42</v>
      </c>
      <c r="M3890" s="12"/>
      <c r="N3890" s="28">
        <v>365</v>
      </c>
      <c r="O3890" s="28">
        <f>(Tabla1[[#This Row],[COSTO FIJO ]]/30)*Tabla1[[#This Row],[TOTAL DIAS PROYECTO]]+(Tabla1[[#This Row],[COSTO TEMPORAL]])</f>
        <v>511</v>
      </c>
      <c r="P3890" s="12"/>
      <c r="Q3890" s="12">
        <f>+(Tabla1[[#This Row],[COSTO COCHE]]/30)*Tabla1[[#This Row],[TOTAL DIAS PROYECTO]]</f>
        <v>0</v>
      </c>
      <c r="R3890" s="12">
        <f>+Tabla1[[#This Row],[COSTO TOTAL ALOJAMIENTO]]+Tabla1[[#This Row],[COSTO TOTAL COCHE]]</f>
        <v>511</v>
      </c>
      <c r="S3890" s="2"/>
      <c r="T3890" s="14" t="s">
        <v>35</v>
      </c>
      <c r="U3890" s="14">
        <v>45914</v>
      </c>
      <c r="V3890" s="43"/>
      <c r="W3890" s="26">
        <v>300</v>
      </c>
      <c r="X3890" s="2">
        <v>1</v>
      </c>
      <c r="Y3890" s="11" t="s">
        <v>5766</v>
      </c>
      <c r="Z3890" s="2" t="s">
        <v>36</v>
      </c>
      <c r="AA3890" s="13" t="s">
        <v>10323</v>
      </c>
      <c r="AB3890" s="13" t="s">
        <v>10324</v>
      </c>
    </row>
    <row r="3891" spans="1:28" ht="15" customHeight="1">
      <c r="A3891" s="2" t="s">
        <v>9186</v>
      </c>
      <c r="B3891" s="2" t="s">
        <v>978</v>
      </c>
      <c r="C3891" s="261" t="s">
        <v>2361</v>
      </c>
      <c r="D3891" s="2" t="s">
        <v>30</v>
      </c>
      <c r="E3891" s="2" t="s">
        <v>31</v>
      </c>
      <c r="F3891" s="11" t="s">
        <v>4577</v>
      </c>
      <c r="G3891" s="46" t="s">
        <v>4400</v>
      </c>
      <c r="H3891" s="2" t="s">
        <v>5765</v>
      </c>
      <c r="I3891" s="10" t="s">
        <v>3364</v>
      </c>
      <c r="J3891" s="41">
        <f>+Tabla1[[#This Row],[FECHA ENTRADA]]</f>
        <v>45914</v>
      </c>
      <c r="K3891" s="41">
        <v>45956</v>
      </c>
      <c r="L3891" s="42">
        <f>_xlfn.DAYS(Tabla1[[#This Row],[FECHA FIN ]],Tabla1[[#This Row],[FECHA INICIO]])</f>
        <v>42</v>
      </c>
      <c r="M3891" s="12"/>
      <c r="N3891" s="28">
        <v>365</v>
      </c>
      <c r="O3891" s="28">
        <f>(Tabla1[[#This Row],[COSTO FIJO ]]/30)*Tabla1[[#This Row],[TOTAL DIAS PROYECTO]]+(Tabla1[[#This Row],[COSTO TEMPORAL]])</f>
        <v>511</v>
      </c>
      <c r="P3891" s="12"/>
      <c r="Q3891" s="12">
        <f>+(Tabla1[[#This Row],[COSTO COCHE]]/30)*Tabla1[[#This Row],[TOTAL DIAS PROYECTO]]</f>
        <v>0</v>
      </c>
      <c r="R3891" s="12">
        <f>+Tabla1[[#This Row],[COSTO TOTAL ALOJAMIENTO]]+Tabla1[[#This Row],[COSTO TOTAL COCHE]]</f>
        <v>511</v>
      </c>
      <c r="S3891" s="2"/>
      <c r="T3891" s="14" t="s">
        <v>35</v>
      </c>
      <c r="U3891" s="14">
        <v>45914</v>
      </c>
      <c r="V3891" s="43"/>
      <c r="W3891" s="26">
        <v>300</v>
      </c>
      <c r="X3891" s="2">
        <v>1</v>
      </c>
      <c r="Y3891" s="11" t="s">
        <v>5766</v>
      </c>
      <c r="Z3891" s="2" t="s">
        <v>36</v>
      </c>
      <c r="AA3891" s="13" t="s">
        <v>10323</v>
      </c>
      <c r="AB3891" s="13" t="s">
        <v>10324</v>
      </c>
    </row>
    <row r="3892" spans="1:28" ht="15" customHeight="1">
      <c r="A3892" s="2" t="s">
        <v>9452</v>
      </c>
      <c r="B3892" s="2" t="s">
        <v>711</v>
      </c>
      <c r="C3892" s="97" t="s">
        <v>3226</v>
      </c>
      <c r="D3892" s="2" t="s">
        <v>30</v>
      </c>
      <c r="E3892" s="2" t="s">
        <v>422</v>
      </c>
      <c r="F3892" s="11" t="s">
        <v>5145</v>
      </c>
      <c r="G3892" t="s">
        <v>1376</v>
      </c>
      <c r="H3892" s="2" t="s">
        <v>5671</v>
      </c>
      <c r="I3892" s="30" t="s">
        <v>1322</v>
      </c>
      <c r="J3892" s="22">
        <f>+Tabla1[[#This Row],[FECHA ENTRADA]]</f>
        <v>45874</v>
      </c>
      <c r="K3892" s="8">
        <v>45886</v>
      </c>
      <c r="L3892" s="23">
        <f>_xlfn.DAYS(Tabla1[[#This Row],[FECHA FIN ]],Tabla1[[#This Row],[FECHA INICIO]])</f>
        <v>12</v>
      </c>
      <c r="M3892" s="12"/>
      <c r="N3892" s="20">
        <v>240</v>
      </c>
      <c r="O3892" s="24">
        <f>(Tabla1[[#This Row],[COSTO FIJO ]]/30)*Tabla1[[#This Row],[TOTAL DIAS PROYECTO]]+(Tabla1[[#This Row],[COSTO TEMPORAL]])</f>
        <v>96</v>
      </c>
      <c r="P3892" s="12"/>
      <c r="Q3892" s="12">
        <f>+(Tabla1[[#This Row],[COSTO COCHE]]/30)*Tabla1[[#This Row],[TOTAL DIAS PROYECTO]]</f>
        <v>0</v>
      </c>
      <c r="R3892" s="12">
        <f>+Tabla1[[#This Row],[COSTO TOTAL ALOJAMIENTO]]+Tabla1[[#This Row],[COSTO TOTAL COCHE]]</f>
        <v>96</v>
      </c>
      <c r="S3892" s="2"/>
      <c r="T3892" s="14" t="s">
        <v>35</v>
      </c>
      <c r="U3892" s="14">
        <v>45874</v>
      </c>
      <c r="V3892" s="79"/>
      <c r="W3892" s="12"/>
      <c r="X3892" s="2">
        <v>5</v>
      </c>
      <c r="Y3892" s="11" t="s">
        <v>5672</v>
      </c>
      <c r="Z3892" s="2" t="s">
        <v>36</v>
      </c>
      <c r="AA3892" s="13">
        <v>-326.69799999999998</v>
      </c>
      <c r="AB3892" s="13" t="s">
        <v>10373</v>
      </c>
    </row>
    <row r="3893" spans="1:28" ht="15" customHeight="1">
      <c r="A3893" s="2" t="s">
        <v>9120</v>
      </c>
      <c r="B3893" s="2" t="s">
        <v>368</v>
      </c>
      <c r="C3893" s="97" t="s">
        <v>2082</v>
      </c>
      <c r="D3893" s="2" t="s">
        <v>30</v>
      </c>
      <c r="E3893" s="2" t="s">
        <v>415</v>
      </c>
      <c r="F3893" s="11" t="s">
        <v>1290</v>
      </c>
      <c r="G3893" t="s">
        <v>1291</v>
      </c>
      <c r="H3893" s="2" t="s">
        <v>5724</v>
      </c>
      <c r="I3893" s="10" t="s">
        <v>4165</v>
      </c>
      <c r="J3893" s="41">
        <f>+Tabla1[[#This Row],[FECHA ENTRADA]]</f>
        <v>45922</v>
      </c>
      <c r="K3893" s="22">
        <v>45956</v>
      </c>
      <c r="L3893" s="42">
        <f>_xlfn.DAYS(Tabla1[[#This Row],[FECHA FIN ]],Tabla1[[#This Row],[FECHA INICIO]])</f>
        <v>34</v>
      </c>
      <c r="M3893" s="12"/>
      <c r="N3893" s="12"/>
      <c r="O3893" s="28">
        <f>(Tabla1[[#This Row],[COSTO FIJO ]]/30)*Tabla1[[#This Row],[TOTAL DIAS PROYECTO]]+(Tabla1[[#This Row],[COSTO TEMPORAL]])</f>
        <v>0</v>
      </c>
      <c r="P3893" s="12"/>
      <c r="Q3893" s="12">
        <f>+(Tabla1[[#This Row],[COSTO COCHE]]/30)*Tabla1[[#This Row],[TOTAL DIAS PROYECTO]]</f>
        <v>0</v>
      </c>
      <c r="R3893" s="12">
        <f>+Tabla1[[#This Row],[COSTO TOTAL ALOJAMIENTO]]+Tabla1[[#This Row],[COSTO TOTAL COCHE]]</f>
        <v>0</v>
      </c>
      <c r="S3893" s="2"/>
      <c r="T3893" s="14" t="s">
        <v>35</v>
      </c>
      <c r="U3893" s="14">
        <v>45922</v>
      </c>
      <c r="V3893" s="43"/>
      <c r="W3893" s="71"/>
      <c r="X3893" s="2">
        <v>1</v>
      </c>
      <c r="Y3893" s="11" t="s">
        <v>5767</v>
      </c>
      <c r="Z3893" s="2" t="s">
        <v>36</v>
      </c>
      <c r="AA3893" s="13">
        <v>-0.37739</v>
      </c>
      <c r="AB3893" s="13" t="s">
        <v>10372</v>
      </c>
    </row>
    <row r="3894" spans="1:28" ht="15" customHeight="1">
      <c r="A3894" s="2" t="s">
        <v>8642</v>
      </c>
      <c r="B3894" s="2" t="s">
        <v>28</v>
      </c>
      <c r="C3894" s="104" t="s">
        <v>4613</v>
      </c>
      <c r="D3894" s="2" t="s">
        <v>30</v>
      </c>
      <c r="E3894" s="2" t="s">
        <v>31</v>
      </c>
      <c r="F3894" s="11" t="s">
        <v>5761</v>
      </c>
      <c r="G3894" s="49" t="s">
        <v>5762</v>
      </c>
      <c r="H3894" s="2" t="s">
        <v>4616</v>
      </c>
      <c r="I3894" s="12" t="s">
        <v>385</v>
      </c>
      <c r="J3894" s="41">
        <f>+Tabla1[[#This Row],[FECHA ENTRADA]]</f>
        <v>45956</v>
      </c>
      <c r="K3894" s="41">
        <v>45956</v>
      </c>
      <c r="L3894" s="42">
        <f>_xlfn.DAYS(Tabla1[[#This Row],[FECHA FIN ]],Tabla1[[#This Row],[FECHA INICIO]])</f>
        <v>0</v>
      </c>
      <c r="M3894" s="12"/>
      <c r="N3894" s="28">
        <v>350</v>
      </c>
      <c r="O3894" s="28">
        <f>(Tabla1[[#This Row],[COSTO FIJO ]]/30)*Tabla1[[#This Row],[TOTAL DIAS PROYECTO]]+(Tabla1[[#This Row],[COSTO TEMPORAL]])</f>
        <v>0</v>
      </c>
      <c r="P3894" s="12"/>
      <c r="Q3894" s="12">
        <f>+(Tabla1[[#This Row],[COSTO COCHE]]/30)*Tabla1[[#This Row],[TOTAL DIAS PROYECTO]]</f>
        <v>0</v>
      </c>
      <c r="R3894" s="12">
        <f>+Tabla1[[#This Row],[COSTO TOTAL ALOJAMIENTO]]+Tabla1[[#This Row],[COSTO TOTAL COCHE]]</f>
        <v>0</v>
      </c>
      <c r="S3894" s="2"/>
      <c r="T3894" s="14" t="s">
        <v>35</v>
      </c>
      <c r="U3894" s="14">
        <v>45956</v>
      </c>
      <c r="V3894" s="43"/>
      <c r="W3894" s="71"/>
      <c r="X3894" s="2">
        <v>1</v>
      </c>
      <c r="Y3894" s="11" t="s">
        <v>5768</v>
      </c>
      <c r="Z3894" s="2" t="s">
        <v>36</v>
      </c>
      <c r="AA3894" s="13" t="s">
        <v>10323</v>
      </c>
      <c r="AB3894" s="13" t="s">
        <v>10324</v>
      </c>
    </row>
    <row r="3895" spans="1:28" ht="15" customHeight="1">
      <c r="A3895" s="2" t="s">
        <v>8968</v>
      </c>
      <c r="B3895" s="2" t="s">
        <v>978</v>
      </c>
      <c r="C3895" s="97" t="s">
        <v>1527</v>
      </c>
      <c r="D3895" s="2" t="s">
        <v>30</v>
      </c>
      <c r="E3895" s="2" t="s">
        <v>253</v>
      </c>
      <c r="F3895" s="11"/>
      <c r="G3895" s="46"/>
      <c r="H3895" s="2" t="s">
        <v>1530</v>
      </c>
      <c r="I3895" s="12" t="s">
        <v>1155</v>
      </c>
      <c r="J3895" s="41">
        <f>+Tabla1[[#This Row],[FECHA ENTRADA]]</f>
        <v>45580</v>
      </c>
      <c r="K3895" s="41">
        <v>45956</v>
      </c>
      <c r="L3895" s="42">
        <f>_xlfn.DAYS(Tabla1[[#This Row],[FECHA FIN ]],Tabla1[[#This Row],[FECHA INICIO]])</f>
        <v>376</v>
      </c>
      <c r="M3895" s="12"/>
      <c r="N3895" s="28">
        <v>300</v>
      </c>
      <c r="O3895" s="28">
        <f>(Tabla1[[#This Row],[COSTO FIJO ]]/30)*Tabla1[[#This Row],[TOTAL DIAS PROYECTO]]+(Tabla1[[#This Row],[COSTO TEMPORAL]])</f>
        <v>3760</v>
      </c>
      <c r="P3895" s="12"/>
      <c r="Q3895" s="12">
        <f>+(Tabla1[[#This Row],[COSTO COCHE]]/30)*Tabla1[[#This Row],[TOTAL DIAS PROYECTO]]</f>
        <v>0</v>
      </c>
      <c r="R3895" s="12">
        <f>+Tabla1[[#This Row],[COSTO TOTAL ALOJAMIENTO]]+Tabla1[[#This Row],[COSTO TOTAL COCHE]]</f>
        <v>3760</v>
      </c>
      <c r="S3895" s="2"/>
      <c r="T3895" s="14" t="s">
        <v>58</v>
      </c>
      <c r="U3895" s="14">
        <v>45580</v>
      </c>
      <c r="V3895" s="43"/>
      <c r="W3895" s="12"/>
      <c r="X3895" s="2"/>
      <c r="Y3895" s="202" t="s">
        <v>5769</v>
      </c>
      <c r="Z3895" s="2" t="s">
        <v>36</v>
      </c>
      <c r="AA3895" s="13" t="s">
        <v>10357</v>
      </c>
      <c r="AB3895" s="13" t="s">
        <v>10358</v>
      </c>
    </row>
    <row r="3896" spans="1:28" ht="15" customHeight="1">
      <c r="A3896" s="2" t="s">
        <v>9837</v>
      </c>
      <c r="B3896" s="2" t="s">
        <v>978</v>
      </c>
      <c r="C3896" s="31" t="s">
        <v>4971</v>
      </c>
      <c r="D3896" s="2" t="s">
        <v>30</v>
      </c>
      <c r="E3896" s="2" t="s">
        <v>253</v>
      </c>
      <c r="F3896" s="11" t="s">
        <v>1261</v>
      </c>
      <c r="G3896" s="118" t="s">
        <v>772</v>
      </c>
      <c r="H3896" s="2" t="s">
        <v>4973</v>
      </c>
      <c r="I3896" s="12" t="s">
        <v>1155</v>
      </c>
      <c r="J3896" s="22">
        <f>+Tabla1[[#This Row],[FECHA ENTRADA]]</f>
        <v>45897</v>
      </c>
      <c r="K3896" s="22">
        <v>45956</v>
      </c>
      <c r="L3896" s="23">
        <f>_xlfn.DAYS(Tabla1[[#This Row],[FECHA FIN ]],Tabla1[[#This Row],[FECHA INICIO]])</f>
        <v>59</v>
      </c>
      <c r="M3896" s="12"/>
      <c r="N3896" s="24">
        <v>330</v>
      </c>
      <c r="O3896" s="24">
        <f>(Tabla1[[#This Row],[COSTO FIJO ]]/30)*Tabla1[[#This Row],[TOTAL DIAS PROYECTO]]+(Tabla1[[#This Row],[COSTO TEMPORAL]])</f>
        <v>649</v>
      </c>
      <c r="P3896" s="12"/>
      <c r="Q3896" s="12">
        <f>+(Tabla1[[#This Row],[COSTO COCHE]]/30)*Tabla1[[#This Row],[TOTAL DIAS PROYECTO]]</f>
        <v>0</v>
      </c>
      <c r="R3896" s="12">
        <f>+Tabla1[[#This Row],[COSTO TOTAL ALOJAMIENTO]]+Tabla1[[#This Row],[COSTO TOTAL COCHE]]</f>
        <v>649</v>
      </c>
      <c r="S3896" s="2"/>
      <c r="T3896" s="14" t="s">
        <v>35</v>
      </c>
      <c r="U3896" s="14">
        <v>45897</v>
      </c>
      <c r="V3896" s="25"/>
      <c r="W3896" s="12"/>
      <c r="X3896" s="2">
        <v>5</v>
      </c>
      <c r="Y3896" s="11" t="s">
        <v>5770</v>
      </c>
      <c r="Z3896" s="2" t="s">
        <v>36</v>
      </c>
      <c r="AA3896" s="13" t="s">
        <v>10357</v>
      </c>
      <c r="AB3896" s="13" t="s">
        <v>10358</v>
      </c>
    </row>
    <row r="3897" spans="1:28" ht="15" customHeight="1">
      <c r="A3897" s="2" t="s">
        <v>9070</v>
      </c>
      <c r="B3897" s="2" t="s">
        <v>978</v>
      </c>
      <c r="C3897" s="97" t="s">
        <v>1882</v>
      </c>
      <c r="D3897" s="2" t="s">
        <v>30</v>
      </c>
      <c r="E3897" s="2" t="s">
        <v>253</v>
      </c>
      <c r="F3897" s="11"/>
      <c r="G3897" s="46"/>
      <c r="H3897" s="2" t="s">
        <v>1154</v>
      </c>
      <c r="I3897" s="12" t="s">
        <v>1155</v>
      </c>
      <c r="J3897" s="41">
        <f>+Tabla1[[#This Row],[FECHA ENTRADA]]</f>
        <v>45748</v>
      </c>
      <c r="K3897" s="41">
        <v>45956</v>
      </c>
      <c r="L3897" s="42">
        <f>_xlfn.DAYS(Tabla1[[#This Row],[FECHA FIN ]],Tabla1[[#This Row],[FECHA INICIO]])</f>
        <v>208</v>
      </c>
      <c r="M3897" s="12"/>
      <c r="N3897" s="28">
        <v>300</v>
      </c>
      <c r="O3897" s="28">
        <f>(Tabla1[[#This Row],[COSTO FIJO ]]/30)*Tabla1[[#This Row],[TOTAL DIAS PROYECTO]]+(Tabla1[[#This Row],[COSTO TEMPORAL]])</f>
        <v>2080</v>
      </c>
      <c r="P3897" s="12"/>
      <c r="Q3897" s="12">
        <f>+(Tabla1[[#This Row],[COSTO COCHE]]/30)*Tabla1[[#This Row],[TOTAL DIAS PROYECTO]]</f>
        <v>0</v>
      </c>
      <c r="R3897" s="12">
        <f>+Tabla1[[#This Row],[COSTO TOTAL ALOJAMIENTO]]+Tabla1[[#This Row],[COSTO TOTAL COCHE]]</f>
        <v>2080</v>
      </c>
      <c r="S3897" s="2"/>
      <c r="T3897" s="14" t="s">
        <v>58</v>
      </c>
      <c r="U3897" s="14">
        <v>45748</v>
      </c>
      <c r="V3897" s="43"/>
      <c r="W3897" s="12"/>
      <c r="X3897" s="2"/>
      <c r="Y3897" s="11" t="s">
        <v>5771</v>
      </c>
      <c r="Z3897" s="2" t="s">
        <v>36</v>
      </c>
      <c r="AA3897" s="13" t="s">
        <v>10357</v>
      </c>
      <c r="AB3897" s="13" t="s">
        <v>10358</v>
      </c>
    </row>
    <row r="3898" spans="1:28" ht="15" customHeight="1">
      <c r="A3898" s="2" t="s">
        <v>9967</v>
      </c>
      <c r="B3898" s="2" t="s">
        <v>711</v>
      </c>
      <c r="C3898" s="104" t="s">
        <v>5752</v>
      </c>
      <c r="D3898" s="2" t="s">
        <v>30</v>
      </c>
      <c r="E3898" s="2" t="s">
        <v>855</v>
      </c>
      <c r="F3898" s="11" t="s">
        <v>5772</v>
      </c>
      <c r="G3898" s="21" t="s">
        <v>1474</v>
      </c>
      <c r="H3898" s="2" t="s">
        <v>5753</v>
      </c>
      <c r="I3898" s="12" t="s">
        <v>96</v>
      </c>
      <c r="J3898" s="22">
        <f>+Tabla1[[#This Row],[FECHA ENTRADA]]</f>
        <v>46014</v>
      </c>
      <c r="K3898" s="22">
        <v>46131</v>
      </c>
      <c r="L3898" s="23">
        <f>_xlfn.DAYS(Tabla1[[#This Row],[FECHA FIN ]],Tabla1[[#This Row],[FECHA INICIO]])</f>
        <v>117</v>
      </c>
      <c r="M3898" s="20"/>
      <c r="N3898" s="24"/>
      <c r="O3898" s="24">
        <f>(Tabla1[[#This Row],[COSTO FIJO ]]/30)*Tabla1[[#This Row],[TOTAL DIAS PROYECTO]]+(Tabla1[[#This Row],[COSTO TEMPORAL]])</f>
        <v>0</v>
      </c>
      <c r="P3898" s="12"/>
      <c r="Q3898" s="12">
        <f>+(Tabla1[[#This Row],[COSTO COCHE]]/30)*Tabla1[[#This Row],[TOTAL DIAS PROYECTO]]</f>
        <v>0</v>
      </c>
      <c r="R3898" s="12">
        <f>+Tabla1[[#This Row],[COSTO TOTAL ALOJAMIENTO]]+Tabla1[[#This Row],[COSTO TOTAL COCHE]]</f>
        <v>0</v>
      </c>
      <c r="S3898" s="2"/>
      <c r="T3898" s="14" t="s">
        <v>44</v>
      </c>
      <c r="U3898" s="14">
        <v>46014</v>
      </c>
      <c r="V3898" s="25">
        <v>46156</v>
      </c>
      <c r="W3898" s="12"/>
      <c r="X3898" s="2"/>
      <c r="Y3898" s="11" t="s">
        <v>5773</v>
      </c>
      <c r="Z3898" s="2" t="s">
        <v>36</v>
      </c>
      <c r="AA3898" s="13" t="s">
        <v>10401</v>
      </c>
      <c r="AB3898" s="13" t="s">
        <v>10402</v>
      </c>
    </row>
    <row r="3899" spans="1:28" ht="15" customHeight="1">
      <c r="A3899" s="2" t="s">
        <v>9969</v>
      </c>
      <c r="B3899" s="2" t="s">
        <v>711</v>
      </c>
      <c r="C3899" s="104" t="s">
        <v>5774</v>
      </c>
      <c r="D3899" s="2" t="s">
        <v>30</v>
      </c>
      <c r="E3899" s="2" t="s">
        <v>447</v>
      </c>
      <c r="F3899" s="11" t="s">
        <v>5775</v>
      </c>
      <c r="G3899" s="49" t="s">
        <v>5776</v>
      </c>
      <c r="H3899" s="2" t="s">
        <v>5777</v>
      </c>
      <c r="I3899" s="12" t="s">
        <v>2321</v>
      </c>
      <c r="J3899" s="22">
        <f>+Tabla1[[#This Row],[FECHA ENTRADA]]</f>
        <v>45928</v>
      </c>
      <c r="K3899" s="8">
        <v>45956</v>
      </c>
      <c r="L3899" s="23">
        <f>_xlfn.DAYS(Tabla1[[#This Row],[FECHA FIN ]],Tabla1[[#This Row],[FECHA INICIO]])</f>
        <v>28</v>
      </c>
      <c r="M3899" s="12">
        <v>270</v>
      </c>
      <c r="N3899" s="24"/>
      <c r="O3899" s="24">
        <f>(Tabla1[[#This Row],[COSTO FIJO ]]/30)*Tabla1[[#This Row],[TOTAL DIAS PROYECTO]]+(Tabla1[[#This Row],[COSTO TEMPORAL]])</f>
        <v>270</v>
      </c>
      <c r="P3899" s="12"/>
      <c r="Q3899" s="12">
        <f>+(Tabla1[[#This Row],[COSTO COCHE]]/30)*Tabla1[[#This Row],[TOTAL DIAS PROYECTO]]</f>
        <v>0</v>
      </c>
      <c r="R3899" s="12">
        <f>+Tabla1[[#This Row],[COSTO TOTAL ALOJAMIENTO]]+Tabla1[[#This Row],[COSTO TOTAL COCHE]]</f>
        <v>270</v>
      </c>
      <c r="S3899" s="2"/>
      <c r="T3899" s="14" t="s">
        <v>528</v>
      </c>
      <c r="U3899" s="14">
        <v>45928</v>
      </c>
      <c r="V3899" s="25">
        <v>45957</v>
      </c>
      <c r="W3899" s="71"/>
      <c r="X3899" s="2"/>
      <c r="Y3899" s="11" t="s">
        <v>5778</v>
      </c>
      <c r="Z3899" s="2" t="s">
        <v>36</v>
      </c>
      <c r="AA3899" s="13">
        <v>-697.06100000000004</v>
      </c>
      <c r="AB3899" s="13" t="s">
        <v>10377</v>
      </c>
    </row>
    <row r="3900" spans="1:28" ht="15" customHeight="1">
      <c r="A3900" s="2" t="s">
        <v>9970</v>
      </c>
      <c r="B3900" s="2" t="s">
        <v>978</v>
      </c>
      <c r="C3900" s="104" t="s">
        <v>5779</v>
      </c>
      <c r="D3900" s="184" t="s">
        <v>99</v>
      </c>
      <c r="E3900" s="2" t="s">
        <v>985</v>
      </c>
      <c r="F3900" s="11" t="s">
        <v>5780</v>
      </c>
      <c r="G3900" s="21" t="s">
        <v>5781</v>
      </c>
      <c r="H3900" s="2" t="s">
        <v>5617</v>
      </c>
      <c r="I3900" s="12" t="s">
        <v>5618</v>
      </c>
      <c r="J3900" s="22">
        <f>+Tabla1[[#This Row],[FECHA ENTRADA]]</f>
        <v>45945</v>
      </c>
      <c r="K3900" s="22">
        <v>45956</v>
      </c>
      <c r="L3900" s="23">
        <f>_xlfn.DAYS(Tabla1[[#This Row],[FECHA FIN ]],Tabla1[[#This Row],[FECHA INICIO]])</f>
        <v>11</v>
      </c>
      <c r="M3900" s="12">
        <v>165.16666666666666</v>
      </c>
      <c r="N3900" s="20"/>
      <c r="O3900" s="24">
        <f>(Tabla1[[#This Row],[COSTO FIJO ]]/30)*Tabla1[[#This Row],[TOTAL DIAS PROYECTO]]+(Tabla1[[#This Row],[COSTO TEMPORAL]])</f>
        <v>165.16666666666666</v>
      </c>
      <c r="P3900" s="12"/>
      <c r="Q3900" s="12">
        <f>+(Tabla1[[#This Row],[COSTO COCHE]]/30)*Tabla1[[#This Row],[TOTAL DIAS PROYECTO]]</f>
        <v>0</v>
      </c>
      <c r="R3900" s="12">
        <f>+Tabla1[[#This Row],[COSTO TOTAL ALOJAMIENTO]]+Tabla1[[#This Row],[COSTO TOTAL COCHE]]</f>
        <v>165.16666666666666</v>
      </c>
      <c r="S3900" s="2" t="s">
        <v>84</v>
      </c>
      <c r="T3900" s="14" t="s">
        <v>44</v>
      </c>
      <c r="U3900" s="14">
        <v>45945</v>
      </c>
      <c r="V3900" s="79">
        <v>45960</v>
      </c>
      <c r="W3900" s="71"/>
      <c r="X3900" s="2"/>
      <c r="Y3900" s="11" t="s">
        <v>1361</v>
      </c>
      <c r="Z3900" s="2" t="s">
        <v>36</v>
      </c>
      <c r="AA3900" s="13" t="s">
        <v>10407</v>
      </c>
      <c r="AB3900" s="13" t="s">
        <v>10408</v>
      </c>
    </row>
    <row r="3901" spans="1:28" ht="15" customHeight="1">
      <c r="A3901" s="2" t="s">
        <v>9971</v>
      </c>
      <c r="B3901" s="2" t="s">
        <v>978</v>
      </c>
      <c r="C3901" s="261" t="s">
        <v>5782</v>
      </c>
      <c r="D3901" s="2" t="s">
        <v>99</v>
      </c>
      <c r="E3901" s="2" t="s">
        <v>985</v>
      </c>
      <c r="F3901" s="11" t="s">
        <v>5783</v>
      </c>
      <c r="G3901" s="21" t="s">
        <v>5781</v>
      </c>
      <c r="H3901" s="2" t="s">
        <v>5784</v>
      </c>
      <c r="I3901" s="12" t="s">
        <v>5618</v>
      </c>
      <c r="J3901" s="22">
        <f>+Tabla1[[#This Row],[FECHA ENTRADA]]</f>
        <v>45956</v>
      </c>
      <c r="K3901" s="22">
        <v>45956</v>
      </c>
      <c r="L3901" s="23">
        <f>_xlfn.DAYS(Tabla1[[#This Row],[FECHA FIN ]],Tabla1[[#This Row],[FECHA INICIO]])</f>
        <v>0</v>
      </c>
      <c r="M3901" s="20">
        <f>1052.3/5</f>
        <v>210.45999999999998</v>
      </c>
      <c r="N3901" s="20"/>
      <c r="O3901" s="24">
        <f>(Tabla1[[#This Row],[COSTO FIJO ]]/30)*Tabla1[[#This Row],[TOTAL DIAS PROYECTO]]+(Tabla1[[#This Row],[COSTO TEMPORAL]])</f>
        <v>210.45999999999998</v>
      </c>
      <c r="P3901" s="12"/>
      <c r="Q3901" s="12">
        <f>+(Tabla1[[#This Row],[COSTO COCHE]]/30)*Tabla1[[#This Row],[TOTAL DIAS PROYECTO]]</f>
        <v>0</v>
      </c>
      <c r="R3901" s="12">
        <f>+Tabla1[[#This Row],[COSTO TOTAL ALOJAMIENTO]]+Tabla1[[#This Row],[COSTO TOTAL COCHE]]</f>
        <v>210.45999999999998</v>
      </c>
      <c r="S3901" s="2" t="s">
        <v>84</v>
      </c>
      <c r="T3901" s="14" t="s">
        <v>44</v>
      </c>
      <c r="U3901" s="14">
        <v>45956</v>
      </c>
      <c r="V3901" s="79">
        <v>45973</v>
      </c>
      <c r="W3901" s="71"/>
      <c r="X3901" s="2"/>
      <c r="Y3901" s="136" t="s">
        <v>5785</v>
      </c>
      <c r="Z3901" s="2" t="s">
        <v>36</v>
      </c>
      <c r="AA3901" s="13" t="s">
        <v>10407</v>
      </c>
      <c r="AB3901" s="13" t="s">
        <v>10408</v>
      </c>
    </row>
    <row r="3902" spans="1:28" ht="15" customHeight="1">
      <c r="A3902" s="2" t="s">
        <v>9036</v>
      </c>
      <c r="B3902" s="2" t="s">
        <v>368</v>
      </c>
      <c r="C3902" s="31" t="s">
        <v>1765</v>
      </c>
      <c r="D3902" s="2" t="s">
        <v>99</v>
      </c>
      <c r="E3902" s="2" t="s">
        <v>415</v>
      </c>
      <c r="F3902" s="11" t="s">
        <v>5729</v>
      </c>
      <c r="G3902" s="21" t="s">
        <v>5730</v>
      </c>
      <c r="H3902" s="2" t="s">
        <v>5333</v>
      </c>
      <c r="I3902" s="12" t="s">
        <v>4165</v>
      </c>
      <c r="J3902" s="22">
        <f>+Tabla1[[#This Row],[FECHA ENTRADA]]</f>
        <v>45944</v>
      </c>
      <c r="K3902" s="22">
        <v>45956</v>
      </c>
      <c r="L3902" s="23">
        <f>_xlfn.DAYS(Tabla1[[#This Row],[FECHA FIN ]],Tabla1[[#This Row],[FECHA INICIO]])</f>
        <v>12</v>
      </c>
      <c r="M3902" s="12">
        <v>495</v>
      </c>
      <c r="N3902" s="20"/>
      <c r="O3902" s="24">
        <f>(Tabla1[[#This Row],[COSTO FIJO ]]/30)*Tabla1[[#This Row],[TOTAL DIAS PROYECTO]]+(Tabla1[[#This Row],[COSTO TEMPORAL]])</f>
        <v>495</v>
      </c>
      <c r="P3902" s="12"/>
      <c r="Q3902" s="12">
        <f>+(Tabla1[[#This Row],[COSTO COCHE]]/30)*Tabla1[[#This Row],[TOTAL DIAS PROYECTO]]</f>
        <v>0</v>
      </c>
      <c r="R3902" s="12">
        <f>+Tabla1[[#This Row],[COSTO TOTAL ALOJAMIENTO]]+Tabla1[[#This Row],[COSTO TOTAL COCHE]]</f>
        <v>495</v>
      </c>
      <c r="S3902" s="2"/>
      <c r="T3902" s="14" t="s">
        <v>44</v>
      </c>
      <c r="U3902" s="14">
        <v>45944</v>
      </c>
      <c r="V3902" s="79">
        <v>45974</v>
      </c>
      <c r="W3902" s="71"/>
      <c r="X3902" s="2"/>
      <c r="Y3902" s="11" t="s">
        <v>5767</v>
      </c>
      <c r="Z3902" s="2" t="s">
        <v>36</v>
      </c>
      <c r="AA3902" s="13">
        <v>-0.37739</v>
      </c>
      <c r="AB3902" s="13" t="s">
        <v>10372</v>
      </c>
    </row>
    <row r="3903" spans="1:28" ht="15" customHeight="1">
      <c r="A3903" s="2" t="s">
        <v>9061</v>
      </c>
      <c r="B3903" s="2" t="s">
        <v>606</v>
      </c>
      <c r="C3903" s="104" t="s">
        <v>1833</v>
      </c>
      <c r="D3903" s="2" t="s">
        <v>30</v>
      </c>
      <c r="E3903" s="2" t="s">
        <v>31</v>
      </c>
      <c r="F3903" s="11" t="s">
        <v>344</v>
      </c>
      <c r="G3903" s="11" t="s">
        <v>345</v>
      </c>
      <c r="H3903" s="2" t="s">
        <v>5786</v>
      </c>
      <c r="I3903" s="12" t="s">
        <v>181</v>
      </c>
      <c r="J3903" s="22">
        <f>+Tabla1[[#This Row],[FECHA ENTRADA]]</f>
        <v>45956</v>
      </c>
      <c r="K3903" s="22">
        <v>45956</v>
      </c>
      <c r="L3903" s="23">
        <f>_xlfn.DAYS(Tabla1[[#This Row],[FECHA FIN ]],Tabla1[[#This Row],[FECHA INICIO]])</f>
        <v>0</v>
      </c>
      <c r="M3903" s="12"/>
      <c r="N3903" s="20"/>
      <c r="O3903" s="24">
        <f>(Tabla1[[#This Row],[COSTO FIJO ]]/30)*Tabla1[[#This Row],[TOTAL DIAS PROYECTO]]+(Tabla1[[#This Row],[COSTO TEMPORAL]])</f>
        <v>0</v>
      </c>
      <c r="P3903" s="12"/>
      <c r="Q3903" s="12">
        <f>+(Tabla1[[#This Row],[COSTO COCHE]]/30)*Tabla1[[#This Row],[TOTAL DIAS PROYECTO]]</f>
        <v>0</v>
      </c>
      <c r="R3903" s="12">
        <f>+Tabla1[[#This Row],[COSTO TOTAL ALOJAMIENTO]]+Tabla1[[#This Row],[COSTO TOTAL COCHE]]</f>
        <v>0</v>
      </c>
      <c r="S3903" s="2"/>
      <c r="T3903" s="14" t="s">
        <v>35</v>
      </c>
      <c r="U3903" s="14">
        <v>45956</v>
      </c>
      <c r="V3903" s="79"/>
      <c r="W3903" s="71"/>
      <c r="X3903" s="2"/>
      <c r="Y3903" s="11" t="s">
        <v>5787</v>
      </c>
      <c r="Z3903" s="2" t="s">
        <v>36</v>
      </c>
      <c r="AA3903" s="13" t="s">
        <v>10323</v>
      </c>
      <c r="AB3903" s="13" t="s">
        <v>10324</v>
      </c>
    </row>
    <row r="3904" spans="1:28" ht="15" customHeight="1">
      <c r="A3904" s="2" t="s">
        <v>9972</v>
      </c>
      <c r="B3904" s="2" t="s">
        <v>978</v>
      </c>
      <c r="C3904" s="261" t="s">
        <v>5788</v>
      </c>
      <c r="D3904" s="2" t="s">
        <v>30</v>
      </c>
      <c r="E3904" s="2" t="s">
        <v>31</v>
      </c>
      <c r="F3904" s="11" t="s">
        <v>4577</v>
      </c>
      <c r="G3904" s="68" t="s">
        <v>4400</v>
      </c>
      <c r="H3904" s="2" t="s">
        <v>5789</v>
      </c>
      <c r="I3904" s="12" t="s">
        <v>5790</v>
      </c>
      <c r="J3904" s="22">
        <f>+Tabla1[[#This Row],[FECHA ENTRADA]]</f>
        <v>45956</v>
      </c>
      <c r="K3904" s="41">
        <v>45957</v>
      </c>
      <c r="L3904" s="23">
        <f>_xlfn.DAYS(Tabla1[[#This Row],[FECHA FIN ]],Tabla1[[#This Row],[FECHA INICIO]])</f>
        <v>1</v>
      </c>
      <c r="M3904" s="12"/>
      <c r="N3904" s="20">
        <v>410</v>
      </c>
      <c r="O3904" s="24">
        <f>(Tabla1[[#This Row],[COSTO FIJO ]]/30)*Tabla1[[#This Row],[TOTAL DIAS PROYECTO]]+(Tabla1[[#This Row],[COSTO TEMPORAL]])</f>
        <v>13.666666666666666</v>
      </c>
      <c r="P3904" s="12"/>
      <c r="Q3904" s="12">
        <f>+(Tabla1[[#This Row],[COSTO COCHE]]/30)*Tabla1[[#This Row],[TOTAL DIAS PROYECTO]]</f>
        <v>0</v>
      </c>
      <c r="R3904" s="12">
        <f>+Tabla1[[#This Row],[COSTO TOTAL ALOJAMIENTO]]+Tabla1[[#This Row],[COSTO TOTAL COCHE]]</f>
        <v>13.666666666666666</v>
      </c>
      <c r="S3904" s="2"/>
      <c r="T3904" s="14" t="s">
        <v>35</v>
      </c>
      <c r="U3904" s="14">
        <v>45956</v>
      </c>
      <c r="V3904" s="79"/>
      <c r="W3904" s="26">
        <v>500</v>
      </c>
      <c r="X3904" s="2">
        <v>1</v>
      </c>
      <c r="Y3904" s="11" t="s">
        <v>5791</v>
      </c>
      <c r="Z3904" s="2" t="s">
        <v>36</v>
      </c>
      <c r="AA3904" s="13" t="s">
        <v>10323</v>
      </c>
      <c r="AB3904" s="13" t="s">
        <v>10324</v>
      </c>
    </row>
    <row r="3905" spans="1:28" ht="15" customHeight="1">
      <c r="A3905" s="2" t="s">
        <v>9973</v>
      </c>
      <c r="B3905" s="10" t="s">
        <v>978</v>
      </c>
      <c r="C3905" s="97" t="s">
        <v>5792</v>
      </c>
      <c r="D3905" s="2" t="s">
        <v>30</v>
      </c>
      <c r="E3905" s="2" t="s">
        <v>259</v>
      </c>
      <c r="F3905" s="11" t="s">
        <v>5662</v>
      </c>
      <c r="G3905" s="46" t="s">
        <v>4207</v>
      </c>
      <c r="H3905" s="157" t="s">
        <v>4037</v>
      </c>
      <c r="I3905" s="158" t="s">
        <v>4255</v>
      </c>
      <c r="J3905" s="41">
        <f>+Tabla1[[#This Row],[FECHA ENTRADA]]</f>
        <v>45782</v>
      </c>
      <c r="K3905" s="41">
        <v>45957</v>
      </c>
      <c r="L3905" s="42">
        <f>_xlfn.DAYS(Tabla1[[#This Row],[FECHA FIN ]],Tabla1[[#This Row],[FECHA INICIO]])</f>
        <v>175</v>
      </c>
      <c r="M3905" s="12"/>
      <c r="N3905" s="28">
        <v>300</v>
      </c>
      <c r="O3905" s="28">
        <f>(Tabla1[[#This Row],[COSTO FIJO ]]/30)*Tabla1[[#This Row],[TOTAL DIAS PROYECTO]]+(Tabla1[[#This Row],[COSTO TEMPORAL]])</f>
        <v>1750</v>
      </c>
      <c r="P3905" s="12"/>
      <c r="Q3905" s="12">
        <f>+(Tabla1[[#This Row],[COSTO COCHE]]/30)*Tabla1[[#This Row],[TOTAL DIAS PROYECTO]]</f>
        <v>0</v>
      </c>
      <c r="R3905" s="12">
        <f>+Tabla1[[#This Row],[COSTO TOTAL ALOJAMIENTO]]+Tabla1[[#This Row],[COSTO TOTAL COCHE]]</f>
        <v>1750</v>
      </c>
      <c r="S3905" s="2"/>
      <c r="T3905" s="14" t="s">
        <v>35</v>
      </c>
      <c r="U3905" s="14">
        <v>45782</v>
      </c>
      <c r="V3905" s="43"/>
      <c r="W3905" s="12"/>
      <c r="X3905" s="2">
        <v>5</v>
      </c>
      <c r="Y3905" s="11" t="s">
        <v>5793</v>
      </c>
      <c r="Z3905" s="2" t="s">
        <v>36</v>
      </c>
      <c r="AA3905" s="13">
        <v>-0.87734000000000001</v>
      </c>
      <c r="AB3905" s="13" t="s">
        <v>10359</v>
      </c>
    </row>
    <row r="3906" spans="1:28" ht="15" customHeight="1">
      <c r="A3906" s="2" t="s">
        <v>9476</v>
      </c>
      <c r="B3906" s="10" t="s">
        <v>978</v>
      </c>
      <c r="C3906" s="97" t="s">
        <v>3330</v>
      </c>
      <c r="D3906" s="2" t="s">
        <v>30</v>
      </c>
      <c r="E3906" s="2" t="s">
        <v>259</v>
      </c>
      <c r="F3906" s="11" t="s">
        <v>5662</v>
      </c>
      <c r="G3906" s="46" t="s">
        <v>4207</v>
      </c>
      <c r="H3906" s="2" t="s">
        <v>5794</v>
      </c>
      <c r="I3906" s="12" t="s">
        <v>4255</v>
      </c>
      <c r="J3906" s="41">
        <f>+Tabla1[[#This Row],[FECHA ENTRADA]]</f>
        <v>45782</v>
      </c>
      <c r="K3906" s="41">
        <v>45957</v>
      </c>
      <c r="L3906" s="42">
        <f>_xlfn.DAYS(Tabla1[[#This Row],[FECHA FIN ]],Tabla1[[#This Row],[FECHA INICIO]])</f>
        <v>175</v>
      </c>
      <c r="M3906" s="12"/>
      <c r="N3906" s="28">
        <v>300</v>
      </c>
      <c r="O3906" s="28">
        <f>(Tabla1[[#This Row],[COSTO FIJO ]]/30)*Tabla1[[#This Row],[TOTAL DIAS PROYECTO]]+(Tabla1[[#This Row],[COSTO TEMPORAL]])</f>
        <v>1750</v>
      </c>
      <c r="P3906" s="12"/>
      <c r="Q3906" s="12">
        <f>+(Tabla1[[#This Row],[COSTO COCHE]]/30)*Tabla1[[#This Row],[TOTAL DIAS PROYECTO]]</f>
        <v>0</v>
      </c>
      <c r="R3906" s="12">
        <f>+Tabla1[[#This Row],[COSTO TOTAL ALOJAMIENTO]]+Tabla1[[#This Row],[COSTO TOTAL COCHE]]</f>
        <v>1750</v>
      </c>
      <c r="S3906" s="2"/>
      <c r="T3906" s="14" t="s">
        <v>35</v>
      </c>
      <c r="U3906" s="14">
        <v>45782</v>
      </c>
      <c r="V3906" s="43"/>
      <c r="W3906" s="12"/>
      <c r="X3906" s="2">
        <v>5</v>
      </c>
      <c r="Y3906" s="11" t="s">
        <v>5793</v>
      </c>
      <c r="Z3906" s="2" t="s">
        <v>36</v>
      </c>
      <c r="AA3906" s="13">
        <v>-0.87734000000000001</v>
      </c>
      <c r="AB3906" s="13" t="s">
        <v>10359</v>
      </c>
    </row>
    <row r="3907" spans="1:28" ht="15" customHeight="1">
      <c r="A3907" s="2" t="s">
        <v>9031</v>
      </c>
      <c r="B3907" s="2" t="s">
        <v>711</v>
      </c>
      <c r="C3907" s="97" t="s">
        <v>1743</v>
      </c>
      <c r="D3907" s="2" t="s">
        <v>99</v>
      </c>
      <c r="E3907" s="2" t="s">
        <v>31</v>
      </c>
      <c r="F3907" s="11" t="s">
        <v>5258</v>
      </c>
      <c r="G3907" s="49" t="s">
        <v>5083</v>
      </c>
      <c r="H3907" s="2" t="s">
        <v>5795</v>
      </c>
      <c r="I3907" s="12" t="s">
        <v>5085</v>
      </c>
      <c r="J3907" s="22">
        <f>+Tabla1[[#This Row],[FECHA ENTRADA]]</f>
        <v>45917</v>
      </c>
      <c r="K3907" s="22">
        <v>45950</v>
      </c>
      <c r="L3907" s="23">
        <f>_xlfn.DAYS(Tabla1[[#This Row],[FECHA FIN ]],Tabla1[[#This Row],[FECHA INICIO]])</f>
        <v>33</v>
      </c>
      <c r="M3907" s="12"/>
      <c r="N3907" s="24">
        <v>416.66666666666669</v>
      </c>
      <c r="O3907" s="24">
        <f>(Tabla1[[#This Row],[COSTO FIJO ]]/30)*Tabla1[[#This Row],[TOTAL DIAS PROYECTO]]+(Tabla1[[#This Row],[COSTO TEMPORAL]])</f>
        <v>458.33333333333337</v>
      </c>
      <c r="P3907" s="12"/>
      <c r="Q3907" s="12">
        <f>+(Tabla1[[#This Row],[COSTO COCHE]]/30)*Tabla1[[#This Row],[TOTAL DIAS PROYECTO]]</f>
        <v>0</v>
      </c>
      <c r="R3907" s="12">
        <f>+Tabla1[[#This Row],[COSTO TOTAL ALOJAMIENTO]]+Tabla1[[#This Row],[COSTO TOTAL COCHE]]</f>
        <v>458.33333333333337</v>
      </c>
      <c r="S3907" s="2"/>
      <c r="T3907" s="14" t="s">
        <v>44</v>
      </c>
      <c r="U3907" s="14">
        <v>45917</v>
      </c>
      <c r="V3907" s="25">
        <v>45961</v>
      </c>
      <c r="W3907" s="71"/>
      <c r="X3907" s="2">
        <v>25</v>
      </c>
      <c r="Y3907" s="202" t="s">
        <v>5796</v>
      </c>
      <c r="Z3907" s="2" t="s">
        <v>36</v>
      </c>
      <c r="AA3907" s="13" t="s">
        <v>10323</v>
      </c>
      <c r="AB3907" s="13" t="s">
        <v>10324</v>
      </c>
    </row>
    <row r="3908" spans="1:28" ht="15" customHeight="1">
      <c r="A3908" s="2" t="s">
        <v>9974</v>
      </c>
      <c r="B3908" s="2" t="s">
        <v>711</v>
      </c>
      <c r="C3908" s="97" t="s">
        <v>5797</v>
      </c>
      <c r="D3908" s="2" t="s">
        <v>30</v>
      </c>
      <c r="E3908" s="2" t="s">
        <v>720</v>
      </c>
      <c r="F3908" s="11" t="s">
        <v>1872</v>
      </c>
      <c r="G3908" s="49" t="s">
        <v>1873</v>
      </c>
      <c r="H3908" s="157" t="s">
        <v>5798</v>
      </c>
      <c r="I3908" s="158" t="s">
        <v>506</v>
      </c>
      <c r="J3908" s="41">
        <f>+Tabla1[[#This Row],[FECHA ENTRADA]]</f>
        <v>45942</v>
      </c>
      <c r="K3908" s="41">
        <v>45957</v>
      </c>
      <c r="L3908" s="42">
        <f>_xlfn.DAYS(Tabla1[[#This Row],[FECHA FIN ]],Tabla1[[#This Row],[FECHA INICIO]])</f>
        <v>15</v>
      </c>
      <c r="M3908" s="12">
        <v>330</v>
      </c>
      <c r="N3908" s="28"/>
      <c r="O3908" s="28">
        <f>(Tabla1[[#This Row],[COSTO FIJO ]]/30)*Tabla1[[#This Row],[TOTAL DIAS PROYECTO]]+(Tabla1[[#This Row],[COSTO TEMPORAL]])</f>
        <v>330</v>
      </c>
      <c r="P3908" s="12"/>
      <c r="Q3908" s="12">
        <f>+(Tabla1[[#This Row],[COSTO COCHE]]/30)*Tabla1[[#This Row],[TOTAL DIAS PROYECTO]]</f>
        <v>0</v>
      </c>
      <c r="R3908" s="12">
        <f>+Tabla1[[#This Row],[COSTO TOTAL ALOJAMIENTO]]+Tabla1[[#This Row],[COSTO TOTAL COCHE]]</f>
        <v>330</v>
      </c>
      <c r="S3908" s="2"/>
      <c r="T3908" s="14" t="s">
        <v>528</v>
      </c>
      <c r="U3908" s="14">
        <v>45942</v>
      </c>
      <c r="V3908" s="43">
        <v>45965</v>
      </c>
      <c r="W3908" s="71"/>
      <c r="X3908" s="2"/>
      <c r="Y3908" s="11" t="s">
        <v>5799</v>
      </c>
      <c r="Z3908" s="2" t="s">
        <v>36</v>
      </c>
      <c r="AA3908" s="13" t="s">
        <v>10394</v>
      </c>
      <c r="AB3908" s="13" t="s">
        <v>10395</v>
      </c>
    </row>
    <row r="3909" spans="1:28" ht="15" customHeight="1">
      <c r="A3909" s="2" t="s">
        <v>9975</v>
      </c>
      <c r="B3909" s="2" t="s">
        <v>711</v>
      </c>
      <c r="C3909" s="97" t="s">
        <v>5800</v>
      </c>
      <c r="D3909" s="2" t="s">
        <v>30</v>
      </c>
      <c r="E3909" s="2" t="s">
        <v>720</v>
      </c>
      <c r="F3909" s="11" t="s">
        <v>1872</v>
      </c>
      <c r="G3909" s="49" t="s">
        <v>1873</v>
      </c>
      <c r="H3909" s="2" t="s">
        <v>5798</v>
      </c>
      <c r="I3909" s="12" t="s">
        <v>506</v>
      </c>
      <c r="J3909" s="41">
        <f>+Tabla1[[#This Row],[FECHA ENTRADA]]</f>
        <v>45942</v>
      </c>
      <c r="K3909" s="41">
        <v>45957</v>
      </c>
      <c r="L3909" s="42">
        <f>_xlfn.DAYS(Tabla1[[#This Row],[FECHA FIN ]],Tabla1[[#This Row],[FECHA INICIO]])</f>
        <v>15</v>
      </c>
      <c r="M3909" s="12">
        <v>330</v>
      </c>
      <c r="N3909" s="28"/>
      <c r="O3909" s="28">
        <f>(Tabla1[[#This Row],[COSTO FIJO ]]/30)*Tabla1[[#This Row],[TOTAL DIAS PROYECTO]]+(Tabla1[[#This Row],[COSTO TEMPORAL]])</f>
        <v>330</v>
      </c>
      <c r="P3909" s="12"/>
      <c r="Q3909" s="12">
        <f>+(Tabla1[[#This Row],[COSTO COCHE]]/30)*Tabla1[[#This Row],[TOTAL DIAS PROYECTO]]</f>
        <v>0</v>
      </c>
      <c r="R3909" s="12">
        <f>+Tabla1[[#This Row],[COSTO TOTAL ALOJAMIENTO]]+Tabla1[[#This Row],[COSTO TOTAL COCHE]]</f>
        <v>330</v>
      </c>
      <c r="S3909" s="2"/>
      <c r="T3909" s="14" t="s">
        <v>528</v>
      </c>
      <c r="U3909" s="14">
        <v>45942</v>
      </c>
      <c r="V3909" s="43">
        <v>45965</v>
      </c>
      <c r="W3909" s="71"/>
      <c r="X3909" s="2"/>
      <c r="Y3909" s="11" t="s">
        <v>5799</v>
      </c>
      <c r="Z3909" s="2" t="s">
        <v>36</v>
      </c>
      <c r="AA3909" s="13" t="s">
        <v>10394</v>
      </c>
      <c r="AB3909" s="13" t="s">
        <v>10395</v>
      </c>
    </row>
    <row r="3910" spans="1:28" ht="15" customHeight="1">
      <c r="A3910" s="2" t="s">
        <v>9976</v>
      </c>
      <c r="B3910" s="2" t="s">
        <v>711</v>
      </c>
      <c r="C3910" s="97" t="s">
        <v>5801</v>
      </c>
      <c r="D3910" s="2" t="s">
        <v>99</v>
      </c>
      <c r="E3910" s="2" t="s">
        <v>31</v>
      </c>
      <c r="F3910" s="11" t="s">
        <v>5258</v>
      </c>
      <c r="G3910" s="49" t="s">
        <v>5083</v>
      </c>
      <c r="H3910" s="2" t="s">
        <v>5795</v>
      </c>
      <c r="I3910" s="12" t="s">
        <v>5085</v>
      </c>
      <c r="J3910" s="22">
        <f>+Tabla1[[#This Row],[FECHA ENTRADA]]</f>
        <v>45917</v>
      </c>
      <c r="K3910" s="22">
        <v>45957</v>
      </c>
      <c r="L3910" s="23">
        <f>_xlfn.DAYS(Tabla1[[#This Row],[FECHA FIN ]],Tabla1[[#This Row],[FECHA INICIO]])</f>
        <v>40</v>
      </c>
      <c r="M3910" s="12"/>
      <c r="N3910" s="24">
        <v>416.66666666666669</v>
      </c>
      <c r="O3910" s="24">
        <f>(Tabla1[[#This Row],[COSTO FIJO ]]/30)*Tabla1[[#This Row],[TOTAL DIAS PROYECTO]]+(Tabla1[[#This Row],[COSTO TEMPORAL]])</f>
        <v>555.55555555555554</v>
      </c>
      <c r="P3910" s="12"/>
      <c r="Q3910" s="12">
        <f>+(Tabla1[[#This Row],[COSTO COCHE]]/30)*Tabla1[[#This Row],[TOTAL DIAS PROYECTO]]</f>
        <v>0</v>
      </c>
      <c r="R3910" s="12">
        <f>+Tabla1[[#This Row],[COSTO TOTAL ALOJAMIENTO]]+Tabla1[[#This Row],[COSTO TOTAL COCHE]]</f>
        <v>555.55555555555554</v>
      </c>
      <c r="S3910" s="2"/>
      <c r="T3910" s="14" t="s">
        <v>44</v>
      </c>
      <c r="U3910" s="14">
        <v>45917</v>
      </c>
      <c r="V3910" s="25">
        <v>45991</v>
      </c>
      <c r="W3910" s="71"/>
      <c r="X3910" s="2">
        <v>25</v>
      </c>
      <c r="Y3910" s="11" t="s">
        <v>5802</v>
      </c>
      <c r="Z3910" s="2" t="s">
        <v>36</v>
      </c>
      <c r="AA3910" s="13" t="s">
        <v>10323</v>
      </c>
      <c r="AB3910" s="13" t="s">
        <v>10324</v>
      </c>
    </row>
    <row r="3911" spans="1:28" ht="15" customHeight="1">
      <c r="A3911" s="2" t="s">
        <v>9977</v>
      </c>
      <c r="B3911" s="2" t="s">
        <v>711</v>
      </c>
      <c r="C3911" s="104" t="s">
        <v>5803</v>
      </c>
      <c r="D3911" s="2" t="s">
        <v>99</v>
      </c>
      <c r="E3911" s="2" t="s">
        <v>31</v>
      </c>
      <c r="F3911" s="11" t="s">
        <v>5258</v>
      </c>
      <c r="G3911" s="49" t="s">
        <v>5083</v>
      </c>
      <c r="H3911" s="2" t="s">
        <v>5795</v>
      </c>
      <c r="I3911" s="12" t="s">
        <v>5085</v>
      </c>
      <c r="J3911" s="22">
        <f>+Tabla1[[#This Row],[FECHA ENTRADA]]</f>
        <v>45917</v>
      </c>
      <c r="K3911" s="22">
        <v>46021</v>
      </c>
      <c r="L3911" s="23">
        <f>_xlfn.DAYS(Tabla1[[#This Row],[FECHA FIN ]],Tabla1[[#This Row],[FECHA INICIO]])</f>
        <v>104</v>
      </c>
      <c r="M3911" s="12"/>
      <c r="N3911" s="24">
        <v>416.66666666666669</v>
      </c>
      <c r="O3911" s="24">
        <f>(Tabla1[[#This Row],[COSTO FIJO ]]/30)*Tabla1[[#This Row],[TOTAL DIAS PROYECTO]]+(Tabla1[[#This Row],[COSTO TEMPORAL]])</f>
        <v>1444.4444444444446</v>
      </c>
      <c r="P3911" s="12"/>
      <c r="Q3911" s="12">
        <f>+(Tabla1[[#This Row],[COSTO COCHE]]/30)*Tabla1[[#This Row],[TOTAL DIAS PROYECTO]]</f>
        <v>0</v>
      </c>
      <c r="R3911" s="12">
        <f>+Tabla1[[#This Row],[COSTO TOTAL ALOJAMIENTO]]+Tabla1[[#This Row],[COSTO TOTAL COCHE]]</f>
        <v>1444.4444444444446</v>
      </c>
      <c r="S3911" s="2"/>
      <c r="T3911" s="14" t="s">
        <v>44</v>
      </c>
      <c r="U3911" s="14">
        <v>45917</v>
      </c>
      <c r="V3911" s="25">
        <v>46021</v>
      </c>
      <c r="W3911" s="71"/>
      <c r="X3911" s="2">
        <v>25</v>
      </c>
      <c r="Y3911" s="11" t="s">
        <v>5171</v>
      </c>
      <c r="Z3911" s="2" t="s">
        <v>36</v>
      </c>
      <c r="AA3911" s="13" t="s">
        <v>10323</v>
      </c>
      <c r="AB3911" s="13" t="s">
        <v>10324</v>
      </c>
    </row>
    <row r="3912" spans="1:28" ht="15" customHeight="1">
      <c r="A3912" s="2" t="s">
        <v>8828</v>
      </c>
      <c r="B3912" s="2" t="s">
        <v>368</v>
      </c>
      <c r="C3912" s="97" t="s">
        <v>923</v>
      </c>
      <c r="D3912" s="2" t="s">
        <v>30</v>
      </c>
      <c r="E3912" s="2" t="s">
        <v>31</v>
      </c>
      <c r="F3912" s="11" t="s">
        <v>5082</v>
      </c>
      <c r="G3912" s="49" t="s">
        <v>5083</v>
      </c>
      <c r="H3912" s="2" t="s">
        <v>5804</v>
      </c>
      <c r="I3912" s="12" t="s">
        <v>412</v>
      </c>
      <c r="J3912" s="22">
        <f>+Tabla1[[#This Row],[FECHA ENTRADA]]</f>
        <v>45921</v>
      </c>
      <c r="K3912" s="22">
        <v>45921</v>
      </c>
      <c r="L3912" s="23">
        <f>_xlfn.DAYS(Tabla1[[#This Row],[FECHA FIN ]],Tabla1[[#This Row],[FECHA INICIO]])</f>
        <v>0</v>
      </c>
      <c r="M3912" s="12"/>
      <c r="N3912" s="28">
        <v>416.66666666666669</v>
      </c>
      <c r="O3912" s="24">
        <f>(Tabla1[[#This Row],[COSTO FIJO ]]/30)*Tabla1[[#This Row],[TOTAL DIAS PROYECTO]]+(Tabla1[[#This Row],[COSTO TEMPORAL]])</f>
        <v>0</v>
      </c>
      <c r="P3912" s="12"/>
      <c r="Q3912" s="12">
        <f>+(Tabla1[[#This Row],[COSTO COCHE]]/30)*Tabla1[[#This Row],[TOTAL DIAS PROYECTO]]</f>
        <v>0</v>
      </c>
      <c r="R3912" s="12">
        <f>+Tabla1[[#This Row],[COSTO TOTAL ALOJAMIENTO]]+Tabla1[[#This Row],[COSTO TOTAL COCHE]]</f>
        <v>0</v>
      </c>
      <c r="S3912" s="2"/>
      <c r="T3912" s="14" t="s">
        <v>44</v>
      </c>
      <c r="U3912" s="14">
        <v>45921</v>
      </c>
      <c r="V3912" s="79">
        <v>45961</v>
      </c>
      <c r="W3912" s="71"/>
      <c r="X3912" s="2">
        <v>25</v>
      </c>
      <c r="Y3912" s="11"/>
      <c r="Z3912" s="2" t="s">
        <v>36</v>
      </c>
      <c r="AA3912" s="13" t="s">
        <v>10323</v>
      </c>
      <c r="AB3912" s="13" t="s">
        <v>10324</v>
      </c>
    </row>
    <row r="3913" spans="1:28" ht="15" customHeight="1">
      <c r="A3913" s="117" t="s">
        <v>9978</v>
      </c>
      <c r="B3913" s="117" t="s">
        <v>978</v>
      </c>
      <c r="C3913" s="265" t="s">
        <v>5805</v>
      </c>
      <c r="D3913" s="117" t="s">
        <v>30</v>
      </c>
      <c r="E3913" s="117" t="s">
        <v>855</v>
      </c>
      <c r="F3913" s="11" t="s">
        <v>5806</v>
      </c>
      <c r="G3913" s="68" t="s">
        <v>1938</v>
      </c>
      <c r="H3913" s="117" t="s">
        <v>5807</v>
      </c>
      <c r="I3913" s="119" t="s">
        <v>5808</v>
      </c>
      <c r="J3913" s="120">
        <f>+Tabla1[[#This Row],[FECHA ENTRADA]]</f>
        <v>45957</v>
      </c>
      <c r="K3913" s="121">
        <v>45958</v>
      </c>
      <c r="L3913" s="122">
        <f>_xlfn.DAYS(Tabla1[[#This Row],[FECHA FIN ]],Tabla1[[#This Row],[FECHA INICIO]])</f>
        <v>1</v>
      </c>
      <c r="M3913" s="119"/>
      <c r="N3913" s="123"/>
      <c r="O3913" s="123">
        <f>(Tabla1[[#This Row],[COSTO FIJO ]]/30)*Tabla1[[#This Row],[TOTAL DIAS PROYECTO]]+(Tabla1[[#This Row],[COSTO TEMPORAL]])</f>
        <v>0</v>
      </c>
      <c r="P3913" s="119"/>
      <c r="Q3913" s="119">
        <f>+(Tabla1[[#This Row],[COSTO COCHE]]/30)*Tabla1[[#This Row],[TOTAL DIAS PROYECTO]]</f>
        <v>0</v>
      </c>
      <c r="R3913" s="119">
        <f>+Tabla1[[#This Row],[COSTO TOTAL ALOJAMIENTO]]+Tabla1[[#This Row],[COSTO TOTAL COCHE]]</f>
        <v>0</v>
      </c>
      <c r="S3913" s="117"/>
      <c r="T3913" s="124" t="s">
        <v>44</v>
      </c>
      <c r="U3913" s="124">
        <v>45957</v>
      </c>
      <c r="V3913" s="125">
        <v>45965</v>
      </c>
      <c r="W3913" s="126"/>
      <c r="X3913" s="117"/>
      <c r="Y3913" s="118" t="s">
        <v>5809</v>
      </c>
      <c r="Z3913" s="117" t="s">
        <v>36</v>
      </c>
      <c r="AA3913" s="13" t="s">
        <v>10401</v>
      </c>
      <c r="AB3913" s="13" t="s">
        <v>10402</v>
      </c>
    </row>
    <row r="3914" spans="1:28" ht="15" customHeight="1">
      <c r="A3914" s="2" t="s">
        <v>9519</v>
      </c>
      <c r="B3914" s="2" t="s">
        <v>711</v>
      </c>
      <c r="C3914" s="104" t="s">
        <v>3513</v>
      </c>
      <c r="D3914" s="2" t="s">
        <v>30</v>
      </c>
      <c r="E3914" s="2" t="s">
        <v>626</v>
      </c>
      <c r="F3914" s="11" t="s">
        <v>2376</v>
      </c>
      <c r="G3914" s="21" t="s">
        <v>2377</v>
      </c>
      <c r="H3914" s="2" t="s">
        <v>5810</v>
      </c>
      <c r="I3914" s="12" t="s">
        <v>570</v>
      </c>
      <c r="J3914" s="22">
        <f>+Tabla1[[#This Row],[FECHA ENTRADA]]</f>
        <v>45923</v>
      </c>
      <c r="K3914" s="22">
        <v>45958</v>
      </c>
      <c r="L3914" s="23">
        <f>_xlfn.DAYS(Tabla1[[#This Row],[FECHA FIN ]],Tabla1[[#This Row],[FECHA INICIO]])</f>
        <v>35</v>
      </c>
      <c r="M3914" s="12">
        <f>105+295+140</f>
        <v>540</v>
      </c>
      <c r="N3914" s="20"/>
      <c r="O3914" s="24">
        <f>(Tabla1[[#This Row],[COSTO FIJO ]]/30)*Tabla1[[#This Row],[TOTAL DIAS PROYECTO]]+(Tabla1[[#This Row],[COSTO TEMPORAL]])</f>
        <v>540</v>
      </c>
      <c r="P3914" s="12"/>
      <c r="Q3914" s="12">
        <f>+(Tabla1[[#This Row],[COSTO COCHE]]/30)*Tabla1[[#This Row],[TOTAL DIAS PROYECTO]]</f>
        <v>0</v>
      </c>
      <c r="R3914" s="12">
        <f>+Tabla1[[#This Row],[COSTO TOTAL ALOJAMIENTO]]+Tabla1[[#This Row],[COSTO TOTAL COCHE]]</f>
        <v>540</v>
      </c>
      <c r="S3914" s="2"/>
      <c r="T3914" s="14" t="s">
        <v>44</v>
      </c>
      <c r="U3914" s="14">
        <v>45923</v>
      </c>
      <c r="V3914" s="25">
        <v>45958</v>
      </c>
      <c r="W3914" s="71"/>
      <c r="X3914" s="2"/>
      <c r="Y3914" s="11" t="s">
        <v>1361</v>
      </c>
      <c r="Z3914" s="2" t="s">
        <v>36</v>
      </c>
      <c r="AA3914" s="13" t="s">
        <v>10385</v>
      </c>
      <c r="AB3914" s="13" t="s">
        <v>10386</v>
      </c>
    </row>
    <row r="3915" spans="1:28" ht="15" customHeight="1">
      <c r="A3915" s="2" t="s">
        <v>9512</v>
      </c>
      <c r="B3915" s="2" t="s">
        <v>978</v>
      </c>
      <c r="C3915" s="97" t="s">
        <v>3482</v>
      </c>
      <c r="D3915" s="2" t="s">
        <v>30</v>
      </c>
      <c r="E3915" s="2" t="s">
        <v>253</v>
      </c>
      <c r="F3915" s="11" t="s">
        <v>5811</v>
      </c>
      <c r="G3915" s="46" t="s">
        <v>981</v>
      </c>
      <c r="H3915" s="2" t="s">
        <v>1530</v>
      </c>
      <c r="I3915" s="12" t="s">
        <v>1155</v>
      </c>
      <c r="J3915" s="41">
        <f>+Tabla1[[#This Row],[FECHA ENTRADA]]</f>
        <v>45580</v>
      </c>
      <c r="K3915" s="41">
        <v>45958</v>
      </c>
      <c r="L3915" s="42">
        <f>_xlfn.DAYS(Tabla1[[#This Row],[FECHA FIN ]],Tabla1[[#This Row],[FECHA INICIO]])</f>
        <v>378</v>
      </c>
      <c r="M3915" s="12"/>
      <c r="N3915" s="12"/>
      <c r="O3915" s="28">
        <f>(Tabla1[[#This Row],[COSTO FIJO ]]/30)*Tabla1[[#This Row],[TOTAL DIAS PROYECTO]]+(Tabla1[[#This Row],[COSTO TEMPORAL]])</f>
        <v>0</v>
      </c>
      <c r="P3915" s="12"/>
      <c r="Q3915" s="12">
        <f>+(Tabla1[[#This Row],[COSTO COCHE]]/30)*Tabla1[[#This Row],[TOTAL DIAS PROYECTO]]</f>
        <v>0</v>
      </c>
      <c r="R3915" s="12">
        <f>+Tabla1[[#This Row],[COSTO TOTAL ALOJAMIENTO]]+Tabla1[[#This Row],[COSTO TOTAL COCHE]]</f>
        <v>0</v>
      </c>
      <c r="S3915" s="2"/>
      <c r="T3915" s="14" t="s">
        <v>35</v>
      </c>
      <c r="U3915" s="14">
        <v>45580</v>
      </c>
      <c r="V3915" s="43"/>
      <c r="W3915" s="12"/>
      <c r="X3915" s="2">
        <v>5</v>
      </c>
      <c r="Y3915" s="202" t="s">
        <v>5812</v>
      </c>
      <c r="Z3915" s="2" t="s">
        <v>36</v>
      </c>
      <c r="AA3915" s="13" t="s">
        <v>10357</v>
      </c>
      <c r="AB3915" s="13" t="s">
        <v>10358</v>
      </c>
    </row>
    <row r="3916" spans="1:28" ht="15" customHeight="1">
      <c r="A3916" s="2" t="s">
        <v>8642</v>
      </c>
      <c r="B3916" s="10" t="s">
        <v>978</v>
      </c>
      <c r="C3916" s="261" t="s">
        <v>5813</v>
      </c>
      <c r="D3916" s="2" t="s">
        <v>30</v>
      </c>
      <c r="E3916" s="2" t="s">
        <v>259</v>
      </c>
      <c r="F3916" s="11" t="s">
        <v>4206</v>
      </c>
      <c r="G3916" s="68" t="s">
        <v>4207</v>
      </c>
      <c r="H3916" s="2" t="s">
        <v>4037</v>
      </c>
      <c r="I3916" s="12" t="s">
        <v>4255</v>
      </c>
      <c r="J3916" s="41">
        <f>+Tabla1[[#This Row],[FECHA ENTRADA]]</f>
        <v>45784</v>
      </c>
      <c r="K3916" s="41">
        <v>45970</v>
      </c>
      <c r="L3916" s="42">
        <f>_xlfn.DAYS(Tabla1[[#This Row],[FECHA FIN ]],Tabla1[[#This Row],[FECHA INICIO]])</f>
        <v>186</v>
      </c>
      <c r="M3916" s="12"/>
      <c r="N3916" s="28">
        <v>283.33333333333331</v>
      </c>
      <c r="O3916" s="28">
        <f>(Tabla1[[#This Row],[COSTO FIJO ]]/30)*Tabla1[[#This Row],[TOTAL DIAS PROYECTO]]+(Tabla1[[#This Row],[COSTO TEMPORAL]])</f>
        <v>1756.6666666666667</v>
      </c>
      <c r="P3916" s="12"/>
      <c r="Q3916" s="12">
        <f>+(Tabla1[[#This Row],[COSTO COCHE]]/30)*Tabla1[[#This Row],[TOTAL DIAS PROYECTO]]</f>
        <v>0</v>
      </c>
      <c r="R3916" s="12">
        <f>+Tabla1[[#This Row],[COSTO TOTAL ALOJAMIENTO]]+Tabla1[[#This Row],[COSTO TOTAL COCHE]]</f>
        <v>1756.6666666666667</v>
      </c>
      <c r="S3916" s="2"/>
      <c r="T3916" s="14" t="s">
        <v>35</v>
      </c>
      <c r="U3916" s="14">
        <v>45784</v>
      </c>
      <c r="V3916" s="43"/>
      <c r="W3916" s="12">
        <v>850</v>
      </c>
      <c r="X3916" s="2">
        <v>5</v>
      </c>
      <c r="Y3916" s="11" t="s">
        <v>5814</v>
      </c>
      <c r="Z3916" s="2" t="s">
        <v>36</v>
      </c>
      <c r="AA3916" s="13">
        <v>-0.87734000000000001</v>
      </c>
      <c r="AB3916" s="13" t="s">
        <v>10359</v>
      </c>
    </row>
    <row r="3917" spans="1:28" ht="15" customHeight="1">
      <c r="A3917" s="2" t="s">
        <v>9560</v>
      </c>
      <c r="B3917" s="2" t="s">
        <v>28</v>
      </c>
      <c r="C3917" s="31" t="s">
        <v>3649</v>
      </c>
      <c r="D3917" s="2" t="s">
        <v>99</v>
      </c>
      <c r="E3917" s="2" t="s">
        <v>253</v>
      </c>
      <c r="F3917" s="11" t="s">
        <v>777</v>
      </c>
      <c r="G3917" s="49" t="s">
        <v>981</v>
      </c>
      <c r="H3917" s="2" t="s">
        <v>5168</v>
      </c>
      <c r="I3917" s="12" t="s">
        <v>5169</v>
      </c>
      <c r="J3917" s="22">
        <f>+Tabla1[[#This Row],[FECHA ENTRADA]]</f>
        <v>45950</v>
      </c>
      <c r="K3917" s="22">
        <v>45958</v>
      </c>
      <c r="L3917" s="23">
        <f>_xlfn.DAYS(Tabla1[[#This Row],[FECHA FIN ]],Tabla1[[#This Row],[FECHA INICIO]])</f>
        <v>8</v>
      </c>
      <c r="M3917" s="12"/>
      <c r="N3917" s="12">
        <v>550</v>
      </c>
      <c r="O3917" s="24">
        <f>(Tabla1[[#This Row],[COSTO FIJO ]]/30)*Tabla1[[#This Row],[TOTAL DIAS PROYECTO]]+(Tabla1[[#This Row],[COSTO TEMPORAL]])</f>
        <v>146.66666666666666</v>
      </c>
      <c r="P3917" s="12"/>
      <c r="Q3917" s="12">
        <f>+(Tabla1[[#This Row],[COSTO COCHE]]/30)*Tabla1[[#This Row],[TOTAL DIAS PROYECTO]]</f>
        <v>0</v>
      </c>
      <c r="R3917" s="12">
        <f>+Tabla1[[#This Row],[COSTO TOTAL ALOJAMIENTO]]+Tabla1[[#This Row],[COSTO TOTAL COCHE]]</f>
        <v>146.66666666666666</v>
      </c>
      <c r="S3917" s="2"/>
      <c r="T3917" s="14" t="s">
        <v>35</v>
      </c>
      <c r="U3917" s="14">
        <v>45950</v>
      </c>
      <c r="V3917" s="25"/>
      <c r="W3917" s="71"/>
      <c r="X3917" s="2">
        <v>5</v>
      </c>
      <c r="Y3917" s="11" t="s">
        <v>5815</v>
      </c>
      <c r="Z3917" s="2" t="s">
        <v>36</v>
      </c>
      <c r="AA3917" s="13" t="s">
        <v>10357</v>
      </c>
      <c r="AB3917" s="13" t="s">
        <v>10358</v>
      </c>
    </row>
    <row r="3918" spans="1:28" ht="15" customHeight="1">
      <c r="A3918" s="2" t="s">
        <v>9884</v>
      </c>
      <c r="B3918" s="2" t="s">
        <v>711</v>
      </c>
      <c r="C3918" s="104" t="s">
        <v>5213</v>
      </c>
      <c r="D3918" s="2" t="s">
        <v>30</v>
      </c>
      <c r="E3918" s="2" t="s">
        <v>626</v>
      </c>
      <c r="F3918" s="11" t="s">
        <v>2376</v>
      </c>
      <c r="G3918" s="21" t="s">
        <v>2377</v>
      </c>
      <c r="H3918" s="2" t="s">
        <v>5810</v>
      </c>
      <c r="I3918" s="12" t="s">
        <v>570</v>
      </c>
      <c r="J3918" s="22">
        <f>+Tabla1[[#This Row],[FECHA ENTRADA]]</f>
        <v>45923</v>
      </c>
      <c r="K3918" s="22">
        <v>45958</v>
      </c>
      <c r="L3918" s="23">
        <f>_xlfn.DAYS(Tabla1[[#This Row],[FECHA FIN ]],Tabla1[[#This Row],[FECHA INICIO]])</f>
        <v>35</v>
      </c>
      <c r="M3918" s="12">
        <f>105+295+140</f>
        <v>540</v>
      </c>
      <c r="N3918" s="20"/>
      <c r="O3918" s="24">
        <f>(Tabla1[[#This Row],[COSTO FIJO ]]/30)*Tabla1[[#This Row],[TOTAL DIAS PROYECTO]]+(Tabla1[[#This Row],[COSTO TEMPORAL]])</f>
        <v>540</v>
      </c>
      <c r="P3918" s="12"/>
      <c r="Q3918" s="12">
        <f>+(Tabla1[[#This Row],[COSTO COCHE]]/30)*Tabla1[[#This Row],[TOTAL DIAS PROYECTO]]</f>
        <v>0</v>
      </c>
      <c r="R3918" s="12">
        <f>+Tabla1[[#This Row],[COSTO TOTAL ALOJAMIENTO]]+Tabla1[[#This Row],[COSTO TOTAL COCHE]]</f>
        <v>540</v>
      </c>
      <c r="S3918" s="2"/>
      <c r="T3918" s="14" t="s">
        <v>44</v>
      </c>
      <c r="U3918" s="14">
        <v>45923</v>
      </c>
      <c r="V3918" s="25">
        <v>45958</v>
      </c>
      <c r="W3918" s="71"/>
      <c r="X3918" s="2"/>
      <c r="Y3918" s="11" t="s">
        <v>1361</v>
      </c>
      <c r="Z3918" s="2" t="s">
        <v>36</v>
      </c>
      <c r="AA3918" s="13" t="s">
        <v>10385</v>
      </c>
      <c r="AB3918" s="13" t="s">
        <v>10386</v>
      </c>
    </row>
    <row r="3919" spans="1:28" ht="15" customHeight="1">
      <c r="A3919" s="2" t="s">
        <v>9488</v>
      </c>
      <c r="B3919" s="2" t="s">
        <v>978</v>
      </c>
      <c r="C3919" s="97" t="s">
        <v>3358</v>
      </c>
      <c r="D3919" s="2" t="s">
        <v>30</v>
      </c>
      <c r="E3919" s="2" t="s">
        <v>1393</v>
      </c>
      <c r="F3919" s="11" t="s">
        <v>5124</v>
      </c>
      <c r="G3919" s="46" t="s">
        <v>5125</v>
      </c>
      <c r="H3919" s="2" t="s">
        <v>3970</v>
      </c>
      <c r="I3919" s="12" t="s">
        <v>4255</v>
      </c>
      <c r="J3919" s="41">
        <f>+Tabla1[[#This Row],[FECHA ENTRADA]]</f>
        <v>45849</v>
      </c>
      <c r="K3919" s="41">
        <v>45958</v>
      </c>
      <c r="L3919" s="42">
        <f>_xlfn.DAYS(Tabla1[[#This Row],[FECHA FIN ]],Tabla1[[#This Row],[FECHA INICIO]])</f>
        <v>109</v>
      </c>
      <c r="M3919" s="12">
        <f>35*Tabla1[[#This Row],[TOTAL DIAS PROYECTO]]</f>
        <v>3815</v>
      </c>
      <c r="N3919" s="28"/>
      <c r="O3919" s="28">
        <f>(Tabla1[[#This Row],[COSTO FIJO ]]/30)*Tabla1[[#This Row],[TOTAL DIAS PROYECTO]]+(Tabla1[[#This Row],[COSTO TEMPORAL]])</f>
        <v>3815</v>
      </c>
      <c r="P3919" s="12"/>
      <c r="Q3919" s="12">
        <f>+(Tabla1[[#This Row],[COSTO COCHE]]/30)*Tabla1[[#This Row],[TOTAL DIAS PROYECTO]]</f>
        <v>0</v>
      </c>
      <c r="R3919" s="12">
        <f>+Tabla1[[#This Row],[COSTO TOTAL ALOJAMIENTO]]+Tabla1[[#This Row],[COSTO TOTAL COCHE]]</f>
        <v>3815</v>
      </c>
      <c r="S3919" s="2"/>
      <c r="T3919" s="14" t="s">
        <v>44</v>
      </c>
      <c r="U3919" s="14">
        <v>45849</v>
      </c>
      <c r="V3919" s="25">
        <v>45979</v>
      </c>
      <c r="W3919" s="12"/>
      <c r="X3919" s="2"/>
      <c r="Y3919" s="11" t="s">
        <v>5816</v>
      </c>
      <c r="Z3919" s="2" t="s">
        <v>36</v>
      </c>
      <c r="AA3919" s="13" t="s">
        <v>10416</v>
      </c>
      <c r="AB3919" s="13" t="s">
        <v>10417</v>
      </c>
    </row>
    <row r="3920" spans="1:28" ht="15" customHeight="1">
      <c r="A3920" s="2" t="s">
        <v>9485</v>
      </c>
      <c r="B3920" s="2" t="s">
        <v>978</v>
      </c>
      <c r="C3920" s="97" t="s">
        <v>3352</v>
      </c>
      <c r="D3920" s="2" t="s">
        <v>30</v>
      </c>
      <c r="E3920" s="2" t="s">
        <v>1393</v>
      </c>
      <c r="F3920" s="11" t="s">
        <v>5124</v>
      </c>
      <c r="G3920" s="46" t="s">
        <v>5125</v>
      </c>
      <c r="H3920" s="2" t="s">
        <v>3970</v>
      </c>
      <c r="I3920" s="12" t="s">
        <v>4255</v>
      </c>
      <c r="J3920" s="41">
        <f>+Tabla1[[#This Row],[FECHA ENTRADA]]</f>
        <v>45849</v>
      </c>
      <c r="K3920" s="41">
        <v>45958</v>
      </c>
      <c r="L3920" s="42">
        <f>_xlfn.DAYS(Tabla1[[#This Row],[FECHA FIN ]],Tabla1[[#This Row],[FECHA INICIO]])</f>
        <v>109</v>
      </c>
      <c r="M3920" s="12">
        <f>35*Tabla1[[#This Row],[TOTAL DIAS PROYECTO]]</f>
        <v>3815</v>
      </c>
      <c r="N3920" s="28"/>
      <c r="O3920" s="28">
        <f>(Tabla1[[#This Row],[COSTO FIJO ]]/30)*Tabla1[[#This Row],[TOTAL DIAS PROYECTO]]+(Tabla1[[#This Row],[COSTO TEMPORAL]])</f>
        <v>3815</v>
      </c>
      <c r="P3920" s="12"/>
      <c r="Q3920" s="12">
        <f>+(Tabla1[[#This Row],[COSTO COCHE]]/30)*Tabla1[[#This Row],[TOTAL DIAS PROYECTO]]</f>
        <v>0</v>
      </c>
      <c r="R3920" s="12">
        <f>+Tabla1[[#This Row],[COSTO TOTAL ALOJAMIENTO]]+Tabla1[[#This Row],[COSTO TOTAL COCHE]]</f>
        <v>3815</v>
      </c>
      <c r="S3920" s="2"/>
      <c r="T3920" s="14" t="s">
        <v>44</v>
      </c>
      <c r="U3920" s="14">
        <v>45849</v>
      </c>
      <c r="V3920" s="25">
        <v>45979</v>
      </c>
      <c r="W3920" s="12"/>
      <c r="X3920" s="2"/>
      <c r="Y3920" s="11" t="s">
        <v>5817</v>
      </c>
      <c r="Z3920" s="2" t="s">
        <v>36</v>
      </c>
      <c r="AA3920" s="13" t="s">
        <v>10416</v>
      </c>
      <c r="AB3920" s="13" t="s">
        <v>10417</v>
      </c>
    </row>
    <row r="3921" spans="1:28" ht="15" customHeight="1">
      <c r="A3921" s="2" t="s">
        <v>9712</v>
      </c>
      <c r="B3921" s="2" t="s">
        <v>28</v>
      </c>
      <c r="C3921" s="261" t="s">
        <v>4359</v>
      </c>
      <c r="D3921" s="2" t="s">
        <v>99</v>
      </c>
      <c r="E3921" s="2" t="s">
        <v>253</v>
      </c>
      <c r="F3921" s="11" t="s">
        <v>5678</v>
      </c>
      <c r="G3921" s="46" t="s">
        <v>981</v>
      </c>
      <c r="H3921" s="2" t="s">
        <v>5206</v>
      </c>
      <c r="I3921" s="12" t="s">
        <v>5169</v>
      </c>
      <c r="J3921" s="41">
        <f>+Tabla1[[#This Row],[FECHA ENTRADA]]</f>
        <v>45917</v>
      </c>
      <c r="K3921" s="41">
        <v>45958</v>
      </c>
      <c r="L3921" s="42">
        <f>_xlfn.DAYS(Tabla1[[#This Row],[FECHA FIN ]],Tabla1[[#This Row],[FECHA INICIO]])</f>
        <v>41</v>
      </c>
      <c r="M3921" s="12"/>
      <c r="N3921" s="28">
        <v>550</v>
      </c>
      <c r="O3921" s="28">
        <f>(Tabla1[[#This Row],[COSTO FIJO ]]/30)*Tabla1[[#This Row],[TOTAL DIAS PROYECTO]]+(Tabla1[[#This Row],[COSTO TEMPORAL]])</f>
        <v>751.66666666666663</v>
      </c>
      <c r="P3921" s="12"/>
      <c r="Q3921" s="12">
        <f>+(Tabla1[[#This Row],[COSTO COCHE]]/30)*Tabla1[[#This Row],[TOTAL DIAS PROYECTO]]</f>
        <v>0</v>
      </c>
      <c r="R3921" s="12">
        <f>+Tabla1[[#This Row],[COSTO TOTAL ALOJAMIENTO]]+Tabla1[[#This Row],[COSTO TOTAL COCHE]]</f>
        <v>751.66666666666663</v>
      </c>
      <c r="S3921" s="2"/>
      <c r="T3921" s="14" t="s">
        <v>35</v>
      </c>
      <c r="U3921" s="14">
        <v>45917</v>
      </c>
      <c r="V3921" s="43"/>
      <c r="W3921" s="71"/>
      <c r="X3921" s="2">
        <v>15</v>
      </c>
      <c r="Y3921" s="11" t="s">
        <v>5815</v>
      </c>
      <c r="Z3921" s="2" t="s">
        <v>36</v>
      </c>
      <c r="AA3921" s="13" t="s">
        <v>10357</v>
      </c>
      <c r="AB3921" s="13" t="s">
        <v>10358</v>
      </c>
    </row>
    <row r="3922" spans="1:28" ht="15" customHeight="1">
      <c r="A3922" s="2" t="s">
        <v>8929</v>
      </c>
      <c r="B3922" s="2" t="s">
        <v>978</v>
      </c>
      <c r="C3922" s="97" t="s">
        <v>1323</v>
      </c>
      <c r="D3922" s="2" t="s">
        <v>99</v>
      </c>
      <c r="E3922" s="2" t="s">
        <v>1443</v>
      </c>
      <c r="F3922" s="11" t="s">
        <v>1444</v>
      </c>
      <c r="G3922" s="11" t="s">
        <v>1445</v>
      </c>
      <c r="H3922" s="2" t="s">
        <v>4188</v>
      </c>
      <c r="I3922" s="12" t="s">
        <v>4477</v>
      </c>
      <c r="J3922" s="22">
        <f>+Tabla1[[#This Row],[FECHA ENTRADA]]</f>
        <v>45941</v>
      </c>
      <c r="K3922" s="22">
        <v>45958</v>
      </c>
      <c r="L3922" s="23">
        <f>_xlfn.DAYS(Tabla1[[#This Row],[FECHA FIN ]],Tabla1[[#This Row],[FECHA INICIO]])</f>
        <v>17</v>
      </c>
      <c r="M3922" s="12">
        <v>120</v>
      </c>
      <c r="N3922" s="24"/>
      <c r="O3922" s="24">
        <f>(Tabla1[[#This Row],[COSTO FIJO ]]/30)*Tabla1[[#This Row],[TOTAL DIAS PROYECTO]]+(Tabla1[[#This Row],[COSTO TEMPORAL]])</f>
        <v>120</v>
      </c>
      <c r="P3922" s="12"/>
      <c r="Q3922" s="12">
        <f>+(Tabla1[[#This Row],[COSTO COCHE]]/30)*Tabla1[[#This Row],[TOTAL DIAS PROYECTO]]</f>
        <v>0</v>
      </c>
      <c r="R3922" s="12">
        <f>+Tabla1[[#This Row],[COSTO TOTAL ALOJAMIENTO]]+Tabla1[[#This Row],[COSTO TOTAL COCHE]]</f>
        <v>120</v>
      </c>
      <c r="S3922" s="2"/>
      <c r="T3922" s="14" t="s">
        <v>44</v>
      </c>
      <c r="U3922" s="14">
        <v>45941</v>
      </c>
      <c r="V3922" s="25">
        <v>45958</v>
      </c>
      <c r="W3922" s="71"/>
      <c r="X3922" s="2"/>
      <c r="Y3922" s="11" t="s">
        <v>5818</v>
      </c>
      <c r="Z3922" s="2" t="s">
        <v>36</v>
      </c>
      <c r="AA3922" s="13" t="s">
        <v>10420</v>
      </c>
      <c r="AB3922" s="13">
        <v>3907741</v>
      </c>
    </row>
    <row r="3923" spans="1:28" ht="15" customHeight="1">
      <c r="A3923" s="2" t="s">
        <v>9972</v>
      </c>
      <c r="B3923" s="2" t="s">
        <v>978</v>
      </c>
      <c r="C3923" s="104" t="s">
        <v>5788</v>
      </c>
      <c r="D3923" s="2" t="s">
        <v>30</v>
      </c>
      <c r="E3923" s="2" t="s">
        <v>31</v>
      </c>
      <c r="F3923" s="11" t="s">
        <v>4614</v>
      </c>
      <c r="G3923" s="21" t="s">
        <v>4615</v>
      </c>
      <c r="H3923" s="2" t="s">
        <v>5789</v>
      </c>
      <c r="I3923" s="12" t="s">
        <v>5790</v>
      </c>
      <c r="J3923" s="22">
        <f>+Tabla1[[#This Row],[FECHA ENTRADA]]</f>
        <v>45942</v>
      </c>
      <c r="K3923" s="22">
        <v>45958</v>
      </c>
      <c r="L3923" s="23">
        <f>_xlfn.DAYS(Tabla1[[#This Row],[FECHA FIN ]],Tabla1[[#This Row],[FECHA INICIO]])</f>
        <v>16</v>
      </c>
      <c r="M3923" s="12"/>
      <c r="N3923" s="20"/>
      <c r="O3923" s="24">
        <f>(Tabla1[[#This Row],[COSTO FIJO ]]/30)*Tabla1[[#This Row],[TOTAL DIAS PROYECTO]]+(Tabla1[[#This Row],[COSTO TEMPORAL]])</f>
        <v>0</v>
      </c>
      <c r="P3923" s="12"/>
      <c r="Q3923" s="12">
        <f>+(Tabla1[[#This Row],[COSTO COCHE]]/30)*Tabla1[[#This Row],[TOTAL DIAS PROYECTO]]</f>
        <v>0</v>
      </c>
      <c r="R3923" s="12">
        <f>+Tabla1[[#This Row],[COSTO TOTAL ALOJAMIENTO]]+Tabla1[[#This Row],[COSTO TOTAL COCHE]]</f>
        <v>0</v>
      </c>
      <c r="S3923" s="2"/>
      <c r="T3923" s="14" t="s">
        <v>44</v>
      </c>
      <c r="U3923" s="14">
        <v>45942</v>
      </c>
      <c r="V3923" s="79">
        <v>45959</v>
      </c>
      <c r="W3923" s="71"/>
      <c r="X3923" s="2"/>
      <c r="Y3923" s="11"/>
      <c r="Z3923" s="2" t="s">
        <v>36</v>
      </c>
      <c r="AA3923" s="13" t="s">
        <v>10323</v>
      </c>
      <c r="AB3923" s="13" t="s">
        <v>10324</v>
      </c>
    </row>
    <row r="3924" spans="1:28" ht="15" customHeight="1">
      <c r="A3924" s="2" t="s">
        <v>9979</v>
      </c>
      <c r="B3924" s="2" t="s">
        <v>978</v>
      </c>
      <c r="C3924" s="104" t="s">
        <v>5819</v>
      </c>
      <c r="D3924" s="2" t="s">
        <v>30</v>
      </c>
      <c r="E3924" s="2" t="s">
        <v>31</v>
      </c>
      <c r="F3924" s="11" t="s">
        <v>4614</v>
      </c>
      <c r="G3924" s="21" t="s">
        <v>4615</v>
      </c>
      <c r="H3924" s="2" t="s">
        <v>5789</v>
      </c>
      <c r="I3924" s="12" t="s">
        <v>5790</v>
      </c>
      <c r="J3924" s="22">
        <f>+Tabla1[[#This Row],[FECHA ENTRADA]]</f>
        <v>45942</v>
      </c>
      <c r="K3924" s="22">
        <v>45958</v>
      </c>
      <c r="L3924" s="23">
        <f>_xlfn.DAYS(Tabla1[[#This Row],[FECHA FIN ]],Tabla1[[#This Row],[FECHA INICIO]])</f>
        <v>16</v>
      </c>
      <c r="M3924" s="12"/>
      <c r="N3924" s="20"/>
      <c r="O3924" s="24">
        <f>(Tabla1[[#This Row],[COSTO FIJO ]]/30)*Tabla1[[#This Row],[TOTAL DIAS PROYECTO]]+(Tabla1[[#This Row],[COSTO TEMPORAL]])</f>
        <v>0</v>
      </c>
      <c r="P3924" s="12"/>
      <c r="Q3924" s="12">
        <f>+(Tabla1[[#This Row],[COSTO COCHE]]/30)*Tabla1[[#This Row],[TOTAL DIAS PROYECTO]]</f>
        <v>0</v>
      </c>
      <c r="R3924" s="12">
        <f>+Tabla1[[#This Row],[COSTO TOTAL ALOJAMIENTO]]+Tabla1[[#This Row],[COSTO TOTAL COCHE]]</f>
        <v>0</v>
      </c>
      <c r="S3924" s="2"/>
      <c r="T3924" s="14" t="s">
        <v>44</v>
      </c>
      <c r="U3924" s="14">
        <v>45942</v>
      </c>
      <c r="V3924" s="79">
        <v>45959</v>
      </c>
      <c r="W3924" s="71"/>
      <c r="X3924" s="2"/>
      <c r="Y3924" s="11"/>
      <c r="Z3924" s="2" t="s">
        <v>36</v>
      </c>
      <c r="AA3924" s="13" t="s">
        <v>10323</v>
      </c>
      <c r="AB3924" s="13" t="s">
        <v>10324</v>
      </c>
    </row>
    <row r="3925" spans="1:28" ht="15" customHeight="1">
      <c r="A3925" s="2" t="s">
        <v>9065</v>
      </c>
      <c r="B3925" s="2" t="s">
        <v>978</v>
      </c>
      <c r="C3925" s="104" t="s">
        <v>1850</v>
      </c>
      <c r="D3925" s="2" t="s">
        <v>30</v>
      </c>
      <c r="E3925" s="2" t="s">
        <v>253</v>
      </c>
      <c r="F3925" s="11"/>
      <c r="G3925" s="21"/>
      <c r="H3925" s="2" t="s">
        <v>5452</v>
      </c>
      <c r="I3925" s="12" t="s">
        <v>4696</v>
      </c>
      <c r="J3925" s="22">
        <f>+Tabla1[[#This Row],[FECHA ENTRADA]]</f>
        <v>45935</v>
      </c>
      <c r="K3925" s="22">
        <v>45958</v>
      </c>
      <c r="L3925" s="23">
        <f>_xlfn.DAYS(Tabla1[[#This Row],[FECHA FIN ]],Tabla1[[#This Row],[FECHA INICIO]])</f>
        <v>23</v>
      </c>
      <c r="M3925" s="12"/>
      <c r="N3925" s="20">
        <v>300</v>
      </c>
      <c r="O3925" s="24">
        <f>(Tabla1[[#This Row],[COSTO FIJO ]]/30)*Tabla1[[#This Row],[TOTAL DIAS PROYECTO]]+(Tabla1[[#This Row],[COSTO TEMPORAL]])</f>
        <v>230</v>
      </c>
      <c r="P3925" s="12"/>
      <c r="Q3925" s="12">
        <f>+(Tabla1[[#This Row],[COSTO COCHE]]/30)*Tabla1[[#This Row],[TOTAL DIAS PROYECTO]]</f>
        <v>0</v>
      </c>
      <c r="R3925" s="12">
        <f>+Tabla1[[#This Row],[COSTO TOTAL ALOJAMIENTO]]+Tabla1[[#This Row],[COSTO TOTAL COCHE]]</f>
        <v>230</v>
      </c>
      <c r="S3925" s="2"/>
      <c r="T3925" s="14" t="s">
        <v>58</v>
      </c>
      <c r="U3925" s="14">
        <v>45935</v>
      </c>
      <c r="V3925" s="79"/>
      <c r="W3925" s="71"/>
      <c r="X3925" s="2"/>
      <c r="Y3925" s="11"/>
      <c r="Z3925" s="2" t="s">
        <v>36</v>
      </c>
      <c r="AA3925" s="13" t="s">
        <v>10357</v>
      </c>
      <c r="AB3925" s="13" t="s">
        <v>10358</v>
      </c>
    </row>
    <row r="3926" spans="1:28" ht="15" customHeight="1">
      <c r="A3926" s="2" t="s">
        <v>9980</v>
      </c>
      <c r="B3926" s="2" t="s">
        <v>711</v>
      </c>
      <c r="C3926" s="97" t="s">
        <v>5820</v>
      </c>
      <c r="D3926" s="2" t="s">
        <v>30</v>
      </c>
      <c r="E3926" s="2" t="s">
        <v>415</v>
      </c>
      <c r="F3926" s="11" t="s">
        <v>5821</v>
      </c>
      <c r="G3926" s="21" t="s">
        <v>1413</v>
      </c>
      <c r="H3926" s="2" t="s">
        <v>4307</v>
      </c>
      <c r="I3926" s="12" t="s">
        <v>800</v>
      </c>
      <c r="J3926" s="22">
        <f>+Tabla1[[#This Row],[FECHA ENTRADA]]</f>
        <v>45943</v>
      </c>
      <c r="K3926" s="22">
        <v>45959</v>
      </c>
      <c r="L3926" s="23">
        <f>_xlfn.DAYS(Tabla1[[#This Row],[FECHA FIN ]],Tabla1[[#This Row],[FECHA INICIO]])</f>
        <v>16</v>
      </c>
      <c r="M3926" s="12"/>
      <c r="N3926" s="12">
        <v>450</v>
      </c>
      <c r="O3926" s="24">
        <f>(Tabla1[[#This Row],[COSTO FIJO ]]/30)*Tabla1[[#This Row],[TOTAL DIAS PROYECTO]]+(Tabla1[[#This Row],[COSTO TEMPORAL]])</f>
        <v>240</v>
      </c>
      <c r="P3926" s="12"/>
      <c r="Q3926" s="12">
        <f>+(Tabla1[[#This Row],[COSTO COCHE]]/30)*Tabla1[[#This Row],[TOTAL DIAS PROYECTO]]</f>
        <v>0</v>
      </c>
      <c r="R3926" s="12">
        <f>+Tabla1[[#This Row],[COSTO TOTAL ALOJAMIENTO]]+Tabla1[[#This Row],[COSTO TOTAL COCHE]]</f>
        <v>240</v>
      </c>
      <c r="S3926" s="2"/>
      <c r="T3926" s="14" t="s">
        <v>35</v>
      </c>
      <c r="U3926" s="14">
        <v>45943</v>
      </c>
      <c r="V3926" s="79"/>
      <c r="W3926" s="71"/>
      <c r="X3926" s="2">
        <v>1</v>
      </c>
      <c r="Y3926" s="11" t="s">
        <v>5822</v>
      </c>
      <c r="Z3926" s="2" t="s">
        <v>36</v>
      </c>
      <c r="AA3926" s="13">
        <v>-0.37739</v>
      </c>
      <c r="AB3926" s="13" t="s">
        <v>10372</v>
      </c>
    </row>
    <row r="3927" spans="1:28" ht="15" customHeight="1">
      <c r="A3927" s="2" t="s">
        <v>8866</v>
      </c>
      <c r="B3927" s="2" t="s">
        <v>978</v>
      </c>
      <c r="C3927" s="97" t="s">
        <v>1078</v>
      </c>
      <c r="D3927" s="2" t="s">
        <v>99</v>
      </c>
      <c r="E3927" s="2" t="s">
        <v>253</v>
      </c>
      <c r="F3927" s="11"/>
      <c r="G3927" s="49"/>
      <c r="H3927" s="2" t="s">
        <v>5636</v>
      </c>
      <c r="I3927" s="12" t="s">
        <v>256</v>
      </c>
      <c r="J3927" s="22">
        <f>+Tabla1[[#This Row],[FECHA ENTRADA]]</f>
        <v>45860</v>
      </c>
      <c r="K3927" s="22">
        <v>45959</v>
      </c>
      <c r="L3927" s="23">
        <f>_xlfn.DAYS(Tabla1[[#This Row],[FECHA FIN ]],Tabla1[[#This Row],[FECHA INICIO]])</f>
        <v>99</v>
      </c>
      <c r="M3927" s="12"/>
      <c r="N3927" s="28">
        <v>300</v>
      </c>
      <c r="O3927" s="24">
        <f>(Tabla1[[#This Row],[COSTO FIJO ]]/30)*Tabla1[[#This Row],[TOTAL DIAS PROYECTO]]+(Tabla1[[#This Row],[COSTO TEMPORAL]])</f>
        <v>990</v>
      </c>
      <c r="P3927" s="12"/>
      <c r="Q3927" s="12">
        <f>+(Tabla1[[#This Row],[COSTO COCHE]]/30)*Tabla1[[#This Row],[TOTAL DIAS PROYECTO]]</f>
        <v>0</v>
      </c>
      <c r="R3927" s="12">
        <f>+Tabla1[[#This Row],[COSTO TOTAL ALOJAMIENTO]]+Tabla1[[#This Row],[COSTO TOTAL COCHE]]</f>
        <v>990</v>
      </c>
      <c r="S3927" s="2"/>
      <c r="T3927" s="14" t="s">
        <v>58</v>
      </c>
      <c r="U3927" s="14">
        <v>45860</v>
      </c>
      <c r="V3927" s="25"/>
      <c r="W3927" s="12"/>
      <c r="X3927" s="2"/>
      <c r="Y3927" s="11" t="s">
        <v>5823</v>
      </c>
      <c r="Z3927" s="2" t="s">
        <v>36</v>
      </c>
      <c r="AA3927" s="13" t="s">
        <v>10357</v>
      </c>
      <c r="AB3927" s="13" t="s">
        <v>10358</v>
      </c>
    </row>
    <row r="3928" spans="1:28" ht="15" customHeight="1">
      <c r="A3928" s="2" t="s">
        <v>9981</v>
      </c>
      <c r="B3928" s="2" t="s">
        <v>28</v>
      </c>
      <c r="C3928" s="97" t="s">
        <v>5824</v>
      </c>
      <c r="D3928" s="2" t="s">
        <v>30</v>
      </c>
      <c r="E3928" s="2" t="s">
        <v>253</v>
      </c>
      <c r="F3928" s="11"/>
      <c r="G3928" s="11"/>
      <c r="H3928" s="2" t="s">
        <v>5825</v>
      </c>
      <c r="I3928" s="2" t="s">
        <v>256</v>
      </c>
      <c r="J3928" s="8">
        <v>45309</v>
      </c>
      <c r="K3928" s="22">
        <v>45959</v>
      </c>
      <c r="L3928" s="13">
        <f>_xlfn.DAYS(Tabla1[[#This Row],[FECHA FIN ]],Tabla1[[#This Row],[FECHA INICIO]])</f>
        <v>650</v>
      </c>
      <c r="M3928" s="2"/>
      <c r="N3928" s="28">
        <v>300</v>
      </c>
      <c r="O3928" s="12">
        <f>(Tabla1[[#This Row],[COSTO FIJO ]]/30)*Tabla1[[#This Row],[TOTAL DIAS PROYECTO]]+(Tabla1[[#This Row],[COSTO TEMPORAL]])</f>
        <v>6500</v>
      </c>
      <c r="P3928" s="12"/>
      <c r="Q3928" s="12">
        <f>+(Tabla1[[#This Row],[COSTO COCHE]]/30)*Tabla1[[#This Row],[TOTAL DIAS PROYECTO]]</f>
        <v>0</v>
      </c>
      <c r="R3928" s="12">
        <f>+Tabla1[[#This Row],[COSTO TOTAL ALOJAMIENTO]]+Tabla1[[#This Row],[COSTO TOTAL COCHE]]</f>
        <v>6500</v>
      </c>
      <c r="S3928" s="2"/>
      <c r="T3928" s="2" t="s">
        <v>58</v>
      </c>
      <c r="U3928" s="14"/>
      <c r="V3928" s="14"/>
      <c r="W3928" s="2"/>
      <c r="X3928" s="2"/>
      <c r="Y3928" s="11" t="s">
        <v>5826</v>
      </c>
      <c r="Z3928" s="2" t="s">
        <v>36</v>
      </c>
      <c r="AA3928" s="13" t="s">
        <v>10357</v>
      </c>
      <c r="AB3928" s="13" t="s">
        <v>10358</v>
      </c>
    </row>
    <row r="3929" spans="1:28" ht="15" customHeight="1">
      <c r="A3929" s="2" t="s">
        <v>9458</v>
      </c>
      <c r="B3929" s="2" t="s">
        <v>28</v>
      </c>
      <c r="C3929" s="97" t="s">
        <v>3247</v>
      </c>
      <c r="D3929" s="2" t="s">
        <v>30</v>
      </c>
      <c r="E3929" s="2" t="s">
        <v>253</v>
      </c>
      <c r="F3929" s="11" t="s">
        <v>771</v>
      </c>
      <c r="G3929" s="197" t="s">
        <v>772</v>
      </c>
      <c r="H3929" s="184" t="s">
        <v>3248</v>
      </c>
      <c r="I3929" s="47" t="s">
        <v>256</v>
      </c>
      <c r="J3929" s="22">
        <f>+Tabla1[[#This Row],[FECHA ENTRADA]]</f>
        <v>45850</v>
      </c>
      <c r="K3929" s="22">
        <v>45959</v>
      </c>
      <c r="L3929" s="23">
        <f>_xlfn.DAYS(Tabla1[[#This Row],[FECHA FIN ]],Tabla1[[#This Row],[FECHA INICIO]])</f>
        <v>109</v>
      </c>
      <c r="M3929" s="12"/>
      <c r="N3929" s="24">
        <v>330</v>
      </c>
      <c r="O3929" s="24">
        <f>(Tabla1[[#This Row],[COSTO FIJO ]]/30)*Tabla1[[#This Row],[TOTAL DIAS PROYECTO]]+(Tabla1[[#This Row],[COSTO TEMPORAL]])</f>
        <v>1199</v>
      </c>
      <c r="P3929" s="12"/>
      <c r="Q3929" s="12">
        <f>+(Tabla1[[#This Row],[COSTO COCHE]]/30)*Tabla1[[#This Row],[TOTAL DIAS PROYECTO]]</f>
        <v>0</v>
      </c>
      <c r="R3929" s="12">
        <f>+Tabla1[[#This Row],[COSTO TOTAL ALOJAMIENTO]]+Tabla1[[#This Row],[COSTO TOTAL COCHE]]</f>
        <v>1199</v>
      </c>
      <c r="S3929" s="2"/>
      <c r="T3929" s="2" t="s">
        <v>35</v>
      </c>
      <c r="U3929" s="14">
        <v>45850</v>
      </c>
      <c r="V3929" s="25"/>
      <c r="W3929" s="12"/>
      <c r="X3929" s="2">
        <v>5</v>
      </c>
      <c r="Y3929" s="11" t="s">
        <v>5827</v>
      </c>
      <c r="Z3929" s="2" t="s">
        <v>36</v>
      </c>
      <c r="AA3929" s="13" t="s">
        <v>10357</v>
      </c>
      <c r="AB3929" s="13" t="s">
        <v>10358</v>
      </c>
    </row>
    <row r="3930" spans="1:28" ht="15" customHeight="1">
      <c r="A3930" s="2" t="s">
        <v>8985</v>
      </c>
      <c r="B3930" s="2" t="s">
        <v>28</v>
      </c>
      <c r="C3930" s="261" t="s">
        <v>1595</v>
      </c>
      <c r="D3930" s="2" t="s">
        <v>99</v>
      </c>
      <c r="E3930" s="2" t="s">
        <v>253</v>
      </c>
      <c r="F3930" s="11" t="s">
        <v>4021</v>
      </c>
      <c r="G3930" t="s">
        <v>4072</v>
      </c>
      <c r="H3930" s="2" t="s">
        <v>1648</v>
      </c>
      <c r="I3930" s="12" t="s">
        <v>256</v>
      </c>
      <c r="J3930" s="22">
        <f>+Tabla1[[#This Row],[FECHA ENTRADA]]</f>
        <v>45791</v>
      </c>
      <c r="K3930" s="22">
        <v>45991</v>
      </c>
      <c r="L3930" s="23">
        <f>_xlfn.DAYS(Tabla1[[#This Row],[FECHA FIN ]],Tabla1[[#This Row],[FECHA INICIO]])</f>
        <v>200</v>
      </c>
      <c r="M3930" s="12"/>
      <c r="N3930" s="24">
        <v>300</v>
      </c>
      <c r="O3930" s="24">
        <f>(Tabla1[[#This Row],[COSTO FIJO ]]/30)*Tabla1[[#This Row],[TOTAL DIAS PROYECTO]]+(Tabla1[[#This Row],[COSTO TEMPORAL]])</f>
        <v>2000</v>
      </c>
      <c r="P3930" s="12"/>
      <c r="Q3930" s="12">
        <f>+(Tabla1[[#This Row],[COSTO COCHE]]/30)*Tabla1[[#This Row],[TOTAL DIAS PROYECTO]]</f>
        <v>0</v>
      </c>
      <c r="R3930" s="12">
        <f>+Tabla1[[#This Row],[COSTO TOTAL ALOJAMIENTO]]+Tabla1[[#This Row],[COSTO TOTAL COCHE]]</f>
        <v>2000</v>
      </c>
      <c r="S3930" s="2"/>
      <c r="T3930" s="2" t="s">
        <v>35</v>
      </c>
      <c r="U3930" s="14">
        <v>45791</v>
      </c>
      <c r="V3930" s="25"/>
      <c r="W3930" s="12"/>
      <c r="X3930" s="2">
        <v>10</v>
      </c>
      <c r="Y3930" s="11" t="s">
        <v>5828</v>
      </c>
      <c r="Z3930" s="2" t="s">
        <v>36</v>
      </c>
      <c r="AA3930" s="13" t="s">
        <v>10357</v>
      </c>
      <c r="AB3930" s="13" t="s">
        <v>10358</v>
      </c>
    </row>
    <row r="3931" spans="1:28">
      <c r="A3931" s="2" t="s">
        <v>9982</v>
      </c>
      <c r="B3931" s="2" t="s">
        <v>28</v>
      </c>
      <c r="C3931" s="97" t="s">
        <v>5829</v>
      </c>
      <c r="D3931" s="2" t="s">
        <v>30</v>
      </c>
      <c r="E3931" s="2" t="s">
        <v>253</v>
      </c>
      <c r="F3931" s="11"/>
      <c r="G3931" s="11"/>
      <c r="H3931" s="2">
        <v>2023</v>
      </c>
      <c r="I3931" s="2" t="s">
        <v>256</v>
      </c>
      <c r="J3931" s="8">
        <v>45122</v>
      </c>
      <c r="K3931" s="22">
        <v>45959</v>
      </c>
      <c r="L3931" s="13">
        <f>_xlfn.DAYS(Tabla1[[#This Row],[FECHA FIN ]],Tabla1[[#This Row],[FECHA INICIO]])</f>
        <v>837</v>
      </c>
      <c r="M3931" s="12"/>
      <c r="N3931" s="28">
        <v>300</v>
      </c>
      <c r="O3931" s="12">
        <f>(Tabla1[[#This Row],[COSTO FIJO ]]/30)*Tabla1[[#This Row],[TOTAL DIAS PROYECTO]]+(Tabla1[[#This Row],[COSTO TEMPORAL]])</f>
        <v>8370</v>
      </c>
      <c r="P3931" s="12"/>
      <c r="Q3931" s="12">
        <f>+(Tabla1[[#This Row],[COSTO COCHE]]/30)*Tabla1[[#This Row],[TOTAL DIAS PROYECTO]]</f>
        <v>0</v>
      </c>
      <c r="R3931" s="12">
        <f>+Tabla1[[#This Row],[COSTO TOTAL ALOJAMIENTO]]+Tabla1[[#This Row],[COSTO TOTAL COCHE]]</f>
        <v>8370</v>
      </c>
      <c r="S3931" s="2"/>
      <c r="T3931" s="2" t="s">
        <v>646</v>
      </c>
      <c r="U3931" s="14"/>
      <c r="V3931" s="14"/>
      <c r="W3931" s="15"/>
      <c r="X3931" s="16"/>
      <c r="Y3931" s="11" t="s">
        <v>5830</v>
      </c>
      <c r="Z3931" s="2" t="s">
        <v>36</v>
      </c>
      <c r="AA3931" s="13" t="s">
        <v>10357</v>
      </c>
      <c r="AB3931" s="13" t="s">
        <v>10358</v>
      </c>
    </row>
    <row r="3932" spans="1:28" ht="15" customHeight="1">
      <c r="A3932" s="2" t="s">
        <v>9344</v>
      </c>
      <c r="B3932" s="2" t="s">
        <v>28</v>
      </c>
      <c r="C3932" s="97" t="s">
        <v>2878</v>
      </c>
      <c r="D3932" s="2" t="s">
        <v>30</v>
      </c>
      <c r="E3932" s="2" t="s">
        <v>253</v>
      </c>
      <c r="F3932" s="11"/>
      <c r="G3932" s="21"/>
      <c r="H3932" s="2" t="s">
        <v>5628</v>
      </c>
      <c r="I3932" s="2" t="s">
        <v>256</v>
      </c>
      <c r="J3932" s="22">
        <f>+Tabla1[[#This Row],[FECHA ENTRADA]]</f>
        <v>45676</v>
      </c>
      <c r="K3932" s="22">
        <v>45959</v>
      </c>
      <c r="L3932" s="23">
        <f>_xlfn.DAYS(Tabla1[[#This Row],[FECHA FIN ]],Tabla1[[#This Row],[FECHA INICIO]])</f>
        <v>283</v>
      </c>
      <c r="M3932" s="12"/>
      <c r="N3932" s="28">
        <v>300</v>
      </c>
      <c r="O3932" s="24">
        <f>(Tabla1[[#This Row],[COSTO FIJO ]]/30)*Tabla1[[#This Row],[TOTAL DIAS PROYECTO]]+(Tabla1[[#This Row],[COSTO TEMPORAL]])</f>
        <v>2830</v>
      </c>
      <c r="P3932" s="12"/>
      <c r="Q3932" s="12">
        <f>+(Tabla1[[#This Row],[COSTO COCHE]]/30)*Tabla1[[#This Row],[TOTAL DIAS PROYECTO]]</f>
        <v>0</v>
      </c>
      <c r="R3932" s="12">
        <f>+Tabla1[[#This Row],[COSTO TOTAL ALOJAMIENTO]]+Tabla1[[#This Row],[COSTO TOTAL COCHE]]</f>
        <v>2830</v>
      </c>
      <c r="S3932" s="2"/>
      <c r="T3932" s="2" t="s">
        <v>58</v>
      </c>
      <c r="U3932" s="14">
        <v>45676</v>
      </c>
      <c r="V3932" s="79"/>
      <c r="W3932" s="26"/>
      <c r="X3932" s="2"/>
      <c r="Y3932" s="11" t="s">
        <v>5823</v>
      </c>
      <c r="Z3932" s="2" t="s">
        <v>36</v>
      </c>
      <c r="AA3932" s="13" t="s">
        <v>10357</v>
      </c>
      <c r="AB3932" s="13" t="s">
        <v>10358</v>
      </c>
    </row>
    <row r="3933" spans="1:28" ht="15" customHeight="1">
      <c r="A3933" s="2" t="s">
        <v>8642</v>
      </c>
      <c r="B3933" s="2" t="s">
        <v>28</v>
      </c>
      <c r="C3933" s="97" t="s">
        <v>5831</v>
      </c>
      <c r="D3933" s="2" t="s">
        <v>30</v>
      </c>
      <c r="E3933" s="2" t="s">
        <v>253</v>
      </c>
      <c r="F3933" s="11"/>
      <c r="G3933" s="11"/>
      <c r="H3933" s="2">
        <v>2023</v>
      </c>
      <c r="I3933" s="2" t="s">
        <v>256</v>
      </c>
      <c r="J3933" s="8">
        <v>45122</v>
      </c>
      <c r="K3933" s="22">
        <v>45959</v>
      </c>
      <c r="L3933" s="13">
        <f>_xlfn.DAYS(Tabla1[[#This Row],[FECHA FIN ]],Tabla1[[#This Row],[FECHA INICIO]])</f>
        <v>837</v>
      </c>
      <c r="M3933" s="12"/>
      <c r="N3933" s="28">
        <v>300</v>
      </c>
      <c r="O3933" s="12">
        <f>(Tabla1[[#This Row],[COSTO FIJO ]]/30)*Tabla1[[#This Row],[TOTAL DIAS PROYECTO]]+(Tabla1[[#This Row],[COSTO TEMPORAL]])</f>
        <v>8370</v>
      </c>
      <c r="P3933" s="12"/>
      <c r="Q3933" s="12">
        <f>+(Tabla1[[#This Row],[COSTO COCHE]]/30)*Tabla1[[#This Row],[TOTAL DIAS PROYECTO]]</f>
        <v>0</v>
      </c>
      <c r="R3933" s="12">
        <f>+Tabla1[[#This Row],[COSTO TOTAL ALOJAMIENTO]]+Tabla1[[#This Row],[COSTO TOTAL COCHE]]</f>
        <v>8370</v>
      </c>
      <c r="S3933" s="2"/>
      <c r="T3933" s="2" t="s">
        <v>58</v>
      </c>
      <c r="U3933" s="14"/>
      <c r="V3933" s="14"/>
      <c r="W3933" s="2"/>
      <c r="X3933" s="2"/>
      <c r="Y3933" s="11" t="s">
        <v>5823</v>
      </c>
      <c r="Z3933" s="2" t="s">
        <v>36</v>
      </c>
      <c r="AA3933" s="13" t="s">
        <v>10357</v>
      </c>
      <c r="AB3933" s="13" t="s">
        <v>10358</v>
      </c>
    </row>
    <row r="3934" spans="1:28" ht="15" customHeight="1">
      <c r="A3934" s="2" t="s">
        <v>9983</v>
      </c>
      <c r="B3934" s="2" t="s">
        <v>28</v>
      </c>
      <c r="C3934" s="97" t="s">
        <v>5832</v>
      </c>
      <c r="D3934" s="2" t="s">
        <v>30</v>
      </c>
      <c r="E3934" s="2" t="s">
        <v>253</v>
      </c>
      <c r="F3934" s="11" t="s">
        <v>5833</v>
      </c>
      <c r="G3934" s="11" t="s">
        <v>981</v>
      </c>
      <c r="H3934" s="2">
        <v>2023</v>
      </c>
      <c r="I3934" s="2" t="s">
        <v>256</v>
      </c>
      <c r="J3934" s="8">
        <v>45122</v>
      </c>
      <c r="K3934" s="22">
        <v>45959</v>
      </c>
      <c r="L3934" s="13">
        <f>_xlfn.DAYS(Tabla1[[#This Row],[FECHA FIN ]],Tabla1[[#This Row],[FECHA INICIO]])</f>
        <v>837</v>
      </c>
      <c r="M3934" s="12"/>
      <c r="N3934" s="12">
        <v>550</v>
      </c>
      <c r="O3934" s="12">
        <f>(Tabla1[[#This Row],[COSTO FIJO ]]/30)*Tabla1[[#This Row],[TOTAL DIAS PROYECTO]]+(Tabla1[[#This Row],[COSTO TEMPORAL]])</f>
        <v>15344.999999999998</v>
      </c>
      <c r="P3934" s="12"/>
      <c r="Q3934" s="12">
        <f>+(Tabla1[[#This Row],[COSTO COCHE]]/30)*Tabla1[[#This Row],[TOTAL DIAS PROYECTO]]</f>
        <v>0</v>
      </c>
      <c r="R3934" s="12">
        <f>+Tabla1[[#This Row],[COSTO TOTAL ALOJAMIENTO]]+Tabla1[[#This Row],[COSTO TOTAL COCHE]]</f>
        <v>15344.999999999998</v>
      </c>
      <c r="S3934" s="2"/>
      <c r="T3934" s="2" t="s">
        <v>35</v>
      </c>
      <c r="U3934" s="14"/>
      <c r="V3934" s="14"/>
      <c r="W3934" s="15"/>
      <c r="X3934" s="16">
        <v>20</v>
      </c>
      <c r="Y3934" s="11" t="s">
        <v>5826</v>
      </c>
      <c r="Z3934" s="2" t="s">
        <v>36</v>
      </c>
      <c r="AA3934" s="13" t="s">
        <v>10357</v>
      </c>
      <c r="AB3934" s="13" t="s">
        <v>10358</v>
      </c>
    </row>
    <row r="3935" spans="1:28" ht="15" customHeight="1">
      <c r="A3935" s="2" t="s">
        <v>8982</v>
      </c>
      <c r="B3935" s="2" t="s">
        <v>28</v>
      </c>
      <c r="C3935" s="97" t="s">
        <v>1587</v>
      </c>
      <c r="D3935" s="2" t="s">
        <v>99</v>
      </c>
      <c r="E3935" s="2" t="s">
        <v>253</v>
      </c>
      <c r="F3935" s="11" t="s">
        <v>5834</v>
      </c>
      <c r="G3935" s="30" t="s">
        <v>5835</v>
      </c>
      <c r="H3935" s="2" t="s">
        <v>1648</v>
      </c>
      <c r="I3935" s="12" t="s">
        <v>256</v>
      </c>
      <c r="J3935" s="22">
        <f>+Tabla1[[#This Row],[FECHA ENTRADA]]</f>
        <v>45710</v>
      </c>
      <c r="K3935" s="22">
        <v>45959</v>
      </c>
      <c r="L3935" s="23">
        <f>_xlfn.DAYS(Tabla1[[#This Row],[FECHA FIN ]],Tabla1[[#This Row],[FECHA INICIO]])</f>
        <v>249</v>
      </c>
      <c r="N3935" s="28">
        <v>500</v>
      </c>
      <c r="O3935" s="24">
        <f>(Tabla1[[#This Row],[COSTO FIJO ]]/30)*Tabla1[[#This Row],[TOTAL DIAS PROYECTO]]+(Tabla1[[#This Row],[COSTO TEMPORAL]])</f>
        <v>4150</v>
      </c>
      <c r="P3935" s="12"/>
      <c r="Q3935" s="12">
        <f>+(Tabla1[[#This Row],[COSTO COCHE]]/30)*Tabla1[[#This Row],[TOTAL DIAS PROYECTO]]</f>
        <v>0</v>
      </c>
      <c r="R3935" s="12">
        <f>+Tabla1[[#This Row],[COSTO TOTAL ALOJAMIENTO]]+Tabla1[[#This Row],[COSTO TOTAL COCHE]]</f>
        <v>4150</v>
      </c>
      <c r="S3935" s="2"/>
      <c r="T3935" s="2" t="s">
        <v>35</v>
      </c>
      <c r="U3935" s="14">
        <v>45710</v>
      </c>
      <c r="V3935" s="25"/>
      <c r="W3935" s="26"/>
      <c r="X3935" s="2">
        <v>20</v>
      </c>
      <c r="Y3935" s="11" t="s">
        <v>5823</v>
      </c>
      <c r="Z3935" s="2" t="s">
        <v>36</v>
      </c>
      <c r="AA3935" s="13" t="s">
        <v>10357</v>
      </c>
      <c r="AB3935" s="13" t="s">
        <v>10358</v>
      </c>
    </row>
    <row r="3936" spans="1:28" ht="15" customHeight="1">
      <c r="A3936" s="2" t="s">
        <v>8642</v>
      </c>
      <c r="B3936" s="2" t="s">
        <v>978</v>
      </c>
      <c r="C3936" s="97" t="s">
        <v>5836</v>
      </c>
      <c r="D3936" s="2" t="s">
        <v>30</v>
      </c>
      <c r="E3936" s="2" t="s">
        <v>61</v>
      </c>
      <c r="F3936" s="11" t="s">
        <v>5837</v>
      </c>
      <c r="G3936" s="46" t="s">
        <v>5838</v>
      </c>
      <c r="H3936" s="2" t="s">
        <v>5839</v>
      </c>
      <c r="I3936" s="12" t="s">
        <v>5840</v>
      </c>
      <c r="J3936" s="41">
        <f>+Tabla1[[#This Row],[FECHA ENTRADA]]</f>
        <v>45943</v>
      </c>
      <c r="K3936" s="22">
        <v>45959</v>
      </c>
      <c r="L3936" s="42">
        <f>_xlfn.DAYS(Tabla1[[#This Row],[FECHA FIN ]],Tabla1[[#This Row],[FECHA INICIO]])</f>
        <v>16</v>
      </c>
      <c r="M3936" s="12">
        <f>170+350</f>
        <v>520</v>
      </c>
      <c r="N3936" s="28"/>
      <c r="O3936" s="28">
        <f>(Tabla1[[#This Row],[COSTO FIJO ]]/30)*Tabla1[[#This Row],[TOTAL DIAS PROYECTO]]+(Tabla1[[#This Row],[COSTO TEMPORAL]])</f>
        <v>520</v>
      </c>
      <c r="P3936" s="12"/>
      <c r="Q3936" s="12">
        <f>+(Tabla1[[#This Row],[COSTO COCHE]]/30)*Tabla1[[#This Row],[TOTAL DIAS PROYECTO]]</f>
        <v>0</v>
      </c>
      <c r="R3936" s="12">
        <f>+Tabla1[[#This Row],[COSTO TOTAL ALOJAMIENTO]]+Tabla1[[#This Row],[COSTO TOTAL COCHE]]</f>
        <v>520</v>
      </c>
      <c r="S3936" s="2"/>
      <c r="T3936" s="14" t="s">
        <v>44</v>
      </c>
      <c r="U3936" s="14">
        <v>45943</v>
      </c>
      <c r="V3936" s="43">
        <v>45958</v>
      </c>
      <c r="W3936" s="71"/>
      <c r="X3936" s="2"/>
      <c r="Y3936" s="11" t="s">
        <v>5841</v>
      </c>
      <c r="Z3936" s="2" t="s">
        <v>36</v>
      </c>
      <c r="AA3936" s="13" t="s">
        <v>10329</v>
      </c>
      <c r="AB3936" s="13" t="s">
        <v>10330</v>
      </c>
    </row>
    <row r="3937" spans="1:28" ht="15" customHeight="1">
      <c r="A3937" s="2" t="s">
        <v>9984</v>
      </c>
      <c r="B3937" s="2" t="s">
        <v>711</v>
      </c>
      <c r="C3937" s="97" t="s">
        <v>5842</v>
      </c>
      <c r="D3937" s="2" t="s">
        <v>30</v>
      </c>
      <c r="E3937" s="2" t="s">
        <v>985</v>
      </c>
      <c r="F3937" s="11" t="s">
        <v>5843</v>
      </c>
      <c r="G3937" s="21" t="s">
        <v>5844</v>
      </c>
      <c r="H3937" s="157" t="s">
        <v>5845</v>
      </c>
      <c r="I3937" s="158" t="s">
        <v>5120</v>
      </c>
      <c r="J3937" s="22">
        <f>+Tabla1[[#This Row],[FECHA ENTRADA]]</f>
        <v>45929</v>
      </c>
      <c r="K3937" s="22">
        <v>45959</v>
      </c>
      <c r="L3937" s="23">
        <f>_xlfn.DAYS(Tabla1[[#This Row],[FECHA FIN ]],Tabla1[[#This Row],[FECHA INICIO]])</f>
        <v>30</v>
      </c>
      <c r="M3937" s="12">
        <v>500</v>
      </c>
      <c r="N3937" s="24"/>
      <c r="O3937" s="24">
        <f>(Tabla1[[#This Row],[COSTO FIJO ]]/30)*Tabla1[[#This Row],[TOTAL DIAS PROYECTO]]+(Tabla1[[#This Row],[COSTO TEMPORAL]])</f>
        <v>500</v>
      </c>
      <c r="P3937" s="12"/>
      <c r="Q3937" s="12">
        <f>+(Tabla1[[#This Row],[COSTO COCHE]]/30)*Tabla1[[#This Row],[TOTAL DIAS PROYECTO]]</f>
        <v>0</v>
      </c>
      <c r="R3937" s="12">
        <f>+Tabla1[[#This Row],[COSTO TOTAL ALOJAMIENTO]]+Tabla1[[#This Row],[COSTO TOTAL COCHE]]</f>
        <v>500</v>
      </c>
      <c r="S3937" s="2"/>
      <c r="T3937" s="14" t="s">
        <v>44</v>
      </c>
      <c r="U3937" s="14">
        <v>45929</v>
      </c>
      <c r="V3937" s="25">
        <v>45959</v>
      </c>
      <c r="W3937" s="71"/>
      <c r="X3937" s="2"/>
      <c r="Y3937" s="11" t="s">
        <v>5846</v>
      </c>
      <c r="Z3937" s="2" t="s">
        <v>36</v>
      </c>
      <c r="AA3937" s="13" t="s">
        <v>10407</v>
      </c>
      <c r="AB3937" s="13" t="s">
        <v>10408</v>
      </c>
    </row>
    <row r="3938" spans="1:28" ht="15" customHeight="1">
      <c r="A3938" s="2" t="s">
        <v>9406</v>
      </c>
      <c r="B3938" s="2" t="s">
        <v>711</v>
      </c>
      <c r="C3938" s="104" t="s">
        <v>3075</v>
      </c>
      <c r="D3938" s="2" t="s">
        <v>99</v>
      </c>
      <c r="E3938" s="2" t="s">
        <v>253</v>
      </c>
      <c r="F3938" s="11" t="s">
        <v>5065</v>
      </c>
      <c r="G3938" s="11" t="s">
        <v>1985</v>
      </c>
      <c r="H3938" s="2" t="s">
        <v>5449</v>
      </c>
      <c r="I3938" s="12" t="s">
        <v>2321</v>
      </c>
      <c r="J3938" s="22">
        <f>+Tabla1[[#This Row],[FECHA ENTRADA]]</f>
        <v>45935</v>
      </c>
      <c r="K3938" s="22">
        <v>45959</v>
      </c>
      <c r="L3938" s="23">
        <f>_xlfn.DAYS(Tabla1[[#This Row],[FECHA FIN ]],Tabla1[[#This Row],[FECHA INICIO]])</f>
        <v>24</v>
      </c>
      <c r="M3938" s="12"/>
      <c r="N3938" s="20"/>
      <c r="O3938" s="24">
        <f>(Tabla1[[#This Row],[COSTO FIJO ]]/30)*Tabla1[[#This Row],[TOTAL DIAS PROYECTO]]+(Tabla1[[#This Row],[COSTO TEMPORAL]])</f>
        <v>0</v>
      </c>
      <c r="P3938" s="12"/>
      <c r="Q3938" s="12">
        <f>+(Tabla1[[#This Row],[COSTO COCHE]]/30)*Tabla1[[#This Row],[TOTAL DIAS PROYECTO]]</f>
        <v>0</v>
      </c>
      <c r="R3938" s="12">
        <f>+Tabla1[[#This Row],[COSTO TOTAL ALOJAMIENTO]]+Tabla1[[#This Row],[COSTO TOTAL COCHE]]</f>
        <v>0</v>
      </c>
      <c r="S3938" s="2"/>
      <c r="T3938" s="14" t="s">
        <v>44</v>
      </c>
      <c r="U3938" s="14">
        <v>45935</v>
      </c>
      <c r="V3938" s="25">
        <v>45959</v>
      </c>
      <c r="W3938" s="71"/>
      <c r="X3938" s="2"/>
      <c r="Y3938" s="11" t="s">
        <v>1361</v>
      </c>
      <c r="Z3938" s="2" t="s">
        <v>36</v>
      </c>
      <c r="AA3938" s="13" t="s">
        <v>10357</v>
      </c>
      <c r="AB3938" s="13" t="s">
        <v>10358</v>
      </c>
    </row>
    <row r="3939" spans="1:28" ht="15" customHeight="1">
      <c r="A3939" s="2" t="s">
        <v>9921</v>
      </c>
      <c r="B3939" s="2" t="s">
        <v>711</v>
      </c>
      <c r="C3939" s="104" t="s">
        <v>5451</v>
      </c>
      <c r="D3939" s="2" t="s">
        <v>99</v>
      </c>
      <c r="E3939" s="2" t="s">
        <v>253</v>
      </c>
      <c r="F3939" s="11" t="s">
        <v>5065</v>
      </c>
      <c r="G3939" s="11" t="s">
        <v>1985</v>
      </c>
      <c r="H3939" s="2" t="s">
        <v>5449</v>
      </c>
      <c r="I3939" s="158" t="s">
        <v>2321</v>
      </c>
      <c r="J3939" s="22">
        <f>+Tabla1[[#This Row],[FECHA ENTRADA]]</f>
        <v>45935</v>
      </c>
      <c r="K3939" s="22">
        <v>45959</v>
      </c>
      <c r="L3939" s="23">
        <f>_xlfn.DAYS(Tabla1[[#This Row],[FECHA FIN ]],Tabla1[[#This Row],[FECHA INICIO]])</f>
        <v>24</v>
      </c>
      <c r="M3939" s="12"/>
      <c r="N3939" s="20"/>
      <c r="O3939" s="24">
        <f>(Tabla1[[#This Row],[COSTO FIJO ]]/30)*Tabla1[[#This Row],[TOTAL DIAS PROYECTO]]+(Tabla1[[#This Row],[COSTO TEMPORAL]])</f>
        <v>0</v>
      </c>
      <c r="P3939" s="12"/>
      <c r="Q3939" s="12">
        <f>+(Tabla1[[#This Row],[COSTO COCHE]]/30)*Tabla1[[#This Row],[TOTAL DIAS PROYECTO]]</f>
        <v>0</v>
      </c>
      <c r="R3939" s="12">
        <f>+Tabla1[[#This Row],[COSTO TOTAL ALOJAMIENTO]]+Tabla1[[#This Row],[COSTO TOTAL COCHE]]</f>
        <v>0</v>
      </c>
      <c r="S3939" s="2"/>
      <c r="T3939" s="14" t="s">
        <v>44</v>
      </c>
      <c r="U3939" s="14">
        <v>45935</v>
      </c>
      <c r="V3939" s="25">
        <v>45959</v>
      </c>
      <c r="W3939" s="71"/>
      <c r="X3939" s="2"/>
      <c r="Y3939" s="11" t="s">
        <v>1361</v>
      </c>
      <c r="Z3939" s="2" t="s">
        <v>36</v>
      </c>
      <c r="AA3939" s="13" t="s">
        <v>10357</v>
      </c>
      <c r="AB3939" s="13" t="s">
        <v>10358</v>
      </c>
    </row>
    <row r="3940" spans="1:28" ht="15" customHeight="1">
      <c r="A3940" s="2" t="s">
        <v>9926</v>
      </c>
      <c r="B3940" s="2" t="s">
        <v>978</v>
      </c>
      <c r="C3940" s="104" t="s">
        <v>5492</v>
      </c>
      <c r="D3940" s="184" t="s">
        <v>99</v>
      </c>
      <c r="E3940" s="2" t="s">
        <v>985</v>
      </c>
      <c r="F3940" s="11" t="s">
        <v>5780</v>
      </c>
      <c r="G3940" s="21" t="s">
        <v>5781</v>
      </c>
      <c r="H3940" s="2" t="s">
        <v>5617</v>
      </c>
      <c r="I3940" s="12" t="s">
        <v>5618</v>
      </c>
      <c r="J3940" s="22">
        <f>+Tabla1[[#This Row],[FECHA ENTRADA]]</f>
        <v>45945</v>
      </c>
      <c r="K3940" s="22">
        <v>45959</v>
      </c>
      <c r="L3940" s="23">
        <f>_xlfn.DAYS(Tabla1[[#This Row],[FECHA FIN ]],Tabla1[[#This Row],[FECHA INICIO]])</f>
        <v>14</v>
      </c>
      <c r="M3940" s="12">
        <v>165.16666666666666</v>
      </c>
      <c r="N3940" s="20"/>
      <c r="O3940" s="24">
        <f>(Tabla1[[#This Row],[COSTO FIJO ]]/30)*Tabla1[[#This Row],[TOTAL DIAS PROYECTO]]+(Tabla1[[#This Row],[COSTO TEMPORAL]])</f>
        <v>165.16666666666666</v>
      </c>
      <c r="P3940" s="12"/>
      <c r="Q3940" s="12">
        <f>+(Tabla1[[#This Row],[COSTO COCHE]]/30)*Tabla1[[#This Row],[TOTAL DIAS PROYECTO]]</f>
        <v>0</v>
      </c>
      <c r="R3940" s="12">
        <f>+Tabla1[[#This Row],[COSTO TOTAL ALOJAMIENTO]]+Tabla1[[#This Row],[COSTO TOTAL COCHE]]</f>
        <v>165.16666666666666</v>
      </c>
      <c r="S3940" s="2" t="s">
        <v>84</v>
      </c>
      <c r="T3940" s="14" t="s">
        <v>44</v>
      </c>
      <c r="U3940" s="14">
        <v>45945</v>
      </c>
      <c r="V3940" s="79">
        <v>45960</v>
      </c>
      <c r="W3940" s="71"/>
      <c r="X3940" s="2"/>
      <c r="Y3940" s="11"/>
      <c r="Z3940" s="2" t="s">
        <v>36</v>
      </c>
      <c r="AA3940" s="13" t="s">
        <v>10407</v>
      </c>
      <c r="AB3940" s="13" t="s">
        <v>10408</v>
      </c>
    </row>
    <row r="3941" spans="1:28" ht="15" customHeight="1">
      <c r="A3941" s="2" t="s">
        <v>9985</v>
      </c>
      <c r="B3941" s="2" t="s">
        <v>978</v>
      </c>
      <c r="C3941" s="104" t="s">
        <v>5847</v>
      </c>
      <c r="D3941" s="184" t="s">
        <v>99</v>
      </c>
      <c r="E3941" s="2" t="s">
        <v>985</v>
      </c>
      <c r="F3941" s="11" t="s">
        <v>5780</v>
      </c>
      <c r="G3941" s="21" t="s">
        <v>5781</v>
      </c>
      <c r="H3941" s="2" t="s">
        <v>5617</v>
      </c>
      <c r="I3941" s="12" t="s">
        <v>5618</v>
      </c>
      <c r="J3941" s="22">
        <f>+Tabla1[[#This Row],[FECHA ENTRADA]]</f>
        <v>45945</v>
      </c>
      <c r="K3941" s="22">
        <v>45959</v>
      </c>
      <c r="L3941" s="23">
        <f>_xlfn.DAYS(Tabla1[[#This Row],[FECHA FIN ]],Tabla1[[#This Row],[FECHA INICIO]])</f>
        <v>14</v>
      </c>
      <c r="M3941" s="12">
        <v>165.16666666666666</v>
      </c>
      <c r="N3941" s="20"/>
      <c r="O3941" s="24">
        <f>(Tabla1[[#This Row],[COSTO FIJO ]]/30)*Tabla1[[#This Row],[TOTAL DIAS PROYECTO]]+(Tabla1[[#This Row],[COSTO TEMPORAL]])</f>
        <v>165.16666666666666</v>
      </c>
      <c r="P3941" s="12"/>
      <c r="Q3941" s="12">
        <f>+(Tabla1[[#This Row],[COSTO COCHE]]/30)*Tabla1[[#This Row],[TOTAL DIAS PROYECTO]]</f>
        <v>0</v>
      </c>
      <c r="R3941" s="12">
        <f>+Tabla1[[#This Row],[COSTO TOTAL ALOJAMIENTO]]+Tabla1[[#This Row],[COSTO TOTAL COCHE]]</f>
        <v>165.16666666666666</v>
      </c>
      <c r="S3941" s="2" t="s">
        <v>84</v>
      </c>
      <c r="T3941" s="14" t="s">
        <v>44</v>
      </c>
      <c r="U3941" s="14">
        <v>45945</v>
      </c>
      <c r="V3941" s="79">
        <v>45960</v>
      </c>
      <c r="W3941" s="71"/>
      <c r="X3941" s="2"/>
      <c r="Y3941" s="11"/>
      <c r="Z3941" s="2" t="s">
        <v>36</v>
      </c>
      <c r="AA3941" s="13" t="s">
        <v>10407</v>
      </c>
      <c r="AB3941" s="13" t="s">
        <v>10408</v>
      </c>
    </row>
    <row r="3942" spans="1:28" ht="15" customHeight="1">
      <c r="A3942" s="2" t="s">
        <v>9986</v>
      </c>
      <c r="B3942" s="2" t="s">
        <v>978</v>
      </c>
      <c r="C3942" s="104" t="s">
        <v>5848</v>
      </c>
      <c r="D3942" s="184" t="s">
        <v>99</v>
      </c>
      <c r="E3942" s="2" t="s">
        <v>985</v>
      </c>
      <c r="F3942" s="11" t="s">
        <v>5780</v>
      </c>
      <c r="G3942" s="21" t="s">
        <v>5781</v>
      </c>
      <c r="H3942" s="2" t="s">
        <v>5617</v>
      </c>
      <c r="I3942" s="12" t="s">
        <v>5618</v>
      </c>
      <c r="J3942" s="22">
        <f>+Tabla1[[#This Row],[FECHA ENTRADA]]</f>
        <v>45945</v>
      </c>
      <c r="K3942" s="22">
        <v>45959</v>
      </c>
      <c r="L3942" s="23">
        <f>_xlfn.DAYS(Tabla1[[#This Row],[FECHA FIN ]],Tabla1[[#This Row],[FECHA INICIO]])</f>
        <v>14</v>
      </c>
      <c r="M3942" s="12">
        <v>165.16666666666666</v>
      </c>
      <c r="N3942" s="20"/>
      <c r="O3942" s="24">
        <f>(Tabla1[[#This Row],[COSTO FIJO ]]/30)*Tabla1[[#This Row],[TOTAL DIAS PROYECTO]]+(Tabla1[[#This Row],[COSTO TEMPORAL]])</f>
        <v>165.16666666666666</v>
      </c>
      <c r="P3942" s="12"/>
      <c r="Q3942" s="12">
        <f>+(Tabla1[[#This Row],[COSTO COCHE]]/30)*Tabla1[[#This Row],[TOTAL DIAS PROYECTO]]</f>
        <v>0</v>
      </c>
      <c r="R3942" s="12">
        <f>+Tabla1[[#This Row],[COSTO TOTAL ALOJAMIENTO]]+Tabla1[[#This Row],[COSTO TOTAL COCHE]]</f>
        <v>165.16666666666666</v>
      </c>
      <c r="S3942" s="2" t="s">
        <v>84</v>
      </c>
      <c r="T3942" s="14" t="s">
        <v>44</v>
      </c>
      <c r="U3942" s="14">
        <v>45945</v>
      </c>
      <c r="V3942" s="79">
        <v>45960</v>
      </c>
      <c r="W3942" s="71"/>
      <c r="X3942" s="2"/>
      <c r="Y3942" s="11"/>
      <c r="Z3942" s="2" t="s">
        <v>36</v>
      </c>
      <c r="AA3942" s="13" t="s">
        <v>10407</v>
      </c>
      <c r="AB3942" s="13" t="s">
        <v>10408</v>
      </c>
    </row>
    <row r="3943" spans="1:28" ht="15" customHeight="1">
      <c r="A3943" s="2" t="s">
        <v>9987</v>
      </c>
      <c r="B3943" s="2" t="s">
        <v>978</v>
      </c>
      <c r="C3943" s="104" t="s">
        <v>5849</v>
      </c>
      <c r="D3943" s="184" t="s">
        <v>99</v>
      </c>
      <c r="E3943" s="2" t="s">
        <v>985</v>
      </c>
      <c r="F3943" s="11" t="s">
        <v>5780</v>
      </c>
      <c r="G3943" s="21" t="s">
        <v>5781</v>
      </c>
      <c r="H3943" s="2" t="s">
        <v>5617</v>
      </c>
      <c r="I3943" s="12" t="s">
        <v>5618</v>
      </c>
      <c r="J3943" s="22">
        <f>+Tabla1[[#This Row],[FECHA ENTRADA]]</f>
        <v>45945</v>
      </c>
      <c r="K3943" s="22">
        <v>45959</v>
      </c>
      <c r="L3943" s="23">
        <f>_xlfn.DAYS(Tabla1[[#This Row],[FECHA FIN ]],Tabla1[[#This Row],[FECHA INICIO]])</f>
        <v>14</v>
      </c>
      <c r="M3943" s="12">
        <v>165.16666666666666</v>
      </c>
      <c r="N3943" s="20"/>
      <c r="O3943" s="24">
        <f>(Tabla1[[#This Row],[COSTO FIJO ]]/30)*Tabla1[[#This Row],[TOTAL DIAS PROYECTO]]+(Tabla1[[#This Row],[COSTO TEMPORAL]])</f>
        <v>165.16666666666666</v>
      </c>
      <c r="P3943" s="12"/>
      <c r="Q3943" s="12">
        <f>+(Tabla1[[#This Row],[COSTO COCHE]]/30)*Tabla1[[#This Row],[TOTAL DIAS PROYECTO]]</f>
        <v>0</v>
      </c>
      <c r="R3943" s="12">
        <f>+Tabla1[[#This Row],[COSTO TOTAL ALOJAMIENTO]]+Tabla1[[#This Row],[COSTO TOTAL COCHE]]</f>
        <v>165.16666666666666</v>
      </c>
      <c r="S3943" s="2" t="s">
        <v>84</v>
      </c>
      <c r="T3943" s="14" t="s">
        <v>44</v>
      </c>
      <c r="U3943" s="14">
        <v>45945</v>
      </c>
      <c r="V3943" s="79">
        <v>45960</v>
      </c>
      <c r="W3943" s="71"/>
      <c r="X3943" s="2"/>
      <c r="Y3943" s="11"/>
      <c r="Z3943" s="2" t="s">
        <v>36</v>
      </c>
      <c r="AA3943" s="13" t="s">
        <v>10407</v>
      </c>
      <c r="AB3943" s="13" t="s">
        <v>10408</v>
      </c>
    </row>
    <row r="3944" spans="1:28" ht="15" customHeight="1">
      <c r="A3944" s="2" t="s">
        <v>9988</v>
      </c>
      <c r="B3944" s="2" t="s">
        <v>978</v>
      </c>
      <c r="C3944" s="104" t="s">
        <v>5850</v>
      </c>
      <c r="D3944" s="2" t="s">
        <v>30</v>
      </c>
      <c r="E3944" s="2" t="s">
        <v>985</v>
      </c>
      <c r="F3944" s="11" t="s">
        <v>5851</v>
      </c>
      <c r="G3944" s="46" t="s">
        <v>5616</v>
      </c>
      <c r="H3944" s="2" t="s">
        <v>5718</v>
      </c>
      <c r="I3944" s="12" t="s">
        <v>5618</v>
      </c>
      <c r="J3944" s="41">
        <f>+Tabla1[[#This Row],[FECHA ENTRADA]]</f>
        <v>45943</v>
      </c>
      <c r="K3944" s="22">
        <v>45959</v>
      </c>
      <c r="L3944" s="42">
        <f>_xlfn.DAYS(Tabla1[[#This Row],[FECHA FIN ]],Tabla1[[#This Row],[FECHA INICIO]])</f>
        <v>16</v>
      </c>
      <c r="M3944" s="12">
        <v>193</v>
      </c>
      <c r="N3944" s="28"/>
      <c r="O3944" s="28">
        <f>(Tabla1[[#This Row],[COSTO FIJO ]]/30)*Tabla1[[#This Row],[TOTAL DIAS PROYECTO]]+(Tabla1[[#This Row],[COSTO TEMPORAL]])</f>
        <v>193</v>
      </c>
      <c r="P3944" s="12"/>
      <c r="Q3944" s="12">
        <f>+(Tabla1[[#This Row],[COSTO COCHE]]/30)*Tabla1[[#This Row],[TOTAL DIAS PROYECTO]]</f>
        <v>0</v>
      </c>
      <c r="R3944" s="12">
        <f>+Tabla1[[#This Row],[COSTO TOTAL ALOJAMIENTO]]+Tabla1[[#This Row],[COSTO TOTAL COCHE]]</f>
        <v>193</v>
      </c>
      <c r="S3944" s="2" t="s">
        <v>84</v>
      </c>
      <c r="T3944" s="14" t="s">
        <v>44</v>
      </c>
      <c r="U3944" s="14">
        <v>45943</v>
      </c>
      <c r="V3944" s="43">
        <v>45960</v>
      </c>
      <c r="W3944" s="71"/>
      <c r="X3944" s="2"/>
      <c r="Y3944" s="11"/>
      <c r="Z3944" s="2" t="s">
        <v>36</v>
      </c>
      <c r="AA3944" s="13" t="s">
        <v>10407</v>
      </c>
      <c r="AB3944" s="13" t="s">
        <v>10408</v>
      </c>
    </row>
    <row r="3945" spans="1:28" ht="15" customHeight="1">
      <c r="A3945" s="2" t="s">
        <v>9989</v>
      </c>
      <c r="B3945" s="2" t="s">
        <v>978</v>
      </c>
      <c r="C3945" s="11" t="s">
        <v>5852</v>
      </c>
      <c r="D3945" s="2" t="s">
        <v>30</v>
      </c>
      <c r="E3945" s="2" t="s">
        <v>985</v>
      </c>
      <c r="F3945" s="11" t="s">
        <v>5851</v>
      </c>
      <c r="G3945" s="46" t="s">
        <v>5616</v>
      </c>
      <c r="H3945" s="2" t="s">
        <v>5718</v>
      </c>
      <c r="I3945" s="12" t="s">
        <v>5618</v>
      </c>
      <c r="J3945" s="41">
        <f>+Tabla1[[#This Row],[FECHA ENTRADA]]</f>
        <v>45943</v>
      </c>
      <c r="K3945" s="22">
        <v>45959</v>
      </c>
      <c r="L3945" s="42">
        <f>_xlfn.DAYS(Tabla1[[#This Row],[FECHA FIN ]],Tabla1[[#This Row],[FECHA INICIO]])</f>
        <v>16</v>
      </c>
      <c r="M3945" s="12">
        <v>193</v>
      </c>
      <c r="N3945" s="28"/>
      <c r="O3945" s="28">
        <f>(Tabla1[[#This Row],[COSTO FIJO ]]/30)*Tabla1[[#This Row],[TOTAL DIAS PROYECTO]]+(Tabla1[[#This Row],[COSTO TEMPORAL]])</f>
        <v>193</v>
      </c>
      <c r="P3945" s="12"/>
      <c r="Q3945" s="12">
        <f>+(Tabla1[[#This Row],[COSTO COCHE]]/30)*Tabla1[[#This Row],[TOTAL DIAS PROYECTO]]</f>
        <v>0</v>
      </c>
      <c r="R3945" s="12">
        <f>+Tabla1[[#This Row],[COSTO TOTAL ALOJAMIENTO]]+Tabla1[[#This Row],[COSTO TOTAL COCHE]]</f>
        <v>193</v>
      </c>
      <c r="S3945" s="2" t="s">
        <v>84</v>
      </c>
      <c r="T3945" s="14" t="s">
        <v>44</v>
      </c>
      <c r="U3945" s="14">
        <v>45943</v>
      </c>
      <c r="V3945" s="43">
        <v>45960</v>
      </c>
      <c r="W3945" s="71"/>
      <c r="X3945" s="2"/>
      <c r="Y3945" s="11"/>
      <c r="Z3945" s="2" t="s">
        <v>36</v>
      </c>
      <c r="AA3945" s="13" t="s">
        <v>10407</v>
      </c>
      <c r="AB3945" s="13" t="s">
        <v>10408</v>
      </c>
    </row>
    <row r="3946" spans="1:28" ht="15" customHeight="1">
      <c r="A3946" s="2" t="s">
        <v>9990</v>
      </c>
      <c r="B3946" s="2" t="s">
        <v>978</v>
      </c>
      <c r="C3946" s="104" t="s">
        <v>5853</v>
      </c>
      <c r="D3946" s="2" t="s">
        <v>30</v>
      </c>
      <c r="E3946" s="2" t="s">
        <v>985</v>
      </c>
      <c r="F3946" s="11" t="s">
        <v>5851</v>
      </c>
      <c r="G3946" s="46" t="s">
        <v>5616</v>
      </c>
      <c r="H3946" s="2" t="s">
        <v>5718</v>
      </c>
      <c r="I3946" s="12" t="s">
        <v>5618</v>
      </c>
      <c r="J3946" s="41">
        <f>+Tabla1[[#This Row],[FECHA ENTRADA]]</f>
        <v>45943</v>
      </c>
      <c r="K3946" s="22">
        <v>45959</v>
      </c>
      <c r="L3946" s="42">
        <f>_xlfn.DAYS(Tabla1[[#This Row],[FECHA FIN ]],Tabla1[[#This Row],[FECHA INICIO]])</f>
        <v>16</v>
      </c>
      <c r="M3946" s="12">
        <v>193</v>
      </c>
      <c r="N3946" s="28"/>
      <c r="O3946" s="28">
        <f>(Tabla1[[#This Row],[COSTO FIJO ]]/30)*Tabla1[[#This Row],[TOTAL DIAS PROYECTO]]+(Tabla1[[#This Row],[COSTO TEMPORAL]])</f>
        <v>193</v>
      </c>
      <c r="P3946" s="12"/>
      <c r="Q3946" s="12">
        <f>+(Tabla1[[#This Row],[COSTO COCHE]]/30)*Tabla1[[#This Row],[TOTAL DIAS PROYECTO]]</f>
        <v>0</v>
      </c>
      <c r="R3946" s="12">
        <f>+Tabla1[[#This Row],[COSTO TOTAL ALOJAMIENTO]]+Tabla1[[#This Row],[COSTO TOTAL COCHE]]</f>
        <v>193</v>
      </c>
      <c r="S3946" s="2" t="s">
        <v>84</v>
      </c>
      <c r="T3946" s="14" t="s">
        <v>44</v>
      </c>
      <c r="U3946" s="14">
        <v>45943</v>
      </c>
      <c r="V3946" s="43">
        <v>45960</v>
      </c>
      <c r="W3946" s="71"/>
      <c r="X3946" s="2"/>
      <c r="Y3946" s="11"/>
      <c r="Z3946" s="2" t="s">
        <v>36</v>
      </c>
      <c r="AA3946" s="13" t="s">
        <v>10407</v>
      </c>
      <c r="AB3946" s="13" t="s">
        <v>10408</v>
      </c>
    </row>
    <row r="3947" spans="1:28" ht="15" customHeight="1">
      <c r="A3947" s="2" t="s">
        <v>9991</v>
      </c>
      <c r="B3947" s="2" t="s">
        <v>978</v>
      </c>
      <c r="C3947" s="104" t="s">
        <v>5854</v>
      </c>
      <c r="D3947" s="2" t="s">
        <v>30</v>
      </c>
      <c r="E3947" s="2" t="s">
        <v>985</v>
      </c>
      <c r="F3947" s="11" t="s">
        <v>5851</v>
      </c>
      <c r="G3947" s="46" t="s">
        <v>5616</v>
      </c>
      <c r="H3947" s="2" t="s">
        <v>5718</v>
      </c>
      <c r="I3947" s="12" t="s">
        <v>5618</v>
      </c>
      <c r="J3947" s="41">
        <f>+Tabla1[[#This Row],[FECHA ENTRADA]]</f>
        <v>45943</v>
      </c>
      <c r="K3947" s="22">
        <v>45959</v>
      </c>
      <c r="L3947" s="42">
        <f>_xlfn.DAYS(Tabla1[[#This Row],[FECHA FIN ]],Tabla1[[#This Row],[FECHA INICIO]])</f>
        <v>16</v>
      </c>
      <c r="M3947" s="12">
        <v>193</v>
      </c>
      <c r="N3947" s="28"/>
      <c r="O3947" s="28">
        <f>(Tabla1[[#This Row],[COSTO FIJO ]]/30)*Tabla1[[#This Row],[TOTAL DIAS PROYECTO]]+(Tabla1[[#This Row],[COSTO TEMPORAL]])</f>
        <v>193</v>
      </c>
      <c r="P3947" s="12"/>
      <c r="Q3947" s="12">
        <f>+(Tabla1[[#This Row],[COSTO COCHE]]/30)*Tabla1[[#This Row],[TOTAL DIAS PROYECTO]]</f>
        <v>0</v>
      </c>
      <c r="R3947" s="12">
        <f>+Tabla1[[#This Row],[COSTO TOTAL ALOJAMIENTO]]+Tabla1[[#This Row],[COSTO TOTAL COCHE]]</f>
        <v>193</v>
      </c>
      <c r="S3947" s="2" t="s">
        <v>84</v>
      </c>
      <c r="T3947" s="14" t="s">
        <v>44</v>
      </c>
      <c r="U3947" s="14">
        <v>45943</v>
      </c>
      <c r="V3947" s="43">
        <v>45960</v>
      </c>
      <c r="W3947" s="71"/>
      <c r="X3947" s="2"/>
      <c r="Y3947" s="11"/>
      <c r="Z3947" s="2" t="s">
        <v>36</v>
      </c>
      <c r="AA3947" s="13" t="s">
        <v>10407</v>
      </c>
      <c r="AB3947" s="13" t="s">
        <v>10408</v>
      </c>
    </row>
    <row r="3948" spans="1:28" ht="15" customHeight="1">
      <c r="A3948" s="2" t="s">
        <v>9948</v>
      </c>
      <c r="B3948" s="2" t="s">
        <v>978</v>
      </c>
      <c r="C3948" s="97" t="s">
        <v>5639</v>
      </c>
      <c r="D3948" s="2" t="s">
        <v>30</v>
      </c>
      <c r="E3948" s="2" t="s">
        <v>61</v>
      </c>
      <c r="F3948" s="11" t="s">
        <v>5837</v>
      </c>
      <c r="G3948" s="46" t="s">
        <v>5838</v>
      </c>
      <c r="H3948" s="2" t="s">
        <v>5839</v>
      </c>
      <c r="I3948" s="12" t="s">
        <v>5840</v>
      </c>
      <c r="J3948" s="41">
        <f>+Tabla1[[#This Row],[FECHA ENTRADA]]</f>
        <v>45946</v>
      </c>
      <c r="K3948" s="22">
        <v>45959</v>
      </c>
      <c r="L3948" s="42">
        <f>_xlfn.DAYS(Tabla1[[#This Row],[FECHA FIN ]],Tabla1[[#This Row],[FECHA INICIO]])</f>
        <v>13</v>
      </c>
      <c r="M3948" s="12">
        <v>170</v>
      </c>
      <c r="N3948" s="28"/>
      <c r="O3948" s="28">
        <f>(Tabla1[[#This Row],[COSTO FIJO ]]/30)*Tabla1[[#This Row],[TOTAL DIAS PROYECTO]]+(Tabla1[[#This Row],[COSTO TEMPORAL]])</f>
        <v>170</v>
      </c>
      <c r="P3948" s="12"/>
      <c r="Q3948" s="12">
        <f>+(Tabla1[[#This Row],[COSTO COCHE]]/30)*Tabla1[[#This Row],[TOTAL DIAS PROYECTO]]</f>
        <v>0</v>
      </c>
      <c r="R3948" s="12">
        <f>+Tabla1[[#This Row],[COSTO TOTAL ALOJAMIENTO]]+Tabla1[[#This Row],[COSTO TOTAL COCHE]]</f>
        <v>170</v>
      </c>
      <c r="S3948" s="2"/>
      <c r="T3948" s="14" t="s">
        <v>44</v>
      </c>
      <c r="U3948" s="14">
        <v>45946</v>
      </c>
      <c r="V3948" s="43">
        <v>45958</v>
      </c>
      <c r="W3948" s="71"/>
      <c r="X3948" s="2"/>
      <c r="Y3948" s="11" t="s">
        <v>5855</v>
      </c>
      <c r="Z3948" s="2" t="s">
        <v>36</v>
      </c>
      <c r="AA3948" s="13" t="s">
        <v>10329</v>
      </c>
      <c r="AB3948" s="13" t="s">
        <v>10330</v>
      </c>
    </row>
    <row r="3949" spans="1:28" ht="15" customHeight="1">
      <c r="A3949" s="2" t="s">
        <v>9992</v>
      </c>
      <c r="B3949" s="2" t="s">
        <v>978</v>
      </c>
      <c r="C3949" s="104" t="s">
        <v>5856</v>
      </c>
      <c r="D3949" s="2" t="s">
        <v>30</v>
      </c>
      <c r="E3949" s="2" t="s">
        <v>985</v>
      </c>
      <c r="F3949" s="11" t="s">
        <v>5851</v>
      </c>
      <c r="G3949" s="46" t="s">
        <v>5616</v>
      </c>
      <c r="H3949" s="2" t="s">
        <v>5718</v>
      </c>
      <c r="I3949" s="12" t="s">
        <v>5618</v>
      </c>
      <c r="J3949" s="41">
        <f>+Tabla1[[#This Row],[FECHA ENTRADA]]</f>
        <v>45943</v>
      </c>
      <c r="K3949" s="22">
        <v>45959</v>
      </c>
      <c r="L3949" s="42">
        <f>_xlfn.DAYS(Tabla1[[#This Row],[FECHA FIN ]],Tabla1[[#This Row],[FECHA INICIO]])</f>
        <v>16</v>
      </c>
      <c r="M3949" s="12">
        <v>193</v>
      </c>
      <c r="N3949" s="28"/>
      <c r="O3949" s="28">
        <f>(Tabla1[[#This Row],[COSTO FIJO ]]/30)*Tabla1[[#This Row],[TOTAL DIAS PROYECTO]]+(Tabla1[[#This Row],[COSTO TEMPORAL]])</f>
        <v>193</v>
      </c>
      <c r="P3949" s="12"/>
      <c r="Q3949" s="12">
        <f>+(Tabla1[[#This Row],[COSTO COCHE]]/30)*Tabla1[[#This Row],[TOTAL DIAS PROYECTO]]</f>
        <v>0</v>
      </c>
      <c r="R3949" s="12">
        <f>+Tabla1[[#This Row],[COSTO TOTAL ALOJAMIENTO]]+Tabla1[[#This Row],[COSTO TOTAL COCHE]]</f>
        <v>193</v>
      </c>
      <c r="S3949" s="2" t="s">
        <v>84</v>
      </c>
      <c r="T3949" s="14" t="s">
        <v>44</v>
      </c>
      <c r="U3949" s="14">
        <v>45943</v>
      </c>
      <c r="V3949" s="43">
        <v>45960</v>
      </c>
      <c r="W3949" s="71"/>
      <c r="X3949" s="2"/>
      <c r="Y3949" s="11"/>
      <c r="Z3949" s="2" t="s">
        <v>36</v>
      </c>
      <c r="AA3949" s="13" t="s">
        <v>10407</v>
      </c>
      <c r="AB3949" s="13" t="s">
        <v>10408</v>
      </c>
    </row>
    <row r="3950" spans="1:28" ht="15" customHeight="1">
      <c r="A3950" s="2" t="s">
        <v>9993</v>
      </c>
      <c r="B3950" s="2" t="s">
        <v>978</v>
      </c>
      <c r="C3950" s="104" t="s">
        <v>5857</v>
      </c>
      <c r="D3950" s="2" t="s">
        <v>30</v>
      </c>
      <c r="E3950" s="2" t="s">
        <v>985</v>
      </c>
      <c r="F3950" s="11" t="s">
        <v>5858</v>
      </c>
      <c r="G3950" s="46" t="s">
        <v>5616</v>
      </c>
      <c r="H3950" s="2" t="s">
        <v>5718</v>
      </c>
      <c r="I3950" s="158" t="s">
        <v>5618</v>
      </c>
      <c r="J3950" s="41">
        <f>+Tabla1[[#This Row],[FECHA ENTRADA]]</f>
        <v>45943</v>
      </c>
      <c r="K3950" s="22">
        <v>45959</v>
      </c>
      <c r="L3950" s="42">
        <f>_xlfn.DAYS(Tabla1[[#This Row],[FECHA FIN ]],Tabla1[[#This Row],[FECHA INICIO]])</f>
        <v>16</v>
      </c>
      <c r="M3950" s="12">
        <v>242.75</v>
      </c>
      <c r="N3950" s="28"/>
      <c r="O3950" s="28">
        <f>(Tabla1[[#This Row],[COSTO FIJO ]]/30)*Tabla1[[#This Row],[TOTAL DIAS PROYECTO]]+(Tabla1[[#This Row],[COSTO TEMPORAL]])</f>
        <v>242.75</v>
      </c>
      <c r="P3950" s="12"/>
      <c r="Q3950" s="12">
        <f>+(Tabla1[[#This Row],[COSTO COCHE]]/30)*Tabla1[[#This Row],[TOTAL DIAS PROYECTO]]</f>
        <v>0</v>
      </c>
      <c r="R3950" s="12">
        <f>+Tabla1[[#This Row],[COSTO TOTAL ALOJAMIENTO]]+Tabla1[[#This Row],[COSTO TOTAL COCHE]]</f>
        <v>242.75</v>
      </c>
      <c r="S3950" s="2" t="s">
        <v>84</v>
      </c>
      <c r="T3950" s="14" t="s">
        <v>44</v>
      </c>
      <c r="U3950" s="14">
        <v>45943</v>
      </c>
      <c r="V3950" s="43">
        <v>45960</v>
      </c>
      <c r="W3950" s="71"/>
      <c r="X3950" s="2"/>
      <c r="Y3950" s="11"/>
      <c r="Z3950" s="2" t="s">
        <v>36</v>
      </c>
      <c r="AA3950" s="13" t="s">
        <v>10407</v>
      </c>
      <c r="AB3950" s="13" t="s">
        <v>10408</v>
      </c>
    </row>
    <row r="3951" spans="1:28" ht="15" customHeight="1">
      <c r="A3951" s="2" t="s">
        <v>9994</v>
      </c>
      <c r="B3951" s="2" t="s">
        <v>978</v>
      </c>
      <c r="C3951" s="104" t="s">
        <v>5859</v>
      </c>
      <c r="D3951" s="2" t="s">
        <v>30</v>
      </c>
      <c r="E3951" s="2" t="s">
        <v>985</v>
      </c>
      <c r="F3951" s="11" t="s">
        <v>5858</v>
      </c>
      <c r="G3951" s="46" t="s">
        <v>5616</v>
      </c>
      <c r="H3951" s="2" t="s">
        <v>5718</v>
      </c>
      <c r="I3951" s="12" t="s">
        <v>5618</v>
      </c>
      <c r="J3951" s="41">
        <f>+Tabla1[[#This Row],[FECHA ENTRADA]]</f>
        <v>45943</v>
      </c>
      <c r="K3951" s="22">
        <v>45959</v>
      </c>
      <c r="L3951" s="42">
        <f>_xlfn.DAYS(Tabla1[[#This Row],[FECHA FIN ]],Tabla1[[#This Row],[FECHA INICIO]])</f>
        <v>16</v>
      </c>
      <c r="M3951" s="12">
        <v>242.75</v>
      </c>
      <c r="N3951" s="28"/>
      <c r="O3951" s="28">
        <f>(Tabla1[[#This Row],[COSTO FIJO ]]/30)*Tabla1[[#This Row],[TOTAL DIAS PROYECTO]]+(Tabla1[[#This Row],[COSTO TEMPORAL]])</f>
        <v>242.75</v>
      </c>
      <c r="P3951" s="12"/>
      <c r="Q3951" s="12">
        <f>+(Tabla1[[#This Row],[COSTO COCHE]]/30)*Tabla1[[#This Row],[TOTAL DIAS PROYECTO]]</f>
        <v>0</v>
      </c>
      <c r="R3951" s="12">
        <f>+Tabla1[[#This Row],[COSTO TOTAL ALOJAMIENTO]]+Tabla1[[#This Row],[COSTO TOTAL COCHE]]</f>
        <v>242.75</v>
      </c>
      <c r="S3951" s="2" t="s">
        <v>84</v>
      </c>
      <c r="T3951" s="14" t="s">
        <v>44</v>
      </c>
      <c r="U3951" s="14">
        <v>45943</v>
      </c>
      <c r="V3951" s="43">
        <v>45960</v>
      </c>
      <c r="W3951" s="71"/>
      <c r="X3951" s="2"/>
      <c r="Y3951" s="11"/>
      <c r="Z3951" s="2" t="s">
        <v>36</v>
      </c>
      <c r="AA3951" s="13" t="s">
        <v>10407</v>
      </c>
      <c r="AB3951" s="13" t="s">
        <v>10408</v>
      </c>
    </row>
    <row r="3952" spans="1:28" ht="15" customHeight="1">
      <c r="A3952" s="2" t="s">
        <v>9995</v>
      </c>
      <c r="B3952" s="2" t="s">
        <v>978</v>
      </c>
      <c r="C3952" s="104" t="s">
        <v>5860</v>
      </c>
      <c r="D3952" s="2" t="s">
        <v>30</v>
      </c>
      <c r="E3952" s="2" t="s">
        <v>985</v>
      </c>
      <c r="F3952" s="11" t="s">
        <v>5858</v>
      </c>
      <c r="G3952" s="46" t="s">
        <v>5616</v>
      </c>
      <c r="H3952" s="2" t="s">
        <v>5718</v>
      </c>
      <c r="I3952" s="12" t="s">
        <v>5618</v>
      </c>
      <c r="J3952" s="41">
        <f>+Tabla1[[#This Row],[FECHA ENTRADA]]</f>
        <v>45943</v>
      </c>
      <c r="K3952" s="22">
        <v>45959</v>
      </c>
      <c r="L3952" s="42">
        <f>_xlfn.DAYS(Tabla1[[#This Row],[FECHA FIN ]],Tabla1[[#This Row],[FECHA INICIO]])</f>
        <v>16</v>
      </c>
      <c r="M3952" s="12">
        <v>242.75</v>
      </c>
      <c r="N3952" s="28"/>
      <c r="O3952" s="28">
        <f>(Tabla1[[#This Row],[COSTO FIJO ]]/30)*Tabla1[[#This Row],[TOTAL DIAS PROYECTO]]+(Tabla1[[#This Row],[COSTO TEMPORAL]])</f>
        <v>242.75</v>
      </c>
      <c r="P3952" s="12"/>
      <c r="Q3952" s="12">
        <f>+(Tabla1[[#This Row],[COSTO COCHE]]/30)*Tabla1[[#This Row],[TOTAL DIAS PROYECTO]]</f>
        <v>0</v>
      </c>
      <c r="R3952" s="12">
        <f>+Tabla1[[#This Row],[COSTO TOTAL ALOJAMIENTO]]+Tabla1[[#This Row],[COSTO TOTAL COCHE]]</f>
        <v>242.75</v>
      </c>
      <c r="S3952" s="2" t="s">
        <v>84</v>
      </c>
      <c r="T3952" s="14" t="s">
        <v>44</v>
      </c>
      <c r="U3952" s="14">
        <v>45943</v>
      </c>
      <c r="V3952" s="43">
        <v>45960</v>
      </c>
      <c r="W3952" s="71"/>
      <c r="X3952" s="2"/>
      <c r="Y3952" s="11"/>
      <c r="Z3952" s="2" t="s">
        <v>36</v>
      </c>
      <c r="AA3952" s="13" t="s">
        <v>10407</v>
      </c>
      <c r="AB3952" s="13" t="s">
        <v>10408</v>
      </c>
    </row>
    <row r="3953" spans="1:28" ht="15" customHeight="1">
      <c r="A3953" s="2" t="s">
        <v>9901</v>
      </c>
      <c r="B3953" s="2" t="s">
        <v>978</v>
      </c>
      <c r="C3953" s="104" t="s">
        <v>5298</v>
      </c>
      <c r="D3953" s="2" t="s">
        <v>30</v>
      </c>
      <c r="E3953" s="2" t="s">
        <v>985</v>
      </c>
      <c r="F3953" s="11" t="s">
        <v>5858</v>
      </c>
      <c r="G3953" s="46" t="s">
        <v>5616</v>
      </c>
      <c r="H3953" s="2" t="s">
        <v>5718</v>
      </c>
      <c r="I3953" s="12" t="s">
        <v>5618</v>
      </c>
      <c r="J3953" s="41">
        <f>+Tabla1[[#This Row],[FECHA ENTRADA]]</f>
        <v>45943</v>
      </c>
      <c r="K3953" s="22">
        <v>45959</v>
      </c>
      <c r="L3953" s="42">
        <f>_xlfn.DAYS(Tabla1[[#This Row],[FECHA FIN ]],Tabla1[[#This Row],[FECHA INICIO]])</f>
        <v>16</v>
      </c>
      <c r="M3953" s="12">
        <v>242.75</v>
      </c>
      <c r="N3953" s="28"/>
      <c r="O3953" s="28">
        <f>(Tabla1[[#This Row],[COSTO FIJO ]]/30)*Tabla1[[#This Row],[TOTAL DIAS PROYECTO]]+(Tabla1[[#This Row],[COSTO TEMPORAL]])</f>
        <v>242.75</v>
      </c>
      <c r="P3953" s="12"/>
      <c r="Q3953" s="12">
        <f>+(Tabla1[[#This Row],[COSTO COCHE]]/30)*Tabla1[[#This Row],[TOTAL DIAS PROYECTO]]</f>
        <v>0</v>
      </c>
      <c r="R3953" s="12">
        <f>+Tabla1[[#This Row],[COSTO TOTAL ALOJAMIENTO]]+Tabla1[[#This Row],[COSTO TOTAL COCHE]]</f>
        <v>242.75</v>
      </c>
      <c r="S3953" s="2" t="s">
        <v>84</v>
      </c>
      <c r="T3953" s="14" t="s">
        <v>44</v>
      </c>
      <c r="U3953" s="14">
        <v>45943</v>
      </c>
      <c r="V3953" s="43">
        <v>45960</v>
      </c>
      <c r="W3953" s="71"/>
      <c r="X3953" s="2"/>
      <c r="Y3953" s="11"/>
      <c r="Z3953" s="2" t="s">
        <v>36</v>
      </c>
      <c r="AA3953" s="13" t="s">
        <v>10407</v>
      </c>
      <c r="AB3953" s="13" t="s">
        <v>10408</v>
      </c>
    </row>
    <row r="3954" spans="1:28" ht="15" customHeight="1">
      <c r="A3954" s="2" t="s">
        <v>9996</v>
      </c>
      <c r="B3954" s="2" t="s">
        <v>978</v>
      </c>
      <c r="C3954" s="104" t="s">
        <v>5861</v>
      </c>
      <c r="D3954" s="2" t="s">
        <v>99</v>
      </c>
      <c r="E3954" s="2" t="s">
        <v>985</v>
      </c>
      <c r="F3954" s="11" t="s">
        <v>5780</v>
      </c>
      <c r="G3954" s="21" t="s">
        <v>5781</v>
      </c>
      <c r="H3954" s="2" t="s">
        <v>5784</v>
      </c>
      <c r="I3954" s="12" t="s">
        <v>5618</v>
      </c>
      <c r="J3954" s="22">
        <f>+Tabla1[[#This Row],[FECHA ENTRADA]]</f>
        <v>45956</v>
      </c>
      <c r="K3954" s="22">
        <v>45959</v>
      </c>
      <c r="L3954" s="23">
        <f>_xlfn.DAYS(Tabla1[[#This Row],[FECHA FIN ]],Tabla1[[#This Row],[FECHA INICIO]])</f>
        <v>3</v>
      </c>
      <c r="M3954" s="12">
        <v>165.16666666666666</v>
      </c>
      <c r="N3954" s="20"/>
      <c r="O3954" s="24">
        <f>(Tabla1[[#This Row],[COSTO FIJO ]]/30)*Tabla1[[#This Row],[TOTAL DIAS PROYECTO]]+(Tabla1[[#This Row],[COSTO TEMPORAL]])</f>
        <v>165.16666666666666</v>
      </c>
      <c r="P3954" s="12"/>
      <c r="Q3954" s="12">
        <f>+(Tabla1[[#This Row],[COSTO COCHE]]/30)*Tabla1[[#This Row],[TOTAL DIAS PROYECTO]]</f>
        <v>0</v>
      </c>
      <c r="R3954" s="12">
        <f>+Tabla1[[#This Row],[COSTO TOTAL ALOJAMIENTO]]+Tabla1[[#This Row],[COSTO TOTAL COCHE]]</f>
        <v>165.16666666666666</v>
      </c>
      <c r="S3954" s="2" t="s">
        <v>84</v>
      </c>
      <c r="T3954" s="14" t="s">
        <v>44</v>
      </c>
      <c r="U3954" s="14">
        <v>45956</v>
      </c>
      <c r="V3954" s="79">
        <v>45960</v>
      </c>
      <c r="W3954" s="71"/>
      <c r="X3954" s="2"/>
      <c r="Y3954" s="11"/>
      <c r="Z3954" s="2" t="s">
        <v>36</v>
      </c>
      <c r="AA3954" s="13" t="s">
        <v>10407</v>
      </c>
      <c r="AB3954" s="13" t="s">
        <v>10408</v>
      </c>
    </row>
    <row r="3955" spans="1:28" ht="15" customHeight="1">
      <c r="A3955" s="2" t="s">
        <v>9545</v>
      </c>
      <c r="B3955" s="2" t="s">
        <v>711</v>
      </c>
      <c r="C3955" s="276" t="s">
        <v>3589</v>
      </c>
      <c r="D3955" s="2" t="s">
        <v>30</v>
      </c>
      <c r="E3955" s="2" t="s">
        <v>31</v>
      </c>
      <c r="F3955" s="31" t="s">
        <v>5707</v>
      </c>
      <c r="G3955" s="46" t="s">
        <v>5708</v>
      </c>
      <c r="H3955" s="2" t="s">
        <v>5709</v>
      </c>
      <c r="I3955" s="12" t="s">
        <v>5710</v>
      </c>
      <c r="J3955" s="41">
        <f>+Tabla1[[#This Row],[FECHA ENTRADA]]</f>
        <v>46254</v>
      </c>
      <c r="K3955" s="41">
        <v>46258</v>
      </c>
      <c r="L3955" s="42">
        <f>_xlfn.DAYS(Tabla1[[#This Row],[FECHA FIN ]],Tabla1[[#This Row],[FECHA INICIO]])</f>
        <v>4</v>
      </c>
      <c r="M3955" s="12"/>
      <c r="N3955" s="28">
        <v>333.33333333333331</v>
      </c>
      <c r="O3955" s="28">
        <f>(Tabla1[[#This Row],[COSTO FIJO ]]/30)*Tabla1[[#This Row],[TOTAL DIAS PROYECTO]]+(Tabla1[[#This Row],[COSTO TEMPORAL]])</f>
        <v>44.444444444444443</v>
      </c>
      <c r="P3955" s="12"/>
      <c r="Q3955" s="12">
        <f>+(Tabla1[[#This Row],[COSTO COCHE]]/30)*Tabla1[[#This Row],[TOTAL DIAS PROYECTO]]</f>
        <v>0</v>
      </c>
      <c r="R3955" s="12">
        <f>+Tabla1[[#This Row],[COSTO TOTAL ALOJAMIENTO]]+Tabla1[[#This Row],[COSTO TOTAL COCHE]]</f>
        <v>44.444444444444443</v>
      </c>
      <c r="S3955" s="2"/>
      <c r="T3955" s="14" t="s">
        <v>44</v>
      </c>
      <c r="U3955" s="14">
        <v>46254</v>
      </c>
      <c r="V3955" s="43">
        <v>46269</v>
      </c>
      <c r="W3955" s="12"/>
      <c r="X3955" s="2"/>
      <c r="Y3955" s="11" t="s">
        <v>5711</v>
      </c>
      <c r="Z3955" s="2" t="s">
        <v>5712</v>
      </c>
      <c r="AA3955" s="13" t="s">
        <v>10323</v>
      </c>
      <c r="AB3955" s="13" t="s">
        <v>10324</v>
      </c>
    </row>
    <row r="3956" spans="1:28" ht="15" customHeight="1">
      <c r="A3956" s="2" t="s">
        <v>9869</v>
      </c>
      <c r="B3956" s="2" t="s">
        <v>711</v>
      </c>
      <c r="C3956" s="97" t="s">
        <v>5147</v>
      </c>
      <c r="D3956" s="2" t="s">
        <v>30</v>
      </c>
      <c r="E3956" s="2" t="s">
        <v>213</v>
      </c>
      <c r="F3956" s="11" t="s">
        <v>5129</v>
      </c>
      <c r="G3956" s="46" t="s">
        <v>558</v>
      </c>
      <c r="H3956" s="2" t="s">
        <v>5130</v>
      </c>
      <c r="I3956" s="12" t="s">
        <v>4464</v>
      </c>
      <c r="J3956" s="22">
        <f>+Tabla1[[#This Row],[FECHA ENTRADA]]</f>
        <v>45901</v>
      </c>
      <c r="K3956" s="22">
        <v>46235</v>
      </c>
      <c r="L3956" s="23">
        <f>_xlfn.DAYS(Tabla1[[#This Row],[FECHA FIN ]],Tabla1[[#This Row],[FECHA INICIO]])</f>
        <v>334</v>
      </c>
      <c r="M3956" s="12"/>
      <c r="N3956" s="12">
        <v>433.33333333333331</v>
      </c>
      <c r="O3956" s="24">
        <f>(Tabla1[[#This Row],[COSTO FIJO ]]/30)*Tabla1[[#This Row],[TOTAL DIAS PROYECTO]]+(Tabla1[[#This Row],[COSTO TEMPORAL]])</f>
        <v>4824.4444444444443</v>
      </c>
      <c r="P3956" s="12"/>
      <c r="Q3956" s="12">
        <f>+(Tabla1[[#This Row],[COSTO COCHE]]/30)*Tabla1[[#This Row],[TOTAL DIAS PROYECTO]]</f>
        <v>0</v>
      </c>
      <c r="R3956" s="12">
        <f>+Tabla1[[#This Row],[COSTO TOTAL ALOJAMIENTO]]+Tabla1[[#This Row],[COSTO TOTAL COCHE]]</f>
        <v>4824.4444444444443</v>
      </c>
      <c r="S3956" s="2"/>
      <c r="T3956" s="14" t="s">
        <v>35</v>
      </c>
      <c r="U3956" s="14">
        <v>45901</v>
      </c>
      <c r="V3956" s="79"/>
      <c r="W3956" s="12"/>
      <c r="X3956" s="2">
        <v>20</v>
      </c>
      <c r="Y3956" s="202" t="s">
        <v>5862</v>
      </c>
      <c r="Z3956" s="2" t="s">
        <v>36</v>
      </c>
      <c r="AA3956" s="13" t="s">
        <v>10349</v>
      </c>
      <c r="AB3956" s="13" t="s">
        <v>10350</v>
      </c>
    </row>
    <row r="3957" spans="1:28" ht="15" customHeight="1">
      <c r="A3957" s="2" t="s">
        <v>8642</v>
      </c>
      <c r="B3957" s="2" t="s">
        <v>711</v>
      </c>
      <c r="C3957" s="179" t="s">
        <v>5863</v>
      </c>
      <c r="D3957" s="2" t="s">
        <v>30</v>
      </c>
      <c r="E3957" s="2" t="s">
        <v>31</v>
      </c>
      <c r="F3957" s="31" t="s">
        <v>5707</v>
      </c>
      <c r="G3957" s="46" t="s">
        <v>5708</v>
      </c>
      <c r="H3957" s="2" t="s">
        <v>5709</v>
      </c>
      <c r="I3957" s="12" t="s">
        <v>5710</v>
      </c>
      <c r="J3957" s="41">
        <f>+Tabla1[[#This Row],[FECHA ENTRADA]]</f>
        <v>46254</v>
      </c>
      <c r="K3957" s="41">
        <v>46258</v>
      </c>
      <c r="L3957" s="42">
        <f>_xlfn.DAYS(Tabla1[[#This Row],[FECHA FIN ]],Tabla1[[#This Row],[FECHA INICIO]])</f>
        <v>4</v>
      </c>
      <c r="M3957" s="12"/>
      <c r="N3957" s="28">
        <v>333.33333333333331</v>
      </c>
      <c r="O3957" s="28">
        <f>(Tabla1[[#This Row],[COSTO FIJO ]]/30)*Tabla1[[#This Row],[TOTAL DIAS PROYECTO]]+(Tabla1[[#This Row],[COSTO TEMPORAL]])</f>
        <v>44.444444444444443</v>
      </c>
      <c r="P3957" s="12"/>
      <c r="Q3957" s="12">
        <f>+(Tabla1[[#This Row],[COSTO COCHE]]/30)*Tabla1[[#This Row],[TOTAL DIAS PROYECTO]]</f>
        <v>0</v>
      </c>
      <c r="R3957" s="12">
        <f>+Tabla1[[#This Row],[COSTO TOTAL ALOJAMIENTO]]+Tabla1[[#This Row],[COSTO TOTAL COCHE]]</f>
        <v>44.444444444444443</v>
      </c>
      <c r="S3957" s="2"/>
      <c r="T3957" s="14" t="s">
        <v>44</v>
      </c>
      <c r="U3957" s="14">
        <v>46254</v>
      </c>
      <c r="V3957" s="43">
        <v>46269</v>
      </c>
      <c r="W3957" s="12"/>
      <c r="X3957" s="2"/>
      <c r="Y3957" s="11" t="s">
        <v>5711</v>
      </c>
      <c r="Z3957" s="2" t="s">
        <v>5712</v>
      </c>
      <c r="AA3957" s="13" t="s">
        <v>10323</v>
      </c>
      <c r="AB3957" s="13" t="s">
        <v>10324</v>
      </c>
    </row>
    <row r="3958" spans="1:28" ht="15" customHeight="1">
      <c r="A3958" s="2" t="s">
        <v>9997</v>
      </c>
      <c r="B3958" s="2" t="s">
        <v>711</v>
      </c>
      <c r="C3958" s="276" t="s">
        <v>5864</v>
      </c>
      <c r="D3958" s="2" t="s">
        <v>30</v>
      </c>
      <c r="E3958" s="2" t="s">
        <v>31</v>
      </c>
      <c r="F3958" s="31" t="s">
        <v>5707</v>
      </c>
      <c r="G3958" s="46" t="s">
        <v>5708</v>
      </c>
      <c r="H3958" s="2" t="s">
        <v>5709</v>
      </c>
      <c r="I3958" s="12" t="s">
        <v>5710</v>
      </c>
      <c r="J3958" s="41">
        <f>+Tabla1[[#This Row],[FECHA ENTRADA]]</f>
        <v>46254</v>
      </c>
      <c r="K3958" s="41">
        <v>46258</v>
      </c>
      <c r="L3958" s="42">
        <f>_xlfn.DAYS(Tabla1[[#This Row],[FECHA FIN ]],Tabla1[[#This Row],[FECHA INICIO]])</f>
        <v>4</v>
      </c>
      <c r="M3958" s="12"/>
      <c r="N3958" s="28">
        <v>333.33333333333331</v>
      </c>
      <c r="O3958" s="28">
        <f>(Tabla1[[#This Row],[COSTO FIJO ]]/30)*Tabla1[[#This Row],[TOTAL DIAS PROYECTO]]+(Tabla1[[#This Row],[COSTO TEMPORAL]])</f>
        <v>44.444444444444443</v>
      </c>
      <c r="P3958" s="12"/>
      <c r="Q3958" s="12">
        <f>+(Tabla1[[#This Row],[COSTO COCHE]]/30)*Tabla1[[#This Row],[TOTAL DIAS PROYECTO]]</f>
        <v>0</v>
      </c>
      <c r="R3958" s="12">
        <f>+Tabla1[[#This Row],[COSTO TOTAL ALOJAMIENTO]]+Tabla1[[#This Row],[COSTO TOTAL COCHE]]</f>
        <v>44.444444444444443</v>
      </c>
      <c r="S3958" s="2"/>
      <c r="T3958" s="14" t="s">
        <v>44</v>
      </c>
      <c r="U3958" s="14">
        <v>46254</v>
      </c>
      <c r="V3958" s="43">
        <v>46269</v>
      </c>
      <c r="W3958" s="12"/>
      <c r="X3958" s="2"/>
      <c r="Y3958" s="11" t="s">
        <v>5711</v>
      </c>
      <c r="Z3958" s="2" t="s">
        <v>5712</v>
      </c>
      <c r="AA3958" s="13" t="s">
        <v>10323</v>
      </c>
      <c r="AB3958" s="13" t="s">
        <v>10324</v>
      </c>
    </row>
    <row r="3959" spans="1:28" ht="15" customHeight="1">
      <c r="A3959" s="2" t="s">
        <v>9785</v>
      </c>
      <c r="B3959" s="2" t="s">
        <v>711</v>
      </c>
      <c r="C3959" s="97" t="s">
        <v>4738</v>
      </c>
      <c r="D3959" s="2" t="s">
        <v>99</v>
      </c>
      <c r="E3959" s="2" t="s">
        <v>985</v>
      </c>
      <c r="F3959" s="11" t="s">
        <v>5843</v>
      </c>
      <c r="G3959" s="21" t="s">
        <v>5844</v>
      </c>
      <c r="H3959" s="2" t="s">
        <v>5119</v>
      </c>
      <c r="I3959" s="12" t="s">
        <v>5120</v>
      </c>
      <c r="J3959" s="22">
        <f>+Tabla1[[#This Row],[FECHA ENTRADA]]</f>
        <v>45908</v>
      </c>
      <c r="K3959" s="22">
        <v>45959</v>
      </c>
      <c r="L3959" s="23">
        <f>_xlfn.DAYS(Tabla1[[#This Row],[FECHA FIN ]],Tabla1[[#This Row],[FECHA INICIO]])</f>
        <v>51</v>
      </c>
      <c r="M3959" s="12">
        <v>600</v>
      </c>
      <c r="N3959" s="20"/>
      <c r="O3959" s="24">
        <f>(Tabla1[[#This Row],[COSTO FIJO ]]/30)*Tabla1[[#This Row],[TOTAL DIAS PROYECTO]]+(Tabla1[[#This Row],[COSTO TEMPORAL]])</f>
        <v>600</v>
      </c>
      <c r="P3959" s="12"/>
      <c r="Q3959" s="12">
        <f>+(Tabla1[[#This Row],[COSTO COCHE]]/30)*Tabla1[[#This Row],[TOTAL DIAS PROYECTO]]</f>
        <v>0</v>
      </c>
      <c r="R3959" s="12">
        <f>+Tabla1[[#This Row],[COSTO TOTAL ALOJAMIENTO]]+Tabla1[[#This Row],[COSTO TOTAL COCHE]]</f>
        <v>600</v>
      </c>
      <c r="S3959" s="2"/>
      <c r="T3959" s="14" t="s">
        <v>44</v>
      </c>
      <c r="U3959" s="14">
        <v>45908</v>
      </c>
      <c r="V3959" s="79">
        <v>45961</v>
      </c>
      <c r="W3959" s="71"/>
      <c r="X3959" s="2"/>
      <c r="Y3959" s="11" t="s">
        <v>5865</v>
      </c>
      <c r="Z3959" s="2" t="s">
        <v>36</v>
      </c>
      <c r="AA3959" s="13" t="s">
        <v>10407</v>
      </c>
      <c r="AB3959" s="13" t="s">
        <v>10408</v>
      </c>
    </row>
    <row r="3960" spans="1:28" ht="15.75" customHeight="1">
      <c r="A3960" s="2" t="s">
        <v>9995</v>
      </c>
      <c r="B3960" s="2" t="s">
        <v>978</v>
      </c>
      <c r="C3960" s="97" t="s">
        <v>5860</v>
      </c>
      <c r="D3960" s="2" t="s">
        <v>30</v>
      </c>
      <c r="E3960" s="2" t="s">
        <v>985</v>
      </c>
      <c r="F3960" s="11" t="s">
        <v>5866</v>
      </c>
      <c r="G3960" s="21" t="s">
        <v>5867</v>
      </c>
      <c r="H3960" s="2" t="s">
        <v>5718</v>
      </c>
      <c r="I3960" s="12" t="s">
        <v>5618</v>
      </c>
      <c r="J3960" s="22">
        <f>+Tabla1[[#This Row],[FECHA ENTRADA]]</f>
        <v>45959</v>
      </c>
      <c r="K3960" s="22">
        <v>45959</v>
      </c>
      <c r="L3960" s="23">
        <f>_xlfn.DAYS(Tabla1[[#This Row],[FECHA FIN ]],Tabla1[[#This Row],[FECHA INICIO]])</f>
        <v>0</v>
      </c>
      <c r="M3960" s="12">
        <f>1550/4</f>
        <v>387.5</v>
      </c>
      <c r="N3960" s="20"/>
      <c r="O3960" s="24">
        <f>(Tabla1[[#This Row],[COSTO FIJO ]]/30)*Tabla1[[#This Row],[TOTAL DIAS PROYECTO]]+(Tabla1[[#This Row],[COSTO TEMPORAL]])</f>
        <v>387.5</v>
      </c>
      <c r="P3960" s="12"/>
      <c r="Q3960" s="12">
        <f>+(Tabla1[[#This Row],[COSTO COCHE]]/30)*Tabla1[[#This Row],[TOTAL DIAS PROYECTO]]</f>
        <v>0</v>
      </c>
      <c r="R3960" s="12">
        <f>+Tabla1[[#This Row],[COSTO TOTAL ALOJAMIENTO]]+Tabla1[[#This Row],[COSTO TOTAL COCHE]]</f>
        <v>387.5</v>
      </c>
      <c r="S3960" s="2" t="s">
        <v>84</v>
      </c>
      <c r="T3960" s="14" t="s">
        <v>44</v>
      </c>
      <c r="U3960" s="14">
        <v>45959</v>
      </c>
      <c r="V3960" s="79">
        <v>45980</v>
      </c>
      <c r="W3960" s="71"/>
      <c r="X3960" s="2"/>
      <c r="Y3960" s="11" t="s">
        <v>5868</v>
      </c>
      <c r="Z3960" s="2" t="s">
        <v>36</v>
      </c>
      <c r="AA3960" s="13" t="s">
        <v>10407</v>
      </c>
      <c r="AB3960" s="13" t="s">
        <v>10408</v>
      </c>
    </row>
    <row r="3961" spans="1:28" ht="15.75" customHeight="1">
      <c r="A3961" s="2" t="s">
        <v>9994</v>
      </c>
      <c r="B3961" s="2" t="s">
        <v>978</v>
      </c>
      <c r="C3961" s="97" t="s">
        <v>5859</v>
      </c>
      <c r="D3961" s="2" t="s">
        <v>30</v>
      </c>
      <c r="E3961" s="2" t="s">
        <v>985</v>
      </c>
      <c r="F3961" s="11" t="s">
        <v>5866</v>
      </c>
      <c r="G3961" s="21" t="s">
        <v>5867</v>
      </c>
      <c r="H3961" s="2" t="s">
        <v>5718</v>
      </c>
      <c r="I3961" s="12" t="s">
        <v>5618</v>
      </c>
      <c r="J3961" s="22">
        <f>+Tabla1[[#This Row],[FECHA ENTRADA]]</f>
        <v>45959</v>
      </c>
      <c r="K3961" s="22">
        <v>45959</v>
      </c>
      <c r="L3961" s="23">
        <f>_xlfn.DAYS(Tabla1[[#This Row],[FECHA FIN ]],Tabla1[[#This Row],[FECHA INICIO]])</f>
        <v>0</v>
      </c>
      <c r="M3961" s="12">
        <f>1550/4</f>
        <v>387.5</v>
      </c>
      <c r="N3961" s="20"/>
      <c r="O3961" s="24">
        <f>(Tabla1[[#This Row],[COSTO FIJO ]]/30)*Tabla1[[#This Row],[TOTAL DIAS PROYECTO]]+(Tabla1[[#This Row],[COSTO TEMPORAL]])</f>
        <v>387.5</v>
      </c>
      <c r="P3961" s="12"/>
      <c r="Q3961" s="12">
        <f>+(Tabla1[[#This Row],[COSTO COCHE]]/30)*Tabla1[[#This Row],[TOTAL DIAS PROYECTO]]</f>
        <v>0</v>
      </c>
      <c r="R3961" s="12">
        <f>+Tabla1[[#This Row],[COSTO TOTAL ALOJAMIENTO]]+Tabla1[[#This Row],[COSTO TOTAL COCHE]]</f>
        <v>387.5</v>
      </c>
      <c r="S3961" s="2" t="s">
        <v>84</v>
      </c>
      <c r="T3961" s="14" t="s">
        <v>44</v>
      </c>
      <c r="U3961" s="14">
        <v>45959</v>
      </c>
      <c r="V3961" s="79">
        <v>45980</v>
      </c>
      <c r="W3961" s="71"/>
      <c r="X3961" s="2"/>
      <c r="Y3961" s="11" t="s">
        <v>5868</v>
      </c>
      <c r="Z3961" s="2" t="s">
        <v>36</v>
      </c>
      <c r="AA3961" s="13" t="s">
        <v>10407</v>
      </c>
      <c r="AB3961" s="13" t="s">
        <v>10408</v>
      </c>
    </row>
    <row r="3962" spans="1:28" ht="15" customHeight="1">
      <c r="A3962" s="2" t="s">
        <v>9993</v>
      </c>
      <c r="B3962" s="2" t="s">
        <v>978</v>
      </c>
      <c r="C3962" s="97" t="s">
        <v>5857</v>
      </c>
      <c r="D3962" s="2" t="s">
        <v>30</v>
      </c>
      <c r="E3962" s="2" t="s">
        <v>985</v>
      </c>
      <c r="F3962" s="11" t="s">
        <v>5866</v>
      </c>
      <c r="G3962" s="21" t="s">
        <v>5867</v>
      </c>
      <c r="H3962" s="2" t="s">
        <v>5718</v>
      </c>
      <c r="I3962" s="12" t="s">
        <v>5618</v>
      </c>
      <c r="J3962" s="22">
        <f>+Tabla1[[#This Row],[FECHA ENTRADA]]</f>
        <v>45959</v>
      </c>
      <c r="K3962" s="22">
        <v>45959</v>
      </c>
      <c r="L3962" s="23">
        <f>_xlfn.DAYS(Tabla1[[#This Row],[FECHA FIN ]],Tabla1[[#This Row],[FECHA INICIO]])</f>
        <v>0</v>
      </c>
      <c r="M3962" s="12">
        <f>1550/4</f>
        <v>387.5</v>
      </c>
      <c r="N3962" s="20"/>
      <c r="O3962" s="24">
        <f>(Tabla1[[#This Row],[COSTO FIJO ]]/30)*Tabla1[[#This Row],[TOTAL DIAS PROYECTO]]+(Tabla1[[#This Row],[COSTO TEMPORAL]])</f>
        <v>387.5</v>
      </c>
      <c r="P3962" s="12"/>
      <c r="Q3962" s="12">
        <f>+(Tabla1[[#This Row],[COSTO COCHE]]/30)*Tabla1[[#This Row],[TOTAL DIAS PROYECTO]]</f>
        <v>0</v>
      </c>
      <c r="R3962" s="12">
        <f>+Tabla1[[#This Row],[COSTO TOTAL ALOJAMIENTO]]+Tabla1[[#This Row],[COSTO TOTAL COCHE]]</f>
        <v>387.5</v>
      </c>
      <c r="S3962" s="2" t="s">
        <v>84</v>
      </c>
      <c r="T3962" s="14" t="s">
        <v>44</v>
      </c>
      <c r="U3962" s="14">
        <v>45959</v>
      </c>
      <c r="V3962" s="79">
        <v>45980</v>
      </c>
      <c r="W3962" s="71"/>
      <c r="X3962" s="2"/>
      <c r="Y3962" s="11" t="s">
        <v>5868</v>
      </c>
      <c r="Z3962" s="2" t="s">
        <v>36</v>
      </c>
      <c r="AA3962" s="13" t="s">
        <v>10407</v>
      </c>
      <c r="AB3962" s="13" t="s">
        <v>10408</v>
      </c>
    </row>
    <row r="3963" spans="1:28" ht="15" customHeight="1">
      <c r="A3963" s="2" t="s">
        <v>9970</v>
      </c>
      <c r="B3963" s="2" t="s">
        <v>978</v>
      </c>
      <c r="C3963" s="104" t="s">
        <v>5779</v>
      </c>
      <c r="D3963" s="2" t="s">
        <v>99</v>
      </c>
      <c r="E3963" s="2" t="s">
        <v>985</v>
      </c>
      <c r="F3963" s="11" t="s">
        <v>5783</v>
      </c>
      <c r="G3963" s="21" t="s">
        <v>5781</v>
      </c>
      <c r="H3963" s="2" t="s">
        <v>5617</v>
      </c>
      <c r="I3963" s="158" t="s">
        <v>5618</v>
      </c>
      <c r="J3963" s="22">
        <f>+Tabla1[[#This Row],[FECHA ENTRADA]]</f>
        <v>45956</v>
      </c>
      <c r="K3963" s="22">
        <v>45959</v>
      </c>
      <c r="L3963" s="23">
        <f>_xlfn.DAYS(Tabla1[[#This Row],[FECHA FIN ]],Tabla1[[#This Row],[FECHA INICIO]])</f>
        <v>3</v>
      </c>
      <c r="M3963" s="20">
        <f>1052.3/5</f>
        <v>210.45999999999998</v>
      </c>
      <c r="N3963" s="20"/>
      <c r="O3963" s="24">
        <f>(Tabla1[[#This Row],[COSTO FIJO ]]/30)*Tabla1[[#This Row],[TOTAL DIAS PROYECTO]]+(Tabla1[[#This Row],[COSTO TEMPORAL]])</f>
        <v>210.45999999999998</v>
      </c>
      <c r="P3963" s="12"/>
      <c r="Q3963" s="12">
        <f>+(Tabla1[[#This Row],[COSTO COCHE]]/30)*Tabla1[[#This Row],[TOTAL DIAS PROYECTO]]</f>
        <v>0</v>
      </c>
      <c r="R3963" s="12">
        <f>+Tabla1[[#This Row],[COSTO TOTAL ALOJAMIENTO]]+Tabla1[[#This Row],[COSTO TOTAL COCHE]]</f>
        <v>210.45999999999998</v>
      </c>
      <c r="S3963" s="2" t="s">
        <v>84</v>
      </c>
      <c r="T3963" s="14" t="s">
        <v>44</v>
      </c>
      <c r="U3963" s="14">
        <v>45956</v>
      </c>
      <c r="V3963" s="79">
        <v>45973</v>
      </c>
      <c r="W3963" s="71"/>
      <c r="X3963" s="2"/>
      <c r="Y3963" s="11" t="s">
        <v>1361</v>
      </c>
      <c r="Z3963" s="2" t="s">
        <v>36</v>
      </c>
      <c r="AA3963" s="13" t="s">
        <v>10407</v>
      </c>
      <c r="AB3963" s="13" t="s">
        <v>10408</v>
      </c>
    </row>
    <row r="3964" spans="1:28" ht="15" customHeight="1">
      <c r="A3964" s="2" t="s">
        <v>9970</v>
      </c>
      <c r="B3964" s="2" t="s">
        <v>978</v>
      </c>
      <c r="C3964" s="97" t="s">
        <v>5779</v>
      </c>
      <c r="D3964" s="2" t="s">
        <v>99</v>
      </c>
      <c r="E3964" s="2" t="s">
        <v>985</v>
      </c>
      <c r="F3964" s="11" t="s">
        <v>5869</v>
      </c>
      <c r="G3964" s="21" t="s">
        <v>5870</v>
      </c>
      <c r="H3964" s="2" t="s">
        <v>5617</v>
      </c>
      <c r="I3964" s="12" t="s">
        <v>5618</v>
      </c>
      <c r="J3964" s="22">
        <f>+Tabla1[[#This Row],[FECHA ENTRADA]]</f>
        <v>45959</v>
      </c>
      <c r="K3964" s="22">
        <v>45959</v>
      </c>
      <c r="L3964" s="23">
        <f>_xlfn.DAYS(Tabla1[[#This Row],[FECHA FIN ]],Tabla1[[#This Row],[FECHA INICIO]])</f>
        <v>0</v>
      </c>
      <c r="M3964" s="12">
        <v>320.8</v>
      </c>
      <c r="N3964" s="20"/>
      <c r="O3964" s="24">
        <f>(Tabla1[[#This Row],[COSTO FIJO ]]/30)*Tabla1[[#This Row],[TOTAL DIAS PROYECTO]]+(Tabla1[[#This Row],[COSTO TEMPORAL]])</f>
        <v>320.8</v>
      </c>
      <c r="P3964" s="12"/>
      <c r="Q3964" s="12">
        <f>+(Tabla1[[#This Row],[COSTO COCHE]]/30)*Tabla1[[#This Row],[TOTAL DIAS PROYECTO]]</f>
        <v>0</v>
      </c>
      <c r="R3964" s="12">
        <f>+Tabla1[[#This Row],[COSTO TOTAL ALOJAMIENTO]]+Tabla1[[#This Row],[COSTO TOTAL COCHE]]</f>
        <v>320.8</v>
      </c>
      <c r="S3964" s="2" t="s">
        <v>403</v>
      </c>
      <c r="T3964" s="14" t="s">
        <v>44</v>
      </c>
      <c r="U3964" s="14">
        <v>45959</v>
      </c>
      <c r="V3964" s="79">
        <v>45980</v>
      </c>
      <c r="W3964" s="71"/>
      <c r="X3964" s="2"/>
      <c r="Y3964" s="11" t="s">
        <v>5868</v>
      </c>
      <c r="Z3964" s="2" t="s">
        <v>36</v>
      </c>
      <c r="AA3964" s="13" t="s">
        <v>10407</v>
      </c>
      <c r="AB3964" s="13" t="s">
        <v>10408</v>
      </c>
    </row>
    <row r="3965" spans="1:28" ht="15" customHeight="1">
      <c r="A3965" s="2" t="s">
        <v>9998</v>
      </c>
      <c r="B3965" s="2" t="s">
        <v>711</v>
      </c>
      <c r="C3965" s="97" t="s">
        <v>5871</v>
      </c>
      <c r="D3965" s="2" t="s">
        <v>30</v>
      </c>
      <c r="E3965" s="2" t="s">
        <v>31</v>
      </c>
      <c r="F3965" s="11" t="s">
        <v>1450</v>
      </c>
      <c r="G3965" s="11" t="s">
        <v>1451</v>
      </c>
      <c r="H3965" s="2" t="s">
        <v>5872</v>
      </c>
      <c r="I3965" s="12" t="s">
        <v>5873</v>
      </c>
      <c r="J3965" s="41">
        <f>+Tabla1[[#This Row],[FECHA ENTRADA]]</f>
        <v>45929</v>
      </c>
      <c r="K3965" s="22">
        <v>45960</v>
      </c>
      <c r="L3965" s="42">
        <f>_xlfn.DAYS(Tabla1[[#This Row],[FECHA FIN ]],Tabla1[[#This Row],[FECHA INICIO]])</f>
        <v>31</v>
      </c>
      <c r="M3965" s="12"/>
      <c r="N3965" s="20">
        <f>978.63/4</f>
        <v>244.6575</v>
      </c>
      <c r="O3965" s="28">
        <f>(Tabla1[[#This Row],[COSTO FIJO ]]/30)*Tabla1[[#This Row],[TOTAL DIAS PROYECTO]]+(Tabla1[[#This Row],[COSTO TEMPORAL]])</f>
        <v>252.81275000000002</v>
      </c>
      <c r="P3965" s="12"/>
      <c r="Q3965" s="12">
        <f>+(Tabla1[[#This Row],[COSTO COCHE]]/30)*Tabla1[[#This Row],[TOTAL DIAS PROYECTO]]</f>
        <v>0</v>
      </c>
      <c r="R3965" s="12">
        <f>+Tabla1[[#This Row],[COSTO TOTAL ALOJAMIENTO]]+Tabla1[[#This Row],[COSTO TOTAL COCHE]]</f>
        <v>252.81275000000002</v>
      </c>
      <c r="S3965" s="2"/>
      <c r="T3965" s="14" t="s">
        <v>35</v>
      </c>
      <c r="U3965" s="14">
        <v>45929</v>
      </c>
      <c r="V3965" s="43"/>
      <c r="W3965" s="71"/>
      <c r="X3965" s="2">
        <v>1</v>
      </c>
      <c r="Y3965" s="11" t="s">
        <v>5874</v>
      </c>
      <c r="Z3965" s="2" t="s">
        <v>36</v>
      </c>
      <c r="AA3965" s="13" t="s">
        <v>10323</v>
      </c>
      <c r="AB3965" s="13" t="s">
        <v>10324</v>
      </c>
    </row>
    <row r="3966" spans="1:28" ht="15" customHeight="1">
      <c r="A3966" s="2" t="s">
        <v>9844</v>
      </c>
      <c r="B3966" s="2" t="s">
        <v>28</v>
      </c>
      <c r="C3966" s="97" t="s">
        <v>5023</v>
      </c>
      <c r="D3966" s="2" t="s">
        <v>30</v>
      </c>
      <c r="E3966" s="2" t="s">
        <v>790</v>
      </c>
      <c r="F3966" s="11" t="s">
        <v>4318</v>
      </c>
      <c r="G3966" t="s">
        <v>4319</v>
      </c>
      <c r="H3966" s="2" t="s">
        <v>5197</v>
      </c>
      <c r="I3966" s="12" t="s">
        <v>794</v>
      </c>
      <c r="J3966" s="22">
        <f>+Tabla1[[#This Row],[FECHA ENTRADA]]</f>
        <v>45915</v>
      </c>
      <c r="K3966" s="41">
        <v>45960</v>
      </c>
      <c r="L3966" s="23">
        <f>_xlfn.DAYS(Tabla1[[#This Row],[FECHA FIN ]],Tabla1[[#This Row],[FECHA INICIO]])</f>
        <v>45</v>
      </c>
      <c r="M3966" s="12"/>
      <c r="N3966" s="24">
        <v>350</v>
      </c>
      <c r="O3966" s="24">
        <f>(Tabla1[[#This Row],[COSTO FIJO ]]/30)*Tabla1[[#This Row],[TOTAL DIAS PROYECTO]]+(Tabla1[[#This Row],[COSTO TEMPORAL]])</f>
        <v>525</v>
      </c>
      <c r="P3966" s="12"/>
      <c r="Q3966" s="12">
        <f>+(Tabla1[[#This Row],[COSTO COCHE]]/30)*Tabla1[[#This Row],[TOTAL DIAS PROYECTO]]</f>
        <v>0</v>
      </c>
      <c r="R3966" s="12">
        <f>+Tabla1[[#This Row],[COSTO TOTAL ALOJAMIENTO]]+Tabla1[[#This Row],[COSTO TOTAL COCHE]]</f>
        <v>525</v>
      </c>
      <c r="S3966" s="2"/>
      <c r="T3966" s="14" t="s">
        <v>35</v>
      </c>
      <c r="U3966" s="14">
        <v>45915</v>
      </c>
      <c r="V3966" s="79"/>
      <c r="W3966" s="71"/>
      <c r="X3966" s="2">
        <v>5</v>
      </c>
      <c r="Y3966" s="11" t="s">
        <v>5875</v>
      </c>
      <c r="Z3966" s="2" t="s">
        <v>36</v>
      </c>
      <c r="AA3966" s="13">
        <v>-574377</v>
      </c>
      <c r="AB3966" s="13">
        <v>4150368</v>
      </c>
    </row>
    <row r="3967" spans="1:28" ht="15" customHeight="1">
      <c r="A3967" s="2" t="s">
        <v>9210</v>
      </c>
      <c r="B3967" s="2" t="s">
        <v>978</v>
      </c>
      <c r="C3967" s="104" t="s">
        <v>2447</v>
      </c>
      <c r="D3967" s="2" t="s">
        <v>30</v>
      </c>
      <c r="E3967" s="2" t="s">
        <v>109</v>
      </c>
      <c r="F3967" s="11" t="s">
        <v>5353</v>
      </c>
      <c r="G3967" s="49" t="s">
        <v>5354</v>
      </c>
      <c r="H3967" s="2" t="s">
        <v>5355</v>
      </c>
      <c r="I3967" s="12" t="s">
        <v>5356</v>
      </c>
      <c r="J3967" s="22">
        <f>+Tabla1[[#This Row],[FECHA ENTRADA]]</f>
        <v>45867</v>
      </c>
      <c r="K3967" s="22">
        <v>45875</v>
      </c>
      <c r="L3967" s="23">
        <f>_xlfn.DAYS(Tabla1[[#This Row],[FECHA FIN ]],Tabla1[[#This Row],[FECHA INICIO]])</f>
        <v>8</v>
      </c>
      <c r="M3967" s="12"/>
      <c r="N3967" s="12">
        <v>225.25</v>
      </c>
      <c r="O3967" s="24">
        <f>(Tabla1[[#This Row],[COSTO FIJO ]]/30)*Tabla1[[#This Row],[TOTAL DIAS PROYECTO]]+(Tabla1[[#This Row],[COSTO TEMPORAL]])</f>
        <v>60.06666666666667</v>
      </c>
      <c r="P3967" s="12"/>
      <c r="Q3967" s="12">
        <f>+(Tabla1[[#This Row],[COSTO COCHE]]/30)*Tabla1[[#This Row],[TOTAL DIAS PROYECTO]]</f>
        <v>0</v>
      </c>
      <c r="R3967" s="12">
        <f>+Tabla1[[#This Row],[COSTO TOTAL ALOJAMIENTO]]+Tabla1[[#This Row],[COSTO TOTAL COCHE]]</f>
        <v>60.06666666666667</v>
      </c>
      <c r="S3967" s="2" t="s">
        <v>403</v>
      </c>
      <c r="T3967" s="14" t="s">
        <v>44</v>
      </c>
      <c r="U3967" s="14">
        <v>45867</v>
      </c>
      <c r="V3967" s="25">
        <v>45875</v>
      </c>
      <c r="W3967" s="12"/>
      <c r="X3967" s="2"/>
      <c r="Y3967" s="11" t="s">
        <v>5357</v>
      </c>
      <c r="Z3967" s="2" t="s">
        <v>36</v>
      </c>
      <c r="AA3967" s="13">
        <v>0.62217999999999996</v>
      </c>
      <c r="AB3967" s="13" t="s">
        <v>10339</v>
      </c>
    </row>
    <row r="3968" spans="1:28" ht="15" customHeight="1">
      <c r="A3968" s="2" t="s">
        <v>9946</v>
      </c>
      <c r="B3968" s="2" t="s">
        <v>978</v>
      </c>
      <c r="C3968" s="104" t="s">
        <v>5625</v>
      </c>
      <c r="D3968" s="2" t="s">
        <v>99</v>
      </c>
      <c r="E3968" s="2" t="s">
        <v>1404</v>
      </c>
      <c r="F3968" s="11" t="s">
        <v>5876</v>
      </c>
      <c r="G3968" s="21" t="s">
        <v>5877</v>
      </c>
      <c r="H3968" s="2" t="s">
        <v>5628</v>
      </c>
      <c r="I3968" s="12" t="s">
        <v>5629</v>
      </c>
      <c r="J3968" s="22">
        <f>+Tabla1[[#This Row],[FECHA ENTRADA]]</f>
        <v>45946</v>
      </c>
      <c r="K3968" s="22">
        <v>45960</v>
      </c>
      <c r="L3968" s="23">
        <f>_xlfn.DAYS(Tabla1[[#This Row],[FECHA FIN ]],Tabla1[[#This Row],[FECHA INICIO]])</f>
        <v>14</v>
      </c>
      <c r="M3968" s="12">
        <v>349.09</v>
      </c>
      <c r="N3968" s="20"/>
      <c r="O3968" s="24">
        <f>(Tabla1[[#This Row],[COSTO FIJO ]]/30)*Tabla1[[#This Row],[TOTAL DIAS PROYECTO]]+(Tabla1[[#This Row],[COSTO TEMPORAL]])</f>
        <v>349.09</v>
      </c>
      <c r="P3968" s="12"/>
      <c r="Q3968" s="12">
        <f>+(Tabla1[[#This Row],[COSTO COCHE]]/30)*Tabla1[[#This Row],[TOTAL DIAS PROYECTO]]</f>
        <v>0</v>
      </c>
      <c r="R3968" s="12">
        <f>+Tabla1[[#This Row],[COSTO TOTAL ALOJAMIENTO]]+Tabla1[[#This Row],[COSTO TOTAL COCHE]]</f>
        <v>349.09</v>
      </c>
      <c r="S3968" s="2" t="s">
        <v>84</v>
      </c>
      <c r="T3968" s="14" t="s">
        <v>44</v>
      </c>
      <c r="U3968" s="14">
        <v>45946</v>
      </c>
      <c r="V3968" s="79">
        <v>45960</v>
      </c>
      <c r="W3968" s="71"/>
      <c r="X3968" s="2"/>
      <c r="Y3968" s="11" t="s">
        <v>5878</v>
      </c>
      <c r="Z3968" s="2" t="s">
        <v>36</v>
      </c>
      <c r="AA3968" s="13" t="s">
        <v>10418</v>
      </c>
      <c r="AB3968" s="13" t="s">
        <v>10419</v>
      </c>
    </row>
    <row r="3969" spans="1:28" ht="15" customHeight="1">
      <c r="A3969" s="2" t="s">
        <v>9920</v>
      </c>
      <c r="B3969" s="2" t="s">
        <v>711</v>
      </c>
      <c r="C3969" s="104" t="s">
        <v>5450</v>
      </c>
      <c r="D3969" s="2" t="s">
        <v>99</v>
      </c>
      <c r="E3969" s="2" t="s">
        <v>253</v>
      </c>
      <c r="F3969" s="11" t="s">
        <v>5065</v>
      </c>
      <c r="G3969" s="11" t="s">
        <v>1985</v>
      </c>
      <c r="H3969" s="2" t="s">
        <v>5449</v>
      </c>
      <c r="I3969" s="12" t="s">
        <v>2321</v>
      </c>
      <c r="J3969" s="22">
        <f>+Tabla1[[#This Row],[FECHA ENTRADA]]</f>
        <v>45935</v>
      </c>
      <c r="K3969" s="22">
        <v>45960</v>
      </c>
      <c r="L3969" s="23">
        <f>_xlfn.DAYS(Tabla1[[#This Row],[FECHA FIN ]],Tabla1[[#This Row],[FECHA INICIO]])</f>
        <v>25</v>
      </c>
      <c r="M3969" s="12"/>
      <c r="N3969" s="20"/>
      <c r="O3969" s="24">
        <f>(Tabla1[[#This Row],[COSTO FIJO ]]/30)*Tabla1[[#This Row],[TOTAL DIAS PROYECTO]]+(Tabla1[[#This Row],[COSTO TEMPORAL]])</f>
        <v>0</v>
      </c>
      <c r="P3969" s="12"/>
      <c r="Q3969" s="12">
        <f>+(Tabla1[[#This Row],[COSTO COCHE]]/30)*Tabla1[[#This Row],[TOTAL DIAS PROYECTO]]</f>
        <v>0</v>
      </c>
      <c r="R3969" s="12">
        <f>+Tabla1[[#This Row],[COSTO TOTAL ALOJAMIENTO]]+Tabla1[[#This Row],[COSTO TOTAL COCHE]]</f>
        <v>0</v>
      </c>
      <c r="S3969" s="2"/>
      <c r="T3969" s="14" t="s">
        <v>44</v>
      </c>
      <c r="U3969" s="14">
        <v>45935</v>
      </c>
      <c r="V3969" s="25">
        <v>45960</v>
      </c>
      <c r="W3969" s="71"/>
      <c r="X3969" s="2"/>
      <c r="Y3969" s="11" t="s">
        <v>5879</v>
      </c>
      <c r="Z3969" s="2" t="s">
        <v>36</v>
      </c>
      <c r="AA3969" s="13" t="s">
        <v>10357</v>
      </c>
      <c r="AB3969" s="13" t="s">
        <v>10358</v>
      </c>
    </row>
    <row r="3970" spans="1:28" ht="15" customHeight="1">
      <c r="A3970" s="2" t="s">
        <v>9999</v>
      </c>
      <c r="B3970" s="2" t="s">
        <v>711</v>
      </c>
      <c r="C3970" s="97" t="s">
        <v>5880</v>
      </c>
      <c r="D3970" s="2" t="s">
        <v>78</v>
      </c>
      <c r="E3970" s="2" t="s">
        <v>266</v>
      </c>
      <c r="F3970" s="11" t="s">
        <v>2779</v>
      </c>
      <c r="G3970" s="21" t="s">
        <v>1512</v>
      </c>
      <c r="H3970" s="2" t="s">
        <v>5881</v>
      </c>
      <c r="I3970" s="12" t="s">
        <v>270</v>
      </c>
      <c r="J3970" s="22">
        <f>+Tabla1[[#This Row],[FECHA ENTRADA]]</f>
        <v>45904</v>
      </c>
      <c r="K3970" s="22">
        <v>45961</v>
      </c>
      <c r="L3970" s="23">
        <f>_xlfn.DAYS(Tabla1[[#This Row],[FECHA FIN ]],Tabla1[[#This Row],[FECHA INICIO]])</f>
        <v>57</v>
      </c>
      <c r="M3970" s="12"/>
      <c r="N3970" s="20">
        <v>650</v>
      </c>
      <c r="O3970" s="24">
        <f>(Tabla1[[#This Row],[COSTO FIJO ]]/30)*Tabla1[[#This Row],[TOTAL DIAS PROYECTO]]+(Tabla1[[#This Row],[COSTO TEMPORAL]])</f>
        <v>1235</v>
      </c>
      <c r="P3970" s="12"/>
      <c r="Q3970" s="12">
        <f>+(Tabla1[[#This Row],[COSTO COCHE]]/30)*Tabla1[[#This Row],[TOTAL DIAS PROYECTO]]</f>
        <v>0</v>
      </c>
      <c r="R3970" s="12">
        <f>+Tabla1[[#This Row],[COSTO TOTAL ALOJAMIENTO]]+Tabla1[[#This Row],[COSTO TOTAL COCHE]]</f>
        <v>1235</v>
      </c>
      <c r="S3970" s="2"/>
      <c r="T3970" s="14" t="s">
        <v>35</v>
      </c>
      <c r="U3970" s="14">
        <v>45904</v>
      </c>
      <c r="V3970" s="79"/>
      <c r="W3970" s="71"/>
      <c r="X3970" s="2">
        <v>1</v>
      </c>
      <c r="Y3970" s="11" t="s">
        <v>5882</v>
      </c>
      <c r="Z3970" s="2" t="s">
        <v>36</v>
      </c>
      <c r="AA3970" s="13" t="s">
        <v>10360</v>
      </c>
      <c r="AB3970" s="13" t="s">
        <v>10361</v>
      </c>
    </row>
    <row r="3971" spans="1:28" ht="15" customHeight="1">
      <c r="A3971" s="2" t="s">
        <v>9710</v>
      </c>
      <c r="B3971" s="2" t="s">
        <v>711</v>
      </c>
      <c r="C3971" s="97" t="s">
        <v>4353</v>
      </c>
      <c r="D3971" s="2" t="s">
        <v>78</v>
      </c>
      <c r="E3971" s="2" t="s">
        <v>266</v>
      </c>
      <c r="F3971" s="11" t="s">
        <v>2779</v>
      </c>
      <c r="G3971" s="21" t="s">
        <v>1512</v>
      </c>
      <c r="H3971" s="2" t="s">
        <v>5881</v>
      </c>
      <c r="I3971" s="12" t="s">
        <v>270</v>
      </c>
      <c r="J3971" s="22">
        <f>+Tabla1[[#This Row],[FECHA ENTRADA]]</f>
        <v>45904</v>
      </c>
      <c r="K3971" s="22">
        <v>45961</v>
      </c>
      <c r="L3971" s="23">
        <f>_xlfn.DAYS(Tabla1[[#This Row],[FECHA FIN ]],Tabla1[[#This Row],[FECHA INICIO]])</f>
        <v>57</v>
      </c>
      <c r="M3971" s="12"/>
      <c r="N3971" s="20">
        <v>650</v>
      </c>
      <c r="O3971" s="24">
        <f>(Tabla1[[#This Row],[COSTO FIJO ]]/30)*Tabla1[[#This Row],[TOTAL DIAS PROYECTO]]+(Tabla1[[#This Row],[COSTO TEMPORAL]])</f>
        <v>1235</v>
      </c>
      <c r="P3971" s="12"/>
      <c r="Q3971" s="12">
        <f>+(Tabla1[[#This Row],[COSTO COCHE]]/30)*Tabla1[[#This Row],[TOTAL DIAS PROYECTO]]</f>
        <v>0</v>
      </c>
      <c r="R3971" s="12">
        <f>+Tabla1[[#This Row],[COSTO TOTAL ALOJAMIENTO]]+Tabla1[[#This Row],[COSTO TOTAL COCHE]]</f>
        <v>1235</v>
      </c>
      <c r="S3971" s="2"/>
      <c r="T3971" s="14" t="s">
        <v>35</v>
      </c>
      <c r="U3971" s="14">
        <v>45904</v>
      </c>
      <c r="V3971" s="79"/>
      <c r="W3971" s="71"/>
      <c r="X3971" s="2">
        <v>1</v>
      </c>
      <c r="Y3971" s="11" t="s">
        <v>5882</v>
      </c>
      <c r="Z3971" s="2" t="s">
        <v>36</v>
      </c>
      <c r="AA3971" s="13" t="s">
        <v>10360</v>
      </c>
      <c r="AB3971" s="13" t="s">
        <v>10361</v>
      </c>
    </row>
    <row r="3972" spans="1:28" ht="15" customHeight="1">
      <c r="A3972" s="2" t="s">
        <v>9570</v>
      </c>
      <c r="B3972" s="2" t="s">
        <v>711</v>
      </c>
      <c r="C3972" s="97" t="s">
        <v>3680</v>
      </c>
      <c r="D3972" s="2" t="s">
        <v>78</v>
      </c>
      <c r="E3972" s="2" t="s">
        <v>266</v>
      </c>
      <c r="F3972" s="11" t="s">
        <v>2779</v>
      </c>
      <c r="G3972" s="21" t="s">
        <v>1512</v>
      </c>
      <c r="H3972" s="2" t="s">
        <v>5883</v>
      </c>
      <c r="I3972" s="12" t="s">
        <v>270</v>
      </c>
      <c r="J3972" s="22">
        <f>+Tabla1[[#This Row],[FECHA ENTRADA]]</f>
        <v>45938</v>
      </c>
      <c r="K3972" s="22">
        <v>45961</v>
      </c>
      <c r="L3972" s="23">
        <f>_xlfn.DAYS(Tabla1[[#This Row],[FECHA FIN ]],Tabla1[[#This Row],[FECHA INICIO]])</f>
        <v>23</v>
      </c>
      <c r="M3972" s="12"/>
      <c r="N3972" s="20">
        <v>650</v>
      </c>
      <c r="O3972" s="24">
        <f>(Tabla1[[#This Row],[COSTO FIJO ]]/30)*Tabla1[[#This Row],[TOTAL DIAS PROYECTO]]+(Tabla1[[#This Row],[COSTO TEMPORAL]])</f>
        <v>498.33333333333337</v>
      </c>
      <c r="P3972" s="12"/>
      <c r="Q3972" s="12">
        <f>+(Tabla1[[#This Row],[COSTO COCHE]]/30)*Tabla1[[#This Row],[TOTAL DIAS PROYECTO]]</f>
        <v>0</v>
      </c>
      <c r="R3972" s="12">
        <f>+Tabla1[[#This Row],[COSTO TOTAL ALOJAMIENTO]]+Tabla1[[#This Row],[COSTO TOTAL COCHE]]</f>
        <v>498.33333333333337</v>
      </c>
      <c r="S3972" s="2"/>
      <c r="T3972" s="14" t="s">
        <v>35</v>
      </c>
      <c r="U3972" s="14">
        <v>45938</v>
      </c>
      <c r="V3972" s="79"/>
      <c r="W3972" s="71"/>
      <c r="X3972" s="2">
        <v>1</v>
      </c>
      <c r="Y3972" s="11" t="s">
        <v>5882</v>
      </c>
      <c r="Z3972" s="2" t="s">
        <v>36</v>
      </c>
      <c r="AA3972" s="13" t="s">
        <v>10360</v>
      </c>
      <c r="AB3972" s="13" t="s">
        <v>10361</v>
      </c>
    </row>
    <row r="3973" spans="1:28" ht="15" customHeight="1">
      <c r="A3973" s="2" t="s">
        <v>10000</v>
      </c>
      <c r="B3973" s="2" t="s">
        <v>711</v>
      </c>
      <c r="C3973" s="97" t="s">
        <v>5884</v>
      </c>
      <c r="D3973" s="2" t="s">
        <v>78</v>
      </c>
      <c r="E3973" s="2" t="s">
        <v>266</v>
      </c>
      <c r="F3973" s="11" t="s">
        <v>5885</v>
      </c>
      <c r="G3973" s="21" t="s">
        <v>1512</v>
      </c>
      <c r="H3973" s="2" t="s">
        <v>5883</v>
      </c>
      <c r="I3973" s="12" t="s">
        <v>270</v>
      </c>
      <c r="J3973" s="22">
        <f>+Tabla1[[#This Row],[FECHA ENTRADA]]</f>
        <v>45938</v>
      </c>
      <c r="K3973" s="22">
        <v>45961</v>
      </c>
      <c r="L3973" s="23">
        <f>_xlfn.DAYS(Tabla1[[#This Row],[FECHA FIN ]],Tabla1[[#This Row],[FECHA INICIO]])</f>
        <v>23</v>
      </c>
      <c r="M3973" s="12"/>
      <c r="N3973" s="20">
        <v>700</v>
      </c>
      <c r="O3973" s="24">
        <f>(Tabla1[[#This Row],[COSTO FIJO ]]/30)*Tabla1[[#This Row],[TOTAL DIAS PROYECTO]]+(Tabla1[[#This Row],[COSTO TEMPORAL]])</f>
        <v>536.66666666666663</v>
      </c>
      <c r="P3973" s="12"/>
      <c r="Q3973" s="12">
        <f>+(Tabla1[[#This Row],[COSTO COCHE]]/30)*Tabla1[[#This Row],[TOTAL DIAS PROYECTO]]</f>
        <v>0</v>
      </c>
      <c r="R3973" s="12">
        <f>+Tabla1[[#This Row],[COSTO TOTAL ALOJAMIENTO]]+Tabla1[[#This Row],[COSTO TOTAL COCHE]]</f>
        <v>536.66666666666663</v>
      </c>
      <c r="S3973" s="2"/>
      <c r="T3973" s="14" t="s">
        <v>35</v>
      </c>
      <c r="U3973" s="14">
        <v>45938</v>
      </c>
      <c r="V3973" s="79"/>
      <c r="W3973" s="71"/>
      <c r="X3973" s="2">
        <v>1</v>
      </c>
      <c r="Y3973" s="11" t="s">
        <v>5882</v>
      </c>
      <c r="Z3973" s="2" t="s">
        <v>36</v>
      </c>
      <c r="AA3973" s="13" t="s">
        <v>10360</v>
      </c>
      <c r="AB3973" s="13" t="s">
        <v>10361</v>
      </c>
    </row>
    <row r="3974" spans="1:28" ht="15" customHeight="1">
      <c r="A3974" s="2" t="s">
        <v>10001</v>
      </c>
      <c r="B3974" s="2" t="s">
        <v>711</v>
      </c>
      <c r="C3974" s="97" t="s">
        <v>5886</v>
      </c>
      <c r="D3974" s="2" t="s">
        <v>78</v>
      </c>
      <c r="E3974" s="2" t="s">
        <v>266</v>
      </c>
      <c r="F3974" s="11" t="s">
        <v>5885</v>
      </c>
      <c r="G3974" s="21" t="s">
        <v>1512</v>
      </c>
      <c r="H3974" s="2" t="s">
        <v>5883</v>
      </c>
      <c r="I3974" s="12" t="s">
        <v>270</v>
      </c>
      <c r="J3974" s="22">
        <f>+Tabla1[[#This Row],[FECHA ENTRADA]]</f>
        <v>45938</v>
      </c>
      <c r="K3974" s="22">
        <v>45961</v>
      </c>
      <c r="L3974" s="23">
        <f>_xlfn.DAYS(Tabla1[[#This Row],[FECHA FIN ]],Tabla1[[#This Row],[FECHA INICIO]])</f>
        <v>23</v>
      </c>
      <c r="M3974" s="12"/>
      <c r="N3974" s="20">
        <v>650</v>
      </c>
      <c r="O3974" s="24">
        <f>(Tabla1[[#This Row],[COSTO FIJO ]]/30)*Tabla1[[#This Row],[TOTAL DIAS PROYECTO]]+(Tabla1[[#This Row],[COSTO TEMPORAL]])</f>
        <v>498.33333333333337</v>
      </c>
      <c r="P3974" s="12"/>
      <c r="Q3974" s="12">
        <f>+(Tabla1[[#This Row],[COSTO COCHE]]/30)*Tabla1[[#This Row],[TOTAL DIAS PROYECTO]]</f>
        <v>0</v>
      </c>
      <c r="R3974" s="12">
        <f>+Tabla1[[#This Row],[COSTO TOTAL ALOJAMIENTO]]+Tabla1[[#This Row],[COSTO TOTAL COCHE]]</f>
        <v>498.33333333333337</v>
      </c>
      <c r="S3974" s="2"/>
      <c r="T3974" s="14" t="s">
        <v>35</v>
      </c>
      <c r="U3974" s="14">
        <v>45938</v>
      </c>
      <c r="V3974" s="79"/>
      <c r="W3974" s="71"/>
      <c r="X3974" s="2">
        <v>1</v>
      </c>
      <c r="Y3974" s="11" t="s">
        <v>5882</v>
      </c>
      <c r="Z3974" s="2" t="s">
        <v>36</v>
      </c>
      <c r="AA3974" s="13" t="s">
        <v>10360</v>
      </c>
      <c r="AB3974" s="13" t="s">
        <v>10361</v>
      </c>
    </row>
    <row r="3975" spans="1:28" ht="15" customHeight="1">
      <c r="A3975" s="2" t="s">
        <v>9840</v>
      </c>
      <c r="B3975" s="2" t="s">
        <v>978</v>
      </c>
      <c r="C3975" s="97" t="s">
        <v>5002</v>
      </c>
      <c r="D3975" s="2" t="s">
        <v>99</v>
      </c>
      <c r="E3975" s="2" t="s">
        <v>3400</v>
      </c>
      <c r="F3975" s="11" t="s">
        <v>4310</v>
      </c>
      <c r="G3975" s="128" t="s">
        <v>4311</v>
      </c>
      <c r="H3975" s="2" t="s">
        <v>1568</v>
      </c>
      <c r="I3975" s="12" t="s">
        <v>4296</v>
      </c>
      <c r="J3975" s="41">
        <f>+Tabla1[[#This Row],[FECHA ENTRADA]]</f>
        <v>45932</v>
      </c>
      <c r="K3975" s="22">
        <v>45961</v>
      </c>
      <c r="L3975" s="42">
        <f>_xlfn.DAYS(Tabla1[[#This Row],[FECHA FIN ]],Tabla1[[#This Row],[FECHA INICIO]])</f>
        <v>29</v>
      </c>
      <c r="M3975" s="12"/>
      <c r="N3975" s="28">
        <v>310</v>
      </c>
      <c r="O3975" s="28">
        <f>(Tabla1[[#This Row],[COSTO FIJO ]]/30)*Tabla1[[#This Row],[TOTAL DIAS PROYECTO]]+(Tabla1[[#This Row],[COSTO TEMPORAL]])</f>
        <v>299.66666666666669</v>
      </c>
      <c r="P3975" s="12"/>
      <c r="Q3975" s="12">
        <f>+(Tabla1[[#This Row],[COSTO COCHE]]/30)*Tabla1[[#This Row],[TOTAL DIAS PROYECTO]]</f>
        <v>0</v>
      </c>
      <c r="R3975" s="12">
        <f>+Tabla1[[#This Row],[COSTO TOTAL ALOJAMIENTO]]+Tabla1[[#This Row],[COSTO TOTAL COCHE]]</f>
        <v>299.66666666666669</v>
      </c>
      <c r="S3975" s="2"/>
      <c r="T3975" s="14" t="s">
        <v>35</v>
      </c>
      <c r="U3975" s="14">
        <v>45932</v>
      </c>
      <c r="V3975" s="43"/>
      <c r="W3975" s="71">
        <v>310</v>
      </c>
      <c r="X3975" s="2">
        <v>1</v>
      </c>
      <c r="Y3975" s="11" t="s">
        <v>5887</v>
      </c>
      <c r="Z3975" s="2" t="s">
        <v>36</v>
      </c>
      <c r="AA3975" s="13" t="e">
        <v>#N/A</v>
      </c>
      <c r="AB3975" s="13" t="e">
        <v>#N/A</v>
      </c>
    </row>
    <row r="3976" spans="1:28" ht="15" customHeight="1">
      <c r="A3976" s="2" t="s">
        <v>9817</v>
      </c>
      <c r="B3976" s="2" t="s">
        <v>978</v>
      </c>
      <c r="C3976" s="97" t="s">
        <v>4883</v>
      </c>
      <c r="D3976" s="2" t="s">
        <v>30</v>
      </c>
      <c r="E3976" s="2" t="s">
        <v>31</v>
      </c>
      <c r="F3976" s="11" t="s">
        <v>1004</v>
      </c>
      <c r="G3976" s="51" t="s">
        <v>1005</v>
      </c>
      <c r="H3976" s="2" t="s">
        <v>4881</v>
      </c>
      <c r="I3976" s="12" t="s">
        <v>2391</v>
      </c>
      <c r="J3976" s="41">
        <f>+Tabla1[[#This Row],[FECHA ENTRADA]]</f>
        <v>45902</v>
      </c>
      <c r="K3976" s="22">
        <f ca="1">TODAY()</f>
        <v>46260</v>
      </c>
      <c r="L3976" s="42">
        <f ca="1">_xlfn.DAYS(Tabla1[[#This Row],[FECHA FIN ]],Tabla1[[#This Row],[FECHA INICIO]])</f>
        <v>358</v>
      </c>
      <c r="M3976" s="12"/>
      <c r="N3976" s="28">
        <v>320</v>
      </c>
      <c r="O3976" s="28">
        <f ca="1">(Tabla1[[#This Row],[COSTO FIJO ]]/30)*Tabla1[[#This Row],[TOTAL DIAS PROYECTO]]+(Tabla1[[#This Row],[COSTO TEMPORAL]])</f>
        <v>3818.6666666666665</v>
      </c>
      <c r="P3976" s="12"/>
      <c r="Q3976" s="12">
        <f ca="1">+(Tabla1[[#This Row],[COSTO COCHE]]/30)*Tabla1[[#This Row],[TOTAL DIAS PROYECTO]]</f>
        <v>0</v>
      </c>
      <c r="R3976" s="12">
        <f ca="1">+Tabla1[[#This Row],[COSTO TOTAL ALOJAMIENTO]]+Tabla1[[#This Row],[COSTO TOTAL COCHE]]</f>
        <v>3818.6666666666665</v>
      </c>
      <c r="S3976" s="2"/>
      <c r="T3976" s="14" t="s">
        <v>35</v>
      </c>
      <c r="U3976" s="14">
        <v>45902</v>
      </c>
      <c r="V3976" s="43"/>
      <c r="W3976" s="71">
        <v>1600</v>
      </c>
      <c r="X3976" s="2">
        <v>1</v>
      </c>
      <c r="Y3976" s="11" t="s">
        <v>5638</v>
      </c>
      <c r="Z3976" s="2" t="s">
        <v>36</v>
      </c>
      <c r="AA3976" s="13" t="s">
        <v>10323</v>
      </c>
      <c r="AB3976" s="13" t="s">
        <v>10324</v>
      </c>
    </row>
    <row r="3977" spans="1:28" ht="15" customHeight="1">
      <c r="A3977" s="2" t="s">
        <v>9150</v>
      </c>
      <c r="B3977" s="2" t="s">
        <v>978</v>
      </c>
      <c r="C3977" s="104" t="s">
        <v>2230</v>
      </c>
      <c r="D3977" s="2" t="s">
        <v>30</v>
      </c>
      <c r="E3977" s="2" t="s">
        <v>109</v>
      </c>
      <c r="F3977" s="11" t="s">
        <v>5353</v>
      </c>
      <c r="G3977" s="49" t="s">
        <v>5354</v>
      </c>
      <c r="H3977" s="2" t="s">
        <v>5355</v>
      </c>
      <c r="I3977" s="12" t="s">
        <v>5356</v>
      </c>
      <c r="J3977" s="22">
        <f>+Tabla1[[#This Row],[FECHA ENTRADA]]</f>
        <v>45867</v>
      </c>
      <c r="K3977" s="22">
        <v>45875</v>
      </c>
      <c r="L3977" s="23">
        <f>_xlfn.DAYS(Tabla1[[#This Row],[FECHA FIN ]],Tabla1[[#This Row],[FECHA INICIO]])</f>
        <v>8</v>
      </c>
      <c r="M3977" s="12"/>
      <c r="N3977" s="12">
        <v>225.25</v>
      </c>
      <c r="O3977" s="24">
        <f>(Tabla1[[#This Row],[COSTO FIJO ]]/30)*Tabla1[[#This Row],[TOTAL DIAS PROYECTO]]+(Tabla1[[#This Row],[COSTO TEMPORAL]])</f>
        <v>60.06666666666667</v>
      </c>
      <c r="P3977" s="12"/>
      <c r="Q3977" s="12">
        <f>+(Tabla1[[#This Row],[COSTO COCHE]]/30)*Tabla1[[#This Row],[TOTAL DIAS PROYECTO]]</f>
        <v>0</v>
      </c>
      <c r="R3977" s="12">
        <f>+Tabla1[[#This Row],[COSTO TOTAL ALOJAMIENTO]]+Tabla1[[#This Row],[COSTO TOTAL COCHE]]</f>
        <v>60.06666666666667</v>
      </c>
      <c r="S3977" s="2" t="s">
        <v>403</v>
      </c>
      <c r="T3977" s="14" t="s">
        <v>44</v>
      </c>
      <c r="U3977" s="14">
        <v>45867</v>
      </c>
      <c r="V3977" s="25">
        <v>45875</v>
      </c>
      <c r="W3977" s="12"/>
      <c r="X3977" s="2"/>
      <c r="Y3977" s="11" t="s">
        <v>5357</v>
      </c>
      <c r="Z3977" s="2" t="s">
        <v>36</v>
      </c>
      <c r="AA3977" s="13">
        <v>0.62217999999999996</v>
      </c>
      <c r="AB3977" s="13" t="s">
        <v>10339</v>
      </c>
    </row>
    <row r="3978" spans="1:28" ht="15" customHeight="1">
      <c r="A3978" s="2" t="s">
        <v>9967</v>
      </c>
      <c r="B3978" s="2" t="s">
        <v>711</v>
      </c>
      <c r="C3978" s="273" t="s">
        <v>5752</v>
      </c>
      <c r="D3978" s="2" t="s">
        <v>30</v>
      </c>
      <c r="E3978" s="2" t="s">
        <v>855</v>
      </c>
      <c r="F3978" s="11" t="s">
        <v>5772</v>
      </c>
      <c r="G3978" s="21" t="s">
        <v>1474</v>
      </c>
      <c r="H3978" s="2" t="s">
        <v>5753</v>
      </c>
      <c r="I3978" s="12" t="s">
        <v>96</v>
      </c>
      <c r="J3978" s="22">
        <f>+Tabla1[[#This Row],[FECHA ENTRADA]]</f>
        <v>46131</v>
      </c>
      <c r="K3978" s="22">
        <v>46146</v>
      </c>
      <c r="L3978" s="23">
        <f>_xlfn.DAYS(Tabla1[[#This Row],[FECHA FIN ]],Tabla1[[#This Row],[FECHA INICIO]])</f>
        <v>15</v>
      </c>
      <c r="M3978" s="12">
        <v>484</v>
      </c>
      <c r="N3978" s="20"/>
      <c r="O3978" s="24">
        <f>(Tabla1[[#This Row],[COSTO FIJO ]]/30)*Tabla1[[#This Row],[TOTAL DIAS PROYECTO]]+(Tabla1[[#This Row],[COSTO TEMPORAL]])</f>
        <v>484</v>
      </c>
      <c r="P3978" s="12"/>
      <c r="Q3978" s="12">
        <f>+(Tabla1[[#This Row],[COSTO COCHE]]/30)*Tabla1[[#This Row],[TOTAL DIAS PROYECTO]]</f>
        <v>0</v>
      </c>
      <c r="R3978" s="12">
        <f>+Tabla1[[#This Row],[COSTO TOTAL ALOJAMIENTO]]+Tabla1[[#This Row],[COSTO TOTAL COCHE]]</f>
        <v>484</v>
      </c>
      <c r="S3978" s="2"/>
      <c r="T3978" s="14" t="s">
        <v>44</v>
      </c>
      <c r="U3978" s="14">
        <v>46131</v>
      </c>
      <c r="V3978" s="79">
        <v>46156</v>
      </c>
      <c r="W3978" s="12"/>
      <c r="X3978" s="2"/>
      <c r="Y3978" s="11" t="s">
        <v>5888</v>
      </c>
      <c r="Z3978" s="2" t="s">
        <v>36</v>
      </c>
      <c r="AA3978" s="13" t="s">
        <v>10401</v>
      </c>
      <c r="AB3978" s="13" t="s">
        <v>10402</v>
      </c>
    </row>
    <row r="3979" spans="1:28" ht="15" customHeight="1">
      <c r="A3979" s="2" t="s">
        <v>9182</v>
      </c>
      <c r="B3979" s="2" t="s">
        <v>368</v>
      </c>
      <c r="C3979" s="97" t="s">
        <v>2343</v>
      </c>
      <c r="D3979" s="2" t="s">
        <v>99</v>
      </c>
      <c r="E3979" s="2" t="s">
        <v>253</v>
      </c>
      <c r="F3979" s="11"/>
      <c r="G3979" s="21"/>
      <c r="H3979" s="2" t="s">
        <v>5889</v>
      </c>
      <c r="I3979" s="12" t="s">
        <v>1830</v>
      </c>
      <c r="J3979" s="22">
        <f>+Tabla1[[#This Row],[FECHA ENTRADA]]</f>
        <v>45803</v>
      </c>
      <c r="K3979" s="8">
        <v>45961</v>
      </c>
      <c r="L3979" s="23">
        <f>_xlfn.DAYS(Tabla1[[#This Row],[FECHA FIN ]],Tabla1[[#This Row],[FECHA INICIO]])</f>
        <v>158</v>
      </c>
      <c r="M3979" s="12"/>
      <c r="N3979" s="28">
        <v>300</v>
      </c>
      <c r="O3979" s="24">
        <f>(Tabla1[[#This Row],[COSTO FIJO ]]/30)*Tabla1[[#This Row],[TOTAL DIAS PROYECTO]]+(Tabla1[[#This Row],[COSTO TEMPORAL]])</f>
        <v>1580</v>
      </c>
      <c r="P3979" s="12"/>
      <c r="Q3979" s="12">
        <f>+(Tabla1[[#This Row],[COSTO COCHE]]/30)*Tabla1[[#This Row],[TOTAL DIAS PROYECTO]]</f>
        <v>0</v>
      </c>
      <c r="R3979" s="12">
        <f>+Tabla1[[#This Row],[COSTO TOTAL ALOJAMIENTO]]+Tabla1[[#This Row],[COSTO TOTAL COCHE]]</f>
        <v>1580</v>
      </c>
      <c r="S3979" s="2"/>
      <c r="T3979" s="2" t="s">
        <v>58</v>
      </c>
      <c r="U3979" s="14">
        <v>45803</v>
      </c>
      <c r="V3979" s="25"/>
      <c r="W3979" s="2"/>
      <c r="X3979" s="2"/>
      <c r="Y3979" s="202" t="s">
        <v>4587</v>
      </c>
      <c r="Z3979" s="2" t="s">
        <v>36</v>
      </c>
      <c r="AA3979" s="13" t="s">
        <v>10357</v>
      </c>
      <c r="AB3979" s="13" t="s">
        <v>10358</v>
      </c>
    </row>
    <row r="3980" spans="1:28" ht="15" customHeight="1">
      <c r="A3980" s="2" t="s">
        <v>8642</v>
      </c>
      <c r="B3980" s="2" t="s">
        <v>711</v>
      </c>
      <c r="C3980" s="276" t="s">
        <v>5890</v>
      </c>
      <c r="D3980" s="2" t="s">
        <v>30</v>
      </c>
      <c r="E3980" s="2" t="s">
        <v>31</v>
      </c>
      <c r="F3980" s="31" t="s">
        <v>5707</v>
      </c>
      <c r="G3980" s="46" t="s">
        <v>5708</v>
      </c>
      <c r="H3980" s="2" t="s">
        <v>5709</v>
      </c>
      <c r="I3980" s="12" t="s">
        <v>5710</v>
      </c>
      <c r="J3980" s="41">
        <f>+Tabla1[[#This Row],[FECHA ENTRADA]]</f>
        <v>46254</v>
      </c>
      <c r="K3980" s="41">
        <v>46258</v>
      </c>
      <c r="L3980" s="42">
        <f>_xlfn.DAYS(Tabla1[[#This Row],[FECHA FIN ]],Tabla1[[#This Row],[FECHA INICIO]])</f>
        <v>4</v>
      </c>
      <c r="M3980" s="12"/>
      <c r="N3980" s="28">
        <v>333.33333333333331</v>
      </c>
      <c r="O3980" s="28">
        <f>(Tabla1[[#This Row],[COSTO FIJO ]]/30)*Tabla1[[#This Row],[TOTAL DIAS PROYECTO]]+(Tabla1[[#This Row],[COSTO TEMPORAL]])</f>
        <v>44.444444444444443</v>
      </c>
      <c r="P3980" s="12"/>
      <c r="Q3980" s="12">
        <f>+(Tabla1[[#This Row],[COSTO COCHE]]/30)*Tabla1[[#This Row],[TOTAL DIAS PROYECTO]]</f>
        <v>0</v>
      </c>
      <c r="R3980" s="12">
        <f>+Tabla1[[#This Row],[COSTO TOTAL ALOJAMIENTO]]+Tabla1[[#This Row],[COSTO TOTAL COCHE]]</f>
        <v>44.444444444444443</v>
      </c>
      <c r="S3980" s="2"/>
      <c r="T3980" s="14" t="s">
        <v>44</v>
      </c>
      <c r="U3980" s="14">
        <v>46254</v>
      </c>
      <c r="V3980" s="43">
        <v>46269</v>
      </c>
      <c r="W3980" s="12"/>
      <c r="X3980" s="2"/>
      <c r="Y3980" s="11" t="s">
        <v>5711</v>
      </c>
      <c r="Z3980" s="2" t="s">
        <v>5712</v>
      </c>
      <c r="AA3980" s="13" t="s">
        <v>10323</v>
      </c>
      <c r="AB3980" s="13" t="s">
        <v>10324</v>
      </c>
    </row>
    <row r="3981" spans="1:28" ht="15" customHeight="1">
      <c r="A3981" s="2" t="s">
        <v>10002</v>
      </c>
      <c r="B3981" s="2" t="s">
        <v>978</v>
      </c>
      <c r="C3981" s="31" t="s">
        <v>5891</v>
      </c>
      <c r="D3981" s="2" t="s">
        <v>30</v>
      </c>
      <c r="E3981" s="2" t="s">
        <v>253</v>
      </c>
      <c r="F3981" s="11" t="s">
        <v>777</v>
      </c>
      <c r="G3981" s="49" t="s">
        <v>981</v>
      </c>
      <c r="H3981" s="2" t="s">
        <v>5452</v>
      </c>
      <c r="I3981" s="12" t="s">
        <v>4696</v>
      </c>
      <c r="J3981" s="22">
        <f>+Tabla1[[#This Row],[FECHA ENTRADA]]</f>
        <v>45950</v>
      </c>
      <c r="K3981" s="22">
        <v>45961</v>
      </c>
      <c r="L3981" s="23">
        <f>_xlfn.DAYS(Tabla1[[#This Row],[FECHA FIN ]],Tabla1[[#This Row],[FECHA INICIO]])</f>
        <v>11</v>
      </c>
      <c r="M3981" s="12"/>
      <c r="N3981" s="24">
        <v>500</v>
      </c>
      <c r="O3981" s="24">
        <f>(Tabla1[[#This Row],[COSTO FIJO ]]/30)*Tabla1[[#This Row],[TOTAL DIAS PROYECTO]]+(Tabla1[[#This Row],[COSTO TEMPORAL]])</f>
        <v>183.33333333333334</v>
      </c>
      <c r="P3981" s="12"/>
      <c r="Q3981" s="12">
        <f>+(Tabla1[[#This Row],[COSTO COCHE]]/30)*Tabla1[[#This Row],[TOTAL DIAS PROYECTO]]</f>
        <v>0</v>
      </c>
      <c r="R3981" s="12">
        <f>+Tabla1[[#This Row],[COSTO TOTAL ALOJAMIENTO]]+Tabla1[[#This Row],[COSTO TOTAL COCHE]]</f>
        <v>183.33333333333334</v>
      </c>
      <c r="S3981" s="2"/>
      <c r="T3981" s="14" t="s">
        <v>35</v>
      </c>
      <c r="U3981" s="14">
        <v>45950</v>
      </c>
      <c r="V3981" s="25"/>
      <c r="W3981" s="71"/>
      <c r="X3981" s="2">
        <v>10</v>
      </c>
      <c r="Y3981" s="11" t="s">
        <v>5892</v>
      </c>
      <c r="Z3981" s="2" t="s">
        <v>36</v>
      </c>
      <c r="AA3981" s="13" t="s">
        <v>10357</v>
      </c>
      <c r="AB3981" s="13" t="s">
        <v>10358</v>
      </c>
    </row>
    <row r="3982" spans="1:28" ht="15" customHeight="1">
      <c r="A3982" s="2" t="s">
        <v>10003</v>
      </c>
      <c r="B3982" s="2" t="s">
        <v>711</v>
      </c>
      <c r="C3982" s="97" t="s">
        <v>5893</v>
      </c>
      <c r="D3982" s="2" t="s">
        <v>99</v>
      </c>
      <c r="E3982" s="2" t="s">
        <v>61</v>
      </c>
      <c r="F3982" s="11" t="s">
        <v>5894</v>
      </c>
      <c r="G3982" s="46" t="s">
        <v>5895</v>
      </c>
      <c r="H3982" s="2" t="s">
        <v>5896</v>
      </c>
      <c r="I3982" s="12" t="s">
        <v>5897</v>
      </c>
      <c r="J3982" s="41">
        <f>+Tabla1[[#This Row],[FECHA ENTRADA]]</f>
        <v>45900</v>
      </c>
      <c r="K3982" s="22">
        <v>45961</v>
      </c>
      <c r="L3982" s="42">
        <f>_xlfn.DAYS(Tabla1[[#This Row],[FECHA FIN ]],Tabla1[[#This Row],[FECHA INICIO]])</f>
        <v>61</v>
      </c>
      <c r="M3982" s="12">
        <v>162.5</v>
      </c>
      <c r="N3982" s="28"/>
      <c r="O3982" s="28">
        <f>(Tabla1[[#This Row],[COSTO FIJO ]]/30)*Tabla1[[#This Row],[TOTAL DIAS PROYECTO]]+(Tabla1[[#This Row],[COSTO TEMPORAL]])</f>
        <v>162.5</v>
      </c>
      <c r="P3982" s="12"/>
      <c r="Q3982" s="12">
        <f>+(Tabla1[[#This Row],[COSTO COCHE]]/30)*Tabla1[[#This Row],[TOTAL DIAS PROYECTO]]</f>
        <v>0</v>
      </c>
      <c r="R3982" s="12">
        <f>+Tabla1[[#This Row],[COSTO TOTAL ALOJAMIENTO]]+Tabla1[[#This Row],[COSTO TOTAL COCHE]]</f>
        <v>162.5</v>
      </c>
      <c r="S3982" s="2" t="s">
        <v>403</v>
      </c>
      <c r="T3982" s="14" t="s">
        <v>44</v>
      </c>
      <c r="U3982" s="14">
        <v>45900</v>
      </c>
      <c r="V3982" s="25">
        <v>45965</v>
      </c>
      <c r="W3982" s="12"/>
      <c r="X3982" s="2"/>
      <c r="Y3982" s="11" t="s">
        <v>5898</v>
      </c>
      <c r="Z3982" s="2" t="s">
        <v>36</v>
      </c>
      <c r="AA3982" s="13" t="s">
        <v>10329</v>
      </c>
      <c r="AB3982" s="13" t="s">
        <v>10330</v>
      </c>
    </row>
    <row r="3983" spans="1:28" ht="15" customHeight="1">
      <c r="A3983" s="2" t="s">
        <v>9130</v>
      </c>
      <c r="B3983" s="2" t="s">
        <v>978</v>
      </c>
      <c r="C3983" s="97" t="s">
        <v>2126</v>
      </c>
      <c r="D3983" s="2" t="s">
        <v>99</v>
      </c>
      <c r="E3983" s="2" t="s">
        <v>100</v>
      </c>
      <c r="F3983" s="11" t="s">
        <v>5696</v>
      </c>
      <c r="G3983" s="21">
        <v>34958430344</v>
      </c>
      <c r="H3983" s="2" t="s">
        <v>5697</v>
      </c>
      <c r="I3983" s="12" t="s">
        <v>4663</v>
      </c>
      <c r="J3983" s="22">
        <f>+Tabla1[[#This Row],[FECHA ENTRADA]]</f>
        <v>45950</v>
      </c>
      <c r="K3983" s="22">
        <v>45961</v>
      </c>
      <c r="L3983" s="23">
        <f>_xlfn.DAYS(Tabla1[[#This Row],[FECHA FIN ]],Tabla1[[#This Row],[FECHA INICIO]])</f>
        <v>11</v>
      </c>
      <c r="M3983" s="12">
        <v>200.66666666666666</v>
      </c>
      <c r="N3983" s="20"/>
      <c r="O3983" s="24">
        <f>(Tabla1[[#This Row],[COSTO FIJO ]]/30)*Tabla1[[#This Row],[TOTAL DIAS PROYECTO]]+(Tabla1[[#This Row],[COSTO TEMPORAL]])</f>
        <v>200.66666666666666</v>
      </c>
      <c r="P3983" s="12"/>
      <c r="Q3983" s="12">
        <f>+(Tabla1[[#This Row],[COSTO COCHE]]/30)*Tabla1[[#This Row],[TOTAL DIAS PROYECTO]]</f>
        <v>0</v>
      </c>
      <c r="R3983" s="12">
        <f>+Tabla1[[#This Row],[COSTO TOTAL ALOJAMIENTO]]+Tabla1[[#This Row],[COSTO TOTAL COCHE]]</f>
        <v>200.66666666666666</v>
      </c>
      <c r="S3983" s="2"/>
      <c r="T3983" s="14" t="s">
        <v>44</v>
      </c>
      <c r="U3983" s="14">
        <v>45950</v>
      </c>
      <c r="V3983" s="79">
        <v>45965</v>
      </c>
      <c r="W3983" s="71"/>
      <c r="X3983" s="2"/>
      <c r="Y3983" s="11" t="s">
        <v>5899</v>
      </c>
      <c r="Z3983" s="2" t="s">
        <v>36</v>
      </c>
      <c r="AA3983" s="13" t="s">
        <v>10338</v>
      </c>
      <c r="AB3983" s="13">
        <v>3718817</v>
      </c>
    </row>
    <row r="3984" spans="1:28" ht="15" customHeight="1">
      <c r="A3984" s="2" t="s">
        <v>9051</v>
      </c>
      <c r="B3984" s="2" t="s">
        <v>711</v>
      </c>
      <c r="C3984" s="97" t="s">
        <v>1812</v>
      </c>
      <c r="D3984" s="2" t="s">
        <v>30</v>
      </c>
      <c r="E3984" s="2" t="s">
        <v>2378</v>
      </c>
      <c r="F3984" s="11" t="s">
        <v>5900</v>
      </c>
      <c r="G3984" s="21" t="s">
        <v>5901</v>
      </c>
      <c r="H3984" s="2" t="s">
        <v>5686</v>
      </c>
      <c r="I3984" s="12" t="s">
        <v>5187</v>
      </c>
      <c r="J3984" s="22">
        <f>+Tabla1[[#This Row],[FECHA ENTRADA]]</f>
        <v>45950</v>
      </c>
      <c r="K3984" s="22">
        <v>45961</v>
      </c>
      <c r="L3984" s="23">
        <f>_xlfn.DAYS(Tabla1[[#This Row],[FECHA FIN ]],Tabla1[[#This Row],[FECHA INICIO]])</f>
        <v>11</v>
      </c>
      <c r="M3984" s="12">
        <v>510</v>
      </c>
      <c r="N3984" s="24"/>
      <c r="O3984" s="24">
        <f>(Tabla1[[#This Row],[COSTO FIJO ]]/30)*Tabla1[[#This Row],[TOTAL DIAS PROYECTO]]+(Tabla1[[#This Row],[COSTO TEMPORAL]])</f>
        <v>510</v>
      </c>
      <c r="P3984" s="12"/>
      <c r="Q3984" s="12">
        <f>+(Tabla1[[#This Row],[COSTO COCHE]]/30)*Tabla1[[#This Row],[TOTAL DIAS PROYECTO]]</f>
        <v>0</v>
      </c>
      <c r="R3984" s="12">
        <f>+Tabla1[[#This Row],[COSTO TOTAL ALOJAMIENTO]]+Tabla1[[#This Row],[COSTO TOTAL COCHE]]</f>
        <v>510</v>
      </c>
      <c r="S3984" s="2"/>
      <c r="T3984" s="14" t="s">
        <v>44</v>
      </c>
      <c r="U3984" s="14">
        <v>45950</v>
      </c>
      <c r="V3984" s="25">
        <v>45981</v>
      </c>
      <c r="W3984" s="71"/>
      <c r="X3984" s="2"/>
      <c r="Y3984" s="11" t="s">
        <v>5902</v>
      </c>
      <c r="Z3984" s="2" t="s">
        <v>36</v>
      </c>
      <c r="AA3984" s="13" t="e">
        <v>#N/A</v>
      </c>
      <c r="AB3984" s="13" t="e">
        <v>#N/A</v>
      </c>
    </row>
    <row r="3985" spans="1:28" ht="15" customHeight="1">
      <c r="A3985" s="2" t="s">
        <v>9494</v>
      </c>
      <c r="B3985" s="2" t="s">
        <v>978</v>
      </c>
      <c r="C3985" s="97" t="s">
        <v>3374</v>
      </c>
      <c r="D3985" s="2" t="s">
        <v>99</v>
      </c>
      <c r="E3985" s="2" t="s">
        <v>1130</v>
      </c>
      <c r="F3985" s="11"/>
      <c r="G3985" s="21"/>
      <c r="H3985" s="2" t="s">
        <v>4431</v>
      </c>
      <c r="I3985" s="12" t="s">
        <v>4432</v>
      </c>
      <c r="J3985" s="22">
        <f>+Tabla1[[#This Row],[FECHA ENTRADA]]</f>
        <v>45962</v>
      </c>
      <c r="K3985" s="22">
        <v>45961</v>
      </c>
      <c r="L3985" s="23">
        <f>_xlfn.DAYS(Tabla1[[#This Row],[FECHA FIN ]],Tabla1[[#This Row],[FECHA INICIO]])</f>
        <v>-1</v>
      </c>
      <c r="M3985" s="12"/>
      <c r="N3985" s="20">
        <v>300</v>
      </c>
      <c r="O3985" s="24">
        <f>(Tabla1[[#This Row],[COSTO FIJO ]]/30)*Tabla1[[#This Row],[TOTAL DIAS PROYECTO]]+(Tabla1[[#This Row],[COSTO TEMPORAL]])</f>
        <v>-10</v>
      </c>
      <c r="P3985" s="12"/>
      <c r="Q3985" s="12">
        <f>+(Tabla1[[#This Row],[COSTO COCHE]]/30)*Tabla1[[#This Row],[TOTAL DIAS PROYECTO]]</f>
        <v>0</v>
      </c>
      <c r="R3985" s="12">
        <f>+Tabla1[[#This Row],[COSTO TOTAL ALOJAMIENTO]]+Tabla1[[#This Row],[COSTO TOTAL COCHE]]</f>
        <v>-10</v>
      </c>
      <c r="S3985" s="2"/>
      <c r="T3985" s="14" t="s">
        <v>58</v>
      </c>
      <c r="U3985" s="14">
        <v>45962</v>
      </c>
      <c r="V3985" s="79"/>
      <c r="W3985" s="71"/>
      <c r="X3985" s="2"/>
      <c r="Y3985" s="11" t="s">
        <v>5903</v>
      </c>
      <c r="Z3985" s="2" t="s">
        <v>36</v>
      </c>
      <c r="AA3985" s="13" t="s">
        <v>10412</v>
      </c>
      <c r="AB3985" s="13">
        <v>4200955</v>
      </c>
    </row>
    <row r="3986" spans="1:28" ht="15" customHeight="1">
      <c r="A3986" s="2" t="s">
        <v>9679</v>
      </c>
      <c r="B3986" s="2" t="s">
        <v>711</v>
      </c>
      <c r="C3986" s="104" t="s">
        <v>4190</v>
      </c>
      <c r="D3986" s="2" t="s">
        <v>78</v>
      </c>
      <c r="E3986" s="2" t="s">
        <v>1297</v>
      </c>
      <c r="F3986" s="11" t="s">
        <v>5904</v>
      </c>
      <c r="G3986" s="100" t="s">
        <v>5905</v>
      </c>
      <c r="H3986" s="2" t="s">
        <v>2168</v>
      </c>
      <c r="I3986" s="10" t="s">
        <v>1301</v>
      </c>
      <c r="J3986" s="41">
        <f>+Tabla1[[#This Row],[FECHA ENTRADA]]</f>
        <v>45940</v>
      </c>
      <c r="K3986" s="41">
        <v>45961</v>
      </c>
      <c r="L3986" s="42">
        <f>_xlfn.DAYS(Tabla1[[#This Row],[FECHA FIN ]],Tabla1[[#This Row],[FECHA INICIO]])</f>
        <v>21</v>
      </c>
      <c r="M3986" s="12">
        <v>600</v>
      </c>
      <c r="N3986" s="28"/>
      <c r="O3986" s="28">
        <f>(Tabla1[[#This Row],[COSTO FIJO ]]/30)*Tabla1[[#This Row],[TOTAL DIAS PROYECTO]]+(Tabla1[[#This Row],[COSTO TEMPORAL]])</f>
        <v>600</v>
      </c>
      <c r="P3986" s="12"/>
      <c r="Q3986" s="12">
        <f>+(Tabla1[[#This Row],[COSTO COCHE]]/30)*Tabla1[[#This Row],[TOTAL DIAS PROYECTO]]</f>
        <v>0</v>
      </c>
      <c r="R3986" s="12">
        <f>+Tabla1[[#This Row],[COSTO TOTAL ALOJAMIENTO]]+Tabla1[[#This Row],[COSTO TOTAL COCHE]]</f>
        <v>600</v>
      </c>
      <c r="S3986" s="2"/>
      <c r="T3986" s="14" t="s">
        <v>44</v>
      </c>
      <c r="U3986" s="14">
        <v>45940</v>
      </c>
      <c r="V3986" s="43">
        <v>45961</v>
      </c>
      <c r="W3986" s="71"/>
      <c r="X3986" s="2"/>
      <c r="Y3986" s="11" t="s">
        <v>5906</v>
      </c>
      <c r="Z3986" s="2" t="s">
        <v>36</v>
      </c>
      <c r="AA3986" s="13" t="s">
        <v>10414</v>
      </c>
      <c r="AB3986" s="13">
        <v>5094783</v>
      </c>
    </row>
    <row r="3987" spans="1:28" ht="15" customHeight="1">
      <c r="A3987" s="2" t="s">
        <v>8976</v>
      </c>
      <c r="B3987" s="2" t="s">
        <v>711</v>
      </c>
      <c r="C3987" s="104" t="s">
        <v>1570</v>
      </c>
      <c r="D3987" s="2" t="s">
        <v>78</v>
      </c>
      <c r="E3987" s="2" t="s">
        <v>1297</v>
      </c>
      <c r="F3987" s="11" t="s">
        <v>5904</v>
      </c>
      <c r="G3987" s="100" t="s">
        <v>5905</v>
      </c>
      <c r="H3987" s="2" t="s">
        <v>4530</v>
      </c>
      <c r="I3987" s="12" t="s">
        <v>1301</v>
      </c>
      <c r="J3987" s="41">
        <f>+Tabla1[[#This Row],[FECHA ENTRADA]]</f>
        <v>45940</v>
      </c>
      <c r="K3987" s="41">
        <v>45961</v>
      </c>
      <c r="L3987" s="42">
        <f>_xlfn.DAYS(Tabla1[[#This Row],[FECHA FIN ]],Tabla1[[#This Row],[FECHA INICIO]])</f>
        <v>21</v>
      </c>
      <c r="M3987" s="12">
        <v>600</v>
      </c>
      <c r="N3987" s="28"/>
      <c r="O3987" s="28">
        <f>(Tabla1[[#This Row],[COSTO FIJO ]]/30)*Tabla1[[#This Row],[TOTAL DIAS PROYECTO]]+(Tabla1[[#This Row],[COSTO TEMPORAL]])</f>
        <v>600</v>
      </c>
      <c r="P3987" s="12"/>
      <c r="Q3987" s="12">
        <f>+(Tabla1[[#This Row],[COSTO COCHE]]/30)*Tabla1[[#This Row],[TOTAL DIAS PROYECTO]]</f>
        <v>0</v>
      </c>
      <c r="R3987" s="12">
        <f>+Tabla1[[#This Row],[COSTO TOTAL ALOJAMIENTO]]+Tabla1[[#This Row],[COSTO TOTAL COCHE]]</f>
        <v>600</v>
      </c>
      <c r="S3987" s="2"/>
      <c r="T3987" s="14" t="s">
        <v>44</v>
      </c>
      <c r="U3987" s="14">
        <v>45940</v>
      </c>
      <c r="V3987" s="43">
        <v>45961</v>
      </c>
      <c r="W3987" s="71"/>
      <c r="X3987" s="2"/>
      <c r="Y3987" s="11" t="s">
        <v>5906</v>
      </c>
      <c r="Z3987" s="2" t="s">
        <v>36</v>
      </c>
      <c r="AA3987" s="13" t="s">
        <v>10414</v>
      </c>
      <c r="AB3987" s="13">
        <v>5094783</v>
      </c>
    </row>
    <row r="3988" spans="1:28" ht="15" customHeight="1">
      <c r="A3988" s="2" t="s">
        <v>9084</v>
      </c>
      <c r="B3988" s="2" t="s">
        <v>711</v>
      </c>
      <c r="C3988" s="104" t="s">
        <v>1947</v>
      </c>
      <c r="D3988" s="2" t="s">
        <v>78</v>
      </c>
      <c r="E3988" s="2" t="s">
        <v>1297</v>
      </c>
      <c r="F3988" s="11" t="s">
        <v>5904</v>
      </c>
      <c r="G3988" s="100" t="s">
        <v>5905</v>
      </c>
      <c r="H3988" s="2" t="s">
        <v>2168</v>
      </c>
      <c r="I3988" s="12" t="s">
        <v>1301</v>
      </c>
      <c r="J3988" s="41">
        <f>+Tabla1[[#This Row],[FECHA ENTRADA]]</f>
        <v>45940</v>
      </c>
      <c r="K3988" s="41">
        <v>45961</v>
      </c>
      <c r="L3988" s="42">
        <f>_xlfn.DAYS(Tabla1[[#This Row],[FECHA FIN ]],Tabla1[[#This Row],[FECHA INICIO]])</f>
        <v>21</v>
      </c>
      <c r="M3988" s="12">
        <v>600</v>
      </c>
      <c r="N3988" s="28"/>
      <c r="O3988" s="28">
        <f>(Tabla1[[#This Row],[COSTO FIJO ]]/30)*Tabla1[[#This Row],[TOTAL DIAS PROYECTO]]+(Tabla1[[#This Row],[COSTO TEMPORAL]])</f>
        <v>600</v>
      </c>
      <c r="P3988" s="12"/>
      <c r="Q3988" s="12">
        <f>+(Tabla1[[#This Row],[COSTO COCHE]]/30)*Tabla1[[#This Row],[TOTAL DIAS PROYECTO]]</f>
        <v>0</v>
      </c>
      <c r="R3988" s="12">
        <f>+Tabla1[[#This Row],[COSTO TOTAL ALOJAMIENTO]]+Tabla1[[#This Row],[COSTO TOTAL COCHE]]</f>
        <v>600</v>
      </c>
      <c r="S3988" s="2"/>
      <c r="T3988" s="14" t="s">
        <v>44</v>
      </c>
      <c r="U3988" s="14">
        <v>45940</v>
      </c>
      <c r="V3988" s="43">
        <v>45961</v>
      </c>
      <c r="W3988" s="71"/>
      <c r="X3988" s="2"/>
      <c r="Y3988" s="11" t="s">
        <v>5906</v>
      </c>
      <c r="Z3988" s="2" t="s">
        <v>36</v>
      </c>
      <c r="AA3988" s="13" t="s">
        <v>10414</v>
      </c>
      <c r="AB3988" s="13">
        <v>5094783</v>
      </c>
    </row>
    <row r="3989" spans="1:28" ht="15" customHeight="1">
      <c r="A3989" s="2" t="s">
        <v>10004</v>
      </c>
      <c r="B3989" s="2" t="s">
        <v>28</v>
      </c>
      <c r="C3989" s="31" t="s">
        <v>5907</v>
      </c>
      <c r="D3989" s="2" t="s">
        <v>30</v>
      </c>
      <c r="E3989" s="2" t="s">
        <v>253</v>
      </c>
      <c r="F3989" s="11" t="s">
        <v>254</v>
      </c>
      <c r="G3989" s="11" t="s">
        <v>255</v>
      </c>
      <c r="H3989" s="2" t="s">
        <v>2371</v>
      </c>
      <c r="I3989" s="12" t="s">
        <v>582</v>
      </c>
      <c r="J3989" s="8">
        <f>+Tabla1[[#This Row],[FECHA ENTRADA]]</f>
        <v>45496</v>
      </c>
      <c r="K3989" s="22">
        <v>45962</v>
      </c>
      <c r="L3989" s="13">
        <v>289</v>
      </c>
      <c r="M3989" s="12"/>
      <c r="N3989" s="12">
        <v>216.66666666666666</v>
      </c>
      <c r="O3989" s="12">
        <f>(Tabla1[[#This Row],[COSTO FIJO ]]/30)*Tabla1[[#This Row],[TOTAL DIAS PROYECTO]]+(Tabla1[[#This Row],[COSTO TEMPORAL]])</f>
        <v>2087.2222222222222</v>
      </c>
      <c r="P3989" s="12">
        <f>1304.98/7</f>
        <v>186.42571428571429</v>
      </c>
      <c r="Q3989" s="12">
        <f>+(Tabla1[[#This Row],[COSTO COCHE]]/30)*Tabla1[[#This Row],[TOTAL DIAS PROYECTO]]</f>
        <v>1795.9010476190479</v>
      </c>
      <c r="R3989" s="12">
        <f>+Tabla1[[#This Row],[COSTO TOTAL ALOJAMIENTO]]+Tabla1[[#This Row],[COSTO TOTAL COCHE]]</f>
        <v>3883.12326984127</v>
      </c>
      <c r="S3989" s="2"/>
      <c r="T3989" s="2" t="s">
        <v>35</v>
      </c>
      <c r="U3989" s="14">
        <v>45496</v>
      </c>
      <c r="V3989" s="14"/>
      <c r="W3989" s="26"/>
      <c r="X3989" s="2">
        <v>1</v>
      </c>
      <c r="Y3989" s="11" t="s">
        <v>5908</v>
      </c>
      <c r="Z3989" s="2" t="s">
        <v>36</v>
      </c>
      <c r="AA3989" s="13" t="s">
        <v>10357</v>
      </c>
      <c r="AB3989" s="13" t="s">
        <v>10358</v>
      </c>
    </row>
    <row r="3990" spans="1:28" ht="15" customHeight="1">
      <c r="A3990" s="2" t="s">
        <v>9723</v>
      </c>
      <c r="B3990" s="2" t="s">
        <v>978</v>
      </c>
      <c r="C3990" s="104" t="s">
        <v>4409</v>
      </c>
      <c r="D3990" s="2" t="s">
        <v>99</v>
      </c>
      <c r="E3990" s="2" t="s">
        <v>31</v>
      </c>
      <c r="F3990" s="11" t="s">
        <v>758</v>
      </c>
      <c r="G3990" s="11" t="s">
        <v>759</v>
      </c>
      <c r="H3990" s="2" t="s">
        <v>4410</v>
      </c>
      <c r="I3990" s="12" t="s">
        <v>1540</v>
      </c>
      <c r="J3990" s="22">
        <f>+Tabla1[[#This Row],[FECHA ENTRADA]]</f>
        <v>45903</v>
      </c>
      <c r="K3990" s="22">
        <v>45962</v>
      </c>
      <c r="L3990" s="23">
        <f>_xlfn.DAYS(Tabla1[[#This Row],[FECHA FIN ]],Tabla1[[#This Row],[FECHA INICIO]])</f>
        <v>59</v>
      </c>
      <c r="M3990" s="12"/>
      <c r="N3990" s="12"/>
      <c r="O3990" s="24">
        <f>(Tabla1[[#This Row],[COSTO FIJO ]]/30)*Tabla1[[#This Row],[TOTAL DIAS PROYECTO]]+(Tabla1[[#This Row],[COSTO TEMPORAL]])</f>
        <v>0</v>
      </c>
      <c r="P3990" s="12"/>
      <c r="Q3990" s="12">
        <f>+(Tabla1[[#This Row],[COSTO COCHE]]/30)*Tabla1[[#This Row],[TOTAL DIAS PROYECTO]]</f>
        <v>0</v>
      </c>
      <c r="R3990" s="12">
        <f>+Tabla1[[#This Row],[COSTO TOTAL ALOJAMIENTO]]+Tabla1[[#This Row],[COSTO TOTAL COCHE]]</f>
        <v>0</v>
      </c>
      <c r="S3990" s="2"/>
      <c r="T3990" s="14" t="s">
        <v>35</v>
      </c>
      <c r="U3990" s="14">
        <v>45903</v>
      </c>
      <c r="V3990" s="25"/>
      <c r="W3990" s="71"/>
      <c r="X3990" s="2">
        <v>1</v>
      </c>
      <c r="Y3990" s="11"/>
      <c r="Z3990" s="2" t="s">
        <v>36</v>
      </c>
      <c r="AA3990" s="13" t="s">
        <v>10323</v>
      </c>
      <c r="AB3990" s="13" t="s">
        <v>10324</v>
      </c>
    </row>
    <row r="3991" spans="1:28" ht="15" customHeight="1">
      <c r="A3991" s="2" t="s">
        <v>8794</v>
      </c>
      <c r="B3991" s="2" t="s">
        <v>978</v>
      </c>
      <c r="C3991" s="31" t="s">
        <v>796</v>
      </c>
      <c r="D3991" s="2" t="s">
        <v>30</v>
      </c>
      <c r="E3991" s="2" t="s">
        <v>253</v>
      </c>
      <c r="F3991" s="11" t="s">
        <v>5909</v>
      </c>
      <c r="G3991" s="46" t="s">
        <v>1689</v>
      </c>
      <c r="H3991" s="2" t="s">
        <v>1530</v>
      </c>
      <c r="I3991" s="158" t="s">
        <v>1155</v>
      </c>
      <c r="J3991" s="22">
        <f>+Tabla1[[#This Row],[FECHA ENTRADA]]</f>
        <v>45574</v>
      </c>
      <c r="K3991" s="8">
        <v>45962</v>
      </c>
      <c r="L3991" s="42">
        <f>_xlfn.DAYS(Tabla1[[#This Row],[FECHA FIN ]],Tabla1[[#This Row],[FECHA INICIO]])</f>
        <v>388</v>
      </c>
      <c r="M3991" s="12"/>
      <c r="N3991" s="12">
        <v>480</v>
      </c>
      <c r="O3991" s="28">
        <f>(Tabla1[[#This Row],[COSTO FIJO ]]/30)*Tabla1[[#This Row],[TOTAL DIAS PROYECTO]]+(Tabla1[[#This Row],[COSTO TEMPORAL]])</f>
        <v>6208</v>
      </c>
      <c r="P3991" s="12"/>
      <c r="Q3991" s="12">
        <f>+(Tabla1[[#This Row],[COSTO COCHE]]/30)*Tabla1[[#This Row],[TOTAL DIAS PROYECTO]]</f>
        <v>0</v>
      </c>
      <c r="R3991" s="12">
        <f>+Tabla1[[#This Row],[COSTO TOTAL ALOJAMIENTO]]+Tabla1[[#This Row],[COSTO TOTAL COCHE]]</f>
        <v>6208</v>
      </c>
      <c r="S3991" s="2"/>
      <c r="T3991" s="2" t="s">
        <v>35</v>
      </c>
      <c r="U3991" s="14">
        <v>45574</v>
      </c>
      <c r="V3991" s="43"/>
      <c r="W3991" s="26"/>
      <c r="X3991" s="2">
        <v>5</v>
      </c>
      <c r="Y3991" s="11" t="s">
        <v>5771</v>
      </c>
      <c r="Z3991" s="2" t="s">
        <v>36</v>
      </c>
      <c r="AA3991" s="13" t="s">
        <v>10357</v>
      </c>
      <c r="AB3991" s="13" t="s">
        <v>10358</v>
      </c>
    </row>
    <row r="3992" spans="1:28" ht="15" customHeight="1">
      <c r="A3992" s="2" t="s">
        <v>8681</v>
      </c>
      <c r="B3992" s="2" t="s">
        <v>978</v>
      </c>
      <c r="C3992" s="278" t="s">
        <v>272</v>
      </c>
      <c r="D3992" s="2" t="s">
        <v>30</v>
      </c>
      <c r="E3992" s="2" t="s">
        <v>253</v>
      </c>
      <c r="F3992" s="11" t="s">
        <v>5833</v>
      </c>
      <c r="G3992" s="46" t="s">
        <v>981</v>
      </c>
      <c r="H3992" s="157" t="s">
        <v>1530</v>
      </c>
      <c r="I3992" s="158" t="s">
        <v>1155</v>
      </c>
      <c r="J3992" s="41">
        <f>+Tabla1[[#This Row],[FECHA ENTRADA]]</f>
        <v>45574</v>
      </c>
      <c r="K3992" s="8">
        <v>45962</v>
      </c>
      <c r="L3992" s="42">
        <f>_xlfn.DAYS(Tabla1[[#This Row],[FECHA FIN ]],Tabla1[[#This Row],[FECHA INICIO]])</f>
        <v>388</v>
      </c>
      <c r="M3992" s="12"/>
      <c r="N3992" s="12">
        <v>550</v>
      </c>
      <c r="O3992" s="28">
        <f>(Tabla1[[#This Row],[COSTO FIJO ]]/30)*Tabla1[[#This Row],[TOTAL DIAS PROYECTO]]+(Tabla1[[#This Row],[COSTO TEMPORAL]])</f>
        <v>7113.333333333333</v>
      </c>
      <c r="P3992" s="12"/>
      <c r="Q3992" s="12">
        <f>+(Tabla1[[#This Row],[COSTO COCHE]]/30)*Tabla1[[#This Row],[TOTAL DIAS PROYECTO]]</f>
        <v>0</v>
      </c>
      <c r="R3992" s="12">
        <f>+Tabla1[[#This Row],[COSTO TOTAL ALOJAMIENTO]]+Tabla1[[#This Row],[COSTO TOTAL COCHE]]</f>
        <v>7113.333333333333</v>
      </c>
      <c r="S3992" s="2"/>
      <c r="T3992" s="2" t="s">
        <v>35</v>
      </c>
      <c r="U3992" s="14">
        <v>45574</v>
      </c>
      <c r="V3992" s="43"/>
      <c r="W3992" s="26"/>
      <c r="X3992" s="2">
        <v>5</v>
      </c>
      <c r="Y3992" s="11" t="s">
        <v>5771</v>
      </c>
      <c r="Z3992" s="2" t="s">
        <v>36</v>
      </c>
      <c r="AA3992" s="13" t="s">
        <v>10357</v>
      </c>
      <c r="AB3992" s="13" t="s">
        <v>10358</v>
      </c>
    </row>
    <row r="3993" spans="1:28" ht="15" customHeight="1">
      <c r="A3993" s="2" t="s">
        <v>9173</v>
      </c>
      <c r="B3993" s="2" t="s">
        <v>711</v>
      </c>
      <c r="C3993" s="279" t="s">
        <v>2315</v>
      </c>
      <c r="D3993" s="2" t="s">
        <v>30</v>
      </c>
      <c r="E3993" s="2" t="s">
        <v>422</v>
      </c>
      <c r="F3993" s="11" t="s">
        <v>5145</v>
      </c>
      <c r="G3993" t="s">
        <v>1376</v>
      </c>
      <c r="H3993" s="157" t="s">
        <v>5671</v>
      </c>
      <c r="I3993" s="201" t="s">
        <v>1322</v>
      </c>
      <c r="J3993" s="22">
        <f>+Tabla1[[#This Row],[FECHA ENTRADA]]</f>
        <v>45874</v>
      </c>
      <c r="K3993" s="8">
        <v>45886</v>
      </c>
      <c r="L3993" s="23">
        <f>_xlfn.DAYS(Tabla1[[#This Row],[FECHA FIN ]],Tabla1[[#This Row],[FECHA INICIO]])</f>
        <v>12</v>
      </c>
      <c r="M3993" s="12"/>
      <c r="N3993" s="20">
        <v>240</v>
      </c>
      <c r="O3993" s="24">
        <f>(Tabla1[[#This Row],[COSTO FIJO ]]/30)*Tabla1[[#This Row],[TOTAL DIAS PROYECTO]]+(Tabla1[[#This Row],[COSTO TEMPORAL]])</f>
        <v>96</v>
      </c>
      <c r="P3993" s="12"/>
      <c r="Q3993" s="12">
        <f>+(Tabla1[[#This Row],[COSTO COCHE]]/30)*Tabla1[[#This Row],[TOTAL DIAS PROYECTO]]</f>
        <v>0</v>
      </c>
      <c r="R3993" s="12">
        <f>+Tabla1[[#This Row],[COSTO TOTAL ALOJAMIENTO]]+Tabla1[[#This Row],[COSTO TOTAL COCHE]]</f>
        <v>96</v>
      </c>
      <c r="S3993" s="2"/>
      <c r="T3993" s="14" t="s">
        <v>35</v>
      </c>
      <c r="U3993" s="14">
        <v>45874</v>
      </c>
      <c r="V3993" s="79"/>
      <c r="W3993" s="12"/>
      <c r="X3993" s="2">
        <v>5</v>
      </c>
      <c r="Y3993" s="11" t="s">
        <v>5910</v>
      </c>
      <c r="Z3993" s="2" t="s">
        <v>36</v>
      </c>
      <c r="AA3993" s="13">
        <v>-326.69799999999998</v>
      </c>
      <c r="AB3993" s="13" t="s">
        <v>10373</v>
      </c>
    </row>
    <row r="3994" spans="1:28" s="30" customFormat="1" ht="15.75" customHeight="1">
      <c r="A3994" s="2" t="s">
        <v>9887</v>
      </c>
      <c r="B3994" s="2" t="s">
        <v>28</v>
      </c>
      <c r="C3994" s="279" t="s">
        <v>5225</v>
      </c>
      <c r="D3994" s="2" t="s">
        <v>99</v>
      </c>
      <c r="E3994" s="2" t="s">
        <v>253</v>
      </c>
      <c r="F3994" s="11" t="s">
        <v>5911</v>
      </c>
      <c r="G3994" s="49" t="s">
        <v>5912</v>
      </c>
      <c r="H3994" s="157" t="s">
        <v>5168</v>
      </c>
      <c r="I3994" s="158" t="s">
        <v>5169</v>
      </c>
      <c r="J3994" s="22">
        <f>+Tabla1[[#This Row],[FECHA ENTRADA]]</f>
        <v>45917</v>
      </c>
      <c r="K3994" s="22">
        <v>45962</v>
      </c>
      <c r="L3994" s="23">
        <f>_xlfn.DAYS(Tabla1[[#This Row],[FECHA FIN ]],Tabla1[[#This Row],[FECHA INICIO]])</f>
        <v>45</v>
      </c>
      <c r="M3994" s="12"/>
      <c r="N3994" s="24">
        <v>500</v>
      </c>
      <c r="O3994" s="24">
        <f>(Tabla1[[#This Row],[COSTO FIJO ]]/30)*Tabla1[[#This Row],[TOTAL DIAS PROYECTO]]+(Tabla1[[#This Row],[COSTO TEMPORAL]])</f>
        <v>750</v>
      </c>
      <c r="P3994" s="12"/>
      <c r="Q3994" s="12">
        <f>+(Tabla1[[#This Row],[COSTO COCHE]]/30)*Tabla1[[#This Row],[TOTAL DIAS PROYECTO]]</f>
        <v>0</v>
      </c>
      <c r="R3994" s="12">
        <f>+Tabla1[[#This Row],[COSTO TOTAL ALOJAMIENTO]]+Tabla1[[#This Row],[COSTO TOTAL COCHE]]</f>
        <v>750</v>
      </c>
      <c r="S3994" s="2"/>
      <c r="T3994" s="14" t="s">
        <v>35</v>
      </c>
      <c r="U3994" s="14">
        <v>45917</v>
      </c>
      <c r="V3994" s="25"/>
      <c r="W3994" s="71">
        <v>300</v>
      </c>
      <c r="X3994" s="2">
        <v>15</v>
      </c>
      <c r="Y3994" s="11" t="s">
        <v>5913</v>
      </c>
      <c r="Z3994" s="2" t="s">
        <v>36</v>
      </c>
      <c r="AA3994" s="13" t="s">
        <v>10357</v>
      </c>
      <c r="AB3994" s="13" t="s">
        <v>10358</v>
      </c>
    </row>
    <row r="3995" spans="1:28" ht="15" customHeight="1">
      <c r="A3995" s="117" t="s">
        <v>10005</v>
      </c>
      <c r="B3995" s="117" t="s">
        <v>978</v>
      </c>
      <c r="C3995" s="224" t="s">
        <v>5914</v>
      </c>
      <c r="D3995" s="117" t="s">
        <v>30</v>
      </c>
      <c r="E3995" s="117" t="s">
        <v>855</v>
      </c>
      <c r="F3995" s="11" t="s">
        <v>5806</v>
      </c>
      <c r="G3995" s="68" t="s">
        <v>1938</v>
      </c>
      <c r="H3995" s="198" t="s">
        <v>5807</v>
      </c>
      <c r="I3995" s="199" t="s">
        <v>5808</v>
      </c>
      <c r="J3995" s="120">
        <f>+Tabla1[[#This Row],[FECHA ENTRADA]]</f>
        <v>45952</v>
      </c>
      <c r="K3995" s="121">
        <v>45963</v>
      </c>
      <c r="L3995" s="122">
        <f>_xlfn.DAYS(Tabla1[[#This Row],[FECHA FIN ]],Tabla1[[#This Row],[FECHA INICIO]])</f>
        <v>11</v>
      </c>
      <c r="M3995" s="119"/>
      <c r="N3995" s="123"/>
      <c r="O3995" s="123">
        <f>(Tabla1[[#This Row],[COSTO FIJO ]]/30)*Tabla1[[#This Row],[TOTAL DIAS PROYECTO]]+(Tabla1[[#This Row],[COSTO TEMPORAL]])</f>
        <v>0</v>
      </c>
      <c r="P3995" s="119"/>
      <c r="Q3995" s="119">
        <f>+(Tabla1[[#This Row],[COSTO COCHE]]/30)*Tabla1[[#This Row],[TOTAL DIAS PROYECTO]]</f>
        <v>0</v>
      </c>
      <c r="R3995" s="119">
        <f>+Tabla1[[#This Row],[COSTO TOTAL ALOJAMIENTO]]+Tabla1[[#This Row],[COSTO TOTAL COCHE]]</f>
        <v>0</v>
      </c>
      <c r="S3995" s="117"/>
      <c r="T3995" s="124" t="s">
        <v>44</v>
      </c>
      <c r="U3995" s="124">
        <v>45952</v>
      </c>
      <c r="V3995" s="125">
        <v>45965</v>
      </c>
      <c r="W3995" s="126"/>
      <c r="X3995" s="117"/>
      <c r="Y3995" s="118" t="s">
        <v>5915</v>
      </c>
      <c r="Z3995" s="117" t="s">
        <v>36</v>
      </c>
      <c r="AA3995" s="13" t="s">
        <v>10401</v>
      </c>
      <c r="AB3995" s="13" t="s">
        <v>10402</v>
      </c>
    </row>
    <row r="3996" spans="1:28" ht="15" customHeight="1">
      <c r="A3996" s="117" t="s">
        <v>9769</v>
      </c>
      <c r="B3996" s="117" t="s">
        <v>978</v>
      </c>
      <c r="C3996" s="280" t="s">
        <v>4658</v>
      </c>
      <c r="D3996" s="117" t="s">
        <v>30</v>
      </c>
      <c r="E3996" s="117" t="s">
        <v>855</v>
      </c>
      <c r="F3996" s="11" t="s">
        <v>5806</v>
      </c>
      <c r="G3996" s="68" t="s">
        <v>1938</v>
      </c>
      <c r="H3996" s="117" t="s">
        <v>5807</v>
      </c>
      <c r="I3996" s="119" t="s">
        <v>5808</v>
      </c>
      <c r="J3996" s="120">
        <f>+Tabla1[[#This Row],[FECHA ENTRADA]]</f>
        <v>45952</v>
      </c>
      <c r="K3996" s="121">
        <v>45963</v>
      </c>
      <c r="L3996" s="122">
        <f>_xlfn.DAYS(Tabla1[[#This Row],[FECHA FIN ]],Tabla1[[#This Row],[FECHA INICIO]])</f>
        <v>11</v>
      </c>
      <c r="M3996" s="119"/>
      <c r="N3996" s="123"/>
      <c r="O3996" s="123">
        <f>(Tabla1[[#This Row],[COSTO FIJO ]]/30)*Tabla1[[#This Row],[TOTAL DIAS PROYECTO]]+(Tabla1[[#This Row],[COSTO TEMPORAL]])</f>
        <v>0</v>
      </c>
      <c r="P3996" s="119"/>
      <c r="Q3996" s="119">
        <f>+(Tabla1[[#This Row],[COSTO COCHE]]/30)*Tabla1[[#This Row],[TOTAL DIAS PROYECTO]]</f>
        <v>0</v>
      </c>
      <c r="R3996" s="119">
        <f>+Tabla1[[#This Row],[COSTO TOTAL ALOJAMIENTO]]+Tabla1[[#This Row],[COSTO TOTAL COCHE]]</f>
        <v>0</v>
      </c>
      <c r="S3996" s="117"/>
      <c r="T3996" s="124" t="s">
        <v>44</v>
      </c>
      <c r="U3996" s="124">
        <v>45952</v>
      </c>
      <c r="V3996" s="125">
        <v>45965</v>
      </c>
      <c r="W3996" s="126"/>
      <c r="X3996" s="117"/>
      <c r="Y3996" s="118" t="s">
        <v>5916</v>
      </c>
      <c r="Z3996" s="117" t="s">
        <v>36</v>
      </c>
      <c r="AA3996" s="13" t="s">
        <v>10401</v>
      </c>
      <c r="AB3996" s="13" t="s">
        <v>10402</v>
      </c>
    </row>
    <row r="3997" spans="1:28" ht="15" customHeight="1">
      <c r="A3997" s="117" t="s">
        <v>9131</v>
      </c>
      <c r="B3997" s="117" t="s">
        <v>978</v>
      </c>
      <c r="C3997" s="101" t="s">
        <v>2131</v>
      </c>
      <c r="D3997" s="117" t="s">
        <v>30</v>
      </c>
      <c r="E3997" s="117" t="s">
        <v>855</v>
      </c>
      <c r="F3997" s="11" t="s">
        <v>5806</v>
      </c>
      <c r="G3997" s="68" t="s">
        <v>1938</v>
      </c>
      <c r="H3997" s="117" t="s">
        <v>5807</v>
      </c>
      <c r="I3997" s="119" t="s">
        <v>5808</v>
      </c>
      <c r="J3997" s="120">
        <f>+Tabla1[[#This Row],[FECHA ENTRADA]]</f>
        <v>45952</v>
      </c>
      <c r="K3997" s="121">
        <v>45963</v>
      </c>
      <c r="L3997" s="122">
        <f>_xlfn.DAYS(Tabla1[[#This Row],[FECHA FIN ]],Tabla1[[#This Row],[FECHA INICIO]])</f>
        <v>11</v>
      </c>
      <c r="M3997" s="119"/>
      <c r="N3997" s="123"/>
      <c r="O3997" s="123">
        <f>(Tabla1[[#This Row],[COSTO FIJO ]]/30)*Tabla1[[#This Row],[TOTAL DIAS PROYECTO]]+(Tabla1[[#This Row],[COSTO TEMPORAL]])</f>
        <v>0</v>
      </c>
      <c r="P3997" s="119"/>
      <c r="Q3997" s="119">
        <f>+(Tabla1[[#This Row],[COSTO COCHE]]/30)*Tabla1[[#This Row],[TOTAL DIAS PROYECTO]]</f>
        <v>0</v>
      </c>
      <c r="R3997" s="119">
        <f>+Tabla1[[#This Row],[COSTO TOTAL ALOJAMIENTO]]+Tabla1[[#This Row],[COSTO TOTAL COCHE]]</f>
        <v>0</v>
      </c>
      <c r="S3997" s="117"/>
      <c r="T3997" s="124" t="s">
        <v>44</v>
      </c>
      <c r="U3997" s="124">
        <v>45952</v>
      </c>
      <c r="V3997" s="125">
        <v>45965</v>
      </c>
      <c r="W3997" s="126"/>
      <c r="X3997" s="117"/>
      <c r="Y3997" s="118" t="s">
        <v>5916</v>
      </c>
      <c r="Z3997" s="117" t="s">
        <v>36</v>
      </c>
      <c r="AA3997" s="13" t="s">
        <v>10401</v>
      </c>
      <c r="AB3997" s="13" t="s">
        <v>10402</v>
      </c>
    </row>
    <row r="3998" spans="1:28" ht="15" customHeight="1">
      <c r="A3998" s="117" t="s">
        <v>9800</v>
      </c>
      <c r="B3998" s="117" t="s">
        <v>978</v>
      </c>
      <c r="C3998" s="118" t="s">
        <v>4803</v>
      </c>
      <c r="D3998" s="117" t="s">
        <v>30</v>
      </c>
      <c r="E3998" s="117" t="s">
        <v>855</v>
      </c>
      <c r="F3998" s="11" t="s">
        <v>5806</v>
      </c>
      <c r="G3998" s="68" t="s">
        <v>1938</v>
      </c>
      <c r="H3998" s="117" t="s">
        <v>5807</v>
      </c>
      <c r="I3998" s="119" t="s">
        <v>5808</v>
      </c>
      <c r="J3998" s="120">
        <f>+Tabla1[[#This Row],[FECHA ENTRADA]]</f>
        <v>45957</v>
      </c>
      <c r="K3998" s="121">
        <v>45963</v>
      </c>
      <c r="L3998" s="122">
        <f>_xlfn.DAYS(Tabla1[[#This Row],[FECHA FIN ]],Tabla1[[#This Row],[FECHA INICIO]])</f>
        <v>6</v>
      </c>
      <c r="M3998" s="119"/>
      <c r="N3998" s="123"/>
      <c r="O3998" s="123">
        <f>(Tabla1[[#This Row],[COSTO FIJO ]]/30)*Tabla1[[#This Row],[TOTAL DIAS PROYECTO]]+(Tabla1[[#This Row],[COSTO TEMPORAL]])</f>
        <v>0</v>
      </c>
      <c r="P3998" s="119"/>
      <c r="Q3998" s="119">
        <f>+(Tabla1[[#This Row],[COSTO COCHE]]/30)*Tabla1[[#This Row],[TOTAL DIAS PROYECTO]]</f>
        <v>0</v>
      </c>
      <c r="R3998" s="119">
        <f>+Tabla1[[#This Row],[COSTO TOTAL ALOJAMIENTO]]+Tabla1[[#This Row],[COSTO TOTAL COCHE]]</f>
        <v>0</v>
      </c>
      <c r="S3998" s="117"/>
      <c r="T3998" s="124" t="s">
        <v>44</v>
      </c>
      <c r="U3998" s="124">
        <v>45957</v>
      </c>
      <c r="V3998" s="125">
        <v>45965</v>
      </c>
      <c r="W3998" s="126"/>
      <c r="X3998" s="117"/>
      <c r="Y3998" s="118" t="s">
        <v>5915</v>
      </c>
      <c r="Z3998" s="117" t="s">
        <v>36</v>
      </c>
      <c r="AA3998" s="13" t="s">
        <v>10401</v>
      </c>
      <c r="AB3998" s="13" t="s">
        <v>10402</v>
      </c>
    </row>
    <row r="3999" spans="1:28" ht="15" customHeight="1">
      <c r="A3999" s="117" t="s">
        <v>8642</v>
      </c>
      <c r="B3999" s="117" t="s">
        <v>978</v>
      </c>
      <c r="C3999" s="118" t="s">
        <v>5836</v>
      </c>
      <c r="D3999" s="117" t="s">
        <v>30</v>
      </c>
      <c r="E3999" s="117" t="s">
        <v>855</v>
      </c>
      <c r="F3999" s="11" t="s">
        <v>5806</v>
      </c>
      <c r="G3999" s="197" t="s">
        <v>1938</v>
      </c>
      <c r="H3999" s="117" t="s">
        <v>5917</v>
      </c>
      <c r="I3999" s="119" t="s">
        <v>5808</v>
      </c>
      <c r="J3999" s="120">
        <f>+Tabla1[[#This Row],[FECHA ENTRADA]]</f>
        <v>45957</v>
      </c>
      <c r="K3999" s="121">
        <v>45963</v>
      </c>
      <c r="L3999" s="122">
        <f>_xlfn.DAYS(Tabla1[[#This Row],[FECHA FIN ]],Tabla1[[#This Row],[FECHA INICIO]])</f>
        <v>6</v>
      </c>
      <c r="M3999" s="119"/>
      <c r="N3999" s="123"/>
      <c r="O3999" s="123">
        <f>(Tabla1[[#This Row],[COSTO FIJO ]]/30)*Tabla1[[#This Row],[TOTAL DIAS PROYECTO]]+(Tabla1[[#This Row],[COSTO TEMPORAL]])</f>
        <v>0</v>
      </c>
      <c r="P3999" s="119"/>
      <c r="Q3999" s="119">
        <f>+(Tabla1[[#This Row],[COSTO COCHE]]/30)*Tabla1[[#This Row],[TOTAL DIAS PROYECTO]]</f>
        <v>0</v>
      </c>
      <c r="R3999" s="119">
        <f>+Tabla1[[#This Row],[COSTO TOTAL ALOJAMIENTO]]+Tabla1[[#This Row],[COSTO TOTAL COCHE]]</f>
        <v>0</v>
      </c>
      <c r="S3999" s="117"/>
      <c r="T3999" s="124" t="s">
        <v>44</v>
      </c>
      <c r="U3999" s="124">
        <v>45957</v>
      </c>
      <c r="V3999" s="125">
        <v>45965</v>
      </c>
      <c r="W3999" s="126"/>
      <c r="X3999" s="117"/>
      <c r="Y3999" s="118" t="s">
        <v>5915</v>
      </c>
      <c r="Z3999" s="117" t="s">
        <v>36</v>
      </c>
      <c r="AA3999" s="13" t="s">
        <v>10401</v>
      </c>
      <c r="AB3999" s="13" t="s">
        <v>10402</v>
      </c>
    </row>
    <row r="4000" spans="1:28" ht="15" customHeight="1">
      <c r="A4000" s="117" t="s">
        <v>9716</v>
      </c>
      <c r="B4000" s="117" t="s">
        <v>978</v>
      </c>
      <c r="C4000" s="118" t="s">
        <v>4377</v>
      </c>
      <c r="D4000" s="117" t="s">
        <v>30</v>
      </c>
      <c r="E4000" s="117" t="s">
        <v>855</v>
      </c>
      <c r="F4000" s="11" t="s">
        <v>5806</v>
      </c>
      <c r="G4000" s="197" t="s">
        <v>1938</v>
      </c>
      <c r="H4000" s="117" t="s">
        <v>5917</v>
      </c>
      <c r="I4000" s="119" t="s">
        <v>5808</v>
      </c>
      <c r="J4000" s="120">
        <f>+Tabla1[[#This Row],[FECHA ENTRADA]]</f>
        <v>45957</v>
      </c>
      <c r="K4000" s="121">
        <v>45963</v>
      </c>
      <c r="L4000" s="122">
        <f>_xlfn.DAYS(Tabla1[[#This Row],[FECHA FIN ]],Tabla1[[#This Row],[FECHA INICIO]])</f>
        <v>6</v>
      </c>
      <c r="M4000" s="119"/>
      <c r="N4000" s="123"/>
      <c r="O4000" s="123">
        <f>(Tabla1[[#This Row],[COSTO FIJO ]]/30)*Tabla1[[#This Row],[TOTAL DIAS PROYECTO]]+(Tabla1[[#This Row],[COSTO TEMPORAL]])</f>
        <v>0</v>
      </c>
      <c r="P4000" s="119"/>
      <c r="Q4000" s="119">
        <f>+(Tabla1[[#This Row],[COSTO COCHE]]/30)*Tabla1[[#This Row],[TOTAL DIAS PROYECTO]]</f>
        <v>0</v>
      </c>
      <c r="R4000" s="119">
        <f>+Tabla1[[#This Row],[COSTO TOTAL ALOJAMIENTO]]+Tabla1[[#This Row],[COSTO TOTAL COCHE]]</f>
        <v>0</v>
      </c>
      <c r="S4000" s="117"/>
      <c r="T4000" s="124" t="s">
        <v>44</v>
      </c>
      <c r="U4000" s="124">
        <v>45957</v>
      </c>
      <c r="V4000" s="125">
        <v>45965</v>
      </c>
      <c r="W4000" s="126"/>
      <c r="X4000" s="117"/>
      <c r="Y4000" s="118" t="s">
        <v>5915</v>
      </c>
      <c r="Z4000" s="117" t="s">
        <v>36</v>
      </c>
      <c r="AA4000" s="13" t="s">
        <v>10401</v>
      </c>
      <c r="AB4000" s="13" t="s">
        <v>10402</v>
      </c>
    </row>
    <row r="4001" spans="1:28" ht="15" customHeight="1">
      <c r="A4001" s="2" t="s">
        <v>10006</v>
      </c>
      <c r="B4001" s="2" t="s">
        <v>606</v>
      </c>
      <c r="C4001" s="31" t="s">
        <v>5918</v>
      </c>
      <c r="D4001" s="2" t="s">
        <v>30</v>
      </c>
      <c r="E4001" s="2" t="s">
        <v>1393</v>
      </c>
      <c r="F4001" s="11" t="s">
        <v>5919</v>
      </c>
      <c r="G4001" t="s">
        <v>4560</v>
      </c>
      <c r="H4001" s="2" t="s">
        <v>5920</v>
      </c>
      <c r="I4001" s="12" t="s">
        <v>1067</v>
      </c>
      <c r="J4001" s="41">
        <f>+Tabla1[[#This Row],[FECHA ENTRADA]]</f>
        <v>45957</v>
      </c>
      <c r="K4001" s="22">
        <v>45963</v>
      </c>
      <c r="L4001" s="42">
        <f>_xlfn.DAYS(Tabla1[[#This Row],[FECHA FIN ]],Tabla1[[#This Row],[FECHA INICIO]])</f>
        <v>6</v>
      </c>
      <c r="M4001" s="12"/>
      <c r="N4001" s="24">
        <v>343.75</v>
      </c>
      <c r="O4001" s="28">
        <f>(Tabla1[[#This Row],[COSTO FIJO ]]/30)*Tabla1[[#This Row],[TOTAL DIAS PROYECTO]]+(Tabla1[[#This Row],[COSTO TEMPORAL]])</f>
        <v>68.75</v>
      </c>
      <c r="P4001" s="12"/>
      <c r="Q4001" s="12">
        <f>+(Tabla1[[#This Row],[COSTO COCHE]]/30)*Tabla1[[#This Row],[TOTAL DIAS PROYECTO]]</f>
        <v>0</v>
      </c>
      <c r="R4001" s="12">
        <f>+Tabla1[[#This Row],[COSTO TOTAL ALOJAMIENTO]]+Tabla1[[#This Row],[COSTO TOTAL COCHE]]</f>
        <v>68.75</v>
      </c>
      <c r="S4001" s="2"/>
      <c r="T4001" s="14" t="s">
        <v>35</v>
      </c>
      <c r="U4001" s="14">
        <v>45957</v>
      </c>
      <c r="V4001" s="43"/>
      <c r="W4001" s="71"/>
      <c r="X4001" s="2">
        <v>15</v>
      </c>
      <c r="Y4001" s="136" t="s">
        <v>5921</v>
      </c>
      <c r="Z4001" s="2" t="s">
        <v>36</v>
      </c>
      <c r="AA4001" s="13" t="s">
        <v>10416</v>
      </c>
      <c r="AB4001" s="13" t="s">
        <v>10417</v>
      </c>
    </row>
    <row r="4002" spans="1:28" ht="15" customHeight="1">
      <c r="A4002" s="2" t="s">
        <v>9946</v>
      </c>
      <c r="B4002" s="2" t="s">
        <v>978</v>
      </c>
      <c r="C4002" s="11" t="s">
        <v>5625</v>
      </c>
      <c r="D4002" s="2" t="s">
        <v>99</v>
      </c>
      <c r="E4002" s="2" t="s">
        <v>1404</v>
      </c>
      <c r="F4002" s="11" t="s">
        <v>5922</v>
      </c>
      <c r="G4002" s="21" t="s">
        <v>5923</v>
      </c>
      <c r="H4002" s="2" t="s">
        <v>5628</v>
      </c>
      <c r="I4002" s="12" t="s">
        <v>5629</v>
      </c>
      <c r="J4002" s="22">
        <f>+Tabla1[[#This Row],[FECHA ENTRADA]]</f>
        <v>45960</v>
      </c>
      <c r="K4002" s="22">
        <v>45963</v>
      </c>
      <c r="L4002" s="23">
        <f>_xlfn.DAYS(Tabla1[[#This Row],[FECHA FIN ]],Tabla1[[#This Row],[FECHA INICIO]])</f>
        <v>3</v>
      </c>
      <c r="M4002" s="12">
        <v>103</v>
      </c>
      <c r="N4002" s="20"/>
      <c r="O4002" s="24">
        <f>(Tabla1[[#This Row],[COSTO FIJO ]]/30)*Tabla1[[#This Row],[TOTAL DIAS PROYECTO]]+(Tabla1[[#This Row],[COSTO TEMPORAL]])</f>
        <v>103</v>
      </c>
      <c r="P4002" s="12"/>
      <c r="Q4002" s="12">
        <f>+(Tabla1[[#This Row],[COSTO COCHE]]/30)*Tabla1[[#This Row],[TOTAL DIAS PROYECTO]]</f>
        <v>0</v>
      </c>
      <c r="R4002" s="12">
        <f>+Tabla1[[#This Row],[COSTO TOTAL ALOJAMIENTO]]+Tabla1[[#This Row],[COSTO TOTAL COCHE]]</f>
        <v>103</v>
      </c>
      <c r="S4002" s="2" t="s">
        <v>403</v>
      </c>
      <c r="T4002" s="14" t="s">
        <v>44</v>
      </c>
      <c r="U4002" s="14">
        <v>45960</v>
      </c>
      <c r="V4002" s="79">
        <v>45963</v>
      </c>
      <c r="W4002" s="71"/>
      <c r="X4002" s="2"/>
      <c r="Y4002" s="11" t="s">
        <v>5924</v>
      </c>
      <c r="Z4002" s="2" t="s">
        <v>36</v>
      </c>
      <c r="AA4002" s="13" t="s">
        <v>10418</v>
      </c>
      <c r="AB4002" s="13" t="s">
        <v>10419</v>
      </c>
    </row>
    <row r="4003" spans="1:28" ht="15" customHeight="1">
      <c r="A4003" s="2" t="s">
        <v>9212</v>
      </c>
      <c r="B4003" s="2" t="s">
        <v>711</v>
      </c>
      <c r="C4003" s="104" t="s">
        <v>2461</v>
      </c>
      <c r="D4003" s="2" t="s">
        <v>78</v>
      </c>
      <c r="E4003" s="2" t="s">
        <v>5607</v>
      </c>
      <c r="F4003" s="11" t="s">
        <v>5925</v>
      </c>
      <c r="G4003" s="21" t="s">
        <v>5926</v>
      </c>
      <c r="H4003" s="2" t="s">
        <v>5610</v>
      </c>
      <c r="I4003" s="12" t="s">
        <v>5611</v>
      </c>
      <c r="J4003" s="22">
        <f>+Tabla1[[#This Row],[FECHA ENTRADA]]</f>
        <v>45945</v>
      </c>
      <c r="K4003" s="22">
        <v>45964</v>
      </c>
      <c r="L4003" s="23">
        <f>_xlfn.DAYS(Tabla1[[#This Row],[FECHA FIN ]],Tabla1[[#This Row],[FECHA INICIO]])</f>
        <v>19</v>
      </c>
      <c r="M4003" s="12">
        <v>746.5</v>
      </c>
      <c r="N4003" s="20"/>
      <c r="O4003" s="24">
        <f>(Tabla1[[#This Row],[COSTO FIJO ]]/30)*Tabla1[[#This Row],[TOTAL DIAS PROYECTO]]+(Tabla1[[#This Row],[COSTO TEMPORAL]])</f>
        <v>746.5</v>
      </c>
      <c r="P4003" s="12"/>
      <c r="Q4003" s="12">
        <f>+(Tabla1[[#This Row],[COSTO COCHE]]/30)*Tabla1[[#This Row],[TOTAL DIAS PROYECTO]]</f>
        <v>0</v>
      </c>
      <c r="R4003" s="12">
        <f>+Tabla1[[#This Row],[COSTO TOTAL ALOJAMIENTO]]+Tabla1[[#This Row],[COSTO TOTAL COCHE]]</f>
        <v>746.5</v>
      </c>
      <c r="S4003" s="2" t="s">
        <v>84</v>
      </c>
      <c r="T4003" s="14" t="s">
        <v>44</v>
      </c>
      <c r="U4003" s="14">
        <v>45945</v>
      </c>
      <c r="V4003" s="79">
        <v>45964</v>
      </c>
      <c r="W4003" s="71"/>
      <c r="X4003" s="2"/>
      <c r="Y4003" s="11"/>
      <c r="Z4003" s="2" t="s">
        <v>36</v>
      </c>
      <c r="AA4003" s="13" t="e">
        <v>#N/A</v>
      </c>
      <c r="AB4003" s="13" t="e">
        <v>#N/A</v>
      </c>
    </row>
    <row r="4004" spans="1:28" ht="15" customHeight="1">
      <c r="A4004" s="2" t="s">
        <v>9831</v>
      </c>
      <c r="B4004" s="2" t="s">
        <v>978</v>
      </c>
      <c r="C4004" s="31" t="s">
        <v>4945</v>
      </c>
      <c r="D4004" s="2" t="s">
        <v>30</v>
      </c>
      <c r="E4004" s="2" t="s">
        <v>253</v>
      </c>
      <c r="F4004" s="11" t="s">
        <v>4267</v>
      </c>
      <c r="G4004" s="46" t="s">
        <v>4268</v>
      </c>
      <c r="H4004" s="2" t="s">
        <v>3148</v>
      </c>
      <c r="I4004" s="12" t="s">
        <v>5927</v>
      </c>
      <c r="J4004" s="41">
        <f>+Tabla1[[#This Row],[FECHA ENTRADA]]</f>
        <v>45747</v>
      </c>
      <c r="K4004" s="41">
        <v>45846</v>
      </c>
      <c r="L4004" s="42">
        <f>_xlfn.DAYS(Tabla1[[#This Row],[FECHA FIN ]],Tabla1[[#This Row],[FECHA INICIO]])</f>
        <v>99</v>
      </c>
      <c r="M4004" s="12"/>
      <c r="N4004" s="28">
        <v>365</v>
      </c>
      <c r="O4004" s="28">
        <f>(Tabla1[[#This Row],[COSTO FIJO ]]/30)*Tabla1[[#This Row],[TOTAL DIAS PROYECTO]]+(Tabla1[[#This Row],[COSTO TEMPORAL]])</f>
        <v>1204.5</v>
      </c>
      <c r="P4004" s="12"/>
      <c r="Q4004" s="12">
        <f>+(Tabla1[[#This Row],[COSTO COCHE]]/30)*Tabla1[[#This Row],[TOTAL DIAS PROYECTO]]</f>
        <v>0</v>
      </c>
      <c r="R4004" s="12">
        <f>+Tabla1[[#This Row],[COSTO TOTAL ALOJAMIENTO]]+Tabla1[[#This Row],[COSTO TOTAL COCHE]]</f>
        <v>1204.5</v>
      </c>
      <c r="S4004" s="2"/>
      <c r="T4004" s="14" t="s">
        <v>35</v>
      </c>
      <c r="U4004" s="14">
        <v>45747</v>
      </c>
      <c r="V4004" s="43"/>
      <c r="W4004" s="12"/>
      <c r="X4004" s="2">
        <v>1</v>
      </c>
      <c r="Y4004" s="11" t="s">
        <v>5928</v>
      </c>
      <c r="Z4004" s="2" t="s">
        <v>36</v>
      </c>
      <c r="AA4004" s="13" t="s">
        <v>10357</v>
      </c>
      <c r="AB4004" s="13" t="s">
        <v>10358</v>
      </c>
    </row>
    <row r="4005" spans="1:28" ht="15" customHeight="1">
      <c r="A4005" s="2" t="s">
        <v>9904</v>
      </c>
      <c r="B4005" s="2" t="s">
        <v>28</v>
      </c>
      <c r="C4005" s="104" t="s">
        <v>5318</v>
      </c>
      <c r="D4005" s="2" t="s">
        <v>99</v>
      </c>
      <c r="E4005" s="2" t="s">
        <v>55</v>
      </c>
      <c r="F4005" s="11" t="s">
        <v>2127</v>
      </c>
      <c r="G4005" s="46" t="s">
        <v>2128</v>
      </c>
      <c r="H4005" s="2" t="s">
        <v>5404</v>
      </c>
      <c r="I4005" s="12" t="s">
        <v>1067</v>
      </c>
      <c r="J4005" s="41">
        <f>+Tabla1[[#This Row],[FECHA ENTRADA]]</f>
        <v>45931</v>
      </c>
      <c r="K4005" s="41">
        <v>45964</v>
      </c>
      <c r="L4005" s="42">
        <f>_xlfn.DAYS(Tabla1[[#This Row],[FECHA FIN ]],Tabla1[[#This Row],[FECHA INICIO]])</f>
        <v>33</v>
      </c>
      <c r="M4005" s="12"/>
      <c r="N4005" s="28">
        <v>400</v>
      </c>
      <c r="O4005" s="28">
        <f>(Tabla1[[#This Row],[COSTO FIJO ]]/30)*Tabla1[[#This Row],[TOTAL DIAS PROYECTO]]+(Tabla1[[#This Row],[COSTO TEMPORAL]])</f>
        <v>440</v>
      </c>
      <c r="P4005" s="12"/>
      <c r="Q4005" s="12">
        <f>+(Tabla1[[#This Row],[COSTO COCHE]]/30)*Tabla1[[#This Row],[TOTAL DIAS PROYECTO]]</f>
        <v>0</v>
      </c>
      <c r="R4005" s="12">
        <f>+Tabla1[[#This Row],[COSTO TOTAL ALOJAMIENTO]]+Tabla1[[#This Row],[COSTO TOTAL COCHE]]</f>
        <v>440</v>
      </c>
      <c r="S4005" s="2"/>
      <c r="T4005" s="14" t="s">
        <v>35</v>
      </c>
      <c r="U4005" s="14">
        <v>45931</v>
      </c>
      <c r="V4005" s="43"/>
      <c r="W4005" s="71"/>
      <c r="X4005" s="2">
        <v>1</v>
      </c>
      <c r="Y4005" s="11" t="s">
        <v>5929</v>
      </c>
      <c r="Z4005" s="2" t="s">
        <v>36</v>
      </c>
      <c r="AA4005" s="13" t="s">
        <v>10327</v>
      </c>
      <c r="AB4005" s="13" t="s">
        <v>10328</v>
      </c>
    </row>
    <row r="4006" spans="1:28" ht="15" customHeight="1">
      <c r="A4006" s="2" t="s">
        <v>9838</v>
      </c>
      <c r="B4006" s="2" t="s">
        <v>978</v>
      </c>
      <c r="C4006" s="11" t="s">
        <v>4975</v>
      </c>
      <c r="D4006" s="2" t="s">
        <v>30</v>
      </c>
      <c r="E4006" s="2" t="s">
        <v>55</v>
      </c>
      <c r="F4006" s="11" t="s">
        <v>2127</v>
      </c>
      <c r="G4006" s="11" t="s">
        <v>2128</v>
      </c>
      <c r="H4006" s="2" t="s">
        <v>5930</v>
      </c>
      <c r="I4006" s="10" t="s">
        <v>3364</v>
      </c>
      <c r="J4006" s="22">
        <f>+Tabla1[[#This Row],[FECHA ENTRADA]]</f>
        <v>45914</v>
      </c>
      <c r="K4006" s="22">
        <v>45964</v>
      </c>
      <c r="L4006" s="23">
        <f>_xlfn.DAYS(Tabla1[[#This Row],[FECHA FIN ]],Tabla1[[#This Row],[FECHA INICIO]])</f>
        <v>50</v>
      </c>
      <c r="M4006" s="12"/>
      <c r="N4006" s="20">
        <v>400</v>
      </c>
      <c r="O4006" s="24">
        <f>(Tabla1[[#This Row],[COSTO FIJO ]]/30)*Tabla1[[#This Row],[TOTAL DIAS PROYECTO]]+(Tabla1[[#This Row],[COSTO TEMPORAL]])</f>
        <v>666.66666666666674</v>
      </c>
      <c r="P4006" s="12"/>
      <c r="Q4006" s="12">
        <f>+(Tabla1[[#This Row],[COSTO COCHE]]/30)*Tabla1[[#This Row],[TOTAL DIAS PROYECTO]]</f>
        <v>0</v>
      </c>
      <c r="R4006" s="12">
        <f>+Tabla1[[#This Row],[COSTO TOTAL ALOJAMIENTO]]+Tabla1[[#This Row],[COSTO TOTAL COCHE]]</f>
        <v>666.66666666666674</v>
      </c>
      <c r="S4006" s="2"/>
      <c r="T4006" s="14" t="s">
        <v>35</v>
      </c>
      <c r="U4006" s="14">
        <v>45914</v>
      </c>
      <c r="V4006" s="79"/>
      <c r="W4006" s="71"/>
      <c r="X4006" s="2">
        <v>10</v>
      </c>
      <c r="Y4006" s="11" t="s">
        <v>5929</v>
      </c>
      <c r="Z4006" s="2" t="s">
        <v>36</v>
      </c>
      <c r="AA4006" s="13" t="s">
        <v>10327</v>
      </c>
      <c r="AB4006" s="13" t="s">
        <v>10328</v>
      </c>
    </row>
    <row r="4007" spans="1:28" ht="15" customHeight="1">
      <c r="A4007" s="2" t="s">
        <v>9908</v>
      </c>
      <c r="B4007" s="2" t="s">
        <v>711</v>
      </c>
      <c r="C4007" s="273" t="s">
        <v>5337</v>
      </c>
      <c r="D4007" s="2" t="s">
        <v>30</v>
      </c>
      <c r="E4007" s="2" t="s">
        <v>626</v>
      </c>
      <c r="F4007" s="11" t="s">
        <v>5547</v>
      </c>
      <c r="G4007" s="21" t="s">
        <v>5548</v>
      </c>
      <c r="H4007" s="2" t="s">
        <v>5549</v>
      </c>
      <c r="I4007" s="2" t="s">
        <v>570</v>
      </c>
      <c r="J4007" s="22">
        <f>+Tabla1[[#This Row],[FECHA ENTRADA]]</f>
        <v>45935</v>
      </c>
      <c r="K4007" s="22">
        <v>45965</v>
      </c>
      <c r="L4007" s="23">
        <f>_xlfn.DAYS(Tabla1[[#This Row],[FECHA FIN ]],Tabla1[[#This Row],[FECHA INICIO]])</f>
        <v>30</v>
      </c>
      <c r="M4007" s="12">
        <f>230+102.4+152</f>
        <v>484.4</v>
      </c>
      <c r="N4007" s="20"/>
      <c r="O4007" s="24">
        <f>(Tabla1[[#This Row],[COSTO FIJO ]]/30)*Tabla1[[#This Row],[TOTAL DIAS PROYECTO]]+(Tabla1[[#This Row],[COSTO TEMPORAL]])</f>
        <v>484.4</v>
      </c>
      <c r="P4007" s="12"/>
      <c r="Q4007" s="12">
        <f>+(Tabla1[[#This Row],[COSTO COCHE]]/30)*Tabla1[[#This Row],[TOTAL DIAS PROYECTO]]</f>
        <v>0</v>
      </c>
      <c r="R4007" s="12">
        <f>+Tabla1[[#This Row],[COSTO TOTAL ALOJAMIENTO]]+Tabla1[[#This Row],[COSTO TOTAL COCHE]]</f>
        <v>484.4</v>
      </c>
      <c r="S4007" s="2"/>
      <c r="T4007" s="14" t="s">
        <v>44</v>
      </c>
      <c r="U4007" s="14">
        <v>45935</v>
      </c>
      <c r="V4007" s="79">
        <v>45965</v>
      </c>
      <c r="W4007" s="71"/>
      <c r="X4007" s="2"/>
      <c r="Y4007" s="11" t="s">
        <v>5931</v>
      </c>
      <c r="Z4007" s="2" t="s">
        <v>36</v>
      </c>
      <c r="AA4007" s="13" t="s">
        <v>10385</v>
      </c>
      <c r="AB4007" s="13" t="s">
        <v>10386</v>
      </c>
    </row>
    <row r="4008" spans="1:28" ht="15" customHeight="1">
      <c r="A4008" s="2" t="s">
        <v>10007</v>
      </c>
      <c r="B4008" s="2" t="s">
        <v>711</v>
      </c>
      <c r="C4008" s="31" t="s">
        <v>5932</v>
      </c>
      <c r="D4008" s="2" t="s">
        <v>30</v>
      </c>
      <c r="E4008" s="2" t="s">
        <v>626</v>
      </c>
      <c r="F4008" s="11" t="s">
        <v>5547</v>
      </c>
      <c r="G4008" s="21" t="s">
        <v>5548</v>
      </c>
      <c r="H4008" s="2" t="s">
        <v>5933</v>
      </c>
      <c r="I4008" s="12" t="s">
        <v>570</v>
      </c>
      <c r="J4008" s="22">
        <f>+Tabla1[[#This Row],[FECHA ENTRADA]]</f>
        <v>45950</v>
      </c>
      <c r="K4008" s="22">
        <v>45965</v>
      </c>
      <c r="L4008" s="23">
        <f>_xlfn.DAYS(Tabla1[[#This Row],[FECHA FIN ]],Tabla1[[#This Row],[FECHA INICIO]])</f>
        <v>15</v>
      </c>
      <c r="M4008" s="12">
        <v>152</v>
      </c>
      <c r="N4008" s="20"/>
      <c r="O4008" s="24">
        <f>(Tabla1[[#This Row],[COSTO FIJO ]]/30)*Tabla1[[#This Row],[TOTAL DIAS PROYECTO]]+(Tabla1[[#This Row],[COSTO TEMPORAL]])</f>
        <v>152</v>
      </c>
      <c r="P4008" s="12"/>
      <c r="Q4008" s="12">
        <f>+(Tabla1[[#This Row],[COSTO COCHE]]/30)*Tabla1[[#This Row],[TOTAL DIAS PROYECTO]]</f>
        <v>0</v>
      </c>
      <c r="R4008" s="12">
        <f>+Tabla1[[#This Row],[COSTO TOTAL ALOJAMIENTO]]+Tabla1[[#This Row],[COSTO TOTAL COCHE]]</f>
        <v>152</v>
      </c>
      <c r="S4008" s="2"/>
      <c r="T4008" s="14" t="s">
        <v>44</v>
      </c>
      <c r="U4008" s="14">
        <v>45950</v>
      </c>
      <c r="V4008" s="79">
        <v>45965</v>
      </c>
      <c r="W4008" s="71"/>
      <c r="X4008" s="2"/>
      <c r="Y4008" s="11" t="s">
        <v>5934</v>
      </c>
      <c r="Z4008" s="2" t="s">
        <v>36</v>
      </c>
      <c r="AA4008" s="13" t="s">
        <v>10385</v>
      </c>
      <c r="AB4008" s="13" t="s">
        <v>10386</v>
      </c>
    </row>
    <row r="4009" spans="1:28" ht="15" customHeight="1">
      <c r="A4009" s="2" t="s">
        <v>10008</v>
      </c>
      <c r="B4009" s="2" t="s">
        <v>711</v>
      </c>
      <c r="C4009" s="97" t="s">
        <v>5935</v>
      </c>
      <c r="D4009" s="2" t="s">
        <v>30</v>
      </c>
      <c r="E4009" s="2" t="s">
        <v>626</v>
      </c>
      <c r="F4009" s="11" t="s">
        <v>5547</v>
      </c>
      <c r="G4009" s="21" t="s">
        <v>5548</v>
      </c>
      <c r="H4009" s="2" t="s">
        <v>5936</v>
      </c>
      <c r="I4009" s="12" t="s">
        <v>570</v>
      </c>
      <c r="J4009" s="22">
        <f>+Tabla1[[#This Row],[FECHA ENTRADA]]</f>
        <v>45951</v>
      </c>
      <c r="K4009" s="22">
        <v>45965</v>
      </c>
      <c r="L4009" s="23">
        <f>_xlfn.DAYS(Tabla1[[#This Row],[FECHA FIN ]],Tabla1[[#This Row],[FECHA INICIO]])</f>
        <v>14</v>
      </c>
      <c r="M4009" s="12"/>
      <c r="N4009" s="20"/>
      <c r="O4009" s="24">
        <f>(Tabla1[[#This Row],[COSTO FIJO ]]/30)*Tabla1[[#This Row],[TOTAL DIAS PROYECTO]]+(Tabla1[[#This Row],[COSTO TEMPORAL]])</f>
        <v>0</v>
      </c>
      <c r="P4009" s="12"/>
      <c r="Q4009" s="12">
        <f>+(Tabla1[[#This Row],[COSTO COCHE]]/30)*Tabla1[[#This Row],[TOTAL DIAS PROYECTO]]</f>
        <v>0</v>
      </c>
      <c r="R4009" s="12">
        <f>+Tabla1[[#This Row],[COSTO TOTAL ALOJAMIENTO]]+Tabla1[[#This Row],[COSTO TOTAL COCHE]]</f>
        <v>0</v>
      </c>
      <c r="S4009" s="2"/>
      <c r="T4009" s="14" t="s">
        <v>44</v>
      </c>
      <c r="U4009" s="14">
        <v>45951</v>
      </c>
      <c r="V4009" s="79">
        <v>45965</v>
      </c>
      <c r="W4009" s="71"/>
      <c r="X4009" s="2"/>
      <c r="Y4009" s="11" t="s">
        <v>5934</v>
      </c>
      <c r="Z4009" s="2" t="s">
        <v>36</v>
      </c>
      <c r="AA4009" s="13" t="s">
        <v>10385</v>
      </c>
      <c r="AB4009" s="13" t="s">
        <v>10386</v>
      </c>
    </row>
    <row r="4010" spans="1:28" ht="15" customHeight="1">
      <c r="A4010" s="2" t="s">
        <v>9919</v>
      </c>
      <c r="B4010" s="2" t="s">
        <v>978</v>
      </c>
      <c r="C4010" s="31" t="s">
        <v>5439</v>
      </c>
      <c r="D4010" s="2" t="s">
        <v>30</v>
      </c>
      <c r="E4010" s="2" t="s">
        <v>855</v>
      </c>
      <c r="F4010" s="11" t="s">
        <v>1662</v>
      </c>
      <c r="G4010" s="46" t="s">
        <v>1474</v>
      </c>
      <c r="H4010" s="2" t="s">
        <v>5576</v>
      </c>
      <c r="I4010" s="12" t="s">
        <v>4362</v>
      </c>
      <c r="J4010" s="41">
        <f>+Tabla1[[#This Row],[FECHA ENTRADA]]</f>
        <v>45943</v>
      </c>
      <c r="K4010" s="22">
        <v>45965</v>
      </c>
      <c r="L4010" s="42">
        <f>_xlfn.DAYS(Tabla1[[#This Row],[FECHA FIN ]],Tabla1[[#This Row],[FECHA INICIO]])</f>
        <v>22</v>
      </c>
      <c r="M4010" s="12">
        <v>166.66666666666666</v>
      </c>
      <c r="N4010" s="28"/>
      <c r="O4010" s="28">
        <f>(Tabla1[[#This Row],[COSTO FIJO ]]/30)*Tabla1[[#This Row],[TOTAL DIAS PROYECTO]]+(Tabla1[[#This Row],[COSTO TEMPORAL]])</f>
        <v>166.66666666666666</v>
      </c>
      <c r="P4010" s="12"/>
      <c r="Q4010" s="12">
        <f>+(Tabla1[[#This Row],[COSTO COCHE]]/30)*Tabla1[[#This Row],[TOTAL DIAS PROYECTO]]</f>
        <v>0</v>
      </c>
      <c r="R4010" s="12">
        <f>+Tabla1[[#This Row],[COSTO TOTAL ALOJAMIENTO]]+Tabla1[[#This Row],[COSTO TOTAL COCHE]]</f>
        <v>166.66666666666666</v>
      </c>
      <c r="S4010" s="2"/>
      <c r="T4010" s="14" t="s">
        <v>44</v>
      </c>
      <c r="U4010" s="14">
        <v>45943</v>
      </c>
      <c r="V4010" s="25">
        <v>45973</v>
      </c>
      <c r="W4010" s="71"/>
      <c r="X4010" s="2"/>
      <c r="Y4010" s="11" t="s">
        <v>5937</v>
      </c>
      <c r="Z4010" s="2" t="s">
        <v>36</v>
      </c>
      <c r="AA4010" s="13" t="s">
        <v>10401</v>
      </c>
      <c r="AB4010" s="13" t="s">
        <v>10402</v>
      </c>
    </row>
    <row r="4011" spans="1:28" ht="15" customHeight="1">
      <c r="A4011" s="2" t="s">
        <v>10009</v>
      </c>
      <c r="B4011" s="2" t="s">
        <v>711</v>
      </c>
      <c r="C4011" s="31" t="s">
        <v>5938</v>
      </c>
      <c r="D4011" s="2" t="s">
        <v>78</v>
      </c>
      <c r="E4011" s="2" t="s">
        <v>5939</v>
      </c>
      <c r="F4011" s="11" t="s">
        <v>4028</v>
      </c>
      <c r="G4011" s="49" t="s">
        <v>4029</v>
      </c>
      <c r="H4011" s="2" t="s">
        <v>5940</v>
      </c>
      <c r="I4011" s="12" t="s">
        <v>4030</v>
      </c>
      <c r="J4011" s="41">
        <f>+Tabla1[[#This Row],[FECHA ENTRADA]]</f>
        <v>45930</v>
      </c>
      <c r="K4011" s="22">
        <v>45965</v>
      </c>
      <c r="L4011" s="42">
        <f>_xlfn.DAYS(Tabla1[[#This Row],[FECHA FIN ]],Tabla1[[#This Row],[FECHA INICIO]])</f>
        <v>35</v>
      </c>
      <c r="M4011" s="281">
        <f>1261.94/2</f>
        <v>630.97</v>
      </c>
      <c r="N4011" s="28"/>
      <c r="O4011" s="28">
        <f>(Tabla1[[#This Row],[COSTO FIJO ]]/30)*Tabla1[[#This Row],[TOTAL DIAS PROYECTO]]+(Tabla1[[#This Row],[COSTO TEMPORAL]])</f>
        <v>630.97</v>
      </c>
      <c r="P4011" s="12"/>
      <c r="Q4011" s="12">
        <f>+(Tabla1[[#This Row],[COSTO COCHE]]/30)*Tabla1[[#This Row],[TOTAL DIAS PROYECTO]]</f>
        <v>0</v>
      </c>
      <c r="R4011" s="12">
        <f>+Tabla1[[#This Row],[COSTO TOTAL ALOJAMIENTO]]+Tabla1[[#This Row],[COSTO TOTAL COCHE]]</f>
        <v>630.97</v>
      </c>
      <c r="S4011" s="2" t="s">
        <v>84</v>
      </c>
      <c r="T4011" s="2" t="s">
        <v>44</v>
      </c>
      <c r="U4011" s="14">
        <v>45930</v>
      </c>
      <c r="V4011" s="25">
        <v>45984</v>
      </c>
      <c r="W4011" s="71"/>
      <c r="X4011" s="2"/>
      <c r="Y4011" s="11" t="s">
        <v>5941</v>
      </c>
      <c r="Z4011" s="2" t="s">
        <v>36</v>
      </c>
      <c r="AA4011" s="13" t="e">
        <v>#N/A</v>
      </c>
      <c r="AB4011" s="13" t="e">
        <v>#N/A</v>
      </c>
    </row>
    <row r="4012" spans="1:28" ht="15" customHeight="1">
      <c r="A4012" s="2" t="s">
        <v>8952</v>
      </c>
      <c r="B4012" s="2" t="s">
        <v>28</v>
      </c>
      <c r="C4012" s="11" t="s">
        <v>1442</v>
      </c>
      <c r="D4012" s="2" t="s">
        <v>30</v>
      </c>
      <c r="E4012" s="2" t="s">
        <v>87</v>
      </c>
      <c r="F4012" s="11" t="s">
        <v>1668</v>
      </c>
      <c r="G4012" s="21" t="s">
        <v>1669</v>
      </c>
      <c r="H4012" s="2" t="s">
        <v>4017</v>
      </c>
      <c r="I4012" s="12" t="s">
        <v>34</v>
      </c>
      <c r="J4012" s="41">
        <f>+Tabla1[[#This Row],[FECHA ENTRADA]]</f>
        <v>45817</v>
      </c>
      <c r="K4012" s="22">
        <v>45874</v>
      </c>
      <c r="L4012" s="42">
        <f>_xlfn.DAYS(Tabla1[[#This Row],[FECHA FIN ]],Tabla1[[#This Row],[FECHA INICIO]])</f>
        <v>57</v>
      </c>
      <c r="M4012" s="12"/>
      <c r="N4012" s="24">
        <v>403.25</v>
      </c>
      <c r="O4012" s="28">
        <f>(Tabla1[[#This Row],[COSTO FIJO ]]/30)*Tabla1[[#This Row],[TOTAL DIAS PROYECTO]]+(Tabla1[[#This Row],[COSTO TEMPORAL]])</f>
        <v>766.17499999999995</v>
      </c>
      <c r="P4012" s="12"/>
      <c r="Q4012" s="12">
        <f>+(Tabla1[[#This Row],[COSTO COCHE]]/30)*Tabla1[[#This Row],[TOTAL DIAS PROYECTO]]</f>
        <v>0</v>
      </c>
      <c r="R4012" s="12">
        <f>+Tabla1[[#This Row],[COSTO TOTAL ALOJAMIENTO]]+Tabla1[[#This Row],[COSTO TOTAL COCHE]]</f>
        <v>766.17499999999995</v>
      </c>
      <c r="S4012" s="2"/>
      <c r="T4012" s="2" t="s">
        <v>35</v>
      </c>
      <c r="U4012" s="14">
        <v>45817</v>
      </c>
      <c r="V4012" s="43"/>
      <c r="W4012" s="2"/>
      <c r="X4012" s="2">
        <v>5</v>
      </c>
      <c r="Y4012" s="11"/>
      <c r="Z4012" s="2" t="s">
        <v>36</v>
      </c>
      <c r="AA4012" s="13" t="s">
        <v>10335</v>
      </c>
      <c r="AB4012" s="13">
        <v>404.16500000000002</v>
      </c>
    </row>
    <row r="4013" spans="1:28" ht="15" customHeight="1">
      <c r="A4013" s="2" t="s">
        <v>9819</v>
      </c>
      <c r="B4013" s="2" t="s">
        <v>368</v>
      </c>
      <c r="C4013" s="11" t="s">
        <v>4897</v>
      </c>
      <c r="D4013" s="2" t="s">
        <v>99</v>
      </c>
      <c r="E4013" s="2" t="s">
        <v>87</v>
      </c>
      <c r="F4013" s="11" t="s">
        <v>1668</v>
      </c>
      <c r="G4013" s="21" t="s">
        <v>1669</v>
      </c>
      <c r="H4013" s="2" t="s">
        <v>2359</v>
      </c>
      <c r="I4013" s="10" t="s">
        <v>233</v>
      </c>
      <c r="J4013" s="22">
        <f>+Tabla1[[#This Row],[FECHA ENTRADA]]</f>
        <v>45890</v>
      </c>
      <c r="K4013" s="22">
        <v>45901</v>
      </c>
      <c r="L4013" s="23">
        <f>_xlfn.DAYS(Tabla1[[#This Row],[FECHA FIN ]],Tabla1[[#This Row],[FECHA INICIO]])</f>
        <v>11</v>
      </c>
      <c r="M4013" s="12"/>
      <c r="N4013" s="12"/>
      <c r="O4013" s="24">
        <f>(Tabla1[[#This Row],[COSTO FIJO ]]/30)*Tabla1[[#This Row],[TOTAL DIAS PROYECTO]]+(Tabla1[[#This Row],[COSTO TEMPORAL]])</f>
        <v>0</v>
      </c>
      <c r="P4013" s="12"/>
      <c r="Q4013" s="12">
        <f>+(Tabla1[[#This Row],[COSTO COCHE]]/30)*Tabla1[[#This Row],[TOTAL DIAS PROYECTO]]</f>
        <v>0</v>
      </c>
      <c r="R4013" s="12">
        <f>+Tabla1[[#This Row],[COSTO TOTAL ALOJAMIENTO]]+Tabla1[[#This Row],[COSTO TOTAL COCHE]]</f>
        <v>0</v>
      </c>
      <c r="S4013" s="2"/>
      <c r="T4013" s="14" t="s">
        <v>35</v>
      </c>
      <c r="U4013" s="14">
        <v>45890</v>
      </c>
      <c r="V4013" s="79"/>
      <c r="W4013" s="12"/>
      <c r="X4013" s="2">
        <v>5</v>
      </c>
      <c r="Y4013" t="s">
        <v>5942</v>
      </c>
      <c r="Z4013" s="2" t="s">
        <v>36</v>
      </c>
      <c r="AA4013" s="13" t="s">
        <v>10335</v>
      </c>
      <c r="AB4013" s="13">
        <v>404.16500000000002</v>
      </c>
    </row>
    <row r="4014" spans="1:28" ht="15" customHeight="1">
      <c r="A4014" s="2" t="s">
        <v>8884</v>
      </c>
      <c r="B4014" s="2" t="s">
        <v>978</v>
      </c>
      <c r="C4014" s="11" t="s">
        <v>1160</v>
      </c>
      <c r="D4014" s="2" t="s">
        <v>30</v>
      </c>
      <c r="E4014" s="2" t="s">
        <v>87</v>
      </c>
      <c r="F4014" s="11" t="s">
        <v>1668</v>
      </c>
      <c r="G4014" s="21" t="s">
        <v>1669</v>
      </c>
      <c r="H4014" s="2" t="s">
        <v>1559</v>
      </c>
      <c r="I4014" s="12" t="s">
        <v>4896</v>
      </c>
      <c r="J4014" s="22">
        <f>+Tabla1[[#This Row],[FECHA ENTRADA]]</f>
        <v>45890</v>
      </c>
      <c r="K4014" s="22">
        <v>45902</v>
      </c>
      <c r="L4014" s="23">
        <f>_xlfn.DAYS(Tabla1[[#This Row],[FECHA FIN ]],Tabla1[[#This Row],[FECHA INICIO]])</f>
        <v>12</v>
      </c>
      <c r="M4014" s="12"/>
      <c r="N4014" s="12"/>
      <c r="O4014" s="24">
        <f>(Tabla1[[#This Row],[COSTO FIJO ]]/30)*Tabla1[[#This Row],[TOTAL DIAS PROYECTO]]+(Tabla1[[#This Row],[COSTO TEMPORAL]])</f>
        <v>0</v>
      </c>
      <c r="P4014" s="12"/>
      <c r="Q4014" s="12">
        <f>+(Tabla1[[#This Row],[COSTO COCHE]]/30)*Tabla1[[#This Row],[TOTAL DIAS PROYECTO]]</f>
        <v>0</v>
      </c>
      <c r="R4014" s="12">
        <f>+Tabla1[[#This Row],[COSTO TOTAL ALOJAMIENTO]]+Tabla1[[#This Row],[COSTO TOTAL COCHE]]</f>
        <v>0</v>
      </c>
      <c r="S4014" s="2"/>
      <c r="T4014" s="14" t="s">
        <v>35</v>
      </c>
      <c r="U4014" s="14">
        <v>45890</v>
      </c>
      <c r="V4014" s="79"/>
      <c r="W4014" s="12"/>
      <c r="X4014" s="2">
        <v>5</v>
      </c>
      <c r="Y4014" s="11"/>
      <c r="Z4014" s="2" t="s">
        <v>36</v>
      </c>
      <c r="AA4014" s="13" t="s">
        <v>10335</v>
      </c>
      <c r="AB4014" s="13">
        <v>404.16500000000002</v>
      </c>
    </row>
    <row r="4015" spans="1:28" ht="15" customHeight="1">
      <c r="A4015" s="2" t="s">
        <v>9362</v>
      </c>
      <c r="B4015" s="2" t="s">
        <v>978</v>
      </c>
      <c r="C4015" s="31" t="s">
        <v>2937</v>
      </c>
      <c r="D4015" s="2" t="s">
        <v>30</v>
      </c>
      <c r="E4015" s="2" t="s">
        <v>253</v>
      </c>
      <c r="F4015" s="11" t="s">
        <v>5943</v>
      </c>
      <c r="G4015" s="46" t="s">
        <v>3578</v>
      </c>
      <c r="H4015" s="2" t="s">
        <v>1530</v>
      </c>
      <c r="I4015" s="12" t="s">
        <v>1155</v>
      </c>
      <c r="J4015" s="22">
        <f>+Tabla1[[#This Row],[FECHA ENTRADA]]</f>
        <v>45574</v>
      </c>
      <c r="K4015" s="8">
        <v>45966</v>
      </c>
      <c r="L4015" s="42">
        <f>_xlfn.DAYS(Tabla1[[#This Row],[FECHA FIN ]],Tabla1[[#This Row],[FECHA INICIO]])</f>
        <v>392</v>
      </c>
      <c r="M4015" s="12"/>
      <c r="N4015" s="12">
        <v>480</v>
      </c>
      <c r="O4015" s="28">
        <f>(Tabla1[[#This Row],[COSTO FIJO ]]/30)*Tabla1[[#This Row],[TOTAL DIAS PROYECTO]]+(Tabla1[[#This Row],[COSTO TEMPORAL]])</f>
        <v>6272</v>
      </c>
      <c r="P4015" s="12"/>
      <c r="Q4015" s="12">
        <f>+(Tabla1[[#This Row],[COSTO COCHE]]/30)*Tabla1[[#This Row],[TOTAL DIAS PROYECTO]]</f>
        <v>0</v>
      </c>
      <c r="R4015" s="12">
        <f>+Tabla1[[#This Row],[COSTO TOTAL ALOJAMIENTO]]+Tabla1[[#This Row],[COSTO TOTAL COCHE]]</f>
        <v>6272</v>
      </c>
      <c r="S4015" s="2"/>
      <c r="T4015" s="2" t="s">
        <v>35</v>
      </c>
      <c r="U4015" s="14">
        <v>45574</v>
      </c>
      <c r="V4015" s="43"/>
      <c r="W4015" s="26"/>
      <c r="X4015" s="2">
        <v>5</v>
      </c>
      <c r="Y4015" s="202" t="s">
        <v>5944</v>
      </c>
      <c r="Z4015" s="2" t="s">
        <v>36</v>
      </c>
      <c r="AA4015" s="13" t="s">
        <v>10357</v>
      </c>
      <c r="AB4015" s="13" t="s">
        <v>10358</v>
      </c>
    </row>
    <row r="4016" spans="1:28" ht="15" customHeight="1">
      <c r="A4016" s="2" t="s">
        <v>10010</v>
      </c>
      <c r="B4016" s="2" t="s">
        <v>978</v>
      </c>
      <c r="C4016" s="31" t="s">
        <v>5945</v>
      </c>
      <c r="D4016" s="2" t="s">
        <v>30</v>
      </c>
      <c r="E4016" s="2" t="s">
        <v>855</v>
      </c>
      <c r="F4016" s="11" t="s">
        <v>1662</v>
      </c>
      <c r="G4016" s="49" t="s">
        <v>1474</v>
      </c>
      <c r="H4016" s="2" t="s">
        <v>5946</v>
      </c>
      <c r="I4016" s="12" t="s">
        <v>4362</v>
      </c>
      <c r="J4016" s="22">
        <f>+Tabla1[[#This Row],[FECHA ENTRADA]]</f>
        <v>45965</v>
      </c>
      <c r="K4016" s="22">
        <v>45966</v>
      </c>
      <c r="L4016" s="23">
        <f>_xlfn.DAYS(Tabla1[[#This Row],[FECHA FIN ]],Tabla1[[#This Row],[FECHA INICIO]])</f>
        <v>1</v>
      </c>
      <c r="M4016" s="12">
        <v>166.66666666666666</v>
      </c>
      <c r="N4016" s="20"/>
      <c r="O4016" s="24">
        <f>(Tabla1[[#This Row],[COSTO FIJO ]]/30)*Tabla1[[#This Row],[TOTAL DIAS PROYECTO]]+(Tabla1[[#This Row],[COSTO TEMPORAL]])</f>
        <v>166.66666666666666</v>
      </c>
      <c r="P4016" s="12"/>
      <c r="Q4016" s="12">
        <f>+(Tabla1[[#This Row],[COSTO COCHE]]/30)*Tabla1[[#This Row],[TOTAL DIAS PROYECTO]]</f>
        <v>0</v>
      </c>
      <c r="R4016" s="12">
        <f>+Tabla1[[#This Row],[COSTO TOTAL ALOJAMIENTO]]+Tabla1[[#This Row],[COSTO TOTAL COCHE]]</f>
        <v>166.66666666666666</v>
      </c>
      <c r="S4016" s="2"/>
      <c r="T4016" s="14" t="s">
        <v>44</v>
      </c>
      <c r="U4016" s="14">
        <v>45965</v>
      </c>
      <c r="V4016" s="79">
        <v>45966</v>
      </c>
      <c r="W4016" s="71"/>
      <c r="X4016" s="2"/>
      <c r="Y4016" s="11" t="s">
        <v>5947</v>
      </c>
      <c r="Z4016" s="2" t="s">
        <v>36</v>
      </c>
      <c r="AA4016" s="13" t="s">
        <v>10401</v>
      </c>
      <c r="AB4016" s="13" t="s">
        <v>10402</v>
      </c>
    </row>
    <row r="4017" spans="1:28" ht="15" customHeight="1">
      <c r="A4017" s="2" t="s">
        <v>9659</v>
      </c>
      <c r="B4017" s="2" t="s">
        <v>368</v>
      </c>
      <c r="C4017" s="31" t="s">
        <v>4103</v>
      </c>
      <c r="D4017" s="2" t="s">
        <v>30</v>
      </c>
      <c r="E4017" s="2" t="s">
        <v>127</v>
      </c>
      <c r="F4017" s="11" t="s">
        <v>820</v>
      </c>
      <c r="G4017" s="21" t="s">
        <v>1234</v>
      </c>
      <c r="H4017" s="2" t="s">
        <v>3622</v>
      </c>
      <c r="I4017" s="12" t="s">
        <v>1193</v>
      </c>
      <c r="J4017" s="41">
        <f>+Tabla1[[#This Row],[FECHA ENTRADA]]</f>
        <v>45920</v>
      </c>
      <c r="K4017" s="41">
        <v>45966</v>
      </c>
      <c r="L4017" s="42">
        <f>_xlfn.DAYS(Tabla1[[#This Row],[FECHA FIN ]],Tabla1[[#This Row],[FECHA INICIO]])</f>
        <v>46</v>
      </c>
      <c r="M4017" s="12"/>
      <c r="N4017" s="12">
        <f>3150/9</f>
        <v>350</v>
      </c>
      <c r="O4017" s="28">
        <f>(Tabla1[[#This Row],[COSTO FIJO ]]/30)*Tabla1[[#This Row],[TOTAL DIAS PROYECTO]]+(Tabla1[[#This Row],[COSTO TEMPORAL]])</f>
        <v>536.66666666666663</v>
      </c>
      <c r="P4017" s="12"/>
      <c r="Q4017" s="12">
        <f>+(Tabla1[[#This Row],[COSTO COCHE]]/30)*Tabla1[[#This Row],[TOTAL DIAS PROYECTO]]</f>
        <v>0</v>
      </c>
      <c r="R4017" s="12">
        <f>+Tabla1[[#This Row],[COSTO TOTAL ALOJAMIENTO]]+Tabla1[[#This Row],[COSTO TOTAL COCHE]]</f>
        <v>536.66666666666663</v>
      </c>
      <c r="S4017" s="2"/>
      <c r="T4017" s="14" t="s">
        <v>44</v>
      </c>
      <c r="U4017" s="14">
        <v>45920</v>
      </c>
      <c r="V4017" s="25">
        <v>45979</v>
      </c>
      <c r="W4017" s="71"/>
      <c r="X4017" s="2"/>
      <c r="Y4017" s="11" t="s">
        <v>5948</v>
      </c>
      <c r="Z4017" s="2" t="s">
        <v>36</v>
      </c>
      <c r="AA4017" s="13" t="s">
        <v>10342</v>
      </c>
      <c r="AB4017" s="13" t="s">
        <v>10343</v>
      </c>
    </row>
    <row r="4018" spans="1:28" ht="15" customHeight="1">
      <c r="A4018" s="2" t="s">
        <v>9333</v>
      </c>
      <c r="B4018" s="2" t="s">
        <v>368</v>
      </c>
      <c r="C4018" s="31" t="s">
        <v>2845</v>
      </c>
      <c r="D4018" s="2" t="s">
        <v>30</v>
      </c>
      <c r="E4018" s="2" t="s">
        <v>127</v>
      </c>
      <c r="F4018" s="11" t="s">
        <v>820</v>
      </c>
      <c r="G4018" s="21" t="s">
        <v>1234</v>
      </c>
      <c r="H4018" s="2" t="s">
        <v>4101</v>
      </c>
      <c r="I4018" s="12" t="s">
        <v>1193</v>
      </c>
      <c r="J4018" s="41">
        <f>+Tabla1[[#This Row],[FECHA ENTRADA]]</f>
        <v>45920</v>
      </c>
      <c r="K4018" s="41">
        <v>45966</v>
      </c>
      <c r="L4018" s="42">
        <f>_xlfn.DAYS(Tabla1[[#This Row],[FECHA FIN ]],Tabla1[[#This Row],[FECHA INICIO]])</f>
        <v>46</v>
      </c>
      <c r="M4018" s="12"/>
      <c r="N4018" s="12">
        <f>3150/9</f>
        <v>350</v>
      </c>
      <c r="O4018" s="28">
        <f>(Tabla1[[#This Row],[COSTO FIJO ]]/30)*Tabla1[[#This Row],[TOTAL DIAS PROYECTO]]+(Tabla1[[#This Row],[COSTO TEMPORAL]])</f>
        <v>536.66666666666663</v>
      </c>
      <c r="P4018" s="12"/>
      <c r="Q4018" s="12">
        <f>+(Tabla1[[#This Row],[COSTO COCHE]]/30)*Tabla1[[#This Row],[TOTAL DIAS PROYECTO]]</f>
        <v>0</v>
      </c>
      <c r="R4018" s="12">
        <f>+Tabla1[[#This Row],[COSTO TOTAL ALOJAMIENTO]]+Tabla1[[#This Row],[COSTO TOTAL COCHE]]</f>
        <v>536.66666666666663</v>
      </c>
      <c r="S4018" s="2"/>
      <c r="T4018" s="14" t="s">
        <v>44</v>
      </c>
      <c r="U4018" s="14">
        <v>45920</v>
      </c>
      <c r="V4018" s="25">
        <v>45979</v>
      </c>
      <c r="W4018" s="71"/>
      <c r="X4018" s="2"/>
      <c r="Y4018" s="282" t="s">
        <v>5949</v>
      </c>
      <c r="Z4018" s="2" t="s">
        <v>36</v>
      </c>
      <c r="AA4018" s="13" t="s">
        <v>10342</v>
      </c>
      <c r="AB4018" s="13" t="s">
        <v>10343</v>
      </c>
    </row>
    <row r="4019" spans="1:28" ht="15" customHeight="1">
      <c r="A4019" s="2" t="s">
        <v>9918</v>
      </c>
      <c r="B4019" s="2" t="s">
        <v>711</v>
      </c>
      <c r="C4019" s="181" t="s">
        <v>5434</v>
      </c>
      <c r="D4019" s="2" t="s">
        <v>30</v>
      </c>
      <c r="E4019" s="2" t="s">
        <v>648</v>
      </c>
      <c r="F4019" s="11" t="s">
        <v>712</v>
      </c>
      <c r="G4019" s="70" t="s">
        <v>713</v>
      </c>
      <c r="H4019" s="2" t="s">
        <v>2104</v>
      </c>
      <c r="I4019" s="12" t="s">
        <v>96</v>
      </c>
      <c r="J4019" s="22">
        <f>+Tabla1[[#This Row],[FECHA ENTRADA]]</f>
        <v>45938</v>
      </c>
      <c r="K4019" s="8">
        <v>46067</v>
      </c>
      <c r="L4019" s="23">
        <f>_xlfn.DAYS(Tabla1[[#This Row],[FECHA FIN ]],Tabla1[[#This Row],[FECHA INICIO]])</f>
        <v>129</v>
      </c>
      <c r="M4019" s="12"/>
      <c r="N4019" s="24">
        <v>133.33333333333334</v>
      </c>
      <c r="O4019" s="24">
        <f>(Tabla1[[#This Row],[COSTO FIJO ]]/30)*Tabla1[[#This Row],[TOTAL DIAS PROYECTO]]+(Tabla1[[#This Row],[COSTO TEMPORAL]])</f>
        <v>573.33333333333337</v>
      </c>
      <c r="P4019" s="12"/>
      <c r="Q4019" s="12">
        <f>+(Tabla1[[#This Row],[COSTO COCHE]]/30)*Tabla1[[#This Row],[TOTAL DIAS PROYECTO]]</f>
        <v>0</v>
      </c>
      <c r="R4019" s="12">
        <f>+Tabla1[[#This Row],[COSTO TOTAL ALOJAMIENTO]]+Tabla1[[#This Row],[COSTO TOTAL COCHE]]</f>
        <v>573.33333333333337</v>
      </c>
      <c r="S4019" s="2"/>
      <c r="T4019" s="14" t="s">
        <v>35</v>
      </c>
      <c r="U4019" s="14">
        <v>45938</v>
      </c>
      <c r="V4019" s="79"/>
      <c r="W4019" s="71"/>
      <c r="X4019" s="2">
        <v>14</v>
      </c>
      <c r="Y4019" s="11" t="s">
        <v>5950</v>
      </c>
      <c r="Z4019" s="2" t="s">
        <v>36</v>
      </c>
      <c r="AA4019" s="13" t="s">
        <v>10387</v>
      </c>
      <c r="AB4019" s="13" t="s">
        <v>10388</v>
      </c>
    </row>
    <row r="4020" spans="1:28" ht="15" customHeight="1">
      <c r="A4020" s="2" t="s">
        <v>9881</v>
      </c>
      <c r="B4020" s="2" t="s">
        <v>711</v>
      </c>
      <c r="C4020" s="11" t="s">
        <v>5205</v>
      </c>
      <c r="D4020" s="2" t="s">
        <v>30</v>
      </c>
      <c r="E4020" s="2" t="s">
        <v>253</v>
      </c>
      <c r="F4020" s="11" t="s">
        <v>1106</v>
      </c>
      <c r="G4020" s="46"/>
      <c r="H4020" s="2" t="s">
        <v>5951</v>
      </c>
      <c r="I4020" s="12" t="s">
        <v>5169</v>
      </c>
      <c r="J4020" s="41">
        <f>+Tabla1[[#This Row],[FECHA ENTRADA]]</f>
        <v>45963</v>
      </c>
      <c r="K4020" s="41">
        <v>45966</v>
      </c>
      <c r="L4020" s="42">
        <f>_xlfn.DAYS(Tabla1[[#This Row],[FECHA FIN ]],Tabla1[[#This Row],[FECHA INICIO]])</f>
        <v>3</v>
      </c>
      <c r="M4020" s="12"/>
      <c r="N4020" s="28">
        <v>0</v>
      </c>
      <c r="O4020" s="28">
        <f>(Tabla1[[#This Row],[COSTO FIJO ]]/30)*Tabla1[[#This Row],[TOTAL DIAS PROYECTO]]+(Tabla1[[#This Row],[COSTO TEMPORAL]])</f>
        <v>0</v>
      </c>
      <c r="P4020" s="12"/>
      <c r="Q4020" s="12">
        <f>+(Tabla1[[#This Row],[COSTO COCHE]]/30)*Tabla1[[#This Row],[TOTAL DIAS PROYECTO]]</f>
        <v>0</v>
      </c>
      <c r="R4020" s="12">
        <f>+Tabla1[[#This Row],[COSTO TOTAL ALOJAMIENTO]]+Tabla1[[#This Row],[COSTO TOTAL COCHE]]</f>
        <v>0</v>
      </c>
      <c r="S4020" s="2"/>
      <c r="T4020" s="2" t="s">
        <v>8</v>
      </c>
      <c r="U4020" s="14">
        <v>45963</v>
      </c>
      <c r="V4020" s="43"/>
      <c r="W4020" s="71"/>
      <c r="X4020" s="2"/>
      <c r="Y4020" s="11" t="s">
        <v>5952</v>
      </c>
      <c r="Z4020" s="2" t="s">
        <v>36</v>
      </c>
      <c r="AA4020" s="13" t="s">
        <v>10357</v>
      </c>
      <c r="AB4020" s="13" t="s">
        <v>10358</v>
      </c>
    </row>
    <row r="4021" spans="1:28" ht="15" customHeight="1">
      <c r="A4021" s="2" t="s">
        <v>9712</v>
      </c>
      <c r="B4021" s="2" t="s">
        <v>711</v>
      </c>
      <c r="C4021" s="11" t="s">
        <v>4359</v>
      </c>
      <c r="D4021" s="2" t="s">
        <v>30</v>
      </c>
      <c r="E4021" s="2" t="s">
        <v>253</v>
      </c>
      <c r="F4021" s="11" t="s">
        <v>1106</v>
      </c>
      <c r="G4021" s="46"/>
      <c r="H4021" s="2" t="s">
        <v>5951</v>
      </c>
      <c r="I4021" s="12" t="s">
        <v>5169</v>
      </c>
      <c r="J4021" s="41">
        <f>+Tabla1[[#This Row],[FECHA ENTRADA]]</f>
        <v>45963</v>
      </c>
      <c r="K4021" s="41">
        <v>45966</v>
      </c>
      <c r="L4021" s="42">
        <f>_xlfn.DAYS(Tabla1[[#This Row],[FECHA FIN ]],Tabla1[[#This Row],[FECHA INICIO]])</f>
        <v>3</v>
      </c>
      <c r="M4021" s="12"/>
      <c r="N4021" s="28">
        <v>0</v>
      </c>
      <c r="O4021" s="28">
        <f>(Tabla1[[#This Row],[COSTO FIJO ]]/30)*Tabla1[[#This Row],[TOTAL DIAS PROYECTO]]+(Tabla1[[#This Row],[COSTO TEMPORAL]])</f>
        <v>0</v>
      </c>
      <c r="P4021" s="12"/>
      <c r="Q4021" s="12">
        <f>+(Tabla1[[#This Row],[COSTO COCHE]]/30)*Tabla1[[#This Row],[TOTAL DIAS PROYECTO]]</f>
        <v>0</v>
      </c>
      <c r="R4021" s="12">
        <f>+Tabla1[[#This Row],[COSTO TOTAL ALOJAMIENTO]]+Tabla1[[#This Row],[COSTO TOTAL COCHE]]</f>
        <v>0</v>
      </c>
      <c r="S4021" s="2"/>
      <c r="T4021" s="2" t="s">
        <v>8</v>
      </c>
      <c r="U4021" s="14">
        <v>45963</v>
      </c>
      <c r="V4021" s="43"/>
      <c r="W4021" s="71"/>
      <c r="X4021" s="2"/>
      <c r="Y4021" s="11" t="s">
        <v>5952</v>
      </c>
      <c r="Z4021" s="2" t="s">
        <v>36</v>
      </c>
      <c r="AA4021" s="13" t="s">
        <v>10357</v>
      </c>
      <c r="AB4021" s="13" t="s">
        <v>10358</v>
      </c>
    </row>
    <row r="4022" spans="1:28" ht="15" customHeight="1">
      <c r="A4022" s="2" t="s">
        <v>9560</v>
      </c>
      <c r="B4022" s="2" t="s">
        <v>711</v>
      </c>
      <c r="C4022" s="11" t="s">
        <v>3649</v>
      </c>
      <c r="D4022" s="2" t="s">
        <v>30</v>
      </c>
      <c r="E4022" s="2" t="s">
        <v>253</v>
      </c>
      <c r="F4022" s="11" t="s">
        <v>1106</v>
      </c>
      <c r="G4022" s="46"/>
      <c r="H4022" s="2" t="s">
        <v>5951</v>
      </c>
      <c r="I4022" s="12" t="s">
        <v>5169</v>
      </c>
      <c r="J4022" s="41">
        <f>+Tabla1[[#This Row],[FECHA ENTRADA]]</f>
        <v>45963</v>
      </c>
      <c r="K4022" s="41">
        <v>45966</v>
      </c>
      <c r="L4022" s="42">
        <f>_xlfn.DAYS(Tabla1[[#This Row],[FECHA FIN ]],Tabla1[[#This Row],[FECHA INICIO]])</f>
        <v>3</v>
      </c>
      <c r="M4022" s="12"/>
      <c r="N4022" s="28">
        <v>0</v>
      </c>
      <c r="O4022" s="28">
        <f>(Tabla1[[#This Row],[COSTO FIJO ]]/30)*Tabla1[[#This Row],[TOTAL DIAS PROYECTO]]+(Tabla1[[#This Row],[COSTO TEMPORAL]])</f>
        <v>0</v>
      </c>
      <c r="P4022" s="12"/>
      <c r="Q4022" s="12">
        <f>+(Tabla1[[#This Row],[COSTO COCHE]]/30)*Tabla1[[#This Row],[TOTAL DIAS PROYECTO]]</f>
        <v>0</v>
      </c>
      <c r="R4022" s="12">
        <f>+Tabla1[[#This Row],[COSTO TOTAL ALOJAMIENTO]]+Tabla1[[#This Row],[COSTO TOTAL COCHE]]</f>
        <v>0</v>
      </c>
      <c r="S4022" s="2"/>
      <c r="T4022" s="2" t="s">
        <v>8</v>
      </c>
      <c r="U4022" s="14">
        <v>45963</v>
      </c>
      <c r="V4022" s="43"/>
      <c r="W4022" s="71"/>
      <c r="X4022" s="2"/>
      <c r="Y4022" s="11" t="s">
        <v>5952</v>
      </c>
      <c r="Z4022" s="2" t="s">
        <v>36</v>
      </c>
      <c r="AA4022" s="13" t="s">
        <v>10357</v>
      </c>
      <c r="AB4022" s="13" t="s">
        <v>10358</v>
      </c>
    </row>
    <row r="4023" spans="1:28" ht="15" customHeight="1">
      <c r="A4023" s="2" t="s">
        <v>10011</v>
      </c>
      <c r="B4023" s="2" t="s">
        <v>28</v>
      </c>
      <c r="C4023" s="283" t="s">
        <v>5953</v>
      </c>
      <c r="D4023" s="2" t="s">
        <v>30</v>
      </c>
      <c r="E4023" s="2" t="s">
        <v>61</v>
      </c>
      <c r="F4023" s="11"/>
      <c r="G4023" s="11"/>
      <c r="H4023" s="2" t="s">
        <v>4808</v>
      </c>
      <c r="I4023" s="12" t="s">
        <v>118</v>
      </c>
      <c r="J4023" s="22">
        <f>+Tabla1[[#This Row],[FECHA ENTRADA]]</f>
        <v>45881</v>
      </c>
      <c r="K4023" s="22">
        <v>45967</v>
      </c>
      <c r="L4023" s="23">
        <f>_xlfn.DAYS(Tabla1[[#This Row],[FECHA FIN ]],Tabla1[[#This Row],[FECHA INICIO]])</f>
        <v>86</v>
      </c>
      <c r="M4023" s="12"/>
      <c r="N4023" s="12">
        <v>300</v>
      </c>
      <c r="O4023" s="24">
        <f>(Tabla1[[#This Row],[COSTO FIJO ]]/30)*Tabla1[[#This Row],[TOTAL DIAS PROYECTO]]+(Tabla1[[#This Row],[COSTO TEMPORAL]])</f>
        <v>860</v>
      </c>
      <c r="P4023" s="12"/>
      <c r="Q4023" s="12">
        <f>+(Tabla1[[#This Row],[COSTO COCHE]]/30)*Tabla1[[#This Row],[TOTAL DIAS PROYECTO]]</f>
        <v>0</v>
      </c>
      <c r="R4023" s="12">
        <f>+Tabla1[[#This Row],[COSTO TOTAL ALOJAMIENTO]]+Tabla1[[#This Row],[COSTO TOTAL COCHE]]</f>
        <v>860</v>
      </c>
      <c r="S4023" s="2"/>
      <c r="T4023" s="14" t="s">
        <v>58</v>
      </c>
      <c r="U4023" s="14">
        <v>45881</v>
      </c>
      <c r="V4023" s="79"/>
      <c r="W4023" s="12"/>
      <c r="X4023" s="2"/>
      <c r="Y4023" s="202" t="s">
        <v>5027</v>
      </c>
      <c r="Z4023" s="2" t="s">
        <v>36</v>
      </c>
      <c r="AA4023" s="13" t="s">
        <v>10329</v>
      </c>
      <c r="AB4023" s="13" t="s">
        <v>10330</v>
      </c>
    </row>
    <row r="4024" spans="1:28" ht="15" customHeight="1">
      <c r="A4024" s="2" t="s">
        <v>9843</v>
      </c>
      <c r="B4024" s="2" t="s">
        <v>28</v>
      </c>
      <c r="C4024" s="181" t="s">
        <v>5021</v>
      </c>
      <c r="D4024" s="2" t="s">
        <v>99</v>
      </c>
      <c r="E4024" s="2" t="s">
        <v>114</v>
      </c>
      <c r="F4024" s="11" t="s">
        <v>3881</v>
      </c>
      <c r="G4024" s="11" t="s">
        <v>3882</v>
      </c>
      <c r="H4024" s="2" t="s">
        <v>4887</v>
      </c>
      <c r="I4024" s="12" t="s">
        <v>118</v>
      </c>
      <c r="J4024" s="41">
        <f>+Tabla1[[#This Row],[FECHA ENTRADA]]</f>
        <v>45900</v>
      </c>
      <c r="K4024" s="41">
        <v>45900</v>
      </c>
      <c r="L4024" s="42">
        <f>_xlfn.DAYS(Tabla1[[#This Row],[FECHA FIN ]],Tabla1[[#This Row],[FECHA INICIO]])</f>
        <v>0</v>
      </c>
      <c r="M4024" s="12"/>
      <c r="N4024" s="12">
        <v>91.666666666666671</v>
      </c>
      <c r="O4024" s="28">
        <f>(Tabla1[[#This Row],[COSTO FIJO ]]/30)*Tabla1[[#This Row],[TOTAL DIAS PROYECTO]]+(Tabla1[[#This Row],[COSTO TEMPORAL]])</f>
        <v>0</v>
      </c>
      <c r="P4024" s="12"/>
      <c r="Q4024" s="12">
        <f>+(Tabla1[[#This Row],[COSTO COCHE]]/30)*Tabla1[[#This Row],[TOTAL DIAS PROYECTO]]</f>
        <v>0</v>
      </c>
      <c r="R4024" s="12">
        <f>+Tabla1[[#This Row],[COSTO TOTAL ALOJAMIENTO]]+Tabla1[[#This Row],[COSTO TOTAL COCHE]]</f>
        <v>0</v>
      </c>
      <c r="S4024" s="2"/>
      <c r="T4024" s="14" t="s">
        <v>35</v>
      </c>
      <c r="U4024" s="14">
        <v>45900</v>
      </c>
      <c r="V4024" s="43"/>
      <c r="W4024" s="71"/>
      <c r="X4024" s="2">
        <v>10</v>
      </c>
      <c r="Y4024" s="11"/>
      <c r="Z4024" s="2" t="s">
        <v>36</v>
      </c>
      <c r="AA4024" s="13" t="s">
        <v>10340</v>
      </c>
      <c r="AB4024" s="13" t="s">
        <v>10341</v>
      </c>
    </row>
    <row r="4025" spans="1:28" ht="15" customHeight="1">
      <c r="A4025" s="2" t="s">
        <v>10012</v>
      </c>
      <c r="B4025" s="2" t="s">
        <v>978</v>
      </c>
      <c r="C4025" s="11" t="s">
        <v>5954</v>
      </c>
      <c r="D4025" s="2" t="s">
        <v>30</v>
      </c>
      <c r="E4025" s="2" t="s">
        <v>109</v>
      </c>
      <c r="F4025" s="11" t="s">
        <v>5353</v>
      </c>
      <c r="G4025" s="49" t="s">
        <v>5354</v>
      </c>
      <c r="H4025" s="2" t="s">
        <v>5355</v>
      </c>
      <c r="I4025" s="12" t="s">
        <v>5356</v>
      </c>
      <c r="J4025" s="22">
        <f>+Tabla1[[#This Row],[FECHA ENTRADA]]</f>
        <v>45867</v>
      </c>
      <c r="K4025" s="22">
        <v>45875</v>
      </c>
      <c r="L4025" s="23">
        <f>_xlfn.DAYS(Tabla1[[#This Row],[FECHA FIN ]],Tabla1[[#This Row],[FECHA INICIO]])</f>
        <v>8</v>
      </c>
      <c r="M4025" s="12"/>
      <c r="N4025" s="12">
        <v>225.25</v>
      </c>
      <c r="O4025" s="24">
        <f>(Tabla1[[#This Row],[COSTO FIJO ]]/30)*Tabla1[[#This Row],[TOTAL DIAS PROYECTO]]+(Tabla1[[#This Row],[COSTO TEMPORAL]])</f>
        <v>60.06666666666667</v>
      </c>
      <c r="P4025" s="12"/>
      <c r="Q4025" s="12">
        <f>+(Tabla1[[#This Row],[COSTO COCHE]]/30)*Tabla1[[#This Row],[TOTAL DIAS PROYECTO]]</f>
        <v>0</v>
      </c>
      <c r="R4025" s="12">
        <f>+Tabla1[[#This Row],[COSTO TOTAL ALOJAMIENTO]]+Tabla1[[#This Row],[COSTO TOTAL COCHE]]</f>
        <v>60.06666666666667</v>
      </c>
      <c r="S4025" s="2" t="s">
        <v>403</v>
      </c>
      <c r="T4025" s="14" t="s">
        <v>44</v>
      </c>
      <c r="U4025" s="14">
        <v>45867</v>
      </c>
      <c r="V4025" s="25">
        <v>45875</v>
      </c>
      <c r="W4025" s="12"/>
      <c r="X4025" s="2"/>
      <c r="Y4025" s="11" t="s">
        <v>5357</v>
      </c>
      <c r="Z4025" s="2" t="s">
        <v>36</v>
      </c>
      <c r="AA4025" s="13">
        <v>0.62217999999999996</v>
      </c>
      <c r="AB4025" s="13" t="s">
        <v>10339</v>
      </c>
    </row>
    <row r="4026" spans="1:28" ht="15" customHeight="1">
      <c r="A4026" s="2" t="s">
        <v>9336</v>
      </c>
      <c r="B4026" s="2" t="s">
        <v>711</v>
      </c>
      <c r="C4026" s="31" t="s">
        <v>2850</v>
      </c>
      <c r="D4026" s="2" t="s">
        <v>99</v>
      </c>
      <c r="E4026" s="2" t="s">
        <v>31</v>
      </c>
      <c r="F4026" s="11" t="s">
        <v>1106</v>
      </c>
      <c r="G4026" s="21"/>
      <c r="H4026" s="2" t="s">
        <v>5955</v>
      </c>
      <c r="I4026" s="12" t="s">
        <v>506</v>
      </c>
      <c r="J4026" s="22">
        <f>+Tabla1[[#This Row],[FECHA ENTRADA]]</f>
        <v>45956</v>
      </c>
      <c r="K4026" s="22">
        <v>45967</v>
      </c>
      <c r="L4026" s="23">
        <f>_xlfn.DAYS(Tabla1[[#This Row],[FECHA FIN ]],Tabla1[[#This Row],[FECHA INICIO]])</f>
        <v>11</v>
      </c>
      <c r="M4026" s="12"/>
      <c r="N4026" s="20">
        <v>0</v>
      </c>
      <c r="O4026" s="24">
        <f>(Tabla1[[#This Row],[COSTO FIJO ]]/30)*Tabla1[[#This Row],[TOTAL DIAS PROYECTO]]+(Tabla1[[#This Row],[COSTO TEMPORAL]])</f>
        <v>0</v>
      </c>
      <c r="P4026" s="12"/>
      <c r="Q4026" s="12">
        <f>+(Tabla1[[#This Row],[COSTO COCHE]]/30)*Tabla1[[#This Row],[TOTAL DIAS PROYECTO]]</f>
        <v>0</v>
      </c>
      <c r="R4026" s="12">
        <f>+Tabla1[[#This Row],[COSTO TOTAL ALOJAMIENTO]]+Tabla1[[#This Row],[COSTO TOTAL COCHE]]</f>
        <v>0</v>
      </c>
      <c r="S4026" s="2"/>
      <c r="T4026" s="2" t="s">
        <v>8</v>
      </c>
      <c r="U4026" s="14">
        <v>45956</v>
      </c>
      <c r="V4026" s="79"/>
      <c r="W4026" s="71"/>
      <c r="X4026" s="2"/>
      <c r="Y4026" s="11" t="s">
        <v>5956</v>
      </c>
      <c r="Z4026" s="2" t="s">
        <v>36</v>
      </c>
      <c r="AA4026" s="13" t="s">
        <v>10323</v>
      </c>
      <c r="AB4026" s="13" t="s">
        <v>10324</v>
      </c>
    </row>
    <row r="4027" spans="1:28" ht="15" customHeight="1">
      <c r="A4027" s="2" t="s">
        <v>9950</v>
      </c>
      <c r="B4027" s="2" t="s">
        <v>711</v>
      </c>
      <c r="C4027" s="31" t="s">
        <v>5646</v>
      </c>
      <c r="D4027" s="2" t="s">
        <v>99</v>
      </c>
      <c r="E4027" s="2" t="s">
        <v>31</v>
      </c>
      <c r="F4027" s="11" t="s">
        <v>1106</v>
      </c>
      <c r="G4027" s="21"/>
      <c r="H4027" s="2" t="s">
        <v>5955</v>
      </c>
      <c r="I4027" s="12" t="s">
        <v>506</v>
      </c>
      <c r="J4027" s="22">
        <f>+Tabla1[[#This Row],[FECHA ENTRADA]]</f>
        <v>45956</v>
      </c>
      <c r="K4027" s="22">
        <v>45967</v>
      </c>
      <c r="L4027" s="23">
        <f>_xlfn.DAYS(Tabla1[[#This Row],[FECHA FIN ]],Tabla1[[#This Row],[FECHA INICIO]])</f>
        <v>11</v>
      </c>
      <c r="M4027" s="12"/>
      <c r="N4027" s="20">
        <v>0</v>
      </c>
      <c r="O4027" s="24">
        <f>(Tabla1[[#This Row],[COSTO FIJO ]]/30)*Tabla1[[#This Row],[TOTAL DIAS PROYECTO]]+(Tabla1[[#This Row],[COSTO TEMPORAL]])</f>
        <v>0</v>
      </c>
      <c r="P4027" s="12"/>
      <c r="Q4027" s="12">
        <f>+(Tabla1[[#This Row],[COSTO COCHE]]/30)*Tabla1[[#This Row],[TOTAL DIAS PROYECTO]]</f>
        <v>0</v>
      </c>
      <c r="R4027" s="12">
        <f>+Tabla1[[#This Row],[COSTO TOTAL ALOJAMIENTO]]+Tabla1[[#This Row],[COSTO TOTAL COCHE]]</f>
        <v>0</v>
      </c>
      <c r="S4027" s="2"/>
      <c r="T4027" s="2" t="s">
        <v>8</v>
      </c>
      <c r="U4027" s="14">
        <v>45956</v>
      </c>
      <c r="V4027" s="79"/>
      <c r="W4027" s="71"/>
      <c r="X4027" s="2"/>
      <c r="Y4027" s="11" t="s">
        <v>5956</v>
      </c>
      <c r="Z4027" s="2" t="s">
        <v>36</v>
      </c>
      <c r="AA4027" s="13" t="s">
        <v>10323</v>
      </c>
      <c r="AB4027" s="13" t="s">
        <v>10324</v>
      </c>
    </row>
    <row r="4028" spans="1:28" ht="15" customHeight="1">
      <c r="A4028" s="2" t="s">
        <v>9177</v>
      </c>
      <c r="B4028" s="2" t="s">
        <v>711</v>
      </c>
      <c r="C4028" s="179" t="s">
        <v>2328</v>
      </c>
      <c r="D4028" s="2" t="s">
        <v>30</v>
      </c>
      <c r="E4028" s="2" t="s">
        <v>31</v>
      </c>
      <c r="F4028" s="31" t="s">
        <v>5707</v>
      </c>
      <c r="G4028" s="46" t="s">
        <v>5708</v>
      </c>
      <c r="H4028" s="2" t="s">
        <v>5709</v>
      </c>
      <c r="I4028" s="12" t="s">
        <v>5710</v>
      </c>
      <c r="J4028" s="41">
        <f>+Tabla1[[#This Row],[FECHA ENTRADA]]</f>
        <v>46254</v>
      </c>
      <c r="K4028" s="41">
        <v>46258</v>
      </c>
      <c r="L4028" s="42">
        <f>_xlfn.DAYS(Tabla1[[#This Row],[FECHA FIN ]],Tabla1[[#This Row],[FECHA INICIO]])</f>
        <v>4</v>
      </c>
      <c r="M4028" s="12"/>
      <c r="N4028" s="28">
        <v>333.33333333333331</v>
      </c>
      <c r="O4028" s="28">
        <f>(Tabla1[[#This Row],[COSTO FIJO ]]/30)*Tabla1[[#This Row],[TOTAL DIAS PROYECTO]]+(Tabla1[[#This Row],[COSTO TEMPORAL]])</f>
        <v>44.444444444444443</v>
      </c>
      <c r="P4028" s="12"/>
      <c r="Q4028" s="12">
        <f>+(Tabla1[[#This Row],[COSTO COCHE]]/30)*Tabla1[[#This Row],[TOTAL DIAS PROYECTO]]</f>
        <v>0</v>
      </c>
      <c r="R4028" s="12">
        <f>+Tabla1[[#This Row],[COSTO TOTAL ALOJAMIENTO]]+Tabla1[[#This Row],[COSTO TOTAL COCHE]]</f>
        <v>44.444444444444443</v>
      </c>
      <c r="S4028" s="2"/>
      <c r="T4028" s="14" t="s">
        <v>44</v>
      </c>
      <c r="U4028" s="14">
        <v>46254</v>
      </c>
      <c r="V4028" s="43">
        <v>46269</v>
      </c>
      <c r="W4028" s="12"/>
      <c r="X4028" s="2"/>
      <c r="Y4028" s="11" t="s">
        <v>5711</v>
      </c>
      <c r="Z4028" s="2" t="s">
        <v>5712</v>
      </c>
      <c r="AA4028" s="13" t="s">
        <v>10323</v>
      </c>
      <c r="AB4028" s="13" t="s">
        <v>10324</v>
      </c>
    </row>
    <row r="4029" spans="1:28" ht="15" customHeight="1">
      <c r="A4029" s="2" t="s">
        <v>9288</v>
      </c>
      <c r="B4029" s="2" t="s">
        <v>28</v>
      </c>
      <c r="C4029" s="18" t="s">
        <v>2703</v>
      </c>
      <c r="D4029" s="2" t="s">
        <v>30</v>
      </c>
      <c r="E4029" s="2" t="s">
        <v>92</v>
      </c>
      <c r="F4029" s="11" t="s">
        <v>5957</v>
      </c>
      <c r="G4029" s="11" t="s">
        <v>94</v>
      </c>
      <c r="H4029" s="2" t="s">
        <v>2459</v>
      </c>
      <c r="I4029" s="12" t="s">
        <v>96</v>
      </c>
      <c r="J4029" s="8">
        <f>+Tabla1[[#This Row],[FECHA ENTRADA]]</f>
        <v>45383</v>
      </c>
      <c r="K4029" s="22">
        <v>45821</v>
      </c>
      <c r="L4029" s="13">
        <f>_xlfn.DAYS(Tabla1[[#This Row],[FECHA FIN ]],Tabla1[[#This Row],[FECHA INICIO]])</f>
        <v>438</v>
      </c>
      <c r="M4029" s="12"/>
      <c r="N4029" s="12">
        <v>433.33</v>
      </c>
      <c r="O4029" s="12">
        <f>(Tabla1[[#This Row],[COSTO FIJO ]]/30)*Tabla1[[#This Row],[TOTAL DIAS PROYECTO]]+(Tabla1[[#This Row],[COSTO TEMPORAL]])</f>
        <v>6326.6179999999995</v>
      </c>
      <c r="P4029" s="12"/>
      <c r="Q4029" s="12">
        <f>+(Tabla1[[#This Row],[COSTO COCHE]]/30)*Tabla1[[#This Row],[TOTAL DIAS PROYECTO]]</f>
        <v>0</v>
      </c>
      <c r="R4029" s="12">
        <f>+Tabla1[[#This Row],[COSTO TOTAL ALOJAMIENTO]]+Tabla1[[#This Row],[COSTO TOTAL COCHE]]</f>
        <v>6326.6179999999995</v>
      </c>
      <c r="S4029" s="2"/>
      <c r="T4029" s="2" t="s">
        <v>35</v>
      </c>
      <c r="U4029" s="14">
        <v>45383</v>
      </c>
      <c r="V4029" s="14"/>
      <c r="W4029" s="15"/>
      <c r="X4029" s="16">
        <v>11</v>
      </c>
      <c r="Y4029" s="11" t="s">
        <v>93</v>
      </c>
      <c r="Z4029" s="2" t="s">
        <v>36</v>
      </c>
      <c r="AA4029" s="13" t="s">
        <v>10336</v>
      </c>
      <c r="AB4029" s="13" t="s">
        <v>10337</v>
      </c>
    </row>
    <row r="4030" spans="1:28" ht="15" customHeight="1">
      <c r="A4030" s="2" t="s">
        <v>10013</v>
      </c>
      <c r="B4030" s="2" t="s">
        <v>28</v>
      </c>
      <c r="C4030" s="18" t="s">
        <v>5958</v>
      </c>
      <c r="D4030" s="2" t="s">
        <v>30</v>
      </c>
      <c r="E4030" s="2" t="s">
        <v>1404</v>
      </c>
      <c r="F4030" s="11" t="s">
        <v>5396</v>
      </c>
      <c r="G4030" s="11" t="s">
        <v>5397</v>
      </c>
      <c r="H4030" s="2" t="s">
        <v>5398</v>
      </c>
      <c r="I4030" s="12" t="s">
        <v>96</v>
      </c>
      <c r="J4030" s="41">
        <v>45587</v>
      </c>
      <c r="K4030" s="22">
        <v>45821</v>
      </c>
      <c r="L4030" s="42">
        <f>_xlfn.DAYS(Tabla1[[#This Row],[FECHA FIN ]],Tabla1[[#This Row],[FECHA INICIO]])</f>
        <v>234</v>
      </c>
      <c r="M4030" s="12"/>
      <c r="N4030" s="20"/>
      <c r="O4030" s="28">
        <f>(Tabla1[[#This Row],[COSTO FIJO ]]/30)*Tabla1[[#This Row],[TOTAL DIAS PROYECTO]]+(Tabla1[[#This Row],[COSTO TEMPORAL]])</f>
        <v>0</v>
      </c>
      <c r="P4030" s="12">
        <f>+(784.73*50%)/4</f>
        <v>98.091250000000002</v>
      </c>
      <c r="Q4030" s="12">
        <f>+(Tabla1[[#This Row],[COSTO COCHE]]/30)*Tabla1[[#This Row],[TOTAL DIAS PROYECTO]]</f>
        <v>765.11175000000003</v>
      </c>
      <c r="R4030" s="12">
        <f>+Tabla1[[#This Row],[COSTO TOTAL ALOJAMIENTO]]+Tabla1[[#This Row],[COSTO TOTAL COCHE]]</f>
        <v>765.11175000000003</v>
      </c>
      <c r="S4030" s="2"/>
      <c r="T4030" s="2" t="s">
        <v>528</v>
      </c>
      <c r="U4030" s="14">
        <v>45587</v>
      </c>
      <c r="V4030" s="14">
        <v>45625</v>
      </c>
      <c r="W4030" s="26"/>
      <c r="X4030" s="2"/>
      <c r="Y4030" s="11" t="s">
        <v>5399</v>
      </c>
      <c r="Z4030" s="2" t="s">
        <v>36</v>
      </c>
      <c r="AA4030" s="13" t="s">
        <v>10418</v>
      </c>
      <c r="AB4030" s="13" t="s">
        <v>10419</v>
      </c>
    </row>
    <row r="4031" spans="1:28" ht="15" customHeight="1">
      <c r="A4031" s="2" t="s">
        <v>9962</v>
      </c>
      <c r="B4031" s="2" t="s">
        <v>978</v>
      </c>
      <c r="C4031" s="31" t="s">
        <v>5744</v>
      </c>
      <c r="D4031" s="2" t="s">
        <v>30</v>
      </c>
      <c r="E4031" s="2" t="s">
        <v>259</v>
      </c>
      <c r="F4031" s="11"/>
      <c r="G4031" s="46"/>
      <c r="H4031" s="2" t="s">
        <v>5262</v>
      </c>
      <c r="I4031" s="12" t="s">
        <v>5263</v>
      </c>
      <c r="J4031" s="41">
        <f>+Tabla1[[#This Row],[FECHA ENTRADA]]</f>
        <v>45953</v>
      </c>
      <c r="K4031" s="22">
        <v>45968</v>
      </c>
      <c r="L4031" s="42">
        <f>_xlfn.DAYS(Tabla1[[#This Row],[FECHA FIN ]],Tabla1[[#This Row],[FECHA INICIO]])</f>
        <v>15</v>
      </c>
      <c r="M4031" s="12"/>
      <c r="N4031" s="28">
        <v>300</v>
      </c>
      <c r="O4031" s="28">
        <f>(Tabla1[[#This Row],[COSTO FIJO ]]/30)*Tabla1[[#This Row],[TOTAL DIAS PROYECTO]]+(Tabla1[[#This Row],[COSTO TEMPORAL]])</f>
        <v>150</v>
      </c>
      <c r="P4031" s="12"/>
      <c r="Q4031" s="12">
        <f>+(Tabla1[[#This Row],[COSTO COCHE]]/30)*Tabla1[[#This Row],[TOTAL DIAS PROYECTO]]</f>
        <v>0</v>
      </c>
      <c r="R4031" s="12">
        <f>+Tabla1[[#This Row],[COSTO TOTAL ALOJAMIENTO]]+Tabla1[[#This Row],[COSTO TOTAL COCHE]]</f>
        <v>150</v>
      </c>
      <c r="S4031" s="2"/>
      <c r="T4031" s="14" t="s">
        <v>58</v>
      </c>
      <c r="U4031" s="14">
        <v>45953</v>
      </c>
      <c r="V4031" s="43"/>
      <c r="W4031" s="71"/>
      <c r="X4031" s="2"/>
      <c r="Y4031" s="11" t="s">
        <v>5264</v>
      </c>
      <c r="Z4031" s="2" t="s">
        <v>36</v>
      </c>
      <c r="AA4031" s="13">
        <v>-0.87734000000000001</v>
      </c>
      <c r="AB4031" s="13" t="s">
        <v>10359</v>
      </c>
    </row>
    <row r="4032" spans="1:28" ht="15" customHeight="1">
      <c r="A4032" s="2" t="s">
        <v>9427</v>
      </c>
      <c r="B4032" s="2" t="s">
        <v>28</v>
      </c>
      <c r="C4032" s="239" t="s">
        <v>3130</v>
      </c>
      <c r="D4032" s="2" t="s">
        <v>99</v>
      </c>
      <c r="E4032" s="2" t="s">
        <v>31</v>
      </c>
      <c r="F4032" s="11" t="s">
        <v>4399</v>
      </c>
      <c r="G4032" s="128" t="s">
        <v>4400</v>
      </c>
      <c r="H4032" s="2" t="s">
        <v>4616</v>
      </c>
      <c r="I4032" s="12" t="s">
        <v>385</v>
      </c>
      <c r="J4032" s="41">
        <f>+Tabla1[[#This Row],[FECHA ENTRADA]]</f>
        <v>45855</v>
      </c>
      <c r="K4032" s="41">
        <v>45968</v>
      </c>
      <c r="L4032" s="42">
        <f>_xlfn.DAYS(Tabla1[[#This Row],[FECHA FIN ]],Tabla1[[#This Row],[FECHA INICIO]])</f>
        <v>113</v>
      </c>
      <c r="M4032" s="12"/>
      <c r="N4032" s="12">
        <v>415</v>
      </c>
      <c r="O4032" s="28">
        <f>(Tabla1[[#This Row],[COSTO FIJO ]]/30)*Tabla1[[#This Row],[TOTAL DIAS PROYECTO]]+(Tabla1[[#This Row],[COSTO TEMPORAL]])</f>
        <v>1563.1666666666667</v>
      </c>
      <c r="P4032" s="12"/>
      <c r="Q4032" s="12">
        <f>+(Tabla1[[#This Row],[COSTO COCHE]]/30)*Tabla1[[#This Row],[TOTAL DIAS PROYECTO]]</f>
        <v>0</v>
      </c>
      <c r="R4032" s="12">
        <f>+Tabla1[[#This Row],[COSTO TOTAL ALOJAMIENTO]]+Tabla1[[#This Row],[COSTO TOTAL COCHE]]</f>
        <v>1563.1666666666667</v>
      </c>
      <c r="S4032" s="2"/>
      <c r="T4032" s="14" t="s">
        <v>35</v>
      </c>
      <c r="U4032" s="14">
        <v>45855</v>
      </c>
      <c r="V4032" s="43"/>
      <c r="W4032" s="12">
        <v>500</v>
      </c>
      <c r="X4032" s="2">
        <v>1</v>
      </c>
      <c r="Y4032" s="11" t="s">
        <v>5959</v>
      </c>
      <c r="Z4032" s="2" t="s">
        <v>36</v>
      </c>
      <c r="AA4032" s="13" t="s">
        <v>10323</v>
      </c>
      <c r="AB4032" s="13" t="s">
        <v>10324</v>
      </c>
    </row>
    <row r="4033" spans="1:28" ht="15" customHeight="1">
      <c r="A4033" s="117" t="s">
        <v>9205</v>
      </c>
      <c r="B4033" s="117" t="s">
        <v>711</v>
      </c>
      <c r="C4033" s="118" t="s">
        <v>2425</v>
      </c>
      <c r="D4033" s="117" t="s">
        <v>30</v>
      </c>
      <c r="E4033" s="117" t="s">
        <v>5690</v>
      </c>
      <c r="F4033" s="11" t="s">
        <v>5960</v>
      </c>
      <c r="G4033" s="128" t="s">
        <v>5961</v>
      </c>
      <c r="H4033" s="117" t="s">
        <v>5962</v>
      </c>
      <c r="I4033" s="119" t="s">
        <v>5694</v>
      </c>
      <c r="J4033" s="121">
        <f>+Tabla1[[#This Row],[FECHA ENTRADA]]</f>
        <v>45960</v>
      </c>
      <c r="K4033" s="121">
        <v>45968</v>
      </c>
      <c r="L4033" s="129">
        <f>_xlfn.DAYS(Tabla1[[#This Row],[FECHA FIN ]],Tabla1[[#This Row],[FECHA INICIO]])</f>
        <v>8</v>
      </c>
      <c r="M4033" s="119">
        <f>1069.6/4</f>
        <v>267.39999999999998</v>
      </c>
      <c r="N4033" s="130"/>
      <c r="O4033" s="131">
        <f>(Tabla1[[#This Row],[COSTO FIJO ]]/30)*Tabla1[[#This Row],[TOTAL DIAS PROYECTO]]+(Tabla1[[#This Row],[COSTO TEMPORAL]])</f>
        <v>267.39999999999998</v>
      </c>
      <c r="P4033" s="119"/>
      <c r="Q4033" s="119">
        <f>+(Tabla1[[#This Row],[COSTO COCHE]]/30)*Tabla1[[#This Row],[TOTAL DIAS PROYECTO]]</f>
        <v>0</v>
      </c>
      <c r="R4033" s="119">
        <f>+Tabla1[[#This Row],[COSTO TOTAL ALOJAMIENTO]]+Tabla1[[#This Row],[COSTO TOTAL COCHE]]</f>
        <v>267.39999999999998</v>
      </c>
      <c r="S4033" s="117" t="s">
        <v>84</v>
      </c>
      <c r="T4033" s="124" t="s">
        <v>44</v>
      </c>
      <c r="U4033" s="124">
        <v>45960</v>
      </c>
      <c r="V4033" s="132">
        <v>45969</v>
      </c>
      <c r="W4033" s="126"/>
      <c r="X4033" s="117"/>
      <c r="Y4033" s="118" t="s">
        <v>5963</v>
      </c>
      <c r="Z4033" s="117" t="s">
        <v>36</v>
      </c>
      <c r="AA4033" s="127" t="e">
        <v>#N/A</v>
      </c>
      <c r="AB4033" s="127" t="e">
        <v>#N/A</v>
      </c>
    </row>
    <row r="4034" spans="1:28" ht="15" customHeight="1">
      <c r="A4034" s="2" t="s">
        <v>8996</v>
      </c>
      <c r="B4034" s="2" t="s">
        <v>711</v>
      </c>
      <c r="C4034" s="212" t="s">
        <v>1625</v>
      </c>
      <c r="D4034" s="2" t="s">
        <v>30</v>
      </c>
      <c r="E4034" s="2" t="s">
        <v>259</v>
      </c>
      <c r="F4034" s="11" t="s">
        <v>5261</v>
      </c>
      <c r="G4034" s="197" t="s">
        <v>4207</v>
      </c>
      <c r="H4034" s="2" t="s">
        <v>5738</v>
      </c>
      <c r="I4034" s="12" t="s">
        <v>794</v>
      </c>
      <c r="J4034" s="41">
        <f>+Tabla1[[#This Row],[FECHA ENTRADA]]</f>
        <v>45954</v>
      </c>
      <c r="K4034" s="41">
        <v>45975</v>
      </c>
      <c r="L4034" s="42">
        <f>_xlfn.DAYS(Tabla1[[#This Row],[FECHA FIN ]],Tabla1[[#This Row],[FECHA INICIO]])</f>
        <v>21</v>
      </c>
      <c r="M4034" s="12"/>
      <c r="N4034" s="28">
        <v>316.66666666666669</v>
      </c>
      <c r="O4034" s="28">
        <f>(Tabla1[[#This Row],[COSTO FIJO ]]/30)*Tabla1[[#This Row],[TOTAL DIAS PROYECTO]]+(Tabla1[[#This Row],[COSTO TEMPORAL]])</f>
        <v>221.66666666666666</v>
      </c>
      <c r="P4034" s="12"/>
      <c r="Q4034" s="12">
        <f>+(Tabla1[[#This Row],[COSTO COCHE]]/30)*Tabla1[[#This Row],[TOTAL DIAS PROYECTO]]</f>
        <v>0</v>
      </c>
      <c r="R4034" s="12">
        <f>+Tabla1[[#This Row],[COSTO TOTAL ALOJAMIENTO]]+Tabla1[[#This Row],[COSTO TOTAL COCHE]]</f>
        <v>221.66666666666666</v>
      </c>
      <c r="S4034" s="2"/>
      <c r="T4034" s="14" t="s">
        <v>35</v>
      </c>
      <c r="U4034" s="14">
        <v>45954</v>
      </c>
      <c r="V4034" s="43"/>
      <c r="W4034" s="71"/>
      <c r="X4034" s="2">
        <v>1</v>
      </c>
      <c r="Y4034" t="s">
        <v>5964</v>
      </c>
      <c r="Z4034" s="2" t="s">
        <v>36</v>
      </c>
      <c r="AA4034" s="13">
        <v>-0.87734000000000001</v>
      </c>
      <c r="AB4034" s="13" t="s">
        <v>10359</v>
      </c>
    </row>
    <row r="4035" spans="1:28" ht="15" customHeight="1">
      <c r="A4035" s="2" t="s">
        <v>9845</v>
      </c>
      <c r="B4035" s="2" t="s">
        <v>28</v>
      </c>
      <c r="C4035" s="31" t="s">
        <v>5025</v>
      </c>
      <c r="D4035" s="2" t="s">
        <v>30</v>
      </c>
      <c r="E4035" s="2" t="s">
        <v>790</v>
      </c>
      <c r="F4035" s="11" t="s">
        <v>4649</v>
      </c>
      <c r="G4035" t="s">
        <v>4317</v>
      </c>
      <c r="H4035" s="2" t="s">
        <v>5197</v>
      </c>
      <c r="I4035" s="12" t="s">
        <v>794</v>
      </c>
      <c r="J4035" s="22">
        <f>+Tabla1[[#This Row],[FECHA ENTRADA]]</f>
        <v>45908</v>
      </c>
      <c r="K4035" s="22">
        <v>45918</v>
      </c>
      <c r="L4035" s="23">
        <f>_xlfn.DAYS(Tabla1[[#This Row],[FECHA FIN ]],Tabla1[[#This Row],[FECHA INICIO]])</f>
        <v>10</v>
      </c>
      <c r="M4035" s="12"/>
      <c r="N4035" s="20">
        <v>250</v>
      </c>
      <c r="O4035" s="24">
        <f>(Tabla1[[#This Row],[COSTO FIJO ]]/30)*Tabla1[[#This Row],[TOTAL DIAS PROYECTO]]+(Tabla1[[#This Row],[COSTO TEMPORAL]])</f>
        <v>83.333333333333343</v>
      </c>
      <c r="P4035" s="12"/>
      <c r="Q4035" s="12">
        <f>+(Tabla1[[#This Row],[COSTO COCHE]]/30)*Tabla1[[#This Row],[TOTAL DIAS PROYECTO]]</f>
        <v>0</v>
      </c>
      <c r="R4035" s="12">
        <f>+Tabla1[[#This Row],[COSTO TOTAL ALOJAMIENTO]]+Tabla1[[#This Row],[COSTO TOTAL COCHE]]</f>
        <v>83.333333333333343</v>
      </c>
      <c r="S4035" s="2"/>
      <c r="T4035" s="14" t="s">
        <v>35</v>
      </c>
      <c r="U4035" s="14">
        <v>45908</v>
      </c>
      <c r="V4035" s="79"/>
      <c r="W4035" s="71"/>
      <c r="X4035" s="2">
        <v>1</v>
      </c>
      <c r="Y4035" s="11" t="s">
        <v>5965</v>
      </c>
      <c r="Z4035" s="2" t="s">
        <v>36</v>
      </c>
      <c r="AA4035" s="13">
        <v>-574377</v>
      </c>
      <c r="AB4035" s="13">
        <v>4150368</v>
      </c>
    </row>
    <row r="4036" spans="1:28" ht="15" customHeight="1">
      <c r="A4036" s="2" t="s">
        <v>10013</v>
      </c>
      <c r="B4036" s="2" t="s">
        <v>28</v>
      </c>
      <c r="C4036" s="211" t="s">
        <v>5958</v>
      </c>
      <c r="D4036" s="2" t="s">
        <v>30</v>
      </c>
      <c r="E4036" s="2" t="s">
        <v>3684</v>
      </c>
      <c r="F4036" s="11" t="s">
        <v>4013</v>
      </c>
      <c r="G4036" s="46" t="s">
        <v>4014</v>
      </c>
      <c r="H4036" s="2" t="s">
        <v>5458</v>
      </c>
      <c r="I4036" s="12" t="s">
        <v>96</v>
      </c>
      <c r="J4036" s="41">
        <v>45611</v>
      </c>
      <c r="K4036" s="22">
        <v>45821</v>
      </c>
      <c r="L4036" s="42">
        <f>_xlfn.DAYS(Tabla1[[#This Row],[FECHA FIN ]],Tabla1[[#This Row],[FECHA INICIO]])</f>
        <v>210</v>
      </c>
      <c r="M4036" s="12"/>
      <c r="N4036" s="20"/>
      <c r="O4036" s="28">
        <f>(Tabla1[[#This Row],[COSTO FIJO ]]/30)*Tabla1[[#This Row],[TOTAL DIAS PROYECTO]]+(Tabla1[[#This Row],[COSTO TEMPORAL]])</f>
        <v>0</v>
      </c>
      <c r="P4036" s="12">
        <f>1714.47/34</f>
        <v>50.425588235294121</v>
      </c>
      <c r="Q4036" s="12">
        <f>+(Tabla1[[#This Row],[COSTO COCHE]]/30)*Tabla1[[#This Row],[TOTAL DIAS PROYECTO]]</f>
        <v>352.97911764705884</v>
      </c>
      <c r="R4036" s="12">
        <f>+Tabla1[[#This Row],[COSTO TOTAL ALOJAMIENTO]]+Tabla1[[#This Row],[COSTO TOTAL COCHE]]</f>
        <v>352.97911764705884</v>
      </c>
      <c r="S4036" s="2"/>
      <c r="T4036" s="2" t="s">
        <v>44</v>
      </c>
      <c r="U4036" s="14">
        <v>45604</v>
      </c>
      <c r="V4036" s="43">
        <v>45696</v>
      </c>
      <c r="W4036" s="26"/>
      <c r="X4036" s="2"/>
      <c r="Y4036" s="11" t="s">
        <v>1361</v>
      </c>
      <c r="Z4036" s="2" t="s">
        <v>36</v>
      </c>
      <c r="AA4036" s="13" t="s">
        <v>10442</v>
      </c>
      <c r="AB4036" s="13">
        <v>3588919</v>
      </c>
    </row>
    <row r="4037" spans="1:28" ht="15" customHeight="1">
      <c r="A4037" s="2" t="s">
        <v>9895</v>
      </c>
      <c r="B4037" s="2" t="s">
        <v>978</v>
      </c>
      <c r="C4037" s="31" t="s">
        <v>5242</v>
      </c>
      <c r="D4037" s="2" t="s">
        <v>30</v>
      </c>
      <c r="E4037" s="2" t="s">
        <v>259</v>
      </c>
      <c r="F4037" s="11" t="s">
        <v>5657</v>
      </c>
      <c r="G4037" s="197" t="s">
        <v>4207</v>
      </c>
      <c r="H4037" s="2" t="s">
        <v>5103</v>
      </c>
      <c r="I4037" s="12" t="s">
        <v>4255</v>
      </c>
      <c r="J4037" s="22">
        <f>+Tabla1[[#This Row],[FECHA ENTRADA]]</f>
        <v>45918</v>
      </c>
      <c r="K4037" s="22">
        <v>45968</v>
      </c>
      <c r="L4037" s="23">
        <f>_xlfn.DAYS(Tabla1[[#This Row],[FECHA FIN ]],Tabla1[[#This Row],[FECHA INICIO]])</f>
        <v>50</v>
      </c>
      <c r="M4037" s="12"/>
      <c r="N4037" s="12">
        <v>466.66666666666669</v>
      </c>
      <c r="O4037" s="24">
        <f>(Tabla1[[#This Row],[COSTO FIJO ]]/30)*Tabla1[[#This Row],[TOTAL DIAS PROYECTO]]+(Tabla1[[#This Row],[COSTO TEMPORAL]])</f>
        <v>777.77777777777771</v>
      </c>
      <c r="P4037" s="12"/>
      <c r="Q4037" s="12">
        <f>+(Tabla1[[#This Row],[COSTO COCHE]]/30)*Tabla1[[#This Row],[TOTAL DIAS PROYECTO]]</f>
        <v>0</v>
      </c>
      <c r="R4037" s="12">
        <f>+Tabla1[[#This Row],[COSTO TOTAL ALOJAMIENTO]]+Tabla1[[#This Row],[COSTO TOTAL COCHE]]</f>
        <v>777.77777777777771</v>
      </c>
      <c r="S4037" s="2"/>
      <c r="T4037" s="14" t="s">
        <v>35</v>
      </c>
      <c r="U4037" s="14">
        <v>45918</v>
      </c>
      <c r="V4037" s="79"/>
      <c r="W4037" s="71"/>
      <c r="X4037" s="2">
        <v>1</v>
      </c>
      <c r="Y4037" s="11" t="s">
        <v>5966</v>
      </c>
      <c r="Z4037" s="2" t="s">
        <v>36</v>
      </c>
      <c r="AA4037" s="13">
        <v>-0.87734000000000001</v>
      </c>
      <c r="AB4037" s="13" t="s">
        <v>10359</v>
      </c>
    </row>
    <row r="4038" spans="1:28" ht="15" customHeight="1">
      <c r="A4038" s="117" t="s">
        <v>10014</v>
      </c>
      <c r="B4038" s="117" t="s">
        <v>711</v>
      </c>
      <c r="C4038" s="118" t="s">
        <v>5967</v>
      </c>
      <c r="D4038" s="117" t="s">
        <v>30</v>
      </c>
      <c r="E4038" s="117" t="s">
        <v>5690</v>
      </c>
      <c r="F4038" s="11" t="s">
        <v>5960</v>
      </c>
      <c r="G4038" s="128" t="s">
        <v>5961</v>
      </c>
      <c r="H4038" s="117" t="s">
        <v>5962</v>
      </c>
      <c r="I4038" s="119" t="s">
        <v>5694</v>
      </c>
      <c r="J4038" s="121">
        <f>+Tabla1[[#This Row],[FECHA ENTRADA]]</f>
        <v>45960</v>
      </c>
      <c r="K4038" s="121">
        <v>45968</v>
      </c>
      <c r="L4038" s="129">
        <f>_xlfn.DAYS(Tabla1[[#This Row],[FECHA FIN ]],Tabla1[[#This Row],[FECHA INICIO]])</f>
        <v>8</v>
      </c>
      <c r="M4038" s="119">
        <f>1069.6/4</f>
        <v>267.39999999999998</v>
      </c>
      <c r="N4038" s="130"/>
      <c r="O4038" s="131">
        <f>(Tabla1[[#This Row],[COSTO FIJO ]]/30)*Tabla1[[#This Row],[TOTAL DIAS PROYECTO]]+(Tabla1[[#This Row],[COSTO TEMPORAL]])</f>
        <v>267.39999999999998</v>
      </c>
      <c r="P4038" s="119"/>
      <c r="Q4038" s="119">
        <f>+(Tabla1[[#This Row],[COSTO COCHE]]/30)*Tabla1[[#This Row],[TOTAL DIAS PROYECTO]]</f>
        <v>0</v>
      </c>
      <c r="R4038" s="119">
        <f>+Tabla1[[#This Row],[COSTO TOTAL ALOJAMIENTO]]+Tabla1[[#This Row],[COSTO TOTAL COCHE]]</f>
        <v>267.39999999999998</v>
      </c>
      <c r="S4038" s="117" t="s">
        <v>84</v>
      </c>
      <c r="T4038" s="124" t="s">
        <v>44</v>
      </c>
      <c r="U4038" s="124">
        <v>45960</v>
      </c>
      <c r="V4038" s="132">
        <v>45969</v>
      </c>
      <c r="W4038" s="126"/>
      <c r="X4038" s="117"/>
      <c r="Y4038" s="118" t="s">
        <v>5963</v>
      </c>
      <c r="Z4038" s="117" t="s">
        <v>36</v>
      </c>
      <c r="AA4038" s="127" t="e">
        <v>#N/A</v>
      </c>
      <c r="AB4038" s="127" t="e">
        <v>#N/A</v>
      </c>
    </row>
    <row r="4039" spans="1:28" ht="15" customHeight="1">
      <c r="A4039" s="117" t="s">
        <v>9916</v>
      </c>
      <c r="B4039" s="117" t="s">
        <v>711</v>
      </c>
      <c r="C4039" s="284" t="s">
        <v>5400</v>
      </c>
      <c r="D4039" s="117" t="s">
        <v>30</v>
      </c>
      <c r="E4039" s="117" t="s">
        <v>5690</v>
      </c>
      <c r="F4039" s="11" t="s">
        <v>5960</v>
      </c>
      <c r="G4039" s="128" t="s">
        <v>5961</v>
      </c>
      <c r="H4039" s="117" t="s">
        <v>5962</v>
      </c>
      <c r="I4039" s="119" t="s">
        <v>5694</v>
      </c>
      <c r="J4039" s="121">
        <f>+Tabla1[[#This Row],[FECHA ENTRADA]]</f>
        <v>45960</v>
      </c>
      <c r="K4039" s="121">
        <v>45968</v>
      </c>
      <c r="L4039" s="129">
        <f>_xlfn.DAYS(Tabla1[[#This Row],[FECHA FIN ]],Tabla1[[#This Row],[FECHA INICIO]])</f>
        <v>8</v>
      </c>
      <c r="M4039" s="119">
        <f>1069.6/4</f>
        <v>267.39999999999998</v>
      </c>
      <c r="N4039" s="130"/>
      <c r="O4039" s="131">
        <f>(Tabla1[[#This Row],[COSTO FIJO ]]/30)*Tabla1[[#This Row],[TOTAL DIAS PROYECTO]]+(Tabla1[[#This Row],[COSTO TEMPORAL]])</f>
        <v>267.39999999999998</v>
      </c>
      <c r="P4039" s="119"/>
      <c r="Q4039" s="119">
        <f>+(Tabla1[[#This Row],[COSTO COCHE]]/30)*Tabla1[[#This Row],[TOTAL DIAS PROYECTO]]</f>
        <v>0</v>
      </c>
      <c r="R4039" s="119">
        <f>+Tabla1[[#This Row],[COSTO TOTAL ALOJAMIENTO]]+Tabla1[[#This Row],[COSTO TOTAL COCHE]]</f>
        <v>267.39999999999998</v>
      </c>
      <c r="S4039" s="117" t="s">
        <v>84</v>
      </c>
      <c r="T4039" s="124" t="s">
        <v>44</v>
      </c>
      <c r="U4039" s="124">
        <v>45960</v>
      </c>
      <c r="V4039" s="132">
        <v>45969</v>
      </c>
      <c r="W4039" s="126"/>
      <c r="X4039" s="117"/>
      <c r="Y4039" s="118" t="s">
        <v>5963</v>
      </c>
      <c r="Z4039" s="117" t="s">
        <v>36</v>
      </c>
      <c r="AA4039" s="127" t="e">
        <v>#N/A</v>
      </c>
      <c r="AB4039" s="127" t="e">
        <v>#N/A</v>
      </c>
    </row>
    <row r="4040" spans="1:28" ht="15" customHeight="1">
      <c r="A4040" s="2" t="s">
        <v>10015</v>
      </c>
      <c r="B4040" s="2" t="s">
        <v>978</v>
      </c>
      <c r="C4040" s="31" t="s">
        <v>5968</v>
      </c>
      <c r="D4040" s="2" t="s">
        <v>30</v>
      </c>
      <c r="E4040" s="2" t="s">
        <v>734</v>
      </c>
      <c r="F4040" s="11" t="s">
        <v>735</v>
      </c>
      <c r="G4040" s="70" t="s">
        <v>736</v>
      </c>
      <c r="H4040" s="2" t="s">
        <v>5969</v>
      </c>
      <c r="I4040" s="12" t="s">
        <v>5263</v>
      </c>
      <c r="J4040" s="41">
        <f>+Tabla1[[#This Row],[FECHA ENTRADA]]</f>
        <v>45942</v>
      </c>
      <c r="K4040" s="41">
        <v>45968</v>
      </c>
      <c r="L4040" s="42">
        <f>_xlfn.DAYS(Tabla1[[#This Row],[FECHA FIN ]],Tabla1[[#This Row],[FECHA INICIO]])</f>
        <v>26</v>
      </c>
      <c r="M4040" s="12"/>
      <c r="N4040" s="12">
        <v>257.14285714285717</v>
      </c>
      <c r="O4040" s="28">
        <f>(Tabla1[[#This Row],[COSTO FIJO ]]/30)*Tabla1[[#This Row],[TOTAL DIAS PROYECTO]]+(Tabla1[[#This Row],[COSTO TEMPORAL]])</f>
        <v>222.85714285714289</v>
      </c>
      <c r="P4040" s="12"/>
      <c r="Q4040" s="12">
        <f>+(Tabla1[[#This Row],[COSTO COCHE]]/30)*Tabla1[[#This Row],[TOTAL DIAS PROYECTO]]</f>
        <v>0</v>
      </c>
      <c r="R4040" s="12">
        <f>+Tabla1[[#This Row],[COSTO TOTAL ALOJAMIENTO]]+Tabla1[[#This Row],[COSTO TOTAL COCHE]]</f>
        <v>222.85714285714289</v>
      </c>
      <c r="S4040" s="2"/>
      <c r="T4040" s="14" t="s">
        <v>35</v>
      </c>
      <c r="U4040" s="14">
        <v>45942</v>
      </c>
      <c r="V4040" s="43"/>
      <c r="W4040" s="71"/>
      <c r="X4040" s="2">
        <v>5</v>
      </c>
      <c r="Y4040" s="11" t="s">
        <v>5264</v>
      </c>
      <c r="Z4040" s="2" t="s">
        <v>36</v>
      </c>
      <c r="AA4040" s="13" t="s">
        <v>10396</v>
      </c>
      <c r="AB4040" s="13" t="s">
        <v>10397</v>
      </c>
    </row>
    <row r="4041" spans="1:28" ht="15" customHeight="1">
      <c r="A4041" s="2" t="s">
        <v>10016</v>
      </c>
      <c r="B4041" s="2" t="s">
        <v>978</v>
      </c>
      <c r="C4041" s="31" t="s">
        <v>5970</v>
      </c>
      <c r="D4041" s="2" t="s">
        <v>30</v>
      </c>
      <c r="E4041" s="2" t="s">
        <v>734</v>
      </c>
      <c r="F4041" s="11" t="s">
        <v>735</v>
      </c>
      <c r="G4041" s="70" t="s">
        <v>736</v>
      </c>
      <c r="H4041" s="2" t="s">
        <v>5971</v>
      </c>
      <c r="I4041" s="12" t="s">
        <v>5263</v>
      </c>
      <c r="J4041" s="22">
        <f>+Tabla1[[#This Row],[FECHA ENTRADA]]</f>
        <v>45946</v>
      </c>
      <c r="K4041" s="41">
        <v>45968</v>
      </c>
      <c r="L4041" s="23">
        <f>_xlfn.DAYS(Tabla1[[#This Row],[FECHA FIN ]],Tabla1[[#This Row],[FECHA INICIO]])</f>
        <v>22</v>
      </c>
      <c r="M4041" s="12"/>
      <c r="N4041" s="12">
        <v>257.14285714285717</v>
      </c>
      <c r="O4041" s="24">
        <f>(Tabla1[[#This Row],[COSTO FIJO ]]/30)*Tabla1[[#This Row],[TOTAL DIAS PROYECTO]]+(Tabla1[[#This Row],[COSTO TEMPORAL]])</f>
        <v>188.57142857142861</v>
      </c>
      <c r="P4041" s="12"/>
      <c r="Q4041" s="12">
        <f>+(Tabla1[[#This Row],[COSTO COCHE]]/30)*Tabla1[[#This Row],[TOTAL DIAS PROYECTO]]</f>
        <v>0</v>
      </c>
      <c r="R4041" s="12">
        <f>+Tabla1[[#This Row],[COSTO TOTAL ALOJAMIENTO]]+Tabla1[[#This Row],[COSTO TOTAL COCHE]]</f>
        <v>188.57142857142861</v>
      </c>
      <c r="S4041" s="2"/>
      <c r="T4041" s="14" t="s">
        <v>35</v>
      </c>
      <c r="U4041" s="14">
        <v>45946</v>
      </c>
      <c r="V4041" s="79"/>
      <c r="W4041" s="71"/>
      <c r="X4041" s="2">
        <v>5</v>
      </c>
      <c r="Y4041" s="11" t="s">
        <v>5264</v>
      </c>
      <c r="Z4041" s="2" t="s">
        <v>36</v>
      </c>
      <c r="AA4041" s="13" t="s">
        <v>10396</v>
      </c>
      <c r="AB4041" s="13" t="s">
        <v>10397</v>
      </c>
    </row>
    <row r="4042" spans="1:28" ht="15" customHeight="1">
      <c r="A4042" s="2" t="s">
        <v>9533</v>
      </c>
      <c r="B4042" s="10" t="s">
        <v>978</v>
      </c>
      <c r="C4042" s="31" t="s">
        <v>3563</v>
      </c>
      <c r="D4042" s="2" t="s">
        <v>99</v>
      </c>
      <c r="E4042" s="2" t="s">
        <v>259</v>
      </c>
      <c r="F4042" s="11" t="s">
        <v>4206</v>
      </c>
      <c r="G4042" s="197" t="s">
        <v>4207</v>
      </c>
      <c r="H4042" s="2" t="s">
        <v>5972</v>
      </c>
      <c r="I4042" s="12" t="s">
        <v>4718</v>
      </c>
      <c r="J4042" s="41">
        <f>+Tabla1[[#This Row],[FECHA ENTRADA]]</f>
        <v>45873</v>
      </c>
      <c r="K4042" s="8">
        <v>45940</v>
      </c>
      <c r="L4042" s="42">
        <f>_xlfn.DAYS(Tabla1[[#This Row],[FECHA FIN ]],Tabla1[[#This Row],[FECHA INICIO]])</f>
        <v>67</v>
      </c>
      <c r="M4042" s="12"/>
      <c r="N4042" s="28">
        <v>283.33333333333331</v>
      </c>
      <c r="O4042" s="28">
        <f>(Tabla1[[#This Row],[COSTO FIJO ]]/30)*Tabla1[[#This Row],[TOTAL DIAS PROYECTO]]+(Tabla1[[#This Row],[COSTO TEMPORAL]])</f>
        <v>632.77777777777783</v>
      </c>
      <c r="P4042" s="12"/>
      <c r="Q4042" s="12">
        <f>+(Tabla1[[#This Row],[COSTO COCHE]]/30)*Tabla1[[#This Row],[TOTAL DIAS PROYECTO]]</f>
        <v>0</v>
      </c>
      <c r="R4042" s="12">
        <f>+Tabla1[[#This Row],[COSTO TOTAL ALOJAMIENTO]]+Tabla1[[#This Row],[COSTO TOTAL COCHE]]</f>
        <v>632.77777777777783</v>
      </c>
      <c r="S4042" s="2"/>
      <c r="T4042" s="14" t="s">
        <v>35</v>
      </c>
      <c r="U4042" s="14">
        <v>45873</v>
      </c>
      <c r="V4042" s="43"/>
      <c r="W4042" s="12"/>
      <c r="X4042" s="2">
        <v>5</v>
      </c>
      <c r="Y4042" s="11" t="s">
        <v>5973</v>
      </c>
      <c r="Z4042" s="2" t="s">
        <v>36</v>
      </c>
      <c r="AA4042" s="13">
        <v>-0.87734000000000001</v>
      </c>
      <c r="AB4042" s="13" t="s">
        <v>10359</v>
      </c>
    </row>
    <row r="4043" spans="1:28" ht="15" customHeight="1">
      <c r="A4043" s="2" t="s">
        <v>10017</v>
      </c>
      <c r="B4043" s="2" t="s">
        <v>711</v>
      </c>
      <c r="C4043" s="31" t="s">
        <v>5974</v>
      </c>
      <c r="D4043" s="2" t="s">
        <v>30</v>
      </c>
      <c r="E4043" s="2" t="s">
        <v>259</v>
      </c>
      <c r="F4043" s="11" t="s">
        <v>4206</v>
      </c>
      <c r="G4043" s="49" t="s">
        <v>4207</v>
      </c>
      <c r="H4043" s="2" t="s">
        <v>5975</v>
      </c>
      <c r="I4043" s="12" t="s">
        <v>292</v>
      </c>
      <c r="J4043" s="22">
        <f>+Tabla1[[#This Row],[FECHA ENTRADA]]</f>
        <v>45967</v>
      </c>
      <c r="K4043" s="22">
        <v>45968</v>
      </c>
      <c r="L4043" s="23">
        <f>_xlfn.DAYS(Tabla1[[#This Row],[FECHA FIN ]],Tabla1[[#This Row],[FECHA INICIO]])</f>
        <v>1</v>
      </c>
      <c r="M4043" s="12"/>
      <c r="N4043" s="24">
        <v>283.33333333333331</v>
      </c>
      <c r="O4043" s="24">
        <f>(Tabla1[[#This Row],[COSTO FIJO ]]/30)*Tabla1[[#This Row],[TOTAL DIAS PROYECTO]]+(Tabla1[[#This Row],[COSTO TEMPORAL]])</f>
        <v>9.4444444444444446</v>
      </c>
      <c r="P4043" s="12"/>
      <c r="Q4043" s="12">
        <f>+(Tabla1[[#This Row],[COSTO COCHE]]/30)*Tabla1[[#This Row],[TOTAL DIAS PROYECTO]]</f>
        <v>0</v>
      </c>
      <c r="R4043" s="12">
        <f>+Tabla1[[#This Row],[COSTO TOTAL ALOJAMIENTO]]+Tabla1[[#This Row],[COSTO TOTAL COCHE]]</f>
        <v>9.4444444444444446</v>
      </c>
      <c r="S4043" s="2"/>
      <c r="T4043" s="14" t="s">
        <v>35</v>
      </c>
      <c r="U4043" s="14">
        <v>45967</v>
      </c>
      <c r="V4043" s="25"/>
      <c r="W4043" s="12">
        <v>850</v>
      </c>
      <c r="X4043" s="2">
        <v>5</v>
      </c>
      <c r="Y4043" s="11" t="s">
        <v>5976</v>
      </c>
      <c r="Z4043" s="2" t="s">
        <v>36</v>
      </c>
      <c r="AA4043" s="13">
        <v>-0.87734000000000001</v>
      </c>
      <c r="AB4043" s="13" t="s">
        <v>10359</v>
      </c>
    </row>
    <row r="4044" spans="1:28" ht="15" customHeight="1">
      <c r="A4044" s="2" t="s">
        <v>9738</v>
      </c>
      <c r="B4044" s="2" t="s">
        <v>978</v>
      </c>
      <c r="C4044" s="31" t="s">
        <v>4506</v>
      </c>
      <c r="D4044" s="2" t="s">
        <v>30</v>
      </c>
      <c r="E4044" s="2" t="s">
        <v>259</v>
      </c>
      <c r="F4044" s="11" t="s">
        <v>4894</v>
      </c>
      <c r="G4044" s="197" t="s">
        <v>4207</v>
      </c>
      <c r="H4044" s="2" t="s">
        <v>5103</v>
      </c>
      <c r="I4044" s="158" t="s">
        <v>4255</v>
      </c>
      <c r="J4044" s="22">
        <f>+Tabla1[[#This Row],[FECHA ENTRADA]]</f>
        <v>45918</v>
      </c>
      <c r="K4044" s="22">
        <v>45968</v>
      </c>
      <c r="L4044" s="23">
        <f>_xlfn.DAYS(Tabla1[[#This Row],[FECHA FIN ]],Tabla1[[#This Row],[FECHA INICIO]])</f>
        <v>50</v>
      </c>
      <c r="M4044" s="12"/>
      <c r="N4044" s="24">
        <v>325</v>
      </c>
      <c r="O4044" s="24">
        <f>(Tabla1[[#This Row],[COSTO FIJO ]]/30)*Tabla1[[#This Row],[TOTAL DIAS PROYECTO]]+(Tabla1[[#This Row],[COSTO TEMPORAL]])</f>
        <v>541.66666666666674</v>
      </c>
      <c r="P4044" s="12"/>
      <c r="Q4044" s="12">
        <f>+(Tabla1[[#This Row],[COSTO COCHE]]/30)*Tabla1[[#This Row],[TOTAL DIAS PROYECTO]]</f>
        <v>0</v>
      </c>
      <c r="R4044" s="12">
        <f>+Tabla1[[#This Row],[COSTO TOTAL ALOJAMIENTO]]+Tabla1[[#This Row],[COSTO TOTAL COCHE]]</f>
        <v>541.66666666666674</v>
      </c>
      <c r="S4044" s="2"/>
      <c r="T4044" s="14" t="s">
        <v>35</v>
      </c>
      <c r="U4044" s="14">
        <v>45918</v>
      </c>
      <c r="V4044" s="79"/>
      <c r="W4044" s="71"/>
      <c r="X4044" s="2">
        <v>5</v>
      </c>
      <c r="Y4044" s="11" t="s">
        <v>5966</v>
      </c>
      <c r="Z4044" s="2" t="s">
        <v>36</v>
      </c>
      <c r="AA4044" s="13">
        <v>-0.87734000000000001</v>
      </c>
      <c r="AB4044" s="13" t="s">
        <v>10359</v>
      </c>
    </row>
    <row r="4045" spans="1:28" ht="15" customHeight="1">
      <c r="A4045" s="117" t="s">
        <v>9799</v>
      </c>
      <c r="B4045" s="117" t="s">
        <v>711</v>
      </c>
      <c r="C4045" s="118" t="s">
        <v>4801</v>
      </c>
      <c r="D4045" s="117" t="s">
        <v>30</v>
      </c>
      <c r="E4045" s="117" t="s">
        <v>5690</v>
      </c>
      <c r="F4045" s="11" t="s">
        <v>5960</v>
      </c>
      <c r="G4045" s="128" t="s">
        <v>5961</v>
      </c>
      <c r="H4045" s="117" t="s">
        <v>5962</v>
      </c>
      <c r="I4045" s="199" t="s">
        <v>5694</v>
      </c>
      <c r="J4045" s="121">
        <f>+Tabla1[[#This Row],[FECHA ENTRADA]]</f>
        <v>45960</v>
      </c>
      <c r="K4045" s="121">
        <v>45968</v>
      </c>
      <c r="L4045" s="129">
        <f>_xlfn.DAYS(Tabla1[[#This Row],[FECHA FIN ]],Tabla1[[#This Row],[FECHA INICIO]])</f>
        <v>8</v>
      </c>
      <c r="M4045" s="119">
        <f>1069.6/4</f>
        <v>267.39999999999998</v>
      </c>
      <c r="N4045" s="130"/>
      <c r="O4045" s="131">
        <f>(Tabla1[[#This Row],[COSTO FIJO ]]/30)*Tabla1[[#This Row],[TOTAL DIAS PROYECTO]]+(Tabla1[[#This Row],[COSTO TEMPORAL]])</f>
        <v>267.39999999999998</v>
      </c>
      <c r="P4045" s="119"/>
      <c r="Q4045" s="119">
        <f>+(Tabla1[[#This Row],[COSTO COCHE]]/30)*Tabla1[[#This Row],[TOTAL DIAS PROYECTO]]</f>
        <v>0</v>
      </c>
      <c r="R4045" s="119">
        <f>+Tabla1[[#This Row],[COSTO TOTAL ALOJAMIENTO]]+Tabla1[[#This Row],[COSTO TOTAL COCHE]]</f>
        <v>267.39999999999998</v>
      </c>
      <c r="S4045" s="117" t="s">
        <v>84</v>
      </c>
      <c r="T4045" s="124" t="s">
        <v>44</v>
      </c>
      <c r="U4045" s="124">
        <v>45960</v>
      </c>
      <c r="V4045" s="132">
        <v>45969</v>
      </c>
      <c r="W4045" s="126"/>
      <c r="X4045" s="117"/>
      <c r="Y4045" s="118" t="s">
        <v>5963</v>
      </c>
      <c r="Z4045" s="117" t="s">
        <v>36</v>
      </c>
      <c r="AA4045" s="127" t="e">
        <v>#N/A</v>
      </c>
      <c r="AB4045" s="127" t="e">
        <v>#N/A</v>
      </c>
    </row>
    <row r="4046" spans="1:28" ht="15" customHeight="1">
      <c r="A4046" s="2" t="s">
        <v>10018</v>
      </c>
      <c r="B4046" s="2" t="s">
        <v>978</v>
      </c>
      <c r="C4046" s="31" t="s">
        <v>5977</v>
      </c>
      <c r="D4046" s="241" t="s">
        <v>99</v>
      </c>
      <c r="E4046" s="2" t="s">
        <v>985</v>
      </c>
      <c r="F4046" s="11" t="s">
        <v>5615</v>
      </c>
      <c r="G4046" s="49" t="s">
        <v>5616</v>
      </c>
      <c r="H4046" s="2" t="s">
        <v>5617</v>
      </c>
      <c r="I4046" s="158" t="s">
        <v>5618</v>
      </c>
      <c r="J4046" s="22">
        <f>+Tabla1[[#This Row],[FECHA ENTRADA]]</f>
        <v>45945</v>
      </c>
      <c r="K4046" s="22">
        <v>45968</v>
      </c>
      <c r="L4046" s="23">
        <f>_xlfn.DAYS(Tabla1[[#This Row],[FECHA FIN ]],Tabla1[[#This Row],[FECHA INICIO]])</f>
        <v>23</v>
      </c>
      <c r="M4046" s="12">
        <f>1659.2/5</f>
        <v>331.84000000000003</v>
      </c>
      <c r="N4046" s="20"/>
      <c r="O4046" s="24">
        <f>(Tabla1[[#This Row],[COSTO FIJO ]]/30)*Tabla1[[#This Row],[TOTAL DIAS PROYECTO]]+(Tabla1[[#This Row],[COSTO TEMPORAL]])</f>
        <v>331.84000000000003</v>
      </c>
      <c r="P4046" s="12"/>
      <c r="Q4046" s="12">
        <f>+(Tabla1[[#This Row],[COSTO COCHE]]/30)*Tabla1[[#This Row],[TOTAL DIAS PROYECTO]]</f>
        <v>0</v>
      </c>
      <c r="R4046" s="12">
        <f>+Tabla1[[#This Row],[COSTO TOTAL ALOJAMIENTO]]+Tabla1[[#This Row],[COSTO TOTAL COCHE]]</f>
        <v>331.84000000000003</v>
      </c>
      <c r="S4046" s="2" t="s">
        <v>84</v>
      </c>
      <c r="T4046" s="14" t="s">
        <v>44</v>
      </c>
      <c r="U4046" s="14">
        <v>45945</v>
      </c>
      <c r="V4046" s="43">
        <v>45972</v>
      </c>
      <c r="W4046" s="71"/>
      <c r="X4046" s="2"/>
      <c r="Y4046" s="202" t="s">
        <v>5978</v>
      </c>
      <c r="Z4046" s="2" t="s">
        <v>36</v>
      </c>
      <c r="AA4046" s="13" t="s">
        <v>10407</v>
      </c>
      <c r="AB4046" s="13" t="s">
        <v>10408</v>
      </c>
    </row>
    <row r="4047" spans="1:28" ht="15" customHeight="1">
      <c r="A4047" s="2" t="s">
        <v>9996</v>
      </c>
      <c r="B4047" s="2" t="s">
        <v>978</v>
      </c>
      <c r="C4047" s="101" t="s">
        <v>5861</v>
      </c>
      <c r="D4047" s="2" t="s">
        <v>99</v>
      </c>
      <c r="E4047" s="2" t="s">
        <v>985</v>
      </c>
      <c r="F4047" s="11" t="s">
        <v>5615</v>
      </c>
      <c r="G4047" s="49" t="s">
        <v>5616</v>
      </c>
      <c r="H4047" s="2" t="s">
        <v>5784</v>
      </c>
      <c r="I4047" s="158" t="s">
        <v>5618</v>
      </c>
      <c r="J4047" s="22">
        <f>+Tabla1[[#This Row],[FECHA ENTRADA]]</f>
        <v>45959</v>
      </c>
      <c r="K4047" s="22">
        <v>45968</v>
      </c>
      <c r="L4047" s="23">
        <f>_xlfn.DAYS(Tabla1[[#This Row],[FECHA FIN ]],Tabla1[[#This Row],[FECHA INICIO]])</f>
        <v>9</v>
      </c>
      <c r="M4047" s="12">
        <f>1659.2/5</f>
        <v>331.84000000000003</v>
      </c>
      <c r="N4047" s="20"/>
      <c r="O4047" s="24">
        <f>(Tabla1[[#This Row],[COSTO FIJO ]]/30)*Tabla1[[#This Row],[TOTAL DIAS PROYECTO]]+(Tabla1[[#This Row],[COSTO TEMPORAL]])</f>
        <v>331.84000000000003</v>
      </c>
      <c r="P4047" s="12"/>
      <c r="Q4047" s="12">
        <f>+(Tabla1[[#This Row],[COSTO COCHE]]/30)*Tabla1[[#This Row],[TOTAL DIAS PROYECTO]]</f>
        <v>0</v>
      </c>
      <c r="R4047" s="12">
        <f>+Tabla1[[#This Row],[COSTO TOTAL ALOJAMIENTO]]+Tabla1[[#This Row],[COSTO TOTAL COCHE]]</f>
        <v>331.84000000000003</v>
      </c>
      <c r="S4047" s="2" t="s">
        <v>84</v>
      </c>
      <c r="T4047" s="14" t="s">
        <v>44</v>
      </c>
      <c r="U4047" s="14">
        <v>45959</v>
      </c>
      <c r="V4047" s="25">
        <v>45972</v>
      </c>
      <c r="W4047" s="71"/>
      <c r="X4047" s="2"/>
      <c r="Y4047" s="202" t="s">
        <v>5978</v>
      </c>
      <c r="Z4047" s="2" t="s">
        <v>36</v>
      </c>
      <c r="AA4047" s="13" t="s">
        <v>10407</v>
      </c>
      <c r="AB4047" s="13" t="s">
        <v>10408</v>
      </c>
    </row>
    <row r="4048" spans="1:28" ht="15" customHeight="1">
      <c r="A4048" s="2" t="s">
        <v>10019</v>
      </c>
      <c r="B4048" s="2" t="s">
        <v>978</v>
      </c>
      <c r="C4048" s="31" t="s">
        <v>5979</v>
      </c>
      <c r="D4048" s="2" t="s">
        <v>30</v>
      </c>
      <c r="E4048" s="2" t="s">
        <v>985</v>
      </c>
      <c r="F4048" s="11" t="s">
        <v>5615</v>
      </c>
      <c r="G4048" s="46" t="s">
        <v>5616</v>
      </c>
      <c r="H4048" s="2" t="s">
        <v>5718</v>
      </c>
      <c r="I4048" s="12" t="s">
        <v>5618</v>
      </c>
      <c r="J4048" s="41">
        <f>+Tabla1[[#This Row],[FECHA ENTRADA]]</f>
        <v>45943</v>
      </c>
      <c r="K4048" s="22">
        <v>45968</v>
      </c>
      <c r="L4048" s="42">
        <f>_xlfn.DAYS(Tabla1[[#This Row],[FECHA FIN ]],Tabla1[[#This Row],[FECHA INICIO]])</f>
        <v>25</v>
      </c>
      <c r="M4048" s="12">
        <f>1659.2/5</f>
        <v>331.84000000000003</v>
      </c>
      <c r="N4048" s="28"/>
      <c r="O4048" s="28">
        <f>(Tabla1[[#This Row],[COSTO FIJO ]]/30)*Tabla1[[#This Row],[TOTAL DIAS PROYECTO]]+(Tabla1[[#This Row],[COSTO TEMPORAL]])</f>
        <v>331.84000000000003</v>
      </c>
      <c r="P4048" s="12"/>
      <c r="Q4048" s="12">
        <f>+(Tabla1[[#This Row],[COSTO COCHE]]/30)*Tabla1[[#This Row],[TOTAL DIAS PROYECTO]]</f>
        <v>0</v>
      </c>
      <c r="R4048" s="12">
        <f>+Tabla1[[#This Row],[COSTO TOTAL ALOJAMIENTO]]+Tabla1[[#This Row],[COSTO TOTAL COCHE]]</f>
        <v>331.84000000000003</v>
      </c>
      <c r="S4048" s="2" t="s">
        <v>84</v>
      </c>
      <c r="T4048" s="14" t="s">
        <v>44</v>
      </c>
      <c r="U4048" s="14">
        <v>45943</v>
      </c>
      <c r="V4048" s="43">
        <v>45972</v>
      </c>
      <c r="W4048" s="71"/>
      <c r="X4048" s="2"/>
      <c r="Y4048" s="202" t="s">
        <v>5978</v>
      </c>
      <c r="Z4048" s="2" t="s">
        <v>36</v>
      </c>
      <c r="AA4048" s="13" t="s">
        <v>10407</v>
      </c>
      <c r="AB4048" s="13" t="s">
        <v>10408</v>
      </c>
    </row>
    <row r="4049" spans="1:28" ht="15" customHeight="1">
      <c r="A4049" s="2" t="s">
        <v>10020</v>
      </c>
      <c r="B4049" s="2" t="s">
        <v>978</v>
      </c>
      <c r="C4049" s="97" t="s">
        <v>5980</v>
      </c>
      <c r="D4049" s="2" t="s">
        <v>99</v>
      </c>
      <c r="E4049" s="2" t="s">
        <v>985</v>
      </c>
      <c r="F4049" s="11" t="s">
        <v>5981</v>
      </c>
      <c r="G4049" s="21" t="s">
        <v>5781</v>
      </c>
      <c r="H4049" s="2" t="s">
        <v>5784</v>
      </c>
      <c r="I4049" s="12" t="s">
        <v>5618</v>
      </c>
      <c r="J4049" s="22">
        <f>+Tabla1[[#This Row],[FECHA ENTRADA]]</f>
        <v>45956</v>
      </c>
      <c r="K4049" s="22">
        <v>45968</v>
      </c>
      <c r="L4049" s="23">
        <f>_xlfn.DAYS(Tabla1[[#This Row],[FECHA FIN ]],Tabla1[[#This Row],[FECHA INICIO]])</f>
        <v>12</v>
      </c>
      <c r="M4049" s="12">
        <f>1080.35/6</f>
        <v>180.05833333333331</v>
      </c>
      <c r="N4049" s="20"/>
      <c r="O4049" s="24">
        <f>(Tabla1[[#This Row],[COSTO FIJO ]]/30)*Tabla1[[#This Row],[TOTAL DIAS PROYECTO]]+(Tabla1[[#This Row],[COSTO TEMPORAL]])</f>
        <v>180.05833333333331</v>
      </c>
      <c r="P4049" s="12"/>
      <c r="Q4049" s="12">
        <f>+(Tabla1[[#This Row],[COSTO COCHE]]/30)*Tabla1[[#This Row],[TOTAL DIAS PROYECTO]]</f>
        <v>0</v>
      </c>
      <c r="R4049" s="12">
        <f>+Tabla1[[#This Row],[COSTO TOTAL ALOJAMIENTO]]+Tabla1[[#This Row],[COSTO TOTAL COCHE]]</f>
        <v>180.05833333333331</v>
      </c>
      <c r="S4049" s="2" t="s">
        <v>84</v>
      </c>
      <c r="T4049" s="14" t="s">
        <v>44</v>
      </c>
      <c r="U4049" s="14">
        <v>45956</v>
      </c>
      <c r="V4049" s="25">
        <v>45973</v>
      </c>
      <c r="W4049" s="71"/>
      <c r="X4049" s="2"/>
      <c r="Y4049" s="202" t="s">
        <v>5978</v>
      </c>
      <c r="Z4049" s="2" t="s">
        <v>36</v>
      </c>
      <c r="AA4049" s="13" t="s">
        <v>10407</v>
      </c>
      <c r="AB4049" s="13" t="s">
        <v>10408</v>
      </c>
    </row>
    <row r="4050" spans="1:28" ht="15" customHeight="1">
      <c r="A4050" s="2" t="s">
        <v>10021</v>
      </c>
      <c r="B4050" s="2" t="s">
        <v>978</v>
      </c>
      <c r="C4050" s="31" t="s">
        <v>5982</v>
      </c>
      <c r="D4050" s="2" t="s">
        <v>99</v>
      </c>
      <c r="E4050" s="2" t="s">
        <v>985</v>
      </c>
      <c r="F4050" s="11" t="s">
        <v>5783</v>
      </c>
      <c r="G4050" s="21" t="s">
        <v>5781</v>
      </c>
      <c r="H4050" s="2" t="s">
        <v>5784</v>
      </c>
      <c r="I4050" s="12" t="s">
        <v>5618</v>
      </c>
      <c r="J4050" s="22">
        <f>+Tabla1[[#This Row],[FECHA ENTRADA]]</f>
        <v>45956</v>
      </c>
      <c r="K4050" s="22">
        <v>45968</v>
      </c>
      <c r="L4050" s="23">
        <f>_xlfn.DAYS(Tabla1[[#This Row],[FECHA FIN ]],Tabla1[[#This Row],[FECHA INICIO]])</f>
        <v>12</v>
      </c>
      <c r="M4050" s="20">
        <f>1052.3/5</f>
        <v>210.45999999999998</v>
      </c>
      <c r="N4050" s="20"/>
      <c r="O4050" s="24">
        <f>(Tabla1[[#This Row],[COSTO FIJO ]]/30)*Tabla1[[#This Row],[TOTAL DIAS PROYECTO]]+(Tabla1[[#This Row],[COSTO TEMPORAL]])</f>
        <v>210.45999999999998</v>
      </c>
      <c r="P4050" s="12"/>
      <c r="Q4050" s="12">
        <f>+(Tabla1[[#This Row],[COSTO COCHE]]/30)*Tabla1[[#This Row],[TOTAL DIAS PROYECTO]]</f>
        <v>0</v>
      </c>
      <c r="R4050" s="12">
        <f>+Tabla1[[#This Row],[COSTO TOTAL ALOJAMIENTO]]+Tabla1[[#This Row],[COSTO TOTAL COCHE]]</f>
        <v>210.45999999999998</v>
      </c>
      <c r="S4050" s="2" t="s">
        <v>84</v>
      </c>
      <c r="T4050" s="14" t="s">
        <v>44</v>
      </c>
      <c r="U4050" s="14">
        <v>45956</v>
      </c>
      <c r="V4050" s="25">
        <v>45973</v>
      </c>
      <c r="W4050" s="71"/>
      <c r="X4050" s="2"/>
      <c r="Y4050" s="202" t="s">
        <v>5978</v>
      </c>
      <c r="Z4050" s="2" t="s">
        <v>36</v>
      </c>
      <c r="AA4050" s="13" t="s">
        <v>10407</v>
      </c>
      <c r="AB4050" s="13" t="s">
        <v>10408</v>
      </c>
    </row>
    <row r="4051" spans="1:28" ht="15" customHeight="1">
      <c r="A4051" s="2" t="s">
        <v>10022</v>
      </c>
      <c r="B4051" s="2" t="s">
        <v>978</v>
      </c>
      <c r="C4051" s="31" t="s">
        <v>5983</v>
      </c>
      <c r="D4051" s="2" t="s">
        <v>99</v>
      </c>
      <c r="E4051" s="2" t="s">
        <v>985</v>
      </c>
      <c r="F4051" s="11" t="s">
        <v>5783</v>
      </c>
      <c r="G4051" s="21" t="s">
        <v>5781</v>
      </c>
      <c r="H4051" s="2" t="s">
        <v>5784</v>
      </c>
      <c r="I4051" s="12" t="s">
        <v>5618</v>
      </c>
      <c r="J4051" s="22">
        <f>+Tabla1[[#This Row],[FECHA ENTRADA]]</f>
        <v>45956</v>
      </c>
      <c r="K4051" s="22">
        <v>45968</v>
      </c>
      <c r="L4051" s="23">
        <f>_xlfn.DAYS(Tabla1[[#This Row],[FECHA FIN ]],Tabla1[[#This Row],[FECHA INICIO]])</f>
        <v>12</v>
      </c>
      <c r="M4051" s="20">
        <f>1052.3/5</f>
        <v>210.45999999999998</v>
      </c>
      <c r="N4051" s="20"/>
      <c r="O4051" s="24">
        <f>(Tabla1[[#This Row],[COSTO FIJO ]]/30)*Tabla1[[#This Row],[TOTAL DIAS PROYECTO]]+(Tabla1[[#This Row],[COSTO TEMPORAL]])</f>
        <v>210.45999999999998</v>
      </c>
      <c r="P4051" s="12"/>
      <c r="Q4051" s="12">
        <f>+(Tabla1[[#This Row],[COSTO COCHE]]/30)*Tabla1[[#This Row],[TOTAL DIAS PROYECTO]]</f>
        <v>0</v>
      </c>
      <c r="R4051" s="12">
        <f>+Tabla1[[#This Row],[COSTO TOTAL ALOJAMIENTO]]+Tabla1[[#This Row],[COSTO TOTAL COCHE]]</f>
        <v>210.45999999999998</v>
      </c>
      <c r="S4051" s="2" t="s">
        <v>84</v>
      </c>
      <c r="T4051" s="14" t="s">
        <v>44</v>
      </c>
      <c r="U4051" s="14">
        <v>45956</v>
      </c>
      <c r="V4051" s="25">
        <v>45973</v>
      </c>
      <c r="W4051" s="71"/>
      <c r="X4051" s="2"/>
      <c r="Y4051" s="202" t="s">
        <v>5978</v>
      </c>
      <c r="Z4051" s="2" t="s">
        <v>36</v>
      </c>
      <c r="AA4051" s="13" t="s">
        <v>10407</v>
      </c>
      <c r="AB4051" s="13" t="s">
        <v>10408</v>
      </c>
    </row>
    <row r="4052" spans="1:28" ht="15" customHeight="1">
      <c r="A4052" s="2" t="s">
        <v>9940</v>
      </c>
      <c r="B4052" s="2" t="s">
        <v>606</v>
      </c>
      <c r="C4052" s="31" t="s">
        <v>5578</v>
      </c>
      <c r="D4052" s="2" t="s">
        <v>99</v>
      </c>
      <c r="E4052" s="2" t="s">
        <v>253</v>
      </c>
      <c r="F4052" s="11" t="s">
        <v>5065</v>
      </c>
      <c r="G4052" s="49" t="s">
        <v>1985</v>
      </c>
      <c r="H4052" s="2" t="s">
        <v>5984</v>
      </c>
      <c r="I4052" s="12" t="s">
        <v>582</v>
      </c>
      <c r="J4052" s="41">
        <f>+Tabla1[[#This Row],[FECHA ENTRADA]]</f>
        <v>45943</v>
      </c>
      <c r="K4052" s="41">
        <v>45968</v>
      </c>
      <c r="L4052" s="42">
        <f>_xlfn.DAYS(Tabla1[[#This Row],[FECHA FIN ]],Tabla1[[#This Row],[FECHA INICIO]])</f>
        <v>25</v>
      </c>
      <c r="M4052" s="12"/>
      <c r="N4052" s="28"/>
      <c r="O4052" s="28">
        <f>(Tabla1[[#This Row],[COSTO FIJO ]]/30)*Tabla1[[#This Row],[TOTAL DIAS PROYECTO]]+(Tabla1[[#This Row],[COSTO TEMPORAL]])</f>
        <v>0</v>
      </c>
      <c r="P4052" s="12"/>
      <c r="Q4052" s="12">
        <f>+(Tabla1[[#This Row],[COSTO COCHE]]/30)*Tabla1[[#This Row],[TOTAL DIAS PROYECTO]]</f>
        <v>0</v>
      </c>
      <c r="R4052" s="12">
        <f>+Tabla1[[#This Row],[COSTO TOTAL ALOJAMIENTO]]+Tabla1[[#This Row],[COSTO TOTAL COCHE]]</f>
        <v>0</v>
      </c>
      <c r="S4052" s="2"/>
      <c r="T4052" s="14" t="s">
        <v>44</v>
      </c>
      <c r="U4052" s="14">
        <v>45943</v>
      </c>
      <c r="V4052" s="25">
        <v>45968</v>
      </c>
      <c r="W4052" s="71"/>
      <c r="X4052" s="2"/>
      <c r="Y4052" s="11" t="s">
        <v>5985</v>
      </c>
      <c r="Z4052" s="2" t="s">
        <v>36</v>
      </c>
      <c r="AA4052" s="13" t="s">
        <v>10357</v>
      </c>
      <c r="AB4052" s="13" t="s">
        <v>10358</v>
      </c>
    </row>
    <row r="4053" spans="1:28" ht="15" customHeight="1">
      <c r="A4053" s="2" t="s">
        <v>10023</v>
      </c>
      <c r="B4053" s="2" t="s">
        <v>606</v>
      </c>
      <c r="C4053" s="97" t="s">
        <v>5986</v>
      </c>
      <c r="D4053" s="2" t="s">
        <v>30</v>
      </c>
      <c r="E4053" s="2" t="s">
        <v>253</v>
      </c>
      <c r="F4053" s="11" t="s">
        <v>5065</v>
      </c>
      <c r="G4053" t="s">
        <v>1985</v>
      </c>
      <c r="H4053" s="157" t="s">
        <v>5984</v>
      </c>
      <c r="I4053" s="158" t="s">
        <v>582</v>
      </c>
      <c r="J4053" s="41">
        <f>+Tabla1[[#This Row],[FECHA ENTRADA]]</f>
        <v>45943</v>
      </c>
      <c r="K4053" s="41">
        <v>45968</v>
      </c>
      <c r="L4053" s="42">
        <f>_xlfn.DAYS(Tabla1[[#This Row],[FECHA FIN ]],Tabla1[[#This Row],[FECHA INICIO]])</f>
        <v>25</v>
      </c>
      <c r="M4053" s="12"/>
      <c r="N4053" s="28"/>
      <c r="O4053" s="28">
        <f>(Tabla1[[#This Row],[COSTO FIJO ]]/30)*Tabla1[[#This Row],[TOTAL DIAS PROYECTO]]+(Tabla1[[#This Row],[COSTO TEMPORAL]])</f>
        <v>0</v>
      </c>
      <c r="P4053" s="12"/>
      <c r="Q4053" s="12">
        <f>+(Tabla1[[#This Row],[COSTO COCHE]]/30)*Tabla1[[#This Row],[TOTAL DIAS PROYECTO]]</f>
        <v>0</v>
      </c>
      <c r="R4053" s="12">
        <f>+Tabla1[[#This Row],[COSTO TOTAL ALOJAMIENTO]]+Tabla1[[#This Row],[COSTO TOTAL COCHE]]</f>
        <v>0</v>
      </c>
      <c r="S4053" s="2"/>
      <c r="T4053" s="14" t="s">
        <v>44</v>
      </c>
      <c r="U4053" s="14">
        <v>45943</v>
      </c>
      <c r="V4053" s="25">
        <v>45968</v>
      </c>
      <c r="W4053" s="71"/>
      <c r="X4053" s="2"/>
      <c r="Y4053" s="11" t="s">
        <v>5985</v>
      </c>
      <c r="Z4053" s="2" t="s">
        <v>36</v>
      </c>
      <c r="AA4053" s="13" t="s">
        <v>10357</v>
      </c>
      <c r="AB4053" s="13" t="s">
        <v>10358</v>
      </c>
    </row>
    <row r="4054" spans="1:28" ht="15" customHeight="1">
      <c r="A4054" s="2" t="s">
        <v>10024</v>
      </c>
      <c r="B4054" s="2" t="s">
        <v>978</v>
      </c>
      <c r="C4054" s="31" t="s">
        <v>5987</v>
      </c>
      <c r="D4054" s="2" t="s">
        <v>99</v>
      </c>
      <c r="E4054" s="2" t="s">
        <v>985</v>
      </c>
      <c r="F4054" s="11" t="s">
        <v>5981</v>
      </c>
      <c r="G4054" s="21" t="s">
        <v>5781</v>
      </c>
      <c r="H4054" s="2" t="s">
        <v>5784</v>
      </c>
      <c r="I4054" s="12" t="s">
        <v>5618</v>
      </c>
      <c r="J4054" s="22">
        <f>+Tabla1[[#This Row],[FECHA ENTRADA]]</f>
        <v>45956</v>
      </c>
      <c r="K4054" s="22">
        <v>45968</v>
      </c>
      <c r="L4054" s="23">
        <f>_xlfn.DAYS(Tabla1[[#This Row],[FECHA FIN ]],Tabla1[[#This Row],[FECHA INICIO]])</f>
        <v>12</v>
      </c>
      <c r="M4054" s="12">
        <f>1080.35/6</f>
        <v>180.05833333333331</v>
      </c>
      <c r="N4054" s="20"/>
      <c r="O4054" s="24">
        <f>(Tabla1[[#This Row],[COSTO FIJO ]]/30)*Tabla1[[#This Row],[TOTAL DIAS PROYECTO]]+(Tabla1[[#This Row],[COSTO TEMPORAL]])</f>
        <v>180.05833333333331</v>
      </c>
      <c r="P4054" s="12"/>
      <c r="Q4054" s="12">
        <f>+(Tabla1[[#This Row],[COSTO COCHE]]/30)*Tabla1[[#This Row],[TOTAL DIAS PROYECTO]]</f>
        <v>0</v>
      </c>
      <c r="R4054" s="12">
        <f>+Tabla1[[#This Row],[COSTO TOTAL ALOJAMIENTO]]+Tabla1[[#This Row],[COSTO TOTAL COCHE]]</f>
        <v>180.05833333333331</v>
      </c>
      <c r="S4054" s="2" t="s">
        <v>84</v>
      </c>
      <c r="T4054" s="14" t="s">
        <v>44</v>
      </c>
      <c r="U4054" s="14">
        <v>45956</v>
      </c>
      <c r="V4054" s="25">
        <v>45973</v>
      </c>
      <c r="W4054" s="71"/>
      <c r="X4054" s="2"/>
      <c r="Y4054" s="202" t="s">
        <v>5978</v>
      </c>
      <c r="Z4054" s="2" t="s">
        <v>36</v>
      </c>
      <c r="AA4054" s="13" t="s">
        <v>10407</v>
      </c>
      <c r="AB4054" s="13" t="s">
        <v>10408</v>
      </c>
    </row>
    <row r="4055" spans="1:28" ht="15" customHeight="1">
      <c r="A4055" s="2" t="s">
        <v>10025</v>
      </c>
      <c r="B4055" s="2" t="s">
        <v>978</v>
      </c>
      <c r="C4055" s="31" t="s">
        <v>5988</v>
      </c>
      <c r="D4055" s="2" t="s">
        <v>99</v>
      </c>
      <c r="E4055" s="2" t="s">
        <v>985</v>
      </c>
      <c r="F4055" s="11" t="s">
        <v>5989</v>
      </c>
      <c r="G4055" s="21" t="s">
        <v>5781</v>
      </c>
      <c r="H4055" s="2" t="s">
        <v>5784</v>
      </c>
      <c r="I4055" s="12" t="s">
        <v>5618</v>
      </c>
      <c r="J4055" s="22">
        <f>+Tabla1[[#This Row],[FECHA ENTRADA]]</f>
        <v>45956</v>
      </c>
      <c r="K4055" s="22">
        <v>45968</v>
      </c>
      <c r="L4055" s="23">
        <f>_xlfn.DAYS(Tabla1[[#This Row],[FECHA FIN ]],Tabla1[[#This Row],[FECHA INICIO]])</f>
        <v>12</v>
      </c>
      <c r="M4055" s="12">
        <f>1074.4/5</f>
        <v>214.88000000000002</v>
      </c>
      <c r="N4055" s="20"/>
      <c r="O4055" s="24">
        <f>1074.4/4</f>
        <v>268.60000000000002</v>
      </c>
      <c r="P4055" s="12"/>
      <c r="Q4055" s="12">
        <f>+(Tabla1[[#This Row],[COSTO COCHE]]/30)*Tabla1[[#This Row],[TOTAL DIAS PROYECTO]]</f>
        <v>0</v>
      </c>
      <c r="R4055" s="12">
        <f>+Tabla1[[#This Row],[COSTO TOTAL ALOJAMIENTO]]+Tabla1[[#This Row],[COSTO TOTAL COCHE]]</f>
        <v>268.60000000000002</v>
      </c>
      <c r="S4055" s="2" t="s">
        <v>84</v>
      </c>
      <c r="T4055" s="14" t="s">
        <v>44</v>
      </c>
      <c r="U4055" s="14">
        <v>45956</v>
      </c>
      <c r="V4055" s="25">
        <v>45973</v>
      </c>
      <c r="W4055" s="71"/>
      <c r="X4055" s="2"/>
      <c r="Y4055" s="202" t="s">
        <v>5978</v>
      </c>
      <c r="Z4055" s="2" t="s">
        <v>36</v>
      </c>
      <c r="AA4055" s="13" t="s">
        <v>10407</v>
      </c>
      <c r="AB4055" s="13" t="s">
        <v>10408</v>
      </c>
    </row>
    <row r="4056" spans="1:28" ht="15" customHeight="1">
      <c r="A4056" s="2" t="s">
        <v>10026</v>
      </c>
      <c r="B4056" s="2" t="s">
        <v>978</v>
      </c>
      <c r="C4056" s="31" t="s">
        <v>5990</v>
      </c>
      <c r="D4056" s="2" t="s">
        <v>99</v>
      </c>
      <c r="E4056" s="2" t="s">
        <v>985</v>
      </c>
      <c r="F4056" s="11" t="s">
        <v>5981</v>
      </c>
      <c r="G4056" s="21" t="s">
        <v>5781</v>
      </c>
      <c r="H4056" s="2" t="s">
        <v>5784</v>
      </c>
      <c r="I4056" s="12" t="s">
        <v>5618</v>
      </c>
      <c r="J4056" s="22">
        <f>+Tabla1[[#This Row],[FECHA ENTRADA]]</f>
        <v>45956</v>
      </c>
      <c r="K4056" s="22">
        <v>45968</v>
      </c>
      <c r="L4056" s="23">
        <f>_xlfn.DAYS(Tabla1[[#This Row],[FECHA FIN ]],Tabla1[[#This Row],[FECHA INICIO]])</f>
        <v>12</v>
      </c>
      <c r="M4056" s="12">
        <f>1080.35/6</f>
        <v>180.05833333333331</v>
      </c>
      <c r="N4056" s="20"/>
      <c r="O4056" s="24">
        <f>(Tabla1[[#This Row],[COSTO FIJO ]]/30)*Tabla1[[#This Row],[TOTAL DIAS PROYECTO]]+(Tabla1[[#This Row],[COSTO TEMPORAL]])</f>
        <v>180.05833333333331</v>
      </c>
      <c r="P4056" s="12"/>
      <c r="Q4056" s="12">
        <f>+(Tabla1[[#This Row],[COSTO COCHE]]/30)*Tabla1[[#This Row],[TOTAL DIAS PROYECTO]]</f>
        <v>0</v>
      </c>
      <c r="R4056" s="12">
        <f>+Tabla1[[#This Row],[COSTO TOTAL ALOJAMIENTO]]+Tabla1[[#This Row],[COSTO TOTAL COCHE]]</f>
        <v>180.05833333333331</v>
      </c>
      <c r="S4056" s="2" t="s">
        <v>84</v>
      </c>
      <c r="T4056" s="14" t="s">
        <v>44</v>
      </c>
      <c r="U4056" s="14">
        <v>45956</v>
      </c>
      <c r="V4056" s="25">
        <v>45973</v>
      </c>
      <c r="W4056" s="71"/>
      <c r="X4056" s="2"/>
      <c r="Y4056" s="202" t="s">
        <v>5978</v>
      </c>
      <c r="Z4056" s="2" t="s">
        <v>36</v>
      </c>
      <c r="AA4056" s="13" t="s">
        <v>10407</v>
      </c>
      <c r="AB4056" s="13" t="s">
        <v>10408</v>
      </c>
    </row>
    <row r="4057" spans="1:28" ht="15" customHeight="1">
      <c r="A4057" s="2" t="s">
        <v>10027</v>
      </c>
      <c r="B4057" s="2" t="s">
        <v>978</v>
      </c>
      <c r="C4057" s="31" t="s">
        <v>5991</v>
      </c>
      <c r="D4057" s="2" t="s">
        <v>99</v>
      </c>
      <c r="E4057" s="2" t="s">
        <v>985</v>
      </c>
      <c r="F4057" s="11" t="s">
        <v>5981</v>
      </c>
      <c r="G4057" s="21" t="s">
        <v>5781</v>
      </c>
      <c r="H4057" s="2" t="s">
        <v>5784</v>
      </c>
      <c r="I4057" s="12" t="s">
        <v>5618</v>
      </c>
      <c r="J4057" s="22">
        <f>+Tabla1[[#This Row],[FECHA ENTRADA]]</f>
        <v>45956</v>
      </c>
      <c r="K4057" s="22">
        <v>45968</v>
      </c>
      <c r="L4057" s="23">
        <f>_xlfn.DAYS(Tabla1[[#This Row],[FECHA FIN ]],Tabla1[[#This Row],[FECHA INICIO]])</f>
        <v>12</v>
      </c>
      <c r="M4057" s="12">
        <f>1080.35/6</f>
        <v>180.05833333333331</v>
      </c>
      <c r="N4057" s="20"/>
      <c r="O4057" s="24">
        <f>(Tabla1[[#This Row],[COSTO FIJO ]]/30)*Tabla1[[#This Row],[TOTAL DIAS PROYECTO]]+(Tabla1[[#This Row],[COSTO TEMPORAL]])</f>
        <v>180.05833333333331</v>
      </c>
      <c r="P4057" s="12"/>
      <c r="Q4057" s="12">
        <f>+(Tabla1[[#This Row],[COSTO COCHE]]/30)*Tabla1[[#This Row],[TOTAL DIAS PROYECTO]]</f>
        <v>0</v>
      </c>
      <c r="R4057" s="12">
        <f>+Tabla1[[#This Row],[COSTO TOTAL ALOJAMIENTO]]+Tabla1[[#This Row],[COSTO TOTAL COCHE]]</f>
        <v>180.05833333333331</v>
      </c>
      <c r="S4057" s="2" t="s">
        <v>84</v>
      </c>
      <c r="T4057" s="14" t="s">
        <v>44</v>
      </c>
      <c r="U4057" s="14">
        <v>45956</v>
      </c>
      <c r="V4057" s="25">
        <v>45973</v>
      </c>
      <c r="W4057" s="71"/>
      <c r="X4057" s="2"/>
      <c r="Y4057" s="202" t="s">
        <v>5978</v>
      </c>
      <c r="Z4057" s="2" t="s">
        <v>36</v>
      </c>
      <c r="AA4057" s="13" t="s">
        <v>10407</v>
      </c>
      <c r="AB4057" s="13" t="s">
        <v>10408</v>
      </c>
    </row>
    <row r="4058" spans="1:28" ht="15" customHeight="1">
      <c r="A4058" s="2" t="s">
        <v>10028</v>
      </c>
      <c r="B4058" s="2" t="s">
        <v>978</v>
      </c>
      <c r="C4058" s="31" t="s">
        <v>5992</v>
      </c>
      <c r="D4058" s="2" t="s">
        <v>99</v>
      </c>
      <c r="E4058" s="2" t="s">
        <v>985</v>
      </c>
      <c r="F4058" s="11" t="s">
        <v>5981</v>
      </c>
      <c r="G4058" s="21" t="s">
        <v>5781</v>
      </c>
      <c r="H4058" s="2" t="s">
        <v>5784</v>
      </c>
      <c r="I4058" s="12" t="s">
        <v>5618</v>
      </c>
      <c r="J4058" s="22">
        <f>+Tabla1[[#This Row],[FECHA ENTRADA]]</f>
        <v>45956</v>
      </c>
      <c r="K4058" s="22">
        <v>45968</v>
      </c>
      <c r="L4058" s="23">
        <f>_xlfn.DAYS(Tabla1[[#This Row],[FECHA FIN ]],Tabla1[[#This Row],[FECHA INICIO]])</f>
        <v>12</v>
      </c>
      <c r="M4058" s="12">
        <f>1080.35/6</f>
        <v>180.05833333333331</v>
      </c>
      <c r="N4058" s="20"/>
      <c r="O4058" s="24">
        <f>(Tabla1[[#This Row],[COSTO FIJO ]]/30)*Tabla1[[#This Row],[TOTAL DIAS PROYECTO]]+(Tabla1[[#This Row],[COSTO TEMPORAL]])</f>
        <v>180.05833333333331</v>
      </c>
      <c r="P4058" s="12"/>
      <c r="Q4058" s="12">
        <f>+(Tabla1[[#This Row],[COSTO COCHE]]/30)*Tabla1[[#This Row],[TOTAL DIAS PROYECTO]]</f>
        <v>0</v>
      </c>
      <c r="R4058" s="12">
        <f>+Tabla1[[#This Row],[COSTO TOTAL ALOJAMIENTO]]+Tabla1[[#This Row],[COSTO TOTAL COCHE]]</f>
        <v>180.05833333333331</v>
      </c>
      <c r="S4058" s="2" t="s">
        <v>84</v>
      </c>
      <c r="T4058" s="14" t="s">
        <v>44</v>
      </c>
      <c r="U4058" s="14">
        <v>45956</v>
      </c>
      <c r="V4058" s="25">
        <v>45973</v>
      </c>
      <c r="W4058" s="71"/>
      <c r="X4058" s="2"/>
      <c r="Y4058" s="202" t="s">
        <v>5978</v>
      </c>
      <c r="Z4058" s="2" t="s">
        <v>36</v>
      </c>
      <c r="AA4058" s="13" t="s">
        <v>10407</v>
      </c>
      <c r="AB4058" s="13" t="s">
        <v>10408</v>
      </c>
    </row>
    <row r="4059" spans="1:28" ht="15" customHeight="1">
      <c r="A4059" s="2" t="s">
        <v>10029</v>
      </c>
      <c r="B4059" s="2" t="s">
        <v>978</v>
      </c>
      <c r="C4059" s="31" t="s">
        <v>5993</v>
      </c>
      <c r="D4059" s="2" t="s">
        <v>99</v>
      </c>
      <c r="E4059" s="2" t="s">
        <v>985</v>
      </c>
      <c r="F4059" s="11" t="s">
        <v>5989</v>
      </c>
      <c r="G4059" s="21" t="s">
        <v>5781</v>
      </c>
      <c r="H4059" s="2" t="s">
        <v>5784</v>
      </c>
      <c r="I4059" s="12" t="s">
        <v>5618</v>
      </c>
      <c r="J4059" s="22">
        <f>+Tabla1[[#This Row],[FECHA ENTRADA]]</f>
        <v>45956</v>
      </c>
      <c r="K4059" s="22">
        <v>45968</v>
      </c>
      <c r="L4059" s="23">
        <f>_xlfn.DAYS(Tabla1[[#This Row],[FECHA FIN ]],Tabla1[[#This Row],[FECHA INICIO]])</f>
        <v>12</v>
      </c>
      <c r="M4059" s="12">
        <f>1074.4/5</f>
        <v>214.88000000000002</v>
      </c>
      <c r="N4059" s="20"/>
      <c r="O4059" s="24">
        <f>1074.4/4</f>
        <v>268.60000000000002</v>
      </c>
      <c r="P4059" s="12"/>
      <c r="Q4059" s="12">
        <f>+(Tabla1[[#This Row],[COSTO COCHE]]/30)*Tabla1[[#This Row],[TOTAL DIAS PROYECTO]]</f>
        <v>0</v>
      </c>
      <c r="R4059" s="12">
        <f>+Tabla1[[#This Row],[COSTO TOTAL ALOJAMIENTO]]+Tabla1[[#This Row],[COSTO TOTAL COCHE]]</f>
        <v>268.60000000000002</v>
      </c>
      <c r="S4059" s="2" t="s">
        <v>84</v>
      </c>
      <c r="T4059" s="14" t="s">
        <v>44</v>
      </c>
      <c r="U4059" s="14">
        <v>45956</v>
      </c>
      <c r="V4059" s="25">
        <v>45973</v>
      </c>
      <c r="W4059" s="71"/>
      <c r="X4059" s="2"/>
      <c r="Y4059" s="202" t="s">
        <v>5978</v>
      </c>
      <c r="Z4059" s="2" t="s">
        <v>36</v>
      </c>
      <c r="AA4059" s="13" t="s">
        <v>10407</v>
      </c>
      <c r="AB4059" s="13" t="s">
        <v>10408</v>
      </c>
    </row>
    <row r="4060" spans="1:28" ht="15" customHeight="1">
      <c r="A4060" s="2" t="s">
        <v>10030</v>
      </c>
      <c r="B4060" s="2" t="s">
        <v>978</v>
      </c>
      <c r="C4060" s="31" t="s">
        <v>5994</v>
      </c>
      <c r="D4060" s="2" t="s">
        <v>99</v>
      </c>
      <c r="E4060" s="2" t="s">
        <v>985</v>
      </c>
      <c r="F4060" s="11" t="s">
        <v>5981</v>
      </c>
      <c r="G4060" s="21" t="s">
        <v>5781</v>
      </c>
      <c r="H4060" s="2" t="s">
        <v>5784</v>
      </c>
      <c r="I4060" s="12" t="s">
        <v>5618</v>
      </c>
      <c r="J4060" s="22">
        <f>+Tabla1[[#This Row],[FECHA ENTRADA]]</f>
        <v>45956</v>
      </c>
      <c r="K4060" s="22">
        <v>45968</v>
      </c>
      <c r="L4060" s="23">
        <f>_xlfn.DAYS(Tabla1[[#This Row],[FECHA FIN ]],Tabla1[[#This Row],[FECHA INICIO]])</f>
        <v>12</v>
      </c>
      <c r="M4060" s="12">
        <f>1080.35/6</f>
        <v>180.05833333333331</v>
      </c>
      <c r="N4060" s="20"/>
      <c r="O4060" s="24">
        <f>(Tabla1[[#This Row],[COSTO FIJO ]]/30)*Tabla1[[#This Row],[TOTAL DIAS PROYECTO]]+(Tabla1[[#This Row],[COSTO TEMPORAL]])</f>
        <v>180.05833333333331</v>
      </c>
      <c r="P4060" s="12"/>
      <c r="Q4060" s="12">
        <f>+(Tabla1[[#This Row],[COSTO COCHE]]/30)*Tabla1[[#This Row],[TOTAL DIAS PROYECTO]]</f>
        <v>0</v>
      </c>
      <c r="R4060" s="12">
        <f>+Tabla1[[#This Row],[COSTO TOTAL ALOJAMIENTO]]+Tabla1[[#This Row],[COSTO TOTAL COCHE]]</f>
        <v>180.05833333333331</v>
      </c>
      <c r="S4060" s="2" t="s">
        <v>84</v>
      </c>
      <c r="T4060" s="14" t="s">
        <v>44</v>
      </c>
      <c r="U4060" s="14">
        <v>45956</v>
      </c>
      <c r="V4060" s="25">
        <v>45973</v>
      </c>
      <c r="W4060" s="71"/>
      <c r="X4060" s="2"/>
      <c r="Y4060" s="202" t="s">
        <v>5978</v>
      </c>
      <c r="Z4060" s="2" t="s">
        <v>36</v>
      </c>
      <c r="AA4060" s="13" t="s">
        <v>10407</v>
      </c>
      <c r="AB4060" s="13" t="s">
        <v>10408</v>
      </c>
    </row>
    <row r="4061" spans="1:28" ht="15" customHeight="1">
      <c r="A4061" s="2" t="s">
        <v>10031</v>
      </c>
      <c r="B4061" s="2" t="s">
        <v>978</v>
      </c>
      <c r="C4061" s="31" t="s">
        <v>5995</v>
      </c>
      <c r="D4061" s="2" t="s">
        <v>99</v>
      </c>
      <c r="E4061" s="2" t="s">
        <v>985</v>
      </c>
      <c r="F4061" s="11" t="s">
        <v>5783</v>
      </c>
      <c r="G4061" s="21" t="s">
        <v>5781</v>
      </c>
      <c r="H4061" s="2" t="s">
        <v>5784</v>
      </c>
      <c r="I4061" s="12" t="s">
        <v>5618</v>
      </c>
      <c r="J4061" s="22">
        <f>+Tabla1[[#This Row],[FECHA ENTRADA]]</f>
        <v>45956</v>
      </c>
      <c r="K4061" s="22">
        <v>45968</v>
      </c>
      <c r="L4061" s="23">
        <f>_xlfn.DAYS(Tabla1[[#This Row],[FECHA FIN ]],Tabla1[[#This Row],[FECHA INICIO]])</f>
        <v>12</v>
      </c>
      <c r="M4061" s="20">
        <f>1052.3/5</f>
        <v>210.45999999999998</v>
      </c>
      <c r="N4061" s="20"/>
      <c r="O4061" s="24">
        <f>(Tabla1[[#This Row],[COSTO FIJO ]]/30)*Tabla1[[#This Row],[TOTAL DIAS PROYECTO]]+(Tabla1[[#This Row],[COSTO TEMPORAL]])</f>
        <v>210.45999999999998</v>
      </c>
      <c r="P4061" s="12"/>
      <c r="Q4061" s="12">
        <f>+(Tabla1[[#This Row],[COSTO COCHE]]/30)*Tabla1[[#This Row],[TOTAL DIAS PROYECTO]]</f>
        <v>0</v>
      </c>
      <c r="R4061" s="12">
        <f>+Tabla1[[#This Row],[COSTO TOTAL ALOJAMIENTO]]+Tabla1[[#This Row],[COSTO TOTAL COCHE]]</f>
        <v>210.45999999999998</v>
      </c>
      <c r="S4061" s="2" t="s">
        <v>84</v>
      </c>
      <c r="T4061" s="14" t="s">
        <v>44</v>
      </c>
      <c r="U4061" s="14">
        <v>45956</v>
      </c>
      <c r="V4061" s="25">
        <v>45973</v>
      </c>
      <c r="W4061" s="71"/>
      <c r="X4061" s="2"/>
      <c r="Y4061" s="202" t="s">
        <v>5978</v>
      </c>
      <c r="Z4061" s="2" t="s">
        <v>36</v>
      </c>
      <c r="AA4061" s="13" t="s">
        <v>10407</v>
      </c>
      <c r="AB4061" s="13" t="s">
        <v>10408</v>
      </c>
    </row>
    <row r="4062" spans="1:28" ht="15" customHeight="1">
      <c r="A4062" s="2" t="s">
        <v>9244</v>
      </c>
      <c r="B4062" s="2" t="s">
        <v>978</v>
      </c>
      <c r="C4062" s="31" t="s">
        <v>2566</v>
      </c>
      <c r="D4062" s="2" t="s">
        <v>99</v>
      </c>
      <c r="E4062" s="2" t="s">
        <v>985</v>
      </c>
      <c r="F4062" s="11" t="s">
        <v>5989</v>
      </c>
      <c r="G4062" s="21" t="s">
        <v>5781</v>
      </c>
      <c r="H4062" s="2" t="s">
        <v>5784</v>
      </c>
      <c r="I4062" s="12" t="s">
        <v>5618</v>
      </c>
      <c r="J4062" s="22">
        <f>+Tabla1[[#This Row],[FECHA ENTRADA]]</f>
        <v>45956</v>
      </c>
      <c r="K4062" s="22">
        <v>45968</v>
      </c>
      <c r="L4062" s="23">
        <f>_xlfn.DAYS(Tabla1[[#This Row],[FECHA FIN ]],Tabla1[[#This Row],[FECHA INICIO]])</f>
        <v>12</v>
      </c>
      <c r="M4062" s="12">
        <f>1074.4/5</f>
        <v>214.88000000000002</v>
      </c>
      <c r="N4062" s="20"/>
      <c r="O4062" s="24">
        <f>1074.4/4</f>
        <v>268.60000000000002</v>
      </c>
      <c r="P4062" s="12"/>
      <c r="Q4062" s="12">
        <f>+(Tabla1[[#This Row],[COSTO COCHE]]/30)*Tabla1[[#This Row],[TOTAL DIAS PROYECTO]]</f>
        <v>0</v>
      </c>
      <c r="R4062" s="12">
        <f>+Tabla1[[#This Row],[COSTO TOTAL ALOJAMIENTO]]+Tabla1[[#This Row],[COSTO TOTAL COCHE]]</f>
        <v>268.60000000000002</v>
      </c>
      <c r="S4062" s="2" t="s">
        <v>84</v>
      </c>
      <c r="T4062" s="14" t="s">
        <v>44</v>
      </c>
      <c r="U4062" s="14">
        <v>45956</v>
      </c>
      <c r="V4062" s="25">
        <v>45973</v>
      </c>
      <c r="W4062" s="71"/>
      <c r="X4062" s="2"/>
      <c r="Y4062" s="202" t="s">
        <v>5978</v>
      </c>
      <c r="Z4062" s="2" t="s">
        <v>36</v>
      </c>
      <c r="AA4062" s="13" t="s">
        <v>10407</v>
      </c>
      <c r="AB4062" s="13" t="s">
        <v>10408</v>
      </c>
    </row>
    <row r="4063" spans="1:28" ht="15" customHeight="1">
      <c r="A4063" s="2" t="s">
        <v>8642</v>
      </c>
      <c r="B4063" s="2" t="s">
        <v>711</v>
      </c>
      <c r="C4063" s="31" t="s">
        <v>5996</v>
      </c>
      <c r="D4063" s="2" t="s">
        <v>30</v>
      </c>
      <c r="E4063" s="2" t="s">
        <v>626</v>
      </c>
      <c r="F4063" s="11" t="s">
        <v>5547</v>
      </c>
      <c r="G4063" s="21" t="s">
        <v>5548</v>
      </c>
      <c r="H4063" s="2" t="s">
        <v>5933</v>
      </c>
      <c r="I4063" s="12" t="s">
        <v>570</v>
      </c>
      <c r="J4063" s="22">
        <f>+Tabla1[[#This Row],[FECHA ENTRADA]]</f>
        <v>45950</v>
      </c>
      <c r="K4063" s="22">
        <v>45968</v>
      </c>
      <c r="L4063" s="23">
        <f>_xlfn.DAYS(Tabla1[[#This Row],[FECHA FIN ]],Tabla1[[#This Row],[FECHA INICIO]])</f>
        <v>18</v>
      </c>
      <c r="M4063" s="12">
        <v>152</v>
      </c>
      <c r="N4063" s="20"/>
      <c r="O4063" s="24">
        <f>(Tabla1[[#This Row],[COSTO FIJO ]]/30)*Tabla1[[#This Row],[TOTAL DIAS PROYECTO]]+(Tabla1[[#This Row],[COSTO TEMPORAL]])</f>
        <v>152</v>
      </c>
      <c r="P4063" s="12"/>
      <c r="Q4063" s="12">
        <f>+(Tabla1[[#This Row],[COSTO COCHE]]/30)*Tabla1[[#This Row],[TOTAL DIAS PROYECTO]]</f>
        <v>0</v>
      </c>
      <c r="R4063" s="12">
        <f>+Tabla1[[#This Row],[COSTO TOTAL ALOJAMIENTO]]+Tabla1[[#This Row],[COSTO TOTAL COCHE]]</f>
        <v>152</v>
      </c>
      <c r="S4063" s="2"/>
      <c r="T4063" s="14" t="s">
        <v>44</v>
      </c>
      <c r="U4063" s="14">
        <v>45950</v>
      </c>
      <c r="V4063" s="79">
        <v>45968</v>
      </c>
      <c r="W4063" s="71"/>
      <c r="X4063" s="2"/>
      <c r="Y4063" s="11" t="s">
        <v>5934</v>
      </c>
      <c r="Z4063" s="2" t="s">
        <v>36</v>
      </c>
      <c r="AA4063" s="13" t="s">
        <v>10385</v>
      </c>
      <c r="AB4063" s="13" t="s">
        <v>10386</v>
      </c>
    </row>
    <row r="4064" spans="1:28" ht="15" customHeight="1">
      <c r="A4064" s="2" t="s">
        <v>10013</v>
      </c>
      <c r="B4064" s="2" t="s">
        <v>28</v>
      </c>
      <c r="C4064" s="11" t="s">
        <v>5958</v>
      </c>
      <c r="D4064" s="2" t="s">
        <v>99</v>
      </c>
      <c r="E4064" s="2" t="s">
        <v>1664</v>
      </c>
      <c r="F4064" s="11" t="s">
        <v>5464</v>
      </c>
      <c r="G4064" s="21" t="s">
        <v>1795</v>
      </c>
      <c r="H4064" s="2" t="s">
        <v>5465</v>
      </c>
      <c r="I4064" s="12" t="s">
        <v>96</v>
      </c>
      <c r="J4064" s="22">
        <f>+Tabla1[[#This Row],[FECHA ENTRADA]]</f>
        <v>45768</v>
      </c>
      <c r="K4064" s="22">
        <v>45821</v>
      </c>
      <c r="L4064" s="23">
        <f>_xlfn.DAYS(Tabla1[[#This Row],[FECHA FIN ]],Tabla1[[#This Row],[FECHA INICIO]])</f>
        <v>53</v>
      </c>
      <c r="M4064" s="12"/>
      <c r="N4064" s="24"/>
      <c r="O4064" s="24">
        <f>(Tabla1[[#This Row],[COSTO FIJO ]]/30)*Tabla1[[#This Row],[TOTAL DIAS PROYECTO]]+(Tabla1[[#This Row],[COSTO TEMPORAL]])</f>
        <v>0</v>
      </c>
      <c r="P4064" s="12"/>
      <c r="Q4064" s="12">
        <f>+(Tabla1[[#This Row],[COSTO COCHE]]/30)*Tabla1[[#This Row],[TOTAL DIAS PROYECTO]]</f>
        <v>0</v>
      </c>
      <c r="R4064" s="12">
        <f>+Tabla1[[#This Row],[COSTO TOTAL ALOJAMIENTO]]+Tabla1[[#This Row],[COSTO TOTAL COCHE]]</f>
        <v>0</v>
      </c>
      <c r="S4064" s="2" t="s">
        <v>84</v>
      </c>
      <c r="T4064" s="2" t="s">
        <v>44</v>
      </c>
      <c r="U4064" s="14">
        <v>45768</v>
      </c>
      <c r="V4064" s="25">
        <v>45784</v>
      </c>
      <c r="W4064" s="26"/>
      <c r="X4064" s="2"/>
      <c r="Y4064" s="11"/>
      <c r="Z4064" s="2" t="s">
        <v>36</v>
      </c>
      <c r="AA4064" s="13" t="s">
        <v>10425</v>
      </c>
      <c r="AB4064" s="13" t="s">
        <v>10426</v>
      </c>
    </row>
    <row r="4065" spans="1:28" ht="15" customHeight="1">
      <c r="A4065" s="2" t="s">
        <v>10013</v>
      </c>
      <c r="B4065" s="2" t="s">
        <v>28</v>
      </c>
      <c r="C4065" s="31" t="s">
        <v>5958</v>
      </c>
      <c r="D4065" s="2" t="s">
        <v>99</v>
      </c>
      <c r="E4065" s="2" t="s">
        <v>3684</v>
      </c>
      <c r="F4065" s="11" t="s">
        <v>3685</v>
      </c>
      <c r="G4065" s="49" t="s">
        <v>3686</v>
      </c>
      <c r="H4065" s="2" t="s">
        <v>5458</v>
      </c>
      <c r="I4065" s="12" t="s">
        <v>96</v>
      </c>
      <c r="J4065" s="22">
        <f>+Tabla1[[#This Row],[FECHA ENTRADA]]</f>
        <v>45696</v>
      </c>
      <c r="K4065" s="22">
        <v>45821</v>
      </c>
      <c r="L4065" s="23">
        <f>_xlfn.DAYS(Tabla1[[#This Row],[FECHA FIN ]],Tabla1[[#This Row],[FECHA INICIO]])</f>
        <v>125</v>
      </c>
      <c r="M4065" s="12"/>
      <c r="N4065" s="20">
        <v>300</v>
      </c>
      <c r="O4065" s="24">
        <f>(Tabla1[[#This Row],[COSTO FIJO ]]/30)*Tabla1[[#This Row],[TOTAL DIAS PROYECTO]]+(Tabla1[[#This Row],[COSTO TEMPORAL]])</f>
        <v>1250</v>
      </c>
      <c r="P4065" s="12"/>
      <c r="Q4065" s="12">
        <f>+(Tabla1[[#This Row],[COSTO COCHE]]/30)*Tabla1[[#This Row],[TOTAL DIAS PROYECTO]]</f>
        <v>0</v>
      </c>
      <c r="R4065" s="12">
        <f>+Tabla1[[#This Row],[COSTO TOTAL ALOJAMIENTO]]+Tabla1[[#This Row],[COSTO TOTAL COCHE]]</f>
        <v>1250</v>
      </c>
      <c r="S4065" s="2"/>
      <c r="T4065" s="2" t="s">
        <v>35</v>
      </c>
      <c r="U4065" s="14">
        <v>45696</v>
      </c>
      <c r="V4065" s="25">
        <v>45785</v>
      </c>
      <c r="W4065" s="26"/>
      <c r="X4065" s="2">
        <v>5</v>
      </c>
      <c r="Y4065" s="11"/>
      <c r="Z4065" s="2" t="s">
        <v>36</v>
      </c>
      <c r="AA4065" s="13" t="s">
        <v>10442</v>
      </c>
      <c r="AB4065" s="13">
        <v>3588919</v>
      </c>
    </row>
    <row r="4066" spans="1:28" ht="15" customHeight="1">
      <c r="A4066" s="2" t="s">
        <v>10013</v>
      </c>
      <c r="B4066" s="2" t="s">
        <v>28</v>
      </c>
      <c r="C4066" s="11" t="s">
        <v>5958</v>
      </c>
      <c r="D4066" s="2" t="s">
        <v>99</v>
      </c>
      <c r="E4066" s="2" t="s">
        <v>1664</v>
      </c>
      <c r="F4066" s="11" t="s">
        <v>1794</v>
      </c>
      <c r="G4066" s="21" t="s">
        <v>1795</v>
      </c>
      <c r="H4066" s="2" t="s">
        <v>5465</v>
      </c>
      <c r="I4066" s="12" t="s">
        <v>96</v>
      </c>
      <c r="J4066" s="22">
        <f>+Tabla1[[#This Row],[FECHA ENTRADA]]</f>
        <v>45784</v>
      </c>
      <c r="K4066" s="8">
        <v>45823</v>
      </c>
      <c r="L4066" s="23">
        <f>_xlfn.DAYS(Tabla1[[#This Row],[FECHA FIN ]],Tabla1[[#This Row],[FECHA INICIO]])</f>
        <v>39</v>
      </c>
      <c r="M4066" s="12"/>
      <c r="N4066" s="12"/>
      <c r="O4066" s="24">
        <f>(Tabla1[[#This Row],[COSTO FIJO ]]/30)*Tabla1[[#This Row],[TOTAL DIAS PROYECTO]]+(Tabla1[[#This Row],[COSTO TEMPORAL]])</f>
        <v>0</v>
      </c>
      <c r="P4066" s="12"/>
      <c r="Q4066" s="12">
        <f>+(Tabla1[[#This Row],[COSTO COCHE]]/30)*Tabla1[[#This Row],[TOTAL DIAS PROYECTO]]</f>
        <v>0</v>
      </c>
      <c r="R4066" s="12">
        <f>+Tabla1[[#This Row],[COSTO TOTAL ALOJAMIENTO]]+Tabla1[[#This Row],[COSTO TOTAL COCHE]]</f>
        <v>0</v>
      </c>
      <c r="S4066" s="2" t="s">
        <v>84</v>
      </c>
      <c r="T4066" s="2" t="s">
        <v>44</v>
      </c>
      <c r="U4066" s="14">
        <v>45784</v>
      </c>
      <c r="V4066" s="25">
        <v>45845</v>
      </c>
      <c r="W4066" s="2"/>
      <c r="X4066" s="2">
        <v>1</v>
      </c>
      <c r="Y4066" s="11" t="s">
        <v>5577</v>
      </c>
      <c r="Z4066" s="2" t="s">
        <v>36</v>
      </c>
      <c r="AA4066" s="13" t="s">
        <v>10425</v>
      </c>
      <c r="AB4066" s="13" t="s">
        <v>10426</v>
      </c>
    </row>
    <row r="4067" spans="1:28" ht="15" customHeight="1">
      <c r="A4067" s="2" t="s">
        <v>10013</v>
      </c>
      <c r="B4067" s="2" t="s">
        <v>28</v>
      </c>
      <c r="C4067" s="11" t="s">
        <v>5958</v>
      </c>
      <c r="D4067" s="2" t="s">
        <v>99</v>
      </c>
      <c r="E4067" s="2" t="s">
        <v>1987</v>
      </c>
      <c r="F4067" s="11" t="s">
        <v>3567</v>
      </c>
      <c r="G4067" s="46" t="s">
        <v>3568</v>
      </c>
      <c r="H4067" s="2" t="s">
        <v>5398</v>
      </c>
      <c r="I4067" s="12" t="s">
        <v>96</v>
      </c>
      <c r="J4067" s="41">
        <f>+Tabla1[[#This Row],[FECHA ENTRADA]]</f>
        <v>45823</v>
      </c>
      <c r="K4067" s="41">
        <v>45883</v>
      </c>
      <c r="L4067" s="42">
        <f>_xlfn.DAYS(Tabla1[[#This Row],[FECHA FIN ]],Tabla1[[#This Row],[FECHA INICIO]])</f>
        <v>60</v>
      </c>
      <c r="M4067" s="12"/>
      <c r="N4067" s="12">
        <v>497.33333333333331</v>
      </c>
      <c r="O4067" s="28">
        <f>(Tabla1[[#This Row],[COSTO FIJO ]]/30)*Tabla1[[#This Row],[TOTAL DIAS PROYECTO]]+(Tabla1[[#This Row],[COSTO TEMPORAL]])</f>
        <v>994.66666666666652</v>
      </c>
      <c r="P4067" s="12"/>
      <c r="Q4067" s="12">
        <f>+(Tabla1[[#This Row],[COSTO COCHE]]/30)*Tabla1[[#This Row],[TOTAL DIAS PROYECTO]]</f>
        <v>0</v>
      </c>
      <c r="R4067" s="12">
        <f>+Tabla1[[#This Row],[COSTO TOTAL ALOJAMIENTO]]+Tabla1[[#This Row],[COSTO TOTAL COCHE]]</f>
        <v>994.66666666666652</v>
      </c>
      <c r="S4067" s="2"/>
      <c r="T4067" s="2" t="s">
        <v>44</v>
      </c>
      <c r="U4067" s="14">
        <v>45823</v>
      </c>
      <c r="V4067" s="43">
        <v>45895</v>
      </c>
      <c r="W4067" s="2"/>
      <c r="X4067" s="2"/>
      <c r="Y4067" s="11" t="s">
        <v>5997</v>
      </c>
      <c r="Z4067" s="2" t="s">
        <v>36</v>
      </c>
      <c r="AA4067" s="13" t="s">
        <v>10435</v>
      </c>
      <c r="AB4067" s="13">
        <v>42.136150000000001</v>
      </c>
    </row>
    <row r="4068" spans="1:28" ht="15" customHeight="1">
      <c r="A4068" s="2" t="s">
        <v>9988</v>
      </c>
      <c r="B4068" s="2" t="s">
        <v>978</v>
      </c>
      <c r="C4068" s="279" t="s">
        <v>5850</v>
      </c>
      <c r="D4068" s="2" t="s">
        <v>30</v>
      </c>
      <c r="E4068" s="2" t="s">
        <v>985</v>
      </c>
      <c r="F4068" s="11" t="s">
        <v>5998</v>
      </c>
      <c r="G4068" s="21" t="s">
        <v>5999</v>
      </c>
      <c r="H4068" s="157" t="s">
        <v>5718</v>
      </c>
      <c r="I4068" s="158" t="s">
        <v>5618</v>
      </c>
      <c r="J4068" s="22">
        <f>+Tabla1[[#This Row],[FECHA ENTRADA]]</f>
        <v>45959</v>
      </c>
      <c r="K4068" s="22">
        <v>45968</v>
      </c>
      <c r="L4068" s="23">
        <f>_xlfn.DAYS(Tabla1[[#This Row],[FECHA FIN ]],Tabla1[[#This Row],[FECHA INICIO]])</f>
        <v>9</v>
      </c>
      <c r="M4068" s="12">
        <f>1077.22/5</f>
        <v>215.44400000000002</v>
      </c>
      <c r="N4068" s="20"/>
      <c r="O4068" s="24">
        <f>(Tabla1[[#This Row],[COSTO FIJO ]]/30)*Tabla1[[#This Row],[TOTAL DIAS PROYECTO]]+(Tabla1[[#This Row],[COSTO TEMPORAL]])</f>
        <v>215.44400000000002</v>
      </c>
      <c r="P4068" s="12"/>
      <c r="Q4068" s="12">
        <f>+(Tabla1[[#This Row],[COSTO COCHE]]/30)*Tabla1[[#This Row],[TOTAL DIAS PROYECTO]]</f>
        <v>0</v>
      </c>
      <c r="R4068" s="12">
        <f>+Tabla1[[#This Row],[COSTO TOTAL ALOJAMIENTO]]+Tabla1[[#This Row],[COSTO TOTAL COCHE]]</f>
        <v>215.44400000000002</v>
      </c>
      <c r="S4068" s="2" t="s">
        <v>403</v>
      </c>
      <c r="T4068" s="14" t="s">
        <v>44</v>
      </c>
      <c r="U4068" s="14">
        <v>45959</v>
      </c>
      <c r="V4068" s="25">
        <v>45980</v>
      </c>
      <c r="W4068" s="71"/>
      <c r="X4068" s="2"/>
      <c r="Y4068" s="202" t="s">
        <v>5978</v>
      </c>
      <c r="Z4068" s="2" t="s">
        <v>36</v>
      </c>
      <c r="AA4068" s="13" t="s">
        <v>10407</v>
      </c>
      <c r="AB4068" s="13" t="s">
        <v>10408</v>
      </c>
    </row>
    <row r="4069" spans="1:28" ht="15" customHeight="1">
      <c r="A4069" s="2" t="s">
        <v>9992</v>
      </c>
      <c r="B4069" s="2" t="s">
        <v>978</v>
      </c>
      <c r="C4069" s="31" t="s">
        <v>5856</v>
      </c>
      <c r="D4069" s="2" t="s">
        <v>30</v>
      </c>
      <c r="E4069" s="2" t="s">
        <v>985</v>
      </c>
      <c r="F4069" s="11" t="s">
        <v>5998</v>
      </c>
      <c r="G4069" s="21" t="s">
        <v>5999</v>
      </c>
      <c r="H4069" s="2" t="s">
        <v>5718</v>
      </c>
      <c r="I4069" s="12" t="s">
        <v>5618</v>
      </c>
      <c r="J4069" s="22">
        <f>+Tabla1[[#This Row],[FECHA ENTRADA]]</f>
        <v>45959</v>
      </c>
      <c r="K4069" s="22">
        <v>45968</v>
      </c>
      <c r="L4069" s="23">
        <f>_xlfn.DAYS(Tabla1[[#This Row],[FECHA FIN ]],Tabla1[[#This Row],[FECHA INICIO]])</f>
        <v>9</v>
      </c>
      <c r="M4069" s="12">
        <f>1077.22/5</f>
        <v>215.44400000000002</v>
      </c>
      <c r="N4069" s="20"/>
      <c r="O4069" s="24">
        <f>(Tabla1[[#This Row],[COSTO FIJO ]]/30)*Tabla1[[#This Row],[TOTAL DIAS PROYECTO]]+(Tabla1[[#This Row],[COSTO TEMPORAL]])</f>
        <v>215.44400000000002</v>
      </c>
      <c r="P4069" s="12"/>
      <c r="Q4069" s="12">
        <f>+(Tabla1[[#This Row],[COSTO COCHE]]/30)*Tabla1[[#This Row],[TOTAL DIAS PROYECTO]]</f>
        <v>0</v>
      </c>
      <c r="R4069" s="12">
        <f>+Tabla1[[#This Row],[COSTO TOTAL ALOJAMIENTO]]+Tabla1[[#This Row],[COSTO TOTAL COCHE]]</f>
        <v>215.44400000000002</v>
      </c>
      <c r="S4069" s="2" t="s">
        <v>403</v>
      </c>
      <c r="T4069" s="14" t="s">
        <v>44</v>
      </c>
      <c r="U4069" s="14">
        <v>45959</v>
      </c>
      <c r="V4069" s="25">
        <v>45980</v>
      </c>
      <c r="W4069" s="71"/>
      <c r="X4069" s="2"/>
      <c r="Y4069" s="202" t="s">
        <v>5978</v>
      </c>
      <c r="Z4069" s="2" t="s">
        <v>36</v>
      </c>
      <c r="AA4069" s="13" t="s">
        <v>10407</v>
      </c>
      <c r="AB4069" s="13" t="s">
        <v>10408</v>
      </c>
    </row>
    <row r="4070" spans="1:28" ht="15" customHeight="1">
      <c r="A4070" s="2" t="s">
        <v>9989</v>
      </c>
      <c r="B4070" s="2" t="s">
        <v>978</v>
      </c>
      <c r="C4070" s="31" t="s">
        <v>5852</v>
      </c>
      <c r="D4070" s="2" t="s">
        <v>30</v>
      </c>
      <c r="E4070" s="2" t="s">
        <v>985</v>
      </c>
      <c r="F4070" s="11" t="s">
        <v>5998</v>
      </c>
      <c r="G4070" s="21" t="s">
        <v>5999</v>
      </c>
      <c r="H4070" s="2" t="s">
        <v>5718</v>
      </c>
      <c r="I4070" s="12" t="s">
        <v>5618</v>
      </c>
      <c r="J4070" s="22">
        <f>+Tabla1[[#This Row],[FECHA ENTRADA]]</f>
        <v>45959</v>
      </c>
      <c r="K4070" s="22">
        <v>45968</v>
      </c>
      <c r="L4070" s="23">
        <f>_xlfn.DAYS(Tabla1[[#This Row],[FECHA FIN ]],Tabla1[[#This Row],[FECHA INICIO]])</f>
        <v>9</v>
      </c>
      <c r="M4070" s="12">
        <f>1077.22/5</f>
        <v>215.44400000000002</v>
      </c>
      <c r="N4070" s="20"/>
      <c r="O4070" s="24">
        <f>(Tabla1[[#This Row],[COSTO FIJO ]]/30)*Tabla1[[#This Row],[TOTAL DIAS PROYECTO]]+(Tabla1[[#This Row],[COSTO TEMPORAL]])</f>
        <v>215.44400000000002</v>
      </c>
      <c r="P4070" s="12"/>
      <c r="Q4070" s="12">
        <f>+(Tabla1[[#This Row],[COSTO COCHE]]/30)*Tabla1[[#This Row],[TOTAL DIAS PROYECTO]]</f>
        <v>0</v>
      </c>
      <c r="R4070" s="12">
        <f>+Tabla1[[#This Row],[COSTO TOTAL ALOJAMIENTO]]+Tabla1[[#This Row],[COSTO TOTAL COCHE]]</f>
        <v>215.44400000000002</v>
      </c>
      <c r="S4070" s="2" t="s">
        <v>403</v>
      </c>
      <c r="T4070" s="14" t="s">
        <v>44</v>
      </c>
      <c r="U4070" s="14">
        <v>45959</v>
      </c>
      <c r="V4070" s="25">
        <v>45980</v>
      </c>
      <c r="W4070" s="71"/>
      <c r="X4070" s="2"/>
      <c r="Y4070" s="202" t="s">
        <v>5978</v>
      </c>
      <c r="Z4070" s="2" t="s">
        <v>36</v>
      </c>
      <c r="AA4070" s="13" t="s">
        <v>10407</v>
      </c>
      <c r="AB4070" s="13" t="s">
        <v>10408</v>
      </c>
    </row>
    <row r="4071" spans="1:28" ht="15" customHeight="1">
      <c r="A4071" s="2" t="s">
        <v>9357</v>
      </c>
      <c r="B4071" s="2" t="s">
        <v>978</v>
      </c>
      <c r="C4071" s="31" t="s">
        <v>2921</v>
      </c>
      <c r="D4071" s="2" t="s">
        <v>30</v>
      </c>
      <c r="E4071" s="2" t="s">
        <v>985</v>
      </c>
      <c r="F4071" s="11" t="s">
        <v>6000</v>
      </c>
      <c r="G4071" s="21" t="s">
        <v>5616</v>
      </c>
      <c r="H4071" s="2" t="s">
        <v>5718</v>
      </c>
      <c r="I4071" s="12" t="s">
        <v>5618</v>
      </c>
      <c r="J4071" s="41">
        <f>+Tabla1[[#This Row],[FECHA ENTRADA]]</f>
        <v>45943</v>
      </c>
      <c r="K4071" s="22">
        <v>45968</v>
      </c>
      <c r="L4071" s="42">
        <f>_xlfn.DAYS(Tabla1[[#This Row],[FECHA FIN ]],Tabla1[[#This Row],[FECHA INICIO]])</f>
        <v>25</v>
      </c>
      <c r="M4071" s="12">
        <f>2172.5/4</f>
        <v>543.125</v>
      </c>
      <c r="N4071" s="20"/>
      <c r="O4071" s="28">
        <f>(Tabla1[[#This Row],[COSTO FIJO ]]/30)*Tabla1[[#This Row],[TOTAL DIAS PROYECTO]]+(Tabla1[[#This Row],[COSTO TEMPORAL]])</f>
        <v>543.125</v>
      </c>
      <c r="P4071" s="12"/>
      <c r="Q4071" s="12">
        <f>+(Tabla1[[#This Row],[COSTO COCHE]]/30)*Tabla1[[#This Row],[TOTAL DIAS PROYECTO]]</f>
        <v>0</v>
      </c>
      <c r="R4071" s="12">
        <f>+Tabla1[[#This Row],[COSTO TOTAL ALOJAMIENTO]]+Tabla1[[#This Row],[COSTO TOTAL COCHE]]</f>
        <v>543.125</v>
      </c>
      <c r="S4071" s="2" t="s">
        <v>84</v>
      </c>
      <c r="T4071" s="14" t="s">
        <v>44</v>
      </c>
      <c r="U4071" s="14">
        <v>45943</v>
      </c>
      <c r="V4071" s="43">
        <v>45983</v>
      </c>
      <c r="W4071" s="71"/>
      <c r="X4071" s="2"/>
      <c r="Y4071" s="202" t="s">
        <v>5978</v>
      </c>
      <c r="Z4071" s="2" t="s">
        <v>36</v>
      </c>
      <c r="AA4071" s="13" t="s">
        <v>10407</v>
      </c>
      <c r="AB4071" s="13" t="s">
        <v>10408</v>
      </c>
    </row>
    <row r="4072" spans="1:28" ht="15" customHeight="1">
      <c r="A4072" s="2" t="s">
        <v>9986</v>
      </c>
      <c r="B4072" s="2" t="s">
        <v>978</v>
      </c>
      <c r="C4072" s="239" t="s">
        <v>5848</v>
      </c>
      <c r="D4072" s="2" t="s">
        <v>99</v>
      </c>
      <c r="E4072" s="2" t="s">
        <v>985</v>
      </c>
      <c r="F4072" s="11" t="s">
        <v>5869</v>
      </c>
      <c r="G4072" s="21" t="s">
        <v>5870</v>
      </c>
      <c r="H4072" s="2" t="s">
        <v>5617</v>
      </c>
      <c r="I4072" s="12" t="s">
        <v>5618</v>
      </c>
      <c r="J4072" s="22">
        <f>+Tabla1[[#This Row],[FECHA ENTRADA]]</f>
        <v>45959</v>
      </c>
      <c r="K4072" s="22">
        <v>45968</v>
      </c>
      <c r="L4072" s="23">
        <f>_xlfn.DAYS(Tabla1[[#This Row],[FECHA FIN ]],Tabla1[[#This Row],[FECHA INICIO]])</f>
        <v>9</v>
      </c>
      <c r="M4072" s="12">
        <v>320.8</v>
      </c>
      <c r="N4072" s="20"/>
      <c r="O4072" s="24">
        <f>(Tabla1[[#This Row],[COSTO FIJO ]]/30)*Tabla1[[#This Row],[TOTAL DIAS PROYECTO]]+(Tabla1[[#This Row],[COSTO TEMPORAL]])</f>
        <v>320.8</v>
      </c>
      <c r="P4072" s="12"/>
      <c r="Q4072" s="12">
        <f>+(Tabla1[[#This Row],[COSTO COCHE]]/30)*Tabla1[[#This Row],[TOTAL DIAS PROYECTO]]</f>
        <v>0</v>
      </c>
      <c r="R4072" s="12">
        <f>+Tabla1[[#This Row],[COSTO TOTAL ALOJAMIENTO]]+Tabla1[[#This Row],[COSTO TOTAL COCHE]]</f>
        <v>320.8</v>
      </c>
      <c r="S4072" s="2" t="s">
        <v>403</v>
      </c>
      <c r="T4072" s="14" t="s">
        <v>44</v>
      </c>
      <c r="U4072" s="14">
        <v>45959</v>
      </c>
      <c r="V4072" s="25">
        <v>45980</v>
      </c>
      <c r="W4072" s="71"/>
      <c r="X4072" s="2"/>
      <c r="Y4072" s="202" t="s">
        <v>5978</v>
      </c>
      <c r="Z4072" s="2" t="s">
        <v>36</v>
      </c>
      <c r="AA4072" s="13" t="s">
        <v>10407</v>
      </c>
      <c r="AB4072" s="13" t="s">
        <v>10408</v>
      </c>
    </row>
    <row r="4073" spans="1:28" ht="15" customHeight="1">
      <c r="A4073" s="2" t="s">
        <v>9987</v>
      </c>
      <c r="B4073" s="2" t="s">
        <v>978</v>
      </c>
      <c r="C4073" s="239" t="s">
        <v>5849</v>
      </c>
      <c r="D4073" s="2" t="s">
        <v>99</v>
      </c>
      <c r="E4073" s="2" t="s">
        <v>985</v>
      </c>
      <c r="F4073" s="11" t="s">
        <v>5869</v>
      </c>
      <c r="G4073" s="21" t="s">
        <v>5870</v>
      </c>
      <c r="H4073" s="2" t="s">
        <v>5617</v>
      </c>
      <c r="I4073" s="12" t="s">
        <v>5618</v>
      </c>
      <c r="J4073" s="22">
        <f>+Tabla1[[#This Row],[FECHA ENTRADA]]</f>
        <v>45959</v>
      </c>
      <c r="K4073" s="22">
        <v>45968</v>
      </c>
      <c r="L4073" s="23">
        <f>_xlfn.DAYS(Tabla1[[#This Row],[FECHA FIN ]],Tabla1[[#This Row],[FECHA INICIO]])</f>
        <v>9</v>
      </c>
      <c r="M4073" s="12">
        <v>320.8</v>
      </c>
      <c r="N4073" s="20"/>
      <c r="O4073" s="24">
        <f>(Tabla1[[#This Row],[COSTO FIJO ]]/30)*Tabla1[[#This Row],[TOTAL DIAS PROYECTO]]+(Tabla1[[#This Row],[COSTO TEMPORAL]])</f>
        <v>320.8</v>
      </c>
      <c r="P4073" s="12"/>
      <c r="Q4073" s="12">
        <f>+(Tabla1[[#This Row],[COSTO COCHE]]/30)*Tabla1[[#This Row],[TOTAL DIAS PROYECTO]]</f>
        <v>0</v>
      </c>
      <c r="R4073" s="12">
        <f>+Tabla1[[#This Row],[COSTO TOTAL ALOJAMIENTO]]+Tabla1[[#This Row],[COSTO TOTAL COCHE]]</f>
        <v>320.8</v>
      </c>
      <c r="S4073" s="2" t="s">
        <v>403</v>
      </c>
      <c r="T4073" s="14" t="s">
        <v>44</v>
      </c>
      <c r="U4073" s="14">
        <v>45959</v>
      </c>
      <c r="V4073" s="25">
        <v>45980</v>
      </c>
      <c r="W4073" s="71"/>
      <c r="X4073" s="2"/>
      <c r="Y4073" s="202" t="s">
        <v>5978</v>
      </c>
      <c r="Z4073" s="2" t="s">
        <v>36</v>
      </c>
      <c r="AA4073" s="13" t="s">
        <v>10407</v>
      </c>
      <c r="AB4073" s="13" t="s">
        <v>10408</v>
      </c>
    </row>
    <row r="4074" spans="1:28" ht="15" customHeight="1">
      <c r="A4074" s="2" t="s">
        <v>9985</v>
      </c>
      <c r="B4074" s="2" t="s">
        <v>978</v>
      </c>
      <c r="C4074" s="239" t="s">
        <v>5847</v>
      </c>
      <c r="D4074" s="2" t="s">
        <v>99</v>
      </c>
      <c r="E4074" s="2" t="s">
        <v>985</v>
      </c>
      <c r="F4074" s="11" t="s">
        <v>5869</v>
      </c>
      <c r="G4074" s="21" t="s">
        <v>5870</v>
      </c>
      <c r="H4074" s="2" t="s">
        <v>5617</v>
      </c>
      <c r="I4074" s="12" t="s">
        <v>5618</v>
      </c>
      <c r="J4074" s="22">
        <f>+Tabla1[[#This Row],[FECHA ENTRADA]]</f>
        <v>45959</v>
      </c>
      <c r="K4074" s="22">
        <v>45968</v>
      </c>
      <c r="L4074" s="23">
        <f>_xlfn.DAYS(Tabla1[[#This Row],[FECHA FIN ]],Tabla1[[#This Row],[FECHA INICIO]])</f>
        <v>9</v>
      </c>
      <c r="M4074" s="12">
        <v>320.8</v>
      </c>
      <c r="N4074" s="20"/>
      <c r="O4074" s="24">
        <f>(Tabla1[[#This Row],[COSTO FIJO ]]/30)*Tabla1[[#This Row],[TOTAL DIAS PROYECTO]]+(Tabla1[[#This Row],[COSTO TEMPORAL]])</f>
        <v>320.8</v>
      </c>
      <c r="P4074" s="12"/>
      <c r="Q4074" s="12">
        <f>+(Tabla1[[#This Row],[COSTO COCHE]]/30)*Tabla1[[#This Row],[TOTAL DIAS PROYECTO]]</f>
        <v>0</v>
      </c>
      <c r="R4074" s="12">
        <f>+Tabla1[[#This Row],[COSTO TOTAL ALOJAMIENTO]]+Tabla1[[#This Row],[COSTO TOTAL COCHE]]</f>
        <v>320.8</v>
      </c>
      <c r="S4074" s="2" t="s">
        <v>403</v>
      </c>
      <c r="T4074" s="14" t="s">
        <v>44</v>
      </c>
      <c r="U4074" s="14">
        <v>45959</v>
      </c>
      <c r="V4074" s="25">
        <v>45980</v>
      </c>
      <c r="W4074" s="71"/>
      <c r="X4074" s="2"/>
      <c r="Y4074" s="202" t="s">
        <v>5978</v>
      </c>
      <c r="Z4074" s="2" t="s">
        <v>36</v>
      </c>
      <c r="AA4074" s="13" t="s">
        <v>10407</v>
      </c>
      <c r="AB4074" s="13" t="s">
        <v>10408</v>
      </c>
    </row>
    <row r="4075" spans="1:28" ht="15" customHeight="1">
      <c r="A4075" s="2" t="s">
        <v>10032</v>
      </c>
      <c r="B4075" s="2" t="s">
        <v>978</v>
      </c>
      <c r="C4075" s="31" t="s">
        <v>6001</v>
      </c>
      <c r="D4075" s="2" t="s">
        <v>30</v>
      </c>
      <c r="E4075" s="2" t="s">
        <v>985</v>
      </c>
      <c r="F4075" s="11" t="s">
        <v>6000</v>
      </c>
      <c r="G4075" s="21" t="s">
        <v>5616</v>
      </c>
      <c r="H4075" s="2" t="s">
        <v>5718</v>
      </c>
      <c r="I4075" s="12" t="s">
        <v>5618</v>
      </c>
      <c r="J4075" s="41">
        <f>+Tabla1[[#This Row],[FECHA ENTRADA]]</f>
        <v>45943</v>
      </c>
      <c r="K4075" s="22">
        <v>45968</v>
      </c>
      <c r="L4075" s="42">
        <f>_xlfn.DAYS(Tabla1[[#This Row],[FECHA FIN ]],Tabla1[[#This Row],[FECHA INICIO]])</f>
        <v>25</v>
      </c>
      <c r="M4075" s="12">
        <f>2172.5/4</f>
        <v>543.125</v>
      </c>
      <c r="N4075" s="20"/>
      <c r="O4075" s="28">
        <f>(Tabla1[[#This Row],[COSTO FIJO ]]/30)*Tabla1[[#This Row],[TOTAL DIAS PROYECTO]]+(Tabla1[[#This Row],[COSTO TEMPORAL]])</f>
        <v>543.125</v>
      </c>
      <c r="P4075" s="12"/>
      <c r="Q4075" s="12">
        <f>+(Tabla1[[#This Row],[COSTO COCHE]]/30)*Tabla1[[#This Row],[TOTAL DIAS PROYECTO]]</f>
        <v>0</v>
      </c>
      <c r="R4075" s="12">
        <f>+Tabla1[[#This Row],[COSTO TOTAL ALOJAMIENTO]]+Tabla1[[#This Row],[COSTO TOTAL COCHE]]</f>
        <v>543.125</v>
      </c>
      <c r="S4075" s="2" t="s">
        <v>84</v>
      </c>
      <c r="T4075" s="14" t="s">
        <v>44</v>
      </c>
      <c r="U4075" s="14">
        <v>45943</v>
      </c>
      <c r="V4075" s="43">
        <v>45983</v>
      </c>
      <c r="W4075" s="71"/>
      <c r="X4075" s="2"/>
      <c r="Y4075" s="202" t="s">
        <v>5978</v>
      </c>
      <c r="Z4075" s="2" t="s">
        <v>36</v>
      </c>
      <c r="AA4075" s="13" t="s">
        <v>10407</v>
      </c>
      <c r="AB4075" s="13" t="s">
        <v>10408</v>
      </c>
    </row>
    <row r="4076" spans="1:28" ht="15" customHeight="1">
      <c r="A4076" s="2" t="s">
        <v>9951</v>
      </c>
      <c r="B4076" s="2" t="s">
        <v>978</v>
      </c>
      <c r="C4076" s="31" t="s">
        <v>5666</v>
      </c>
      <c r="D4076" s="2" t="s">
        <v>30</v>
      </c>
      <c r="E4076" s="2" t="s">
        <v>1161</v>
      </c>
      <c r="F4076" s="11" t="s">
        <v>6002</v>
      </c>
      <c r="G4076" s="46" t="s">
        <v>6003</v>
      </c>
      <c r="H4076" s="2" t="s">
        <v>6004</v>
      </c>
      <c r="I4076" s="12" t="s">
        <v>1165</v>
      </c>
      <c r="J4076" s="41">
        <f>+Tabla1[[#This Row],[FECHA ENTRADA]]</f>
        <v>45963</v>
      </c>
      <c r="K4076" s="41">
        <v>45968</v>
      </c>
      <c r="L4076" s="42">
        <f>_xlfn.DAYS(Tabla1[[#This Row],[FECHA FIN ]],Tabla1[[#This Row],[FECHA INICIO]])</f>
        <v>5</v>
      </c>
      <c r="M4076" s="12">
        <f>(871.86+853.6)/4</f>
        <v>431.36500000000001</v>
      </c>
      <c r="N4076" s="28"/>
      <c r="O4076" s="28">
        <f>(Tabla1[[#This Row],[COSTO FIJO ]]/30)*Tabla1[[#This Row],[TOTAL DIAS PROYECTO]]+(Tabla1[[#This Row],[COSTO TEMPORAL]])</f>
        <v>431.36500000000001</v>
      </c>
      <c r="P4076" s="12"/>
      <c r="Q4076" s="12">
        <f>+(Tabla1[[#This Row],[COSTO COCHE]]/30)*Tabla1[[#This Row],[TOTAL DIAS PROYECTO]]</f>
        <v>0</v>
      </c>
      <c r="R4076" s="12">
        <f>+Tabla1[[#This Row],[COSTO TOTAL ALOJAMIENTO]]+Tabla1[[#This Row],[COSTO TOTAL COCHE]]</f>
        <v>431.36500000000001</v>
      </c>
      <c r="S4076" s="2" t="s">
        <v>84</v>
      </c>
      <c r="T4076" s="14" t="s">
        <v>44</v>
      </c>
      <c r="U4076" s="14">
        <v>45963</v>
      </c>
      <c r="V4076" s="43">
        <v>45983</v>
      </c>
      <c r="W4076" s="71"/>
      <c r="X4076" s="2"/>
      <c r="Y4076" s="11" t="s">
        <v>6005</v>
      </c>
      <c r="Z4076" s="2" t="s">
        <v>36</v>
      </c>
      <c r="AA4076" s="13" t="s">
        <v>10413</v>
      </c>
      <c r="AB4076" s="13">
        <v>3652672</v>
      </c>
    </row>
    <row r="4077" spans="1:28" ht="15" customHeight="1">
      <c r="A4077" s="2" t="s">
        <v>10033</v>
      </c>
      <c r="B4077" s="2" t="s">
        <v>978</v>
      </c>
      <c r="C4077" s="239" t="s">
        <v>6006</v>
      </c>
      <c r="D4077" s="2" t="s">
        <v>30</v>
      </c>
      <c r="E4077" s="2" t="s">
        <v>985</v>
      </c>
      <c r="F4077" s="11" t="s">
        <v>6007</v>
      </c>
      <c r="G4077" s="46" t="s">
        <v>5616</v>
      </c>
      <c r="H4077" s="2" t="s">
        <v>6008</v>
      </c>
      <c r="I4077" s="12" t="s">
        <v>5618</v>
      </c>
      <c r="J4077" s="41">
        <f>+Tabla1[[#This Row],[FECHA ENTRADA]]</f>
        <v>45943</v>
      </c>
      <c r="K4077" s="22">
        <v>45968</v>
      </c>
      <c r="L4077" s="42">
        <f>_xlfn.DAYS(Tabla1[[#This Row],[FECHA FIN ]],Tabla1[[#This Row],[FECHA INICIO]])</f>
        <v>25</v>
      </c>
      <c r="M4077" s="12">
        <f>2241.05/4</f>
        <v>560.26250000000005</v>
      </c>
      <c r="N4077" s="28"/>
      <c r="O4077" s="28">
        <f>(Tabla1[[#This Row],[COSTO FIJO ]]/30)*Tabla1[[#This Row],[TOTAL DIAS PROYECTO]]+(Tabla1[[#This Row],[COSTO TEMPORAL]])</f>
        <v>560.26250000000005</v>
      </c>
      <c r="P4077" s="12"/>
      <c r="Q4077" s="12">
        <f>+(Tabla1[[#This Row],[COSTO COCHE]]/30)*Tabla1[[#This Row],[TOTAL DIAS PROYECTO]]</f>
        <v>0</v>
      </c>
      <c r="R4077" s="12">
        <f>+Tabla1[[#This Row],[COSTO TOTAL ALOJAMIENTO]]+Tabla1[[#This Row],[COSTO TOTAL COCHE]]</f>
        <v>560.26250000000005</v>
      </c>
      <c r="S4077" s="2" t="s">
        <v>84</v>
      </c>
      <c r="T4077" s="14" t="s">
        <v>44</v>
      </c>
      <c r="U4077" s="14">
        <v>45943</v>
      </c>
      <c r="V4077" s="43">
        <v>45983</v>
      </c>
      <c r="W4077" s="71"/>
      <c r="X4077" s="2"/>
      <c r="Y4077" s="202" t="s">
        <v>5978</v>
      </c>
      <c r="Z4077" s="2" t="s">
        <v>36</v>
      </c>
      <c r="AA4077" s="13" t="s">
        <v>10407</v>
      </c>
      <c r="AB4077" s="13" t="s">
        <v>10408</v>
      </c>
    </row>
    <row r="4078" spans="1:28" ht="15" customHeight="1">
      <c r="A4078" s="2" t="s">
        <v>10034</v>
      </c>
      <c r="B4078" s="2" t="s">
        <v>978</v>
      </c>
      <c r="C4078" s="31" t="s">
        <v>6009</v>
      </c>
      <c r="D4078" s="2" t="s">
        <v>30</v>
      </c>
      <c r="E4078" s="2" t="s">
        <v>985</v>
      </c>
      <c r="F4078" s="11" t="s">
        <v>6010</v>
      </c>
      <c r="G4078" s="46" t="s">
        <v>5616</v>
      </c>
      <c r="H4078" s="2" t="s">
        <v>6008</v>
      </c>
      <c r="I4078" s="12" t="s">
        <v>5618</v>
      </c>
      <c r="J4078" s="41">
        <f>+Tabla1[[#This Row],[FECHA ENTRADA]]</f>
        <v>45943</v>
      </c>
      <c r="K4078" s="22">
        <v>45968</v>
      </c>
      <c r="L4078" s="42">
        <f>_xlfn.DAYS(Tabla1[[#This Row],[FECHA FIN ]],Tabla1[[#This Row],[FECHA INICIO]])</f>
        <v>25</v>
      </c>
      <c r="M4078" s="12">
        <f>2603.7/5</f>
        <v>520.74</v>
      </c>
      <c r="N4078" s="28"/>
      <c r="O4078" s="28">
        <f>(Tabla1[[#This Row],[COSTO FIJO ]]/30)*Tabla1[[#This Row],[TOTAL DIAS PROYECTO]]+(Tabla1[[#This Row],[COSTO TEMPORAL]])</f>
        <v>520.74</v>
      </c>
      <c r="P4078" s="12"/>
      <c r="Q4078" s="12">
        <f>+(Tabla1[[#This Row],[COSTO COCHE]]/30)*Tabla1[[#This Row],[TOTAL DIAS PROYECTO]]</f>
        <v>0</v>
      </c>
      <c r="R4078" s="12">
        <f>+Tabla1[[#This Row],[COSTO TOTAL ALOJAMIENTO]]+Tabla1[[#This Row],[COSTO TOTAL COCHE]]</f>
        <v>520.74</v>
      </c>
      <c r="S4078" s="2" t="s">
        <v>84</v>
      </c>
      <c r="T4078" s="14" t="s">
        <v>44</v>
      </c>
      <c r="U4078" s="14">
        <v>45943</v>
      </c>
      <c r="V4078" s="43">
        <v>45983</v>
      </c>
      <c r="W4078" s="71"/>
      <c r="X4078" s="2"/>
      <c r="Y4078" s="202" t="s">
        <v>5978</v>
      </c>
      <c r="Z4078" s="2" t="s">
        <v>36</v>
      </c>
      <c r="AA4078" s="13" t="s">
        <v>10407</v>
      </c>
      <c r="AB4078" s="13" t="s">
        <v>10408</v>
      </c>
    </row>
    <row r="4079" spans="1:28" ht="15" customHeight="1">
      <c r="A4079" s="2" t="s">
        <v>8642</v>
      </c>
      <c r="B4079" s="2" t="s">
        <v>978</v>
      </c>
      <c r="C4079" s="239" t="s">
        <v>6011</v>
      </c>
      <c r="D4079" s="2" t="s">
        <v>30</v>
      </c>
      <c r="E4079" s="2" t="s">
        <v>985</v>
      </c>
      <c r="F4079" s="11" t="s">
        <v>6000</v>
      </c>
      <c r="G4079" s="21" t="s">
        <v>5616</v>
      </c>
      <c r="H4079" s="2" t="s">
        <v>5718</v>
      </c>
      <c r="I4079" s="12" t="s">
        <v>5618</v>
      </c>
      <c r="J4079" s="41">
        <f>+Tabla1[[#This Row],[FECHA ENTRADA]]</f>
        <v>45943</v>
      </c>
      <c r="K4079" s="22">
        <v>45968</v>
      </c>
      <c r="L4079" s="42">
        <f>_xlfn.DAYS(Tabla1[[#This Row],[FECHA FIN ]],Tabla1[[#This Row],[FECHA INICIO]])</f>
        <v>25</v>
      </c>
      <c r="M4079" s="12">
        <f>2172.5/4</f>
        <v>543.125</v>
      </c>
      <c r="N4079" s="20"/>
      <c r="O4079" s="28">
        <f>(Tabla1[[#This Row],[COSTO FIJO ]]/30)*Tabla1[[#This Row],[TOTAL DIAS PROYECTO]]+(Tabla1[[#This Row],[COSTO TEMPORAL]])</f>
        <v>543.125</v>
      </c>
      <c r="P4079" s="12"/>
      <c r="Q4079" s="12">
        <f>+(Tabla1[[#This Row],[COSTO COCHE]]/30)*Tabla1[[#This Row],[TOTAL DIAS PROYECTO]]</f>
        <v>0</v>
      </c>
      <c r="R4079" s="12">
        <f>+Tabla1[[#This Row],[COSTO TOTAL ALOJAMIENTO]]+Tabla1[[#This Row],[COSTO TOTAL COCHE]]</f>
        <v>543.125</v>
      </c>
      <c r="S4079" s="2" t="s">
        <v>84</v>
      </c>
      <c r="T4079" s="14" t="s">
        <v>44</v>
      </c>
      <c r="U4079" s="14">
        <v>45943</v>
      </c>
      <c r="V4079" s="43">
        <v>45983</v>
      </c>
      <c r="W4079" s="71"/>
      <c r="X4079" s="2"/>
      <c r="Y4079" s="202" t="s">
        <v>5978</v>
      </c>
      <c r="Z4079" s="2" t="s">
        <v>36</v>
      </c>
      <c r="AA4079" s="13" t="s">
        <v>10407</v>
      </c>
      <c r="AB4079" s="13" t="s">
        <v>10408</v>
      </c>
    </row>
    <row r="4080" spans="1:28" ht="15" customHeight="1">
      <c r="A4080" s="2" t="s">
        <v>9997</v>
      </c>
      <c r="B4080" s="2" t="s">
        <v>978</v>
      </c>
      <c r="C4080" s="31" t="s">
        <v>5864</v>
      </c>
      <c r="D4080" s="2" t="s">
        <v>30</v>
      </c>
      <c r="E4080" s="2" t="s">
        <v>985</v>
      </c>
      <c r="F4080" s="11" t="s">
        <v>6010</v>
      </c>
      <c r="G4080" s="46" t="s">
        <v>5616</v>
      </c>
      <c r="H4080" s="2" t="s">
        <v>5718</v>
      </c>
      <c r="I4080" s="12" t="s">
        <v>5618</v>
      </c>
      <c r="J4080" s="41">
        <f>+Tabla1[[#This Row],[FECHA ENTRADA]]</f>
        <v>45943</v>
      </c>
      <c r="K4080" s="22">
        <v>45968</v>
      </c>
      <c r="L4080" s="42">
        <f>_xlfn.DAYS(Tabla1[[#This Row],[FECHA FIN ]],Tabla1[[#This Row],[FECHA INICIO]])</f>
        <v>25</v>
      </c>
      <c r="M4080" s="12">
        <f>2603.7/5</f>
        <v>520.74</v>
      </c>
      <c r="N4080" s="28"/>
      <c r="O4080" s="28">
        <f>(Tabla1[[#This Row],[COSTO FIJO ]]/30)*Tabla1[[#This Row],[TOTAL DIAS PROYECTO]]+(Tabla1[[#This Row],[COSTO TEMPORAL]])</f>
        <v>520.74</v>
      </c>
      <c r="P4080" s="12"/>
      <c r="Q4080" s="12">
        <f>+(Tabla1[[#This Row],[COSTO COCHE]]/30)*Tabla1[[#This Row],[TOTAL DIAS PROYECTO]]</f>
        <v>0</v>
      </c>
      <c r="R4080" s="12">
        <f>+Tabla1[[#This Row],[COSTO TOTAL ALOJAMIENTO]]+Tabla1[[#This Row],[COSTO TOTAL COCHE]]</f>
        <v>520.74</v>
      </c>
      <c r="S4080" s="2" t="s">
        <v>84</v>
      </c>
      <c r="T4080" s="14" t="s">
        <v>44</v>
      </c>
      <c r="U4080" s="14">
        <v>45943</v>
      </c>
      <c r="V4080" s="43">
        <v>45983</v>
      </c>
      <c r="W4080" s="71"/>
      <c r="X4080" s="2"/>
      <c r="Y4080" s="202" t="s">
        <v>5978</v>
      </c>
      <c r="Z4080" s="2" t="s">
        <v>36</v>
      </c>
      <c r="AA4080" s="13" t="s">
        <v>10407</v>
      </c>
      <c r="AB4080" s="13" t="s">
        <v>10408</v>
      </c>
    </row>
    <row r="4081" spans="1:28" ht="15" customHeight="1">
      <c r="A4081" s="2" t="s">
        <v>10035</v>
      </c>
      <c r="B4081" s="2" t="s">
        <v>978</v>
      </c>
      <c r="C4081" s="31" t="s">
        <v>6012</v>
      </c>
      <c r="D4081" s="2" t="s">
        <v>30</v>
      </c>
      <c r="E4081" s="2" t="s">
        <v>985</v>
      </c>
      <c r="F4081" s="11" t="s">
        <v>6007</v>
      </c>
      <c r="G4081" s="46" t="s">
        <v>5616</v>
      </c>
      <c r="H4081" s="2" t="s">
        <v>6008</v>
      </c>
      <c r="I4081" s="12" t="s">
        <v>5618</v>
      </c>
      <c r="J4081" s="41">
        <f>+Tabla1[[#This Row],[FECHA ENTRADA]]</f>
        <v>45943</v>
      </c>
      <c r="K4081" s="22">
        <v>45968</v>
      </c>
      <c r="L4081" s="42">
        <f>_xlfn.DAYS(Tabla1[[#This Row],[FECHA FIN ]],Tabla1[[#This Row],[FECHA INICIO]])</f>
        <v>25</v>
      </c>
      <c r="M4081" s="12">
        <f>2241.05/4</f>
        <v>560.26250000000005</v>
      </c>
      <c r="N4081" s="28"/>
      <c r="O4081" s="28">
        <f>(Tabla1[[#This Row],[COSTO FIJO ]]/30)*Tabla1[[#This Row],[TOTAL DIAS PROYECTO]]+(Tabla1[[#This Row],[COSTO TEMPORAL]])</f>
        <v>560.26250000000005</v>
      </c>
      <c r="P4081" s="12"/>
      <c r="Q4081" s="12">
        <f>+(Tabla1[[#This Row],[COSTO COCHE]]/30)*Tabla1[[#This Row],[TOTAL DIAS PROYECTO]]</f>
        <v>0</v>
      </c>
      <c r="R4081" s="12">
        <f>+Tabla1[[#This Row],[COSTO TOTAL ALOJAMIENTO]]+Tabla1[[#This Row],[COSTO TOTAL COCHE]]</f>
        <v>560.26250000000005</v>
      </c>
      <c r="S4081" s="2" t="s">
        <v>84</v>
      </c>
      <c r="T4081" s="14" t="s">
        <v>44</v>
      </c>
      <c r="U4081" s="14">
        <v>45943</v>
      </c>
      <c r="V4081" s="43">
        <v>45983</v>
      </c>
      <c r="W4081" s="71"/>
      <c r="X4081" s="2"/>
      <c r="Y4081" s="202" t="s">
        <v>5978</v>
      </c>
      <c r="Z4081" s="2" t="s">
        <v>36</v>
      </c>
      <c r="AA4081" s="13" t="s">
        <v>10407</v>
      </c>
      <c r="AB4081" s="13" t="s">
        <v>10408</v>
      </c>
    </row>
    <row r="4082" spans="1:28" ht="15" customHeight="1">
      <c r="A4082" s="2" t="s">
        <v>9891</v>
      </c>
      <c r="B4082" s="2" t="s">
        <v>978</v>
      </c>
      <c r="C4082" s="31" t="s">
        <v>5232</v>
      </c>
      <c r="D4082" s="2" t="s">
        <v>30</v>
      </c>
      <c r="E4082" s="2" t="s">
        <v>985</v>
      </c>
      <c r="F4082" s="11" t="s">
        <v>6010</v>
      </c>
      <c r="G4082" s="46" t="s">
        <v>5616</v>
      </c>
      <c r="H4082" s="2" t="s">
        <v>6008</v>
      </c>
      <c r="I4082" s="12" t="s">
        <v>5618</v>
      </c>
      <c r="J4082" s="41">
        <f>+Tabla1[[#This Row],[FECHA ENTRADA]]</f>
        <v>45943</v>
      </c>
      <c r="K4082" s="22">
        <v>45968</v>
      </c>
      <c r="L4082" s="42">
        <f>_xlfn.DAYS(Tabla1[[#This Row],[FECHA FIN ]],Tabla1[[#This Row],[FECHA INICIO]])</f>
        <v>25</v>
      </c>
      <c r="M4082" s="12">
        <f>2603.7/5</f>
        <v>520.74</v>
      </c>
      <c r="N4082" s="28"/>
      <c r="O4082" s="28">
        <f>(Tabla1[[#This Row],[COSTO FIJO ]]/30)*Tabla1[[#This Row],[TOTAL DIAS PROYECTO]]+(Tabla1[[#This Row],[COSTO TEMPORAL]])</f>
        <v>520.74</v>
      </c>
      <c r="P4082" s="12"/>
      <c r="Q4082" s="12">
        <f>+(Tabla1[[#This Row],[COSTO COCHE]]/30)*Tabla1[[#This Row],[TOTAL DIAS PROYECTO]]</f>
        <v>0</v>
      </c>
      <c r="R4082" s="12">
        <f>+Tabla1[[#This Row],[COSTO TOTAL ALOJAMIENTO]]+Tabla1[[#This Row],[COSTO TOTAL COCHE]]</f>
        <v>520.74</v>
      </c>
      <c r="S4082" s="2" t="s">
        <v>84</v>
      </c>
      <c r="T4082" s="14" t="s">
        <v>44</v>
      </c>
      <c r="U4082" s="14">
        <v>45943</v>
      </c>
      <c r="V4082" s="43">
        <v>45983</v>
      </c>
      <c r="W4082" s="71"/>
      <c r="X4082" s="2"/>
      <c r="Y4082" s="202" t="s">
        <v>5978</v>
      </c>
      <c r="Z4082" s="2" t="s">
        <v>36</v>
      </c>
      <c r="AA4082" s="13" t="s">
        <v>10407</v>
      </c>
      <c r="AB4082" s="13" t="s">
        <v>10408</v>
      </c>
    </row>
    <row r="4083" spans="1:28" ht="15" customHeight="1">
      <c r="A4083" s="2" t="s">
        <v>9933</v>
      </c>
      <c r="B4083" s="2" t="s">
        <v>978</v>
      </c>
      <c r="C4083" s="31" t="s">
        <v>5533</v>
      </c>
      <c r="D4083" s="2" t="s">
        <v>30</v>
      </c>
      <c r="E4083" s="2" t="s">
        <v>985</v>
      </c>
      <c r="F4083" s="11" t="s">
        <v>6007</v>
      </c>
      <c r="G4083" s="46" t="s">
        <v>5616</v>
      </c>
      <c r="H4083" s="2" t="s">
        <v>6008</v>
      </c>
      <c r="I4083" s="12" t="s">
        <v>5618</v>
      </c>
      <c r="J4083" s="41">
        <f>+Tabla1[[#This Row],[FECHA ENTRADA]]</f>
        <v>45943</v>
      </c>
      <c r="K4083" s="22">
        <v>45968</v>
      </c>
      <c r="L4083" s="42">
        <f>_xlfn.DAYS(Tabla1[[#This Row],[FECHA FIN ]],Tabla1[[#This Row],[FECHA INICIO]])</f>
        <v>25</v>
      </c>
      <c r="M4083" s="12">
        <f>2241.05/4</f>
        <v>560.26250000000005</v>
      </c>
      <c r="N4083" s="28"/>
      <c r="O4083" s="28">
        <f>(Tabla1[[#This Row],[COSTO FIJO ]]/30)*Tabla1[[#This Row],[TOTAL DIAS PROYECTO]]+(Tabla1[[#This Row],[COSTO TEMPORAL]])</f>
        <v>560.26250000000005</v>
      </c>
      <c r="P4083" s="12"/>
      <c r="Q4083" s="12">
        <f>+(Tabla1[[#This Row],[COSTO COCHE]]/30)*Tabla1[[#This Row],[TOTAL DIAS PROYECTO]]</f>
        <v>0</v>
      </c>
      <c r="R4083" s="12">
        <f>+Tabla1[[#This Row],[COSTO TOTAL ALOJAMIENTO]]+Tabla1[[#This Row],[COSTO TOTAL COCHE]]</f>
        <v>560.26250000000005</v>
      </c>
      <c r="S4083" s="2" t="s">
        <v>84</v>
      </c>
      <c r="T4083" s="14" t="s">
        <v>44</v>
      </c>
      <c r="U4083" s="14">
        <v>45943</v>
      </c>
      <c r="V4083" s="43">
        <v>45983</v>
      </c>
      <c r="W4083" s="71"/>
      <c r="X4083" s="2"/>
      <c r="Y4083" s="202" t="s">
        <v>5978</v>
      </c>
      <c r="Z4083" s="2" t="s">
        <v>36</v>
      </c>
      <c r="AA4083" s="13" t="s">
        <v>10407</v>
      </c>
      <c r="AB4083" s="13" t="s">
        <v>10408</v>
      </c>
    </row>
    <row r="4084" spans="1:28" ht="15" customHeight="1">
      <c r="A4084" s="2" t="s">
        <v>9792</v>
      </c>
      <c r="B4084" s="2" t="s">
        <v>978</v>
      </c>
      <c r="C4084" s="31" t="s">
        <v>4750</v>
      </c>
      <c r="D4084" s="2" t="s">
        <v>30</v>
      </c>
      <c r="E4084" s="2" t="s">
        <v>985</v>
      </c>
      <c r="F4084" s="11" t="s">
        <v>6010</v>
      </c>
      <c r="G4084" s="46" t="s">
        <v>5616</v>
      </c>
      <c r="H4084" s="2" t="s">
        <v>6008</v>
      </c>
      <c r="I4084" s="12" t="s">
        <v>5618</v>
      </c>
      <c r="J4084" s="41">
        <f>+Tabla1[[#This Row],[FECHA ENTRADA]]</f>
        <v>45943</v>
      </c>
      <c r="K4084" s="22">
        <v>45968</v>
      </c>
      <c r="L4084" s="42">
        <f>_xlfn.DAYS(Tabla1[[#This Row],[FECHA FIN ]],Tabla1[[#This Row],[FECHA INICIO]])</f>
        <v>25</v>
      </c>
      <c r="M4084" s="12">
        <f>2603.7/5</f>
        <v>520.74</v>
      </c>
      <c r="N4084" s="28"/>
      <c r="O4084" s="28">
        <f>(Tabla1[[#This Row],[COSTO FIJO ]]/30)*Tabla1[[#This Row],[TOTAL DIAS PROYECTO]]+(Tabla1[[#This Row],[COSTO TEMPORAL]])</f>
        <v>520.74</v>
      </c>
      <c r="P4084" s="12"/>
      <c r="Q4084" s="12">
        <f>+(Tabla1[[#This Row],[COSTO COCHE]]/30)*Tabla1[[#This Row],[TOTAL DIAS PROYECTO]]</f>
        <v>0</v>
      </c>
      <c r="R4084" s="12">
        <f>+Tabla1[[#This Row],[COSTO TOTAL ALOJAMIENTO]]+Tabla1[[#This Row],[COSTO TOTAL COCHE]]</f>
        <v>520.74</v>
      </c>
      <c r="S4084" s="2" t="s">
        <v>84</v>
      </c>
      <c r="T4084" s="14" t="s">
        <v>44</v>
      </c>
      <c r="U4084" s="14">
        <v>45943</v>
      </c>
      <c r="V4084" s="43">
        <v>45983</v>
      </c>
      <c r="W4084" s="71"/>
      <c r="X4084" s="2"/>
      <c r="Y4084" s="202" t="s">
        <v>5978</v>
      </c>
      <c r="Z4084" s="2" t="s">
        <v>36</v>
      </c>
      <c r="AA4084" s="13" t="s">
        <v>10407</v>
      </c>
      <c r="AB4084" s="13" t="s">
        <v>10408</v>
      </c>
    </row>
    <row r="4085" spans="1:28" ht="15" customHeight="1">
      <c r="A4085" s="2" t="s">
        <v>10036</v>
      </c>
      <c r="B4085" s="2" t="s">
        <v>978</v>
      </c>
      <c r="C4085" s="239" t="s">
        <v>6013</v>
      </c>
      <c r="D4085" s="2" t="s">
        <v>30</v>
      </c>
      <c r="E4085" s="2" t="s">
        <v>985</v>
      </c>
      <c r="F4085" s="11" t="s">
        <v>6000</v>
      </c>
      <c r="G4085" s="46" t="s">
        <v>5616</v>
      </c>
      <c r="H4085" s="2" t="s">
        <v>5718</v>
      </c>
      <c r="I4085" s="12" t="s">
        <v>5618</v>
      </c>
      <c r="J4085" s="41">
        <f>+Tabla1[[#This Row],[FECHA ENTRADA]]</f>
        <v>45943</v>
      </c>
      <c r="K4085" s="22">
        <v>45968</v>
      </c>
      <c r="L4085" s="42">
        <f>_xlfn.DAYS(Tabla1[[#This Row],[FECHA FIN ]],Tabla1[[#This Row],[FECHA INICIO]])</f>
        <v>25</v>
      </c>
      <c r="M4085" s="12">
        <f>2172.5/4</f>
        <v>543.125</v>
      </c>
      <c r="N4085" s="28"/>
      <c r="O4085" s="28">
        <f>(Tabla1[[#This Row],[COSTO FIJO ]]/30)*Tabla1[[#This Row],[TOTAL DIAS PROYECTO]]+(Tabla1[[#This Row],[COSTO TEMPORAL]])</f>
        <v>543.125</v>
      </c>
      <c r="P4085" s="12"/>
      <c r="Q4085" s="12">
        <f>+(Tabla1[[#This Row],[COSTO COCHE]]/30)*Tabla1[[#This Row],[TOTAL DIAS PROYECTO]]</f>
        <v>0</v>
      </c>
      <c r="R4085" s="12">
        <f>+Tabla1[[#This Row],[COSTO TOTAL ALOJAMIENTO]]+Tabla1[[#This Row],[COSTO TOTAL COCHE]]</f>
        <v>543.125</v>
      </c>
      <c r="S4085" s="2" t="s">
        <v>84</v>
      </c>
      <c r="T4085" s="14" t="s">
        <v>44</v>
      </c>
      <c r="U4085" s="14">
        <v>45943</v>
      </c>
      <c r="V4085" s="43">
        <v>45983</v>
      </c>
      <c r="W4085" s="71"/>
      <c r="X4085" s="2"/>
      <c r="Y4085" s="202" t="s">
        <v>5978</v>
      </c>
      <c r="Z4085" s="2" t="s">
        <v>36</v>
      </c>
      <c r="AA4085" s="13" t="s">
        <v>10407</v>
      </c>
      <c r="AB4085" s="13" t="s">
        <v>10408</v>
      </c>
    </row>
    <row r="4086" spans="1:28" ht="15" customHeight="1">
      <c r="A4086" s="2" t="s">
        <v>10037</v>
      </c>
      <c r="B4086" s="2" t="s">
        <v>978</v>
      </c>
      <c r="C4086" s="31" t="s">
        <v>6014</v>
      </c>
      <c r="D4086" s="2" t="s">
        <v>30</v>
      </c>
      <c r="E4086" s="2" t="s">
        <v>985</v>
      </c>
      <c r="F4086" s="11" t="s">
        <v>6007</v>
      </c>
      <c r="G4086" s="46" t="s">
        <v>5616</v>
      </c>
      <c r="H4086" s="2" t="s">
        <v>6008</v>
      </c>
      <c r="I4086" s="12" t="s">
        <v>5618</v>
      </c>
      <c r="J4086" s="41">
        <f>+Tabla1[[#This Row],[FECHA ENTRADA]]</f>
        <v>45943</v>
      </c>
      <c r="K4086" s="22">
        <v>45968</v>
      </c>
      <c r="L4086" s="42">
        <f>_xlfn.DAYS(Tabla1[[#This Row],[FECHA FIN ]],Tabla1[[#This Row],[FECHA INICIO]])</f>
        <v>25</v>
      </c>
      <c r="M4086" s="12">
        <f>2241.05/4</f>
        <v>560.26250000000005</v>
      </c>
      <c r="N4086" s="28"/>
      <c r="O4086" s="28">
        <f>(Tabla1[[#This Row],[COSTO FIJO ]]/30)*Tabla1[[#This Row],[TOTAL DIAS PROYECTO]]+(Tabla1[[#This Row],[COSTO TEMPORAL]])</f>
        <v>560.26250000000005</v>
      </c>
      <c r="P4086" s="12"/>
      <c r="Q4086" s="12">
        <f>+(Tabla1[[#This Row],[COSTO COCHE]]/30)*Tabla1[[#This Row],[TOTAL DIAS PROYECTO]]</f>
        <v>0</v>
      </c>
      <c r="R4086" s="12">
        <f>+Tabla1[[#This Row],[COSTO TOTAL ALOJAMIENTO]]+Tabla1[[#This Row],[COSTO TOTAL COCHE]]</f>
        <v>560.26250000000005</v>
      </c>
      <c r="S4086" s="2" t="s">
        <v>84</v>
      </c>
      <c r="T4086" s="14" t="s">
        <v>44</v>
      </c>
      <c r="U4086" s="14">
        <v>45943</v>
      </c>
      <c r="V4086" s="43">
        <v>45983</v>
      </c>
      <c r="W4086" s="71"/>
      <c r="X4086" s="2"/>
      <c r="Y4086" s="202" t="s">
        <v>5978</v>
      </c>
      <c r="Z4086" s="2" t="s">
        <v>36</v>
      </c>
      <c r="AA4086" s="13" t="s">
        <v>10407</v>
      </c>
      <c r="AB4086" s="13" t="s">
        <v>10408</v>
      </c>
    </row>
    <row r="4087" spans="1:28" ht="15" customHeight="1">
      <c r="A4087" s="2" t="s">
        <v>9860</v>
      </c>
      <c r="B4087" s="2" t="s">
        <v>978</v>
      </c>
      <c r="C4087" s="11" t="s">
        <v>5079</v>
      </c>
      <c r="D4087" s="2" t="s">
        <v>30</v>
      </c>
      <c r="E4087" s="2" t="s">
        <v>109</v>
      </c>
      <c r="F4087" s="11" t="s">
        <v>5353</v>
      </c>
      <c r="G4087" s="49" t="s">
        <v>5354</v>
      </c>
      <c r="H4087" s="2" t="s">
        <v>5355</v>
      </c>
      <c r="I4087" s="12" t="s">
        <v>5356</v>
      </c>
      <c r="J4087" s="22">
        <f>+Tabla1[[#This Row],[FECHA ENTRADA]]</f>
        <v>45867</v>
      </c>
      <c r="K4087" s="22">
        <v>45875</v>
      </c>
      <c r="L4087" s="23">
        <f>_xlfn.DAYS(Tabla1[[#This Row],[FECHA FIN ]],Tabla1[[#This Row],[FECHA INICIO]])</f>
        <v>8</v>
      </c>
      <c r="M4087" s="12"/>
      <c r="N4087" s="12">
        <v>225.25</v>
      </c>
      <c r="O4087" s="24">
        <f>(Tabla1[[#This Row],[COSTO FIJO ]]/30)*Tabla1[[#This Row],[TOTAL DIAS PROYECTO]]+(Tabla1[[#This Row],[COSTO TEMPORAL]])</f>
        <v>60.06666666666667</v>
      </c>
      <c r="P4087" s="12"/>
      <c r="Q4087" s="12">
        <f>+(Tabla1[[#This Row],[COSTO COCHE]]/30)*Tabla1[[#This Row],[TOTAL DIAS PROYECTO]]</f>
        <v>0</v>
      </c>
      <c r="R4087" s="12">
        <f>+Tabla1[[#This Row],[COSTO TOTAL ALOJAMIENTO]]+Tabla1[[#This Row],[COSTO TOTAL COCHE]]</f>
        <v>60.06666666666667</v>
      </c>
      <c r="S4087" s="2" t="s">
        <v>403</v>
      </c>
      <c r="T4087" s="14" t="s">
        <v>44</v>
      </c>
      <c r="U4087" s="14">
        <v>45867</v>
      </c>
      <c r="V4087" s="25">
        <v>45875</v>
      </c>
      <c r="W4087" s="12"/>
      <c r="X4087" s="2"/>
      <c r="Y4087" s="11" t="s">
        <v>5357</v>
      </c>
      <c r="Z4087" s="2" t="s">
        <v>36</v>
      </c>
      <c r="AA4087" s="13">
        <v>0.62217999999999996</v>
      </c>
      <c r="AB4087" s="13" t="s">
        <v>10339</v>
      </c>
    </row>
    <row r="4088" spans="1:28" ht="15" customHeight="1">
      <c r="A4088" s="2" t="s">
        <v>9854</v>
      </c>
      <c r="B4088" s="2" t="s">
        <v>28</v>
      </c>
      <c r="C4088" s="31" t="s">
        <v>5056</v>
      </c>
      <c r="D4088" s="2" t="s">
        <v>99</v>
      </c>
      <c r="E4088" s="2" t="s">
        <v>4161</v>
      </c>
      <c r="F4088" s="11" t="s">
        <v>6015</v>
      </c>
      <c r="G4088" s="11" t="s">
        <v>6016</v>
      </c>
      <c r="H4088" s="2" t="s">
        <v>5566</v>
      </c>
      <c r="I4088" s="12" t="s">
        <v>118</v>
      </c>
      <c r="J4088" s="22">
        <f>+Tabla1[[#This Row],[FECHA ENTRADA]]</f>
        <v>45943</v>
      </c>
      <c r="K4088" s="22">
        <v>45968</v>
      </c>
      <c r="L4088" s="23">
        <f>_xlfn.DAYS(Tabla1[[#This Row],[FECHA FIN ]],Tabla1[[#This Row],[FECHA INICIO]])</f>
        <v>25</v>
      </c>
      <c r="M4088" s="12">
        <f>((947.18+1422.36)/4)</f>
        <v>592.38499999999999</v>
      </c>
      <c r="N4088" s="20"/>
      <c r="O4088" s="24">
        <f>(Tabla1[[#This Row],[COSTO FIJO ]]/30)*Tabla1[[#This Row],[TOTAL DIAS PROYECTO]]+(Tabla1[[#This Row],[COSTO TEMPORAL]])</f>
        <v>592.38499999999999</v>
      </c>
      <c r="P4088" s="12"/>
      <c r="Q4088" s="12">
        <f>+(Tabla1[[#This Row],[COSTO COCHE]]/30)*Tabla1[[#This Row],[TOTAL DIAS PROYECTO]]</f>
        <v>0</v>
      </c>
      <c r="R4088" s="12">
        <f>+Tabla1[[#This Row],[COSTO TOTAL ALOJAMIENTO]]+Tabla1[[#This Row],[COSTO TOTAL COCHE]]</f>
        <v>592.38499999999999</v>
      </c>
      <c r="S4088" s="2" t="s">
        <v>84</v>
      </c>
      <c r="T4088" s="14" t="s">
        <v>44</v>
      </c>
      <c r="U4088" s="14">
        <v>45943</v>
      </c>
      <c r="V4088" s="25">
        <v>45993</v>
      </c>
      <c r="W4088" s="71"/>
      <c r="X4088" s="2"/>
      <c r="Y4088" s="11" t="s">
        <v>6017</v>
      </c>
      <c r="Z4088" s="2" t="s">
        <v>36</v>
      </c>
      <c r="AA4088" s="13" t="e">
        <v>#N/A</v>
      </c>
      <c r="AB4088" s="13" t="e">
        <v>#N/A</v>
      </c>
    </row>
    <row r="4089" spans="1:28" ht="15" customHeight="1">
      <c r="A4089" s="2" t="s">
        <v>9798</v>
      </c>
      <c r="B4089" s="2" t="s">
        <v>28</v>
      </c>
      <c r="C4089" s="31" t="s">
        <v>4800</v>
      </c>
      <c r="D4089" s="2" t="s">
        <v>99</v>
      </c>
      <c r="E4089" s="2" t="s">
        <v>4161</v>
      </c>
      <c r="F4089" s="11" t="s">
        <v>6015</v>
      </c>
      <c r="G4089" s="11" t="s">
        <v>6016</v>
      </c>
      <c r="H4089" s="2" t="s">
        <v>5566</v>
      </c>
      <c r="I4089" s="12" t="s">
        <v>118</v>
      </c>
      <c r="J4089" s="22">
        <f>+Tabla1[[#This Row],[FECHA ENTRADA]]</f>
        <v>45943</v>
      </c>
      <c r="K4089" s="22">
        <v>45968</v>
      </c>
      <c r="L4089" s="23">
        <f>_xlfn.DAYS(Tabla1[[#This Row],[FECHA FIN ]],Tabla1[[#This Row],[FECHA INICIO]])</f>
        <v>25</v>
      </c>
      <c r="M4089" s="12">
        <f>((947.18+1422.36)/4)</f>
        <v>592.38499999999999</v>
      </c>
      <c r="N4089" s="20"/>
      <c r="O4089" s="24">
        <f>(Tabla1[[#This Row],[COSTO FIJO ]]/30)*Tabla1[[#This Row],[TOTAL DIAS PROYECTO]]+(Tabla1[[#This Row],[COSTO TEMPORAL]])</f>
        <v>592.38499999999999</v>
      </c>
      <c r="P4089" s="12"/>
      <c r="Q4089" s="12">
        <f>+(Tabla1[[#This Row],[COSTO COCHE]]/30)*Tabla1[[#This Row],[TOTAL DIAS PROYECTO]]</f>
        <v>0</v>
      </c>
      <c r="R4089" s="12">
        <f>+Tabla1[[#This Row],[COSTO TOTAL ALOJAMIENTO]]+Tabla1[[#This Row],[COSTO TOTAL COCHE]]</f>
        <v>592.38499999999999</v>
      </c>
      <c r="S4089" s="2" t="s">
        <v>84</v>
      </c>
      <c r="T4089" s="14" t="s">
        <v>44</v>
      </c>
      <c r="U4089" s="14">
        <v>45943</v>
      </c>
      <c r="V4089" s="25">
        <v>45993</v>
      </c>
      <c r="W4089" s="71"/>
      <c r="X4089" s="2"/>
      <c r="Y4089" s="11" t="s">
        <v>6018</v>
      </c>
      <c r="Z4089" s="2" t="s">
        <v>36</v>
      </c>
      <c r="AA4089" s="13" t="e">
        <v>#N/A</v>
      </c>
      <c r="AB4089" s="13" t="e">
        <v>#N/A</v>
      </c>
    </row>
    <row r="4090" spans="1:28" ht="15" customHeight="1">
      <c r="A4090" s="2" t="s">
        <v>9937</v>
      </c>
      <c r="B4090" s="2" t="s">
        <v>28</v>
      </c>
      <c r="C4090" s="31" t="s">
        <v>5568</v>
      </c>
      <c r="D4090" s="2" t="s">
        <v>99</v>
      </c>
      <c r="E4090" s="2" t="s">
        <v>4161</v>
      </c>
      <c r="F4090" s="11" t="s">
        <v>6015</v>
      </c>
      <c r="G4090" s="11" t="s">
        <v>6016</v>
      </c>
      <c r="H4090" s="2" t="s">
        <v>5566</v>
      </c>
      <c r="I4090" s="12" t="s">
        <v>118</v>
      </c>
      <c r="J4090" s="22">
        <f>+Tabla1[[#This Row],[FECHA ENTRADA]]</f>
        <v>45943</v>
      </c>
      <c r="K4090" s="22">
        <v>45968</v>
      </c>
      <c r="L4090" s="23">
        <f>_xlfn.DAYS(Tabla1[[#This Row],[FECHA FIN ]],Tabla1[[#This Row],[FECHA INICIO]])</f>
        <v>25</v>
      </c>
      <c r="M4090" s="12">
        <f>((947.18+1422.36)/4)</f>
        <v>592.38499999999999</v>
      </c>
      <c r="N4090" s="20"/>
      <c r="O4090" s="24">
        <f>(Tabla1[[#This Row],[COSTO FIJO ]]/30)*Tabla1[[#This Row],[TOTAL DIAS PROYECTO]]+(Tabla1[[#This Row],[COSTO TEMPORAL]])</f>
        <v>592.38499999999999</v>
      </c>
      <c r="P4090" s="12"/>
      <c r="Q4090" s="12">
        <f>+(Tabla1[[#This Row],[COSTO COCHE]]/30)*Tabla1[[#This Row],[TOTAL DIAS PROYECTO]]</f>
        <v>0</v>
      </c>
      <c r="R4090" s="12">
        <f>+Tabla1[[#This Row],[COSTO TOTAL ALOJAMIENTO]]+Tabla1[[#This Row],[COSTO TOTAL COCHE]]</f>
        <v>592.38499999999999</v>
      </c>
      <c r="S4090" s="2" t="s">
        <v>84</v>
      </c>
      <c r="T4090" s="14" t="s">
        <v>44</v>
      </c>
      <c r="U4090" s="14">
        <v>45943</v>
      </c>
      <c r="V4090" s="25">
        <v>45993</v>
      </c>
      <c r="W4090" s="71"/>
      <c r="X4090" s="2"/>
      <c r="Y4090" s="11" t="s">
        <v>6018</v>
      </c>
      <c r="Z4090" s="2" t="s">
        <v>36</v>
      </c>
      <c r="AA4090" s="13" t="e">
        <v>#N/A</v>
      </c>
      <c r="AB4090" s="13" t="e">
        <v>#N/A</v>
      </c>
    </row>
    <row r="4091" spans="1:28" ht="15" customHeight="1">
      <c r="A4091" s="2" t="s">
        <v>9672</v>
      </c>
      <c r="B4091" s="2" t="s">
        <v>28</v>
      </c>
      <c r="C4091" s="31" t="s">
        <v>4170</v>
      </c>
      <c r="D4091" s="2" t="s">
        <v>99</v>
      </c>
      <c r="E4091" s="2" t="s">
        <v>4161</v>
      </c>
      <c r="F4091" s="11" t="s">
        <v>6015</v>
      </c>
      <c r="G4091" s="11" t="s">
        <v>6016</v>
      </c>
      <c r="H4091" s="2" t="s">
        <v>5566</v>
      </c>
      <c r="I4091" s="12" t="s">
        <v>118</v>
      </c>
      <c r="J4091" s="22">
        <f>+Tabla1[[#This Row],[FECHA ENTRADA]]</f>
        <v>45943</v>
      </c>
      <c r="K4091" s="22">
        <v>45968</v>
      </c>
      <c r="L4091" s="23">
        <f>_xlfn.DAYS(Tabla1[[#This Row],[FECHA FIN ]],Tabla1[[#This Row],[FECHA INICIO]])</f>
        <v>25</v>
      </c>
      <c r="M4091" s="12">
        <f>((947.18+1422.36)/4)</f>
        <v>592.38499999999999</v>
      </c>
      <c r="N4091" s="20"/>
      <c r="O4091" s="24">
        <f>(Tabla1[[#This Row],[COSTO FIJO ]]/30)*Tabla1[[#This Row],[TOTAL DIAS PROYECTO]]+(Tabla1[[#This Row],[COSTO TEMPORAL]])</f>
        <v>592.38499999999999</v>
      </c>
      <c r="P4091" s="12"/>
      <c r="Q4091" s="12">
        <f>+(Tabla1[[#This Row],[COSTO COCHE]]/30)*Tabla1[[#This Row],[TOTAL DIAS PROYECTO]]</f>
        <v>0</v>
      </c>
      <c r="R4091" s="12">
        <f>+Tabla1[[#This Row],[COSTO TOTAL ALOJAMIENTO]]+Tabla1[[#This Row],[COSTO TOTAL COCHE]]</f>
        <v>592.38499999999999</v>
      </c>
      <c r="S4091" s="2" t="s">
        <v>84</v>
      </c>
      <c r="T4091" s="14" t="s">
        <v>44</v>
      </c>
      <c r="U4091" s="14">
        <v>45943</v>
      </c>
      <c r="V4091" s="25">
        <v>45993</v>
      </c>
      <c r="W4091" s="71"/>
      <c r="X4091" s="2"/>
      <c r="Y4091" s="11" t="s">
        <v>6019</v>
      </c>
      <c r="Z4091" s="2" t="s">
        <v>36</v>
      </c>
      <c r="AA4091" s="13" t="e">
        <v>#N/A</v>
      </c>
      <c r="AB4091" s="13" t="e">
        <v>#N/A</v>
      </c>
    </row>
    <row r="4092" spans="1:28" ht="15" customHeight="1">
      <c r="A4092" s="2" t="s">
        <v>10038</v>
      </c>
      <c r="B4092" s="2" t="s">
        <v>711</v>
      </c>
      <c r="C4092" s="31" t="s">
        <v>6020</v>
      </c>
      <c r="D4092" s="2" t="s">
        <v>99</v>
      </c>
      <c r="E4092" s="2" t="s">
        <v>31</v>
      </c>
      <c r="F4092" s="11" t="s">
        <v>1106</v>
      </c>
      <c r="G4092" s="21"/>
      <c r="H4092" s="2" t="s">
        <v>6021</v>
      </c>
      <c r="I4092" s="12" t="s">
        <v>506</v>
      </c>
      <c r="J4092" s="22">
        <f>+Tabla1[[#This Row],[FECHA ENTRADA]]</f>
        <v>45949</v>
      </c>
      <c r="K4092" s="22">
        <v>45968</v>
      </c>
      <c r="L4092" s="23">
        <f>_xlfn.DAYS(Tabla1[[#This Row],[FECHA FIN ]],Tabla1[[#This Row],[FECHA INICIO]])</f>
        <v>19</v>
      </c>
      <c r="M4092" s="12"/>
      <c r="N4092" s="20">
        <v>300</v>
      </c>
      <c r="O4092" s="24">
        <f>(Tabla1[[#This Row],[COSTO FIJO ]]/30)*Tabla1[[#This Row],[TOTAL DIAS PROYECTO]]+(Tabla1[[#This Row],[COSTO TEMPORAL]])</f>
        <v>190</v>
      </c>
      <c r="P4092" s="12"/>
      <c r="Q4092" s="12">
        <f>+(Tabla1[[#This Row],[COSTO COCHE]]/30)*Tabla1[[#This Row],[TOTAL DIAS PROYECTO]]</f>
        <v>0</v>
      </c>
      <c r="R4092" s="12">
        <f>+Tabla1[[#This Row],[COSTO TOTAL ALOJAMIENTO]]+Tabla1[[#This Row],[COSTO TOTAL COCHE]]</f>
        <v>190</v>
      </c>
      <c r="S4092" s="2"/>
      <c r="T4092" s="2" t="s">
        <v>8</v>
      </c>
      <c r="U4092" s="14">
        <v>45949</v>
      </c>
      <c r="V4092" s="79"/>
      <c r="W4092" s="71"/>
      <c r="X4092" s="2"/>
      <c r="Y4092" s="11" t="s">
        <v>6022</v>
      </c>
      <c r="Z4092" s="2" t="s">
        <v>36</v>
      </c>
      <c r="AA4092" s="13" t="s">
        <v>10323</v>
      </c>
      <c r="AB4092" s="13" t="s">
        <v>10324</v>
      </c>
    </row>
    <row r="4093" spans="1:28" ht="15" customHeight="1">
      <c r="A4093" s="2" t="s">
        <v>9911</v>
      </c>
      <c r="B4093" s="2" t="s">
        <v>711</v>
      </c>
      <c r="C4093" s="279" t="s">
        <v>5373</v>
      </c>
      <c r="D4093" s="2" t="s">
        <v>30</v>
      </c>
      <c r="E4093" s="2" t="s">
        <v>31</v>
      </c>
      <c r="F4093" s="11" t="s">
        <v>1106</v>
      </c>
      <c r="G4093" s="21"/>
      <c r="H4093" s="157" t="s">
        <v>6021</v>
      </c>
      <c r="I4093" s="158" t="s">
        <v>506</v>
      </c>
      <c r="J4093" s="22">
        <f>+Tabla1[[#This Row],[FECHA ENTRADA]]</f>
        <v>45949</v>
      </c>
      <c r="K4093" s="22">
        <v>45968</v>
      </c>
      <c r="L4093" s="23">
        <f>_xlfn.DAYS(Tabla1[[#This Row],[FECHA FIN ]],Tabla1[[#This Row],[FECHA INICIO]])</f>
        <v>19</v>
      </c>
      <c r="M4093" s="12"/>
      <c r="N4093" s="20">
        <v>300</v>
      </c>
      <c r="O4093" s="24">
        <f>(Tabla1[[#This Row],[COSTO FIJO ]]/30)*Tabla1[[#This Row],[TOTAL DIAS PROYECTO]]+(Tabla1[[#This Row],[COSTO TEMPORAL]])</f>
        <v>190</v>
      </c>
      <c r="P4093" s="12"/>
      <c r="Q4093" s="12">
        <f>+(Tabla1[[#This Row],[COSTO COCHE]]/30)*Tabla1[[#This Row],[TOTAL DIAS PROYECTO]]</f>
        <v>0</v>
      </c>
      <c r="R4093" s="12">
        <f>+Tabla1[[#This Row],[COSTO TOTAL ALOJAMIENTO]]+Tabla1[[#This Row],[COSTO TOTAL COCHE]]</f>
        <v>190</v>
      </c>
      <c r="S4093" s="2"/>
      <c r="T4093" s="2" t="s">
        <v>8</v>
      </c>
      <c r="U4093" s="14">
        <v>45949</v>
      </c>
      <c r="V4093" s="79"/>
      <c r="W4093" s="71"/>
      <c r="X4093" s="2"/>
      <c r="Y4093" s="11" t="s">
        <v>6022</v>
      </c>
      <c r="Z4093" s="2" t="s">
        <v>36</v>
      </c>
      <c r="AA4093" s="13" t="s">
        <v>10323</v>
      </c>
      <c r="AB4093" s="13" t="s">
        <v>10324</v>
      </c>
    </row>
    <row r="4094" spans="1:28" ht="15" customHeight="1">
      <c r="A4094" s="2" t="s">
        <v>10039</v>
      </c>
      <c r="B4094" s="2" t="s">
        <v>28</v>
      </c>
      <c r="C4094" s="279" t="s">
        <v>6023</v>
      </c>
      <c r="D4094" s="2" t="s">
        <v>30</v>
      </c>
      <c r="E4094" s="2" t="s">
        <v>31</v>
      </c>
      <c r="F4094" s="11"/>
      <c r="G4094" s="11"/>
      <c r="H4094" s="157">
        <v>2023</v>
      </c>
      <c r="I4094" s="157" t="s">
        <v>385</v>
      </c>
      <c r="J4094" s="8">
        <v>44943</v>
      </c>
      <c r="K4094" s="8">
        <v>45969</v>
      </c>
      <c r="L4094" s="13">
        <f>_xlfn.DAYS(Tabla1[[#This Row],[FECHA FIN ]],Tabla1[[#This Row],[FECHA INICIO]])</f>
        <v>1026</v>
      </c>
      <c r="M4094" s="2"/>
      <c r="N4094" s="28">
        <v>300</v>
      </c>
      <c r="O4094" s="12">
        <f>(Tabla1[[#This Row],[COSTO FIJO ]]/30)*Tabla1[[#This Row],[TOTAL DIAS PROYECTO]]+(Tabla1[[#This Row],[COSTO TEMPORAL]])</f>
        <v>10260</v>
      </c>
      <c r="P4094" s="12"/>
      <c r="Q4094" s="12">
        <f>+(Tabla1[[#This Row],[COSTO COCHE]]/30)*Tabla1[[#This Row],[TOTAL DIAS PROYECTO]]</f>
        <v>0</v>
      </c>
      <c r="R4094" s="12">
        <f>+Tabla1[[#This Row],[COSTO TOTAL ALOJAMIENTO]]+Tabla1[[#This Row],[COSTO TOTAL COCHE]]</f>
        <v>10260</v>
      </c>
      <c r="S4094" s="2"/>
      <c r="T4094" s="2" t="s">
        <v>58</v>
      </c>
      <c r="U4094" s="14"/>
      <c r="V4094" s="14"/>
      <c r="W4094" s="15"/>
      <c r="X4094" s="16"/>
      <c r="Y4094" s="31" t="s">
        <v>6024</v>
      </c>
      <c r="Z4094" s="2" t="s">
        <v>36</v>
      </c>
      <c r="AA4094" s="13" t="s">
        <v>10323</v>
      </c>
      <c r="AB4094" s="13" t="s">
        <v>10324</v>
      </c>
    </row>
    <row r="4095" spans="1:28" ht="15" customHeight="1">
      <c r="A4095" s="2" t="s">
        <v>9851</v>
      </c>
      <c r="B4095" s="2" t="s">
        <v>978</v>
      </c>
      <c r="C4095" s="279" t="s">
        <v>5040</v>
      </c>
      <c r="D4095" s="2" t="s">
        <v>30</v>
      </c>
      <c r="E4095" s="2" t="s">
        <v>31</v>
      </c>
      <c r="F4095" s="11"/>
      <c r="G4095" s="21"/>
      <c r="H4095" s="157" t="s">
        <v>5041</v>
      </c>
      <c r="I4095" s="158" t="s">
        <v>4902</v>
      </c>
      <c r="J4095" s="41">
        <f>+Tabla1[[#This Row],[FECHA ENTRADA]]</f>
        <v>45901</v>
      </c>
      <c r="K4095" s="41">
        <v>45969</v>
      </c>
      <c r="L4095" s="42">
        <f>_xlfn.DAYS(Tabla1[[#This Row],[FECHA FIN ]],Tabla1[[#This Row],[FECHA INICIO]])</f>
        <v>68</v>
      </c>
      <c r="M4095" s="12"/>
      <c r="N4095" s="28">
        <v>300</v>
      </c>
      <c r="O4095" s="28">
        <f>(Tabla1[[#This Row],[COSTO FIJO ]]/30)*Tabla1[[#This Row],[TOTAL DIAS PROYECTO]]+(Tabla1[[#This Row],[COSTO TEMPORAL]])</f>
        <v>680</v>
      </c>
      <c r="P4095" s="12"/>
      <c r="Q4095" s="12">
        <f>+(Tabla1[[#This Row],[COSTO COCHE]]/30)*Tabla1[[#This Row],[TOTAL DIAS PROYECTO]]</f>
        <v>0</v>
      </c>
      <c r="R4095" s="12">
        <f>+Tabla1[[#This Row],[COSTO TOTAL ALOJAMIENTO]]+Tabla1[[#This Row],[COSTO TOTAL COCHE]]</f>
        <v>680</v>
      </c>
      <c r="S4095" s="2"/>
      <c r="T4095" s="14" t="s">
        <v>58</v>
      </c>
      <c r="U4095" s="14">
        <v>45901</v>
      </c>
      <c r="V4095" s="43"/>
      <c r="W4095" s="12"/>
      <c r="X4095" s="2"/>
      <c r="Y4095" s="11" t="s">
        <v>6025</v>
      </c>
      <c r="Z4095" s="2" t="s">
        <v>36</v>
      </c>
      <c r="AA4095" s="13" t="s">
        <v>10323</v>
      </c>
      <c r="AB4095" s="13" t="s">
        <v>10324</v>
      </c>
    </row>
    <row r="4096" spans="1:28" ht="15" customHeight="1">
      <c r="A4096" s="2" t="s">
        <v>10040</v>
      </c>
      <c r="B4096" s="2" t="s">
        <v>28</v>
      </c>
      <c r="C4096" s="181" t="s">
        <v>6026</v>
      </c>
      <c r="D4096" s="2" t="s">
        <v>30</v>
      </c>
      <c r="E4096" s="2" t="s">
        <v>790</v>
      </c>
      <c r="F4096" s="11" t="s">
        <v>4316</v>
      </c>
      <c r="G4096" t="s">
        <v>4317</v>
      </c>
      <c r="H4096" s="157" t="s">
        <v>6027</v>
      </c>
      <c r="I4096" s="158" t="s">
        <v>794</v>
      </c>
      <c r="J4096" s="22">
        <f>+Tabla1[[#This Row],[FECHA ENTRADA]]</f>
        <v>45941</v>
      </c>
      <c r="K4096" s="22">
        <v>45969</v>
      </c>
      <c r="L4096" s="23">
        <f>_xlfn.DAYS(Tabla1[[#This Row],[FECHA FIN ]],Tabla1[[#This Row],[FECHA INICIO]])</f>
        <v>28</v>
      </c>
      <c r="M4096" s="12"/>
      <c r="N4096" s="20">
        <v>200</v>
      </c>
      <c r="O4096" s="24">
        <f>(Tabla1[[#This Row],[COSTO FIJO ]]/30)*Tabla1[[#This Row],[TOTAL DIAS PROYECTO]]+(Tabla1[[#This Row],[COSTO TEMPORAL]])</f>
        <v>186.66666666666669</v>
      </c>
      <c r="P4096" s="12"/>
      <c r="Q4096" s="12">
        <f>+(Tabla1[[#This Row],[COSTO COCHE]]/30)*Tabla1[[#This Row],[TOTAL DIAS PROYECTO]]</f>
        <v>0</v>
      </c>
      <c r="R4096" s="12">
        <f>+Tabla1[[#This Row],[COSTO TOTAL ALOJAMIENTO]]+Tabla1[[#This Row],[COSTO TOTAL COCHE]]</f>
        <v>186.66666666666669</v>
      </c>
      <c r="S4096" s="2"/>
      <c r="T4096" s="14" t="s">
        <v>35</v>
      </c>
      <c r="U4096" s="14">
        <v>45941</v>
      </c>
      <c r="V4096" s="79">
        <v>45952</v>
      </c>
      <c r="W4096" s="71"/>
      <c r="X4096" s="2">
        <v>20</v>
      </c>
      <c r="Y4096" s="11" t="s">
        <v>6028</v>
      </c>
      <c r="Z4096" s="2" t="s">
        <v>36</v>
      </c>
      <c r="AA4096" s="13">
        <v>-574377</v>
      </c>
      <c r="AB4096" s="13">
        <v>4150368</v>
      </c>
    </row>
    <row r="4097" spans="1:28" ht="15" customHeight="1">
      <c r="A4097" s="2" t="s">
        <v>10013</v>
      </c>
      <c r="B4097" s="2" t="s">
        <v>28</v>
      </c>
      <c r="C4097" s="194" t="s">
        <v>5958</v>
      </c>
      <c r="D4097" s="2" t="s">
        <v>30</v>
      </c>
      <c r="E4097" s="2" t="s">
        <v>92</v>
      </c>
      <c r="F4097" s="11" t="s">
        <v>2958</v>
      </c>
      <c r="G4097" s="11" t="s">
        <v>94</v>
      </c>
      <c r="H4097" s="157" t="s">
        <v>6029</v>
      </c>
      <c r="I4097" s="158" t="s">
        <v>96</v>
      </c>
      <c r="J4097" s="8">
        <f>+Tabla1[[#This Row],[FECHA ENTRADA]]</f>
        <v>45440</v>
      </c>
      <c r="K4097" s="22">
        <v>45821</v>
      </c>
      <c r="L4097" s="13">
        <f>_xlfn.DAYS(Tabla1[[#This Row],[FECHA FIN ]],Tabla1[[#This Row],[FECHA INICIO]])</f>
        <v>381</v>
      </c>
      <c r="M4097" s="12"/>
      <c r="N4097" s="12">
        <v>433.33</v>
      </c>
      <c r="O4097" s="12">
        <f>(Tabla1[[#This Row],[COSTO FIJO ]]/30)*Tabla1[[#This Row],[TOTAL DIAS PROYECTO]]+(Tabla1[[#This Row],[COSTO TEMPORAL]])</f>
        <v>5503.2910000000002</v>
      </c>
      <c r="P4097" s="12"/>
      <c r="Q4097" s="12">
        <f>+(Tabla1[[#This Row],[COSTO COCHE]]/30)*Tabla1[[#This Row],[TOTAL DIAS PROYECTO]]</f>
        <v>0</v>
      </c>
      <c r="R4097" s="12">
        <f>+Tabla1[[#This Row],[COSTO TOTAL ALOJAMIENTO]]+Tabla1[[#This Row],[COSTO TOTAL COCHE]]</f>
        <v>5503.2910000000002</v>
      </c>
      <c r="S4097" s="2"/>
      <c r="T4097" s="2" t="s">
        <v>35</v>
      </c>
      <c r="U4097" s="14">
        <v>45440</v>
      </c>
      <c r="V4097" s="14"/>
      <c r="W4097" s="26"/>
      <c r="X4097" s="16">
        <v>11</v>
      </c>
      <c r="Y4097" s="11" t="s">
        <v>6030</v>
      </c>
      <c r="Z4097" s="2" t="s">
        <v>36</v>
      </c>
      <c r="AA4097" s="13" t="s">
        <v>10336</v>
      </c>
      <c r="AB4097" s="13" t="s">
        <v>10337</v>
      </c>
    </row>
    <row r="4098" spans="1:28" ht="15" customHeight="1">
      <c r="A4098" s="2" t="s">
        <v>10041</v>
      </c>
      <c r="B4098" s="2" t="s">
        <v>711</v>
      </c>
      <c r="C4098" s="279" t="s">
        <v>6031</v>
      </c>
      <c r="D4098" s="2" t="s">
        <v>30</v>
      </c>
      <c r="E4098" s="2" t="s">
        <v>31</v>
      </c>
      <c r="F4098" s="11" t="s">
        <v>5258</v>
      </c>
      <c r="G4098" s="49" t="s">
        <v>5083</v>
      </c>
      <c r="H4098" s="157" t="s">
        <v>6032</v>
      </c>
      <c r="I4098" s="158" t="s">
        <v>5531</v>
      </c>
      <c r="J4098" s="41">
        <f>+Tabla1[[#This Row],[FECHA ENTRADA]]</f>
        <v>45924</v>
      </c>
      <c r="K4098" s="22">
        <v>45940</v>
      </c>
      <c r="L4098" s="42">
        <f>_xlfn.DAYS(Tabla1[[#This Row],[FECHA FIN ]],Tabla1[[#This Row],[FECHA INICIO]])</f>
        <v>16</v>
      </c>
      <c r="M4098" s="12"/>
      <c r="N4098" s="24">
        <v>416.66666666666669</v>
      </c>
      <c r="O4098" s="28">
        <f>(Tabla1[[#This Row],[COSTO FIJO ]]/30)*Tabla1[[#This Row],[TOTAL DIAS PROYECTO]]+(Tabla1[[#This Row],[COSTO TEMPORAL]])</f>
        <v>222.22222222222223</v>
      </c>
      <c r="P4098" s="12"/>
      <c r="Q4098" s="12">
        <f>+(Tabla1[[#This Row],[COSTO COCHE]]/30)*Tabla1[[#This Row],[TOTAL DIAS PROYECTO]]</f>
        <v>0</v>
      </c>
      <c r="R4098" s="12">
        <f>+Tabla1[[#This Row],[COSTO TOTAL ALOJAMIENTO]]+Tabla1[[#This Row],[COSTO TOTAL COCHE]]</f>
        <v>222.22222222222223</v>
      </c>
      <c r="S4098" s="2"/>
      <c r="T4098" s="14" t="s">
        <v>44</v>
      </c>
      <c r="U4098" s="14">
        <v>45924</v>
      </c>
      <c r="V4098" s="43">
        <v>45961</v>
      </c>
      <c r="W4098" s="71"/>
      <c r="X4098" s="2">
        <v>25</v>
      </c>
      <c r="Y4098" s="11" t="s">
        <v>6033</v>
      </c>
      <c r="Z4098" s="2" t="s">
        <v>36</v>
      </c>
      <c r="AA4098" s="13" t="s">
        <v>10323</v>
      </c>
      <c r="AB4098" s="13" t="s">
        <v>10324</v>
      </c>
    </row>
    <row r="4099" spans="1:28" ht="15" customHeight="1">
      <c r="A4099" s="2" t="s">
        <v>9355</v>
      </c>
      <c r="B4099" s="2" t="s">
        <v>28</v>
      </c>
      <c r="C4099" s="118" t="s">
        <v>2918</v>
      </c>
      <c r="D4099" s="2" t="s">
        <v>99</v>
      </c>
      <c r="E4099" s="2" t="s">
        <v>31</v>
      </c>
      <c r="F4099" s="11" t="s">
        <v>715</v>
      </c>
      <c r="G4099" s="11" t="s">
        <v>716</v>
      </c>
      <c r="H4099" s="2" t="s">
        <v>6034</v>
      </c>
      <c r="I4099" s="12" t="s">
        <v>34</v>
      </c>
      <c r="J4099" s="22">
        <f>+Tabla1[[#This Row],[FECHA ENTRADA]]</f>
        <v>45755</v>
      </c>
      <c r="K4099" s="22">
        <v>45970</v>
      </c>
      <c r="L4099" s="23">
        <f>_xlfn.DAYS(Tabla1[[#This Row],[FECHA FIN ]],Tabla1[[#This Row],[FECHA INICIO]])</f>
        <v>215</v>
      </c>
      <c r="M4099" s="12"/>
      <c r="N4099" s="12">
        <v>160</v>
      </c>
      <c r="O4099" s="24">
        <f>(Tabla1[[#This Row],[COSTO FIJO ]]/30)*Tabla1[[#This Row],[TOTAL DIAS PROYECTO]]+(Tabla1[[#This Row],[COSTO TEMPORAL]])</f>
        <v>1146.6666666666665</v>
      </c>
      <c r="P4099" s="12"/>
      <c r="Q4099" s="12">
        <f>+(Tabla1[[#This Row],[COSTO COCHE]]/30)*Tabla1[[#This Row],[TOTAL DIAS PROYECTO]]</f>
        <v>0</v>
      </c>
      <c r="R4099" s="12">
        <f>+Tabla1[[#This Row],[COSTO TOTAL ALOJAMIENTO]]+Tabla1[[#This Row],[COSTO TOTAL COCHE]]</f>
        <v>1146.6666666666665</v>
      </c>
      <c r="S4099" s="2"/>
      <c r="T4099" s="2" t="s">
        <v>613</v>
      </c>
      <c r="U4099" s="14">
        <v>45755</v>
      </c>
      <c r="V4099" s="79"/>
      <c r="W4099" s="26"/>
      <c r="X4099" s="2">
        <v>1</v>
      </c>
      <c r="Y4099" s="11" t="s">
        <v>6035</v>
      </c>
      <c r="Z4099" s="2" t="s">
        <v>36</v>
      </c>
      <c r="AA4099" s="13" t="s">
        <v>10323</v>
      </c>
      <c r="AB4099" s="13" t="s">
        <v>10324</v>
      </c>
    </row>
    <row r="4100" spans="1:28" ht="15" customHeight="1">
      <c r="A4100" s="2" t="s">
        <v>9117</v>
      </c>
      <c r="B4100" s="2" t="s">
        <v>28</v>
      </c>
      <c r="C4100" s="118" t="s">
        <v>2068</v>
      </c>
      <c r="D4100" s="2" t="s">
        <v>30</v>
      </c>
      <c r="E4100" s="2" t="s">
        <v>31</v>
      </c>
      <c r="F4100" s="11" t="s">
        <v>758</v>
      </c>
      <c r="G4100" s="11" t="s">
        <v>759</v>
      </c>
      <c r="H4100" s="2" t="s">
        <v>4670</v>
      </c>
      <c r="I4100" s="12" t="s">
        <v>34</v>
      </c>
      <c r="J4100" s="41">
        <f>+Tabla1[[#This Row],[FECHA ENTRADA]]</f>
        <v>45873</v>
      </c>
      <c r="K4100" s="22">
        <v>45970</v>
      </c>
      <c r="L4100" s="42">
        <f>_xlfn.DAYS(Tabla1[[#This Row],[FECHA FIN ]],Tabla1[[#This Row],[FECHA INICIO]])</f>
        <v>97</v>
      </c>
      <c r="M4100" s="12"/>
      <c r="N4100" s="12"/>
      <c r="O4100" s="28">
        <f>(Tabla1[[#This Row],[COSTO FIJO ]]/30)*Tabla1[[#This Row],[TOTAL DIAS PROYECTO]]+(Tabla1[[#This Row],[COSTO TEMPORAL]])</f>
        <v>0</v>
      </c>
      <c r="P4100" s="12"/>
      <c r="Q4100" s="12">
        <f>+(Tabla1[[#This Row],[COSTO COCHE]]/30)*Tabla1[[#This Row],[TOTAL DIAS PROYECTO]]</f>
        <v>0</v>
      </c>
      <c r="R4100" s="12">
        <f>+Tabla1[[#This Row],[COSTO TOTAL ALOJAMIENTO]]+Tabla1[[#This Row],[COSTO TOTAL COCHE]]</f>
        <v>0</v>
      </c>
      <c r="S4100" s="2"/>
      <c r="T4100" s="14" t="s">
        <v>35</v>
      </c>
      <c r="U4100" s="14">
        <v>45873</v>
      </c>
      <c r="V4100" s="43"/>
      <c r="W4100" s="12"/>
      <c r="X4100" s="2">
        <v>1</v>
      </c>
      <c r="Y4100" s="11" t="s">
        <v>6035</v>
      </c>
      <c r="Z4100" s="2" t="s">
        <v>36</v>
      </c>
      <c r="AA4100" s="13" t="s">
        <v>10323</v>
      </c>
      <c r="AB4100" s="13" t="s">
        <v>10324</v>
      </c>
    </row>
    <row r="4101" spans="1:28" ht="15" customHeight="1">
      <c r="A4101" s="2" t="s">
        <v>8952</v>
      </c>
      <c r="B4101" s="2" t="s">
        <v>28</v>
      </c>
      <c r="C4101" s="11" t="s">
        <v>1442</v>
      </c>
      <c r="D4101" s="2" t="s">
        <v>30</v>
      </c>
      <c r="E4101" s="2" t="s">
        <v>87</v>
      </c>
      <c r="F4101" s="11" t="s">
        <v>1668</v>
      </c>
      <c r="G4101" s="128" t="s">
        <v>1669</v>
      </c>
      <c r="H4101" s="2" t="s">
        <v>6036</v>
      </c>
      <c r="I4101" s="12" t="s">
        <v>34</v>
      </c>
      <c r="J4101" s="22">
        <f>+Tabla1[[#This Row],[FECHA ENTRADA]]</f>
        <v>45914</v>
      </c>
      <c r="K4101" s="22">
        <v>45966</v>
      </c>
      <c r="L4101" s="23">
        <f>_xlfn.DAYS(Tabla1[[#This Row],[FECHA FIN ]],Tabla1[[#This Row],[FECHA INICIO]])</f>
        <v>52</v>
      </c>
      <c r="M4101" s="12"/>
      <c r="N4101" s="12">
        <f>((1300+363+400)/6)</f>
        <v>343.83333333333331</v>
      </c>
      <c r="O4101" s="24">
        <f>(Tabla1[[#This Row],[COSTO FIJO ]]/30)*Tabla1[[#This Row],[TOTAL DIAS PROYECTO]]+(Tabla1[[#This Row],[COSTO TEMPORAL]])</f>
        <v>595.97777777777776</v>
      </c>
      <c r="P4101" s="12"/>
      <c r="Q4101" s="12">
        <f>+(Tabla1[[#This Row],[COSTO COCHE]]/30)*Tabla1[[#This Row],[TOTAL DIAS PROYECTO]]</f>
        <v>0</v>
      </c>
      <c r="R4101" s="12">
        <f>+Tabla1[[#This Row],[COSTO TOTAL ALOJAMIENTO]]+Tabla1[[#This Row],[COSTO TOTAL COCHE]]</f>
        <v>595.97777777777776</v>
      </c>
      <c r="S4101" s="2"/>
      <c r="T4101" s="14" t="s">
        <v>35</v>
      </c>
      <c r="U4101" s="14">
        <v>45914</v>
      </c>
      <c r="V4101" s="79"/>
      <c r="W4101" s="71"/>
      <c r="X4101" s="2">
        <v>5</v>
      </c>
      <c r="Y4101" s="11" t="s">
        <v>6037</v>
      </c>
      <c r="Z4101" s="2" t="s">
        <v>36</v>
      </c>
      <c r="AA4101" s="13" t="s">
        <v>10335</v>
      </c>
      <c r="AB4101" s="13">
        <v>404.16500000000002</v>
      </c>
    </row>
    <row r="4102" spans="1:28" ht="15" customHeight="1">
      <c r="A4102" s="2" t="s">
        <v>9136</v>
      </c>
      <c r="B4102" s="2" t="s">
        <v>28</v>
      </c>
      <c r="C4102" s="11" t="s">
        <v>2152</v>
      </c>
      <c r="D4102" s="2" t="s">
        <v>30</v>
      </c>
      <c r="E4102" s="2" t="s">
        <v>87</v>
      </c>
      <c r="F4102" s="11" t="s">
        <v>1668</v>
      </c>
      <c r="G4102" s="285" t="s">
        <v>1669</v>
      </c>
      <c r="H4102" s="2" t="s">
        <v>6036</v>
      </c>
      <c r="I4102" s="158" t="s">
        <v>34</v>
      </c>
      <c r="J4102" s="22">
        <f>+Tabla1[[#This Row],[FECHA ENTRADA]]</f>
        <v>45914</v>
      </c>
      <c r="K4102" s="22">
        <v>45966</v>
      </c>
      <c r="L4102" s="23">
        <f>_xlfn.DAYS(Tabla1[[#This Row],[FECHA FIN ]],Tabla1[[#This Row],[FECHA INICIO]])</f>
        <v>52</v>
      </c>
      <c r="M4102" s="12"/>
      <c r="N4102" s="12">
        <f>((1300+363+400)/6)</f>
        <v>343.83333333333331</v>
      </c>
      <c r="O4102" s="24">
        <f>(Tabla1[[#This Row],[COSTO FIJO ]]/30)*Tabla1[[#This Row],[TOTAL DIAS PROYECTO]]+(Tabla1[[#This Row],[COSTO TEMPORAL]])</f>
        <v>595.97777777777776</v>
      </c>
      <c r="P4102" s="12"/>
      <c r="Q4102" s="12">
        <f>+(Tabla1[[#This Row],[COSTO COCHE]]/30)*Tabla1[[#This Row],[TOTAL DIAS PROYECTO]]</f>
        <v>0</v>
      </c>
      <c r="R4102" s="12">
        <f>+Tabla1[[#This Row],[COSTO TOTAL ALOJAMIENTO]]+Tabla1[[#This Row],[COSTO TOTAL COCHE]]</f>
        <v>595.97777777777776</v>
      </c>
      <c r="S4102" s="2"/>
      <c r="T4102" s="14" t="s">
        <v>35</v>
      </c>
      <c r="U4102" s="14">
        <v>45914</v>
      </c>
      <c r="V4102" s="79"/>
      <c r="W4102" s="71"/>
      <c r="X4102" s="2">
        <v>5</v>
      </c>
      <c r="Y4102" s="11" t="s">
        <v>6037</v>
      </c>
      <c r="Z4102" s="2" t="s">
        <v>36</v>
      </c>
      <c r="AA4102" s="13" t="s">
        <v>10335</v>
      </c>
      <c r="AB4102" s="13">
        <v>404.16500000000002</v>
      </c>
    </row>
    <row r="4103" spans="1:28" ht="15" customHeight="1">
      <c r="A4103" s="2" t="s">
        <v>9431</v>
      </c>
      <c r="B4103" s="2" t="s">
        <v>28</v>
      </c>
      <c r="C4103" s="11" t="s">
        <v>3165</v>
      </c>
      <c r="D4103" s="2" t="s">
        <v>30</v>
      </c>
      <c r="E4103" s="2" t="s">
        <v>87</v>
      </c>
      <c r="F4103" s="11" t="s">
        <v>1668</v>
      </c>
      <c r="G4103" s="128" t="s">
        <v>1669</v>
      </c>
      <c r="H4103" s="2" t="s">
        <v>6036</v>
      </c>
      <c r="I4103" s="12" t="s">
        <v>34</v>
      </c>
      <c r="J4103" s="22">
        <f>+Tabla1[[#This Row],[FECHA ENTRADA]]</f>
        <v>45914</v>
      </c>
      <c r="K4103" s="22">
        <v>45966</v>
      </c>
      <c r="L4103" s="23">
        <f>_xlfn.DAYS(Tabla1[[#This Row],[FECHA FIN ]],Tabla1[[#This Row],[FECHA INICIO]])</f>
        <v>52</v>
      </c>
      <c r="M4103" s="12"/>
      <c r="N4103" s="12">
        <f>((1300+363+400)/6)</f>
        <v>343.83333333333331</v>
      </c>
      <c r="O4103" s="24">
        <f>(Tabla1[[#This Row],[COSTO FIJO ]]/30)*Tabla1[[#This Row],[TOTAL DIAS PROYECTO]]+(Tabla1[[#This Row],[COSTO TEMPORAL]])</f>
        <v>595.97777777777776</v>
      </c>
      <c r="P4103" s="12"/>
      <c r="Q4103" s="12">
        <f>+(Tabla1[[#This Row],[COSTO COCHE]]/30)*Tabla1[[#This Row],[TOTAL DIAS PROYECTO]]</f>
        <v>0</v>
      </c>
      <c r="R4103" s="12">
        <f>+Tabla1[[#This Row],[COSTO TOTAL ALOJAMIENTO]]+Tabla1[[#This Row],[COSTO TOTAL COCHE]]</f>
        <v>595.97777777777776</v>
      </c>
      <c r="S4103" s="2"/>
      <c r="T4103" s="14" t="s">
        <v>35</v>
      </c>
      <c r="U4103" s="14">
        <v>45914</v>
      </c>
      <c r="V4103" s="79"/>
      <c r="W4103" s="71"/>
      <c r="X4103" s="2">
        <v>5</v>
      </c>
      <c r="Y4103" s="11" t="s">
        <v>6037</v>
      </c>
      <c r="Z4103" s="2" t="s">
        <v>36</v>
      </c>
      <c r="AA4103" s="13" t="s">
        <v>10335</v>
      </c>
      <c r="AB4103" s="13">
        <v>404.16500000000002</v>
      </c>
    </row>
    <row r="4104" spans="1:28" ht="15" customHeight="1">
      <c r="A4104" s="2" t="s">
        <v>10042</v>
      </c>
      <c r="B4104" s="2" t="s">
        <v>711</v>
      </c>
      <c r="C4104" s="31" t="s">
        <v>6038</v>
      </c>
      <c r="D4104" s="2" t="s">
        <v>30</v>
      </c>
      <c r="E4104" s="2" t="s">
        <v>259</v>
      </c>
      <c r="F4104" s="11" t="s">
        <v>4206</v>
      </c>
      <c r="G4104" s="49" t="s">
        <v>4207</v>
      </c>
      <c r="H4104" s="2" t="s">
        <v>5975</v>
      </c>
      <c r="I4104" s="12" t="s">
        <v>292</v>
      </c>
      <c r="J4104" s="22">
        <f>+Tabla1[[#This Row],[FECHA ENTRADA]]</f>
        <v>45967</v>
      </c>
      <c r="K4104" s="22">
        <v>45968</v>
      </c>
      <c r="L4104" s="23">
        <f>_xlfn.DAYS(Tabla1[[#This Row],[FECHA FIN ]],Tabla1[[#This Row],[FECHA INICIO]])</f>
        <v>1</v>
      </c>
      <c r="M4104" s="12"/>
      <c r="N4104" s="24">
        <v>283.33333333333331</v>
      </c>
      <c r="O4104" s="24">
        <f>(Tabla1[[#This Row],[COSTO FIJO ]]/30)*Tabla1[[#This Row],[TOTAL DIAS PROYECTO]]+(Tabla1[[#This Row],[COSTO TEMPORAL]])</f>
        <v>9.4444444444444446</v>
      </c>
      <c r="P4104" s="12"/>
      <c r="Q4104" s="12">
        <f>+(Tabla1[[#This Row],[COSTO COCHE]]/30)*Tabla1[[#This Row],[TOTAL DIAS PROYECTO]]</f>
        <v>0</v>
      </c>
      <c r="R4104" s="12">
        <f>+Tabla1[[#This Row],[COSTO TOTAL ALOJAMIENTO]]+Tabla1[[#This Row],[COSTO TOTAL COCHE]]</f>
        <v>9.4444444444444446</v>
      </c>
      <c r="S4104" s="2"/>
      <c r="T4104" s="14" t="s">
        <v>35</v>
      </c>
      <c r="U4104" s="14">
        <v>45967</v>
      </c>
      <c r="V4104" s="25"/>
      <c r="W4104" s="71"/>
      <c r="X4104" s="2">
        <v>5</v>
      </c>
      <c r="Y4104" s="11" t="s">
        <v>5976</v>
      </c>
      <c r="Z4104" s="2" t="s">
        <v>36</v>
      </c>
      <c r="AA4104" s="13">
        <v>-0.87734000000000001</v>
      </c>
      <c r="AB4104" s="13" t="s">
        <v>10359</v>
      </c>
    </row>
    <row r="4105" spans="1:28" ht="15" customHeight="1">
      <c r="A4105" s="2" t="s">
        <v>10043</v>
      </c>
      <c r="B4105" s="10" t="s">
        <v>978</v>
      </c>
      <c r="C4105" s="239" t="s">
        <v>6039</v>
      </c>
      <c r="D4105" s="2" t="s">
        <v>30</v>
      </c>
      <c r="E4105" s="2" t="s">
        <v>259</v>
      </c>
      <c r="F4105" s="11" t="s">
        <v>5662</v>
      </c>
      <c r="G4105" s="68" t="s">
        <v>4207</v>
      </c>
      <c r="H4105" s="2" t="s">
        <v>4037</v>
      </c>
      <c r="I4105" s="12" t="s">
        <v>4255</v>
      </c>
      <c r="J4105" s="41">
        <f>+Tabla1[[#This Row],[FECHA ENTRADA]]</f>
        <v>45782</v>
      </c>
      <c r="K4105" s="41">
        <v>45970</v>
      </c>
      <c r="L4105" s="42">
        <f>_xlfn.DAYS(Tabla1[[#This Row],[FECHA FIN ]],Tabla1[[#This Row],[FECHA INICIO]])</f>
        <v>188</v>
      </c>
      <c r="M4105" s="12"/>
      <c r="N4105" s="28">
        <v>300</v>
      </c>
      <c r="O4105" s="28">
        <f>(Tabla1[[#This Row],[COSTO FIJO ]]/30)*Tabla1[[#This Row],[TOTAL DIAS PROYECTO]]+(Tabla1[[#This Row],[COSTO TEMPORAL]])</f>
        <v>1880</v>
      </c>
      <c r="P4105" s="12"/>
      <c r="Q4105" s="12">
        <f>+(Tabla1[[#This Row],[COSTO COCHE]]/30)*Tabla1[[#This Row],[TOTAL DIAS PROYECTO]]</f>
        <v>0</v>
      </c>
      <c r="R4105" s="12">
        <f>+Tabla1[[#This Row],[COSTO TOTAL ALOJAMIENTO]]+Tabla1[[#This Row],[COSTO TOTAL COCHE]]</f>
        <v>1880</v>
      </c>
      <c r="S4105" s="2"/>
      <c r="T4105" s="14" t="s">
        <v>35</v>
      </c>
      <c r="U4105" s="14">
        <v>45782</v>
      </c>
      <c r="V4105" s="43"/>
      <c r="W4105" s="12">
        <v>1200</v>
      </c>
      <c r="X4105" s="2">
        <v>5</v>
      </c>
      <c r="Y4105" s="11" t="s">
        <v>6040</v>
      </c>
      <c r="Z4105" s="2" t="s">
        <v>36</v>
      </c>
      <c r="AA4105" s="13">
        <v>-0.87734000000000001</v>
      </c>
      <c r="AB4105" s="13" t="s">
        <v>10359</v>
      </c>
    </row>
    <row r="4106" spans="1:28" ht="15" customHeight="1">
      <c r="A4106" s="2" t="s">
        <v>10044</v>
      </c>
      <c r="B4106" s="2" t="s">
        <v>978</v>
      </c>
      <c r="C4106" s="31" t="s">
        <v>6041</v>
      </c>
      <c r="D4106" s="2" t="s">
        <v>30</v>
      </c>
      <c r="E4106" s="2" t="s">
        <v>259</v>
      </c>
      <c r="F4106" s="11" t="s">
        <v>516</v>
      </c>
      <c r="G4106" s="11" t="s">
        <v>517</v>
      </c>
      <c r="H4106" s="2" t="s">
        <v>5436</v>
      </c>
      <c r="I4106" s="12" t="s">
        <v>3356</v>
      </c>
      <c r="J4106" s="22">
        <f>+Tabla1[[#This Row],[FECHA ENTRADA]]</f>
        <v>45930</v>
      </c>
      <c r="K4106" s="22">
        <v>45933</v>
      </c>
      <c r="L4106" s="23">
        <f>_xlfn.DAYS(Tabla1[[#This Row],[FECHA FIN ]],Tabla1[[#This Row],[FECHA INICIO]])</f>
        <v>3</v>
      </c>
      <c r="M4106" s="12"/>
      <c r="N4106" s="24">
        <v>330</v>
      </c>
      <c r="O4106" s="24">
        <f>(Tabla1[[#This Row],[COSTO FIJO ]]/30)*Tabla1[[#This Row],[TOTAL DIAS PROYECTO]]+(Tabla1[[#This Row],[COSTO TEMPORAL]])</f>
        <v>33</v>
      </c>
      <c r="P4106" s="12"/>
      <c r="Q4106" s="12">
        <f>+(Tabla1[[#This Row],[COSTO COCHE]]/30)*Tabla1[[#This Row],[TOTAL DIAS PROYECTO]]</f>
        <v>0</v>
      </c>
      <c r="R4106" s="12">
        <f>+Tabla1[[#This Row],[COSTO TOTAL ALOJAMIENTO]]+Tabla1[[#This Row],[COSTO TOTAL COCHE]]</f>
        <v>33</v>
      </c>
      <c r="S4106" s="2"/>
      <c r="T4106" s="14" t="s">
        <v>35</v>
      </c>
      <c r="U4106" s="14">
        <v>45930</v>
      </c>
      <c r="V4106" s="25"/>
      <c r="W4106" s="71"/>
      <c r="X4106" s="2">
        <v>20</v>
      </c>
      <c r="Y4106" s="11" t="s">
        <v>5438</v>
      </c>
      <c r="Z4106" s="2" t="s">
        <v>36</v>
      </c>
      <c r="AA4106" s="13">
        <v>-0.87734000000000001</v>
      </c>
      <c r="AB4106" s="13" t="s">
        <v>10359</v>
      </c>
    </row>
    <row r="4107" spans="1:28" ht="15" customHeight="1">
      <c r="A4107" s="117" t="s">
        <v>10045</v>
      </c>
      <c r="B4107" s="117" t="s">
        <v>978</v>
      </c>
      <c r="C4107" s="118" t="s">
        <v>6042</v>
      </c>
      <c r="D4107" s="117" t="s">
        <v>99</v>
      </c>
      <c r="E4107" s="117" t="s">
        <v>259</v>
      </c>
      <c r="F4107" s="11" t="s">
        <v>516</v>
      </c>
      <c r="G4107" s="118" t="s">
        <v>517</v>
      </c>
      <c r="H4107" s="117" t="s">
        <v>5436</v>
      </c>
      <c r="I4107" s="119" t="s">
        <v>3356</v>
      </c>
      <c r="J4107" s="121">
        <f>+Tabla1[[#This Row],[FECHA ENTRADA]]</f>
        <v>45930</v>
      </c>
      <c r="K4107" s="121">
        <v>45970</v>
      </c>
      <c r="L4107" s="129">
        <f>_xlfn.DAYS(Tabla1[[#This Row],[FECHA FIN ]],Tabla1[[#This Row],[FECHA INICIO]])</f>
        <v>40</v>
      </c>
      <c r="M4107" s="119"/>
      <c r="N4107" s="119">
        <v>367.5</v>
      </c>
      <c r="O4107" s="131">
        <f>(Tabla1[[#This Row],[COSTO FIJO ]]/30)*Tabla1[[#This Row],[TOTAL DIAS PROYECTO]]+(Tabla1[[#This Row],[COSTO TEMPORAL]])</f>
        <v>490</v>
      </c>
      <c r="P4107" s="119"/>
      <c r="Q4107" s="119">
        <f>+(Tabla1[[#This Row],[COSTO COCHE]]/30)*Tabla1[[#This Row],[TOTAL DIAS PROYECTO]]</f>
        <v>0</v>
      </c>
      <c r="R4107" s="119">
        <f>+Tabla1[[#This Row],[COSTO TOTAL ALOJAMIENTO]]+Tabla1[[#This Row],[COSTO TOTAL COCHE]]</f>
        <v>490</v>
      </c>
      <c r="S4107" s="117"/>
      <c r="T4107" s="124" t="s">
        <v>35</v>
      </c>
      <c r="U4107" s="124">
        <v>45930</v>
      </c>
      <c r="V4107" s="125"/>
      <c r="W4107" s="126"/>
      <c r="X4107" s="117">
        <v>20</v>
      </c>
      <c r="Y4107" s="118" t="s">
        <v>6043</v>
      </c>
      <c r="Z4107" s="117" t="s">
        <v>36</v>
      </c>
      <c r="AA4107" s="127">
        <v>-0.87734000000000001</v>
      </c>
      <c r="AB4107" s="127" t="s">
        <v>10359</v>
      </c>
    </row>
    <row r="4108" spans="1:28" ht="15" customHeight="1">
      <c r="A4108" s="117" t="s">
        <v>8642</v>
      </c>
      <c r="B4108" s="117" t="s">
        <v>978</v>
      </c>
      <c r="C4108" s="118" t="s">
        <v>6044</v>
      </c>
      <c r="D4108" s="117" t="s">
        <v>99</v>
      </c>
      <c r="E4108" s="117" t="s">
        <v>259</v>
      </c>
      <c r="F4108" s="11" t="s">
        <v>516</v>
      </c>
      <c r="G4108" s="118" t="s">
        <v>517</v>
      </c>
      <c r="H4108" s="117" t="s">
        <v>6045</v>
      </c>
      <c r="I4108" s="119" t="s">
        <v>3356</v>
      </c>
      <c r="J4108" s="121">
        <f>+Tabla1[[#This Row],[FECHA ENTRADA]]</f>
        <v>45936</v>
      </c>
      <c r="K4108" s="121">
        <v>45970</v>
      </c>
      <c r="L4108" s="129">
        <f>_xlfn.DAYS(Tabla1[[#This Row],[FECHA FIN ]],Tabla1[[#This Row],[FECHA INICIO]])</f>
        <v>34</v>
      </c>
      <c r="M4108" s="119"/>
      <c r="N4108" s="119">
        <v>367.5</v>
      </c>
      <c r="O4108" s="131">
        <f>(Tabla1[[#This Row],[COSTO FIJO ]]/30)*Tabla1[[#This Row],[TOTAL DIAS PROYECTO]]+(Tabla1[[#This Row],[COSTO TEMPORAL]])</f>
        <v>416.5</v>
      </c>
      <c r="P4108" s="119"/>
      <c r="Q4108" s="119">
        <f>+(Tabla1[[#This Row],[COSTO COCHE]]/30)*Tabla1[[#This Row],[TOTAL DIAS PROYECTO]]</f>
        <v>0</v>
      </c>
      <c r="R4108" s="119">
        <f>+Tabla1[[#This Row],[COSTO TOTAL ALOJAMIENTO]]+Tabla1[[#This Row],[COSTO TOTAL COCHE]]</f>
        <v>416.5</v>
      </c>
      <c r="S4108" s="117"/>
      <c r="T4108" s="124" t="s">
        <v>35</v>
      </c>
      <c r="U4108" s="124">
        <v>45936</v>
      </c>
      <c r="V4108" s="132"/>
      <c r="W4108" s="126"/>
      <c r="X4108" s="117">
        <v>20</v>
      </c>
      <c r="Y4108" s="118" t="s">
        <v>6046</v>
      </c>
      <c r="Z4108" s="117" t="s">
        <v>36</v>
      </c>
      <c r="AA4108" s="127">
        <v>-0.87734000000000001</v>
      </c>
      <c r="AB4108" s="127" t="s">
        <v>10359</v>
      </c>
    </row>
    <row r="4109" spans="1:28" ht="15" customHeight="1">
      <c r="A4109" s="117" t="s">
        <v>9778</v>
      </c>
      <c r="B4109" s="117" t="s">
        <v>978</v>
      </c>
      <c r="C4109" s="286" t="s">
        <v>4692</v>
      </c>
      <c r="D4109" s="117" t="s">
        <v>30</v>
      </c>
      <c r="E4109" s="117" t="s">
        <v>259</v>
      </c>
      <c r="F4109" s="11" t="s">
        <v>516</v>
      </c>
      <c r="G4109" s="118" t="s">
        <v>517</v>
      </c>
      <c r="H4109" s="117" t="s">
        <v>6047</v>
      </c>
      <c r="I4109" s="119" t="s">
        <v>3356</v>
      </c>
      <c r="J4109" s="120">
        <f>+Tabla1[[#This Row],[FECHA ENTRADA]]</f>
        <v>45943</v>
      </c>
      <c r="K4109" s="121">
        <v>45970</v>
      </c>
      <c r="L4109" s="122">
        <f>_xlfn.DAYS(Tabla1[[#This Row],[FECHA FIN ]],Tabla1[[#This Row],[FECHA INICIO]])</f>
        <v>27</v>
      </c>
      <c r="M4109" s="119"/>
      <c r="N4109" s="119">
        <v>367.5</v>
      </c>
      <c r="O4109" s="123">
        <f>(Tabla1[[#This Row],[COSTO FIJO ]]/30)*Tabla1[[#This Row],[TOTAL DIAS PROYECTO]]+(Tabla1[[#This Row],[COSTO TEMPORAL]])</f>
        <v>330.75</v>
      </c>
      <c r="P4109" s="119"/>
      <c r="Q4109" s="119">
        <f>+(Tabla1[[#This Row],[COSTO COCHE]]/30)*Tabla1[[#This Row],[TOTAL DIAS PROYECTO]]</f>
        <v>0</v>
      </c>
      <c r="R4109" s="119">
        <f>+Tabla1[[#This Row],[COSTO TOTAL ALOJAMIENTO]]+Tabla1[[#This Row],[COSTO TOTAL COCHE]]</f>
        <v>330.75</v>
      </c>
      <c r="S4109" s="117"/>
      <c r="T4109" s="124" t="s">
        <v>35</v>
      </c>
      <c r="U4109" s="124">
        <v>45943</v>
      </c>
      <c r="V4109" s="159"/>
      <c r="W4109" s="126"/>
      <c r="X4109" s="117">
        <v>20</v>
      </c>
      <c r="Y4109" s="118" t="s">
        <v>6046</v>
      </c>
      <c r="Z4109" s="117" t="s">
        <v>36</v>
      </c>
      <c r="AA4109" s="127">
        <v>-0.87734000000000001</v>
      </c>
      <c r="AB4109" s="127" t="s">
        <v>10359</v>
      </c>
    </row>
    <row r="4110" spans="1:28" ht="15" customHeight="1">
      <c r="A4110" s="2" t="s">
        <v>9023</v>
      </c>
      <c r="B4110" s="2" t="s">
        <v>978</v>
      </c>
      <c r="C4110" s="31" t="s">
        <v>1718</v>
      </c>
      <c r="D4110" s="2" t="s">
        <v>99</v>
      </c>
      <c r="E4110" s="2" t="s">
        <v>1443</v>
      </c>
      <c r="F4110" s="11" t="s">
        <v>1444</v>
      </c>
      <c r="G4110" s="11" t="s">
        <v>1445</v>
      </c>
      <c r="H4110" s="2" t="s">
        <v>4608</v>
      </c>
      <c r="I4110" s="12" t="s">
        <v>4477</v>
      </c>
      <c r="J4110" s="22">
        <f>+Tabla1[[#This Row],[FECHA ENTRADA]]</f>
        <v>45941</v>
      </c>
      <c r="K4110" s="22">
        <v>45970</v>
      </c>
      <c r="L4110" s="23">
        <f>_xlfn.DAYS(Tabla1[[#This Row],[FECHA FIN ]],Tabla1[[#This Row],[FECHA INICIO]])</f>
        <v>29</v>
      </c>
      <c r="M4110" s="12">
        <v>120</v>
      </c>
      <c r="N4110" s="24"/>
      <c r="O4110" s="24">
        <f>(Tabla1[[#This Row],[COSTO FIJO ]]/30)*Tabla1[[#This Row],[TOTAL DIAS PROYECTO]]+(Tabla1[[#This Row],[COSTO TEMPORAL]])</f>
        <v>120</v>
      </c>
      <c r="P4110" s="12"/>
      <c r="Q4110" s="12">
        <f>+(Tabla1[[#This Row],[COSTO COCHE]]/30)*Tabla1[[#This Row],[TOTAL DIAS PROYECTO]]</f>
        <v>0</v>
      </c>
      <c r="R4110" s="12">
        <f>+Tabla1[[#This Row],[COSTO TOTAL ALOJAMIENTO]]+Tabla1[[#This Row],[COSTO TOTAL COCHE]]</f>
        <v>120</v>
      </c>
      <c r="S4110" s="2"/>
      <c r="T4110" s="14" t="s">
        <v>44</v>
      </c>
      <c r="U4110" s="14">
        <v>45941</v>
      </c>
      <c r="V4110" s="25">
        <v>45958</v>
      </c>
      <c r="W4110" s="71"/>
      <c r="X4110" s="2"/>
      <c r="Y4110" s="11" t="s">
        <v>5818</v>
      </c>
      <c r="Z4110" s="2" t="s">
        <v>36</v>
      </c>
      <c r="AA4110" s="13" t="s">
        <v>10420</v>
      </c>
      <c r="AB4110" s="13">
        <v>3907741</v>
      </c>
    </row>
    <row r="4111" spans="1:28" ht="15" customHeight="1">
      <c r="A4111" s="2" t="s">
        <v>10046</v>
      </c>
      <c r="B4111" s="2" t="s">
        <v>711</v>
      </c>
      <c r="C4111" s="287" t="s">
        <v>6048</v>
      </c>
      <c r="D4111" s="2" t="s">
        <v>30</v>
      </c>
      <c r="E4111" s="2" t="s">
        <v>87</v>
      </c>
      <c r="F4111" s="11" t="s">
        <v>6049</v>
      </c>
      <c r="G4111" s="21" t="s">
        <v>6050</v>
      </c>
      <c r="H4111" s="157" t="s">
        <v>6051</v>
      </c>
      <c r="I4111" s="158" t="s">
        <v>1392</v>
      </c>
      <c r="J4111" s="22">
        <f>+Tabla1[[#This Row],[FECHA ENTRADA]]</f>
        <v>45956</v>
      </c>
      <c r="K4111" s="22">
        <v>45970</v>
      </c>
      <c r="L4111" s="23">
        <f>_xlfn.DAYS(Tabla1[[#This Row],[FECHA FIN ]],Tabla1[[#This Row],[FECHA INICIO]])</f>
        <v>14</v>
      </c>
      <c r="M4111" s="12">
        <v>191.66666666666666</v>
      </c>
      <c r="N4111" s="20"/>
      <c r="O4111" s="24">
        <f>(Tabla1[[#This Row],[COSTO FIJO ]]/30)*Tabla1[[#This Row],[TOTAL DIAS PROYECTO]]+(Tabla1[[#This Row],[COSTO TEMPORAL]])</f>
        <v>191.66666666666666</v>
      </c>
      <c r="P4111" s="12"/>
      <c r="Q4111" s="12">
        <f>+(Tabla1[[#This Row],[COSTO COCHE]]/30)*Tabla1[[#This Row],[TOTAL DIAS PROYECTO]]</f>
        <v>0</v>
      </c>
      <c r="R4111" s="12">
        <f>+Tabla1[[#This Row],[COSTO TOTAL ALOJAMIENTO]]+Tabla1[[#This Row],[COSTO TOTAL COCHE]]</f>
        <v>191.66666666666666</v>
      </c>
      <c r="S4111" s="2"/>
      <c r="T4111" s="14" t="s">
        <v>44</v>
      </c>
      <c r="U4111" s="14">
        <v>45956</v>
      </c>
      <c r="V4111" s="79">
        <v>45972</v>
      </c>
      <c r="W4111" s="71"/>
      <c r="X4111" s="2"/>
      <c r="Y4111" s="30" t="s">
        <v>6052</v>
      </c>
      <c r="Z4111" s="2" t="s">
        <v>36</v>
      </c>
      <c r="AA4111" s="13" t="s">
        <v>10335</v>
      </c>
      <c r="AB4111" s="13">
        <v>404.16500000000002</v>
      </c>
    </row>
    <row r="4112" spans="1:28" ht="15" customHeight="1">
      <c r="A4112" s="2" t="s">
        <v>10047</v>
      </c>
      <c r="B4112" s="2" t="s">
        <v>711</v>
      </c>
      <c r="C4112" s="239" t="s">
        <v>6053</v>
      </c>
      <c r="D4112" s="2" t="s">
        <v>30</v>
      </c>
      <c r="E4112" s="2" t="s">
        <v>87</v>
      </c>
      <c r="F4112" s="11" t="s">
        <v>6049</v>
      </c>
      <c r="G4112" s="21" t="s">
        <v>6050</v>
      </c>
      <c r="H4112" s="2" t="s">
        <v>6051</v>
      </c>
      <c r="I4112" s="158" t="s">
        <v>1392</v>
      </c>
      <c r="J4112" s="22">
        <f>+Tabla1[[#This Row],[FECHA ENTRADA]]</f>
        <v>45956</v>
      </c>
      <c r="K4112" s="22">
        <v>45970</v>
      </c>
      <c r="L4112" s="23">
        <f>_xlfn.DAYS(Tabla1[[#This Row],[FECHA FIN ]],Tabla1[[#This Row],[FECHA INICIO]])</f>
        <v>14</v>
      </c>
      <c r="M4112" s="12">
        <v>191.66666666666666</v>
      </c>
      <c r="N4112" s="20"/>
      <c r="O4112" s="24">
        <f>(Tabla1[[#This Row],[COSTO FIJO ]]/30)*Tabla1[[#This Row],[TOTAL DIAS PROYECTO]]+(Tabla1[[#This Row],[COSTO TEMPORAL]])</f>
        <v>191.66666666666666</v>
      </c>
      <c r="P4112" s="12"/>
      <c r="Q4112" s="12">
        <f>+(Tabla1[[#This Row],[COSTO COCHE]]/30)*Tabla1[[#This Row],[TOTAL DIAS PROYECTO]]</f>
        <v>0</v>
      </c>
      <c r="R4112" s="12">
        <f>+Tabla1[[#This Row],[COSTO TOTAL ALOJAMIENTO]]+Tabla1[[#This Row],[COSTO TOTAL COCHE]]</f>
        <v>191.66666666666666</v>
      </c>
      <c r="S4112" s="2"/>
      <c r="T4112" s="14" t="s">
        <v>44</v>
      </c>
      <c r="U4112" s="14">
        <v>45956</v>
      </c>
      <c r="V4112" s="79">
        <v>45972</v>
      </c>
      <c r="W4112" s="71"/>
      <c r="X4112" s="2"/>
      <c r="Y4112" s="30" t="s">
        <v>6052</v>
      </c>
      <c r="Z4112" s="2" t="s">
        <v>36</v>
      </c>
      <c r="AA4112" s="13" t="s">
        <v>10335</v>
      </c>
      <c r="AB4112" s="13">
        <v>404.16500000000002</v>
      </c>
    </row>
    <row r="4113" spans="1:28" ht="15" customHeight="1">
      <c r="A4113" s="2" t="s">
        <v>10000</v>
      </c>
      <c r="B4113" s="2" t="s">
        <v>606</v>
      </c>
      <c r="C4113" s="11" t="s">
        <v>5884</v>
      </c>
      <c r="D4113" s="2" t="s">
        <v>99</v>
      </c>
      <c r="E4113" s="2" t="s">
        <v>720</v>
      </c>
      <c r="F4113" s="11" t="s">
        <v>6054</v>
      </c>
      <c r="G4113" s="49" t="s">
        <v>6055</v>
      </c>
      <c r="H4113" s="2" t="s">
        <v>6056</v>
      </c>
      <c r="I4113" s="158" t="s">
        <v>279</v>
      </c>
      <c r="J4113" s="22">
        <f>+Tabla1[[#This Row],[FECHA ENTRADA]]</f>
        <v>45970</v>
      </c>
      <c r="K4113" s="8">
        <v>45970</v>
      </c>
      <c r="L4113" s="23">
        <f>_xlfn.DAYS(Tabla1[[#This Row],[FECHA FIN ]],Tabla1[[#This Row],[FECHA INICIO]])</f>
        <v>0</v>
      </c>
      <c r="M4113" s="12">
        <f>388.3/3</f>
        <v>129.43333333333334</v>
      </c>
      <c r="N4113" s="24"/>
      <c r="O4113" s="24">
        <f>(Tabla1[[#This Row],[COSTO FIJO ]]/30)*Tabla1[[#This Row],[TOTAL DIAS PROYECTO]]+(Tabla1[[#This Row],[COSTO TEMPORAL]])</f>
        <v>129.43333333333334</v>
      </c>
      <c r="P4113" s="12"/>
      <c r="Q4113" s="12">
        <f>+(Tabla1[[#This Row],[COSTO COCHE]]/30)*Tabla1[[#This Row],[TOTAL DIAS PROYECTO]]</f>
        <v>0</v>
      </c>
      <c r="R4113" s="12">
        <f>+Tabla1[[#This Row],[COSTO TOTAL ALOJAMIENTO]]+Tabla1[[#This Row],[COSTO TOTAL COCHE]]</f>
        <v>129.43333333333334</v>
      </c>
      <c r="S4113" s="2" t="s">
        <v>84</v>
      </c>
      <c r="T4113" s="14" t="s">
        <v>44</v>
      </c>
      <c r="U4113" s="14">
        <v>45970</v>
      </c>
      <c r="V4113" s="25">
        <v>45980</v>
      </c>
      <c r="W4113" s="71"/>
      <c r="X4113" s="2"/>
      <c r="Y4113" s="11" t="s">
        <v>6057</v>
      </c>
      <c r="Z4113" s="2" t="s">
        <v>36</v>
      </c>
      <c r="AA4113" s="13" t="s">
        <v>10394</v>
      </c>
      <c r="AB4113" s="13" t="s">
        <v>10395</v>
      </c>
    </row>
    <row r="4114" spans="1:28" ht="15" customHeight="1">
      <c r="A4114" s="2" t="s">
        <v>9023</v>
      </c>
      <c r="B4114" s="2" t="s">
        <v>606</v>
      </c>
      <c r="C4114" s="11" t="s">
        <v>1718</v>
      </c>
      <c r="D4114" s="2" t="s">
        <v>99</v>
      </c>
      <c r="E4114" s="2" t="s">
        <v>720</v>
      </c>
      <c r="F4114" s="11" t="s">
        <v>6054</v>
      </c>
      <c r="G4114" s="49" t="s">
        <v>6055</v>
      </c>
      <c r="H4114" s="2" t="s">
        <v>6056</v>
      </c>
      <c r="I4114" s="12" t="s">
        <v>279</v>
      </c>
      <c r="J4114" s="22">
        <f>+Tabla1[[#This Row],[FECHA ENTRADA]]</f>
        <v>45970</v>
      </c>
      <c r="K4114" s="8">
        <v>45970</v>
      </c>
      <c r="L4114" s="23">
        <f>_xlfn.DAYS(Tabla1[[#This Row],[FECHA FIN ]],Tabla1[[#This Row],[FECHA INICIO]])</f>
        <v>0</v>
      </c>
      <c r="M4114" s="12">
        <f>388.3/3</f>
        <v>129.43333333333334</v>
      </c>
      <c r="N4114" s="24"/>
      <c r="O4114" s="24">
        <f>(Tabla1[[#This Row],[COSTO FIJO ]]/30)*Tabla1[[#This Row],[TOTAL DIAS PROYECTO]]+(Tabla1[[#This Row],[COSTO TEMPORAL]])</f>
        <v>129.43333333333334</v>
      </c>
      <c r="P4114" s="12"/>
      <c r="Q4114" s="12">
        <f>+(Tabla1[[#This Row],[COSTO COCHE]]/30)*Tabla1[[#This Row],[TOTAL DIAS PROYECTO]]</f>
        <v>0</v>
      </c>
      <c r="R4114" s="12">
        <f>+Tabla1[[#This Row],[COSTO TOTAL ALOJAMIENTO]]+Tabla1[[#This Row],[COSTO TOTAL COCHE]]</f>
        <v>129.43333333333334</v>
      </c>
      <c r="S4114" s="2" t="s">
        <v>84</v>
      </c>
      <c r="T4114" s="14" t="s">
        <v>44</v>
      </c>
      <c r="U4114" s="14">
        <v>45970</v>
      </c>
      <c r="V4114" s="25">
        <v>45980</v>
      </c>
      <c r="W4114" s="71"/>
      <c r="X4114" s="2"/>
      <c r="Y4114" s="11" t="s">
        <v>6057</v>
      </c>
      <c r="Z4114" s="2" t="s">
        <v>36</v>
      </c>
      <c r="AA4114" s="13" t="s">
        <v>10394</v>
      </c>
      <c r="AB4114" s="13" t="s">
        <v>10395</v>
      </c>
    </row>
    <row r="4115" spans="1:28" ht="15" customHeight="1">
      <c r="A4115" s="2" t="s">
        <v>10048</v>
      </c>
      <c r="B4115" s="2" t="s">
        <v>606</v>
      </c>
      <c r="C4115" s="11" t="s">
        <v>6058</v>
      </c>
      <c r="D4115" s="2" t="s">
        <v>99</v>
      </c>
      <c r="E4115" s="2" t="s">
        <v>720</v>
      </c>
      <c r="F4115" s="11" t="s">
        <v>6054</v>
      </c>
      <c r="G4115" s="49" t="s">
        <v>6055</v>
      </c>
      <c r="H4115" s="2" t="s">
        <v>6056</v>
      </c>
      <c r="I4115" s="158" t="s">
        <v>279</v>
      </c>
      <c r="J4115" s="22">
        <f>+Tabla1[[#This Row],[FECHA ENTRADA]]</f>
        <v>45970</v>
      </c>
      <c r="K4115" s="8">
        <v>45970</v>
      </c>
      <c r="L4115" s="23">
        <f>_xlfn.DAYS(Tabla1[[#This Row],[FECHA FIN ]],Tabla1[[#This Row],[FECHA INICIO]])</f>
        <v>0</v>
      </c>
      <c r="M4115" s="12">
        <f>388.3/3</f>
        <v>129.43333333333334</v>
      </c>
      <c r="N4115" s="24"/>
      <c r="O4115" s="24">
        <f>(Tabla1[[#This Row],[COSTO FIJO ]]/30)*Tabla1[[#This Row],[TOTAL DIAS PROYECTO]]+(Tabla1[[#This Row],[COSTO TEMPORAL]])</f>
        <v>129.43333333333334</v>
      </c>
      <c r="P4115" s="12"/>
      <c r="Q4115" s="12">
        <f>+(Tabla1[[#This Row],[COSTO COCHE]]/30)*Tabla1[[#This Row],[TOTAL DIAS PROYECTO]]</f>
        <v>0</v>
      </c>
      <c r="R4115" s="12">
        <f>+Tabla1[[#This Row],[COSTO TOTAL ALOJAMIENTO]]+Tabla1[[#This Row],[COSTO TOTAL COCHE]]</f>
        <v>129.43333333333334</v>
      </c>
      <c r="S4115" s="2" t="s">
        <v>84</v>
      </c>
      <c r="T4115" s="14" t="s">
        <v>44</v>
      </c>
      <c r="U4115" s="14">
        <v>45970</v>
      </c>
      <c r="V4115" s="25">
        <v>45980</v>
      </c>
      <c r="W4115" s="71"/>
      <c r="X4115" s="2"/>
      <c r="Y4115" s="11" t="s">
        <v>6057</v>
      </c>
      <c r="Z4115" s="2" t="s">
        <v>36</v>
      </c>
      <c r="AA4115" s="13" t="s">
        <v>10394</v>
      </c>
      <c r="AB4115" s="13" t="s">
        <v>10395</v>
      </c>
    </row>
    <row r="4116" spans="1:28" ht="15" customHeight="1">
      <c r="A4116" s="2" t="s">
        <v>8978</v>
      </c>
      <c r="B4116" s="2" t="s">
        <v>711</v>
      </c>
      <c r="C4116" s="279" t="s">
        <v>1574</v>
      </c>
      <c r="D4116" s="2" t="s">
        <v>99</v>
      </c>
      <c r="E4116" s="2" t="s">
        <v>415</v>
      </c>
      <c r="F4116" s="11" t="s">
        <v>5821</v>
      </c>
      <c r="G4116" s="197" t="s">
        <v>1413</v>
      </c>
      <c r="H4116" s="157" t="s">
        <v>6059</v>
      </c>
      <c r="I4116" s="158" t="s">
        <v>800</v>
      </c>
      <c r="J4116" s="41">
        <f>+Tabla1[[#This Row],[FECHA ENTRADA]]</f>
        <v>45964</v>
      </c>
      <c r="K4116" s="41">
        <v>45971</v>
      </c>
      <c r="L4116" s="42">
        <f>_xlfn.DAYS(Tabla1[[#This Row],[FECHA FIN ]],Tabla1[[#This Row],[FECHA INICIO]])</f>
        <v>7</v>
      </c>
      <c r="M4116" s="12"/>
      <c r="N4116" s="12">
        <v>450</v>
      </c>
      <c r="O4116" s="28">
        <f>(Tabla1[[#This Row],[COSTO FIJO ]]/30)*Tabla1[[#This Row],[TOTAL DIAS PROYECTO]]+(Tabla1[[#This Row],[COSTO TEMPORAL]])</f>
        <v>105</v>
      </c>
      <c r="P4116" s="12"/>
      <c r="Q4116" s="12">
        <f>+(Tabla1[[#This Row],[COSTO COCHE]]/30)*Tabla1[[#This Row],[TOTAL DIAS PROYECTO]]</f>
        <v>0</v>
      </c>
      <c r="R4116" s="12">
        <f>+Tabla1[[#This Row],[COSTO TOTAL ALOJAMIENTO]]+Tabla1[[#This Row],[COSTO TOTAL COCHE]]</f>
        <v>105</v>
      </c>
      <c r="S4116" s="2"/>
      <c r="T4116" s="14" t="s">
        <v>35</v>
      </c>
      <c r="U4116" s="14">
        <v>45964</v>
      </c>
      <c r="V4116" s="43"/>
      <c r="W4116" s="71"/>
      <c r="X4116" s="2">
        <v>1</v>
      </c>
      <c r="Y4116" s="11" t="s">
        <v>6060</v>
      </c>
      <c r="Z4116" s="2" t="s">
        <v>36</v>
      </c>
      <c r="AA4116" s="13">
        <v>-0.37739</v>
      </c>
      <c r="AB4116" s="13" t="s">
        <v>10372</v>
      </c>
    </row>
    <row r="4117" spans="1:28" ht="15" customHeight="1">
      <c r="A4117" s="2" t="s">
        <v>8642</v>
      </c>
      <c r="B4117" s="2" t="s">
        <v>711</v>
      </c>
      <c r="C4117" s="279" t="s">
        <v>6061</v>
      </c>
      <c r="D4117" s="2" t="s">
        <v>30</v>
      </c>
      <c r="E4117" s="2" t="s">
        <v>127</v>
      </c>
      <c r="F4117" s="11"/>
      <c r="G4117" s="49"/>
      <c r="H4117" s="157" t="s">
        <v>6062</v>
      </c>
      <c r="I4117" s="158" t="s">
        <v>96</v>
      </c>
      <c r="J4117" s="22">
        <f>+Tabla1[[#This Row],[FECHA ENTRADA]]</f>
        <v>46180</v>
      </c>
      <c r="K4117" s="22">
        <v>46202</v>
      </c>
      <c r="L4117" s="23">
        <f>_xlfn.DAYS(Tabla1[[#This Row],[FECHA FIN ]],Tabla1[[#This Row],[FECHA INICIO]])</f>
        <v>22</v>
      </c>
      <c r="M4117" s="12"/>
      <c r="N4117" s="24">
        <v>0</v>
      </c>
      <c r="O4117" s="24">
        <f>(Tabla1[[#This Row],[COSTO FIJO ]]/30)*Tabla1[[#This Row],[TOTAL DIAS PROYECTO]]+(Tabla1[[#This Row],[COSTO TEMPORAL]])</f>
        <v>0</v>
      </c>
      <c r="P4117" s="12"/>
      <c r="Q4117" s="12">
        <f>+(Tabla1[[#This Row],[COSTO COCHE]]/30)*Tabla1[[#This Row],[TOTAL DIAS PROYECTO]]</f>
        <v>0</v>
      </c>
      <c r="R4117" s="12">
        <f>+Tabla1[[#This Row],[COSTO TOTAL ALOJAMIENTO]]+Tabla1[[#This Row],[COSTO TOTAL COCHE]]</f>
        <v>0</v>
      </c>
      <c r="S4117" s="2"/>
      <c r="T4117" s="14" t="s">
        <v>8</v>
      </c>
      <c r="U4117" s="14">
        <v>46180</v>
      </c>
      <c r="V4117" s="25"/>
      <c r="W4117" s="12"/>
      <c r="X4117" s="2"/>
      <c r="Y4117" s="11" t="s">
        <v>6063</v>
      </c>
      <c r="Z4117" s="2" t="s">
        <v>36</v>
      </c>
      <c r="AA4117" s="13" t="s">
        <v>10342</v>
      </c>
      <c r="AB4117" s="13" t="s">
        <v>10343</v>
      </c>
    </row>
    <row r="4118" spans="1:28" ht="15" customHeight="1">
      <c r="A4118" s="2" t="s">
        <v>10049</v>
      </c>
      <c r="B4118" s="2" t="s">
        <v>978</v>
      </c>
      <c r="C4118" s="273" t="s">
        <v>6064</v>
      </c>
      <c r="D4118" s="184" t="s">
        <v>99</v>
      </c>
      <c r="E4118" s="2" t="s">
        <v>985</v>
      </c>
      <c r="F4118" s="11" t="s">
        <v>5615</v>
      </c>
      <c r="G4118" s="49" t="s">
        <v>5616</v>
      </c>
      <c r="H4118" s="157" t="s">
        <v>5617</v>
      </c>
      <c r="I4118" s="158" t="s">
        <v>5618</v>
      </c>
      <c r="J4118" s="22">
        <f>+Tabla1[[#This Row],[FECHA ENTRADA]]</f>
        <v>45945</v>
      </c>
      <c r="K4118" s="22">
        <v>45972</v>
      </c>
      <c r="L4118" s="23">
        <f>_xlfn.DAYS(Tabla1[[#This Row],[FECHA FIN ]],Tabla1[[#This Row],[FECHA INICIO]])</f>
        <v>27</v>
      </c>
      <c r="M4118" s="12">
        <f>1659.2/5</f>
        <v>331.84000000000003</v>
      </c>
      <c r="N4118" s="20"/>
      <c r="O4118" s="24">
        <f>(Tabla1[[#This Row],[COSTO FIJO ]]/30)*Tabla1[[#This Row],[TOTAL DIAS PROYECTO]]+(Tabla1[[#This Row],[COSTO TEMPORAL]])</f>
        <v>331.84000000000003</v>
      </c>
      <c r="P4118" s="12"/>
      <c r="Q4118" s="12">
        <f>+(Tabla1[[#This Row],[COSTO COCHE]]/30)*Tabla1[[#This Row],[TOTAL DIAS PROYECTO]]</f>
        <v>0</v>
      </c>
      <c r="R4118" s="12">
        <f>+Tabla1[[#This Row],[COSTO TOTAL ALOJAMIENTO]]+Tabla1[[#This Row],[COSTO TOTAL COCHE]]</f>
        <v>331.84000000000003</v>
      </c>
      <c r="S4118" s="2" t="s">
        <v>84</v>
      </c>
      <c r="T4118" s="14" t="s">
        <v>44</v>
      </c>
      <c r="U4118" s="14">
        <v>45945</v>
      </c>
      <c r="V4118" s="43">
        <v>45972</v>
      </c>
      <c r="W4118" s="71"/>
      <c r="X4118" s="2"/>
      <c r="Y4118" s="11" t="s">
        <v>5869</v>
      </c>
      <c r="Z4118" s="2" t="s">
        <v>36</v>
      </c>
      <c r="AA4118" s="13" t="s">
        <v>10407</v>
      </c>
      <c r="AB4118" s="13" t="s">
        <v>10408</v>
      </c>
    </row>
    <row r="4119" spans="1:28" ht="15" customHeight="1">
      <c r="A4119" s="2" t="s">
        <v>8735</v>
      </c>
      <c r="B4119" s="2" t="s">
        <v>711</v>
      </c>
      <c r="C4119" s="31" t="s">
        <v>501</v>
      </c>
      <c r="D4119" s="2" t="s">
        <v>30</v>
      </c>
      <c r="E4119" s="2" t="s">
        <v>87</v>
      </c>
      <c r="F4119" s="11" t="s">
        <v>6049</v>
      </c>
      <c r="G4119" s="11" t="s">
        <v>6050</v>
      </c>
      <c r="H4119" s="2" t="s">
        <v>6051</v>
      </c>
      <c r="I4119" s="12" t="s">
        <v>1392</v>
      </c>
      <c r="J4119" s="22">
        <f>+Tabla1[[#This Row],[FECHA ENTRADA]]</f>
        <v>45956</v>
      </c>
      <c r="K4119" s="22">
        <v>45972</v>
      </c>
      <c r="L4119" s="23">
        <f>_xlfn.DAYS(Tabla1[[#This Row],[FECHA FIN ]],Tabla1[[#This Row],[FECHA INICIO]])</f>
        <v>16</v>
      </c>
      <c r="M4119" s="12">
        <v>191.66666666666666</v>
      </c>
      <c r="N4119" s="20"/>
      <c r="O4119" s="24">
        <f>(Tabla1[[#This Row],[COSTO FIJO ]]/30)*Tabla1[[#This Row],[TOTAL DIAS PROYECTO]]+(Tabla1[[#This Row],[COSTO TEMPORAL]])</f>
        <v>191.66666666666666</v>
      </c>
      <c r="P4119" s="12"/>
      <c r="Q4119" s="12">
        <f>+(Tabla1[[#This Row],[COSTO COCHE]]/30)*Tabla1[[#This Row],[TOTAL DIAS PROYECTO]]</f>
        <v>0</v>
      </c>
      <c r="R4119" s="12">
        <f>+Tabla1[[#This Row],[COSTO TOTAL ALOJAMIENTO]]+Tabla1[[#This Row],[COSTO TOTAL COCHE]]</f>
        <v>191.66666666666666</v>
      </c>
      <c r="S4119" s="2"/>
      <c r="T4119" s="14" t="s">
        <v>44</v>
      </c>
      <c r="U4119" s="14">
        <v>45956</v>
      </c>
      <c r="V4119" s="79">
        <v>45972</v>
      </c>
      <c r="W4119" s="71"/>
      <c r="X4119" s="2"/>
      <c r="Y4119" s="11"/>
      <c r="Z4119" s="2" t="s">
        <v>36</v>
      </c>
      <c r="AA4119" s="13" t="s">
        <v>10335</v>
      </c>
      <c r="AB4119" s="13">
        <v>404.16500000000002</v>
      </c>
    </row>
    <row r="4120" spans="1:28" ht="15" customHeight="1">
      <c r="A4120" s="2" t="s">
        <v>10050</v>
      </c>
      <c r="B4120" s="2" t="s">
        <v>711</v>
      </c>
      <c r="C4120" s="31" t="s">
        <v>6065</v>
      </c>
      <c r="D4120" s="2" t="s">
        <v>99</v>
      </c>
      <c r="E4120" s="2" t="s">
        <v>626</v>
      </c>
      <c r="F4120" s="11" t="s">
        <v>5547</v>
      </c>
      <c r="G4120" s="21" t="s">
        <v>5548</v>
      </c>
      <c r="H4120" s="2" t="s">
        <v>6066</v>
      </c>
      <c r="I4120" s="12" t="s">
        <v>570</v>
      </c>
      <c r="J4120" s="41">
        <f>+Tabla1[[#This Row],[FECHA ENTRADA]]</f>
        <v>45970</v>
      </c>
      <c r="K4120" s="8">
        <v>45972</v>
      </c>
      <c r="L4120" s="42">
        <f>_xlfn.DAYS(Tabla1[[#This Row],[FECHA FIN ]],Tabla1[[#This Row],[FECHA INICIO]])</f>
        <v>2</v>
      </c>
      <c r="M4120" s="12"/>
      <c r="N4120" s="28"/>
      <c r="O4120" s="28">
        <f>(Tabla1[[#This Row],[COSTO FIJO ]]/30)*Tabla1[[#This Row],[TOTAL DIAS PROYECTO]]+(Tabla1[[#This Row],[COSTO TEMPORAL]])</f>
        <v>0</v>
      </c>
      <c r="P4120" s="12"/>
      <c r="Q4120" s="12">
        <f>+(Tabla1[[#This Row],[COSTO COCHE]]/30)*Tabla1[[#This Row],[TOTAL DIAS PROYECTO]]</f>
        <v>0</v>
      </c>
      <c r="R4120" s="12">
        <f>+Tabla1[[#This Row],[COSTO TOTAL ALOJAMIENTO]]+Tabla1[[#This Row],[COSTO TOTAL COCHE]]</f>
        <v>0</v>
      </c>
      <c r="S4120" s="2"/>
      <c r="T4120" s="14" t="s">
        <v>44</v>
      </c>
      <c r="U4120" s="14">
        <v>45970</v>
      </c>
      <c r="V4120" s="43">
        <v>45979</v>
      </c>
      <c r="W4120" s="71"/>
      <c r="X4120" s="2"/>
      <c r="Y4120" s="11" t="s">
        <v>6067</v>
      </c>
      <c r="Z4120" s="2" t="s">
        <v>36</v>
      </c>
      <c r="AA4120" s="13" t="s">
        <v>10385</v>
      </c>
      <c r="AB4120" s="13" t="s">
        <v>10386</v>
      </c>
    </row>
    <row r="4121" spans="1:28" ht="15" customHeight="1">
      <c r="A4121" s="2" t="s">
        <v>9294</v>
      </c>
      <c r="B4121" s="2" t="s">
        <v>711</v>
      </c>
      <c r="C4121" s="11" t="s">
        <v>2731</v>
      </c>
      <c r="D4121" s="2" t="s">
        <v>30</v>
      </c>
      <c r="E4121" s="2" t="s">
        <v>31</v>
      </c>
      <c r="F4121" s="11" t="s">
        <v>5258</v>
      </c>
      <c r="G4121" s="49" t="s">
        <v>5083</v>
      </c>
      <c r="H4121" s="2" t="s">
        <v>6032</v>
      </c>
      <c r="I4121" s="12" t="s">
        <v>5531</v>
      </c>
      <c r="J4121" s="41">
        <f>+Tabla1[[#This Row],[FECHA ENTRADA]]</f>
        <v>45924</v>
      </c>
      <c r="K4121" s="22">
        <v>46021</v>
      </c>
      <c r="L4121" s="42">
        <f>_xlfn.DAYS(Tabla1[[#This Row],[FECHA FIN ]],Tabla1[[#This Row],[FECHA INICIO]])</f>
        <v>97</v>
      </c>
      <c r="M4121" s="12"/>
      <c r="N4121" s="24">
        <v>416.66666666666669</v>
      </c>
      <c r="O4121" s="28">
        <f>(Tabla1[[#This Row],[COSTO FIJO ]]/30)*Tabla1[[#This Row],[TOTAL DIAS PROYECTO]]+(Tabla1[[#This Row],[COSTO TEMPORAL]])</f>
        <v>1347.2222222222222</v>
      </c>
      <c r="P4121" s="12"/>
      <c r="Q4121" s="12">
        <f>+(Tabla1[[#This Row],[COSTO COCHE]]/30)*Tabla1[[#This Row],[TOTAL DIAS PROYECTO]]</f>
        <v>0</v>
      </c>
      <c r="R4121" s="12">
        <f>+Tabla1[[#This Row],[COSTO TOTAL ALOJAMIENTO]]+Tabla1[[#This Row],[COSTO TOTAL COCHE]]</f>
        <v>1347.2222222222222</v>
      </c>
      <c r="S4121" s="2"/>
      <c r="T4121" s="14" t="s">
        <v>44</v>
      </c>
      <c r="U4121" s="14">
        <v>45924</v>
      </c>
      <c r="V4121" s="25">
        <v>46021</v>
      </c>
      <c r="W4121" s="71"/>
      <c r="X4121" s="2">
        <v>25</v>
      </c>
      <c r="Y4121" s="11" t="s">
        <v>6068</v>
      </c>
      <c r="Z4121" s="2" t="s">
        <v>36</v>
      </c>
      <c r="AA4121" s="13" t="s">
        <v>10323</v>
      </c>
      <c r="AB4121" s="13" t="s">
        <v>10324</v>
      </c>
    </row>
    <row r="4122" spans="1:28" ht="15" customHeight="1">
      <c r="A4122" s="117" t="s">
        <v>9205</v>
      </c>
      <c r="B4122" s="117" t="s">
        <v>711</v>
      </c>
      <c r="C4122" s="118" t="s">
        <v>2425</v>
      </c>
      <c r="D4122" s="117" t="s">
        <v>30</v>
      </c>
      <c r="E4122" s="117" t="s">
        <v>5690</v>
      </c>
      <c r="F4122" s="11" t="s">
        <v>6069</v>
      </c>
      <c r="G4122" s="128" t="s">
        <v>5706</v>
      </c>
      <c r="H4122" s="117" t="s">
        <v>5962</v>
      </c>
      <c r="I4122" s="119" t="s">
        <v>5694</v>
      </c>
      <c r="J4122" s="120">
        <f>+Tabla1[[#This Row],[FECHA ENTRADA]]</f>
        <v>45971</v>
      </c>
      <c r="K4122" s="120">
        <v>45972</v>
      </c>
      <c r="L4122" s="122">
        <f>_xlfn.DAYS(Tabla1[[#This Row],[FECHA FIN ]],Tabla1[[#This Row],[FECHA INICIO]])</f>
        <v>1</v>
      </c>
      <c r="M4122" s="119">
        <v>425</v>
      </c>
      <c r="N4122" s="123"/>
      <c r="O4122" s="123">
        <f>(Tabla1[[#This Row],[COSTO FIJO ]]/30)*Tabla1[[#This Row],[TOTAL DIAS PROYECTO]]+(Tabla1[[#This Row],[COSTO TEMPORAL]])</f>
        <v>425</v>
      </c>
      <c r="P4122" s="119"/>
      <c r="Q4122" s="119">
        <f>+(Tabla1[[#This Row],[COSTO COCHE]]/30)*Tabla1[[#This Row],[TOTAL DIAS PROYECTO]]</f>
        <v>0</v>
      </c>
      <c r="R4122" s="119">
        <f>+Tabla1[[#This Row],[COSTO TOTAL ALOJAMIENTO]]+Tabla1[[#This Row],[COSTO TOTAL COCHE]]</f>
        <v>425</v>
      </c>
      <c r="S4122" s="117"/>
      <c r="T4122" s="124" t="s">
        <v>44</v>
      </c>
      <c r="U4122" s="124">
        <v>45971</v>
      </c>
      <c r="V4122" s="125">
        <v>45992</v>
      </c>
      <c r="W4122" s="126"/>
      <c r="X4122" s="117"/>
      <c r="Y4122" s="118" t="s">
        <v>6070</v>
      </c>
      <c r="Z4122" s="117" t="s">
        <v>36</v>
      </c>
      <c r="AA4122" s="127" t="e">
        <v>#N/A</v>
      </c>
      <c r="AB4122" s="127" t="e">
        <v>#N/A</v>
      </c>
    </row>
    <row r="4123" spans="1:28" ht="15" customHeight="1">
      <c r="A4123" s="117" t="s">
        <v>10014</v>
      </c>
      <c r="B4123" s="117" t="s">
        <v>711</v>
      </c>
      <c r="C4123" s="118" t="s">
        <v>5967</v>
      </c>
      <c r="D4123" s="117" t="s">
        <v>30</v>
      </c>
      <c r="E4123" s="117" t="s">
        <v>5690</v>
      </c>
      <c r="F4123" s="11" t="s">
        <v>6069</v>
      </c>
      <c r="G4123" s="128" t="s">
        <v>5706</v>
      </c>
      <c r="H4123" s="117" t="s">
        <v>5962</v>
      </c>
      <c r="I4123" s="119" t="s">
        <v>5694</v>
      </c>
      <c r="J4123" s="120">
        <f>+Tabla1[[#This Row],[FECHA ENTRADA]]</f>
        <v>45971</v>
      </c>
      <c r="K4123" s="120">
        <v>45972</v>
      </c>
      <c r="L4123" s="122">
        <f>_xlfn.DAYS(Tabla1[[#This Row],[FECHA FIN ]],Tabla1[[#This Row],[FECHA INICIO]])</f>
        <v>1</v>
      </c>
      <c r="M4123" s="119">
        <v>425</v>
      </c>
      <c r="N4123" s="123"/>
      <c r="O4123" s="123">
        <f>(Tabla1[[#This Row],[COSTO FIJO ]]/30)*Tabla1[[#This Row],[TOTAL DIAS PROYECTO]]+(Tabla1[[#This Row],[COSTO TEMPORAL]])</f>
        <v>425</v>
      </c>
      <c r="P4123" s="119"/>
      <c r="Q4123" s="119">
        <f>+(Tabla1[[#This Row],[COSTO COCHE]]/30)*Tabla1[[#This Row],[TOTAL DIAS PROYECTO]]</f>
        <v>0</v>
      </c>
      <c r="R4123" s="119">
        <f>+Tabla1[[#This Row],[COSTO TOTAL ALOJAMIENTO]]+Tabla1[[#This Row],[COSTO TOTAL COCHE]]</f>
        <v>425</v>
      </c>
      <c r="S4123" s="117"/>
      <c r="T4123" s="124" t="s">
        <v>44</v>
      </c>
      <c r="U4123" s="124">
        <v>45971</v>
      </c>
      <c r="V4123" s="125">
        <v>45992</v>
      </c>
      <c r="W4123" s="126"/>
      <c r="X4123" s="117"/>
      <c r="Y4123" s="118" t="s">
        <v>6070</v>
      </c>
      <c r="Z4123" s="117" t="s">
        <v>36</v>
      </c>
      <c r="AA4123" s="127" t="e">
        <v>#N/A</v>
      </c>
      <c r="AB4123" s="127" t="e">
        <v>#N/A</v>
      </c>
    </row>
    <row r="4124" spans="1:28" ht="15" customHeight="1">
      <c r="A4124" s="117" t="s">
        <v>9916</v>
      </c>
      <c r="B4124" s="117" t="s">
        <v>711</v>
      </c>
      <c r="C4124" s="118" t="s">
        <v>5400</v>
      </c>
      <c r="D4124" s="117" t="s">
        <v>30</v>
      </c>
      <c r="E4124" s="117" t="s">
        <v>5690</v>
      </c>
      <c r="F4124" s="11" t="s">
        <v>6069</v>
      </c>
      <c r="G4124" s="128" t="s">
        <v>5706</v>
      </c>
      <c r="H4124" s="117" t="s">
        <v>5962</v>
      </c>
      <c r="I4124" s="119" t="s">
        <v>5694</v>
      </c>
      <c r="J4124" s="120">
        <f>+Tabla1[[#This Row],[FECHA ENTRADA]]</f>
        <v>45971</v>
      </c>
      <c r="K4124" s="120">
        <v>45972</v>
      </c>
      <c r="L4124" s="122">
        <f>_xlfn.DAYS(Tabla1[[#This Row],[FECHA FIN ]],Tabla1[[#This Row],[FECHA INICIO]])</f>
        <v>1</v>
      </c>
      <c r="M4124" s="119">
        <v>425</v>
      </c>
      <c r="N4124" s="123"/>
      <c r="O4124" s="123">
        <f>(Tabla1[[#This Row],[COSTO FIJO ]]/30)*Tabla1[[#This Row],[TOTAL DIAS PROYECTO]]+(Tabla1[[#This Row],[COSTO TEMPORAL]])</f>
        <v>425</v>
      </c>
      <c r="P4124" s="119"/>
      <c r="Q4124" s="119">
        <f>+(Tabla1[[#This Row],[COSTO COCHE]]/30)*Tabla1[[#This Row],[TOTAL DIAS PROYECTO]]</f>
        <v>0</v>
      </c>
      <c r="R4124" s="119">
        <f>+Tabla1[[#This Row],[COSTO TOTAL ALOJAMIENTO]]+Tabla1[[#This Row],[COSTO TOTAL COCHE]]</f>
        <v>425</v>
      </c>
      <c r="S4124" s="117"/>
      <c r="T4124" s="124" t="s">
        <v>44</v>
      </c>
      <c r="U4124" s="124">
        <v>45971</v>
      </c>
      <c r="V4124" s="125">
        <v>45992</v>
      </c>
      <c r="W4124" s="126"/>
      <c r="X4124" s="117"/>
      <c r="Y4124" s="118" t="s">
        <v>6070</v>
      </c>
      <c r="Z4124" s="117" t="s">
        <v>36</v>
      </c>
      <c r="AA4124" s="127" t="e">
        <v>#N/A</v>
      </c>
      <c r="AB4124" s="127" t="e">
        <v>#N/A</v>
      </c>
    </row>
    <row r="4125" spans="1:28" ht="15" customHeight="1">
      <c r="A4125" s="117" t="s">
        <v>9799</v>
      </c>
      <c r="B4125" s="117" t="s">
        <v>711</v>
      </c>
      <c r="C4125" s="118" t="s">
        <v>4801</v>
      </c>
      <c r="D4125" s="117" t="s">
        <v>30</v>
      </c>
      <c r="E4125" s="117" t="s">
        <v>5690</v>
      </c>
      <c r="F4125" s="11" t="s">
        <v>6069</v>
      </c>
      <c r="G4125" s="128" t="s">
        <v>5706</v>
      </c>
      <c r="H4125" s="117" t="s">
        <v>5962</v>
      </c>
      <c r="I4125" s="199" t="s">
        <v>5694</v>
      </c>
      <c r="J4125" s="120">
        <f>+Tabla1[[#This Row],[FECHA ENTRADA]]</f>
        <v>45971</v>
      </c>
      <c r="K4125" s="120">
        <v>45972</v>
      </c>
      <c r="L4125" s="122">
        <f>_xlfn.DAYS(Tabla1[[#This Row],[FECHA FIN ]],Tabla1[[#This Row],[FECHA INICIO]])</f>
        <v>1</v>
      </c>
      <c r="M4125" s="119">
        <v>425</v>
      </c>
      <c r="N4125" s="123"/>
      <c r="O4125" s="123">
        <f>(Tabla1[[#This Row],[COSTO FIJO ]]/30)*Tabla1[[#This Row],[TOTAL DIAS PROYECTO]]+(Tabla1[[#This Row],[COSTO TEMPORAL]])</f>
        <v>425</v>
      </c>
      <c r="P4125" s="119"/>
      <c r="Q4125" s="119">
        <f>+(Tabla1[[#This Row],[COSTO COCHE]]/30)*Tabla1[[#This Row],[TOTAL DIAS PROYECTO]]</f>
        <v>0</v>
      </c>
      <c r="R4125" s="119">
        <f>+Tabla1[[#This Row],[COSTO TOTAL ALOJAMIENTO]]+Tabla1[[#This Row],[COSTO TOTAL COCHE]]</f>
        <v>425</v>
      </c>
      <c r="S4125" s="117"/>
      <c r="T4125" s="124" t="s">
        <v>44</v>
      </c>
      <c r="U4125" s="124">
        <v>45971</v>
      </c>
      <c r="V4125" s="125">
        <v>45992</v>
      </c>
      <c r="W4125" s="126"/>
      <c r="X4125" s="117"/>
      <c r="Y4125" s="118" t="s">
        <v>6070</v>
      </c>
      <c r="Z4125" s="117" t="s">
        <v>36</v>
      </c>
      <c r="AA4125" s="127" t="e">
        <v>#N/A</v>
      </c>
      <c r="AB4125" s="127" t="e">
        <v>#N/A</v>
      </c>
    </row>
    <row r="4126" spans="1:28" ht="15" customHeight="1">
      <c r="A4126" s="117" t="s">
        <v>9205</v>
      </c>
      <c r="B4126" s="117" t="s">
        <v>711</v>
      </c>
      <c r="C4126" s="118" t="s">
        <v>2425</v>
      </c>
      <c r="D4126" s="117" t="s">
        <v>30</v>
      </c>
      <c r="E4126" s="117" t="s">
        <v>5690</v>
      </c>
      <c r="F4126" s="11" t="s">
        <v>6071</v>
      </c>
      <c r="G4126" s="128" t="s">
        <v>6072</v>
      </c>
      <c r="H4126" s="117" t="s">
        <v>5962</v>
      </c>
      <c r="I4126" s="199" t="s">
        <v>5694</v>
      </c>
      <c r="J4126" s="120">
        <f>+Tabla1[[#This Row],[FECHA ENTRADA]]</f>
        <v>45968</v>
      </c>
      <c r="K4126" s="120">
        <v>45972</v>
      </c>
      <c r="L4126" s="122">
        <f>_xlfn.DAYS(Tabla1[[#This Row],[FECHA FIN ]],Tabla1[[#This Row],[FECHA INICIO]])</f>
        <v>4</v>
      </c>
      <c r="M4126" s="119">
        <f>356.84/4</f>
        <v>89.21</v>
      </c>
      <c r="N4126" s="123"/>
      <c r="O4126" s="123">
        <f>(Tabla1[[#This Row],[COSTO FIJO ]]/30)*Tabla1[[#This Row],[TOTAL DIAS PROYECTO]]+(Tabla1[[#This Row],[COSTO TEMPORAL]])</f>
        <v>89.21</v>
      </c>
      <c r="P4126" s="119"/>
      <c r="Q4126" s="119">
        <f>+(Tabla1[[#This Row],[COSTO COCHE]]/30)*Tabla1[[#This Row],[TOTAL DIAS PROYECTO]]</f>
        <v>0</v>
      </c>
      <c r="R4126" s="119">
        <f>+Tabla1[[#This Row],[COSTO TOTAL ALOJAMIENTO]]+Tabla1[[#This Row],[COSTO TOTAL COCHE]]</f>
        <v>89.21</v>
      </c>
      <c r="S4126" s="117" t="s">
        <v>403</v>
      </c>
      <c r="T4126" s="124" t="s">
        <v>44</v>
      </c>
      <c r="U4126" s="124">
        <v>45968</v>
      </c>
      <c r="V4126" s="159">
        <v>45972</v>
      </c>
      <c r="W4126" s="126"/>
      <c r="X4126" s="117"/>
      <c r="Y4126" s="118" t="s">
        <v>6073</v>
      </c>
      <c r="Z4126" s="117" t="s">
        <v>36</v>
      </c>
      <c r="AA4126" s="127" t="e">
        <v>#N/A</v>
      </c>
      <c r="AB4126" s="127" t="e">
        <v>#N/A</v>
      </c>
    </row>
    <row r="4127" spans="1:28" ht="15" customHeight="1">
      <c r="A4127" s="117" t="s">
        <v>10014</v>
      </c>
      <c r="B4127" s="117" t="s">
        <v>711</v>
      </c>
      <c r="C4127" s="118" t="s">
        <v>5967</v>
      </c>
      <c r="D4127" s="117" t="s">
        <v>30</v>
      </c>
      <c r="E4127" s="117" t="s">
        <v>5690</v>
      </c>
      <c r="F4127" s="11" t="s">
        <v>6071</v>
      </c>
      <c r="G4127" s="128" t="s">
        <v>6072</v>
      </c>
      <c r="H4127" s="117" t="s">
        <v>5962</v>
      </c>
      <c r="I4127" s="199" t="s">
        <v>5694</v>
      </c>
      <c r="J4127" s="120">
        <f>+Tabla1[[#This Row],[FECHA ENTRADA]]</f>
        <v>45968</v>
      </c>
      <c r="K4127" s="120">
        <v>45972</v>
      </c>
      <c r="L4127" s="122">
        <f>_xlfn.DAYS(Tabla1[[#This Row],[FECHA FIN ]],Tabla1[[#This Row],[FECHA INICIO]])</f>
        <v>4</v>
      </c>
      <c r="M4127" s="119">
        <f>356.84/4</f>
        <v>89.21</v>
      </c>
      <c r="N4127" s="123"/>
      <c r="O4127" s="123">
        <f>(Tabla1[[#This Row],[COSTO FIJO ]]/30)*Tabla1[[#This Row],[TOTAL DIAS PROYECTO]]+(Tabla1[[#This Row],[COSTO TEMPORAL]])</f>
        <v>89.21</v>
      </c>
      <c r="P4127" s="119"/>
      <c r="Q4127" s="119">
        <f>+(Tabla1[[#This Row],[COSTO COCHE]]/30)*Tabla1[[#This Row],[TOTAL DIAS PROYECTO]]</f>
        <v>0</v>
      </c>
      <c r="R4127" s="119">
        <f>+Tabla1[[#This Row],[COSTO TOTAL ALOJAMIENTO]]+Tabla1[[#This Row],[COSTO TOTAL COCHE]]</f>
        <v>89.21</v>
      </c>
      <c r="S4127" s="117" t="s">
        <v>403</v>
      </c>
      <c r="T4127" s="124" t="s">
        <v>44</v>
      </c>
      <c r="U4127" s="124">
        <v>45968</v>
      </c>
      <c r="V4127" s="159">
        <v>45972</v>
      </c>
      <c r="W4127" s="126"/>
      <c r="X4127" s="117"/>
      <c r="Y4127" s="118" t="s">
        <v>6073</v>
      </c>
      <c r="Z4127" s="117" t="s">
        <v>36</v>
      </c>
      <c r="AA4127" s="127" t="e">
        <v>#N/A</v>
      </c>
      <c r="AB4127" s="127" t="e">
        <v>#N/A</v>
      </c>
    </row>
    <row r="4128" spans="1:28" ht="15" customHeight="1">
      <c r="A4128" s="117" t="s">
        <v>9916</v>
      </c>
      <c r="B4128" s="117" t="s">
        <v>711</v>
      </c>
      <c r="C4128" s="118" t="s">
        <v>5400</v>
      </c>
      <c r="D4128" s="117" t="s">
        <v>30</v>
      </c>
      <c r="E4128" s="117" t="s">
        <v>5690</v>
      </c>
      <c r="F4128" s="11" t="s">
        <v>6071</v>
      </c>
      <c r="G4128" s="128" t="s">
        <v>6072</v>
      </c>
      <c r="H4128" s="117" t="s">
        <v>5962</v>
      </c>
      <c r="I4128" s="119" t="s">
        <v>5694</v>
      </c>
      <c r="J4128" s="120">
        <f>+Tabla1[[#This Row],[FECHA ENTRADA]]</f>
        <v>45968</v>
      </c>
      <c r="K4128" s="120">
        <v>45972</v>
      </c>
      <c r="L4128" s="122">
        <f>_xlfn.DAYS(Tabla1[[#This Row],[FECHA FIN ]],Tabla1[[#This Row],[FECHA INICIO]])</f>
        <v>4</v>
      </c>
      <c r="M4128" s="119">
        <f>356.84/4</f>
        <v>89.21</v>
      </c>
      <c r="N4128" s="123"/>
      <c r="O4128" s="123">
        <f>(Tabla1[[#This Row],[COSTO FIJO ]]/30)*Tabla1[[#This Row],[TOTAL DIAS PROYECTO]]+(Tabla1[[#This Row],[COSTO TEMPORAL]])</f>
        <v>89.21</v>
      </c>
      <c r="P4128" s="119"/>
      <c r="Q4128" s="119">
        <f>+(Tabla1[[#This Row],[COSTO COCHE]]/30)*Tabla1[[#This Row],[TOTAL DIAS PROYECTO]]</f>
        <v>0</v>
      </c>
      <c r="R4128" s="119">
        <f>+Tabla1[[#This Row],[COSTO TOTAL ALOJAMIENTO]]+Tabla1[[#This Row],[COSTO TOTAL COCHE]]</f>
        <v>89.21</v>
      </c>
      <c r="S4128" s="117" t="s">
        <v>403</v>
      </c>
      <c r="T4128" s="124" t="s">
        <v>44</v>
      </c>
      <c r="U4128" s="124">
        <v>45968</v>
      </c>
      <c r="V4128" s="159">
        <v>45972</v>
      </c>
      <c r="W4128" s="126"/>
      <c r="X4128" s="117"/>
      <c r="Y4128" s="118" t="s">
        <v>6073</v>
      </c>
      <c r="Z4128" s="117" t="s">
        <v>36</v>
      </c>
      <c r="AA4128" s="127" t="e">
        <v>#N/A</v>
      </c>
      <c r="AB4128" s="127" t="e">
        <v>#N/A</v>
      </c>
    </row>
    <row r="4129" spans="1:28" ht="15" customHeight="1">
      <c r="A4129" s="117" t="s">
        <v>9799</v>
      </c>
      <c r="B4129" s="117" t="s">
        <v>711</v>
      </c>
      <c r="C4129" s="118" t="s">
        <v>4801</v>
      </c>
      <c r="D4129" s="117" t="s">
        <v>30</v>
      </c>
      <c r="E4129" s="117" t="s">
        <v>5690</v>
      </c>
      <c r="F4129" s="11" t="s">
        <v>6071</v>
      </c>
      <c r="G4129" s="128" t="s">
        <v>6072</v>
      </c>
      <c r="H4129" s="117" t="s">
        <v>5962</v>
      </c>
      <c r="I4129" s="119" t="s">
        <v>5694</v>
      </c>
      <c r="J4129" s="120">
        <f>+Tabla1[[#This Row],[FECHA ENTRADA]]</f>
        <v>45968</v>
      </c>
      <c r="K4129" s="120">
        <v>45972</v>
      </c>
      <c r="L4129" s="122">
        <f>_xlfn.DAYS(Tabla1[[#This Row],[FECHA FIN ]],Tabla1[[#This Row],[FECHA INICIO]])</f>
        <v>4</v>
      </c>
      <c r="M4129" s="119">
        <f>356.84/4</f>
        <v>89.21</v>
      </c>
      <c r="N4129" s="123"/>
      <c r="O4129" s="123">
        <f>(Tabla1[[#This Row],[COSTO FIJO ]]/30)*Tabla1[[#This Row],[TOTAL DIAS PROYECTO]]+(Tabla1[[#This Row],[COSTO TEMPORAL]])</f>
        <v>89.21</v>
      </c>
      <c r="P4129" s="119"/>
      <c r="Q4129" s="119">
        <f>+(Tabla1[[#This Row],[COSTO COCHE]]/30)*Tabla1[[#This Row],[TOTAL DIAS PROYECTO]]</f>
        <v>0</v>
      </c>
      <c r="R4129" s="119">
        <f>+Tabla1[[#This Row],[COSTO TOTAL ALOJAMIENTO]]+Tabla1[[#This Row],[COSTO TOTAL COCHE]]</f>
        <v>89.21</v>
      </c>
      <c r="S4129" s="117" t="s">
        <v>403</v>
      </c>
      <c r="T4129" s="124" t="s">
        <v>44</v>
      </c>
      <c r="U4129" s="124">
        <v>45968</v>
      </c>
      <c r="V4129" s="159">
        <v>45972</v>
      </c>
      <c r="W4129" s="126"/>
      <c r="X4129" s="117"/>
      <c r="Y4129" s="118" t="s">
        <v>6073</v>
      </c>
      <c r="Z4129" s="117" t="s">
        <v>36</v>
      </c>
      <c r="AA4129" s="127" t="e">
        <v>#N/A</v>
      </c>
      <c r="AB4129" s="127" t="e">
        <v>#N/A</v>
      </c>
    </row>
    <row r="4130" spans="1:28" ht="15" customHeight="1">
      <c r="A4130" s="2" t="s">
        <v>9083</v>
      </c>
      <c r="B4130" s="2" t="s">
        <v>28</v>
      </c>
      <c r="C4130" s="31" t="s">
        <v>1941</v>
      </c>
      <c r="D4130" s="2" t="s">
        <v>30</v>
      </c>
      <c r="E4130" s="2" t="s">
        <v>31</v>
      </c>
      <c r="F4130" s="11" t="s">
        <v>6074</v>
      </c>
      <c r="G4130" s="49" t="s">
        <v>5083</v>
      </c>
      <c r="H4130" s="2" t="s">
        <v>6075</v>
      </c>
      <c r="I4130" s="186" t="s">
        <v>2638</v>
      </c>
      <c r="J4130" s="22">
        <f>+Tabla1[[#This Row],[FECHA ENTRADA]]</f>
        <v>45928</v>
      </c>
      <c r="K4130" s="22">
        <v>45937</v>
      </c>
      <c r="L4130" s="23">
        <f>_xlfn.DAYS(Tabla1[[#This Row],[FECHA FIN ]],Tabla1[[#This Row],[FECHA INICIO]])</f>
        <v>9</v>
      </c>
      <c r="M4130" s="12"/>
      <c r="N4130" s="20">
        <v>450</v>
      </c>
      <c r="O4130" s="24">
        <f>(Tabla1[[#This Row],[COSTO FIJO ]]/30)*Tabla1[[#This Row],[TOTAL DIAS PROYECTO]]+(Tabla1[[#This Row],[COSTO TEMPORAL]])</f>
        <v>135</v>
      </c>
      <c r="P4130" s="12"/>
      <c r="Q4130" s="12">
        <f>+(Tabla1[[#This Row],[COSTO COCHE]]/30)*Tabla1[[#This Row],[TOTAL DIAS PROYECTO]]</f>
        <v>0</v>
      </c>
      <c r="R4130" s="12">
        <f>+Tabla1[[#This Row],[COSTO TOTAL ALOJAMIENTO]]+Tabla1[[#This Row],[COSTO TOTAL COCHE]]</f>
        <v>135</v>
      </c>
      <c r="S4130" s="2"/>
      <c r="T4130" s="14" t="s">
        <v>44</v>
      </c>
      <c r="U4130" s="14">
        <v>45928</v>
      </c>
      <c r="V4130" s="79">
        <v>45959</v>
      </c>
      <c r="W4130" s="71"/>
      <c r="X4130" s="2">
        <v>25</v>
      </c>
      <c r="Y4130" s="11" t="s">
        <v>6076</v>
      </c>
      <c r="Z4130" s="2" t="s">
        <v>36</v>
      </c>
      <c r="AA4130" s="13" t="s">
        <v>10323</v>
      </c>
      <c r="AB4130" s="13" t="s">
        <v>10324</v>
      </c>
    </row>
    <row r="4131" spans="1:28" ht="15.75" customHeight="1">
      <c r="A4131" s="2" t="s">
        <v>9907</v>
      </c>
      <c r="B4131" s="2" t="s">
        <v>28</v>
      </c>
      <c r="C4131" s="11" t="s">
        <v>5335</v>
      </c>
      <c r="D4131" s="2" t="s">
        <v>30</v>
      </c>
      <c r="E4131" s="2" t="s">
        <v>415</v>
      </c>
      <c r="F4131" s="11" t="s">
        <v>5821</v>
      </c>
      <c r="G4131" s="197" t="s">
        <v>1413</v>
      </c>
      <c r="H4131" s="2" t="s">
        <v>5524</v>
      </c>
      <c r="I4131" s="12" t="s">
        <v>34</v>
      </c>
      <c r="J4131" s="22">
        <f>+Tabla1[[#This Row],[FECHA ENTRADA]]</f>
        <v>45941</v>
      </c>
      <c r="K4131" s="22">
        <v>45973</v>
      </c>
      <c r="L4131" s="23">
        <f>_xlfn.DAYS(Tabla1[[#This Row],[FECHA FIN ]],Tabla1[[#This Row],[FECHA INICIO]])</f>
        <v>32</v>
      </c>
      <c r="M4131" s="12"/>
      <c r="N4131" s="12">
        <v>450</v>
      </c>
      <c r="O4131" s="24">
        <f>(Tabla1[[#This Row],[COSTO FIJO ]]/30)*Tabla1[[#This Row],[TOTAL DIAS PROYECTO]]+(Tabla1[[#This Row],[COSTO TEMPORAL]])</f>
        <v>480</v>
      </c>
      <c r="P4131" s="12"/>
      <c r="Q4131" s="12">
        <f>+(Tabla1[[#This Row],[COSTO COCHE]]/30)*Tabla1[[#This Row],[TOTAL DIAS PROYECTO]]</f>
        <v>0</v>
      </c>
      <c r="R4131" s="12">
        <f>+Tabla1[[#This Row],[COSTO TOTAL ALOJAMIENTO]]+Tabla1[[#This Row],[COSTO TOTAL COCHE]]</f>
        <v>480</v>
      </c>
      <c r="S4131" s="2"/>
      <c r="T4131" s="14" t="s">
        <v>35</v>
      </c>
      <c r="U4131" s="14">
        <v>45941</v>
      </c>
      <c r="V4131" s="79"/>
      <c r="W4131" s="71"/>
      <c r="X4131" s="2">
        <v>1</v>
      </c>
      <c r="Y4131" s="11" t="s">
        <v>6077</v>
      </c>
      <c r="Z4131" s="2" t="s">
        <v>36</v>
      </c>
      <c r="AA4131" s="13">
        <v>-0.37739</v>
      </c>
      <c r="AB4131" s="13" t="s">
        <v>10372</v>
      </c>
    </row>
    <row r="4132" spans="1:28" ht="15" customHeight="1">
      <c r="A4132" s="2" t="s">
        <v>9636</v>
      </c>
      <c r="B4132" s="2" t="s">
        <v>28</v>
      </c>
      <c r="C4132" s="11" t="s">
        <v>4018</v>
      </c>
      <c r="D4132" s="2" t="s">
        <v>30</v>
      </c>
      <c r="E4132" s="2" t="s">
        <v>415</v>
      </c>
      <c r="F4132" s="11" t="s">
        <v>5821</v>
      </c>
      <c r="G4132" s="197" t="s">
        <v>1413</v>
      </c>
      <c r="H4132" s="2" t="s">
        <v>5524</v>
      </c>
      <c r="I4132" s="12" t="s">
        <v>34</v>
      </c>
      <c r="J4132" s="22">
        <f>+Tabla1[[#This Row],[FECHA ENTRADA]]</f>
        <v>45941</v>
      </c>
      <c r="K4132" s="22">
        <v>45973</v>
      </c>
      <c r="L4132" s="23">
        <f>_xlfn.DAYS(Tabla1[[#This Row],[FECHA FIN ]],Tabla1[[#This Row],[FECHA INICIO]])</f>
        <v>32</v>
      </c>
      <c r="M4132" s="12"/>
      <c r="N4132" s="12">
        <v>450</v>
      </c>
      <c r="O4132" s="24">
        <f>(Tabla1[[#This Row],[COSTO FIJO ]]/30)*Tabla1[[#This Row],[TOTAL DIAS PROYECTO]]+(Tabla1[[#This Row],[COSTO TEMPORAL]])</f>
        <v>480</v>
      </c>
      <c r="P4132" s="12"/>
      <c r="Q4132" s="12">
        <f>+(Tabla1[[#This Row],[COSTO COCHE]]/30)*Tabla1[[#This Row],[TOTAL DIAS PROYECTO]]</f>
        <v>0</v>
      </c>
      <c r="R4132" s="12">
        <f>+Tabla1[[#This Row],[COSTO TOTAL ALOJAMIENTO]]+Tabla1[[#This Row],[COSTO TOTAL COCHE]]</f>
        <v>480</v>
      </c>
      <c r="S4132" s="2"/>
      <c r="T4132" s="14" t="s">
        <v>35</v>
      </c>
      <c r="U4132" s="14">
        <v>45941</v>
      </c>
      <c r="V4132" s="79"/>
      <c r="W4132" s="71"/>
      <c r="X4132" s="2">
        <v>1</v>
      </c>
      <c r="Y4132" s="11" t="s">
        <v>6077</v>
      </c>
      <c r="Z4132" s="2" t="s">
        <v>36</v>
      </c>
      <c r="AA4132" s="13">
        <v>-0.37739</v>
      </c>
      <c r="AB4132" s="13" t="s">
        <v>10372</v>
      </c>
    </row>
    <row r="4133" spans="1:28" ht="15" customHeight="1">
      <c r="A4133" s="2" t="s">
        <v>9453</v>
      </c>
      <c r="B4133" s="2" t="s">
        <v>711</v>
      </c>
      <c r="C4133" s="31" t="s">
        <v>3228</v>
      </c>
      <c r="D4133" s="2" t="s">
        <v>99</v>
      </c>
      <c r="E4133" s="2" t="s">
        <v>626</v>
      </c>
      <c r="F4133" s="11" t="s">
        <v>1964</v>
      </c>
      <c r="G4133" s="285" t="s">
        <v>1409</v>
      </c>
      <c r="H4133" s="2" t="s">
        <v>4731</v>
      </c>
      <c r="I4133" s="12" t="s">
        <v>570</v>
      </c>
      <c r="J4133" s="41">
        <f>+Tabla1[[#This Row],[FECHA ENTRADA]]</f>
        <v>45888</v>
      </c>
      <c r="K4133" s="22">
        <v>45973</v>
      </c>
      <c r="L4133" s="42">
        <f>_xlfn.DAYS(Tabla1[[#This Row],[FECHA FIN ]],Tabla1[[#This Row],[FECHA INICIO]])</f>
        <v>85</v>
      </c>
      <c r="M4133" s="12"/>
      <c r="N4133" s="28">
        <v>400</v>
      </c>
      <c r="O4133" s="28">
        <f>(Tabla1[[#This Row],[COSTO FIJO ]]/30)*Tabla1[[#This Row],[TOTAL DIAS PROYECTO]]+(Tabla1[[#This Row],[COSTO TEMPORAL]])</f>
        <v>1133.3333333333335</v>
      </c>
      <c r="P4133" s="12"/>
      <c r="Q4133" s="12">
        <f>+(Tabla1[[#This Row],[COSTO COCHE]]/30)*Tabla1[[#This Row],[TOTAL DIAS PROYECTO]]</f>
        <v>0</v>
      </c>
      <c r="R4133" s="12">
        <f>+Tabla1[[#This Row],[COSTO TOTAL ALOJAMIENTO]]+Tabla1[[#This Row],[COSTO TOTAL COCHE]]</f>
        <v>1133.3333333333335</v>
      </c>
      <c r="S4133" s="2"/>
      <c r="T4133" s="14" t="s">
        <v>35</v>
      </c>
      <c r="U4133" s="14">
        <v>45888</v>
      </c>
      <c r="V4133" s="43"/>
      <c r="W4133" s="12"/>
      <c r="X4133" s="2">
        <v>5</v>
      </c>
      <c r="Y4133" s="11" t="s">
        <v>6078</v>
      </c>
      <c r="Z4133" s="2" t="s">
        <v>36</v>
      </c>
      <c r="AA4133" s="13" t="s">
        <v>10385</v>
      </c>
      <c r="AB4133" s="13" t="s">
        <v>10386</v>
      </c>
    </row>
    <row r="4134" spans="1:28" ht="15" customHeight="1">
      <c r="A4134" s="2" t="s">
        <v>9906</v>
      </c>
      <c r="B4134" s="2" t="s">
        <v>978</v>
      </c>
      <c r="C4134" s="11" t="s">
        <v>5325</v>
      </c>
      <c r="D4134" s="2" t="s">
        <v>99</v>
      </c>
      <c r="E4134" s="2" t="s">
        <v>380</v>
      </c>
      <c r="F4134" s="11" t="s">
        <v>5246</v>
      </c>
      <c r="G4134" s="68" t="s">
        <v>2237</v>
      </c>
      <c r="H4134" s="2" t="s">
        <v>1799</v>
      </c>
      <c r="I4134" s="12" t="s">
        <v>5328</v>
      </c>
      <c r="J4134" s="41">
        <f>+Tabla1[[#This Row],[FECHA ENTRADA]]</f>
        <v>45855</v>
      </c>
      <c r="K4134" s="41">
        <v>45978</v>
      </c>
      <c r="L4134" s="42">
        <f>_xlfn.DAYS(Tabla1[[#This Row],[FECHA FIN ]],Tabla1[[#This Row],[FECHA INICIO]])</f>
        <v>123</v>
      </c>
      <c r="M4134" s="12"/>
      <c r="N4134" s="28">
        <v>266.66666666666669</v>
      </c>
      <c r="O4134" s="28">
        <f>(Tabla1[[#This Row],[COSTO FIJO ]]/30)*Tabla1[[#This Row],[TOTAL DIAS PROYECTO]]+(Tabla1[[#This Row],[COSTO TEMPORAL]])</f>
        <v>1093.3333333333335</v>
      </c>
      <c r="P4134" s="12"/>
      <c r="Q4134" s="12">
        <f>+(Tabla1[[#This Row],[COSTO COCHE]]/30)*Tabla1[[#This Row],[TOTAL DIAS PROYECTO]]</f>
        <v>0</v>
      </c>
      <c r="R4134" s="12">
        <f>+Tabla1[[#This Row],[COSTO TOTAL ALOJAMIENTO]]+Tabla1[[#This Row],[COSTO TOTAL COCHE]]</f>
        <v>1093.3333333333335</v>
      </c>
      <c r="S4134" s="2"/>
      <c r="T4134" s="14" t="s">
        <v>35</v>
      </c>
      <c r="U4134" s="14">
        <v>45855</v>
      </c>
      <c r="V4134" s="43"/>
      <c r="W4134" s="12">
        <v>1200</v>
      </c>
      <c r="X4134" s="2">
        <v>17</v>
      </c>
      <c r="Y4134" s="11" t="s">
        <v>6079</v>
      </c>
      <c r="Z4134" s="2" t="s">
        <v>36</v>
      </c>
      <c r="AA4134" s="13" t="s">
        <v>10370</v>
      </c>
      <c r="AB4134" s="13" t="s">
        <v>10371</v>
      </c>
    </row>
    <row r="4135" spans="1:28" ht="15" customHeight="1">
      <c r="A4135" s="2" t="s">
        <v>9742</v>
      </c>
      <c r="B4135" s="2" t="s">
        <v>606</v>
      </c>
      <c r="C4135" s="31" t="s">
        <v>4524</v>
      </c>
      <c r="D4135" s="2" t="s">
        <v>99</v>
      </c>
      <c r="E4135" s="2" t="s">
        <v>109</v>
      </c>
      <c r="F4135" s="11" t="s">
        <v>898</v>
      </c>
      <c r="G4135" s="128" t="s">
        <v>899</v>
      </c>
      <c r="H4135" s="2" t="s">
        <v>3921</v>
      </c>
      <c r="I4135" s="12" t="s">
        <v>1830</v>
      </c>
      <c r="J4135" s="41">
        <f>+Tabla1[[#This Row],[FECHA ENTRADA]]</f>
        <v>45868</v>
      </c>
      <c r="K4135" s="22">
        <v>46120</v>
      </c>
      <c r="L4135" s="42">
        <f>_xlfn.DAYS(Tabla1[[#This Row],[FECHA FIN ]],Tabla1[[#This Row],[FECHA INICIO]])</f>
        <v>252</v>
      </c>
      <c r="M4135" s="12"/>
      <c r="N4135" s="12">
        <v>200</v>
      </c>
      <c r="O4135" s="28">
        <f>(Tabla1[[#This Row],[COSTO FIJO ]]/30)*Tabla1[[#This Row],[TOTAL DIAS PROYECTO]]+(Tabla1[[#This Row],[COSTO TEMPORAL]])</f>
        <v>1680</v>
      </c>
      <c r="P4135" s="12"/>
      <c r="Q4135" s="12">
        <f>+(Tabla1[[#This Row],[COSTO COCHE]]/30)*Tabla1[[#This Row],[TOTAL DIAS PROYECTO]]</f>
        <v>0</v>
      </c>
      <c r="R4135" s="12">
        <f>+Tabla1[[#This Row],[COSTO TOTAL ALOJAMIENTO]]+Tabla1[[#This Row],[COSTO TOTAL COCHE]]</f>
        <v>1680</v>
      </c>
      <c r="S4135" s="2"/>
      <c r="T4135" s="14" t="s">
        <v>35</v>
      </c>
      <c r="U4135" s="14">
        <v>45868</v>
      </c>
      <c r="V4135" s="43"/>
      <c r="W4135" s="12"/>
      <c r="X4135" s="2">
        <v>1</v>
      </c>
      <c r="Y4135" s="11" t="s">
        <v>6080</v>
      </c>
      <c r="Z4135" s="2" t="s">
        <v>36</v>
      </c>
      <c r="AA4135" s="13">
        <v>0.62217999999999996</v>
      </c>
      <c r="AB4135" s="13" t="s">
        <v>10339</v>
      </c>
    </row>
    <row r="4136" spans="1:28" ht="15" customHeight="1">
      <c r="A4136" s="2" t="s">
        <v>9355</v>
      </c>
      <c r="B4136" s="2" t="s">
        <v>28</v>
      </c>
      <c r="C4136" s="11" t="s">
        <v>2918</v>
      </c>
      <c r="D4136" s="2" t="s">
        <v>99</v>
      </c>
      <c r="E4136" s="2" t="s">
        <v>415</v>
      </c>
      <c r="F4136" s="11" t="s">
        <v>6081</v>
      </c>
      <c r="G4136" s="11" t="s">
        <v>6082</v>
      </c>
      <c r="H4136" s="2" t="s">
        <v>6083</v>
      </c>
      <c r="I4136" s="12" t="s">
        <v>34</v>
      </c>
      <c r="J4136" s="41">
        <f>+Tabla1[[#This Row],[FECHA ENTRADA]]</f>
        <v>45970</v>
      </c>
      <c r="K4136" s="22">
        <v>45973</v>
      </c>
      <c r="L4136" s="42">
        <f>_xlfn.DAYS(Tabla1[[#This Row],[FECHA FIN ]],Tabla1[[#This Row],[FECHA INICIO]])</f>
        <v>3</v>
      </c>
      <c r="M4136" s="12"/>
      <c r="N4136" s="28"/>
      <c r="O4136" s="28">
        <f>(Tabla1[[#This Row],[COSTO FIJO ]]/30)*Tabla1[[#This Row],[TOTAL DIAS PROYECTO]]+(Tabla1[[#This Row],[COSTO TEMPORAL]])</f>
        <v>0</v>
      </c>
      <c r="P4136" s="12"/>
      <c r="Q4136" s="12">
        <f>+(Tabla1[[#This Row],[COSTO COCHE]]/30)*Tabla1[[#This Row],[TOTAL DIAS PROYECTO]]</f>
        <v>0</v>
      </c>
      <c r="R4136" s="12">
        <f>+Tabla1[[#This Row],[COSTO TOTAL ALOJAMIENTO]]+Tabla1[[#This Row],[COSTO TOTAL COCHE]]</f>
        <v>0</v>
      </c>
      <c r="S4136" s="2"/>
      <c r="T4136" s="14" t="s">
        <v>44</v>
      </c>
      <c r="U4136" s="14">
        <v>45970</v>
      </c>
      <c r="V4136" s="43">
        <v>45974</v>
      </c>
      <c r="W4136" s="71"/>
      <c r="X4136" s="2"/>
      <c r="Y4136" s="11" t="s">
        <v>6084</v>
      </c>
      <c r="Z4136" s="2" t="s">
        <v>36</v>
      </c>
      <c r="AA4136" s="13">
        <v>-0.37739</v>
      </c>
      <c r="AB4136" s="13" t="s">
        <v>10372</v>
      </c>
    </row>
    <row r="4137" spans="1:28" ht="15.75" customHeight="1">
      <c r="A4137" s="2" t="s">
        <v>9117</v>
      </c>
      <c r="B4137" s="2" t="s">
        <v>28</v>
      </c>
      <c r="C4137" s="11" t="s">
        <v>2068</v>
      </c>
      <c r="D4137" s="2" t="s">
        <v>30</v>
      </c>
      <c r="E4137" s="2" t="s">
        <v>415</v>
      </c>
      <c r="F4137" s="11" t="s">
        <v>6081</v>
      </c>
      <c r="G4137" s="11" t="s">
        <v>6082</v>
      </c>
      <c r="H4137" s="2" t="s">
        <v>6085</v>
      </c>
      <c r="I4137" s="12" t="s">
        <v>34</v>
      </c>
      <c r="J4137" s="41">
        <f>+Tabla1[[#This Row],[FECHA ENTRADA]]</f>
        <v>45970</v>
      </c>
      <c r="K4137" s="22">
        <v>45973</v>
      </c>
      <c r="L4137" s="42">
        <f>_xlfn.DAYS(Tabla1[[#This Row],[FECHA FIN ]],Tabla1[[#This Row],[FECHA INICIO]])</f>
        <v>3</v>
      </c>
      <c r="M4137" s="12"/>
      <c r="N4137" s="28"/>
      <c r="O4137" s="28">
        <f>(Tabla1[[#This Row],[COSTO FIJO ]]/30)*Tabla1[[#This Row],[TOTAL DIAS PROYECTO]]+(Tabla1[[#This Row],[COSTO TEMPORAL]])</f>
        <v>0</v>
      </c>
      <c r="P4137" s="12"/>
      <c r="Q4137" s="12">
        <f>+(Tabla1[[#This Row],[COSTO COCHE]]/30)*Tabla1[[#This Row],[TOTAL DIAS PROYECTO]]</f>
        <v>0</v>
      </c>
      <c r="R4137" s="12">
        <f>+Tabla1[[#This Row],[COSTO TOTAL ALOJAMIENTO]]+Tabla1[[#This Row],[COSTO TOTAL COCHE]]</f>
        <v>0</v>
      </c>
      <c r="S4137" s="2"/>
      <c r="T4137" s="14" t="s">
        <v>44</v>
      </c>
      <c r="U4137" s="14">
        <v>45970</v>
      </c>
      <c r="V4137" s="43">
        <v>45974</v>
      </c>
      <c r="W4137" s="71"/>
      <c r="X4137" s="2"/>
      <c r="Y4137" s="11" t="s">
        <v>6084</v>
      </c>
      <c r="Z4137" s="2" t="s">
        <v>36</v>
      </c>
      <c r="AA4137" s="13">
        <v>-0.37739</v>
      </c>
      <c r="AB4137" s="13" t="s">
        <v>10372</v>
      </c>
    </row>
    <row r="4138" spans="1:28" ht="15.75" customHeight="1">
      <c r="A4138" s="2" t="s">
        <v>9158</v>
      </c>
      <c r="B4138" s="2" t="s">
        <v>606</v>
      </c>
      <c r="C4138" s="97" t="s">
        <v>2269</v>
      </c>
      <c r="D4138" s="2" t="s">
        <v>30</v>
      </c>
      <c r="E4138" s="2" t="s">
        <v>259</v>
      </c>
      <c r="F4138" s="11" t="s">
        <v>5261</v>
      </c>
      <c r="G4138" s="197" t="s">
        <v>4207</v>
      </c>
      <c r="H4138" s="2" t="s">
        <v>4002</v>
      </c>
      <c r="I4138" s="12" t="s">
        <v>4003</v>
      </c>
      <c r="J4138" s="22">
        <f>+Tabla1[[#This Row],[FECHA ENTRADA]]</f>
        <v>46055</v>
      </c>
      <c r="K4138" s="41">
        <v>46191</v>
      </c>
      <c r="L4138" s="23">
        <f>_xlfn.DAYS(Tabla1[[#This Row],[FECHA FIN ]],Tabla1[[#This Row],[FECHA INICIO]])</f>
        <v>136</v>
      </c>
      <c r="M4138" s="12"/>
      <c r="N4138" s="20">
        <v>214.28571428571428</v>
      </c>
      <c r="O4138" s="24">
        <f>(Tabla1[[#This Row],[COSTO FIJO ]]/30)*Tabla1[[#This Row],[TOTAL DIAS PROYECTO]]+(Tabla1[[#This Row],[COSTO TEMPORAL]])</f>
        <v>971.42857142857133</v>
      </c>
      <c r="P4138" s="12"/>
      <c r="Q4138" s="12">
        <f>+(Tabla1[[#This Row],[COSTO COCHE]]/30)*Tabla1[[#This Row],[TOTAL DIAS PROYECTO]]</f>
        <v>0</v>
      </c>
      <c r="R4138" s="12">
        <f>+Tabla1[[#This Row],[COSTO TOTAL ALOJAMIENTO]]+Tabla1[[#This Row],[COSTO TOTAL COCHE]]</f>
        <v>971.42857142857133</v>
      </c>
      <c r="S4138" s="2"/>
      <c r="T4138" s="14" t="s">
        <v>35</v>
      </c>
      <c r="U4138" s="14">
        <v>46055</v>
      </c>
      <c r="V4138" s="25"/>
      <c r="W4138" s="12"/>
      <c r="X4138" s="2">
        <v>1</v>
      </c>
      <c r="Y4138" t="s">
        <v>6086</v>
      </c>
      <c r="Z4138" s="2" t="s">
        <v>36</v>
      </c>
      <c r="AA4138" s="13">
        <v>-0.87734000000000001</v>
      </c>
      <c r="AB4138" s="13" t="s">
        <v>10359</v>
      </c>
    </row>
    <row r="4139" spans="1:28" ht="15" customHeight="1">
      <c r="A4139" s="2" t="s">
        <v>9876</v>
      </c>
      <c r="B4139" s="2" t="s">
        <v>978</v>
      </c>
      <c r="C4139" s="31" t="s">
        <v>5182</v>
      </c>
      <c r="D4139" s="2" t="s">
        <v>30</v>
      </c>
      <c r="E4139" s="2" t="s">
        <v>380</v>
      </c>
      <c r="F4139" s="11"/>
      <c r="G4139" s="46"/>
      <c r="H4139" s="2" t="s">
        <v>4279</v>
      </c>
      <c r="I4139" s="12" t="s">
        <v>4276</v>
      </c>
      <c r="J4139" s="41">
        <f>+Tabla1[[#This Row],[FECHA ENTRADA]]</f>
        <v>45857</v>
      </c>
      <c r="K4139" s="41">
        <v>46157</v>
      </c>
      <c r="L4139" s="42">
        <f>_xlfn.DAYS(Tabla1[[#This Row],[FECHA FIN ]],Tabla1[[#This Row],[FECHA INICIO]])</f>
        <v>300</v>
      </c>
      <c r="M4139" s="12"/>
      <c r="N4139" s="28">
        <v>300</v>
      </c>
      <c r="O4139" s="28">
        <f>(Tabla1[[#This Row],[COSTO FIJO ]]/30)*Tabla1[[#This Row],[TOTAL DIAS PROYECTO]]+(Tabla1[[#This Row],[COSTO TEMPORAL]])</f>
        <v>3000</v>
      </c>
      <c r="P4139" s="12"/>
      <c r="Q4139" s="12">
        <f>+(Tabla1[[#This Row],[COSTO COCHE]]/30)*Tabla1[[#This Row],[TOTAL DIAS PROYECTO]]</f>
        <v>0</v>
      </c>
      <c r="R4139" s="12">
        <f>+Tabla1[[#This Row],[COSTO TOTAL ALOJAMIENTO]]+Tabla1[[#This Row],[COSTO TOTAL COCHE]]</f>
        <v>3000</v>
      </c>
      <c r="S4139" s="2"/>
      <c r="T4139" s="14" t="s">
        <v>58</v>
      </c>
      <c r="U4139" s="14">
        <v>45857</v>
      </c>
      <c r="V4139" s="43"/>
      <c r="W4139" s="12"/>
      <c r="X4139" s="2"/>
      <c r="Y4139" s="136" t="s">
        <v>6087</v>
      </c>
      <c r="Z4139" s="2" t="s">
        <v>36</v>
      </c>
      <c r="AA4139" s="13" t="s">
        <v>10370</v>
      </c>
      <c r="AB4139" s="13" t="s">
        <v>10371</v>
      </c>
    </row>
    <row r="4140" spans="1:28" ht="15" customHeight="1">
      <c r="A4140" s="2" t="s">
        <v>10051</v>
      </c>
      <c r="B4140" s="2" t="s">
        <v>606</v>
      </c>
      <c r="C4140" s="31" t="s">
        <v>6088</v>
      </c>
      <c r="D4140" s="2" t="s">
        <v>30</v>
      </c>
      <c r="E4140" s="2" t="s">
        <v>415</v>
      </c>
      <c r="F4140" s="11" t="s">
        <v>6089</v>
      </c>
      <c r="G4140" s="49" t="s">
        <v>1413</v>
      </c>
      <c r="H4140" s="2" t="s">
        <v>6090</v>
      </c>
      <c r="I4140" s="10" t="s">
        <v>1946</v>
      </c>
      <c r="J4140" s="22">
        <f>+Tabla1[[#This Row],[FECHA ENTRADA]]</f>
        <v>46040</v>
      </c>
      <c r="K4140" s="22">
        <v>46204</v>
      </c>
      <c r="L4140" s="23">
        <f>_xlfn.DAYS(Tabla1[[#This Row],[FECHA FIN ]],Tabla1[[#This Row],[FECHA INICIO]])</f>
        <v>164</v>
      </c>
      <c r="M4140" s="12"/>
      <c r="N4140" s="12">
        <v>666.66666666666663</v>
      </c>
      <c r="O4140" s="24">
        <f>(Tabla1[[#This Row],[COSTO FIJO ]]/30)*Tabla1[[#This Row],[TOTAL DIAS PROYECTO]]+(Tabla1[[#This Row],[COSTO TEMPORAL]])</f>
        <v>3644.4444444444443</v>
      </c>
      <c r="P4140" s="12"/>
      <c r="Q4140" s="12">
        <f>+(Tabla1[[#This Row],[COSTO COCHE]]/30)*Tabla1[[#This Row],[TOTAL DIAS PROYECTO]]</f>
        <v>0</v>
      </c>
      <c r="R4140" s="12">
        <f>+Tabla1[[#This Row],[COSTO TOTAL ALOJAMIENTO]]+Tabla1[[#This Row],[COSTO TOTAL COCHE]]</f>
        <v>3644.4444444444443</v>
      </c>
      <c r="S4140" s="2"/>
      <c r="T4140" s="14" t="s">
        <v>35</v>
      </c>
      <c r="U4140" s="14">
        <v>46040</v>
      </c>
      <c r="V4140" s="79"/>
      <c r="W4140" s="12"/>
      <c r="X4140" s="2">
        <v>1</v>
      </c>
      <c r="Y4140" s="30" t="s">
        <v>6091</v>
      </c>
      <c r="Z4140" s="2" t="s">
        <v>36</v>
      </c>
      <c r="AA4140" s="13">
        <v>-0.37739</v>
      </c>
      <c r="AB4140" s="13" t="s">
        <v>10372</v>
      </c>
    </row>
    <row r="4141" spans="1:28" ht="15" customHeight="1">
      <c r="A4141" s="2" t="s">
        <v>9690</v>
      </c>
      <c r="B4141" s="2" t="s">
        <v>368</v>
      </c>
      <c r="C4141" s="31" t="s">
        <v>4248</v>
      </c>
      <c r="D4141" s="2" t="s">
        <v>99</v>
      </c>
      <c r="E4141" s="2" t="s">
        <v>985</v>
      </c>
      <c r="F4141" s="11" t="s">
        <v>6092</v>
      </c>
      <c r="G4141" s="30" t="s">
        <v>6093</v>
      </c>
      <c r="H4141" s="2" t="s">
        <v>2401</v>
      </c>
      <c r="I4141" s="12" t="s">
        <v>989</v>
      </c>
      <c r="J4141" s="22">
        <f>+Tabla1[[#This Row],[FECHA ENTRADA]]</f>
        <v>45951</v>
      </c>
      <c r="K4141" s="22">
        <v>45973</v>
      </c>
      <c r="L4141" s="23">
        <f>_xlfn.DAYS(Tabla1[[#This Row],[FECHA FIN ]],Tabla1[[#This Row],[FECHA INICIO]])</f>
        <v>22</v>
      </c>
      <c r="M4141" s="12"/>
      <c r="N4141" s="24"/>
      <c r="O4141" s="24">
        <f>(Tabla1[[#This Row],[COSTO FIJO ]]/30)*Tabla1[[#This Row],[TOTAL DIAS PROYECTO]]+(Tabla1[[#This Row],[COSTO TEMPORAL]])</f>
        <v>0</v>
      </c>
      <c r="P4141" s="12"/>
      <c r="Q4141" s="12">
        <f>+(Tabla1[[#This Row],[COSTO COCHE]]/30)*Tabla1[[#This Row],[TOTAL DIAS PROYECTO]]</f>
        <v>0</v>
      </c>
      <c r="R4141" s="12">
        <f>+Tabla1[[#This Row],[COSTO TOTAL ALOJAMIENTO]]+Tabla1[[#This Row],[COSTO TOTAL COCHE]]</f>
        <v>0</v>
      </c>
      <c r="S4141" s="2"/>
      <c r="T4141" s="14" t="s">
        <v>44</v>
      </c>
      <c r="U4141" s="14">
        <v>45951</v>
      </c>
      <c r="V4141" s="25">
        <v>45973</v>
      </c>
      <c r="W4141" s="71"/>
      <c r="X4141" s="2"/>
      <c r="Y4141" s="11" t="s">
        <v>6094</v>
      </c>
      <c r="Z4141" s="2" t="s">
        <v>36</v>
      </c>
      <c r="AA4141" s="13" t="s">
        <v>10407</v>
      </c>
      <c r="AB4141" s="13" t="s">
        <v>10408</v>
      </c>
    </row>
    <row r="4142" spans="1:28" ht="15" customHeight="1">
      <c r="A4142" s="2" t="s">
        <v>9900</v>
      </c>
      <c r="B4142" s="2" t="s">
        <v>368</v>
      </c>
      <c r="C4142" s="31" t="s">
        <v>5275</v>
      </c>
      <c r="D4142" s="2" t="s">
        <v>99</v>
      </c>
      <c r="E4142" s="2" t="s">
        <v>985</v>
      </c>
      <c r="F4142" s="11" t="s">
        <v>6092</v>
      </c>
      <c r="G4142" t="s">
        <v>6093</v>
      </c>
      <c r="H4142" s="2" t="s">
        <v>2401</v>
      </c>
      <c r="I4142" s="12" t="s">
        <v>989</v>
      </c>
      <c r="J4142" s="22">
        <f>+Tabla1[[#This Row],[FECHA ENTRADA]]</f>
        <v>45951</v>
      </c>
      <c r="K4142" s="22">
        <v>45973</v>
      </c>
      <c r="L4142" s="23">
        <f>_xlfn.DAYS(Tabla1[[#This Row],[FECHA FIN ]],Tabla1[[#This Row],[FECHA INICIO]])</f>
        <v>22</v>
      </c>
      <c r="M4142" s="12"/>
      <c r="N4142" s="24"/>
      <c r="O4142" s="24">
        <f>(Tabla1[[#This Row],[COSTO FIJO ]]/30)*Tabla1[[#This Row],[TOTAL DIAS PROYECTO]]+(Tabla1[[#This Row],[COSTO TEMPORAL]])</f>
        <v>0</v>
      </c>
      <c r="P4142" s="12"/>
      <c r="Q4142" s="12">
        <f>+(Tabla1[[#This Row],[COSTO COCHE]]/30)*Tabla1[[#This Row],[TOTAL DIAS PROYECTO]]</f>
        <v>0</v>
      </c>
      <c r="R4142" s="12">
        <f>+Tabla1[[#This Row],[COSTO TOTAL ALOJAMIENTO]]+Tabla1[[#This Row],[COSTO TOTAL COCHE]]</f>
        <v>0</v>
      </c>
      <c r="S4142" s="2"/>
      <c r="T4142" s="14" t="s">
        <v>44</v>
      </c>
      <c r="U4142" s="14">
        <v>45951</v>
      </c>
      <c r="V4142" s="25">
        <v>45973</v>
      </c>
      <c r="W4142" s="71"/>
      <c r="X4142" s="2"/>
      <c r="Y4142" s="11" t="s">
        <v>6095</v>
      </c>
      <c r="Z4142" s="2" t="s">
        <v>36</v>
      </c>
      <c r="AA4142" s="13" t="s">
        <v>10407</v>
      </c>
      <c r="AB4142" s="13" t="s">
        <v>10408</v>
      </c>
    </row>
    <row r="4143" spans="1:28" ht="15" customHeight="1">
      <c r="A4143" s="2" t="s">
        <v>10052</v>
      </c>
      <c r="B4143" s="2" t="s">
        <v>978</v>
      </c>
      <c r="C4143" s="31" t="s">
        <v>6096</v>
      </c>
      <c r="D4143" s="2" t="s">
        <v>30</v>
      </c>
      <c r="E4143" s="2" t="s">
        <v>1161</v>
      </c>
      <c r="F4143" s="11" t="s">
        <v>6097</v>
      </c>
      <c r="G4143" s="21" t="s">
        <v>6098</v>
      </c>
      <c r="H4143" s="2" t="s">
        <v>6004</v>
      </c>
      <c r="I4143" s="12" t="s">
        <v>1165</v>
      </c>
      <c r="J4143" s="22">
        <f>+Tabla1[[#This Row],[FECHA ENTRADA]]</f>
        <v>45982</v>
      </c>
      <c r="K4143" s="22">
        <v>45973</v>
      </c>
      <c r="L4143" s="23">
        <f>_xlfn.DAYS(Tabla1[[#This Row],[FECHA FIN ]],Tabla1[[#This Row],[FECHA INICIO]])</f>
        <v>-9</v>
      </c>
      <c r="M4143" s="12"/>
      <c r="N4143" s="12">
        <v>229.25</v>
      </c>
      <c r="O4143" s="24">
        <f>(Tabla1[[#This Row],[COSTO FIJO ]]/30)*Tabla1[[#This Row],[TOTAL DIAS PROYECTO]]+(Tabla1[[#This Row],[COSTO TEMPORAL]])</f>
        <v>-68.775000000000006</v>
      </c>
      <c r="P4143" s="12"/>
      <c r="Q4143" s="12">
        <f>+(Tabla1[[#This Row],[COSTO COCHE]]/30)*Tabla1[[#This Row],[TOTAL DIAS PROYECTO]]</f>
        <v>0</v>
      </c>
      <c r="R4143" s="12">
        <f>+Tabla1[[#This Row],[COSTO TOTAL ALOJAMIENTO]]+Tabla1[[#This Row],[COSTO TOTAL COCHE]]</f>
        <v>-68.775000000000006</v>
      </c>
      <c r="S4143" s="2" t="s">
        <v>84</v>
      </c>
      <c r="T4143" s="14" t="s">
        <v>44</v>
      </c>
      <c r="U4143" s="14">
        <v>45982</v>
      </c>
      <c r="V4143" s="79">
        <v>46001</v>
      </c>
      <c r="W4143" s="71"/>
      <c r="X4143" s="2"/>
      <c r="Y4143" s="11" t="s">
        <v>6099</v>
      </c>
      <c r="Z4143" s="2" t="s">
        <v>36</v>
      </c>
      <c r="AA4143" s="13" t="s">
        <v>10413</v>
      </c>
      <c r="AB4143" s="13">
        <v>3652672</v>
      </c>
    </row>
    <row r="4144" spans="1:28" ht="15" customHeight="1">
      <c r="A4144" s="2" t="s">
        <v>10053</v>
      </c>
      <c r="B4144" s="2" t="s">
        <v>978</v>
      </c>
      <c r="C4144" s="11" t="s">
        <v>6100</v>
      </c>
      <c r="D4144" s="2" t="s">
        <v>99</v>
      </c>
      <c r="E4144" s="2" t="s">
        <v>985</v>
      </c>
      <c r="F4144" s="11" t="s">
        <v>5989</v>
      </c>
      <c r="G4144" s="21" t="s">
        <v>5781</v>
      </c>
      <c r="H4144" s="2" t="s">
        <v>5784</v>
      </c>
      <c r="I4144" s="12" t="s">
        <v>5618</v>
      </c>
      <c r="J4144" s="22">
        <f>+Tabla1[[#This Row],[FECHA ENTRADA]]</f>
        <v>45956</v>
      </c>
      <c r="K4144" s="22">
        <v>45974</v>
      </c>
      <c r="L4144" s="23">
        <f>_xlfn.DAYS(Tabla1[[#This Row],[FECHA FIN ]],Tabla1[[#This Row],[FECHA INICIO]])</f>
        <v>18</v>
      </c>
      <c r="M4144" s="12">
        <f>1074.4/5</f>
        <v>214.88000000000002</v>
      </c>
      <c r="N4144" s="20"/>
      <c r="O4144" s="24">
        <f>1074.4/4</f>
        <v>268.60000000000002</v>
      </c>
      <c r="P4144" s="12"/>
      <c r="Q4144" s="12">
        <f>+(Tabla1[[#This Row],[COSTO COCHE]]/30)*Tabla1[[#This Row],[TOTAL DIAS PROYECTO]]</f>
        <v>0</v>
      </c>
      <c r="R4144" s="12">
        <f>+Tabla1[[#This Row],[COSTO TOTAL ALOJAMIENTO]]+Tabla1[[#This Row],[COSTO TOTAL COCHE]]</f>
        <v>268.60000000000002</v>
      </c>
      <c r="S4144" s="2" t="s">
        <v>84</v>
      </c>
      <c r="T4144" s="14" t="s">
        <v>44</v>
      </c>
      <c r="U4144" s="14">
        <v>45956</v>
      </c>
      <c r="V4144" s="25">
        <v>45973</v>
      </c>
      <c r="W4144" s="71"/>
      <c r="X4144" s="2"/>
      <c r="Y4144" s="11"/>
      <c r="Z4144" s="2" t="s">
        <v>36</v>
      </c>
      <c r="AA4144" s="13" t="s">
        <v>10407</v>
      </c>
      <c r="AB4144" s="13" t="s">
        <v>10408</v>
      </c>
    </row>
    <row r="4145" spans="1:28" ht="15" customHeight="1">
      <c r="A4145" s="2" t="s">
        <v>9835</v>
      </c>
      <c r="B4145" s="2" t="s">
        <v>368</v>
      </c>
      <c r="C4145" s="31" t="s">
        <v>4962</v>
      </c>
      <c r="D4145" s="2" t="s">
        <v>30</v>
      </c>
      <c r="E4145" s="2" t="s">
        <v>415</v>
      </c>
      <c r="F4145" s="11" t="s">
        <v>5729</v>
      </c>
      <c r="G4145" s="21" t="s">
        <v>5730</v>
      </c>
      <c r="H4145" s="2" t="s">
        <v>5333</v>
      </c>
      <c r="I4145" s="12" t="s">
        <v>4165</v>
      </c>
      <c r="J4145" s="22">
        <f>+Tabla1[[#This Row],[FECHA ENTRADA]]</f>
        <v>45944</v>
      </c>
      <c r="K4145" s="22">
        <v>45974</v>
      </c>
      <c r="L4145" s="23">
        <f>_xlfn.DAYS(Tabla1[[#This Row],[FECHA FIN ]],Tabla1[[#This Row],[FECHA INICIO]])</f>
        <v>30</v>
      </c>
      <c r="M4145" s="12">
        <v>495</v>
      </c>
      <c r="N4145" s="20"/>
      <c r="O4145" s="24">
        <f>(Tabla1[[#This Row],[COSTO FIJO ]]/30)*Tabla1[[#This Row],[TOTAL DIAS PROYECTO]]+(Tabla1[[#This Row],[COSTO TEMPORAL]])</f>
        <v>495</v>
      </c>
      <c r="P4145" s="12"/>
      <c r="Q4145" s="12">
        <f>+(Tabla1[[#This Row],[COSTO COCHE]]/30)*Tabla1[[#This Row],[TOTAL DIAS PROYECTO]]</f>
        <v>0</v>
      </c>
      <c r="R4145" s="12">
        <f>+Tabla1[[#This Row],[COSTO TOTAL ALOJAMIENTO]]+Tabla1[[#This Row],[COSTO TOTAL COCHE]]</f>
        <v>495</v>
      </c>
      <c r="S4145" s="2"/>
      <c r="T4145" s="14" t="s">
        <v>44</v>
      </c>
      <c r="U4145" s="14">
        <v>45944</v>
      </c>
      <c r="V4145" s="79">
        <v>45974</v>
      </c>
      <c r="W4145" s="71"/>
      <c r="X4145" s="2"/>
      <c r="Y4145" s="11" t="s">
        <v>6101</v>
      </c>
      <c r="Z4145" s="2" t="s">
        <v>36</v>
      </c>
      <c r="AA4145" s="13">
        <v>-0.37739</v>
      </c>
      <c r="AB4145" s="13" t="s">
        <v>10372</v>
      </c>
    </row>
    <row r="4146" spans="1:28" ht="15" customHeight="1">
      <c r="A4146" s="2" t="s">
        <v>9603</v>
      </c>
      <c r="B4146" s="2" t="s">
        <v>368</v>
      </c>
      <c r="C4146" s="279" t="s">
        <v>3830</v>
      </c>
      <c r="D4146" s="2" t="s">
        <v>99</v>
      </c>
      <c r="E4146" s="2" t="s">
        <v>415</v>
      </c>
      <c r="F4146" s="11" t="s">
        <v>5729</v>
      </c>
      <c r="G4146" s="21" t="s">
        <v>5730</v>
      </c>
      <c r="H4146" s="157" t="s">
        <v>6102</v>
      </c>
      <c r="I4146" s="158" t="s">
        <v>4165</v>
      </c>
      <c r="J4146" s="22">
        <f>+Tabla1[[#This Row],[FECHA ENTRADA]]</f>
        <v>45944</v>
      </c>
      <c r="K4146" s="22">
        <v>45974</v>
      </c>
      <c r="L4146" s="23">
        <f>_xlfn.DAYS(Tabla1[[#This Row],[FECHA FIN ]],Tabla1[[#This Row],[FECHA INICIO]])</f>
        <v>30</v>
      </c>
      <c r="M4146" s="12">
        <v>495</v>
      </c>
      <c r="N4146" s="20"/>
      <c r="O4146" s="24">
        <f>(Tabla1[[#This Row],[COSTO FIJO ]]/30)*Tabla1[[#This Row],[TOTAL DIAS PROYECTO]]+(Tabla1[[#This Row],[COSTO TEMPORAL]])</f>
        <v>495</v>
      </c>
      <c r="P4146" s="12"/>
      <c r="Q4146" s="12">
        <f>+(Tabla1[[#This Row],[COSTO COCHE]]/30)*Tabla1[[#This Row],[TOTAL DIAS PROYECTO]]</f>
        <v>0</v>
      </c>
      <c r="R4146" s="12">
        <f>+Tabla1[[#This Row],[COSTO TOTAL ALOJAMIENTO]]+Tabla1[[#This Row],[COSTO TOTAL COCHE]]</f>
        <v>495</v>
      </c>
      <c r="S4146" s="2"/>
      <c r="T4146" s="14" t="s">
        <v>44</v>
      </c>
      <c r="U4146" s="14">
        <v>45944</v>
      </c>
      <c r="V4146" s="79">
        <v>45974</v>
      </c>
      <c r="W4146" s="71"/>
      <c r="X4146" s="2"/>
      <c r="Y4146" s="11" t="s">
        <v>6103</v>
      </c>
      <c r="Z4146" s="2" t="s">
        <v>36</v>
      </c>
      <c r="AA4146" s="13">
        <v>-0.37739</v>
      </c>
      <c r="AB4146" s="13" t="s">
        <v>10372</v>
      </c>
    </row>
    <row r="4147" spans="1:28" ht="15" customHeight="1">
      <c r="A4147" s="2" t="s">
        <v>9926</v>
      </c>
      <c r="B4147" s="2" t="s">
        <v>978</v>
      </c>
      <c r="C4147" s="11" t="s">
        <v>5492</v>
      </c>
      <c r="D4147" s="2" t="s">
        <v>99</v>
      </c>
      <c r="E4147" s="2" t="s">
        <v>985</v>
      </c>
      <c r="F4147" s="11" t="s">
        <v>5869</v>
      </c>
      <c r="G4147" s="21" t="s">
        <v>5870</v>
      </c>
      <c r="H4147" s="2" t="s">
        <v>5617</v>
      </c>
      <c r="I4147" s="12" t="s">
        <v>5618</v>
      </c>
      <c r="J4147" s="22">
        <f>+Tabla1[[#This Row],[FECHA ENTRADA]]</f>
        <v>45959</v>
      </c>
      <c r="K4147" s="22">
        <v>45974</v>
      </c>
      <c r="L4147" s="23">
        <f>_xlfn.DAYS(Tabla1[[#This Row],[FECHA FIN ]],Tabla1[[#This Row],[FECHA INICIO]])</f>
        <v>15</v>
      </c>
      <c r="M4147" s="12">
        <v>320.8</v>
      </c>
      <c r="N4147" s="20"/>
      <c r="O4147" s="24">
        <f>(Tabla1[[#This Row],[COSTO FIJO ]]/30)*Tabla1[[#This Row],[TOTAL DIAS PROYECTO]]+(Tabla1[[#This Row],[COSTO TEMPORAL]])</f>
        <v>320.8</v>
      </c>
      <c r="P4147" s="12"/>
      <c r="Q4147" s="12">
        <f>+(Tabla1[[#This Row],[COSTO COCHE]]/30)*Tabla1[[#This Row],[TOTAL DIAS PROYECTO]]</f>
        <v>0</v>
      </c>
      <c r="R4147" s="12">
        <f>+Tabla1[[#This Row],[COSTO TOTAL ALOJAMIENTO]]+Tabla1[[#This Row],[COSTO TOTAL COCHE]]</f>
        <v>320.8</v>
      </c>
      <c r="S4147" s="2" t="s">
        <v>403</v>
      </c>
      <c r="T4147" s="14" t="s">
        <v>44</v>
      </c>
      <c r="U4147" s="14">
        <v>45959</v>
      </c>
      <c r="V4147" s="25">
        <v>45980</v>
      </c>
      <c r="W4147" s="71"/>
      <c r="X4147" s="2"/>
      <c r="Y4147" s="202"/>
      <c r="Z4147" s="2" t="s">
        <v>36</v>
      </c>
      <c r="AA4147" s="13" t="s">
        <v>10407</v>
      </c>
      <c r="AB4147" s="13" t="s">
        <v>10408</v>
      </c>
    </row>
    <row r="4148" spans="1:28" ht="15" customHeight="1">
      <c r="A4148" s="2" t="s">
        <v>9901</v>
      </c>
      <c r="B4148" s="2" t="s">
        <v>978</v>
      </c>
      <c r="C4148" s="11" t="s">
        <v>5298</v>
      </c>
      <c r="D4148" s="2" t="s">
        <v>30</v>
      </c>
      <c r="E4148" s="2" t="s">
        <v>985</v>
      </c>
      <c r="F4148" s="11" t="s">
        <v>5866</v>
      </c>
      <c r="G4148" s="21" t="s">
        <v>5867</v>
      </c>
      <c r="H4148" s="2" t="s">
        <v>5718</v>
      </c>
      <c r="I4148" s="12" t="s">
        <v>5618</v>
      </c>
      <c r="J4148" s="22">
        <f>+Tabla1[[#This Row],[FECHA ENTRADA]]</f>
        <v>45959</v>
      </c>
      <c r="K4148" s="22">
        <v>45974</v>
      </c>
      <c r="L4148" s="23">
        <f>_xlfn.DAYS(Tabla1[[#This Row],[FECHA FIN ]],Tabla1[[#This Row],[FECHA INICIO]])</f>
        <v>15</v>
      </c>
      <c r="M4148" s="12">
        <f>1550/4</f>
        <v>387.5</v>
      </c>
      <c r="N4148" s="20"/>
      <c r="O4148" s="24">
        <f>(Tabla1[[#This Row],[COSTO FIJO ]]/30)*Tabla1[[#This Row],[TOTAL DIAS PROYECTO]]+(Tabla1[[#This Row],[COSTO TEMPORAL]])</f>
        <v>387.5</v>
      </c>
      <c r="P4148" s="12"/>
      <c r="Q4148" s="12">
        <f>+(Tabla1[[#This Row],[COSTO COCHE]]/30)*Tabla1[[#This Row],[TOTAL DIAS PROYECTO]]</f>
        <v>0</v>
      </c>
      <c r="R4148" s="12">
        <f>+Tabla1[[#This Row],[COSTO TOTAL ALOJAMIENTO]]+Tabla1[[#This Row],[COSTO TOTAL COCHE]]</f>
        <v>387.5</v>
      </c>
      <c r="S4148" s="2" t="s">
        <v>84</v>
      </c>
      <c r="T4148" s="14" t="s">
        <v>44</v>
      </c>
      <c r="U4148" s="14">
        <v>45959</v>
      </c>
      <c r="V4148" s="25">
        <v>45980</v>
      </c>
      <c r="W4148" s="71"/>
      <c r="X4148" s="2"/>
      <c r="Y4148" s="11"/>
      <c r="Z4148" s="2" t="s">
        <v>36</v>
      </c>
      <c r="AA4148" s="13" t="s">
        <v>10407</v>
      </c>
      <c r="AB4148" s="13" t="s">
        <v>10408</v>
      </c>
    </row>
    <row r="4149" spans="1:28" ht="15" customHeight="1">
      <c r="A4149" s="2" t="s">
        <v>9990</v>
      </c>
      <c r="B4149" s="2" t="s">
        <v>978</v>
      </c>
      <c r="C4149" s="11" t="s">
        <v>5853</v>
      </c>
      <c r="D4149" s="2" t="s">
        <v>30</v>
      </c>
      <c r="E4149" s="2" t="s">
        <v>985</v>
      </c>
      <c r="F4149" s="11" t="s">
        <v>5998</v>
      </c>
      <c r="G4149" s="21" t="s">
        <v>5999</v>
      </c>
      <c r="H4149" s="2" t="s">
        <v>5718</v>
      </c>
      <c r="I4149" s="12" t="s">
        <v>5618</v>
      </c>
      <c r="J4149" s="22">
        <f>+Tabla1[[#This Row],[FECHA ENTRADA]]</f>
        <v>45959</v>
      </c>
      <c r="K4149" s="22">
        <v>45974</v>
      </c>
      <c r="L4149" s="23">
        <f>_xlfn.DAYS(Tabla1[[#This Row],[FECHA FIN ]],Tabla1[[#This Row],[FECHA INICIO]])</f>
        <v>15</v>
      </c>
      <c r="M4149" s="12">
        <f>1077.22/5</f>
        <v>215.44400000000002</v>
      </c>
      <c r="N4149" s="20"/>
      <c r="O4149" s="24">
        <f>(Tabla1[[#This Row],[COSTO FIJO ]]/30)*Tabla1[[#This Row],[TOTAL DIAS PROYECTO]]+(Tabla1[[#This Row],[COSTO TEMPORAL]])</f>
        <v>215.44400000000002</v>
      </c>
      <c r="P4149" s="12"/>
      <c r="Q4149" s="12">
        <f>+(Tabla1[[#This Row],[COSTO COCHE]]/30)*Tabla1[[#This Row],[TOTAL DIAS PROYECTO]]</f>
        <v>0</v>
      </c>
      <c r="R4149" s="12">
        <f>+Tabla1[[#This Row],[COSTO TOTAL ALOJAMIENTO]]+Tabla1[[#This Row],[COSTO TOTAL COCHE]]</f>
        <v>215.44400000000002</v>
      </c>
      <c r="S4149" s="2" t="s">
        <v>403</v>
      </c>
      <c r="T4149" s="14" t="s">
        <v>44</v>
      </c>
      <c r="U4149" s="14">
        <v>45959</v>
      </c>
      <c r="V4149" s="25">
        <v>45980</v>
      </c>
      <c r="W4149" s="71"/>
      <c r="X4149" s="2"/>
      <c r="Y4149" s="11"/>
      <c r="Z4149" s="2" t="s">
        <v>36</v>
      </c>
      <c r="AA4149" s="13" t="s">
        <v>10407</v>
      </c>
      <c r="AB4149" s="13" t="s">
        <v>10408</v>
      </c>
    </row>
    <row r="4150" spans="1:28" ht="15" customHeight="1">
      <c r="A4150" s="2" t="s">
        <v>9991</v>
      </c>
      <c r="B4150" s="2" t="s">
        <v>978</v>
      </c>
      <c r="C4150" s="11" t="s">
        <v>5854</v>
      </c>
      <c r="D4150" s="2" t="s">
        <v>30</v>
      </c>
      <c r="E4150" s="2" t="s">
        <v>985</v>
      </c>
      <c r="F4150" s="11" t="s">
        <v>5998</v>
      </c>
      <c r="G4150" s="21" t="s">
        <v>5999</v>
      </c>
      <c r="H4150" s="2" t="s">
        <v>5718</v>
      </c>
      <c r="I4150" s="12" t="s">
        <v>5618</v>
      </c>
      <c r="J4150" s="22">
        <f>+Tabla1[[#This Row],[FECHA ENTRADA]]</f>
        <v>45959</v>
      </c>
      <c r="K4150" s="22">
        <v>45974</v>
      </c>
      <c r="L4150" s="23">
        <f>_xlfn.DAYS(Tabla1[[#This Row],[FECHA FIN ]],Tabla1[[#This Row],[FECHA INICIO]])</f>
        <v>15</v>
      </c>
      <c r="M4150" s="12">
        <f>1077.22/5</f>
        <v>215.44400000000002</v>
      </c>
      <c r="N4150" s="20"/>
      <c r="O4150" s="24">
        <f>(Tabla1[[#This Row],[COSTO FIJO ]]/30)*Tabla1[[#This Row],[TOTAL DIAS PROYECTO]]+(Tabla1[[#This Row],[COSTO TEMPORAL]])</f>
        <v>215.44400000000002</v>
      </c>
      <c r="P4150" s="12"/>
      <c r="Q4150" s="12">
        <f>+(Tabla1[[#This Row],[COSTO COCHE]]/30)*Tabla1[[#This Row],[TOTAL DIAS PROYECTO]]</f>
        <v>0</v>
      </c>
      <c r="R4150" s="12">
        <f>+Tabla1[[#This Row],[COSTO TOTAL ALOJAMIENTO]]+Tabla1[[#This Row],[COSTO TOTAL COCHE]]</f>
        <v>215.44400000000002</v>
      </c>
      <c r="S4150" s="2" t="s">
        <v>403</v>
      </c>
      <c r="T4150" s="14" t="s">
        <v>44</v>
      </c>
      <c r="U4150" s="14">
        <v>45959</v>
      </c>
      <c r="V4150" s="25">
        <v>45980</v>
      </c>
      <c r="W4150" s="71"/>
      <c r="X4150" s="2"/>
      <c r="Y4150" s="11"/>
      <c r="Z4150" s="2" t="s">
        <v>36</v>
      </c>
      <c r="AA4150" s="13" t="s">
        <v>10407</v>
      </c>
      <c r="AB4150" s="13" t="s">
        <v>10408</v>
      </c>
    </row>
    <row r="4151" spans="1:28" ht="15" customHeight="1">
      <c r="A4151" s="2" t="s">
        <v>10049</v>
      </c>
      <c r="B4151" s="2" t="s">
        <v>978</v>
      </c>
      <c r="C4151" s="11" t="s">
        <v>6064</v>
      </c>
      <c r="D4151" s="2" t="s">
        <v>99</v>
      </c>
      <c r="E4151" s="2" t="s">
        <v>985</v>
      </c>
      <c r="F4151" s="11" t="s">
        <v>5869</v>
      </c>
      <c r="G4151" s="21" t="s">
        <v>5870</v>
      </c>
      <c r="H4151" s="2" t="s">
        <v>5617</v>
      </c>
      <c r="I4151" s="12" t="s">
        <v>5618</v>
      </c>
      <c r="J4151" s="41">
        <f>+Tabla1[[#This Row],[FECHA ENTRADA]]</f>
        <v>45972</v>
      </c>
      <c r="K4151" s="22">
        <v>45974</v>
      </c>
      <c r="L4151" s="42">
        <f>_xlfn.DAYS(Tabla1[[#This Row],[FECHA FIN ]],Tabla1[[#This Row],[FECHA INICIO]])</f>
        <v>2</v>
      </c>
      <c r="M4151" s="12">
        <v>320.8</v>
      </c>
      <c r="N4151" s="28"/>
      <c r="O4151" s="28">
        <f>(Tabla1[[#This Row],[COSTO FIJO ]]/30)*Tabla1[[#This Row],[TOTAL DIAS PROYECTO]]+(Tabla1[[#This Row],[COSTO TEMPORAL]])</f>
        <v>320.8</v>
      </c>
      <c r="P4151" s="12"/>
      <c r="Q4151" s="12">
        <f>+(Tabla1[[#This Row],[COSTO COCHE]]/30)*Tabla1[[#This Row],[TOTAL DIAS PROYECTO]]</f>
        <v>0</v>
      </c>
      <c r="R4151" s="12">
        <f>+Tabla1[[#This Row],[COSTO TOTAL ALOJAMIENTO]]+Tabla1[[#This Row],[COSTO TOTAL COCHE]]</f>
        <v>320.8</v>
      </c>
      <c r="S4151" s="2" t="s">
        <v>403</v>
      </c>
      <c r="T4151" s="14" t="s">
        <v>44</v>
      </c>
      <c r="U4151" s="14">
        <v>45972</v>
      </c>
      <c r="V4151" s="25">
        <v>45980</v>
      </c>
      <c r="W4151" s="71"/>
      <c r="X4151" s="2"/>
      <c r="Y4151" s="11"/>
      <c r="Z4151" s="2" t="s">
        <v>36</v>
      </c>
      <c r="AA4151" s="13" t="s">
        <v>10407</v>
      </c>
      <c r="AB4151" s="13" t="s">
        <v>10408</v>
      </c>
    </row>
    <row r="4152" spans="1:28" ht="15" customHeight="1">
      <c r="A4152" s="2" t="s">
        <v>8638</v>
      </c>
      <c r="B4152" s="2" t="s">
        <v>28</v>
      </c>
      <c r="C4152" s="31" t="s">
        <v>2409</v>
      </c>
      <c r="D4152" s="2" t="s">
        <v>99</v>
      </c>
      <c r="E4152" s="2" t="s">
        <v>31</v>
      </c>
      <c r="F4152" s="11" t="s">
        <v>5421</v>
      </c>
      <c r="G4152" s="70" t="s">
        <v>5422</v>
      </c>
      <c r="H4152" s="2" t="s">
        <v>2405</v>
      </c>
      <c r="I4152" s="12" t="s">
        <v>347</v>
      </c>
      <c r="J4152" s="22">
        <f>+Tabla1[[#This Row],[FECHA ENTRADA]]</f>
        <v>45806</v>
      </c>
      <c r="K4152" s="8">
        <v>45975</v>
      </c>
      <c r="L4152" s="13">
        <f>_xlfn.DAYS(Tabla1[[#This Row],[FECHA FIN ]],Tabla1[[#This Row],[FECHA INICIO]])</f>
        <v>169</v>
      </c>
      <c r="M4152" s="12"/>
      <c r="N4152" s="12">
        <v>433.33333333333331</v>
      </c>
      <c r="O4152" s="12">
        <f>(Tabla1[[#This Row],[COSTO FIJO ]]/30)*Tabla1[[#This Row],[TOTAL DIAS PROYECTO]]+(Tabla1[[#This Row],[COSTO TEMPORAL]])</f>
        <v>2441.1111111111113</v>
      </c>
      <c r="P4152" s="12"/>
      <c r="Q4152" s="12">
        <f>+(Tabla1[[#This Row],[COSTO COCHE]]/30)*Tabla1[[#This Row],[TOTAL DIAS PROYECTO]]</f>
        <v>0</v>
      </c>
      <c r="R4152" s="12">
        <f>+Tabla1[[#This Row],[COSTO TOTAL ALOJAMIENTO]]+Tabla1[[#This Row],[COSTO TOTAL COCHE]]</f>
        <v>2441.1111111111113</v>
      </c>
      <c r="S4152" s="2"/>
      <c r="T4152" s="2" t="s">
        <v>35</v>
      </c>
      <c r="U4152" s="14">
        <v>45806</v>
      </c>
      <c r="V4152" s="14"/>
      <c r="W4152" s="71"/>
      <c r="X4152" s="16">
        <v>1</v>
      </c>
      <c r="Y4152" s="18" t="s">
        <v>6104</v>
      </c>
      <c r="Z4152" s="2" t="s">
        <v>36</v>
      </c>
      <c r="AA4152" s="13" t="s">
        <v>10323</v>
      </c>
      <c r="AB4152" s="13" t="s">
        <v>10324</v>
      </c>
    </row>
    <row r="4153" spans="1:28" ht="15" customHeight="1">
      <c r="A4153" s="2" t="s">
        <v>9902</v>
      </c>
      <c r="B4153" s="2" t="s">
        <v>711</v>
      </c>
      <c r="C4153" s="212" t="s">
        <v>5303</v>
      </c>
      <c r="D4153" s="2" t="s">
        <v>30</v>
      </c>
      <c r="E4153" s="2" t="s">
        <v>259</v>
      </c>
      <c r="F4153" s="11" t="s">
        <v>5261</v>
      </c>
      <c r="G4153" s="197" t="s">
        <v>4207</v>
      </c>
      <c r="H4153" s="2" t="s">
        <v>5738</v>
      </c>
      <c r="I4153" s="12" t="s">
        <v>794</v>
      </c>
      <c r="J4153" s="41">
        <f>+Tabla1[[#This Row],[FECHA ENTRADA]]</f>
        <v>45954</v>
      </c>
      <c r="K4153" s="41">
        <v>45975</v>
      </c>
      <c r="L4153" s="42">
        <f>_xlfn.DAYS(Tabla1[[#This Row],[FECHA FIN ]],Tabla1[[#This Row],[FECHA INICIO]])</f>
        <v>21</v>
      </c>
      <c r="M4153" s="12"/>
      <c r="N4153" s="28">
        <v>316.66666666666669</v>
      </c>
      <c r="O4153" s="28">
        <f>(Tabla1[[#This Row],[COSTO FIJO ]]/30)*Tabla1[[#This Row],[TOTAL DIAS PROYECTO]]+(Tabla1[[#This Row],[COSTO TEMPORAL]])</f>
        <v>221.66666666666666</v>
      </c>
      <c r="P4153" s="12"/>
      <c r="Q4153" s="12">
        <f>+(Tabla1[[#This Row],[COSTO COCHE]]/30)*Tabla1[[#This Row],[TOTAL DIAS PROYECTO]]</f>
        <v>0</v>
      </c>
      <c r="R4153" s="12">
        <f>+Tabla1[[#This Row],[COSTO TOTAL ALOJAMIENTO]]+Tabla1[[#This Row],[COSTO TOTAL COCHE]]</f>
        <v>221.66666666666666</v>
      </c>
      <c r="S4153" s="2"/>
      <c r="T4153" s="14" t="s">
        <v>35</v>
      </c>
      <c r="U4153" s="14">
        <v>45954</v>
      </c>
      <c r="V4153" s="43"/>
      <c r="W4153" s="71"/>
      <c r="X4153" s="2">
        <v>1</v>
      </c>
      <c r="Y4153" s="11" t="s">
        <v>6105</v>
      </c>
      <c r="Z4153" s="2" t="s">
        <v>36</v>
      </c>
      <c r="AA4153" s="13">
        <v>-0.87734000000000001</v>
      </c>
      <c r="AB4153" s="13" t="s">
        <v>10359</v>
      </c>
    </row>
    <row r="4154" spans="1:28" ht="15" customHeight="1">
      <c r="A4154" s="2" t="s">
        <v>9961</v>
      </c>
      <c r="B4154" s="2" t="s">
        <v>978</v>
      </c>
      <c r="C4154" s="212" t="s">
        <v>5740</v>
      </c>
      <c r="D4154" s="2" t="s">
        <v>99</v>
      </c>
      <c r="E4154" s="2" t="s">
        <v>259</v>
      </c>
      <c r="F4154" s="11" t="s">
        <v>5261</v>
      </c>
      <c r="G4154" s="49" t="s">
        <v>4207</v>
      </c>
      <c r="H4154" s="2" t="s">
        <v>5262</v>
      </c>
      <c r="I4154" s="12" t="s">
        <v>5263</v>
      </c>
      <c r="J4154" s="41">
        <f>+Tabla1[[#This Row],[FECHA ENTRADA]]</f>
        <v>45954</v>
      </c>
      <c r="K4154" s="41">
        <v>45989</v>
      </c>
      <c r="L4154" s="42">
        <f>_xlfn.DAYS(Tabla1[[#This Row],[FECHA FIN ]],Tabla1[[#This Row],[FECHA INICIO]])</f>
        <v>35</v>
      </c>
      <c r="M4154" s="12"/>
      <c r="N4154" s="28">
        <v>271.42857142857144</v>
      </c>
      <c r="O4154" s="28">
        <f>(Tabla1[[#This Row],[COSTO FIJO ]]/30)*Tabla1[[#This Row],[TOTAL DIAS PROYECTO]]+(Tabla1[[#This Row],[COSTO TEMPORAL]])</f>
        <v>316.66666666666669</v>
      </c>
      <c r="P4154" s="12"/>
      <c r="Q4154" s="12">
        <f>+(Tabla1[[#This Row],[COSTO COCHE]]/30)*Tabla1[[#This Row],[TOTAL DIAS PROYECTO]]</f>
        <v>0</v>
      </c>
      <c r="R4154" s="12">
        <f>+Tabla1[[#This Row],[COSTO TOTAL ALOJAMIENTO]]+Tabla1[[#This Row],[COSTO TOTAL COCHE]]</f>
        <v>316.66666666666669</v>
      </c>
      <c r="S4154" s="2"/>
      <c r="T4154" s="14" t="s">
        <v>35</v>
      </c>
      <c r="U4154" s="14">
        <v>45954</v>
      </c>
      <c r="V4154" s="43"/>
      <c r="W4154" s="71"/>
      <c r="X4154" s="2">
        <v>1</v>
      </c>
      <c r="Y4154" s="11" t="s">
        <v>6106</v>
      </c>
      <c r="Z4154" s="2" t="s">
        <v>36</v>
      </c>
      <c r="AA4154" s="13">
        <v>-0.87734000000000001</v>
      </c>
      <c r="AB4154" s="13" t="s">
        <v>10359</v>
      </c>
    </row>
    <row r="4155" spans="1:28" ht="15" customHeight="1">
      <c r="A4155" s="2" t="s">
        <v>10054</v>
      </c>
      <c r="B4155" s="2" t="s">
        <v>711</v>
      </c>
      <c r="C4155" s="31" t="s">
        <v>6107</v>
      </c>
      <c r="D4155" s="2" t="s">
        <v>99</v>
      </c>
      <c r="E4155" s="2" t="s">
        <v>31</v>
      </c>
      <c r="F4155" s="11" t="s">
        <v>5279</v>
      </c>
      <c r="G4155" s="49" t="s">
        <v>5280</v>
      </c>
      <c r="H4155" s="2" t="s">
        <v>5281</v>
      </c>
      <c r="I4155" s="12" t="s">
        <v>3917</v>
      </c>
      <c r="J4155" s="41">
        <f>+Tabla1[[#This Row],[FECHA ENTRADA]]</f>
        <v>45921</v>
      </c>
      <c r="K4155" s="41">
        <v>45975</v>
      </c>
      <c r="L4155" s="42">
        <f>_xlfn.DAYS(Tabla1[[#This Row],[FECHA FIN ]],Tabla1[[#This Row],[FECHA INICIO]])</f>
        <v>54</v>
      </c>
      <c r="M4155" s="12"/>
      <c r="N4155" s="28">
        <v>420</v>
      </c>
      <c r="O4155" s="28">
        <f>(Tabla1[[#This Row],[COSTO FIJO ]]/30)*Tabla1[[#This Row],[TOTAL DIAS PROYECTO]]+(Tabla1[[#This Row],[COSTO TEMPORAL]])</f>
        <v>756</v>
      </c>
      <c r="P4155" s="12"/>
      <c r="Q4155" s="12">
        <f>+(Tabla1[[#This Row],[COSTO COCHE]]/30)*Tabla1[[#This Row],[TOTAL DIAS PROYECTO]]</f>
        <v>0</v>
      </c>
      <c r="R4155" s="12">
        <f>+Tabla1[[#This Row],[COSTO TOTAL ALOJAMIENTO]]+Tabla1[[#This Row],[COSTO TOTAL COCHE]]</f>
        <v>756</v>
      </c>
      <c r="S4155" s="2"/>
      <c r="T4155" s="14" t="s">
        <v>35</v>
      </c>
      <c r="U4155" s="14">
        <v>45921</v>
      </c>
      <c r="V4155" s="43">
        <v>45951</v>
      </c>
      <c r="W4155" s="71"/>
      <c r="X4155" s="2">
        <v>18</v>
      </c>
      <c r="Y4155" s="11" t="s">
        <v>6108</v>
      </c>
      <c r="Z4155" s="2" t="s">
        <v>36</v>
      </c>
      <c r="AA4155" s="13" t="s">
        <v>10323</v>
      </c>
      <c r="AB4155" s="13" t="s">
        <v>10324</v>
      </c>
    </row>
    <row r="4156" spans="1:28" ht="15" customHeight="1">
      <c r="A4156" s="2" t="s">
        <v>9801</v>
      </c>
      <c r="B4156" s="2" t="s">
        <v>978</v>
      </c>
      <c r="C4156" s="31" t="s">
        <v>4809</v>
      </c>
      <c r="D4156" s="2" t="s">
        <v>30</v>
      </c>
      <c r="E4156" s="2" t="s">
        <v>253</v>
      </c>
      <c r="F4156" s="11" t="s">
        <v>4267</v>
      </c>
      <c r="G4156" s="46" t="s">
        <v>4268</v>
      </c>
      <c r="H4156" s="2" t="s">
        <v>6109</v>
      </c>
      <c r="I4156" s="12" t="s">
        <v>5927</v>
      </c>
      <c r="J4156" s="41">
        <f>+Tabla1[[#This Row],[FECHA ENTRADA]]</f>
        <v>45749</v>
      </c>
      <c r="K4156" s="41">
        <v>45846</v>
      </c>
      <c r="L4156" s="42">
        <f>_xlfn.DAYS(Tabla1[[#This Row],[FECHA FIN ]],Tabla1[[#This Row],[FECHA INICIO]])</f>
        <v>97</v>
      </c>
      <c r="M4156" s="12"/>
      <c r="N4156" s="28">
        <v>365</v>
      </c>
      <c r="O4156" s="28">
        <f>(Tabla1[[#This Row],[COSTO FIJO ]]/30)*Tabla1[[#This Row],[TOTAL DIAS PROYECTO]]+(Tabla1[[#This Row],[COSTO TEMPORAL]])</f>
        <v>1180.1666666666665</v>
      </c>
      <c r="P4156" s="12"/>
      <c r="Q4156" s="12">
        <f>+(Tabla1[[#This Row],[COSTO COCHE]]/30)*Tabla1[[#This Row],[TOTAL DIAS PROYECTO]]</f>
        <v>0</v>
      </c>
      <c r="R4156" s="12">
        <f>+Tabla1[[#This Row],[COSTO TOTAL ALOJAMIENTO]]+Tabla1[[#This Row],[COSTO TOTAL COCHE]]</f>
        <v>1180.1666666666665</v>
      </c>
      <c r="S4156" s="2"/>
      <c r="T4156" s="14" t="s">
        <v>35</v>
      </c>
      <c r="U4156" s="14">
        <v>45749</v>
      </c>
      <c r="V4156" s="43"/>
      <c r="W4156" s="12"/>
      <c r="X4156" s="2">
        <v>1</v>
      </c>
      <c r="Y4156" s="11" t="s">
        <v>5928</v>
      </c>
      <c r="Z4156" s="2" t="s">
        <v>36</v>
      </c>
      <c r="AA4156" s="13" t="s">
        <v>10357</v>
      </c>
      <c r="AB4156" s="13" t="s">
        <v>10358</v>
      </c>
    </row>
    <row r="4157" spans="1:28" ht="15" customHeight="1">
      <c r="A4157" s="2" t="s">
        <v>9749</v>
      </c>
      <c r="B4157" s="2" t="s">
        <v>978</v>
      </c>
      <c r="C4157" s="239" t="s">
        <v>4553</v>
      </c>
      <c r="D4157" s="2" t="s">
        <v>30</v>
      </c>
      <c r="E4157" s="2" t="s">
        <v>253</v>
      </c>
      <c r="F4157" s="11" t="s">
        <v>4267</v>
      </c>
      <c r="G4157" s="49" t="s">
        <v>4268</v>
      </c>
      <c r="H4157" s="2" t="s">
        <v>2838</v>
      </c>
      <c r="I4157" s="12" t="s">
        <v>1155</v>
      </c>
      <c r="J4157" s="41">
        <f>+Tabla1[[#This Row],[FECHA ENTRADA]]</f>
        <v>45868</v>
      </c>
      <c r="K4157" s="22">
        <v>45976</v>
      </c>
      <c r="L4157" s="42">
        <f>_xlfn.DAYS(Tabla1[[#This Row],[FECHA FIN ]],Tabla1[[#This Row],[FECHA INICIO]])</f>
        <v>108</v>
      </c>
      <c r="M4157" s="12"/>
      <c r="N4157" s="28">
        <v>486.66666666666669</v>
      </c>
      <c r="O4157" s="28">
        <f>(Tabla1[[#This Row],[COSTO FIJO ]]/30)*Tabla1[[#This Row],[TOTAL DIAS PROYECTO]]+(Tabla1[[#This Row],[COSTO TEMPORAL]])</f>
        <v>1752</v>
      </c>
      <c r="P4157" s="12"/>
      <c r="Q4157" s="12">
        <f>+(Tabla1[[#This Row],[COSTO COCHE]]/30)*Tabla1[[#This Row],[TOTAL DIAS PROYECTO]]</f>
        <v>0</v>
      </c>
      <c r="R4157" s="12">
        <f>+Tabla1[[#This Row],[COSTO TOTAL ALOJAMIENTO]]+Tabla1[[#This Row],[COSTO TOTAL COCHE]]</f>
        <v>1752</v>
      </c>
      <c r="S4157" s="2"/>
      <c r="T4157" s="14" t="s">
        <v>35</v>
      </c>
      <c r="U4157" s="14">
        <v>45868</v>
      </c>
      <c r="V4157" s="43"/>
      <c r="W4157" s="12">
        <v>1400</v>
      </c>
      <c r="X4157" s="2">
        <v>1</v>
      </c>
      <c r="Y4157" s="11" t="s">
        <v>4271</v>
      </c>
      <c r="Z4157" s="2" t="s">
        <v>36</v>
      </c>
      <c r="AA4157" s="13" t="s">
        <v>10357</v>
      </c>
      <c r="AB4157" s="13" t="s">
        <v>10358</v>
      </c>
    </row>
    <row r="4158" spans="1:28" ht="30" customHeight="1">
      <c r="A4158" s="2" t="s">
        <v>9759</v>
      </c>
      <c r="B4158" s="2" t="s">
        <v>978</v>
      </c>
      <c r="C4158" s="239" t="s">
        <v>4589</v>
      </c>
      <c r="D4158" s="2" t="s">
        <v>30</v>
      </c>
      <c r="E4158" s="2" t="s">
        <v>253</v>
      </c>
      <c r="F4158" s="11" t="s">
        <v>4267</v>
      </c>
      <c r="G4158" s="49" t="s">
        <v>4268</v>
      </c>
      <c r="H4158" s="2" t="s">
        <v>4695</v>
      </c>
      <c r="I4158" s="29" t="s">
        <v>4696</v>
      </c>
      <c r="J4158" s="22">
        <f>+Tabla1[[#This Row],[FECHA ENTRADA]]</f>
        <v>45874</v>
      </c>
      <c r="K4158" s="22">
        <v>45976</v>
      </c>
      <c r="L4158" s="23">
        <f>_xlfn.DAYS(Tabla1[[#This Row],[FECHA FIN ]],Tabla1[[#This Row],[FECHA INICIO]])</f>
        <v>102</v>
      </c>
      <c r="M4158" s="12"/>
      <c r="N4158" s="24">
        <v>486.66666666666669</v>
      </c>
      <c r="O4158" s="24">
        <f>(Tabla1[[#This Row],[COSTO FIJO ]]/30)*Tabla1[[#This Row],[TOTAL DIAS PROYECTO]]+(Tabla1[[#This Row],[COSTO TEMPORAL]])</f>
        <v>1654.6666666666665</v>
      </c>
      <c r="P4158" s="12"/>
      <c r="Q4158" s="12">
        <f>+(Tabla1[[#This Row],[COSTO COCHE]]/30)*Tabla1[[#This Row],[TOTAL DIAS PROYECTO]]</f>
        <v>0</v>
      </c>
      <c r="R4158" s="12">
        <f>+Tabla1[[#This Row],[COSTO TOTAL ALOJAMIENTO]]+Tabla1[[#This Row],[COSTO TOTAL COCHE]]</f>
        <v>1654.6666666666665</v>
      </c>
      <c r="S4158" s="2"/>
      <c r="T4158" s="14" t="s">
        <v>35</v>
      </c>
      <c r="U4158" s="14">
        <v>45874</v>
      </c>
      <c r="V4158" s="25"/>
      <c r="W4158" s="12"/>
      <c r="X4158" s="2">
        <v>1</v>
      </c>
      <c r="Y4158" s="11" t="s">
        <v>5892</v>
      </c>
      <c r="Z4158" s="2" t="s">
        <v>36</v>
      </c>
      <c r="AA4158" s="13" t="s">
        <v>10357</v>
      </c>
      <c r="AB4158" s="13" t="s">
        <v>10358</v>
      </c>
    </row>
    <row r="4159" spans="1:28" ht="15" customHeight="1">
      <c r="A4159" s="2" t="s">
        <v>9774</v>
      </c>
      <c r="B4159" s="2" t="s">
        <v>978</v>
      </c>
      <c r="C4159" s="239" t="s">
        <v>4676</v>
      </c>
      <c r="D4159" s="2" t="s">
        <v>30</v>
      </c>
      <c r="E4159" s="2" t="s">
        <v>253</v>
      </c>
      <c r="F4159" s="11" t="s">
        <v>581</v>
      </c>
      <c r="G4159" s="11" t="s">
        <v>255</v>
      </c>
      <c r="H4159" s="2" t="s">
        <v>4695</v>
      </c>
      <c r="I4159" s="10" t="s">
        <v>4696</v>
      </c>
      <c r="J4159" s="22">
        <f>+Tabla1[[#This Row],[FECHA ENTRADA]]</f>
        <v>45874</v>
      </c>
      <c r="K4159" s="22">
        <v>45976</v>
      </c>
      <c r="L4159" s="23">
        <f>_xlfn.DAYS(Tabla1[[#This Row],[FECHA FIN ]],Tabla1[[#This Row],[FECHA INICIO]])</f>
        <v>102</v>
      </c>
      <c r="M4159" s="12"/>
      <c r="N4159" s="24">
        <v>162.5</v>
      </c>
      <c r="O4159" s="24">
        <f>(Tabla1[[#This Row],[COSTO FIJO ]]/30)*Tabla1[[#This Row],[TOTAL DIAS PROYECTO]]+(Tabla1[[#This Row],[COSTO TEMPORAL]])</f>
        <v>552.5</v>
      </c>
      <c r="P4159" s="12"/>
      <c r="Q4159" s="12">
        <f>+(Tabla1[[#This Row],[COSTO COCHE]]/30)*Tabla1[[#This Row],[TOTAL DIAS PROYECTO]]</f>
        <v>0</v>
      </c>
      <c r="R4159" s="12">
        <f>+Tabla1[[#This Row],[COSTO TOTAL ALOJAMIENTO]]+Tabla1[[#This Row],[COSTO TOTAL COCHE]]</f>
        <v>552.5</v>
      </c>
      <c r="S4159" s="2"/>
      <c r="T4159" s="14" t="s">
        <v>35</v>
      </c>
      <c r="U4159" s="14">
        <v>45874</v>
      </c>
      <c r="V4159" s="25"/>
      <c r="W4159" s="12"/>
      <c r="X4159" s="2">
        <v>1</v>
      </c>
      <c r="Y4159" s="11" t="s">
        <v>5892</v>
      </c>
      <c r="Z4159" s="2" t="s">
        <v>36</v>
      </c>
      <c r="AA4159" s="13" t="s">
        <v>10357</v>
      </c>
      <c r="AB4159" s="13" t="s">
        <v>10358</v>
      </c>
    </row>
    <row r="4160" spans="1:28" ht="15" customHeight="1">
      <c r="A4160" s="2" t="s">
        <v>10055</v>
      </c>
      <c r="B4160" s="2" t="s">
        <v>978</v>
      </c>
      <c r="C4160" s="288" t="s">
        <v>6110</v>
      </c>
      <c r="D4160" s="2" t="s">
        <v>30</v>
      </c>
      <c r="E4160" s="2" t="s">
        <v>253</v>
      </c>
      <c r="F4160" s="11" t="s">
        <v>581</v>
      </c>
      <c r="G4160" s="11" t="s">
        <v>255</v>
      </c>
      <c r="H4160" s="2" t="s">
        <v>4695</v>
      </c>
      <c r="I4160" s="10" t="s">
        <v>4696</v>
      </c>
      <c r="J4160" s="22">
        <f>+Tabla1[[#This Row],[FECHA ENTRADA]]</f>
        <v>45874</v>
      </c>
      <c r="K4160" s="22">
        <v>45976</v>
      </c>
      <c r="L4160" s="23">
        <f>_xlfn.DAYS(Tabla1[[#This Row],[FECHA FIN ]],Tabla1[[#This Row],[FECHA INICIO]])</f>
        <v>102</v>
      </c>
      <c r="M4160" s="12"/>
      <c r="N4160" s="24">
        <v>162.5</v>
      </c>
      <c r="O4160" s="24">
        <f>(Tabla1[[#This Row],[COSTO FIJO ]]/30)*Tabla1[[#This Row],[TOTAL DIAS PROYECTO]]+(Tabla1[[#This Row],[COSTO TEMPORAL]])</f>
        <v>552.5</v>
      </c>
      <c r="P4160" s="12"/>
      <c r="Q4160" s="12">
        <f>+(Tabla1[[#This Row],[COSTO COCHE]]/30)*Tabla1[[#This Row],[TOTAL DIAS PROYECTO]]</f>
        <v>0</v>
      </c>
      <c r="R4160" s="12">
        <f>+Tabla1[[#This Row],[COSTO TOTAL ALOJAMIENTO]]+Tabla1[[#This Row],[COSTO TOTAL COCHE]]</f>
        <v>552.5</v>
      </c>
      <c r="S4160" s="2"/>
      <c r="T4160" s="14" t="s">
        <v>35</v>
      </c>
      <c r="U4160" s="14">
        <v>45874</v>
      </c>
      <c r="V4160" s="25"/>
      <c r="W4160" s="12"/>
      <c r="X4160" s="2">
        <v>1</v>
      </c>
      <c r="Y4160" s="11" t="s">
        <v>5892</v>
      </c>
      <c r="Z4160" s="2" t="s">
        <v>36</v>
      </c>
      <c r="AA4160" s="13" t="s">
        <v>10357</v>
      </c>
      <c r="AB4160" s="13" t="s">
        <v>10358</v>
      </c>
    </row>
    <row r="4161" spans="1:28" ht="15" customHeight="1">
      <c r="A4161" s="2" t="s">
        <v>9772</v>
      </c>
      <c r="B4161" s="2" t="s">
        <v>978</v>
      </c>
      <c r="C4161" s="288" t="s">
        <v>4674</v>
      </c>
      <c r="D4161" s="2" t="s">
        <v>30</v>
      </c>
      <c r="E4161" s="2" t="s">
        <v>253</v>
      </c>
      <c r="F4161" s="11" t="s">
        <v>581</v>
      </c>
      <c r="G4161" s="11" t="s">
        <v>255</v>
      </c>
      <c r="H4161" s="2" t="s">
        <v>4695</v>
      </c>
      <c r="I4161" s="10" t="s">
        <v>4696</v>
      </c>
      <c r="J4161" s="22">
        <f>+Tabla1[[#This Row],[FECHA ENTRADA]]</f>
        <v>45874</v>
      </c>
      <c r="K4161" s="22">
        <v>45976</v>
      </c>
      <c r="L4161" s="23">
        <f>_xlfn.DAYS(Tabla1[[#This Row],[FECHA FIN ]],Tabla1[[#This Row],[FECHA INICIO]])</f>
        <v>102</v>
      </c>
      <c r="M4161" s="12"/>
      <c r="N4161" s="24">
        <v>162.5</v>
      </c>
      <c r="O4161" s="24">
        <f>(Tabla1[[#This Row],[COSTO FIJO ]]/30)*Tabla1[[#This Row],[TOTAL DIAS PROYECTO]]+(Tabla1[[#This Row],[COSTO TEMPORAL]])</f>
        <v>552.5</v>
      </c>
      <c r="P4161" s="12"/>
      <c r="Q4161" s="12">
        <f>+(Tabla1[[#This Row],[COSTO COCHE]]/30)*Tabla1[[#This Row],[TOTAL DIAS PROYECTO]]</f>
        <v>0</v>
      </c>
      <c r="R4161" s="12">
        <f>+Tabla1[[#This Row],[COSTO TOTAL ALOJAMIENTO]]+Tabla1[[#This Row],[COSTO TOTAL COCHE]]</f>
        <v>552.5</v>
      </c>
      <c r="S4161" s="2"/>
      <c r="T4161" s="14" t="s">
        <v>35</v>
      </c>
      <c r="U4161" s="14">
        <v>45874</v>
      </c>
      <c r="V4161" s="25"/>
      <c r="W4161" s="12"/>
      <c r="X4161" s="2">
        <v>1</v>
      </c>
      <c r="Y4161" s="11" t="s">
        <v>5892</v>
      </c>
      <c r="Z4161" s="2" t="s">
        <v>36</v>
      </c>
      <c r="AA4161" s="13" t="s">
        <v>10357</v>
      </c>
      <c r="AB4161" s="13" t="s">
        <v>10358</v>
      </c>
    </row>
    <row r="4162" spans="1:28" ht="15" customHeight="1">
      <c r="A4162" s="2" t="s">
        <v>9773</v>
      </c>
      <c r="B4162" s="2" t="s">
        <v>978</v>
      </c>
      <c r="C4162" s="288" t="s">
        <v>4675</v>
      </c>
      <c r="D4162" s="2" t="s">
        <v>30</v>
      </c>
      <c r="E4162" s="2" t="s">
        <v>253</v>
      </c>
      <c r="F4162" s="11" t="s">
        <v>581</v>
      </c>
      <c r="G4162" s="11" t="s">
        <v>255</v>
      </c>
      <c r="H4162" s="2" t="s">
        <v>4695</v>
      </c>
      <c r="I4162" s="10" t="s">
        <v>4696</v>
      </c>
      <c r="J4162" s="22">
        <f>+Tabla1[[#This Row],[FECHA ENTRADA]]</f>
        <v>45874</v>
      </c>
      <c r="K4162" s="22">
        <v>45976</v>
      </c>
      <c r="L4162" s="23">
        <f>_xlfn.DAYS(Tabla1[[#This Row],[FECHA FIN ]],Tabla1[[#This Row],[FECHA INICIO]])</f>
        <v>102</v>
      </c>
      <c r="M4162" s="12"/>
      <c r="N4162" s="24">
        <v>162.5</v>
      </c>
      <c r="O4162" s="24">
        <f>(Tabla1[[#This Row],[COSTO FIJO ]]/30)*Tabla1[[#This Row],[TOTAL DIAS PROYECTO]]+(Tabla1[[#This Row],[COSTO TEMPORAL]])</f>
        <v>552.5</v>
      </c>
      <c r="P4162" s="12"/>
      <c r="Q4162" s="12">
        <f>+(Tabla1[[#This Row],[COSTO COCHE]]/30)*Tabla1[[#This Row],[TOTAL DIAS PROYECTO]]</f>
        <v>0</v>
      </c>
      <c r="R4162" s="12">
        <f>+Tabla1[[#This Row],[COSTO TOTAL ALOJAMIENTO]]+Tabla1[[#This Row],[COSTO TOTAL COCHE]]</f>
        <v>552.5</v>
      </c>
      <c r="S4162" s="2"/>
      <c r="T4162" s="14" t="s">
        <v>35</v>
      </c>
      <c r="U4162" s="14">
        <v>45874</v>
      </c>
      <c r="V4162" s="25"/>
      <c r="W4162" s="12"/>
      <c r="X4162" s="2">
        <v>1</v>
      </c>
      <c r="Y4162" s="11" t="s">
        <v>5892</v>
      </c>
      <c r="Z4162" s="2" t="s">
        <v>36</v>
      </c>
      <c r="AA4162" s="13" t="s">
        <v>10357</v>
      </c>
      <c r="AB4162" s="13" t="s">
        <v>10358</v>
      </c>
    </row>
    <row r="4163" spans="1:28">
      <c r="A4163" s="2" t="s">
        <v>8642</v>
      </c>
      <c r="B4163" s="2" t="s">
        <v>978</v>
      </c>
      <c r="C4163" s="239" t="s">
        <v>6111</v>
      </c>
      <c r="D4163" s="2" t="s">
        <v>30</v>
      </c>
      <c r="E4163" s="2" t="s">
        <v>253</v>
      </c>
      <c r="F4163" s="11" t="s">
        <v>4453</v>
      </c>
      <c r="G4163" s="21" t="s">
        <v>4454</v>
      </c>
      <c r="H4163" s="2" t="s">
        <v>4695</v>
      </c>
      <c r="I4163" s="10" t="s">
        <v>4696</v>
      </c>
      <c r="J4163" s="22">
        <f>+Tabla1[[#This Row],[FECHA ENTRADA]]</f>
        <v>45874</v>
      </c>
      <c r="K4163" s="22">
        <v>45976</v>
      </c>
      <c r="L4163" s="23">
        <f>_xlfn.DAYS(Tabla1[[#This Row],[FECHA FIN ]],Tabla1[[#This Row],[FECHA INICIO]])</f>
        <v>102</v>
      </c>
      <c r="M4163" s="12"/>
      <c r="N4163" s="12">
        <v>500</v>
      </c>
      <c r="O4163" s="24">
        <f>(Tabla1[[#This Row],[COSTO FIJO ]]/30)*Tabla1[[#This Row],[TOTAL DIAS PROYECTO]]+(Tabla1[[#This Row],[COSTO TEMPORAL]])</f>
        <v>1700.0000000000002</v>
      </c>
      <c r="P4163" s="12"/>
      <c r="Q4163" s="12">
        <f>+(Tabla1[[#This Row],[COSTO COCHE]]/30)*Tabla1[[#This Row],[TOTAL DIAS PROYECTO]]</f>
        <v>0</v>
      </c>
      <c r="R4163" s="12">
        <f>+Tabla1[[#This Row],[COSTO TOTAL ALOJAMIENTO]]+Tabla1[[#This Row],[COSTO TOTAL COCHE]]</f>
        <v>1700.0000000000002</v>
      </c>
      <c r="S4163" s="2"/>
      <c r="T4163" s="14" t="s">
        <v>35</v>
      </c>
      <c r="U4163" s="14">
        <v>45874</v>
      </c>
      <c r="V4163" s="25"/>
      <c r="W4163" s="12"/>
      <c r="X4163" s="2">
        <v>1</v>
      </c>
      <c r="Y4163" s="11" t="s">
        <v>5892</v>
      </c>
      <c r="Z4163" s="2" t="s">
        <v>36</v>
      </c>
      <c r="AA4163" s="13" t="s">
        <v>10357</v>
      </c>
      <c r="AB4163" s="13" t="s">
        <v>10358</v>
      </c>
    </row>
    <row r="4164" spans="1:28" ht="15" customHeight="1">
      <c r="A4164" s="2" t="s">
        <v>9589</v>
      </c>
      <c r="B4164" s="2" t="s">
        <v>28</v>
      </c>
      <c r="C4164" s="239" t="s">
        <v>3762</v>
      </c>
      <c r="D4164" s="2" t="s">
        <v>30</v>
      </c>
      <c r="E4164" s="2" t="s">
        <v>720</v>
      </c>
      <c r="F4164" s="11" t="s">
        <v>6112</v>
      </c>
      <c r="G4164" s="251" t="s">
        <v>4584</v>
      </c>
      <c r="H4164" s="2" t="s">
        <v>6113</v>
      </c>
      <c r="I4164" s="12" t="s">
        <v>2176</v>
      </c>
      <c r="J4164" s="22">
        <f>+Tabla1[[#This Row],[FECHA ENTRADA]]</f>
        <v>45739</v>
      </c>
      <c r="K4164" s="22">
        <v>45976</v>
      </c>
      <c r="L4164" s="23">
        <f>_xlfn.DAYS(Tabla1[[#This Row],[FECHA FIN ]],Tabla1[[#This Row],[FECHA INICIO]])</f>
        <v>237</v>
      </c>
      <c r="M4164" s="12"/>
      <c r="N4164" s="12">
        <v>175</v>
      </c>
      <c r="O4164" s="24">
        <f>(Tabla1[[#This Row],[COSTO FIJO ]]/30)*Tabla1[[#This Row],[TOTAL DIAS PROYECTO]]+(Tabla1[[#This Row],[COSTO TEMPORAL]])</f>
        <v>1382.5</v>
      </c>
      <c r="P4164" s="12">
        <v>200</v>
      </c>
      <c r="Q4164" s="12">
        <f>+(Tabla1[[#This Row],[COSTO COCHE]]/30)*Tabla1[[#This Row],[TOTAL DIAS PROYECTO]]</f>
        <v>1580</v>
      </c>
      <c r="R4164" s="12">
        <f>+Tabla1[[#This Row],[COSTO TOTAL ALOJAMIENTO]]+Tabla1[[#This Row],[COSTO TOTAL COCHE]]</f>
        <v>2962.5</v>
      </c>
      <c r="S4164" s="2"/>
      <c r="T4164" s="2" t="s">
        <v>35</v>
      </c>
      <c r="U4164" s="14">
        <v>45739</v>
      </c>
      <c r="V4164" s="25"/>
      <c r="W4164" s="26">
        <v>175</v>
      </c>
      <c r="X4164" s="2">
        <v>1</v>
      </c>
      <c r="Y4164" s="11" t="s">
        <v>6114</v>
      </c>
      <c r="Z4164" s="2" t="s">
        <v>36</v>
      </c>
      <c r="AA4164" s="13" t="s">
        <v>10394</v>
      </c>
      <c r="AB4164" s="13" t="s">
        <v>10395</v>
      </c>
    </row>
    <row r="4165" spans="1:28" ht="15" customHeight="1">
      <c r="A4165" s="2" t="s">
        <v>9307</v>
      </c>
      <c r="B4165" s="2" t="s">
        <v>28</v>
      </c>
      <c r="C4165" s="11" t="s">
        <v>2771</v>
      </c>
      <c r="D4165" s="2" t="s">
        <v>30</v>
      </c>
      <c r="E4165" s="2" t="s">
        <v>253</v>
      </c>
      <c r="F4165" s="11" t="s">
        <v>3497</v>
      </c>
      <c r="G4165" s="46" t="s">
        <v>3498</v>
      </c>
      <c r="H4165" s="2" t="s">
        <v>2772</v>
      </c>
      <c r="I4165" s="12" t="s">
        <v>256</v>
      </c>
      <c r="J4165" s="41">
        <f>+Tabla1[[#This Row],[FECHA ENTRADA]]</f>
        <v>45695</v>
      </c>
      <c r="K4165" s="22">
        <v>45821</v>
      </c>
      <c r="L4165" s="42">
        <f>_xlfn.DAYS(Tabla1[[#This Row],[FECHA FIN ]],Tabla1[[#This Row],[FECHA INICIO]])</f>
        <v>126</v>
      </c>
      <c r="M4165" s="12"/>
      <c r="N4165" s="12">
        <f>1811.6/17</f>
        <v>106.56470588235294</v>
      </c>
      <c r="O4165" s="28">
        <f>(Tabla1[[#This Row],[COSTO FIJO ]]/30)*Tabla1[[#This Row],[TOTAL DIAS PROYECTO]]+(Tabla1[[#This Row],[COSTO TEMPORAL]])</f>
        <v>447.57176470588234</v>
      </c>
      <c r="P4165" s="12"/>
      <c r="Q4165" s="12">
        <f>+(Tabla1[[#This Row],[COSTO COCHE]]/30)*Tabla1[[#This Row],[TOTAL DIAS PROYECTO]]</f>
        <v>0</v>
      </c>
      <c r="R4165" s="12">
        <f>+Tabla1[[#This Row],[COSTO TOTAL ALOJAMIENTO]]+Tabla1[[#This Row],[COSTO TOTAL COCHE]]</f>
        <v>447.57176470588234</v>
      </c>
      <c r="S4165" s="2"/>
      <c r="T4165" s="2" t="s">
        <v>35</v>
      </c>
      <c r="U4165" s="14">
        <v>45695</v>
      </c>
      <c r="V4165" s="43"/>
      <c r="W4165" s="26">
        <v>250</v>
      </c>
      <c r="X4165" s="2">
        <v>5</v>
      </c>
      <c r="Y4165" s="11"/>
      <c r="Z4165" s="2" t="s">
        <v>36</v>
      </c>
      <c r="AA4165" s="13" t="s">
        <v>10357</v>
      </c>
      <c r="AB4165" s="13" t="s">
        <v>10358</v>
      </c>
    </row>
    <row r="4166" spans="1:28" ht="15" customHeight="1">
      <c r="A4166" s="2" t="s">
        <v>9077</v>
      </c>
      <c r="B4166" s="2" t="s">
        <v>368</v>
      </c>
      <c r="C4166" s="11" t="s">
        <v>1914</v>
      </c>
      <c r="D4166" s="2" t="s">
        <v>30</v>
      </c>
      <c r="E4166" s="2" t="s">
        <v>253</v>
      </c>
      <c r="F4166" s="11" t="s">
        <v>3497</v>
      </c>
      <c r="G4166" s="46" t="s">
        <v>3498</v>
      </c>
      <c r="H4166" s="2" t="s">
        <v>1915</v>
      </c>
      <c r="I4166" s="12" t="s">
        <v>256</v>
      </c>
      <c r="J4166" s="41">
        <f>+Tabla1[[#This Row],[FECHA ENTRADA]]</f>
        <v>45769</v>
      </c>
      <c r="K4166" s="8">
        <v>45919</v>
      </c>
      <c r="L4166" s="42">
        <f>_xlfn.DAYS(Tabla1[[#This Row],[FECHA FIN ]],Tabla1[[#This Row],[FECHA INICIO]])</f>
        <v>150</v>
      </c>
      <c r="M4166" s="12"/>
      <c r="N4166" s="12"/>
      <c r="O4166" s="28">
        <f>(Tabla1[[#This Row],[COSTO FIJO ]]/30)*Tabla1[[#This Row],[TOTAL DIAS PROYECTO]]+(Tabla1[[#This Row],[COSTO TEMPORAL]])</f>
        <v>0</v>
      </c>
      <c r="P4166" s="12"/>
      <c r="Q4166" s="12">
        <f>+(Tabla1[[#This Row],[COSTO COCHE]]/30)*Tabla1[[#This Row],[TOTAL DIAS PROYECTO]]</f>
        <v>0</v>
      </c>
      <c r="R4166" s="12">
        <f>+Tabla1[[#This Row],[COSTO TOTAL ALOJAMIENTO]]+Tabla1[[#This Row],[COSTO TOTAL COCHE]]</f>
        <v>0</v>
      </c>
      <c r="S4166" s="2"/>
      <c r="T4166" s="2" t="s">
        <v>35</v>
      </c>
      <c r="U4166" s="14">
        <v>45769</v>
      </c>
      <c r="V4166" s="43"/>
      <c r="W4166" s="26">
        <v>250</v>
      </c>
      <c r="X4166" s="2">
        <v>5</v>
      </c>
      <c r="Y4166" s="11" t="s">
        <v>6115</v>
      </c>
      <c r="Z4166" s="2" t="s">
        <v>36</v>
      </c>
      <c r="AA4166" s="13" t="s">
        <v>10357</v>
      </c>
      <c r="AB4166" s="13" t="s">
        <v>10358</v>
      </c>
    </row>
    <row r="4167" spans="1:28" ht="15" customHeight="1">
      <c r="A4167" s="2" t="s">
        <v>10056</v>
      </c>
      <c r="B4167" s="2" t="s">
        <v>978</v>
      </c>
      <c r="C4167" s="31" t="s">
        <v>6116</v>
      </c>
      <c r="D4167" s="2" t="s">
        <v>99</v>
      </c>
      <c r="E4167" s="2" t="s">
        <v>253</v>
      </c>
      <c r="F4167" s="11" t="s">
        <v>3497</v>
      </c>
      <c r="G4167" s="197" t="s">
        <v>3498</v>
      </c>
      <c r="H4167" s="2" t="s">
        <v>4695</v>
      </c>
      <c r="I4167" s="10" t="s">
        <v>4696</v>
      </c>
      <c r="J4167" s="22">
        <f>+Tabla1[[#This Row],[FECHA ENTRADA]]</f>
        <v>45874</v>
      </c>
      <c r="K4167" s="22">
        <v>45976</v>
      </c>
      <c r="L4167" s="23">
        <f>_xlfn.DAYS(Tabla1[[#This Row],[FECHA FIN ]],Tabla1[[#This Row],[FECHA INICIO]])</f>
        <v>102</v>
      </c>
      <c r="M4167" s="12"/>
      <c r="N4167" s="24">
        <v>375</v>
      </c>
      <c r="O4167" s="24">
        <f>(Tabla1[[#This Row],[COSTO FIJO ]]/30)*Tabla1[[#This Row],[TOTAL DIAS PROYECTO]]+(Tabla1[[#This Row],[COSTO TEMPORAL]])</f>
        <v>1275</v>
      </c>
      <c r="P4167" s="12"/>
      <c r="Q4167" s="12">
        <f>+(Tabla1[[#This Row],[COSTO COCHE]]/30)*Tabla1[[#This Row],[TOTAL DIAS PROYECTO]]</f>
        <v>0</v>
      </c>
      <c r="R4167" s="12">
        <f>+Tabla1[[#This Row],[COSTO TOTAL ALOJAMIENTO]]+Tabla1[[#This Row],[COSTO TOTAL COCHE]]</f>
        <v>1275</v>
      </c>
      <c r="S4167" s="2"/>
      <c r="T4167" s="14" t="s">
        <v>35</v>
      </c>
      <c r="U4167" s="14">
        <v>45874</v>
      </c>
      <c r="V4167" s="25"/>
      <c r="W4167" s="12">
        <v>250</v>
      </c>
      <c r="X4167" s="2">
        <v>5</v>
      </c>
      <c r="Y4167" s="11" t="s">
        <v>5892</v>
      </c>
      <c r="Z4167" s="2" t="s">
        <v>36</v>
      </c>
      <c r="AA4167" s="13" t="s">
        <v>10357</v>
      </c>
      <c r="AB4167" s="13" t="s">
        <v>10358</v>
      </c>
    </row>
    <row r="4168" spans="1:28" ht="15" customHeight="1">
      <c r="A4168" s="2" t="s">
        <v>9077</v>
      </c>
      <c r="B4168" s="2" t="s">
        <v>711</v>
      </c>
      <c r="C4168" s="31" t="s">
        <v>1914</v>
      </c>
      <c r="D4168" s="2" t="s">
        <v>30</v>
      </c>
      <c r="E4168" s="2" t="s">
        <v>253</v>
      </c>
      <c r="F4168" s="11" t="s">
        <v>3497</v>
      </c>
      <c r="G4168" s="197" t="s">
        <v>3498</v>
      </c>
      <c r="H4168" s="2" t="s">
        <v>6117</v>
      </c>
      <c r="I4168" s="12" t="s">
        <v>5169</v>
      </c>
      <c r="J4168" s="41">
        <f>+Tabla1[[#This Row],[FECHA ENTRADA]]</f>
        <v>45919</v>
      </c>
      <c r="K4168" s="22">
        <v>45976</v>
      </c>
      <c r="L4168" s="42">
        <f>_xlfn.DAYS(Tabla1[[#This Row],[FECHA FIN ]],Tabla1[[#This Row],[FECHA INICIO]])</f>
        <v>57</v>
      </c>
      <c r="M4168" s="12"/>
      <c r="N4168" s="28">
        <v>375</v>
      </c>
      <c r="O4168" s="28">
        <f>(Tabla1[[#This Row],[COSTO FIJO ]]/30)*Tabla1[[#This Row],[TOTAL DIAS PROYECTO]]+(Tabla1[[#This Row],[COSTO TEMPORAL]])</f>
        <v>712.5</v>
      </c>
      <c r="P4168" s="12"/>
      <c r="Q4168" s="12">
        <f>+(Tabla1[[#This Row],[COSTO COCHE]]/30)*Tabla1[[#This Row],[TOTAL DIAS PROYECTO]]</f>
        <v>0</v>
      </c>
      <c r="R4168" s="12">
        <f>+Tabla1[[#This Row],[COSTO TOTAL ALOJAMIENTO]]+Tabla1[[#This Row],[COSTO TOTAL COCHE]]</f>
        <v>712.5</v>
      </c>
      <c r="S4168" s="2"/>
      <c r="T4168" s="14" t="s">
        <v>35</v>
      </c>
      <c r="U4168" s="14">
        <v>45919</v>
      </c>
      <c r="V4168" s="43"/>
      <c r="W4168" s="26">
        <v>250</v>
      </c>
      <c r="X4168" s="2">
        <v>5</v>
      </c>
      <c r="Y4168" s="11" t="s">
        <v>5913</v>
      </c>
      <c r="Z4168" s="2" t="s">
        <v>36</v>
      </c>
      <c r="AA4168" s="13" t="s">
        <v>10357</v>
      </c>
      <c r="AB4168" s="13" t="s">
        <v>10358</v>
      </c>
    </row>
    <row r="4169" spans="1:28" ht="15" customHeight="1">
      <c r="A4169" s="2" t="s">
        <v>8817</v>
      </c>
      <c r="B4169" s="2" t="s">
        <v>28</v>
      </c>
      <c r="C4169" s="31" t="s">
        <v>881</v>
      </c>
      <c r="D4169" s="2" t="s">
        <v>30</v>
      </c>
      <c r="E4169" s="2" t="s">
        <v>31</v>
      </c>
      <c r="F4169" s="11" t="s">
        <v>6118</v>
      </c>
      <c r="G4169" s="46" t="s">
        <v>6119</v>
      </c>
      <c r="H4169" s="2" t="s">
        <v>1479</v>
      </c>
      <c r="I4169" s="12" t="s">
        <v>1480</v>
      </c>
      <c r="J4169" s="41">
        <f>+Tabla1[[#This Row],[FECHA ENTRADA]]</f>
        <v>45775</v>
      </c>
      <c r="K4169" s="22">
        <v>45976</v>
      </c>
      <c r="L4169" s="13">
        <f>_xlfn.DAYS(Tabla1[[#This Row],[FECHA FIN ]],Tabla1[[#This Row],[FECHA INICIO]])</f>
        <v>201</v>
      </c>
      <c r="M4169" s="12"/>
      <c r="N4169" s="12">
        <v>450</v>
      </c>
      <c r="O4169" s="12">
        <f>(Tabla1[[#This Row],[COSTO FIJO ]]/30)*Tabla1[[#This Row],[TOTAL DIAS PROYECTO]]+(Tabla1[[#This Row],[COSTO TEMPORAL]])</f>
        <v>3015</v>
      </c>
      <c r="P4169" s="12"/>
      <c r="Q4169" s="12">
        <f>+(Tabla1[[#This Row],[COSTO COCHE]]/30)*Tabla1[[#This Row],[TOTAL DIAS PROYECTO]]</f>
        <v>0</v>
      </c>
      <c r="R4169" s="12">
        <f>+Tabla1[[#This Row],[COSTO TOTAL ALOJAMIENTO]]+Tabla1[[#This Row],[COSTO TOTAL COCHE]]</f>
        <v>3015</v>
      </c>
      <c r="S4169" s="2"/>
      <c r="T4169" s="2" t="s">
        <v>35</v>
      </c>
      <c r="U4169" s="14">
        <v>45775</v>
      </c>
      <c r="V4169" s="14"/>
      <c r="W4169" s="15"/>
      <c r="X4169" s="16">
        <v>25</v>
      </c>
      <c r="Y4169" s="18" t="s">
        <v>6120</v>
      </c>
      <c r="Z4169" s="2" t="s">
        <v>36</v>
      </c>
      <c r="AA4169" s="13" t="s">
        <v>10323</v>
      </c>
      <c r="AB4169" s="13" t="s">
        <v>10324</v>
      </c>
    </row>
    <row r="4170" spans="1:28" ht="15" customHeight="1">
      <c r="A4170" s="2" t="s">
        <v>8642</v>
      </c>
      <c r="B4170" s="2" t="s">
        <v>978</v>
      </c>
      <c r="C4170" s="31" t="s">
        <v>4476</v>
      </c>
      <c r="D4170" s="2" t="s">
        <v>99</v>
      </c>
      <c r="E4170" s="2" t="s">
        <v>1443</v>
      </c>
      <c r="F4170" s="11" t="s">
        <v>1444</v>
      </c>
      <c r="G4170" s="11" t="s">
        <v>1445</v>
      </c>
      <c r="H4170" s="2" t="s">
        <v>1738</v>
      </c>
      <c r="I4170" s="6" t="s">
        <v>4477</v>
      </c>
      <c r="J4170" s="22">
        <f>+Tabla1[[#This Row],[FECHA ENTRADA]]</f>
        <v>45915</v>
      </c>
      <c r="K4170" s="22">
        <v>45976</v>
      </c>
      <c r="L4170" s="23">
        <f>_xlfn.DAYS(Tabla1[[#This Row],[FECHA FIN ]],Tabla1[[#This Row],[FECHA INICIO]])</f>
        <v>61</v>
      </c>
      <c r="M4170" s="12"/>
      <c r="N4170" s="20">
        <v>450</v>
      </c>
      <c r="O4170" s="24">
        <f>(Tabla1[[#This Row],[COSTO FIJO ]]/30)*Tabla1[[#This Row],[TOTAL DIAS PROYECTO]]+(Tabla1[[#This Row],[COSTO TEMPORAL]])</f>
        <v>915</v>
      </c>
      <c r="P4170" s="12"/>
      <c r="Q4170" s="12">
        <f>+(Tabla1[[#This Row],[COSTO COCHE]]/30)*Tabla1[[#This Row],[TOTAL DIAS PROYECTO]]</f>
        <v>0</v>
      </c>
      <c r="R4170" s="12">
        <f>+Tabla1[[#This Row],[COSTO TOTAL ALOJAMIENTO]]+Tabla1[[#This Row],[COSTO TOTAL COCHE]]</f>
        <v>915</v>
      </c>
      <c r="S4170" s="2"/>
      <c r="T4170" s="14" t="s">
        <v>44</v>
      </c>
      <c r="U4170" s="14">
        <v>45915</v>
      </c>
      <c r="V4170" s="25">
        <v>45980</v>
      </c>
      <c r="W4170" s="71"/>
      <c r="X4170" s="2"/>
      <c r="Y4170" s="11" t="s">
        <v>6121</v>
      </c>
      <c r="Z4170" s="2" t="s">
        <v>36</v>
      </c>
      <c r="AA4170" s="13" t="s">
        <v>10420</v>
      </c>
      <c r="AB4170" s="13">
        <v>3907741</v>
      </c>
    </row>
    <row r="4171" spans="1:28" ht="15" customHeight="1">
      <c r="A4171" s="2" t="s">
        <v>9733</v>
      </c>
      <c r="B4171" s="2" t="s">
        <v>978</v>
      </c>
      <c r="C4171" s="31" t="s">
        <v>4478</v>
      </c>
      <c r="D4171" s="2" t="s">
        <v>99</v>
      </c>
      <c r="E4171" s="2" t="s">
        <v>1443</v>
      </c>
      <c r="F4171" s="11" t="s">
        <v>1444</v>
      </c>
      <c r="G4171" s="11" t="s">
        <v>1445</v>
      </c>
      <c r="H4171" s="2" t="s">
        <v>1738</v>
      </c>
      <c r="I4171" s="6" t="s">
        <v>4477</v>
      </c>
      <c r="J4171" s="22">
        <f>+Tabla1[[#This Row],[FECHA ENTRADA]]</f>
        <v>45915</v>
      </c>
      <c r="K4171" s="22">
        <v>45976</v>
      </c>
      <c r="L4171" s="23">
        <f>_xlfn.DAYS(Tabla1[[#This Row],[FECHA FIN ]],Tabla1[[#This Row],[FECHA INICIO]])</f>
        <v>61</v>
      </c>
      <c r="M4171" s="12"/>
      <c r="N4171" s="20">
        <v>450</v>
      </c>
      <c r="O4171" s="24">
        <f>(Tabla1[[#This Row],[COSTO FIJO ]]/30)*Tabla1[[#This Row],[TOTAL DIAS PROYECTO]]+(Tabla1[[#This Row],[COSTO TEMPORAL]])</f>
        <v>915</v>
      </c>
      <c r="P4171" s="12"/>
      <c r="Q4171" s="12">
        <f>+(Tabla1[[#This Row],[COSTO COCHE]]/30)*Tabla1[[#This Row],[TOTAL DIAS PROYECTO]]</f>
        <v>0</v>
      </c>
      <c r="R4171" s="12">
        <f>+Tabla1[[#This Row],[COSTO TOTAL ALOJAMIENTO]]+Tabla1[[#This Row],[COSTO TOTAL COCHE]]</f>
        <v>915</v>
      </c>
      <c r="S4171" s="2"/>
      <c r="T4171" s="14" t="s">
        <v>44</v>
      </c>
      <c r="U4171" s="14">
        <v>45915</v>
      </c>
      <c r="V4171" s="25">
        <v>45980</v>
      </c>
      <c r="W4171" s="71"/>
      <c r="X4171" s="2"/>
      <c r="Y4171" s="11" t="s">
        <v>6122</v>
      </c>
      <c r="Z4171" s="2" t="s">
        <v>36</v>
      </c>
      <c r="AA4171" s="13" t="s">
        <v>10420</v>
      </c>
      <c r="AB4171" s="13">
        <v>3907741</v>
      </c>
    </row>
    <row r="4172" spans="1:28" ht="15" customHeight="1">
      <c r="A4172" s="2" t="s">
        <v>9751</v>
      </c>
      <c r="B4172" s="2" t="s">
        <v>28</v>
      </c>
      <c r="C4172" s="31" t="s">
        <v>4555</v>
      </c>
      <c r="D4172" s="2" t="s">
        <v>30</v>
      </c>
      <c r="E4172" s="2" t="s">
        <v>31</v>
      </c>
      <c r="F4172" s="11" t="s">
        <v>6074</v>
      </c>
      <c r="G4172" s="49" t="s">
        <v>5083</v>
      </c>
      <c r="H4172" s="2" t="s">
        <v>6075</v>
      </c>
      <c r="I4172" s="186" t="s">
        <v>2638</v>
      </c>
      <c r="J4172" s="22">
        <f>+Tabla1[[#This Row],[FECHA ENTRADA]]</f>
        <v>45928</v>
      </c>
      <c r="K4172" s="22">
        <v>45937</v>
      </c>
      <c r="L4172" s="23">
        <f>_xlfn.DAYS(Tabla1[[#This Row],[FECHA FIN ]],Tabla1[[#This Row],[FECHA INICIO]])</f>
        <v>9</v>
      </c>
      <c r="M4172" s="12"/>
      <c r="N4172" s="20">
        <v>450</v>
      </c>
      <c r="O4172" s="24">
        <f>(Tabla1[[#This Row],[COSTO FIJO ]]/30)*Tabla1[[#This Row],[TOTAL DIAS PROYECTO]]+(Tabla1[[#This Row],[COSTO TEMPORAL]])</f>
        <v>135</v>
      </c>
      <c r="P4172" s="12"/>
      <c r="Q4172" s="12">
        <f>+(Tabla1[[#This Row],[COSTO COCHE]]/30)*Tabla1[[#This Row],[TOTAL DIAS PROYECTO]]</f>
        <v>0</v>
      </c>
      <c r="R4172" s="12">
        <f>+Tabla1[[#This Row],[COSTO TOTAL ALOJAMIENTO]]+Tabla1[[#This Row],[COSTO TOTAL COCHE]]</f>
        <v>135</v>
      </c>
      <c r="S4172" s="2"/>
      <c r="T4172" s="14" t="s">
        <v>44</v>
      </c>
      <c r="U4172" s="14">
        <v>45928</v>
      </c>
      <c r="V4172" s="79">
        <v>45959</v>
      </c>
      <c r="W4172" s="71"/>
      <c r="X4172" s="2">
        <v>25</v>
      </c>
      <c r="Y4172" s="11" t="s">
        <v>6123</v>
      </c>
      <c r="Z4172" s="2" t="s">
        <v>36</v>
      </c>
      <c r="AA4172" s="13" t="s">
        <v>10323</v>
      </c>
      <c r="AB4172" s="13" t="s">
        <v>10324</v>
      </c>
    </row>
    <row r="4173" spans="1:28" ht="15" customHeight="1">
      <c r="A4173" s="2" t="s">
        <v>9592</v>
      </c>
      <c r="B4173" s="2" t="s">
        <v>28</v>
      </c>
      <c r="C4173" s="31" t="s">
        <v>3788</v>
      </c>
      <c r="D4173" s="2" t="s">
        <v>30</v>
      </c>
      <c r="E4173" s="2" t="s">
        <v>31</v>
      </c>
      <c r="F4173" s="11" t="s">
        <v>6074</v>
      </c>
      <c r="G4173" s="49" t="s">
        <v>5083</v>
      </c>
      <c r="H4173" s="2" t="s">
        <v>6075</v>
      </c>
      <c r="I4173" s="186" t="s">
        <v>2638</v>
      </c>
      <c r="J4173" s="22">
        <f>+Tabla1[[#This Row],[FECHA ENTRADA]]</f>
        <v>45928</v>
      </c>
      <c r="K4173" s="22">
        <v>45957</v>
      </c>
      <c r="L4173" s="23">
        <f>_xlfn.DAYS(Tabla1[[#This Row],[FECHA FIN ]],Tabla1[[#This Row],[FECHA INICIO]])</f>
        <v>29</v>
      </c>
      <c r="M4173" s="12"/>
      <c r="N4173" s="20">
        <v>450</v>
      </c>
      <c r="O4173" s="24">
        <f>(Tabla1[[#This Row],[COSTO FIJO ]]/30)*Tabla1[[#This Row],[TOTAL DIAS PROYECTO]]+(Tabla1[[#This Row],[COSTO TEMPORAL]])</f>
        <v>435</v>
      </c>
      <c r="P4173" s="12"/>
      <c r="Q4173" s="12">
        <f>+(Tabla1[[#This Row],[COSTO COCHE]]/30)*Tabla1[[#This Row],[TOTAL DIAS PROYECTO]]</f>
        <v>0</v>
      </c>
      <c r="R4173" s="12">
        <f>+Tabla1[[#This Row],[COSTO TOTAL ALOJAMIENTO]]+Tabla1[[#This Row],[COSTO TOTAL COCHE]]</f>
        <v>435</v>
      </c>
      <c r="S4173" s="2"/>
      <c r="T4173" s="14" t="s">
        <v>44</v>
      </c>
      <c r="U4173" s="14">
        <v>45928</v>
      </c>
      <c r="V4173" s="79">
        <v>45990</v>
      </c>
      <c r="W4173" s="71">
        <v>500</v>
      </c>
      <c r="X4173" s="2">
        <v>25</v>
      </c>
      <c r="Y4173" s="11" t="s">
        <v>6124</v>
      </c>
      <c r="Z4173" s="2" t="s">
        <v>36</v>
      </c>
      <c r="AA4173" s="13" t="s">
        <v>10323</v>
      </c>
      <c r="AB4173" s="13" t="s">
        <v>10324</v>
      </c>
    </row>
    <row r="4174" spans="1:28" s="30" customFormat="1" ht="15" customHeight="1">
      <c r="A4174" s="2" t="s">
        <v>9715</v>
      </c>
      <c r="B4174" s="2" t="s">
        <v>28</v>
      </c>
      <c r="C4174" s="31" t="s">
        <v>4371</v>
      </c>
      <c r="D4174" s="2" t="s">
        <v>30</v>
      </c>
      <c r="E4174" s="2" t="s">
        <v>31</v>
      </c>
      <c r="F4174" s="11" t="s">
        <v>6074</v>
      </c>
      <c r="G4174" s="49" t="s">
        <v>5083</v>
      </c>
      <c r="H4174" s="2" t="s">
        <v>6075</v>
      </c>
      <c r="I4174" s="186" t="s">
        <v>2638</v>
      </c>
      <c r="J4174" s="22">
        <f>+Tabla1[[#This Row],[FECHA ENTRADA]]</f>
        <v>45928</v>
      </c>
      <c r="K4174" s="22">
        <v>45957</v>
      </c>
      <c r="L4174" s="23">
        <f>_xlfn.DAYS(Tabla1[[#This Row],[FECHA FIN ]],Tabla1[[#This Row],[FECHA INICIO]])</f>
        <v>29</v>
      </c>
      <c r="M4174" s="12"/>
      <c r="N4174" s="20">
        <v>450</v>
      </c>
      <c r="O4174" s="24">
        <f>(Tabla1[[#This Row],[COSTO FIJO ]]/30)*Tabla1[[#This Row],[TOTAL DIAS PROYECTO]]+(Tabla1[[#This Row],[COSTO TEMPORAL]])</f>
        <v>435</v>
      </c>
      <c r="P4174" s="12"/>
      <c r="Q4174" s="12">
        <f>+(Tabla1[[#This Row],[COSTO COCHE]]/30)*Tabla1[[#This Row],[TOTAL DIAS PROYECTO]]</f>
        <v>0</v>
      </c>
      <c r="R4174" s="12">
        <f>+Tabla1[[#This Row],[COSTO TOTAL ALOJAMIENTO]]+Tabla1[[#This Row],[COSTO TOTAL COCHE]]</f>
        <v>435</v>
      </c>
      <c r="S4174" s="2"/>
      <c r="T4174" s="14" t="s">
        <v>44</v>
      </c>
      <c r="U4174" s="14">
        <v>45928</v>
      </c>
      <c r="V4174" s="79">
        <v>45990</v>
      </c>
      <c r="W4174" s="71"/>
      <c r="X4174" s="2">
        <v>25</v>
      </c>
      <c r="Y4174" s="11" t="s">
        <v>6125</v>
      </c>
      <c r="Z4174" s="2" t="s">
        <v>36</v>
      </c>
      <c r="AA4174" s="13" t="s">
        <v>10323</v>
      </c>
      <c r="AB4174" s="13" t="s">
        <v>10324</v>
      </c>
    </row>
    <row r="4175" spans="1:28" ht="15" customHeight="1">
      <c r="A4175" s="2" t="s">
        <v>9932</v>
      </c>
      <c r="B4175" s="2" t="s">
        <v>711</v>
      </c>
      <c r="C4175" s="11" t="s">
        <v>5527</v>
      </c>
      <c r="D4175" s="2" t="s">
        <v>30</v>
      </c>
      <c r="E4175" s="2" t="s">
        <v>31</v>
      </c>
      <c r="F4175" s="11" t="s">
        <v>5258</v>
      </c>
      <c r="G4175" s="49" t="s">
        <v>5083</v>
      </c>
      <c r="H4175" s="2" t="s">
        <v>5530</v>
      </c>
      <c r="I4175" s="12" t="s">
        <v>5531</v>
      </c>
      <c r="J4175" s="22">
        <f>+Tabla1[[#This Row],[FECHA ENTRADA]]</f>
        <v>45941</v>
      </c>
      <c r="K4175" s="22">
        <v>46021</v>
      </c>
      <c r="L4175" s="23">
        <f>_xlfn.DAYS(Tabla1[[#This Row],[FECHA FIN ]],Tabla1[[#This Row],[FECHA INICIO]])</f>
        <v>80</v>
      </c>
      <c r="M4175" s="12"/>
      <c r="N4175" s="24">
        <v>416.66666666666669</v>
      </c>
      <c r="O4175" s="24">
        <f>(Tabla1[[#This Row],[COSTO FIJO ]]/30)*Tabla1[[#This Row],[TOTAL DIAS PROYECTO]]+(Tabla1[[#This Row],[COSTO TEMPORAL]])</f>
        <v>1111.1111111111111</v>
      </c>
      <c r="P4175" s="12"/>
      <c r="Q4175" s="12">
        <f>+(Tabla1[[#This Row],[COSTO COCHE]]/30)*Tabla1[[#This Row],[TOTAL DIAS PROYECTO]]</f>
        <v>0</v>
      </c>
      <c r="R4175" s="12">
        <f>+Tabla1[[#This Row],[COSTO TOTAL ALOJAMIENTO]]+Tabla1[[#This Row],[COSTO TOTAL COCHE]]</f>
        <v>1111.1111111111111</v>
      </c>
      <c r="S4175" s="2"/>
      <c r="T4175" s="14" t="s">
        <v>44</v>
      </c>
      <c r="U4175" s="14">
        <v>45941</v>
      </c>
      <c r="V4175" s="25">
        <v>46021</v>
      </c>
      <c r="W4175" s="71"/>
      <c r="X4175" s="2">
        <v>25</v>
      </c>
      <c r="Y4175" s="11" t="s">
        <v>6126</v>
      </c>
      <c r="Z4175" s="2" t="s">
        <v>36</v>
      </c>
      <c r="AA4175" s="13" t="s">
        <v>10323</v>
      </c>
      <c r="AB4175" s="13" t="s">
        <v>10324</v>
      </c>
    </row>
    <row r="4176" spans="1:28" ht="15" customHeight="1">
      <c r="A4176" s="2" t="s">
        <v>9835</v>
      </c>
      <c r="B4176" s="2" t="s">
        <v>368</v>
      </c>
      <c r="C4176" s="31" t="s">
        <v>4962</v>
      </c>
      <c r="D4176" s="2" t="s">
        <v>30</v>
      </c>
      <c r="E4176" s="2" t="s">
        <v>415</v>
      </c>
      <c r="F4176" s="11" t="s">
        <v>1290</v>
      </c>
      <c r="G4176" s="70" t="s">
        <v>1291</v>
      </c>
      <c r="H4176" s="2" t="s">
        <v>5333</v>
      </c>
      <c r="I4176" s="12" t="s">
        <v>4165</v>
      </c>
      <c r="J4176" s="41">
        <f>+Tabla1[[#This Row],[FECHA ENTRADA]]</f>
        <v>45974</v>
      </c>
      <c r="K4176" s="41">
        <v>45976</v>
      </c>
      <c r="L4176" s="42">
        <f>_xlfn.DAYS(Tabla1[[#This Row],[FECHA FIN ]],Tabla1[[#This Row],[FECHA INICIO]])</f>
        <v>2</v>
      </c>
      <c r="M4176" s="12"/>
      <c r="N4176" s="12">
        <v>145</v>
      </c>
      <c r="O4176" s="28">
        <f>(Tabla1[[#This Row],[COSTO FIJO ]]/30)*Tabla1[[#This Row],[TOTAL DIAS PROYECTO]]+(Tabla1[[#This Row],[COSTO TEMPORAL]])</f>
        <v>9.6666666666666661</v>
      </c>
      <c r="P4176" s="12"/>
      <c r="Q4176" s="12">
        <f>+(Tabla1[[#This Row],[COSTO COCHE]]/30)*Tabla1[[#This Row],[TOTAL DIAS PROYECTO]]</f>
        <v>0</v>
      </c>
      <c r="R4176" s="12">
        <f>+Tabla1[[#This Row],[COSTO TOTAL ALOJAMIENTO]]+Tabla1[[#This Row],[COSTO TOTAL COCHE]]</f>
        <v>9.6666666666666661</v>
      </c>
      <c r="S4176" s="2"/>
      <c r="T4176" s="14" t="s">
        <v>44</v>
      </c>
      <c r="U4176" s="14">
        <v>45974</v>
      </c>
      <c r="V4176" s="25">
        <v>45976</v>
      </c>
      <c r="W4176" s="71"/>
      <c r="X4176" s="2">
        <v>1</v>
      </c>
      <c r="Y4176" s="11" t="s">
        <v>6127</v>
      </c>
      <c r="Z4176" s="2" t="s">
        <v>36</v>
      </c>
      <c r="AA4176" s="13">
        <v>-0.37739</v>
      </c>
      <c r="AB4176" s="13" t="s">
        <v>10372</v>
      </c>
    </row>
    <row r="4177" spans="1:28" ht="15" customHeight="1">
      <c r="A4177" s="2" t="s">
        <v>9603</v>
      </c>
      <c r="B4177" s="2" t="s">
        <v>368</v>
      </c>
      <c r="C4177" s="31" t="s">
        <v>3830</v>
      </c>
      <c r="D4177" s="2" t="s">
        <v>99</v>
      </c>
      <c r="E4177" s="2" t="s">
        <v>415</v>
      </c>
      <c r="F4177" s="11" t="s">
        <v>1290</v>
      </c>
      <c r="G4177" s="70" t="s">
        <v>1291</v>
      </c>
      <c r="H4177" s="2" t="s">
        <v>6102</v>
      </c>
      <c r="I4177" s="158" t="s">
        <v>4165</v>
      </c>
      <c r="J4177" s="41">
        <f>+Tabla1[[#This Row],[FECHA ENTRADA]]</f>
        <v>45974</v>
      </c>
      <c r="K4177" s="41">
        <v>45976</v>
      </c>
      <c r="L4177" s="42">
        <f>_xlfn.DAYS(Tabla1[[#This Row],[FECHA FIN ]],Tabla1[[#This Row],[FECHA INICIO]])</f>
        <v>2</v>
      </c>
      <c r="M4177" s="12"/>
      <c r="N4177" s="12">
        <v>145</v>
      </c>
      <c r="O4177" s="28">
        <f>(Tabla1[[#This Row],[COSTO FIJO ]]/30)*Tabla1[[#This Row],[TOTAL DIAS PROYECTO]]+(Tabla1[[#This Row],[COSTO TEMPORAL]])</f>
        <v>9.6666666666666661</v>
      </c>
      <c r="P4177" s="12"/>
      <c r="Q4177" s="12">
        <f>+(Tabla1[[#This Row],[COSTO COCHE]]/30)*Tabla1[[#This Row],[TOTAL DIAS PROYECTO]]</f>
        <v>0</v>
      </c>
      <c r="R4177" s="12">
        <f>+Tabla1[[#This Row],[COSTO TOTAL ALOJAMIENTO]]+Tabla1[[#This Row],[COSTO TOTAL COCHE]]</f>
        <v>9.6666666666666661</v>
      </c>
      <c r="S4177" s="2"/>
      <c r="T4177" s="14" t="s">
        <v>44</v>
      </c>
      <c r="U4177" s="14">
        <v>45974</v>
      </c>
      <c r="V4177" s="25">
        <v>45976</v>
      </c>
      <c r="W4177" s="71"/>
      <c r="X4177" s="2">
        <v>1</v>
      </c>
      <c r="Y4177" s="11" t="s">
        <v>6127</v>
      </c>
      <c r="Z4177" s="2" t="s">
        <v>36</v>
      </c>
      <c r="AA4177" s="13">
        <v>-0.37739</v>
      </c>
      <c r="AB4177" s="13" t="s">
        <v>10372</v>
      </c>
    </row>
    <row r="4178" spans="1:28" ht="15" customHeight="1">
      <c r="A4178" s="2" t="s">
        <v>9648</v>
      </c>
      <c r="B4178" s="2" t="s">
        <v>711</v>
      </c>
      <c r="C4178" s="11" t="s">
        <v>4051</v>
      </c>
      <c r="D4178" s="2" t="s">
        <v>30</v>
      </c>
      <c r="E4178" s="2" t="s">
        <v>31</v>
      </c>
      <c r="F4178" s="11" t="s">
        <v>6074</v>
      </c>
      <c r="G4178" s="49" t="s">
        <v>5083</v>
      </c>
      <c r="H4178" s="2" t="s">
        <v>6128</v>
      </c>
      <c r="I4178" s="12" t="s">
        <v>5531</v>
      </c>
      <c r="J4178" s="22">
        <f>+Tabla1[[#This Row],[FECHA ENTRADA]]</f>
        <v>45944</v>
      </c>
      <c r="K4178" s="22">
        <v>45944</v>
      </c>
      <c r="L4178" s="23">
        <f>_xlfn.DAYS(Tabla1[[#This Row],[FECHA FIN ]],Tabla1[[#This Row],[FECHA INICIO]])</f>
        <v>0</v>
      </c>
      <c r="M4178" s="12"/>
      <c r="N4178" s="24">
        <v>450</v>
      </c>
      <c r="O4178" s="24">
        <f>(Tabla1[[#This Row],[COSTO FIJO ]]/30)*Tabla1[[#This Row],[TOTAL DIAS PROYECTO]]+(Tabla1[[#This Row],[COSTO TEMPORAL]])</f>
        <v>0</v>
      </c>
      <c r="P4178" s="12"/>
      <c r="Q4178" s="12">
        <f>+(Tabla1[[#This Row],[COSTO COCHE]]/30)*Tabla1[[#This Row],[TOTAL DIAS PROYECTO]]</f>
        <v>0</v>
      </c>
      <c r="R4178" s="12">
        <f>+Tabla1[[#This Row],[COSTO TOTAL ALOJAMIENTO]]+Tabla1[[#This Row],[COSTO TOTAL COCHE]]</f>
        <v>0</v>
      </c>
      <c r="S4178" s="2"/>
      <c r="T4178" s="14" t="s">
        <v>44</v>
      </c>
      <c r="U4178" s="14">
        <v>45944</v>
      </c>
      <c r="V4178" s="79">
        <v>45990</v>
      </c>
      <c r="W4178" s="71">
        <v>500</v>
      </c>
      <c r="X4178" s="2">
        <v>25</v>
      </c>
      <c r="Y4178" s="11" t="s">
        <v>5768</v>
      </c>
      <c r="Z4178" s="2" t="s">
        <v>36</v>
      </c>
      <c r="AA4178" s="13" t="s">
        <v>10323</v>
      </c>
      <c r="AB4178" s="13" t="s">
        <v>10324</v>
      </c>
    </row>
    <row r="4179" spans="1:28" ht="15" customHeight="1">
      <c r="A4179" s="2" t="s">
        <v>10057</v>
      </c>
      <c r="B4179" s="2" t="s">
        <v>711</v>
      </c>
      <c r="C4179" s="239" t="s">
        <v>6129</v>
      </c>
      <c r="D4179" s="2" t="s">
        <v>30</v>
      </c>
      <c r="E4179" s="2" t="s">
        <v>31</v>
      </c>
      <c r="F4179" s="11" t="s">
        <v>5279</v>
      </c>
      <c r="G4179" s="49" t="s">
        <v>5280</v>
      </c>
      <c r="H4179" s="2" t="s">
        <v>6130</v>
      </c>
      <c r="I4179" s="12" t="s">
        <v>3917</v>
      </c>
      <c r="J4179" s="41">
        <f>+Tabla1[[#This Row],[FECHA ENTRADA]]</f>
        <v>45930</v>
      </c>
      <c r="K4179" s="22">
        <v>45977</v>
      </c>
      <c r="L4179" s="42">
        <f>_xlfn.DAYS(Tabla1[[#This Row],[FECHA FIN ]],Tabla1[[#This Row],[FECHA INICIO]])</f>
        <v>47</v>
      </c>
      <c r="M4179" s="12"/>
      <c r="N4179" s="24">
        <v>420</v>
      </c>
      <c r="O4179" s="28">
        <f>(Tabla1[[#This Row],[COSTO FIJO ]]/30)*Tabla1[[#This Row],[TOTAL DIAS PROYECTO]]+(Tabla1[[#This Row],[COSTO TEMPORAL]])</f>
        <v>658</v>
      </c>
      <c r="P4179" s="12"/>
      <c r="Q4179" s="12">
        <f>+(Tabla1[[#This Row],[COSTO COCHE]]/30)*Tabla1[[#This Row],[TOTAL DIAS PROYECTO]]</f>
        <v>0</v>
      </c>
      <c r="R4179" s="12">
        <f>+Tabla1[[#This Row],[COSTO TOTAL ALOJAMIENTO]]+Tabla1[[#This Row],[COSTO TOTAL COCHE]]</f>
        <v>658</v>
      </c>
      <c r="S4179" s="2"/>
      <c r="T4179" s="14" t="s">
        <v>35</v>
      </c>
      <c r="U4179" s="14">
        <v>45930</v>
      </c>
      <c r="V4179" s="43">
        <v>45951</v>
      </c>
      <c r="W4179" s="71"/>
      <c r="X4179" s="2">
        <v>18</v>
      </c>
      <c r="Y4179" s="11" t="s">
        <v>6131</v>
      </c>
      <c r="Z4179" s="2" t="s">
        <v>36</v>
      </c>
      <c r="AA4179" s="13" t="s">
        <v>10323</v>
      </c>
      <c r="AB4179" s="13" t="s">
        <v>10324</v>
      </c>
    </row>
    <row r="4180" spans="1:28" ht="15" customHeight="1">
      <c r="A4180" s="117" t="s">
        <v>9475</v>
      </c>
      <c r="B4180" s="117" t="s">
        <v>368</v>
      </c>
      <c r="C4180" s="118" t="s">
        <v>3329</v>
      </c>
      <c r="D4180" s="117" t="s">
        <v>30</v>
      </c>
      <c r="E4180" s="117" t="s">
        <v>100</v>
      </c>
      <c r="F4180" s="11" t="s">
        <v>5365</v>
      </c>
      <c r="G4180" s="21" t="s">
        <v>5366</v>
      </c>
      <c r="H4180" s="117" t="s">
        <v>5367</v>
      </c>
      <c r="I4180" s="119" t="s">
        <v>42</v>
      </c>
      <c r="J4180" s="121">
        <f>+Tabla1[[#This Row],[FECHA ENTRADA]]</f>
        <v>45936</v>
      </c>
      <c r="K4180" s="121">
        <v>45977</v>
      </c>
      <c r="L4180" s="129">
        <f>_xlfn.DAYS(Tabla1[[#This Row],[FECHA FIN ]],Tabla1[[#This Row],[FECHA INICIO]])</f>
        <v>41</v>
      </c>
      <c r="M4180" s="119">
        <v>780</v>
      </c>
      <c r="N4180" s="130"/>
      <c r="O4180" s="131">
        <v>750</v>
      </c>
      <c r="P4180" s="119"/>
      <c r="Q4180" s="119">
        <f>+(Tabla1[[#This Row],[COSTO COCHE]]/30)*Tabla1[[#This Row],[TOTAL DIAS PROYECTO]]</f>
        <v>0</v>
      </c>
      <c r="R4180" s="119">
        <f>+Tabla1[[#This Row],[COSTO TOTAL ALOJAMIENTO]]+Tabla1[[#This Row],[COSTO TOTAL COCHE]]</f>
        <v>750</v>
      </c>
      <c r="S4180" s="117"/>
      <c r="T4180" s="124" t="s">
        <v>44</v>
      </c>
      <c r="U4180" s="124">
        <v>45936</v>
      </c>
      <c r="V4180" s="132">
        <v>45978</v>
      </c>
      <c r="W4180" s="126"/>
      <c r="X4180" s="117"/>
      <c r="Y4180" s="118" t="s">
        <v>1361</v>
      </c>
      <c r="Z4180" s="117" t="s">
        <v>36</v>
      </c>
      <c r="AA4180" s="127" t="s">
        <v>10338</v>
      </c>
      <c r="AB4180" s="127">
        <v>3718817</v>
      </c>
    </row>
    <row r="4181" spans="1:28" ht="15" customHeight="1">
      <c r="A4181" s="2" t="s">
        <v>9052</v>
      </c>
      <c r="B4181" s="2" t="s">
        <v>711</v>
      </c>
      <c r="C4181" s="31" t="s">
        <v>1813</v>
      </c>
      <c r="D4181" s="2" t="s">
        <v>30</v>
      </c>
      <c r="E4181" s="2" t="s">
        <v>2378</v>
      </c>
      <c r="F4181" s="11" t="s">
        <v>5900</v>
      </c>
      <c r="G4181" s="21" t="s">
        <v>5901</v>
      </c>
      <c r="H4181" s="2" t="s">
        <v>5686</v>
      </c>
      <c r="I4181" s="12" t="s">
        <v>5187</v>
      </c>
      <c r="J4181" s="22">
        <f>+Tabla1[[#This Row],[FECHA ENTRADA]]</f>
        <v>45950</v>
      </c>
      <c r="K4181" s="22">
        <v>45977</v>
      </c>
      <c r="L4181" s="23">
        <f>_xlfn.DAYS(Tabla1[[#This Row],[FECHA FIN ]],Tabla1[[#This Row],[FECHA INICIO]])</f>
        <v>27</v>
      </c>
      <c r="M4181" s="12">
        <v>510</v>
      </c>
      <c r="N4181" s="24"/>
      <c r="O4181" s="24">
        <f>(Tabla1[[#This Row],[COSTO FIJO ]]/30)*Tabla1[[#This Row],[TOTAL DIAS PROYECTO]]+(Tabla1[[#This Row],[COSTO TEMPORAL]])</f>
        <v>510</v>
      </c>
      <c r="P4181" s="12"/>
      <c r="Q4181" s="12">
        <f>+(Tabla1[[#This Row],[COSTO COCHE]]/30)*Tabla1[[#This Row],[TOTAL DIAS PROYECTO]]</f>
        <v>0</v>
      </c>
      <c r="R4181" s="12">
        <f>+Tabla1[[#This Row],[COSTO TOTAL ALOJAMIENTO]]+Tabla1[[#This Row],[COSTO TOTAL COCHE]]</f>
        <v>510</v>
      </c>
      <c r="S4181" s="2"/>
      <c r="T4181" s="14" t="s">
        <v>44</v>
      </c>
      <c r="U4181" s="14">
        <v>45950</v>
      </c>
      <c r="V4181" s="25">
        <v>45981</v>
      </c>
      <c r="W4181" s="71"/>
      <c r="X4181" s="2"/>
      <c r="Y4181" s="11" t="s">
        <v>6132</v>
      </c>
      <c r="Z4181" s="2" t="s">
        <v>36</v>
      </c>
      <c r="AA4181" s="13" t="e">
        <v>#N/A</v>
      </c>
      <c r="AB4181" s="13" t="e">
        <v>#N/A</v>
      </c>
    </row>
    <row r="4182" spans="1:28" ht="15" customHeight="1">
      <c r="A4182" s="2" t="s">
        <v>9773</v>
      </c>
      <c r="B4182" s="2" t="s">
        <v>606</v>
      </c>
      <c r="C4182" s="69" t="s">
        <v>4675</v>
      </c>
      <c r="D4182" s="2" t="s">
        <v>30</v>
      </c>
      <c r="E4182" s="2" t="s">
        <v>31</v>
      </c>
      <c r="F4182" s="11" t="s">
        <v>4399</v>
      </c>
      <c r="G4182" s="21" t="s">
        <v>4400</v>
      </c>
      <c r="H4182" s="2" t="s">
        <v>6133</v>
      </c>
      <c r="I4182" s="10" t="s">
        <v>3364</v>
      </c>
      <c r="J4182" s="22">
        <f>+Tabla1[[#This Row],[FECHA ENTRADA]]</f>
        <v>45978</v>
      </c>
      <c r="K4182" s="22">
        <v>45978</v>
      </c>
      <c r="L4182" s="23">
        <f>_xlfn.DAYS(Tabla1[[#This Row],[FECHA FIN ]],Tabla1[[#This Row],[FECHA INICIO]])</f>
        <v>0</v>
      </c>
      <c r="M4182" s="12"/>
      <c r="N4182" s="20">
        <v>415</v>
      </c>
      <c r="O4182" s="24">
        <f>(Tabla1[[#This Row],[COSTO FIJO ]]/30)*Tabla1[[#This Row],[TOTAL DIAS PROYECTO]]+(Tabla1[[#This Row],[COSTO TEMPORAL]])</f>
        <v>0</v>
      </c>
      <c r="P4182" s="12"/>
      <c r="Q4182" s="12">
        <f>+(Tabla1[[#This Row],[COSTO COCHE]]/30)*Tabla1[[#This Row],[TOTAL DIAS PROYECTO]]</f>
        <v>0</v>
      </c>
      <c r="R4182" s="12">
        <f>+Tabla1[[#This Row],[COSTO TOTAL ALOJAMIENTO]]+Tabla1[[#This Row],[COSTO TOTAL COCHE]]</f>
        <v>0</v>
      </c>
      <c r="S4182" s="2"/>
      <c r="T4182" s="14" t="s">
        <v>35</v>
      </c>
      <c r="U4182" s="14">
        <v>45978</v>
      </c>
      <c r="V4182" s="79"/>
      <c r="W4182" s="12">
        <v>500</v>
      </c>
      <c r="X4182" s="2">
        <v>1</v>
      </c>
      <c r="Y4182" s="11" t="s">
        <v>6134</v>
      </c>
      <c r="Z4182" s="2" t="s">
        <v>36</v>
      </c>
      <c r="AA4182" s="13" t="s">
        <v>10323</v>
      </c>
      <c r="AB4182" s="13" t="s">
        <v>10324</v>
      </c>
    </row>
    <row r="4183" spans="1:28" ht="15" customHeight="1">
      <c r="A4183" s="2" t="s">
        <v>9774</v>
      </c>
      <c r="B4183" s="2" t="s">
        <v>606</v>
      </c>
      <c r="C4183" s="69" t="s">
        <v>4676</v>
      </c>
      <c r="D4183" s="2" t="s">
        <v>30</v>
      </c>
      <c r="E4183" s="2" t="s">
        <v>31</v>
      </c>
      <c r="F4183" s="11" t="s">
        <v>4577</v>
      </c>
      <c r="G4183" s="49" t="s">
        <v>4400</v>
      </c>
      <c r="H4183" s="2" t="s">
        <v>6133</v>
      </c>
      <c r="I4183" s="10" t="s">
        <v>3364</v>
      </c>
      <c r="J4183" s="22">
        <f>+Tabla1[[#This Row],[FECHA ENTRADA]]</f>
        <v>45978</v>
      </c>
      <c r="K4183" s="22">
        <v>45978</v>
      </c>
      <c r="L4183" s="23">
        <f>_xlfn.DAYS(Tabla1[[#This Row],[FECHA FIN ]],Tabla1[[#This Row],[FECHA INICIO]])</f>
        <v>0</v>
      </c>
      <c r="M4183" s="12"/>
      <c r="N4183" s="20">
        <v>410</v>
      </c>
      <c r="O4183" s="24">
        <f>(Tabla1[[#This Row],[COSTO FIJO ]]/30)*Tabla1[[#This Row],[TOTAL DIAS PROYECTO]]+(Tabla1[[#This Row],[COSTO TEMPORAL]])</f>
        <v>0</v>
      </c>
      <c r="P4183" s="12"/>
      <c r="Q4183" s="12">
        <f>+(Tabla1[[#This Row],[COSTO COCHE]]/30)*Tabla1[[#This Row],[TOTAL DIAS PROYECTO]]</f>
        <v>0</v>
      </c>
      <c r="R4183" s="12">
        <f>+Tabla1[[#This Row],[COSTO TOTAL ALOJAMIENTO]]+Tabla1[[#This Row],[COSTO TOTAL COCHE]]</f>
        <v>0</v>
      </c>
      <c r="S4183" s="2"/>
      <c r="T4183" s="14" t="s">
        <v>35</v>
      </c>
      <c r="U4183" s="14">
        <v>45978</v>
      </c>
      <c r="V4183" s="79"/>
      <c r="W4183" s="26">
        <v>500</v>
      </c>
      <c r="X4183" s="2">
        <v>1</v>
      </c>
      <c r="Y4183" s="11" t="s">
        <v>6134</v>
      </c>
      <c r="Z4183" s="2" t="s">
        <v>36</v>
      </c>
      <c r="AA4183" s="13" t="s">
        <v>10323</v>
      </c>
      <c r="AB4183" s="13" t="s">
        <v>10324</v>
      </c>
    </row>
    <row r="4184" spans="1:28" ht="15" customHeight="1">
      <c r="A4184" s="2" t="s">
        <v>8984</v>
      </c>
      <c r="B4184" s="2" t="s">
        <v>606</v>
      </c>
      <c r="C4184" s="11" t="s">
        <v>1594</v>
      </c>
      <c r="D4184" s="2" t="s">
        <v>30</v>
      </c>
      <c r="E4184" s="2" t="s">
        <v>259</v>
      </c>
      <c r="F4184" s="11" t="s">
        <v>5261</v>
      </c>
      <c r="G4184" s="197" t="s">
        <v>4207</v>
      </c>
      <c r="H4184" s="2" t="s">
        <v>4967</v>
      </c>
      <c r="I4184" s="12" t="s">
        <v>4003</v>
      </c>
      <c r="J4184" s="22">
        <f>+Tabla1[[#This Row],[FECHA ENTRADA]]</f>
        <v>46055</v>
      </c>
      <c r="K4184" s="41">
        <v>46191</v>
      </c>
      <c r="L4184" s="23">
        <f>_xlfn.DAYS(Tabla1[[#This Row],[FECHA FIN ]],Tabla1[[#This Row],[FECHA INICIO]])</f>
        <v>136</v>
      </c>
      <c r="M4184" s="12"/>
      <c r="N4184" s="20">
        <v>214.28571428571428</v>
      </c>
      <c r="O4184" s="24">
        <f>(Tabla1[[#This Row],[COSTO FIJO ]]/30)*Tabla1[[#This Row],[TOTAL DIAS PROYECTO]]+(Tabla1[[#This Row],[COSTO TEMPORAL]])</f>
        <v>971.42857142857133</v>
      </c>
      <c r="P4184" s="12"/>
      <c r="Q4184" s="12">
        <f>+(Tabla1[[#This Row],[COSTO COCHE]]/30)*Tabla1[[#This Row],[TOTAL DIAS PROYECTO]]</f>
        <v>0</v>
      </c>
      <c r="R4184" s="12">
        <f>+Tabla1[[#This Row],[COSTO TOTAL ALOJAMIENTO]]+Tabla1[[#This Row],[COSTO TOTAL COCHE]]</f>
        <v>971.42857142857133</v>
      </c>
      <c r="S4184" s="2"/>
      <c r="T4184" s="14" t="s">
        <v>35</v>
      </c>
      <c r="U4184" s="14">
        <v>46055</v>
      </c>
      <c r="V4184" s="25"/>
      <c r="W4184" s="12"/>
      <c r="X4184" s="2">
        <v>1</v>
      </c>
      <c r="Y4184" t="s">
        <v>6086</v>
      </c>
      <c r="Z4184" s="2" t="s">
        <v>36</v>
      </c>
      <c r="AA4184" s="13">
        <v>-0.87734000000000001</v>
      </c>
      <c r="AB4184" s="13" t="s">
        <v>10359</v>
      </c>
    </row>
    <row r="4185" spans="1:28" ht="15" customHeight="1">
      <c r="A4185" s="2" t="s">
        <v>8880</v>
      </c>
      <c r="B4185" s="2" t="s">
        <v>606</v>
      </c>
      <c r="C4185" s="31" t="s">
        <v>1146</v>
      </c>
      <c r="D4185" s="2" t="s">
        <v>99</v>
      </c>
      <c r="E4185" s="2" t="s">
        <v>109</v>
      </c>
      <c r="F4185" s="11" t="s">
        <v>898</v>
      </c>
      <c r="G4185" s="128" t="s">
        <v>899</v>
      </c>
      <c r="H4185" s="2" t="s">
        <v>6135</v>
      </c>
      <c r="I4185" s="12" t="s">
        <v>42</v>
      </c>
      <c r="J4185" s="22">
        <f>+Tabla1[[#This Row],[FECHA ENTRADA]]</f>
        <v>45942</v>
      </c>
      <c r="K4185" s="22">
        <v>46167</v>
      </c>
      <c r="L4185" s="23">
        <f>_xlfn.DAYS(Tabla1[[#This Row],[FECHA FIN ]],Tabla1[[#This Row],[FECHA INICIO]])</f>
        <v>225</v>
      </c>
      <c r="M4185" s="12"/>
      <c r="N4185" s="12">
        <v>200</v>
      </c>
      <c r="O4185" s="24">
        <f>(Tabla1[[#This Row],[COSTO FIJO ]]/30)*Tabla1[[#This Row],[TOTAL DIAS PROYECTO]]+(Tabla1[[#This Row],[COSTO TEMPORAL]])</f>
        <v>1500</v>
      </c>
      <c r="P4185" s="12"/>
      <c r="Q4185" s="12">
        <f>+(Tabla1[[#This Row],[COSTO COCHE]]/30)*Tabla1[[#This Row],[TOTAL DIAS PROYECTO]]</f>
        <v>0</v>
      </c>
      <c r="R4185" s="12">
        <f>+Tabla1[[#This Row],[COSTO TOTAL ALOJAMIENTO]]+Tabla1[[#This Row],[COSTO TOTAL COCHE]]</f>
        <v>1500</v>
      </c>
      <c r="S4185" s="2"/>
      <c r="T4185" s="14" t="s">
        <v>35</v>
      </c>
      <c r="U4185" s="14">
        <v>45942</v>
      </c>
      <c r="V4185" s="79"/>
      <c r="W4185" s="12"/>
      <c r="X4185" s="2">
        <v>1</v>
      </c>
      <c r="Y4185" s="11" t="s">
        <v>6136</v>
      </c>
      <c r="Z4185" s="2" t="s">
        <v>36</v>
      </c>
      <c r="AA4185" s="13">
        <v>0.62217999999999996</v>
      </c>
      <c r="AB4185" s="13" t="s">
        <v>10339</v>
      </c>
    </row>
    <row r="4186" spans="1:28" ht="15" customHeight="1">
      <c r="A4186" s="2" t="s">
        <v>9494</v>
      </c>
      <c r="B4186" s="2" t="s">
        <v>711</v>
      </c>
      <c r="C4186" s="31" t="s">
        <v>3374</v>
      </c>
      <c r="D4186" s="2" t="s">
        <v>99</v>
      </c>
      <c r="E4186" s="2" t="s">
        <v>31</v>
      </c>
      <c r="F4186" s="11" t="s">
        <v>5279</v>
      </c>
      <c r="G4186" s="197" t="s">
        <v>5280</v>
      </c>
      <c r="H4186" s="2" t="s">
        <v>6137</v>
      </c>
      <c r="I4186" s="12" t="s">
        <v>3917</v>
      </c>
      <c r="J4186" s="41">
        <f>+Tabla1[[#This Row],[FECHA ENTRADA]]</f>
        <v>45977</v>
      </c>
      <c r="K4186" s="22">
        <v>45978</v>
      </c>
      <c r="L4186" s="42">
        <f>_xlfn.DAYS(Tabla1[[#This Row],[FECHA FIN ]],Tabla1[[#This Row],[FECHA INICIO]])</f>
        <v>1</v>
      </c>
      <c r="M4186" s="12"/>
      <c r="N4186" s="28">
        <v>470</v>
      </c>
      <c r="O4186" s="28">
        <f>(Tabla1[[#This Row],[COSTO FIJO ]]/30)*Tabla1[[#This Row],[TOTAL DIAS PROYECTO]]+(Tabla1[[#This Row],[COSTO TEMPORAL]])</f>
        <v>15.666666666666666</v>
      </c>
      <c r="P4186" s="12"/>
      <c r="Q4186" s="12">
        <f>+(Tabla1[[#This Row],[COSTO COCHE]]/30)*Tabla1[[#This Row],[TOTAL DIAS PROYECTO]]</f>
        <v>0</v>
      </c>
      <c r="R4186" s="12">
        <f>+Tabla1[[#This Row],[COSTO TOTAL ALOJAMIENTO]]+Tabla1[[#This Row],[COSTO TOTAL COCHE]]</f>
        <v>15.666666666666666</v>
      </c>
      <c r="S4186" s="2"/>
      <c r="T4186" s="14" t="s">
        <v>35</v>
      </c>
      <c r="U4186" s="14">
        <v>45977</v>
      </c>
      <c r="V4186" s="43"/>
      <c r="W4186" s="71"/>
      <c r="X4186" s="2">
        <v>18</v>
      </c>
      <c r="Y4186" s="11" t="s">
        <v>6138</v>
      </c>
      <c r="Z4186" s="2" t="s">
        <v>36</v>
      </c>
      <c r="AA4186" s="13" t="s">
        <v>10323</v>
      </c>
      <c r="AB4186" s="13" t="s">
        <v>10324</v>
      </c>
    </row>
    <row r="4187" spans="1:28" ht="15" customHeight="1">
      <c r="A4187" s="117" t="s">
        <v>10046</v>
      </c>
      <c r="B4187" s="117" t="s">
        <v>711</v>
      </c>
      <c r="C4187" s="118" t="s">
        <v>6048</v>
      </c>
      <c r="D4187" s="117" t="s">
        <v>30</v>
      </c>
      <c r="E4187" s="117" t="s">
        <v>1443</v>
      </c>
      <c r="F4187" s="11" t="s">
        <v>6139</v>
      </c>
      <c r="G4187" s="128" t="s">
        <v>6140</v>
      </c>
      <c r="H4187" s="117" t="s">
        <v>6141</v>
      </c>
      <c r="I4187" s="119" t="s">
        <v>1392</v>
      </c>
      <c r="J4187" s="120">
        <f>+Tabla1[[#This Row],[FECHA ENTRADA]]</f>
        <v>45970</v>
      </c>
      <c r="K4187" s="121">
        <v>45978</v>
      </c>
      <c r="L4187" s="122">
        <f>_xlfn.DAYS(Tabla1[[#This Row],[FECHA FIN ]],Tabla1[[#This Row],[FECHA INICIO]])</f>
        <v>8</v>
      </c>
      <c r="M4187" s="119">
        <f>821.65/5</f>
        <v>164.32999999999998</v>
      </c>
      <c r="N4187" s="123"/>
      <c r="O4187" s="123">
        <f>(Tabla1[[#This Row],[COSTO FIJO ]]/30)*Tabla1[[#This Row],[TOTAL DIAS PROYECTO]]+(Tabla1[[#This Row],[COSTO TEMPORAL]])</f>
        <v>164.32999999999998</v>
      </c>
      <c r="P4187" s="119"/>
      <c r="Q4187" s="119">
        <f>+(Tabla1[[#This Row],[COSTO COCHE]]/30)*Tabla1[[#This Row],[TOTAL DIAS PROYECTO]]</f>
        <v>0</v>
      </c>
      <c r="R4187" s="119">
        <f>+Tabla1[[#This Row],[COSTO TOTAL ALOJAMIENTO]]+Tabla1[[#This Row],[COSTO TOTAL COCHE]]</f>
        <v>164.32999999999998</v>
      </c>
      <c r="S4187" s="117" t="s">
        <v>84</v>
      </c>
      <c r="T4187" s="124" t="s">
        <v>44</v>
      </c>
      <c r="U4187" s="124">
        <v>45970</v>
      </c>
      <c r="V4187" s="159">
        <v>45981</v>
      </c>
      <c r="W4187" s="126"/>
      <c r="X4187" s="117"/>
      <c r="Y4187" s="118" t="s">
        <v>6142</v>
      </c>
      <c r="Z4187" s="117" t="s">
        <v>36</v>
      </c>
      <c r="AA4187" s="127" t="s">
        <v>10420</v>
      </c>
      <c r="AB4187" s="127">
        <v>3907741</v>
      </c>
    </row>
    <row r="4188" spans="1:28" ht="15" customHeight="1">
      <c r="A4188" s="117" t="s">
        <v>10047</v>
      </c>
      <c r="B4188" s="117" t="s">
        <v>711</v>
      </c>
      <c r="C4188" s="118" t="s">
        <v>6053</v>
      </c>
      <c r="D4188" s="117" t="s">
        <v>30</v>
      </c>
      <c r="E4188" s="117" t="s">
        <v>1443</v>
      </c>
      <c r="F4188" s="11" t="s">
        <v>6139</v>
      </c>
      <c r="G4188" s="128" t="s">
        <v>6140</v>
      </c>
      <c r="H4188" s="117" t="s">
        <v>6141</v>
      </c>
      <c r="I4188" s="119" t="s">
        <v>1392</v>
      </c>
      <c r="J4188" s="120">
        <f>+Tabla1[[#This Row],[FECHA ENTRADA]]</f>
        <v>45970</v>
      </c>
      <c r="K4188" s="121">
        <v>45978</v>
      </c>
      <c r="L4188" s="122">
        <f>_xlfn.DAYS(Tabla1[[#This Row],[FECHA FIN ]],Tabla1[[#This Row],[FECHA INICIO]])</f>
        <v>8</v>
      </c>
      <c r="M4188" s="119">
        <f>821.65/5</f>
        <v>164.32999999999998</v>
      </c>
      <c r="N4188" s="123"/>
      <c r="O4188" s="123">
        <f>(Tabla1[[#This Row],[COSTO FIJO ]]/30)*Tabla1[[#This Row],[TOTAL DIAS PROYECTO]]+(Tabla1[[#This Row],[COSTO TEMPORAL]])</f>
        <v>164.32999999999998</v>
      </c>
      <c r="P4188" s="119"/>
      <c r="Q4188" s="119">
        <f>+(Tabla1[[#This Row],[COSTO COCHE]]/30)*Tabla1[[#This Row],[TOTAL DIAS PROYECTO]]</f>
        <v>0</v>
      </c>
      <c r="R4188" s="119">
        <f>+Tabla1[[#This Row],[COSTO TOTAL ALOJAMIENTO]]+Tabla1[[#This Row],[COSTO TOTAL COCHE]]</f>
        <v>164.32999999999998</v>
      </c>
      <c r="S4188" s="117" t="s">
        <v>84</v>
      </c>
      <c r="T4188" s="124" t="s">
        <v>44</v>
      </c>
      <c r="U4188" s="124">
        <v>45970</v>
      </c>
      <c r="V4188" s="159">
        <v>45981</v>
      </c>
      <c r="W4188" s="126"/>
      <c r="X4188" s="117"/>
      <c r="Y4188" s="118" t="s">
        <v>6142</v>
      </c>
      <c r="Z4188" s="117" t="s">
        <v>36</v>
      </c>
      <c r="AA4188" s="127" t="s">
        <v>10420</v>
      </c>
      <c r="AB4188" s="127">
        <v>3907741</v>
      </c>
    </row>
    <row r="4189" spans="1:28" ht="15" customHeight="1">
      <c r="A4189" s="117" t="s">
        <v>8888</v>
      </c>
      <c r="B4189" s="117" t="s">
        <v>368</v>
      </c>
      <c r="C4189" s="118" t="s">
        <v>1170</v>
      </c>
      <c r="D4189" s="117" t="s">
        <v>30</v>
      </c>
      <c r="E4189" s="117" t="s">
        <v>1443</v>
      </c>
      <c r="F4189" s="11" t="s">
        <v>6139</v>
      </c>
      <c r="G4189" s="128" t="s">
        <v>6140</v>
      </c>
      <c r="H4189" s="117" t="s">
        <v>6143</v>
      </c>
      <c r="I4189" s="119" t="s">
        <v>1392</v>
      </c>
      <c r="J4189" s="120">
        <f>+Tabla1[[#This Row],[FECHA ENTRADA]]</f>
        <v>45970</v>
      </c>
      <c r="K4189" s="121">
        <v>45978</v>
      </c>
      <c r="L4189" s="122">
        <f>_xlfn.DAYS(Tabla1[[#This Row],[FECHA FIN ]],Tabla1[[#This Row],[FECHA INICIO]])</f>
        <v>8</v>
      </c>
      <c r="M4189" s="119">
        <f>821.65/5</f>
        <v>164.32999999999998</v>
      </c>
      <c r="N4189" s="123"/>
      <c r="O4189" s="123">
        <f>(Tabla1[[#This Row],[COSTO FIJO ]]/30)*Tabla1[[#This Row],[TOTAL DIAS PROYECTO]]+(Tabla1[[#This Row],[COSTO TEMPORAL]])</f>
        <v>164.32999999999998</v>
      </c>
      <c r="P4189" s="119"/>
      <c r="Q4189" s="119">
        <f>+(Tabla1[[#This Row],[COSTO COCHE]]/30)*Tabla1[[#This Row],[TOTAL DIAS PROYECTO]]</f>
        <v>0</v>
      </c>
      <c r="R4189" s="119">
        <f>+Tabla1[[#This Row],[COSTO TOTAL ALOJAMIENTO]]+Tabla1[[#This Row],[COSTO TOTAL COCHE]]</f>
        <v>164.32999999999998</v>
      </c>
      <c r="S4189" s="117" t="s">
        <v>84</v>
      </c>
      <c r="T4189" s="124" t="s">
        <v>44</v>
      </c>
      <c r="U4189" s="124">
        <v>45970</v>
      </c>
      <c r="V4189" s="159">
        <v>45981</v>
      </c>
      <c r="W4189" s="126"/>
      <c r="X4189" s="117"/>
      <c r="Y4189" s="118" t="s">
        <v>6142</v>
      </c>
      <c r="Z4189" s="117" t="s">
        <v>36</v>
      </c>
      <c r="AA4189" s="127" t="s">
        <v>10420</v>
      </c>
      <c r="AB4189" s="127">
        <v>3907741</v>
      </c>
    </row>
    <row r="4190" spans="1:28" ht="15" customHeight="1">
      <c r="A4190" s="117" t="s">
        <v>9097</v>
      </c>
      <c r="B4190" s="117" t="s">
        <v>368</v>
      </c>
      <c r="C4190" s="118" t="s">
        <v>2017</v>
      </c>
      <c r="D4190" s="117" t="s">
        <v>30</v>
      </c>
      <c r="E4190" s="117" t="s">
        <v>1443</v>
      </c>
      <c r="F4190" s="11" t="s">
        <v>6139</v>
      </c>
      <c r="G4190" s="128" t="s">
        <v>6140</v>
      </c>
      <c r="H4190" s="117" t="s">
        <v>6144</v>
      </c>
      <c r="I4190" s="119" t="s">
        <v>1392</v>
      </c>
      <c r="J4190" s="120">
        <f>+Tabla1[[#This Row],[FECHA ENTRADA]]</f>
        <v>45970</v>
      </c>
      <c r="K4190" s="121">
        <v>45978</v>
      </c>
      <c r="L4190" s="122">
        <f>_xlfn.DAYS(Tabla1[[#This Row],[FECHA FIN ]],Tabla1[[#This Row],[FECHA INICIO]])</f>
        <v>8</v>
      </c>
      <c r="M4190" s="119">
        <f>821.65/5</f>
        <v>164.32999999999998</v>
      </c>
      <c r="N4190" s="123"/>
      <c r="O4190" s="123">
        <f>(Tabla1[[#This Row],[COSTO FIJO ]]/30)*Tabla1[[#This Row],[TOTAL DIAS PROYECTO]]+(Tabla1[[#This Row],[COSTO TEMPORAL]])</f>
        <v>164.32999999999998</v>
      </c>
      <c r="P4190" s="119"/>
      <c r="Q4190" s="119">
        <f>+(Tabla1[[#This Row],[COSTO COCHE]]/30)*Tabla1[[#This Row],[TOTAL DIAS PROYECTO]]</f>
        <v>0</v>
      </c>
      <c r="R4190" s="119">
        <f>+Tabla1[[#This Row],[COSTO TOTAL ALOJAMIENTO]]+Tabla1[[#This Row],[COSTO TOTAL COCHE]]</f>
        <v>164.32999999999998</v>
      </c>
      <c r="S4190" s="117" t="s">
        <v>84</v>
      </c>
      <c r="T4190" s="124" t="s">
        <v>44</v>
      </c>
      <c r="U4190" s="124">
        <v>45970</v>
      </c>
      <c r="V4190" s="159">
        <v>45981</v>
      </c>
      <c r="W4190" s="126"/>
      <c r="X4190" s="117"/>
      <c r="Y4190" s="118" t="s">
        <v>6142</v>
      </c>
      <c r="Z4190" s="117" t="s">
        <v>36</v>
      </c>
      <c r="AA4190" s="127" t="s">
        <v>10420</v>
      </c>
      <c r="AB4190" s="127">
        <v>3907741</v>
      </c>
    </row>
    <row r="4191" spans="1:28" ht="15" customHeight="1">
      <c r="A4191" s="117" t="s">
        <v>8730</v>
      </c>
      <c r="B4191" s="117" t="s">
        <v>368</v>
      </c>
      <c r="C4191" s="118" t="s">
        <v>472</v>
      </c>
      <c r="D4191" s="117" t="s">
        <v>30</v>
      </c>
      <c r="E4191" s="117" t="s">
        <v>1443</v>
      </c>
      <c r="F4191" s="11" t="s">
        <v>6139</v>
      </c>
      <c r="G4191" s="128" t="s">
        <v>6140</v>
      </c>
      <c r="H4191" s="117" t="s">
        <v>6143</v>
      </c>
      <c r="I4191" s="119" t="s">
        <v>1392</v>
      </c>
      <c r="J4191" s="120">
        <f>+Tabla1[[#This Row],[FECHA ENTRADA]]</f>
        <v>45970</v>
      </c>
      <c r="K4191" s="121">
        <v>45978</v>
      </c>
      <c r="L4191" s="122">
        <f>_xlfn.DAYS(Tabla1[[#This Row],[FECHA FIN ]],Tabla1[[#This Row],[FECHA INICIO]])</f>
        <v>8</v>
      </c>
      <c r="M4191" s="119">
        <f>821.65/5</f>
        <v>164.32999999999998</v>
      </c>
      <c r="N4191" s="123"/>
      <c r="O4191" s="123">
        <f>(Tabla1[[#This Row],[COSTO FIJO ]]/30)*Tabla1[[#This Row],[TOTAL DIAS PROYECTO]]+(Tabla1[[#This Row],[COSTO TEMPORAL]])</f>
        <v>164.32999999999998</v>
      </c>
      <c r="P4191" s="119"/>
      <c r="Q4191" s="119">
        <f>+(Tabla1[[#This Row],[COSTO COCHE]]/30)*Tabla1[[#This Row],[TOTAL DIAS PROYECTO]]</f>
        <v>0</v>
      </c>
      <c r="R4191" s="119">
        <f>+Tabla1[[#This Row],[COSTO TOTAL ALOJAMIENTO]]+Tabla1[[#This Row],[COSTO TOTAL COCHE]]</f>
        <v>164.32999999999998</v>
      </c>
      <c r="S4191" s="117" t="s">
        <v>84</v>
      </c>
      <c r="T4191" s="124" t="s">
        <v>44</v>
      </c>
      <c r="U4191" s="124">
        <v>45970</v>
      </c>
      <c r="V4191" s="125">
        <v>45981</v>
      </c>
      <c r="W4191" s="126"/>
      <c r="X4191" s="117"/>
      <c r="Y4191" s="118" t="s">
        <v>6142</v>
      </c>
      <c r="Z4191" s="117" t="s">
        <v>36</v>
      </c>
      <c r="AA4191" s="127" t="s">
        <v>10420</v>
      </c>
      <c r="AB4191" s="127">
        <v>3907741</v>
      </c>
    </row>
    <row r="4192" spans="1:28" ht="15.75" customHeight="1">
      <c r="A4192" s="2" t="s">
        <v>9339</v>
      </c>
      <c r="B4192" s="2" t="s">
        <v>368</v>
      </c>
      <c r="C4192" s="11" t="s">
        <v>2858</v>
      </c>
      <c r="D4192" s="2" t="s">
        <v>99</v>
      </c>
      <c r="E4192" s="2" t="s">
        <v>502</v>
      </c>
      <c r="F4192" s="11" t="s">
        <v>6145</v>
      </c>
      <c r="G4192" s="21" t="s">
        <v>6146</v>
      </c>
      <c r="H4192" s="2" t="s">
        <v>6147</v>
      </c>
      <c r="I4192" s="12" t="s">
        <v>2862</v>
      </c>
      <c r="J4192" s="22">
        <f>+Tabla1[[#This Row],[FECHA ENTRADA]]</f>
        <v>45908</v>
      </c>
      <c r="K4192" s="22">
        <v>45913</v>
      </c>
      <c r="L4192" s="23">
        <f>_xlfn.DAYS(Tabla1[[#This Row],[FECHA FIN ]],Tabla1[[#This Row],[FECHA INICIO]])</f>
        <v>5</v>
      </c>
      <c r="M4192" s="12"/>
      <c r="N4192" s="12">
        <v>129</v>
      </c>
      <c r="O4192" s="24">
        <f>(Tabla1[[#This Row],[COSTO FIJO ]]/30)*Tabla1[[#This Row],[TOTAL DIAS PROYECTO]]+(Tabla1[[#This Row],[COSTO TEMPORAL]])</f>
        <v>21.5</v>
      </c>
      <c r="P4192" s="12"/>
      <c r="Q4192" s="12">
        <f>+(Tabla1[[#This Row],[COSTO COCHE]]/30)*Tabla1[[#This Row],[TOTAL DIAS PROYECTO]]</f>
        <v>0</v>
      </c>
      <c r="R4192" s="12">
        <f>+Tabla1[[#This Row],[COSTO TOTAL ALOJAMIENTO]]+Tabla1[[#This Row],[COSTO TOTAL COCHE]]</f>
        <v>21.5</v>
      </c>
      <c r="S4192" s="2" t="s">
        <v>403</v>
      </c>
      <c r="T4192" s="14" t="s">
        <v>44</v>
      </c>
      <c r="U4192" s="14">
        <v>45908</v>
      </c>
      <c r="V4192" s="79">
        <v>45913</v>
      </c>
      <c r="W4192" s="71"/>
      <c r="X4192" s="2"/>
      <c r="Y4192" s="11"/>
      <c r="Z4192" s="2" t="s">
        <v>36</v>
      </c>
      <c r="AA4192" s="13" t="s">
        <v>10378</v>
      </c>
      <c r="AB4192" s="13" t="s">
        <v>10379</v>
      </c>
    </row>
    <row r="4193" spans="1:28" ht="15" customHeight="1">
      <c r="A4193" s="2" t="s">
        <v>10002</v>
      </c>
      <c r="B4193" s="2" t="s">
        <v>711</v>
      </c>
      <c r="C4193" s="31" t="s">
        <v>5891</v>
      </c>
      <c r="D4193" s="2" t="s">
        <v>30</v>
      </c>
      <c r="E4193" s="2" t="s">
        <v>608</v>
      </c>
      <c r="F4193" s="11" t="s">
        <v>1106</v>
      </c>
      <c r="G4193" s="46"/>
      <c r="H4193" s="2" t="s">
        <v>6148</v>
      </c>
      <c r="I4193" s="12" t="s">
        <v>2321</v>
      </c>
      <c r="J4193" s="41">
        <f>+Tabla1[[#This Row],[FECHA ENTRADA]]</f>
        <v>45966</v>
      </c>
      <c r="K4193" s="22">
        <v>45978</v>
      </c>
      <c r="L4193" s="42">
        <f>_xlfn.DAYS(Tabla1[[#This Row],[FECHA FIN ]],Tabla1[[#This Row],[FECHA INICIO]])</f>
        <v>12</v>
      </c>
      <c r="M4193" s="12"/>
      <c r="N4193" s="28"/>
      <c r="O4193" s="28">
        <f>(Tabla1[[#This Row],[COSTO FIJO ]]/30)*Tabla1[[#This Row],[TOTAL DIAS PROYECTO]]+(Tabla1[[#This Row],[COSTO TEMPORAL]])</f>
        <v>0</v>
      </c>
      <c r="P4193" s="12"/>
      <c r="Q4193" s="12">
        <f>+(Tabla1[[#This Row],[COSTO COCHE]]/30)*Tabla1[[#This Row],[TOTAL DIAS PROYECTO]]</f>
        <v>0</v>
      </c>
      <c r="R4193" s="12">
        <f>+Tabla1[[#This Row],[COSTO TOTAL ALOJAMIENTO]]+Tabla1[[#This Row],[COSTO TOTAL COCHE]]</f>
        <v>0</v>
      </c>
      <c r="S4193" s="2"/>
      <c r="T4193" s="2" t="s">
        <v>8</v>
      </c>
      <c r="U4193" s="14">
        <v>45966</v>
      </c>
      <c r="V4193" s="43"/>
      <c r="W4193" s="71"/>
      <c r="X4193" s="2"/>
      <c r="Y4193" s="11" t="s">
        <v>6149</v>
      </c>
      <c r="Z4193" s="2" t="s">
        <v>36</v>
      </c>
      <c r="AA4193" s="13" t="s">
        <v>10383</v>
      </c>
      <c r="AB4193" s="13" t="s">
        <v>10384</v>
      </c>
    </row>
    <row r="4194" spans="1:28" ht="15" customHeight="1">
      <c r="A4194" s="2" t="s">
        <v>9065</v>
      </c>
      <c r="B4194" s="2" t="s">
        <v>711</v>
      </c>
      <c r="C4194" s="31" t="s">
        <v>1850</v>
      </c>
      <c r="D4194" s="2" t="s">
        <v>30</v>
      </c>
      <c r="E4194" s="2" t="s">
        <v>608</v>
      </c>
      <c r="F4194" s="11" t="s">
        <v>1106</v>
      </c>
      <c r="G4194" s="46"/>
      <c r="H4194" s="2" t="s">
        <v>6148</v>
      </c>
      <c r="I4194" s="12" t="s">
        <v>2321</v>
      </c>
      <c r="J4194" s="41">
        <f>+Tabla1[[#This Row],[FECHA ENTRADA]]</f>
        <v>45966</v>
      </c>
      <c r="K4194" s="22">
        <v>45978</v>
      </c>
      <c r="L4194" s="42">
        <f>_xlfn.DAYS(Tabla1[[#This Row],[FECHA FIN ]],Tabla1[[#This Row],[FECHA INICIO]])</f>
        <v>12</v>
      </c>
      <c r="M4194" s="12"/>
      <c r="N4194" s="28"/>
      <c r="O4194" s="28">
        <f>(Tabla1[[#This Row],[COSTO FIJO ]]/30)*Tabla1[[#This Row],[TOTAL DIAS PROYECTO]]+(Tabla1[[#This Row],[COSTO TEMPORAL]])</f>
        <v>0</v>
      </c>
      <c r="P4194" s="12"/>
      <c r="Q4194" s="12">
        <f>+(Tabla1[[#This Row],[COSTO COCHE]]/30)*Tabla1[[#This Row],[TOTAL DIAS PROYECTO]]</f>
        <v>0</v>
      </c>
      <c r="R4194" s="12">
        <f>+Tabla1[[#This Row],[COSTO TOTAL ALOJAMIENTO]]+Tabla1[[#This Row],[COSTO TOTAL COCHE]]</f>
        <v>0</v>
      </c>
      <c r="S4194" s="2"/>
      <c r="T4194" s="2" t="s">
        <v>8</v>
      </c>
      <c r="U4194" s="14">
        <v>45966</v>
      </c>
      <c r="V4194" s="43"/>
      <c r="W4194" s="71"/>
      <c r="X4194" s="2"/>
      <c r="Y4194" s="11" t="s">
        <v>6149</v>
      </c>
      <c r="Z4194" s="2" t="s">
        <v>36</v>
      </c>
      <c r="AA4194" s="13" t="s">
        <v>10383</v>
      </c>
      <c r="AB4194" s="13" t="s">
        <v>10384</v>
      </c>
    </row>
    <row r="4195" spans="1:28" ht="15" customHeight="1">
      <c r="A4195" s="2" t="s">
        <v>9954</v>
      </c>
      <c r="B4195" s="2" t="s">
        <v>978</v>
      </c>
      <c r="C4195" s="97" t="s">
        <v>5680</v>
      </c>
      <c r="D4195" s="2" t="s">
        <v>30</v>
      </c>
      <c r="E4195" s="2" t="s">
        <v>734</v>
      </c>
      <c r="F4195" s="11" t="s">
        <v>735</v>
      </c>
      <c r="G4195" s="70" t="s">
        <v>736</v>
      </c>
      <c r="H4195" s="2" t="s">
        <v>5971</v>
      </c>
      <c r="I4195" s="12" t="s">
        <v>5263</v>
      </c>
      <c r="J4195" s="22">
        <f>+Tabla1[[#This Row],[FECHA ENTRADA]]</f>
        <v>45946</v>
      </c>
      <c r="K4195" s="41">
        <v>45979</v>
      </c>
      <c r="L4195" s="23">
        <f>_xlfn.DAYS(Tabla1[[#This Row],[FECHA FIN ]],Tabla1[[#This Row],[FECHA INICIO]])</f>
        <v>33</v>
      </c>
      <c r="M4195" s="12"/>
      <c r="N4195" s="12">
        <v>257.14285714285717</v>
      </c>
      <c r="O4195" s="24">
        <f>(Tabla1[[#This Row],[COSTO FIJO ]]/30)*Tabla1[[#This Row],[TOTAL DIAS PROYECTO]]+(Tabla1[[#This Row],[COSTO TEMPORAL]])</f>
        <v>282.85714285714289</v>
      </c>
      <c r="P4195" s="12"/>
      <c r="Q4195" s="12">
        <f>+(Tabla1[[#This Row],[COSTO COCHE]]/30)*Tabla1[[#This Row],[TOTAL DIAS PROYECTO]]</f>
        <v>0</v>
      </c>
      <c r="R4195" s="12">
        <f>+Tabla1[[#This Row],[COSTO TOTAL ALOJAMIENTO]]+Tabla1[[#This Row],[COSTO TOTAL COCHE]]</f>
        <v>282.85714285714289</v>
      </c>
      <c r="S4195" s="2"/>
      <c r="T4195" s="14" t="s">
        <v>35</v>
      </c>
      <c r="U4195" s="14">
        <v>45946</v>
      </c>
      <c r="V4195" s="79"/>
      <c r="W4195" s="71"/>
      <c r="X4195" s="2">
        <v>5</v>
      </c>
      <c r="Y4195" s="11" t="s">
        <v>6150</v>
      </c>
      <c r="Z4195" s="2" t="s">
        <v>36</v>
      </c>
      <c r="AA4195" s="13" t="s">
        <v>10396</v>
      </c>
      <c r="AB4195" s="13" t="s">
        <v>10397</v>
      </c>
    </row>
    <row r="4196" spans="1:28" ht="15" customHeight="1">
      <c r="A4196" s="2" t="s">
        <v>9750</v>
      </c>
      <c r="B4196" s="2" t="s">
        <v>978</v>
      </c>
      <c r="C4196" s="31" t="s">
        <v>4554</v>
      </c>
      <c r="D4196" s="2" t="s">
        <v>30</v>
      </c>
      <c r="E4196" s="2" t="s">
        <v>734</v>
      </c>
      <c r="F4196" s="11" t="s">
        <v>735</v>
      </c>
      <c r="G4196" s="70" t="s">
        <v>736</v>
      </c>
      <c r="H4196" s="2" t="s">
        <v>5971</v>
      </c>
      <c r="I4196" s="12" t="s">
        <v>5263</v>
      </c>
      <c r="J4196" s="22">
        <f>+Tabla1[[#This Row],[FECHA ENTRADA]]</f>
        <v>45946</v>
      </c>
      <c r="K4196" s="41">
        <v>45979</v>
      </c>
      <c r="L4196" s="23">
        <f>_xlfn.DAYS(Tabla1[[#This Row],[FECHA FIN ]],Tabla1[[#This Row],[FECHA INICIO]])</f>
        <v>33</v>
      </c>
      <c r="M4196" s="12"/>
      <c r="N4196" s="12">
        <v>257.14285714285717</v>
      </c>
      <c r="O4196" s="24">
        <f>(Tabla1[[#This Row],[COSTO FIJO ]]/30)*Tabla1[[#This Row],[TOTAL DIAS PROYECTO]]+(Tabla1[[#This Row],[COSTO TEMPORAL]])</f>
        <v>282.85714285714289</v>
      </c>
      <c r="P4196" s="12"/>
      <c r="Q4196" s="12">
        <f>+(Tabla1[[#This Row],[COSTO COCHE]]/30)*Tabla1[[#This Row],[TOTAL DIAS PROYECTO]]</f>
        <v>0</v>
      </c>
      <c r="R4196" s="12">
        <f>+Tabla1[[#This Row],[COSTO TOTAL ALOJAMIENTO]]+Tabla1[[#This Row],[COSTO TOTAL COCHE]]</f>
        <v>282.85714285714289</v>
      </c>
      <c r="S4196" s="2"/>
      <c r="T4196" s="14" t="s">
        <v>35</v>
      </c>
      <c r="U4196" s="14">
        <v>45946</v>
      </c>
      <c r="V4196" s="79"/>
      <c r="W4196" s="71"/>
      <c r="X4196" s="2">
        <v>5</v>
      </c>
      <c r="Y4196" s="11" t="s">
        <v>6151</v>
      </c>
      <c r="Z4196" s="2" t="s">
        <v>36</v>
      </c>
      <c r="AA4196" s="13" t="s">
        <v>10396</v>
      </c>
      <c r="AB4196" s="13" t="s">
        <v>10397</v>
      </c>
    </row>
    <row r="4197" spans="1:28" ht="15.75" customHeight="1">
      <c r="A4197" s="2" t="s">
        <v>10009</v>
      </c>
      <c r="B4197" s="2" t="s">
        <v>711</v>
      </c>
      <c r="C4197" s="11" t="s">
        <v>5938</v>
      </c>
      <c r="D4197" s="2" t="s">
        <v>99</v>
      </c>
      <c r="E4197" s="2" t="s">
        <v>31</v>
      </c>
      <c r="F4197" s="11" t="s">
        <v>451</v>
      </c>
      <c r="G4197" s="289" t="s">
        <v>452</v>
      </c>
      <c r="H4197" s="2" t="s">
        <v>6152</v>
      </c>
      <c r="I4197" s="12" t="s">
        <v>2391</v>
      </c>
      <c r="J4197" s="22">
        <f>+Tabla1[[#This Row],[FECHA ENTRADA]]</f>
        <v>45978</v>
      </c>
      <c r="K4197" s="22">
        <v>45980</v>
      </c>
      <c r="L4197" s="23">
        <f>_xlfn.DAYS(Tabla1[[#This Row],[FECHA FIN ]],Tabla1[[#This Row],[FECHA INICIO]])</f>
        <v>2</v>
      </c>
      <c r="M4197" s="12"/>
      <c r="N4197" s="12">
        <v>283.33333333333331</v>
      </c>
      <c r="O4197" s="24">
        <f>(Tabla1[[#This Row],[COSTO FIJO ]]/30)*Tabla1[[#This Row],[TOTAL DIAS PROYECTO]]+(Tabla1[[#This Row],[COSTO TEMPORAL]])</f>
        <v>18.888888888888889</v>
      </c>
      <c r="P4197" s="12"/>
      <c r="Q4197" s="12">
        <f>+(Tabla1[[#This Row],[COSTO COCHE]]/30)*Tabla1[[#This Row],[TOTAL DIAS PROYECTO]]</f>
        <v>0</v>
      </c>
      <c r="R4197" s="12">
        <f>+Tabla1[[#This Row],[COSTO TOTAL ALOJAMIENTO]]+Tabla1[[#This Row],[COSTO TOTAL COCHE]]</f>
        <v>18.888888888888889</v>
      </c>
      <c r="S4197" s="2"/>
      <c r="T4197" s="14" t="s">
        <v>35</v>
      </c>
      <c r="U4197" s="14">
        <v>45978</v>
      </c>
      <c r="V4197" s="79"/>
      <c r="W4197" s="71"/>
      <c r="X4197" s="2">
        <v>1</v>
      </c>
      <c r="Y4197" s="11" t="s">
        <v>1361</v>
      </c>
      <c r="Z4197" s="2" t="s">
        <v>36</v>
      </c>
      <c r="AA4197" s="13" t="s">
        <v>10323</v>
      </c>
      <c r="AB4197" s="13" t="s">
        <v>10324</v>
      </c>
    </row>
    <row r="4198" spans="1:28" ht="15.75" customHeight="1">
      <c r="A4198" s="2" t="s">
        <v>9905</v>
      </c>
      <c r="B4198" s="2" t="s">
        <v>711</v>
      </c>
      <c r="C4198" s="104" t="s">
        <v>5322</v>
      </c>
      <c r="D4198" s="2" t="s">
        <v>99</v>
      </c>
      <c r="E4198" s="2" t="s">
        <v>31</v>
      </c>
      <c r="F4198" s="11" t="s">
        <v>451</v>
      </c>
      <c r="G4198" s="289" t="s">
        <v>452</v>
      </c>
      <c r="H4198" s="2" t="s">
        <v>6152</v>
      </c>
      <c r="I4198" s="12" t="s">
        <v>2391</v>
      </c>
      <c r="J4198" s="22">
        <f>+Tabla1[[#This Row],[FECHA ENTRADA]]</f>
        <v>45978</v>
      </c>
      <c r="K4198" s="22">
        <v>45980</v>
      </c>
      <c r="L4198" s="23">
        <f>_xlfn.DAYS(Tabla1[[#This Row],[FECHA FIN ]],Tabla1[[#This Row],[FECHA INICIO]])</f>
        <v>2</v>
      </c>
      <c r="M4198" s="12"/>
      <c r="N4198" s="12">
        <v>283.33333333333331</v>
      </c>
      <c r="O4198" s="24">
        <f>(Tabla1[[#This Row],[COSTO FIJO ]]/30)*Tabla1[[#This Row],[TOTAL DIAS PROYECTO]]+(Tabla1[[#This Row],[COSTO TEMPORAL]])</f>
        <v>18.888888888888889</v>
      </c>
      <c r="P4198" s="12"/>
      <c r="Q4198" s="12">
        <f>+(Tabla1[[#This Row],[COSTO COCHE]]/30)*Tabla1[[#This Row],[TOTAL DIAS PROYECTO]]</f>
        <v>0</v>
      </c>
      <c r="R4198" s="12">
        <f>+Tabla1[[#This Row],[COSTO TOTAL ALOJAMIENTO]]+Tabla1[[#This Row],[COSTO TOTAL COCHE]]</f>
        <v>18.888888888888889</v>
      </c>
      <c r="S4198" s="2"/>
      <c r="T4198" s="14" t="s">
        <v>35</v>
      </c>
      <c r="U4198" s="14">
        <v>45978</v>
      </c>
      <c r="V4198" s="79"/>
      <c r="W4198" s="71"/>
      <c r="X4198" s="2">
        <v>1</v>
      </c>
      <c r="Y4198" s="11" t="s">
        <v>1361</v>
      </c>
      <c r="Z4198" s="2" t="s">
        <v>36</v>
      </c>
      <c r="AA4198" s="13" t="s">
        <v>10323</v>
      </c>
      <c r="AB4198" s="13" t="s">
        <v>10324</v>
      </c>
    </row>
    <row r="4199" spans="1:28" ht="15.75" customHeight="1">
      <c r="A4199" s="2" t="s">
        <v>10000</v>
      </c>
      <c r="B4199" s="2" t="s">
        <v>606</v>
      </c>
      <c r="C4199" s="31" t="s">
        <v>5884</v>
      </c>
      <c r="D4199" s="2" t="s">
        <v>99</v>
      </c>
      <c r="E4199" s="2" t="s">
        <v>720</v>
      </c>
      <c r="F4199" s="11" t="s">
        <v>1106</v>
      </c>
      <c r="G4199" s="21"/>
      <c r="H4199" s="2" t="s">
        <v>6056</v>
      </c>
      <c r="I4199" s="158" t="s">
        <v>279</v>
      </c>
      <c r="J4199" s="22">
        <f>+Tabla1[[#This Row],[FECHA ENTRADA]]</f>
        <v>45970</v>
      </c>
      <c r="K4199" s="8">
        <v>45980</v>
      </c>
      <c r="L4199" s="23">
        <f>_xlfn.DAYS(Tabla1[[#This Row],[FECHA FIN ]],Tabla1[[#This Row],[FECHA INICIO]])</f>
        <v>10</v>
      </c>
      <c r="M4199" s="12"/>
      <c r="N4199" s="24">
        <v>0</v>
      </c>
      <c r="O4199" s="24">
        <f>(Tabla1[[#This Row],[COSTO FIJO ]]/30)*Tabla1[[#This Row],[TOTAL DIAS PROYECTO]]+(Tabla1[[#This Row],[COSTO TEMPORAL]])</f>
        <v>0</v>
      </c>
      <c r="P4199" s="12"/>
      <c r="Q4199" s="12">
        <f>+(Tabla1[[#This Row],[COSTO COCHE]]/30)*Tabla1[[#This Row],[TOTAL DIAS PROYECTO]]</f>
        <v>0</v>
      </c>
      <c r="R4199" s="12">
        <f>+Tabla1[[#This Row],[COSTO TOTAL ALOJAMIENTO]]+Tabla1[[#This Row],[COSTO TOTAL COCHE]]</f>
        <v>0</v>
      </c>
      <c r="S4199" s="2"/>
      <c r="T4199" s="2" t="s">
        <v>8</v>
      </c>
      <c r="U4199" s="14">
        <v>45970</v>
      </c>
      <c r="V4199" s="25"/>
      <c r="W4199" s="71"/>
      <c r="X4199" s="2"/>
      <c r="Y4199" s="11" t="s">
        <v>6153</v>
      </c>
      <c r="Z4199" s="2" t="s">
        <v>36</v>
      </c>
      <c r="AA4199" s="13" t="s">
        <v>10394</v>
      </c>
      <c r="AB4199" s="13" t="s">
        <v>10395</v>
      </c>
    </row>
    <row r="4200" spans="1:28" ht="15.75" customHeight="1">
      <c r="A4200" s="2" t="s">
        <v>9023</v>
      </c>
      <c r="B4200" s="2" t="s">
        <v>606</v>
      </c>
      <c r="C4200" s="31" t="s">
        <v>1718</v>
      </c>
      <c r="D4200" s="2" t="s">
        <v>99</v>
      </c>
      <c r="E4200" s="2" t="s">
        <v>720</v>
      </c>
      <c r="F4200" s="11" t="s">
        <v>1106</v>
      </c>
      <c r="G4200" s="21"/>
      <c r="H4200" s="2" t="s">
        <v>6056</v>
      </c>
      <c r="I4200" s="12" t="s">
        <v>279</v>
      </c>
      <c r="J4200" s="22">
        <f>+Tabla1[[#This Row],[FECHA ENTRADA]]</f>
        <v>45970</v>
      </c>
      <c r="K4200" s="8">
        <v>45980</v>
      </c>
      <c r="L4200" s="23">
        <f>_xlfn.DAYS(Tabla1[[#This Row],[FECHA FIN ]],Tabla1[[#This Row],[FECHA INICIO]])</f>
        <v>10</v>
      </c>
      <c r="M4200" s="12"/>
      <c r="N4200" s="24">
        <v>0</v>
      </c>
      <c r="O4200" s="24">
        <f>(Tabla1[[#This Row],[COSTO FIJO ]]/30)*Tabla1[[#This Row],[TOTAL DIAS PROYECTO]]+(Tabla1[[#This Row],[COSTO TEMPORAL]])</f>
        <v>0</v>
      </c>
      <c r="P4200" s="12"/>
      <c r="Q4200" s="12">
        <f>+(Tabla1[[#This Row],[COSTO COCHE]]/30)*Tabla1[[#This Row],[TOTAL DIAS PROYECTO]]</f>
        <v>0</v>
      </c>
      <c r="R4200" s="12">
        <f>+Tabla1[[#This Row],[COSTO TOTAL ALOJAMIENTO]]+Tabla1[[#This Row],[COSTO TOTAL COCHE]]</f>
        <v>0</v>
      </c>
      <c r="S4200" s="2"/>
      <c r="T4200" s="2" t="s">
        <v>8</v>
      </c>
      <c r="U4200" s="14">
        <v>45970</v>
      </c>
      <c r="V4200" s="25"/>
      <c r="W4200" s="71"/>
      <c r="X4200" s="2"/>
      <c r="Y4200" s="11" t="s">
        <v>6153</v>
      </c>
      <c r="Z4200" s="2" t="s">
        <v>36</v>
      </c>
      <c r="AA4200" s="13" t="s">
        <v>10394</v>
      </c>
      <c r="AB4200" s="13" t="s">
        <v>10395</v>
      </c>
    </row>
    <row r="4201" spans="1:28" ht="15.75" customHeight="1">
      <c r="A4201" s="2" t="s">
        <v>10048</v>
      </c>
      <c r="B4201" s="2" t="s">
        <v>606</v>
      </c>
      <c r="C4201" s="31" t="s">
        <v>6058</v>
      </c>
      <c r="D4201" s="2" t="s">
        <v>99</v>
      </c>
      <c r="E4201" s="2" t="s">
        <v>720</v>
      </c>
      <c r="F4201" s="11" t="s">
        <v>1106</v>
      </c>
      <c r="G4201" s="21"/>
      <c r="H4201" s="2" t="s">
        <v>6056</v>
      </c>
      <c r="I4201" s="12" t="s">
        <v>279</v>
      </c>
      <c r="J4201" s="22">
        <f>+Tabla1[[#This Row],[FECHA ENTRADA]]</f>
        <v>45970</v>
      </c>
      <c r="K4201" s="8">
        <v>45980</v>
      </c>
      <c r="L4201" s="23">
        <f>_xlfn.DAYS(Tabla1[[#This Row],[FECHA FIN ]],Tabla1[[#This Row],[FECHA INICIO]])</f>
        <v>10</v>
      </c>
      <c r="M4201" s="12"/>
      <c r="N4201" s="24">
        <v>0</v>
      </c>
      <c r="O4201" s="24">
        <f>(Tabla1[[#This Row],[COSTO FIJO ]]/30)*Tabla1[[#This Row],[TOTAL DIAS PROYECTO]]+(Tabla1[[#This Row],[COSTO TEMPORAL]])</f>
        <v>0</v>
      </c>
      <c r="P4201" s="12"/>
      <c r="Q4201" s="12">
        <f>+(Tabla1[[#This Row],[COSTO COCHE]]/30)*Tabla1[[#This Row],[TOTAL DIAS PROYECTO]]</f>
        <v>0</v>
      </c>
      <c r="R4201" s="12">
        <f>+Tabla1[[#This Row],[COSTO TOTAL ALOJAMIENTO]]+Tabla1[[#This Row],[COSTO TOTAL COCHE]]</f>
        <v>0</v>
      </c>
      <c r="S4201" s="2"/>
      <c r="T4201" s="2" t="s">
        <v>8</v>
      </c>
      <c r="U4201" s="14">
        <v>45970</v>
      </c>
      <c r="V4201" s="25"/>
      <c r="W4201" s="71"/>
      <c r="X4201" s="2"/>
      <c r="Y4201" s="11" t="s">
        <v>6153</v>
      </c>
      <c r="Z4201" s="2" t="s">
        <v>36</v>
      </c>
      <c r="AA4201" s="13" t="s">
        <v>10394</v>
      </c>
      <c r="AB4201" s="13" t="s">
        <v>10395</v>
      </c>
    </row>
    <row r="4202" spans="1:28">
      <c r="A4202" s="2" t="s">
        <v>10058</v>
      </c>
      <c r="B4202" s="2" t="s">
        <v>978</v>
      </c>
      <c r="C4202" s="31" t="s">
        <v>6154</v>
      </c>
      <c r="D4202" s="2" t="s">
        <v>30</v>
      </c>
      <c r="E4202" s="2" t="s">
        <v>253</v>
      </c>
      <c r="F4202" s="11" t="s">
        <v>6155</v>
      </c>
      <c r="G4202" s="21" t="s">
        <v>981</v>
      </c>
      <c r="H4202" s="2" t="s">
        <v>5301</v>
      </c>
      <c r="I4202" s="12" t="s">
        <v>1155</v>
      </c>
      <c r="J4202" s="22">
        <f>+Tabla1[[#This Row],[FECHA ENTRADA]]</f>
        <v>45923</v>
      </c>
      <c r="K4202" s="8">
        <v>45981</v>
      </c>
      <c r="L4202" s="23">
        <f>_xlfn.DAYS(Tabla1[[#This Row],[FECHA FIN ]],Tabla1[[#This Row],[FECHA INICIO]])</f>
        <v>58</v>
      </c>
      <c r="M4202" s="12"/>
      <c r="N4202" s="20">
        <v>266.66666666666669</v>
      </c>
      <c r="O4202" s="24">
        <f>(Tabla1[[#This Row],[COSTO FIJO ]]/30)*Tabla1[[#This Row],[TOTAL DIAS PROYECTO]]+(Tabla1[[#This Row],[COSTO TEMPORAL]])</f>
        <v>515.55555555555554</v>
      </c>
      <c r="P4202" s="12"/>
      <c r="Q4202" s="12">
        <f>+(Tabla1[[#This Row],[COSTO COCHE]]/30)*Tabla1[[#This Row],[TOTAL DIAS PROYECTO]]</f>
        <v>0</v>
      </c>
      <c r="R4202" s="12">
        <f>+Tabla1[[#This Row],[COSTO TOTAL ALOJAMIENTO]]+Tabla1[[#This Row],[COSTO TOTAL COCHE]]</f>
        <v>515.55555555555554</v>
      </c>
      <c r="S4202" s="2"/>
      <c r="T4202" s="14" t="s">
        <v>35</v>
      </c>
      <c r="U4202" s="14">
        <v>45923</v>
      </c>
      <c r="V4202" s="79"/>
      <c r="W4202" s="71"/>
      <c r="X4202" s="2">
        <v>20</v>
      </c>
      <c r="Y4202" s="11" t="s">
        <v>5771</v>
      </c>
      <c r="Z4202" s="2" t="s">
        <v>36</v>
      </c>
      <c r="AA4202" s="13" t="s">
        <v>10357</v>
      </c>
      <c r="AB4202" s="13" t="s">
        <v>10358</v>
      </c>
    </row>
    <row r="4203" spans="1:28" ht="15" customHeight="1">
      <c r="A4203" s="2" t="s">
        <v>9219</v>
      </c>
      <c r="B4203" s="2" t="s">
        <v>978</v>
      </c>
      <c r="C4203" s="31" t="s">
        <v>2487</v>
      </c>
      <c r="D4203" s="2" t="s">
        <v>30</v>
      </c>
      <c r="E4203" s="2" t="s">
        <v>253</v>
      </c>
      <c r="F4203" s="11" t="s">
        <v>6155</v>
      </c>
      <c r="G4203" s="21" t="s">
        <v>981</v>
      </c>
      <c r="H4203" s="2" t="s">
        <v>5301</v>
      </c>
      <c r="I4203" s="12" t="s">
        <v>1155</v>
      </c>
      <c r="J4203" s="22">
        <f>+Tabla1[[#This Row],[FECHA ENTRADA]]</f>
        <v>45923</v>
      </c>
      <c r="K4203" s="8">
        <v>45981</v>
      </c>
      <c r="L4203" s="23">
        <f>_xlfn.DAYS(Tabla1[[#This Row],[FECHA FIN ]],Tabla1[[#This Row],[FECHA INICIO]])</f>
        <v>58</v>
      </c>
      <c r="M4203" s="12"/>
      <c r="N4203" s="20">
        <v>266.66666666666669</v>
      </c>
      <c r="O4203" s="24">
        <f>(Tabla1[[#This Row],[COSTO FIJO ]]/30)*Tabla1[[#This Row],[TOTAL DIAS PROYECTO]]+(Tabla1[[#This Row],[COSTO TEMPORAL]])</f>
        <v>515.55555555555554</v>
      </c>
      <c r="P4203" s="12"/>
      <c r="Q4203" s="12">
        <f>+(Tabla1[[#This Row],[COSTO COCHE]]/30)*Tabla1[[#This Row],[TOTAL DIAS PROYECTO]]</f>
        <v>0</v>
      </c>
      <c r="R4203" s="12">
        <f>+Tabla1[[#This Row],[COSTO TOTAL ALOJAMIENTO]]+Tabla1[[#This Row],[COSTO TOTAL COCHE]]</f>
        <v>515.55555555555554</v>
      </c>
      <c r="S4203" s="2"/>
      <c r="T4203" s="14" t="s">
        <v>35</v>
      </c>
      <c r="U4203" s="14">
        <v>45923</v>
      </c>
      <c r="V4203" s="79"/>
      <c r="W4203" s="71"/>
      <c r="X4203" s="2">
        <v>20</v>
      </c>
      <c r="Y4203" s="11" t="s">
        <v>5771</v>
      </c>
      <c r="Z4203" s="2" t="s">
        <v>36</v>
      </c>
      <c r="AA4203" s="13" t="s">
        <v>10357</v>
      </c>
      <c r="AB4203" s="13" t="s">
        <v>10358</v>
      </c>
    </row>
    <row r="4204" spans="1:28" ht="15" customHeight="1">
      <c r="A4204" s="2" t="s">
        <v>9172</v>
      </c>
      <c r="B4204" s="2" t="s">
        <v>978</v>
      </c>
      <c r="C4204" s="97" t="s">
        <v>2312</v>
      </c>
      <c r="D4204" s="2" t="s">
        <v>30</v>
      </c>
      <c r="E4204" s="2" t="s">
        <v>253</v>
      </c>
      <c r="F4204" s="11" t="s">
        <v>6155</v>
      </c>
      <c r="G4204" s="21" t="s">
        <v>981</v>
      </c>
      <c r="H4204" s="2" t="s">
        <v>5301</v>
      </c>
      <c r="I4204" s="12" t="s">
        <v>1155</v>
      </c>
      <c r="J4204" s="22">
        <f>+Tabla1[[#This Row],[FECHA ENTRADA]]</f>
        <v>45923</v>
      </c>
      <c r="K4204" s="8">
        <v>45981</v>
      </c>
      <c r="L4204" s="23">
        <f>_xlfn.DAYS(Tabla1[[#This Row],[FECHA FIN ]],Tabla1[[#This Row],[FECHA INICIO]])</f>
        <v>58</v>
      </c>
      <c r="M4204" s="12"/>
      <c r="N4204" s="20">
        <v>266.66666666666669</v>
      </c>
      <c r="O4204" s="24">
        <f>(Tabla1[[#This Row],[COSTO FIJO ]]/30)*Tabla1[[#This Row],[TOTAL DIAS PROYECTO]]+(Tabla1[[#This Row],[COSTO TEMPORAL]])</f>
        <v>515.55555555555554</v>
      </c>
      <c r="P4204" s="12"/>
      <c r="Q4204" s="12">
        <f>+(Tabla1[[#This Row],[COSTO COCHE]]/30)*Tabla1[[#This Row],[TOTAL DIAS PROYECTO]]</f>
        <v>0</v>
      </c>
      <c r="R4204" s="12">
        <f>+Tabla1[[#This Row],[COSTO TOTAL ALOJAMIENTO]]+Tabla1[[#This Row],[COSTO TOTAL COCHE]]</f>
        <v>515.55555555555554</v>
      </c>
      <c r="S4204" s="2"/>
      <c r="T4204" s="14" t="s">
        <v>35</v>
      </c>
      <c r="U4204" s="14">
        <v>45923</v>
      </c>
      <c r="V4204" s="79"/>
      <c r="W4204" s="71"/>
      <c r="X4204" s="2">
        <v>20</v>
      </c>
      <c r="Y4204" s="11" t="s">
        <v>5771</v>
      </c>
      <c r="Z4204" s="2" t="s">
        <v>36</v>
      </c>
      <c r="AA4204" s="13" t="s">
        <v>10357</v>
      </c>
      <c r="AB4204" s="13" t="s">
        <v>10358</v>
      </c>
    </row>
    <row r="4205" spans="1:28" ht="15" customHeight="1">
      <c r="A4205" s="2" t="s">
        <v>9714</v>
      </c>
      <c r="B4205" s="2" t="s">
        <v>978</v>
      </c>
      <c r="C4205" s="31" t="s">
        <v>4369</v>
      </c>
      <c r="D4205" s="2" t="s">
        <v>30</v>
      </c>
      <c r="E4205" s="2" t="s">
        <v>253</v>
      </c>
      <c r="F4205" s="11" t="s">
        <v>6155</v>
      </c>
      <c r="G4205" s="21" t="s">
        <v>981</v>
      </c>
      <c r="H4205" s="2" t="s">
        <v>5301</v>
      </c>
      <c r="I4205" s="12" t="s">
        <v>1155</v>
      </c>
      <c r="J4205" s="22">
        <f>+Tabla1[[#This Row],[FECHA ENTRADA]]</f>
        <v>45923</v>
      </c>
      <c r="K4205" s="8">
        <v>45981</v>
      </c>
      <c r="L4205" s="23">
        <f>_xlfn.DAYS(Tabla1[[#This Row],[FECHA FIN ]],Tabla1[[#This Row],[FECHA INICIO]])</f>
        <v>58</v>
      </c>
      <c r="M4205" s="12"/>
      <c r="N4205" s="20">
        <v>266.66666666666669</v>
      </c>
      <c r="O4205" s="24">
        <f>(Tabla1[[#This Row],[COSTO FIJO ]]/30)*Tabla1[[#This Row],[TOTAL DIAS PROYECTO]]+(Tabla1[[#This Row],[COSTO TEMPORAL]])</f>
        <v>515.55555555555554</v>
      </c>
      <c r="P4205" s="12"/>
      <c r="Q4205" s="12">
        <f>+(Tabla1[[#This Row],[COSTO COCHE]]/30)*Tabla1[[#This Row],[TOTAL DIAS PROYECTO]]</f>
        <v>0</v>
      </c>
      <c r="R4205" s="12">
        <f>+Tabla1[[#This Row],[COSTO TOTAL ALOJAMIENTO]]+Tabla1[[#This Row],[COSTO TOTAL COCHE]]</f>
        <v>515.55555555555554</v>
      </c>
      <c r="S4205" s="2"/>
      <c r="T4205" s="14" t="s">
        <v>35</v>
      </c>
      <c r="U4205" s="14">
        <v>45923</v>
      </c>
      <c r="V4205" s="79"/>
      <c r="W4205" s="71"/>
      <c r="X4205" s="2">
        <v>20</v>
      </c>
      <c r="Y4205" s="11" t="s">
        <v>5771</v>
      </c>
      <c r="Z4205" s="2" t="s">
        <v>36</v>
      </c>
      <c r="AA4205" s="13" t="s">
        <v>10357</v>
      </c>
      <c r="AB4205" s="13" t="s">
        <v>10358</v>
      </c>
    </row>
    <row r="4206" spans="1:28" ht="15" customHeight="1">
      <c r="A4206" s="2" t="s">
        <v>10059</v>
      </c>
      <c r="B4206" s="2" t="s">
        <v>978</v>
      </c>
      <c r="C4206" s="31" t="s">
        <v>6156</v>
      </c>
      <c r="D4206" s="2" t="s">
        <v>30</v>
      </c>
      <c r="E4206" s="2" t="s">
        <v>253</v>
      </c>
      <c r="F4206" s="11" t="s">
        <v>6155</v>
      </c>
      <c r="G4206" s="21" t="s">
        <v>981</v>
      </c>
      <c r="H4206" s="2" t="s">
        <v>5301</v>
      </c>
      <c r="I4206" s="12" t="s">
        <v>1155</v>
      </c>
      <c r="J4206" s="41">
        <f>+Tabla1[[#This Row],[FECHA ENTRADA]]</f>
        <v>45925</v>
      </c>
      <c r="K4206" s="8">
        <v>45981</v>
      </c>
      <c r="L4206" s="42">
        <f>_xlfn.DAYS(Tabla1[[#This Row],[FECHA FIN ]],Tabla1[[#This Row],[FECHA INICIO]])</f>
        <v>56</v>
      </c>
      <c r="M4206" s="12"/>
      <c r="N4206" s="20">
        <v>266.66666666666669</v>
      </c>
      <c r="O4206" s="28">
        <f>(Tabla1[[#This Row],[COSTO FIJO ]]/30)*Tabla1[[#This Row],[TOTAL DIAS PROYECTO]]+(Tabla1[[#This Row],[COSTO TEMPORAL]])</f>
        <v>497.77777777777783</v>
      </c>
      <c r="P4206" s="12"/>
      <c r="Q4206" s="12">
        <f>+(Tabla1[[#This Row],[COSTO COCHE]]/30)*Tabla1[[#This Row],[TOTAL DIAS PROYECTO]]</f>
        <v>0</v>
      </c>
      <c r="R4206" s="12">
        <f>+Tabla1[[#This Row],[COSTO TOTAL ALOJAMIENTO]]+Tabla1[[#This Row],[COSTO TOTAL COCHE]]</f>
        <v>497.77777777777783</v>
      </c>
      <c r="S4206" s="2"/>
      <c r="T4206" s="14" t="s">
        <v>35</v>
      </c>
      <c r="U4206" s="14">
        <v>45925</v>
      </c>
      <c r="V4206" s="43"/>
      <c r="W4206" s="71"/>
      <c r="X4206" s="2">
        <v>20</v>
      </c>
      <c r="Y4206" s="11" t="s">
        <v>5771</v>
      </c>
      <c r="Z4206" s="2" t="s">
        <v>36</v>
      </c>
      <c r="AA4206" s="13" t="s">
        <v>10357</v>
      </c>
      <c r="AB4206" s="13" t="s">
        <v>10358</v>
      </c>
    </row>
    <row r="4207" spans="1:28" ht="15" customHeight="1">
      <c r="A4207" s="2" t="s">
        <v>9173</v>
      </c>
      <c r="B4207" s="2" t="s">
        <v>978</v>
      </c>
      <c r="C4207" s="31" t="s">
        <v>2315</v>
      </c>
      <c r="D4207" s="2" t="s">
        <v>30</v>
      </c>
      <c r="E4207" s="2" t="s">
        <v>253</v>
      </c>
      <c r="F4207" s="11" t="s">
        <v>6155</v>
      </c>
      <c r="G4207" s="21" t="s">
        <v>981</v>
      </c>
      <c r="H4207" s="2" t="s">
        <v>5301</v>
      </c>
      <c r="I4207" s="12" t="s">
        <v>1155</v>
      </c>
      <c r="J4207" s="22">
        <f>+Tabla1[[#This Row],[FECHA ENTRADA]]</f>
        <v>45923</v>
      </c>
      <c r="K4207" s="8">
        <v>45981</v>
      </c>
      <c r="L4207" s="23">
        <f>_xlfn.DAYS(Tabla1[[#This Row],[FECHA FIN ]],Tabla1[[#This Row],[FECHA INICIO]])</f>
        <v>58</v>
      </c>
      <c r="M4207" s="12"/>
      <c r="N4207" s="20">
        <v>266.66666666666669</v>
      </c>
      <c r="O4207" s="24">
        <f>(Tabla1[[#This Row],[COSTO FIJO ]]/30)*Tabla1[[#This Row],[TOTAL DIAS PROYECTO]]+(Tabla1[[#This Row],[COSTO TEMPORAL]])</f>
        <v>515.55555555555554</v>
      </c>
      <c r="P4207" s="12"/>
      <c r="Q4207" s="12">
        <f>+(Tabla1[[#This Row],[COSTO COCHE]]/30)*Tabla1[[#This Row],[TOTAL DIAS PROYECTO]]</f>
        <v>0</v>
      </c>
      <c r="R4207" s="12">
        <f>+Tabla1[[#This Row],[COSTO TOTAL ALOJAMIENTO]]+Tabla1[[#This Row],[COSTO TOTAL COCHE]]</f>
        <v>515.55555555555554</v>
      </c>
      <c r="S4207" s="2"/>
      <c r="T4207" s="14" t="s">
        <v>35</v>
      </c>
      <c r="U4207" s="14">
        <v>45923</v>
      </c>
      <c r="V4207" s="79"/>
      <c r="W4207" s="71"/>
      <c r="X4207" s="2">
        <v>20</v>
      </c>
      <c r="Y4207" s="11" t="s">
        <v>5771</v>
      </c>
      <c r="Z4207" s="2" t="s">
        <v>36</v>
      </c>
      <c r="AA4207" s="13" t="s">
        <v>10357</v>
      </c>
      <c r="AB4207" s="13" t="s">
        <v>10358</v>
      </c>
    </row>
    <row r="4208" spans="1:28" ht="15" customHeight="1">
      <c r="A4208" s="2" t="s">
        <v>9823</v>
      </c>
      <c r="B4208" s="2" t="s">
        <v>978</v>
      </c>
      <c r="C4208" s="31" t="s">
        <v>4923</v>
      </c>
      <c r="D4208" s="2" t="s">
        <v>30</v>
      </c>
      <c r="E4208" s="2" t="s">
        <v>5074</v>
      </c>
      <c r="F4208" s="11" t="s">
        <v>6157</v>
      </c>
      <c r="G4208" s="46" t="s">
        <v>6158</v>
      </c>
      <c r="H4208" s="2" t="s">
        <v>6159</v>
      </c>
      <c r="I4208" s="12" t="s">
        <v>4504</v>
      </c>
      <c r="J4208" s="41">
        <f>+Tabla1[[#This Row],[FECHA ENTRADA]]</f>
        <v>45951</v>
      </c>
      <c r="K4208" s="22">
        <v>45981</v>
      </c>
      <c r="L4208" s="42">
        <f>_xlfn.DAYS(Tabla1[[#This Row],[FECHA FIN ]],Tabla1[[#This Row],[FECHA INICIO]])</f>
        <v>30</v>
      </c>
      <c r="M4208" s="12">
        <f>1928.67/3</f>
        <v>642.89</v>
      </c>
      <c r="N4208" s="28"/>
      <c r="O4208" s="28">
        <f>(Tabla1[[#This Row],[COSTO FIJO ]]/30)*Tabla1[[#This Row],[TOTAL DIAS PROYECTO]]+(Tabla1[[#This Row],[COSTO TEMPORAL]])</f>
        <v>642.89</v>
      </c>
      <c r="P4208" s="12"/>
      <c r="Q4208" s="12">
        <f>+(Tabla1[[#This Row],[COSTO COCHE]]/30)*Tabla1[[#This Row],[TOTAL DIAS PROYECTO]]</f>
        <v>0</v>
      </c>
      <c r="R4208" s="12">
        <f>+Tabla1[[#This Row],[COSTO TOTAL ALOJAMIENTO]]+Tabla1[[#This Row],[COSTO TOTAL COCHE]]</f>
        <v>642.89</v>
      </c>
      <c r="S4208" s="2" t="s">
        <v>84</v>
      </c>
      <c r="T4208" s="14" t="s">
        <v>44</v>
      </c>
      <c r="U4208" s="14">
        <v>45951</v>
      </c>
      <c r="V4208" s="43">
        <v>45985</v>
      </c>
      <c r="W4208" s="71"/>
      <c r="X4208" s="2"/>
      <c r="Y4208" s="11" t="s">
        <v>6160</v>
      </c>
      <c r="Z4208" s="2" t="s">
        <v>36</v>
      </c>
      <c r="AA4208" s="13" t="e">
        <v>#N/A</v>
      </c>
      <c r="AB4208" s="13" t="e">
        <v>#N/A</v>
      </c>
    </row>
    <row r="4209" spans="1:28" ht="15" customHeight="1">
      <c r="A4209" s="2" t="s">
        <v>10060</v>
      </c>
      <c r="B4209" s="2" t="s">
        <v>978</v>
      </c>
      <c r="C4209" s="31" t="s">
        <v>6161</v>
      </c>
      <c r="D4209" s="2" t="s">
        <v>30</v>
      </c>
      <c r="E4209" s="2" t="s">
        <v>5074</v>
      </c>
      <c r="F4209" s="11" t="s">
        <v>6157</v>
      </c>
      <c r="G4209" s="46" t="s">
        <v>6158</v>
      </c>
      <c r="H4209" s="2" t="s">
        <v>6159</v>
      </c>
      <c r="I4209" s="12" t="s">
        <v>4504</v>
      </c>
      <c r="J4209" s="41">
        <f>+Tabla1[[#This Row],[FECHA ENTRADA]]</f>
        <v>45951</v>
      </c>
      <c r="K4209" s="22">
        <v>45981</v>
      </c>
      <c r="L4209" s="42">
        <f>_xlfn.DAYS(Tabla1[[#This Row],[FECHA FIN ]],Tabla1[[#This Row],[FECHA INICIO]])</f>
        <v>30</v>
      </c>
      <c r="M4209" s="12">
        <f>1928.67/3</f>
        <v>642.89</v>
      </c>
      <c r="N4209" s="28"/>
      <c r="O4209" s="28">
        <f>(Tabla1[[#This Row],[COSTO FIJO ]]/30)*Tabla1[[#This Row],[TOTAL DIAS PROYECTO]]+(Tabla1[[#This Row],[COSTO TEMPORAL]])</f>
        <v>642.89</v>
      </c>
      <c r="P4209" s="12"/>
      <c r="Q4209" s="12">
        <f>+(Tabla1[[#This Row],[COSTO COCHE]]/30)*Tabla1[[#This Row],[TOTAL DIAS PROYECTO]]</f>
        <v>0</v>
      </c>
      <c r="R4209" s="12">
        <f>+Tabla1[[#This Row],[COSTO TOTAL ALOJAMIENTO]]+Tabla1[[#This Row],[COSTO TOTAL COCHE]]</f>
        <v>642.89</v>
      </c>
      <c r="S4209" s="2" t="s">
        <v>84</v>
      </c>
      <c r="T4209" s="14" t="s">
        <v>44</v>
      </c>
      <c r="U4209" s="14">
        <v>45951</v>
      </c>
      <c r="V4209" s="43">
        <v>45985</v>
      </c>
      <c r="W4209" s="71"/>
      <c r="X4209" s="2"/>
      <c r="Y4209" s="11" t="s">
        <v>6160</v>
      </c>
      <c r="Z4209" s="2" t="s">
        <v>36</v>
      </c>
      <c r="AA4209" s="13" t="e">
        <v>#N/A</v>
      </c>
      <c r="AB4209" s="13" t="e">
        <v>#N/A</v>
      </c>
    </row>
    <row r="4210" spans="1:28" ht="15" customHeight="1">
      <c r="A4210" s="2" t="s">
        <v>9477</v>
      </c>
      <c r="B4210" s="2" t="s">
        <v>978</v>
      </c>
      <c r="C4210" s="31" t="s">
        <v>3334</v>
      </c>
      <c r="D4210" s="2" t="s">
        <v>30</v>
      </c>
      <c r="E4210" s="2" t="s">
        <v>5074</v>
      </c>
      <c r="F4210" s="11" t="s">
        <v>6157</v>
      </c>
      <c r="G4210" s="46" t="s">
        <v>6158</v>
      </c>
      <c r="H4210" s="2" t="s">
        <v>6162</v>
      </c>
      <c r="I4210" s="12" t="s">
        <v>4504</v>
      </c>
      <c r="J4210" s="41">
        <f>+Tabla1[[#This Row],[FECHA ENTRADA]]</f>
        <v>45951</v>
      </c>
      <c r="K4210" s="22">
        <v>45981</v>
      </c>
      <c r="L4210" s="42">
        <f>_xlfn.DAYS(Tabla1[[#This Row],[FECHA FIN ]],Tabla1[[#This Row],[FECHA INICIO]])</f>
        <v>30</v>
      </c>
      <c r="M4210" s="12">
        <f>1928.67/3</f>
        <v>642.89</v>
      </c>
      <c r="N4210" s="28"/>
      <c r="O4210" s="28">
        <f>(Tabla1[[#This Row],[COSTO FIJO ]]/30)*Tabla1[[#This Row],[TOTAL DIAS PROYECTO]]+(Tabla1[[#This Row],[COSTO TEMPORAL]])</f>
        <v>642.89</v>
      </c>
      <c r="P4210" s="12"/>
      <c r="Q4210" s="12">
        <f>+(Tabla1[[#This Row],[COSTO COCHE]]/30)*Tabla1[[#This Row],[TOTAL DIAS PROYECTO]]</f>
        <v>0</v>
      </c>
      <c r="R4210" s="12">
        <f>+Tabla1[[#This Row],[COSTO TOTAL ALOJAMIENTO]]+Tabla1[[#This Row],[COSTO TOTAL COCHE]]</f>
        <v>642.89</v>
      </c>
      <c r="S4210" s="2" t="s">
        <v>84</v>
      </c>
      <c r="T4210" s="14" t="s">
        <v>44</v>
      </c>
      <c r="U4210" s="14">
        <v>45951</v>
      </c>
      <c r="V4210" s="43">
        <v>45985</v>
      </c>
      <c r="W4210" s="71"/>
      <c r="X4210" s="2"/>
      <c r="Y4210" s="11" t="s">
        <v>6163</v>
      </c>
      <c r="Z4210" s="2" t="s">
        <v>36</v>
      </c>
      <c r="AA4210" s="13" t="e">
        <v>#N/A</v>
      </c>
      <c r="AB4210" s="13" t="e">
        <v>#N/A</v>
      </c>
    </row>
    <row r="4211" spans="1:28" ht="15" customHeight="1">
      <c r="A4211" s="2" t="s">
        <v>10061</v>
      </c>
      <c r="B4211" s="2" t="s">
        <v>978</v>
      </c>
      <c r="C4211" s="31" t="s">
        <v>6164</v>
      </c>
      <c r="D4211" s="2" t="s">
        <v>30</v>
      </c>
      <c r="E4211" s="2" t="s">
        <v>5074</v>
      </c>
      <c r="F4211" s="11" t="s">
        <v>6165</v>
      </c>
      <c r="G4211" s="46" t="s">
        <v>6166</v>
      </c>
      <c r="H4211" s="2" t="s">
        <v>6167</v>
      </c>
      <c r="I4211" s="12" t="s">
        <v>4504</v>
      </c>
      <c r="J4211" s="41">
        <f>+Tabla1[[#This Row],[FECHA ENTRADA]]</f>
        <v>45951</v>
      </c>
      <c r="K4211" s="22">
        <v>45981</v>
      </c>
      <c r="L4211" s="42">
        <f>_xlfn.DAYS(Tabla1[[#This Row],[FECHA FIN ]],Tabla1[[#This Row],[FECHA INICIO]])</f>
        <v>30</v>
      </c>
      <c r="M4211" s="12">
        <f>1940.4/3</f>
        <v>646.80000000000007</v>
      </c>
      <c r="N4211" s="28"/>
      <c r="O4211" s="28">
        <f>(Tabla1[[#This Row],[COSTO FIJO ]]/30)*Tabla1[[#This Row],[TOTAL DIAS PROYECTO]]+(Tabla1[[#This Row],[COSTO TEMPORAL]])</f>
        <v>646.80000000000007</v>
      </c>
      <c r="P4211" s="12"/>
      <c r="Q4211" s="12">
        <f>+(Tabla1[[#This Row],[COSTO COCHE]]/30)*Tabla1[[#This Row],[TOTAL DIAS PROYECTO]]</f>
        <v>0</v>
      </c>
      <c r="R4211" s="12">
        <f>+Tabla1[[#This Row],[COSTO TOTAL ALOJAMIENTO]]+Tabla1[[#This Row],[COSTO TOTAL COCHE]]</f>
        <v>646.80000000000007</v>
      </c>
      <c r="S4211" s="2" t="s">
        <v>84</v>
      </c>
      <c r="T4211" s="14" t="s">
        <v>44</v>
      </c>
      <c r="U4211" s="14">
        <v>45951</v>
      </c>
      <c r="V4211" s="43">
        <v>45985</v>
      </c>
      <c r="W4211" s="71"/>
      <c r="X4211" s="2"/>
      <c r="Y4211" s="11" t="s">
        <v>6160</v>
      </c>
      <c r="Z4211" s="2" t="s">
        <v>36</v>
      </c>
      <c r="AA4211" s="13" t="e">
        <v>#N/A</v>
      </c>
      <c r="AB4211" s="13" t="e">
        <v>#N/A</v>
      </c>
    </row>
    <row r="4212" spans="1:28" ht="15" customHeight="1">
      <c r="A4212" s="2" t="s">
        <v>10062</v>
      </c>
      <c r="B4212" s="2" t="s">
        <v>978</v>
      </c>
      <c r="C4212" s="31" t="s">
        <v>6168</v>
      </c>
      <c r="D4212" s="2" t="s">
        <v>30</v>
      </c>
      <c r="E4212" s="2" t="s">
        <v>5074</v>
      </c>
      <c r="F4212" s="11" t="s">
        <v>6165</v>
      </c>
      <c r="G4212" s="46" t="s">
        <v>6166</v>
      </c>
      <c r="H4212" s="2" t="s">
        <v>6167</v>
      </c>
      <c r="I4212" s="12" t="s">
        <v>4504</v>
      </c>
      <c r="J4212" s="41">
        <f>+Tabla1[[#This Row],[FECHA ENTRADA]]</f>
        <v>45951</v>
      </c>
      <c r="K4212" s="22">
        <v>45981</v>
      </c>
      <c r="L4212" s="42">
        <f>_xlfn.DAYS(Tabla1[[#This Row],[FECHA FIN ]],Tabla1[[#This Row],[FECHA INICIO]])</f>
        <v>30</v>
      </c>
      <c r="M4212" s="12">
        <f>1940.4/3</f>
        <v>646.80000000000007</v>
      </c>
      <c r="N4212" s="28"/>
      <c r="O4212" s="28">
        <f>(Tabla1[[#This Row],[COSTO FIJO ]]/30)*Tabla1[[#This Row],[TOTAL DIAS PROYECTO]]+(Tabla1[[#This Row],[COSTO TEMPORAL]])</f>
        <v>646.80000000000007</v>
      </c>
      <c r="P4212" s="12"/>
      <c r="Q4212" s="12">
        <f>+(Tabla1[[#This Row],[COSTO COCHE]]/30)*Tabla1[[#This Row],[TOTAL DIAS PROYECTO]]</f>
        <v>0</v>
      </c>
      <c r="R4212" s="12">
        <f>+Tabla1[[#This Row],[COSTO TOTAL ALOJAMIENTO]]+Tabla1[[#This Row],[COSTO TOTAL COCHE]]</f>
        <v>646.80000000000007</v>
      </c>
      <c r="S4212" s="2" t="s">
        <v>84</v>
      </c>
      <c r="T4212" s="14" t="s">
        <v>44</v>
      </c>
      <c r="U4212" s="14">
        <v>45951</v>
      </c>
      <c r="V4212" s="43">
        <v>45985</v>
      </c>
      <c r="W4212" s="71"/>
      <c r="X4212" s="2"/>
      <c r="Y4212" s="11" t="s">
        <v>6160</v>
      </c>
      <c r="Z4212" s="2" t="s">
        <v>36</v>
      </c>
      <c r="AA4212" s="13" t="e">
        <v>#N/A</v>
      </c>
      <c r="AB4212" s="13" t="e">
        <v>#N/A</v>
      </c>
    </row>
    <row r="4213" spans="1:28" ht="15" customHeight="1">
      <c r="A4213" s="2" t="s">
        <v>9533</v>
      </c>
      <c r="B4213" s="2" t="s">
        <v>978</v>
      </c>
      <c r="C4213" s="31" t="s">
        <v>3563</v>
      </c>
      <c r="D4213" s="2" t="s">
        <v>30</v>
      </c>
      <c r="E4213" s="2" t="s">
        <v>5074</v>
      </c>
      <c r="F4213" s="11" t="s">
        <v>6165</v>
      </c>
      <c r="G4213" s="46" t="s">
        <v>6166</v>
      </c>
      <c r="H4213" s="2" t="s">
        <v>6167</v>
      </c>
      <c r="I4213" s="12" t="s">
        <v>4504</v>
      </c>
      <c r="J4213" s="41">
        <f>+Tabla1[[#This Row],[FECHA ENTRADA]]</f>
        <v>45951</v>
      </c>
      <c r="K4213" s="22">
        <v>45981</v>
      </c>
      <c r="L4213" s="42">
        <f>_xlfn.DAYS(Tabla1[[#This Row],[FECHA FIN ]],Tabla1[[#This Row],[FECHA INICIO]])</f>
        <v>30</v>
      </c>
      <c r="M4213" s="12">
        <f>1940.4/3</f>
        <v>646.80000000000007</v>
      </c>
      <c r="N4213" s="28"/>
      <c r="O4213" s="28">
        <f>(Tabla1[[#This Row],[COSTO FIJO ]]/30)*Tabla1[[#This Row],[TOTAL DIAS PROYECTO]]+(Tabla1[[#This Row],[COSTO TEMPORAL]])</f>
        <v>646.80000000000007</v>
      </c>
      <c r="P4213" s="12"/>
      <c r="Q4213" s="12">
        <f>+(Tabla1[[#This Row],[COSTO COCHE]]/30)*Tabla1[[#This Row],[TOTAL DIAS PROYECTO]]</f>
        <v>0</v>
      </c>
      <c r="R4213" s="12">
        <f>+Tabla1[[#This Row],[COSTO TOTAL ALOJAMIENTO]]+Tabla1[[#This Row],[COSTO TOTAL COCHE]]</f>
        <v>646.80000000000007</v>
      </c>
      <c r="S4213" s="2" t="s">
        <v>84</v>
      </c>
      <c r="T4213" s="14" t="s">
        <v>44</v>
      </c>
      <c r="U4213" s="14">
        <v>45951</v>
      </c>
      <c r="V4213" s="43">
        <v>45985</v>
      </c>
      <c r="W4213" s="71"/>
      <c r="X4213" s="11"/>
      <c r="Y4213" s="11" t="s">
        <v>6169</v>
      </c>
      <c r="Z4213" s="2" t="s">
        <v>36</v>
      </c>
      <c r="AA4213" s="13" t="e">
        <v>#N/A</v>
      </c>
      <c r="AB4213" s="13" t="e">
        <v>#N/A</v>
      </c>
    </row>
    <row r="4214" spans="1:28" ht="15" customHeight="1">
      <c r="A4214" s="2" t="s">
        <v>9658</v>
      </c>
      <c r="B4214" s="2" t="s">
        <v>711</v>
      </c>
      <c r="C4214" s="31" t="s">
        <v>4099</v>
      </c>
      <c r="D4214" s="2" t="s">
        <v>30</v>
      </c>
      <c r="E4214" s="2" t="s">
        <v>2378</v>
      </c>
      <c r="F4214" s="11" t="s">
        <v>5900</v>
      </c>
      <c r="G4214" s="46" t="s">
        <v>5901</v>
      </c>
      <c r="H4214" s="2" t="s">
        <v>6170</v>
      </c>
      <c r="I4214" s="12" t="s">
        <v>1392</v>
      </c>
      <c r="J4214" s="22">
        <f>+Tabla1[[#This Row],[FECHA ENTRADA]]</f>
        <v>45950</v>
      </c>
      <c r="K4214" s="22">
        <v>45981</v>
      </c>
      <c r="L4214" s="23">
        <f>_xlfn.DAYS(Tabla1[[#This Row],[FECHA FIN ]],Tabla1[[#This Row],[FECHA INICIO]])</f>
        <v>31</v>
      </c>
      <c r="M4214" s="12">
        <v>510</v>
      </c>
      <c r="N4214" s="24"/>
      <c r="O4214" s="24">
        <f>(Tabla1[[#This Row],[COSTO FIJO ]]/30)*Tabla1[[#This Row],[TOTAL DIAS PROYECTO]]+(Tabla1[[#This Row],[COSTO TEMPORAL]])</f>
        <v>510</v>
      </c>
      <c r="P4214" s="12"/>
      <c r="Q4214" s="12">
        <f>+(Tabla1[[#This Row],[COSTO COCHE]]/30)*Tabla1[[#This Row],[TOTAL DIAS PROYECTO]]</f>
        <v>0</v>
      </c>
      <c r="R4214" s="12">
        <f>+Tabla1[[#This Row],[COSTO TOTAL ALOJAMIENTO]]+Tabla1[[#This Row],[COSTO TOTAL COCHE]]</f>
        <v>510</v>
      </c>
      <c r="S4214" s="2"/>
      <c r="T4214" s="14" t="s">
        <v>44</v>
      </c>
      <c r="U4214" s="14">
        <v>45950</v>
      </c>
      <c r="V4214" s="25">
        <v>46011</v>
      </c>
      <c r="W4214" s="71"/>
      <c r="X4214" s="2"/>
      <c r="Y4214" s="11" t="s">
        <v>6171</v>
      </c>
      <c r="Z4214" s="2" t="s">
        <v>36</v>
      </c>
      <c r="AA4214" s="13" t="e">
        <v>#N/A</v>
      </c>
      <c r="AB4214" s="13" t="e">
        <v>#N/A</v>
      </c>
    </row>
    <row r="4215" spans="1:28" ht="15" customHeight="1">
      <c r="A4215" s="117" t="s">
        <v>10046</v>
      </c>
      <c r="B4215" s="117" t="s">
        <v>711</v>
      </c>
      <c r="C4215" s="118" t="s">
        <v>6048</v>
      </c>
      <c r="D4215" s="117" t="s">
        <v>30</v>
      </c>
      <c r="E4215" s="117" t="s">
        <v>87</v>
      </c>
      <c r="F4215" s="11" t="s">
        <v>6172</v>
      </c>
      <c r="G4215" s="128" t="s">
        <v>6173</v>
      </c>
      <c r="H4215" s="117" t="s">
        <v>6141</v>
      </c>
      <c r="I4215" s="119" t="s">
        <v>1392</v>
      </c>
      <c r="J4215" s="121">
        <f>+Tabla1[[#This Row],[FECHA ENTRADA]]</f>
        <v>45978</v>
      </c>
      <c r="K4215" s="121">
        <v>45981</v>
      </c>
      <c r="L4215" s="129">
        <f>_xlfn.DAYS(Tabla1[[#This Row],[FECHA FIN ]],Tabla1[[#This Row],[FECHA INICIO]])</f>
        <v>3</v>
      </c>
      <c r="M4215" s="119">
        <v>78.333333333333329</v>
      </c>
      <c r="N4215" s="131"/>
      <c r="O4215" s="131">
        <f>(Tabla1[[#This Row],[COSTO FIJO ]]/30)*Tabla1[[#This Row],[TOTAL DIAS PROYECTO]]+(Tabla1[[#This Row],[COSTO TEMPORAL]])</f>
        <v>78.333333333333329</v>
      </c>
      <c r="P4215" s="119"/>
      <c r="Q4215" s="119">
        <f>+(Tabla1[[#This Row],[COSTO COCHE]]/30)*Tabla1[[#This Row],[TOTAL DIAS PROYECTO]]</f>
        <v>0</v>
      </c>
      <c r="R4215" s="119">
        <f>+Tabla1[[#This Row],[COSTO TOTAL ALOJAMIENTO]]+Tabla1[[#This Row],[COSTO TOTAL COCHE]]</f>
        <v>78.333333333333329</v>
      </c>
      <c r="S4215" s="117" t="s">
        <v>403</v>
      </c>
      <c r="T4215" s="124" t="s">
        <v>44</v>
      </c>
      <c r="U4215" s="124">
        <v>45978</v>
      </c>
      <c r="V4215" s="125">
        <v>45981</v>
      </c>
      <c r="W4215" s="126"/>
      <c r="X4215" s="117"/>
      <c r="Y4215" s="118"/>
      <c r="Z4215" s="117" t="s">
        <v>36</v>
      </c>
      <c r="AA4215" s="127" t="s">
        <v>10335</v>
      </c>
      <c r="AB4215" s="127">
        <v>404.16500000000002</v>
      </c>
    </row>
    <row r="4216" spans="1:28" ht="15" customHeight="1">
      <c r="A4216" s="117" t="s">
        <v>10047</v>
      </c>
      <c r="B4216" s="117" t="s">
        <v>711</v>
      </c>
      <c r="C4216" s="118" t="s">
        <v>6053</v>
      </c>
      <c r="D4216" s="117" t="s">
        <v>30</v>
      </c>
      <c r="E4216" s="117" t="s">
        <v>87</v>
      </c>
      <c r="F4216" s="11" t="s">
        <v>6172</v>
      </c>
      <c r="G4216" s="128" t="s">
        <v>6173</v>
      </c>
      <c r="H4216" s="117" t="s">
        <v>6141</v>
      </c>
      <c r="I4216" s="119" t="s">
        <v>1392</v>
      </c>
      <c r="J4216" s="121">
        <f>+Tabla1[[#This Row],[FECHA ENTRADA]]</f>
        <v>45978</v>
      </c>
      <c r="K4216" s="121">
        <v>45981</v>
      </c>
      <c r="L4216" s="129">
        <f>_xlfn.DAYS(Tabla1[[#This Row],[FECHA FIN ]],Tabla1[[#This Row],[FECHA INICIO]])</f>
        <v>3</v>
      </c>
      <c r="M4216" s="119">
        <v>78.333333333333329</v>
      </c>
      <c r="N4216" s="131"/>
      <c r="O4216" s="131">
        <f>(Tabla1[[#This Row],[COSTO FIJO ]]/30)*Tabla1[[#This Row],[TOTAL DIAS PROYECTO]]+(Tabla1[[#This Row],[COSTO TEMPORAL]])</f>
        <v>78.333333333333329</v>
      </c>
      <c r="P4216" s="119"/>
      <c r="Q4216" s="119">
        <f>+(Tabla1[[#This Row],[COSTO COCHE]]/30)*Tabla1[[#This Row],[TOTAL DIAS PROYECTO]]</f>
        <v>0</v>
      </c>
      <c r="R4216" s="119">
        <f>+Tabla1[[#This Row],[COSTO TOTAL ALOJAMIENTO]]+Tabla1[[#This Row],[COSTO TOTAL COCHE]]</f>
        <v>78.333333333333329</v>
      </c>
      <c r="S4216" s="117" t="s">
        <v>403</v>
      </c>
      <c r="T4216" s="124" t="s">
        <v>44</v>
      </c>
      <c r="U4216" s="124">
        <v>45978</v>
      </c>
      <c r="V4216" s="125">
        <v>45981</v>
      </c>
      <c r="W4216" s="126"/>
      <c r="X4216" s="117"/>
      <c r="Y4216" s="118"/>
      <c r="Z4216" s="117" t="s">
        <v>36</v>
      </c>
      <c r="AA4216" s="127" t="s">
        <v>10335</v>
      </c>
      <c r="AB4216" s="127">
        <v>404.16500000000002</v>
      </c>
    </row>
    <row r="4217" spans="1:28" ht="15" customHeight="1">
      <c r="A4217" s="117" t="s">
        <v>10063</v>
      </c>
      <c r="B4217" s="117" t="s">
        <v>711</v>
      </c>
      <c r="C4217" s="118" t="s">
        <v>6174</v>
      </c>
      <c r="D4217" s="117" t="s">
        <v>30</v>
      </c>
      <c r="E4217" s="117" t="s">
        <v>87</v>
      </c>
      <c r="F4217" s="11" t="s">
        <v>6172</v>
      </c>
      <c r="G4217" s="128" t="s">
        <v>6173</v>
      </c>
      <c r="H4217" s="117" t="s">
        <v>6175</v>
      </c>
      <c r="I4217" s="119" t="s">
        <v>1392</v>
      </c>
      <c r="J4217" s="121">
        <f>+Tabla1[[#This Row],[FECHA ENTRADA]]</f>
        <v>45979</v>
      </c>
      <c r="K4217" s="121">
        <v>45981</v>
      </c>
      <c r="L4217" s="129">
        <f>_xlfn.DAYS(Tabla1[[#This Row],[FECHA FIN ]],Tabla1[[#This Row],[FECHA INICIO]])</f>
        <v>2</v>
      </c>
      <c r="M4217" s="119">
        <v>78.333333333333329</v>
      </c>
      <c r="N4217" s="131"/>
      <c r="O4217" s="131">
        <f>(Tabla1[[#This Row],[COSTO FIJO ]]/30)*Tabla1[[#This Row],[TOTAL DIAS PROYECTO]]+(Tabla1[[#This Row],[COSTO TEMPORAL]])</f>
        <v>78.333333333333329</v>
      </c>
      <c r="P4217" s="119"/>
      <c r="Q4217" s="119">
        <f>+(Tabla1[[#This Row],[COSTO COCHE]]/30)*Tabla1[[#This Row],[TOTAL DIAS PROYECTO]]</f>
        <v>0</v>
      </c>
      <c r="R4217" s="119">
        <f>+Tabla1[[#This Row],[COSTO TOTAL ALOJAMIENTO]]+Tabla1[[#This Row],[COSTO TOTAL COCHE]]</f>
        <v>78.333333333333329</v>
      </c>
      <c r="S4217" s="117" t="s">
        <v>403</v>
      </c>
      <c r="T4217" s="124" t="s">
        <v>44</v>
      </c>
      <c r="U4217" s="124">
        <v>45979</v>
      </c>
      <c r="V4217" s="125">
        <v>45981</v>
      </c>
      <c r="W4217" s="126"/>
      <c r="X4217" s="117"/>
      <c r="Y4217" s="118"/>
      <c r="Z4217" s="117" t="s">
        <v>36</v>
      </c>
      <c r="AA4217" s="127" t="s">
        <v>10335</v>
      </c>
      <c r="AB4217" s="127">
        <v>404.16500000000002</v>
      </c>
    </row>
    <row r="4218" spans="1:28" ht="15" customHeight="1">
      <c r="A4218" s="2" t="s">
        <v>10064</v>
      </c>
      <c r="B4218" s="2" t="s">
        <v>978</v>
      </c>
      <c r="C4218" s="31" t="s">
        <v>6176</v>
      </c>
      <c r="D4218" s="2" t="s">
        <v>30</v>
      </c>
      <c r="E4218" s="2" t="s">
        <v>31</v>
      </c>
      <c r="F4218" s="11" t="s">
        <v>6074</v>
      </c>
      <c r="G4218" s="49" t="s">
        <v>5083</v>
      </c>
      <c r="H4218" s="2" t="s">
        <v>6177</v>
      </c>
      <c r="I4218" s="12" t="s">
        <v>4902</v>
      </c>
      <c r="J4218" s="22">
        <f>+Tabla1[[#This Row],[FECHA ENTRADA]]</f>
        <v>45944</v>
      </c>
      <c r="K4218" s="22">
        <v>45969</v>
      </c>
      <c r="L4218" s="23">
        <f>_xlfn.DAYS(Tabla1[[#This Row],[FECHA FIN ]],Tabla1[[#This Row],[FECHA INICIO]])</f>
        <v>25</v>
      </c>
      <c r="M4218" s="12"/>
      <c r="N4218" s="24">
        <v>450</v>
      </c>
      <c r="O4218" s="24">
        <f>(Tabla1[[#This Row],[COSTO FIJO ]]/30)*Tabla1[[#This Row],[TOTAL DIAS PROYECTO]]+(Tabla1[[#This Row],[COSTO TEMPORAL]])</f>
        <v>375</v>
      </c>
      <c r="P4218" s="12"/>
      <c r="Q4218" s="12">
        <f>+(Tabla1[[#This Row],[COSTO COCHE]]/30)*Tabla1[[#This Row],[TOTAL DIAS PROYECTO]]</f>
        <v>0</v>
      </c>
      <c r="R4218" s="12">
        <f>+Tabla1[[#This Row],[COSTO TOTAL ALOJAMIENTO]]+Tabla1[[#This Row],[COSTO TOTAL COCHE]]</f>
        <v>375</v>
      </c>
      <c r="S4218" s="2"/>
      <c r="T4218" s="14" t="s">
        <v>44</v>
      </c>
      <c r="U4218" s="14">
        <v>45944</v>
      </c>
      <c r="V4218" s="79">
        <v>45990</v>
      </c>
      <c r="W4218" s="71"/>
      <c r="X4218" s="2">
        <v>25</v>
      </c>
      <c r="Y4218" s="11" t="s">
        <v>6178</v>
      </c>
      <c r="Z4218" s="2" t="s">
        <v>36</v>
      </c>
      <c r="AA4218" s="13" t="s">
        <v>10323</v>
      </c>
      <c r="AB4218" s="13" t="s">
        <v>10324</v>
      </c>
    </row>
    <row r="4219" spans="1:28" ht="15" customHeight="1">
      <c r="A4219" s="2" t="s">
        <v>10065</v>
      </c>
      <c r="B4219" s="2" t="s">
        <v>711</v>
      </c>
      <c r="C4219" s="11" t="s">
        <v>6179</v>
      </c>
      <c r="D4219" s="2" t="s">
        <v>30</v>
      </c>
      <c r="E4219" s="2" t="s">
        <v>31</v>
      </c>
      <c r="F4219" s="11" t="s">
        <v>6074</v>
      </c>
      <c r="G4219" s="49" t="s">
        <v>5083</v>
      </c>
      <c r="H4219" s="2" t="s">
        <v>6128</v>
      </c>
      <c r="I4219" s="12" t="s">
        <v>5531</v>
      </c>
      <c r="J4219" s="22">
        <f>+Tabla1[[#This Row],[FECHA ENTRADA]]</f>
        <v>45944</v>
      </c>
      <c r="K4219" s="22">
        <v>46021</v>
      </c>
      <c r="L4219" s="23">
        <f>_xlfn.DAYS(Tabla1[[#This Row],[FECHA FIN ]],Tabla1[[#This Row],[FECHA INICIO]])</f>
        <v>77</v>
      </c>
      <c r="M4219" s="12"/>
      <c r="N4219" s="24">
        <v>540</v>
      </c>
      <c r="O4219" s="24">
        <f>(Tabla1[[#This Row],[COSTO FIJO ]]/30)*Tabla1[[#This Row],[TOTAL DIAS PROYECTO]]+(Tabla1[[#This Row],[COSTO TEMPORAL]])</f>
        <v>1386</v>
      </c>
      <c r="P4219" s="12"/>
      <c r="Q4219" s="12">
        <f>+(Tabla1[[#This Row],[COSTO COCHE]]/30)*Tabla1[[#This Row],[TOTAL DIAS PROYECTO]]</f>
        <v>0</v>
      </c>
      <c r="R4219" s="12">
        <f>+Tabla1[[#This Row],[COSTO TOTAL ALOJAMIENTO]]+Tabla1[[#This Row],[COSTO TOTAL COCHE]]</f>
        <v>1386</v>
      </c>
      <c r="S4219" s="2"/>
      <c r="T4219" s="14" t="s">
        <v>44</v>
      </c>
      <c r="U4219" s="14">
        <v>45944</v>
      </c>
      <c r="V4219" s="25">
        <v>46021</v>
      </c>
      <c r="W4219" s="71">
        <v>500</v>
      </c>
      <c r="X4219" s="2">
        <v>25</v>
      </c>
      <c r="Y4219" s="11" t="s">
        <v>6180</v>
      </c>
      <c r="Z4219" s="2" t="s">
        <v>36</v>
      </c>
      <c r="AA4219" s="13" t="s">
        <v>10323</v>
      </c>
      <c r="AB4219" s="13" t="s">
        <v>10324</v>
      </c>
    </row>
    <row r="4220" spans="1:28" ht="15" customHeight="1">
      <c r="A4220" s="2" t="s">
        <v>10066</v>
      </c>
      <c r="B4220" s="2" t="s">
        <v>711</v>
      </c>
      <c r="C4220" s="31" t="s">
        <v>6181</v>
      </c>
      <c r="D4220" s="2" t="s">
        <v>30</v>
      </c>
      <c r="E4220" s="2" t="s">
        <v>31</v>
      </c>
      <c r="F4220" s="11" t="s">
        <v>907</v>
      </c>
      <c r="G4220" s="11" t="s">
        <v>296</v>
      </c>
      <c r="H4220" s="2" t="s">
        <v>6182</v>
      </c>
      <c r="I4220" s="12" t="s">
        <v>909</v>
      </c>
      <c r="J4220" s="22">
        <f>+Tabla1[[#This Row],[FECHA ENTRADA]]</f>
        <v>45937</v>
      </c>
      <c r="K4220" s="22">
        <v>45982</v>
      </c>
      <c r="L4220" s="23">
        <f>_xlfn.DAYS(Tabla1[[#This Row],[FECHA FIN ]],Tabla1[[#This Row],[FECHA INICIO]])</f>
        <v>45</v>
      </c>
      <c r="M4220" s="12"/>
      <c r="N4220" s="20">
        <v>600</v>
      </c>
      <c r="O4220" s="24">
        <f>(Tabla1[[#This Row],[COSTO FIJO ]]/30)*Tabla1[[#This Row],[TOTAL DIAS PROYECTO]]+(Tabla1[[#This Row],[COSTO TEMPORAL]])</f>
        <v>900</v>
      </c>
      <c r="P4220" s="12"/>
      <c r="Q4220" s="12">
        <f>+(Tabla1[[#This Row],[COSTO COCHE]]/30)*Tabla1[[#This Row],[TOTAL DIAS PROYECTO]]</f>
        <v>0</v>
      </c>
      <c r="R4220" s="12">
        <f>+Tabla1[[#This Row],[COSTO TOTAL ALOJAMIENTO]]+Tabla1[[#This Row],[COSTO TOTAL COCHE]]</f>
        <v>900</v>
      </c>
      <c r="S4220" s="2"/>
      <c r="T4220" s="14" t="s">
        <v>35</v>
      </c>
      <c r="U4220" s="14">
        <v>45937</v>
      </c>
      <c r="V4220" s="79"/>
      <c r="W4220" s="71">
        <v>1200</v>
      </c>
      <c r="X4220" s="2">
        <v>1</v>
      </c>
      <c r="Y4220" s="11" t="s">
        <v>6183</v>
      </c>
      <c r="Z4220" s="2" t="s">
        <v>36</v>
      </c>
      <c r="AA4220" s="13" t="s">
        <v>10323</v>
      </c>
      <c r="AB4220" s="13" t="s">
        <v>10324</v>
      </c>
    </row>
    <row r="4221" spans="1:28" ht="15" customHeight="1">
      <c r="A4221" s="2" t="s">
        <v>9917</v>
      </c>
      <c r="B4221" s="2" t="s">
        <v>711</v>
      </c>
      <c r="C4221" s="31" t="s">
        <v>5405</v>
      </c>
      <c r="D4221" s="2" t="s">
        <v>30</v>
      </c>
      <c r="E4221" s="2" t="s">
        <v>31</v>
      </c>
      <c r="F4221" s="11" t="s">
        <v>32</v>
      </c>
      <c r="G4221" s="11" t="s">
        <v>33</v>
      </c>
      <c r="H4221" s="2" t="s">
        <v>6184</v>
      </c>
      <c r="I4221" s="12" t="s">
        <v>5085</v>
      </c>
      <c r="J4221" s="41">
        <f>+Tabla1[[#This Row],[FECHA ENTRADA]]</f>
        <v>45942</v>
      </c>
      <c r="K4221" s="41">
        <v>45982</v>
      </c>
      <c r="L4221" s="42">
        <f>_xlfn.DAYS(Tabla1[[#This Row],[FECHA FIN ]],Tabla1[[#This Row],[FECHA INICIO]])</f>
        <v>40</v>
      </c>
      <c r="M4221" s="12"/>
      <c r="N4221" s="12">
        <f>875.5/5</f>
        <v>175.1</v>
      </c>
      <c r="O4221" s="28">
        <f>(Tabla1[[#This Row],[COSTO FIJO ]]/30)*Tabla1[[#This Row],[TOTAL DIAS PROYECTO]]+(Tabla1[[#This Row],[COSTO TEMPORAL]])</f>
        <v>233.46666666666667</v>
      </c>
      <c r="P4221" s="12"/>
      <c r="Q4221" s="12">
        <f>+(Tabla1[[#This Row],[COSTO COCHE]]/30)*Tabla1[[#This Row],[TOTAL DIAS PROYECTO]]</f>
        <v>0</v>
      </c>
      <c r="R4221" s="12">
        <f>+Tabla1[[#This Row],[COSTO TOTAL ALOJAMIENTO]]+Tabla1[[#This Row],[COSTO TOTAL COCHE]]</f>
        <v>233.46666666666667</v>
      </c>
      <c r="S4221" s="2"/>
      <c r="T4221" s="14" t="s">
        <v>35</v>
      </c>
      <c r="U4221" s="14">
        <v>45942</v>
      </c>
      <c r="V4221" s="43"/>
      <c r="W4221" s="71"/>
      <c r="X4221" s="2">
        <v>1</v>
      </c>
      <c r="Y4221" s="11" t="s">
        <v>6185</v>
      </c>
      <c r="Z4221" s="2" t="s">
        <v>36</v>
      </c>
      <c r="AA4221" s="13" t="s">
        <v>10323</v>
      </c>
      <c r="AB4221" s="13" t="s">
        <v>10324</v>
      </c>
    </row>
    <row r="4222" spans="1:28" ht="15" customHeight="1">
      <c r="A4222" s="2" t="s">
        <v>10067</v>
      </c>
      <c r="B4222" s="2" t="s">
        <v>978</v>
      </c>
      <c r="C4222" s="31" t="s">
        <v>6186</v>
      </c>
      <c r="D4222" s="2" t="s">
        <v>99</v>
      </c>
      <c r="E4222" s="2" t="s">
        <v>985</v>
      </c>
      <c r="F4222" s="11"/>
      <c r="G4222" s="21"/>
      <c r="H4222" s="2" t="s">
        <v>5617</v>
      </c>
      <c r="I4222" s="12" t="s">
        <v>5618</v>
      </c>
      <c r="J4222" s="22">
        <f>+Tabla1[[#This Row],[FECHA ENTRADA]]</f>
        <v>45945</v>
      </c>
      <c r="K4222" s="22">
        <v>45982</v>
      </c>
      <c r="L4222" s="23">
        <f>_xlfn.DAYS(Tabla1[[#This Row],[FECHA FIN ]],Tabla1[[#This Row],[FECHA INICIO]])</f>
        <v>37</v>
      </c>
      <c r="M4222" s="12"/>
      <c r="N4222" s="20">
        <v>300</v>
      </c>
      <c r="O4222" s="24">
        <f>(Tabla1[[#This Row],[COSTO FIJO ]]/30)*Tabla1[[#This Row],[TOTAL DIAS PROYECTO]]+(Tabla1[[#This Row],[COSTO TEMPORAL]])</f>
        <v>370</v>
      </c>
      <c r="P4222" s="12"/>
      <c r="Q4222" s="12">
        <f>+(Tabla1[[#This Row],[COSTO COCHE]]/30)*Tabla1[[#This Row],[TOTAL DIAS PROYECTO]]</f>
        <v>0</v>
      </c>
      <c r="R4222" s="12">
        <f>+Tabla1[[#This Row],[COSTO TOTAL ALOJAMIENTO]]+Tabla1[[#This Row],[COSTO TOTAL COCHE]]</f>
        <v>370</v>
      </c>
      <c r="S4222" s="2"/>
      <c r="T4222" s="14" t="s">
        <v>58</v>
      </c>
      <c r="U4222" s="14">
        <v>45945</v>
      </c>
      <c r="V4222" s="79"/>
      <c r="W4222" s="71"/>
      <c r="X4222" s="2"/>
      <c r="Y4222" s="11" t="s">
        <v>6187</v>
      </c>
      <c r="Z4222" s="2" t="s">
        <v>36</v>
      </c>
      <c r="AA4222" s="13" t="s">
        <v>10407</v>
      </c>
      <c r="AB4222" s="13" t="s">
        <v>10408</v>
      </c>
    </row>
    <row r="4223" spans="1:28" ht="15" customHeight="1">
      <c r="A4223" s="2" t="s">
        <v>10068</v>
      </c>
      <c r="B4223" s="2" t="s">
        <v>978</v>
      </c>
      <c r="C4223" s="31" t="s">
        <v>6188</v>
      </c>
      <c r="D4223" s="2" t="s">
        <v>30</v>
      </c>
      <c r="E4223" s="2" t="s">
        <v>31</v>
      </c>
      <c r="F4223" s="11" t="s">
        <v>6074</v>
      </c>
      <c r="G4223" s="49" t="s">
        <v>5083</v>
      </c>
      <c r="H4223" s="2" t="s">
        <v>6177</v>
      </c>
      <c r="I4223" s="12" t="s">
        <v>4902</v>
      </c>
      <c r="J4223" s="22">
        <f>+Tabla1[[#This Row],[FECHA ENTRADA]]</f>
        <v>45944</v>
      </c>
      <c r="K4223" s="22">
        <v>46022</v>
      </c>
      <c r="L4223" s="23">
        <f>_xlfn.DAYS(Tabla1[[#This Row],[FECHA FIN ]],Tabla1[[#This Row],[FECHA INICIO]])</f>
        <v>78</v>
      </c>
      <c r="M4223" s="12"/>
      <c r="N4223" s="24">
        <v>540</v>
      </c>
      <c r="O4223" s="24">
        <f>(Tabla1[[#This Row],[COSTO FIJO ]]/30)*Tabla1[[#This Row],[TOTAL DIAS PROYECTO]]+(Tabla1[[#This Row],[COSTO TEMPORAL]])</f>
        <v>1404</v>
      </c>
      <c r="P4223" s="12"/>
      <c r="Q4223" s="12">
        <f>+(Tabla1[[#This Row],[COSTO COCHE]]/30)*Tabla1[[#This Row],[TOTAL DIAS PROYECTO]]</f>
        <v>0</v>
      </c>
      <c r="R4223" s="12">
        <f>+Tabla1[[#This Row],[COSTO TOTAL ALOJAMIENTO]]+Tabla1[[#This Row],[COSTO TOTAL COCHE]]</f>
        <v>1404</v>
      </c>
      <c r="S4223" s="2"/>
      <c r="T4223" s="14" t="s">
        <v>44</v>
      </c>
      <c r="U4223" s="14">
        <v>45944</v>
      </c>
      <c r="V4223" s="25">
        <v>46021</v>
      </c>
      <c r="W4223" s="71"/>
      <c r="X4223" s="2">
        <v>25</v>
      </c>
      <c r="Y4223" s="11" t="s">
        <v>6189</v>
      </c>
      <c r="Z4223" s="2" t="s">
        <v>36</v>
      </c>
      <c r="AA4223" s="13" t="s">
        <v>10323</v>
      </c>
      <c r="AB4223" s="13" t="s">
        <v>10324</v>
      </c>
    </row>
    <row r="4224" spans="1:28" ht="15" customHeight="1">
      <c r="A4224" s="2" t="s">
        <v>10069</v>
      </c>
      <c r="B4224" s="2" t="s">
        <v>711</v>
      </c>
      <c r="C4224" s="11" t="s">
        <v>6190</v>
      </c>
      <c r="D4224" s="2" t="s">
        <v>30</v>
      </c>
      <c r="E4224" s="2" t="s">
        <v>253</v>
      </c>
      <c r="F4224" s="11" t="s">
        <v>5065</v>
      </c>
      <c r="G4224" s="49" t="s">
        <v>1985</v>
      </c>
      <c r="H4224" s="2" t="s">
        <v>6191</v>
      </c>
      <c r="I4224" s="12" t="s">
        <v>2321</v>
      </c>
      <c r="J4224" s="22">
        <f>+Tabla1[[#This Row],[FECHA ENTRADA]]</f>
        <v>45937</v>
      </c>
      <c r="K4224" s="22">
        <v>45982</v>
      </c>
      <c r="L4224" s="23">
        <f>_xlfn.DAYS(Tabla1[[#This Row],[FECHA FIN ]],Tabla1[[#This Row],[FECHA INICIO]])</f>
        <v>45</v>
      </c>
      <c r="M4224" s="12"/>
      <c r="N4224" s="24"/>
      <c r="O4224" s="24">
        <f>(Tabla1[[#This Row],[COSTO FIJO ]]/30)*Tabla1[[#This Row],[TOTAL DIAS PROYECTO]]+(Tabla1[[#This Row],[COSTO TEMPORAL]])</f>
        <v>0</v>
      </c>
      <c r="P4224" s="12"/>
      <c r="Q4224" s="12">
        <f>+(Tabla1[[#This Row],[COSTO COCHE]]/30)*Tabla1[[#This Row],[TOTAL DIAS PROYECTO]]</f>
        <v>0</v>
      </c>
      <c r="R4224" s="12">
        <f>+Tabla1[[#This Row],[COSTO TOTAL ALOJAMIENTO]]+Tabla1[[#This Row],[COSTO TOTAL COCHE]]</f>
        <v>0</v>
      </c>
      <c r="S4224" s="2"/>
      <c r="T4224" s="14" t="s">
        <v>44</v>
      </c>
      <c r="U4224" s="14">
        <v>45937</v>
      </c>
      <c r="V4224" s="25">
        <v>45982</v>
      </c>
      <c r="W4224" s="71"/>
      <c r="X4224" s="2"/>
      <c r="Y4224" s="11" t="s">
        <v>6192</v>
      </c>
      <c r="Z4224" s="2" t="s">
        <v>36</v>
      </c>
      <c r="AA4224" s="13" t="s">
        <v>10357</v>
      </c>
      <c r="AB4224" s="13" t="s">
        <v>10358</v>
      </c>
    </row>
    <row r="4225" spans="1:28" ht="15" customHeight="1">
      <c r="A4225" s="2" t="s">
        <v>9546</v>
      </c>
      <c r="B4225" s="2" t="s">
        <v>28</v>
      </c>
      <c r="C4225" s="11" t="s">
        <v>3590</v>
      </c>
      <c r="D4225" s="2" t="s">
        <v>30</v>
      </c>
      <c r="E4225" s="2" t="s">
        <v>359</v>
      </c>
      <c r="F4225" s="11" t="s">
        <v>6193</v>
      </c>
      <c r="G4225" t="s">
        <v>6194</v>
      </c>
      <c r="H4225" s="2" t="s">
        <v>6195</v>
      </c>
      <c r="I4225" s="12" t="s">
        <v>96</v>
      </c>
      <c r="J4225" s="22">
        <f>+Tabla1[[#This Row],[FECHA ENTRADA]]</f>
        <v>45700</v>
      </c>
      <c r="K4225" s="22">
        <v>45821</v>
      </c>
      <c r="L4225" s="23">
        <f>_xlfn.DAYS(Tabla1[[#This Row],[FECHA FIN ]],Tabla1[[#This Row],[FECHA INICIO]])</f>
        <v>121</v>
      </c>
      <c r="M4225" s="12"/>
      <c r="N4225" s="24"/>
      <c r="O4225" s="24">
        <f>(Tabla1[[#This Row],[COSTO FIJO ]]/30)*Tabla1[[#This Row],[TOTAL DIAS PROYECTO]]+(Tabla1[[#This Row],[COSTO TEMPORAL]])</f>
        <v>0</v>
      </c>
      <c r="P4225" s="12"/>
      <c r="Q4225" s="12">
        <f>+(Tabla1[[#This Row],[COSTO COCHE]]/30)*Tabla1[[#This Row],[TOTAL DIAS PROYECTO]]</f>
        <v>0</v>
      </c>
      <c r="R4225" s="12">
        <f>+Tabla1[[#This Row],[COSTO TOTAL ALOJAMIENTO]]+Tabla1[[#This Row],[COSTO TOTAL COCHE]]</f>
        <v>0</v>
      </c>
      <c r="S4225" s="2"/>
      <c r="T4225" s="2" t="s">
        <v>44</v>
      </c>
      <c r="U4225" s="14">
        <v>45700</v>
      </c>
      <c r="V4225" s="25">
        <v>45709</v>
      </c>
      <c r="W4225" s="26"/>
      <c r="X4225" s="2"/>
      <c r="Y4225" s="11" t="s">
        <v>1120</v>
      </c>
      <c r="Z4225" s="2" t="s">
        <v>36</v>
      </c>
      <c r="AA4225" s="13" t="s">
        <v>10367</v>
      </c>
      <c r="AB4225" s="13">
        <v>3899424</v>
      </c>
    </row>
    <row r="4226" spans="1:28" ht="15" customHeight="1">
      <c r="A4226" s="2" t="s">
        <v>9546</v>
      </c>
      <c r="B4226" s="2" t="s">
        <v>28</v>
      </c>
      <c r="C4226" s="11" t="s">
        <v>3590</v>
      </c>
      <c r="D4226" s="2" t="s">
        <v>30</v>
      </c>
      <c r="E4226" s="2" t="s">
        <v>359</v>
      </c>
      <c r="F4226" s="11" t="s">
        <v>3347</v>
      </c>
      <c r="G4226" s="46" t="s">
        <v>3348</v>
      </c>
      <c r="H4226" s="2" t="s">
        <v>6195</v>
      </c>
      <c r="I4226" s="12" t="s">
        <v>96</v>
      </c>
      <c r="J4226" s="41">
        <f>+Tabla1[[#This Row],[FECHA ENTRADA]]</f>
        <v>45710</v>
      </c>
      <c r="K4226" s="22">
        <v>45870</v>
      </c>
      <c r="L4226" s="42">
        <f>_xlfn.DAYS(Tabla1[[#This Row],[FECHA FIN ]],Tabla1[[#This Row],[FECHA INICIO]])</f>
        <v>160</v>
      </c>
      <c r="M4226" s="12"/>
      <c r="N4226" s="24"/>
      <c r="O4226" s="28">
        <f>(Tabla1[[#This Row],[COSTO FIJO ]]/30)*Tabla1[[#This Row],[TOTAL DIAS PROYECTO]]+(Tabla1[[#This Row],[COSTO TEMPORAL]])</f>
        <v>0</v>
      </c>
      <c r="P4226" s="12"/>
      <c r="Q4226" s="12">
        <f>+(Tabla1[[#This Row],[COSTO COCHE]]/30)*Tabla1[[#This Row],[TOTAL DIAS PROYECTO]]</f>
        <v>0</v>
      </c>
      <c r="R4226" s="12">
        <f>+Tabla1[[#This Row],[COSTO TOTAL ALOJAMIENTO]]+Tabla1[[#This Row],[COSTO TOTAL COCHE]]</f>
        <v>0</v>
      </c>
      <c r="S4226" s="2" t="s">
        <v>84</v>
      </c>
      <c r="T4226" s="2" t="s">
        <v>44</v>
      </c>
      <c r="U4226" s="14">
        <v>45710</v>
      </c>
      <c r="V4226" s="25">
        <v>45870</v>
      </c>
      <c r="W4226" s="26"/>
      <c r="X4226" s="2"/>
      <c r="Y4226" s="11"/>
      <c r="Z4226" s="2" t="s">
        <v>36</v>
      </c>
      <c r="AA4226" s="13" t="s">
        <v>10367</v>
      </c>
      <c r="AB4226" s="13">
        <v>3899424</v>
      </c>
    </row>
    <row r="4227" spans="1:28" ht="15" customHeight="1">
      <c r="A4227" s="2" t="s">
        <v>9546</v>
      </c>
      <c r="B4227" s="2" t="s">
        <v>28</v>
      </c>
      <c r="C4227" s="31" t="s">
        <v>3590</v>
      </c>
      <c r="D4227" s="2" t="s">
        <v>30</v>
      </c>
      <c r="E4227" s="2" t="s">
        <v>359</v>
      </c>
      <c r="F4227" s="11" t="s">
        <v>494</v>
      </c>
      <c r="G4227" s="46" t="s">
        <v>495</v>
      </c>
      <c r="H4227" s="10" t="s">
        <v>6195</v>
      </c>
      <c r="I4227" s="10" t="s">
        <v>96</v>
      </c>
      <c r="J4227" s="41">
        <f>+Tabla1[[#This Row],[FECHA ENTRADA]]</f>
        <v>45870</v>
      </c>
      <c r="K4227" s="22">
        <v>45879</v>
      </c>
      <c r="L4227" s="42">
        <f>_xlfn.DAYS(Tabla1[[#This Row],[FECHA FIN ]],Tabla1[[#This Row],[FECHA INICIO]])</f>
        <v>9</v>
      </c>
      <c r="M4227" s="12"/>
      <c r="N4227" s="28">
        <v>425</v>
      </c>
      <c r="O4227" s="28">
        <f>(Tabla1[[#This Row],[COSTO FIJO ]]/30)*Tabla1[[#This Row],[TOTAL DIAS PROYECTO]]+(Tabla1[[#This Row],[COSTO TEMPORAL]])</f>
        <v>127.5</v>
      </c>
      <c r="P4227" s="12"/>
      <c r="Q4227" s="12">
        <f>+(Tabla1[[#This Row],[COSTO COCHE]]/30)*Tabla1[[#This Row],[TOTAL DIAS PROYECTO]]</f>
        <v>0</v>
      </c>
      <c r="R4227" s="12">
        <f>+Tabla1[[#This Row],[COSTO TOTAL ALOJAMIENTO]]+Tabla1[[#This Row],[COSTO TOTAL COCHE]]</f>
        <v>127.5</v>
      </c>
      <c r="S4227" s="2"/>
      <c r="T4227" s="14" t="s">
        <v>35</v>
      </c>
      <c r="U4227" s="14">
        <v>45870</v>
      </c>
      <c r="V4227" s="43"/>
      <c r="W4227" s="12">
        <v>850</v>
      </c>
      <c r="X4227" s="2">
        <v>1</v>
      </c>
      <c r="Y4227" s="11"/>
      <c r="Z4227" s="2" t="s">
        <v>36</v>
      </c>
      <c r="AA4227" s="13" t="s">
        <v>10367</v>
      </c>
      <c r="AB4227" s="13">
        <v>3899424</v>
      </c>
    </row>
    <row r="4228" spans="1:28" ht="15" customHeight="1">
      <c r="A4228" s="2" t="s">
        <v>9700</v>
      </c>
      <c r="B4228" s="2" t="s">
        <v>368</v>
      </c>
      <c r="C4228" s="11" t="s">
        <v>4306</v>
      </c>
      <c r="D4228" s="2" t="s">
        <v>99</v>
      </c>
      <c r="E4228" s="2" t="s">
        <v>502</v>
      </c>
      <c r="F4228" s="11" t="s">
        <v>6145</v>
      </c>
      <c r="G4228" s="21" t="s">
        <v>6146</v>
      </c>
      <c r="H4228" s="2" t="s">
        <v>6196</v>
      </c>
      <c r="I4228" s="12" t="s">
        <v>2862</v>
      </c>
      <c r="J4228" s="22">
        <f>+Tabla1[[#This Row],[FECHA ENTRADA]]</f>
        <v>45908</v>
      </c>
      <c r="K4228" s="22">
        <f ca="1">TODAY()</f>
        <v>46260</v>
      </c>
      <c r="L4228" s="23">
        <f ca="1">_xlfn.DAYS(Tabla1[[#This Row],[FECHA FIN ]],Tabla1[[#This Row],[FECHA INICIO]])</f>
        <v>352</v>
      </c>
      <c r="M4228" s="12"/>
      <c r="N4228" s="12">
        <v>129</v>
      </c>
      <c r="O4228" s="24">
        <f ca="1">(Tabla1[[#This Row],[COSTO FIJO ]]/30)*Tabla1[[#This Row],[TOTAL DIAS PROYECTO]]+(Tabla1[[#This Row],[COSTO TEMPORAL]])</f>
        <v>1513.6</v>
      </c>
      <c r="P4228" s="12"/>
      <c r="Q4228" s="12">
        <f ca="1">+(Tabla1[[#This Row],[COSTO COCHE]]/30)*Tabla1[[#This Row],[TOTAL DIAS PROYECTO]]</f>
        <v>0</v>
      </c>
      <c r="R4228" s="12">
        <f ca="1">+Tabla1[[#This Row],[COSTO TOTAL ALOJAMIENTO]]+Tabla1[[#This Row],[COSTO TOTAL COCHE]]</f>
        <v>1513.6</v>
      </c>
      <c r="S4228" s="2" t="s">
        <v>403</v>
      </c>
      <c r="T4228" s="14" t="s">
        <v>44</v>
      </c>
      <c r="U4228" s="14">
        <v>45908</v>
      </c>
      <c r="V4228" s="79">
        <v>45913</v>
      </c>
      <c r="W4228" s="71"/>
      <c r="X4228" s="2"/>
      <c r="Y4228" s="11" t="s">
        <v>6197</v>
      </c>
      <c r="Z4228" s="2" t="s">
        <v>36</v>
      </c>
      <c r="AA4228" s="13" t="s">
        <v>10378</v>
      </c>
      <c r="AB4228" s="13" t="s">
        <v>10379</v>
      </c>
    </row>
    <row r="4229" spans="1:28" ht="15" customHeight="1">
      <c r="A4229" s="2" t="s">
        <v>10070</v>
      </c>
      <c r="B4229" s="2" t="s">
        <v>978</v>
      </c>
      <c r="C4229" s="31" t="s">
        <v>6198</v>
      </c>
      <c r="D4229" s="2" t="s">
        <v>99</v>
      </c>
      <c r="E4229" s="2" t="s">
        <v>100</v>
      </c>
      <c r="F4229" s="11" t="s">
        <v>5696</v>
      </c>
      <c r="G4229" s="21">
        <v>34958430344</v>
      </c>
      <c r="H4229" s="2" t="s">
        <v>6199</v>
      </c>
      <c r="I4229" s="12" t="s">
        <v>4663</v>
      </c>
      <c r="J4229" s="22">
        <f>+Tabla1[[#This Row],[FECHA ENTRADA]]</f>
        <v>45950</v>
      </c>
      <c r="K4229" s="22">
        <v>45982</v>
      </c>
      <c r="L4229" s="23">
        <f>_xlfn.DAYS(Tabla1[[#This Row],[FECHA FIN ]],Tabla1[[#This Row],[FECHA INICIO]])</f>
        <v>32</v>
      </c>
      <c r="M4229" s="12">
        <v>200.66666666666666</v>
      </c>
      <c r="N4229" s="20"/>
      <c r="O4229" s="24">
        <f>(Tabla1[[#This Row],[COSTO FIJO ]]/30)*Tabla1[[#This Row],[TOTAL DIAS PROYECTO]]+(Tabla1[[#This Row],[COSTO TEMPORAL]])</f>
        <v>200.66666666666666</v>
      </c>
      <c r="P4229" s="12"/>
      <c r="Q4229" s="12">
        <f>+(Tabla1[[#This Row],[COSTO COCHE]]/30)*Tabla1[[#This Row],[TOTAL DIAS PROYECTO]]</f>
        <v>0</v>
      </c>
      <c r="R4229" s="12">
        <f>+Tabla1[[#This Row],[COSTO TOTAL ALOJAMIENTO]]+Tabla1[[#This Row],[COSTO TOTAL COCHE]]</f>
        <v>200.66666666666666</v>
      </c>
      <c r="S4229" s="2"/>
      <c r="T4229" s="14" t="s">
        <v>44</v>
      </c>
      <c r="U4229" s="14">
        <v>45950</v>
      </c>
      <c r="V4229" s="25">
        <v>45980</v>
      </c>
      <c r="W4229" s="71"/>
      <c r="X4229" s="2"/>
      <c r="Y4229" s="11" t="s">
        <v>6200</v>
      </c>
      <c r="Z4229" s="2" t="s">
        <v>36</v>
      </c>
      <c r="AA4229" s="13" t="s">
        <v>10338</v>
      </c>
      <c r="AB4229" s="13">
        <v>3718817</v>
      </c>
    </row>
    <row r="4230" spans="1:28" ht="15" customHeight="1">
      <c r="A4230" s="2" t="s">
        <v>10071</v>
      </c>
      <c r="B4230" s="2" t="s">
        <v>978</v>
      </c>
      <c r="C4230" s="31" t="s">
        <v>6201</v>
      </c>
      <c r="D4230" s="2" t="s">
        <v>30</v>
      </c>
      <c r="E4230" s="2" t="s">
        <v>985</v>
      </c>
      <c r="F4230" s="11" t="s">
        <v>6010</v>
      </c>
      <c r="G4230" s="46" t="s">
        <v>5616</v>
      </c>
      <c r="H4230" s="2" t="s">
        <v>6008</v>
      </c>
      <c r="I4230" s="12" t="s">
        <v>5618</v>
      </c>
      <c r="J4230" s="41">
        <f>+Tabla1[[#This Row],[FECHA ENTRADA]]</f>
        <v>45943</v>
      </c>
      <c r="K4230" s="22">
        <v>45982</v>
      </c>
      <c r="L4230" s="42">
        <f>_xlfn.DAYS(Tabla1[[#This Row],[FECHA FIN ]],Tabla1[[#This Row],[FECHA INICIO]])</f>
        <v>39</v>
      </c>
      <c r="M4230" s="12">
        <f>2603.7/5</f>
        <v>520.74</v>
      </c>
      <c r="N4230" s="28"/>
      <c r="O4230" s="28">
        <f>(Tabla1[[#This Row],[COSTO FIJO ]]/30)*Tabla1[[#This Row],[TOTAL DIAS PROYECTO]]+(Tabla1[[#This Row],[COSTO TEMPORAL]])</f>
        <v>520.74</v>
      </c>
      <c r="P4230" s="12"/>
      <c r="Q4230" s="12">
        <f>+(Tabla1[[#This Row],[COSTO COCHE]]/30)*Tabla1[[#This Row],[TOTAL DIAS PROYECTO]]</f>
        <v>0</v>
      </c>
      <c r="R4230" s="12">
        <f>+Tabla1[[#This Row],[COSTO TOTAL ALOJAMIENTO]]+Tabla1[[#This Row],[COSTO TOTAL COCHE]]</f>
        <v>520.74</v>
      </c>
      <c r="S4230" s="2" t="s">
        <v>84</v>
      </c>
      <c r="T4230" s="14" t="s">
        <v>44</v>
      </c>
      <c r="U4230" s="14">
        <v>45943</v>
      </c>
      <c r="V4230" s="43">
        <v>45993</v>
      </c>
      <c r="W4230" s="71"/>
      <c r="X4230" s="2"/>
      <c r="Y4230" s="11" t="s">
        <v>6202</v>
      </c>
      <c r="Z4230" s="2" t="s">
        <v>36</v>
      </c>
      <c r="AA4230" s="13" t="s">
        <v>10407</v>
      </c>
      <c r="AB4230" s="13" t="s">
        <v>10408</v>
      </c>
    </row>
    <row r="4231" spans="1:28" ht="15" customHeight="1">
      <c r="A4231" s="2" t="s">
        <v>10053</v>
      </c>
      <c r="B4231" s="2" t="s">
        <v>978</v>
      </c>
      <c r="C4231" s="97" t="s">
        <v>6100</v>
      </c>
      <c r="D4231" s="2" t="s">
        <v>99</v>
      </c>
      <c r="E4231" s="2" t="s">
        <v>985</v>
      </c>
      <c r="F4231" s="11" t="s">
        <v>6007</v>
      </c>
      <c r="G4231" s="46" t="s">
        <v>5616</v>
      </c>
      <c r="H4231" s="2" t="s">
        <v>5784</v>
      </c>
      <c r="I4231" s="12" t="s">
        <v>5618</v>
      </c>
      <c r="J4231" s="22">
        <f>+Tabla1[[#This Row],[FECHA ENTRADA]]</f>
        <v>45974</v>
      </c>
      <c r="K4231" s="22">
        <v>45982</v>
      </c>
      <c r="L4231" s="23">
        <f>_xlfn.DAYS(Tabla1[[#This Row],[FECHA FIN ]],Tabla1[[#This Row],[FECHA INICIO]])</f>
        <v>8</v>
      </c>
      <c r="M4231" s="12">
        <f>2241.05/4</f>
        <v>560.26250000000005</v>
      </c>
      <c r="N4231" s="20"/>
      <c r="O4231" s="24">
        <f>(Tabla1[[#This Row],[COSTO FIJO ]]/30)*Tabla1[[#This Row],[TOTAL DIAS PROYECTO]]+(Tabla1[[#This Row],[COSTO TEMPORAL]])</f>
        <v>560.26250000000005</v>
      </c>
      <c r="P4231" s="12"/>
      <c r="Q4231" s="12">
        <f>+(Tabla1[[#This Row],[COSTO COCHE]]/30)*Tabla1[[#This Row],[TOTAL DIAS PROYECTO]]</f>
        <v>0</v>
      </c>
      <c r="R4231" s="12">
        <f>+Tabla1[[#This Row],[COSTO TOTAL ALOJAMIENTO]]+Tabla1[[#This Row],[COSTO TOTAL COCHE]]</f>
        <v>560.26250000000005</v>
      </c>
      <c r="S4231" s="2" t="s">
        <v>84</v>
      </c>
      <c r="T4231" s="14" t="s">
        <v>44</v>
      </c>
      <c r="U4231" s="14">
        <v>45974</v>
      </c>
      <c r="V4231" s="43">
        <v>45993</v>
      </c>
      <c r="W4231" s="71"/>
      <c r="X4231" s="2"/>
      <c r="Y4231" s="11" t="s">
        <v>6202</v>
      </c>
      <c r="Z4231" s="2" t="s">
        <v>36</v>
      </c>
      <c r="AA4231" s="13" t="s">
        <v>10407</v>
      </c>
      <c r="AB4231" s="13" t="s">
        <v>10408</v>
      </c>
    </row>
    <row r="4232" spans="1:28" ht="15" customHeight="1">
      <c r="A4232" s="2" t="s">
        <v>9926</v>
      </c>
      <c r="B4232" s="2" t="s">
        <v>978</v>
      </c>
      <c r="C4232" s="97" t="s">
        <v>5492</v>
      </c>
      <c r="D4232" s="2" t="s">
        <v>99</v>
      </c>
      <c r="E4232" s="2" t="s">
        <v>985</v>
      </c>
      <c r="F4232" s="11" t="s">
        <v>6007</v>
      </c>
      <c r="G4232" s="46" t="s">
        <v>5616</v>
      </c>
      <c r="H4232" s="2" t="s">
        <v>5617</v>
      </c>
      <c r="I4232" s="12" t="s">
        <v>5618</v>
      </c>
      <c r="J4232" s="22">
        <f>+Tabla1[[#This Row],[FECHA ENTRADA]]</f>
        <v>45974</v>
      </c>
      <c r="K4232" s="22">
        <v>45982</v>
      </c>
      <c r="L4232" s="23">
        <f>_xlfn.DAYS(Tabla1[[#This Row],[FECHA FIN ]],Tabla1[[#This Row],[FECHA INICIO]])</f>
        <v>8</v>
      </c>
      <c r="M4232" s="12">
        <f>2241.05/4</f>
        <v>560.26250000000005</v>
      </c>
      <c r="N4232" s="20"/>
      <c r="O4232" s="24">
        <f>(Tabla1[[#This Row],[COSTO FIJO ]]/30)*Tabla1[[#This Row],[TOTAL DIAS PROYECTO]]+(Tabla1[[#This Row],[COSTO TEMPORAL]])</f>
        <v>560.26250000000005</v>
      </c>
      <c r="P4232" s="12"/>
      <c r="Q4232" s="12">
        <f>+(Tabla1[[#This Row],[COSTO COCHE]]/30)*Tabla1[[#This Row],[TOTAL DIAS PROYECTO]]</f>
        <v>0</v>
      </c>
      <c r="R4232" s="12">
        <f>+Tabla1[[#This Row],[COSTO TOTAL ALOJAMIENTO]]+Tabla1[[#This Row],[COSTO TOTAL COCHE]]</f>
        <v>560.26250000000005</v>
      </c>
      <c r="S4232" s="2" t="s">
        <v>84</v>
      </c>
      <c r="T4232" s="14" t="s">
        <v>44</v>
      </c>
      <c r="U4232" s="14">
        <v>45974</v>
      </c>
      <c r="V4232" s="43">
        <v>45993</v>
      </c>
      <c r="W4232" s="71"/>
      <c r="X4232" s="2"/>
      <c r="Y4232" s="11" t="s">
        <v>6202</v>
      </c>
      <c r="Z4232" s="2" t="s">
        <v>36</v>
      </c>
      <c r="AA4232" s="13" t="s">
        <v>10407</v>
      </c>
      <c r="AB4232" s="13" t="s">
        <v>10408</v>
      </c>
    </row>
    <row r="4233" spans="1:28" ht="15" customHeight="1">
      <c r="A4233" s="2" t="s">
        <v>9901</v>
      </c>
      <c r="B4233" s="2" t="s">
        <v>978</v>
      </c>
      <c r="C4233" s="31" t="s">
        <v>5298</v>
      </c>
      <c r="D4233" s="2" t="s">
        <v>30</v>
      </c>
      <c r="E4233" s="2" t="s">
        <v>985</v>
      </c>
      <c r="F4233" s="11" t="s">
        <v>6010</v>
      </c>
      <c r="G4233" s="46" t="s">
        <v>5616</v>
      </c>
      <c r="H4233" s="2" t="s">
        <v>5718</v>
      </c>
      <c r="I4233" s="12" t="s">
        <v>5618</v>
      </c>
      <c r="J4233" s="22">
        <f>+Tabla1[[#This Row],[FECHA ENTRADA]]</f>
        <v>45974</v>
      </c>
      <c r="K4233" s="22">
        <v>45982</v>
      </c>
      <c r="L4233" s="23">
        <f>_xlfn.DAYS(Tabla1[[#This Row],[FECHA FIN ]],Tabla1[[#This Row],[FECHA INICIO]])</f>
        <v>8</v>
      </c>
      <c r="M4233" s="12">
        <f>2603.7/5</f>
        <v>520.74</v>
      </c>
      <c r="N4233" s="20"/>
      <c r="O4233" s="24">
        <f>(Tabla1[[#This Row],[COSTO FIJO ]]/30)*Tabla1[[#This Row],[TOTAL DIAS PROYECTO]]+(Tabla1[[#This Row],[COSTO TEMPORAL]])</f>
        <v>520.74</v>
      </c>
      <c r="P4233" s="12"/>
      <c r="Q4233" s="12">
        <f>+(Tabla1[[#This Row],[COSTO COCHE]]/30)*Tabla1[[#This Row],[TOTAL DIAS PROYECTO]]</f>
        <v>0</v>
      </c>
      <c r="R4233" s="12">
        <f>+Tabla1[[#This Row],[COSTO TOTAL ALOJAMIENTO]]+Tabla1[[#This Row],[COSTO TOTAL COCHE]]</f>
        <v>520.74</v>
      </c>
      <c r="S4233" s="2" t="s">
        <v>84</v>
      </c>
      <c r="T4233" s="14" t="s">
        <v>44</v>
      </c>
      <c r="U4233" s="14">
        <v>45974</v>
      </c>
      <c r="V4233" s="43">
        <v>45993</v>
      </c>
      <c r="W4233" s="71"/>
      <c r="X4233" s="2"/>
      <c r="Y4233" s="11" t="s">
        <v>6202</v>
      </c>
      <c r="Z4233" s="2" t="s">
        <v>36</v>
      </c>
      <c r="AA4233" s="13" t="s">
        <v>10407</v>
      </c>
      <c r="AB4233" s="13" t="s">
        <v>10408</v>
      </c>
    </row>
    <row r="4234" spans="1:28" ht="15" customHeight="1">
      <c r="A4234" s="2" t="s">
        <v>9990</v>
      </c>
      <c r="B4234" s="2" t="s">
        <v>978</v>
      </c>
      <c r="C4234" s="31" t="s">
        <v>5853</v>
      </c>
      <c r="D4234" s="2" t="s">
        <v>30</v>
      </c>
      <c r="E4234" s="2" t="s">
        <v>985</v>
      </c>
      <c r="F4234" s="11" t="s">
        <v>6010</v>
      </c>
      <c r="G4234" s="46" t="s">
        <v>5616</v>
      </c>
      <c r="H4234" s="2" t="s">
        <v>5718</v>
      </c>
      <c r="I4234" s="12" t="s">
        <v>5618</v>
      </c>
      <c r="J4234" s="22">
        <f>+Tabla1[[#This Row],[FECHA ENTRADA]]</f>
        <v>45974</v>
      </c>
      <c r="K4234" s="22">
        <v>45982</v>
      </c>
      <c r="L4234" s="23">
        <f>_xlfn.DAYS(Tabla1[[#This Row],[FECHA FIN ]],Tabla1[[#This Row],[FECHA INICIO]])</f>
        <v>8</v>
      </c>
      <c r="M4234" s="12">
        <f>2603.7/5</f>
        <v>520.74</v>
      </c>
      <c r="N4234" s="20"/>
      <c r="O4234" s="24">
        <f>(Tabla1[[#This Row],[COSTO FIJO ]]/30)*Tabla1[[#This Row],[TOTAL DIAS PROYECTO]]+(Tabla1[[#This Row],[COSTO TEMPORAL]])</f>
        <v>520.74</v>
      </c>
      <c r="P4234" s="12"/>
      <c r="Q4234" s="12">
        <f>+(Tabla1[[#This Row],[COSTO COCHE]]/30)*Tabla1[[#This Row],[TOTAL DIAS PROYECTO]]</f>
        <v>0</v>
      </c>
      <c r="R4234" s="12">
        <f>+Tabla1[[#This Row],[COSTO TOTAL ALOJAMIENTO]]+Tabla1[[#This Row],[COSTO TOTAL COCHE]]</f>
        <v>520.74</v>
      </c>
      <c r="S4234" s="2" t="s">
        <v>84</v>
      </c>
      <c r="T4234" s="14" t="s">
        <v>44</v>
      </c>
      <c r="U4234" s="14">
        <v>45974</v>
      </c>
      <c r="V4234" s="43">
        <v>45993</v>
      </c>
      <c r="W4234" s="71"/>
      <c r="X4234" s="2"/>
      <c r="Y4234" s="11" t="s">
        <v>6202</v>
      </c>
      <c r="Z4234" s="2" t="s">
        <v>36</v>
      </c>
      <c r="AA4234" s="13" t="s">
        <v>10407</v>
      </c>
      <c r="AB4234" s="13" t="s">
        <v>10408</v>
      </c>
    </row>
    <row r="4235" spans="1:28" ht="15" customHeight="1">
      <c r="A4235" s="2" t="s">
        <v>9991</v>
      </c>
      <c r="B4235" s="2" t="s">
        <v>978</v>
      </c>
      <c r="C4235" s="31" t="s">
        <v>5854</v>
      </c>
      <c r="D4235" s="2" t="s">
        <v>30</v>
      </c>
      <c r="E4235" s="2" t="s">
        <v>985</v>
      </c>
      <c r="F4235" s="11" t="s">
        <v>6010</v>
      </c>
      <c r="G4235" s="46" t="s">
        <v>5616</v>
      </c>
      <c r="H4235" s="2" t="s">
        <v>5718</v>
      </c>
      <c r="I4235" s="12" t="s">
        <v>5618</v>
      </c>
      <c r="J4235" s="22">
        <f>+Tabla1[[#This Row],[FECHA ENTRADA]]</f>
        <v>45974</v>
      </c>
      <c r="K4235" s="22">
        <v>45982</v>
      </c>
      <c r="L4235" s="23">
        <f>_xlfn.DAYS(Tabla1[[#This Row],[FECHA FIN ]],Tabla1[[#This Row],[FECHA INICIO]])</f>
        <v>8</v>
      </c>
      <c r="M4235" s="12">
        <f>2603.7/5</f>
        <v>520.74</v>
      </c>
      <c r="N4235" s="20"/>
      <c r="O4235" s="24">
        <f>(Tabla1[[#This Row],[COSTO FIJO ]]/30)*Tabla1[[#This Row],[TOTAL DIAS PROYECTO]]+(Tabla1[[#This Row],[COSTO TEMPORAL]])</f>
        <v>520.74</v>
      </c>
      <c r="P4235" s="12"/>
      <c r="Q4235" s="12">
        <f>+(Tabla1[[#This Row],[COSTO COCHE]]/30)*Tabla1[[#This Row],[TOTAL DIAS PROYECTO]]</f>
        <v>0</v>
      </c>
      <c r="R4235" s="12">
        <f>+Tabla1[[#This Row],[COSTO TOTAL ALOJAMIENTO]]+Tabla1[[#This Row],[COSTO TOTAL COCHE]]</f>
        <v>520.74</v>
      </c>
      <c r="S4235" s="2" t="s">
        <v>84</v>
      </c>
      <c r="T4235" s="14" t="s">
        <v>44</v>
      </c>
      <c r="U4235" s="14">
        <v>45974</v>
      </c>
      <c r="V4235" s="43">
        <v>45993</v>
      </c>
      <c r="W4235" s="71"/>
      <c r="X4235" s="2"/>
      <c r="Y4235" s="11" t="s">
        <v>6202</v>
      </c>
      <c r="Z4235" s="2" t="s">
        <v>36</v>
      </c>
      <c r="AA4235" s="13" t="s">
        <v>10407</v>
      </c>
      <c r="AB4235" s="13" t="s">
        <v>10408</v>
      </c>
    </row>
    <row r="4236" spans="1:28" ht="15" customHeight="1">
      <c r="A4236" s="2" t="s">
        <v>10049</v>
      </c>
      <c r="B4236" s="2" t="s">
        <v>978</v>
      </c>
      <c r="C4236" s="31" t="s">
        <v>6064</v>
      </c>
      <c r="D4236" s="2" t="s">
        <v>99</v>
      </c>
      <c r="E4236" s="2" t="s">
        <v>985</v>
      </c>
      <c r="F4236" s="11" t="s">
        <v>6007</v>
      </c>
      <c r="G4236" s="46" t="s">
        <v>5616</v>
      </c>
      <c r="H4236" s="2" t="s">
        <v>5617</v>
      </c>
      <c r="I4236" s="12" t="s">
        <v>5618</v>
      </c>
      <c r="J4236" s="22">
        <f>+Tabla1[[#This Row],[FECHA ENTRADA]]</f>
        <v>45974</v>
      </c>
      <c r="K4236" s="22">
        <v>45982</v>
      </c>
      <c r="L4236" s="23">
        <f>_xlfn.DAYS(Tabla1[[#This Row],[FECHA FIN ]],Tabla1[[#This Row],[FECHA INICIO]])</f>
        <v>8</v>
      </c>
      <c r="M4236" s="12">
        <f>2241.05/4</f>
        <v>560.26250000000005</v>
      </c>
      <c r="N4236" s="20"/>
      <c r="O4236" s="24">
        <f>(Tabla1[[#This Row],[COSTO FIJO ]]/30)*Tabla1[[#This Row],[TOTAL DIAS PROYECTO]]+(Tabla1[[#This Row],[COSTO TEMPORAL]])</f>
        <v>560.26250000000005</v>
      </c>
      <c r="P4236" s="12"/>
      <c r="Q4236" s="12">
        <f>+(Tabla1[[#This Row],[COSTO COCHE]]/30)*Tabla1[[#This Row],[TOTAL DIAS PROYECTO]]</f>
        <v>0</v>
      </c>
      <c r="R4236" s="12">
        <f>+Tabla1[[#This Row],[COSTO TOTAL ALOJAMIENTO]]+Tabla1[[#This Row],[COSTO TOTAL COCHE]]</f>
        <v>560.26250000000005</v>
      </c>
      <c r="S4236" s="2" t="s">
        <v>84</v>
      </c>
      <c r="T4236" s="14" t="s">
        <v>44</v>
      </c>
      <c r="U4236" s="14">
        <v>45974</v>
      </c>
      <c r="V4236" s="43">
        <v>45993</v>
      </c>
      <c r="W4236" s="71"/>
      <c r="X4236" s="2"/>
      <c r="Y4236" s="11" t="s">
        <v>6202</v>
      </c>
      <c r="Z4236" s="2" t="s">
        <v>36</v>
      </c>
      <c r="AA4236" s="13" t="s">
        <v>10407</v>
      </c>
      <c r="AB4236" s="13" t="s">
        <v>10408</v>
      </c>
    </row>
    <row r="4237" spans="1:28" ht="15" customHeight="1">
      <c r="A4237" s="117" t="s">
        <v>8642</v>
      </c>
      <c r="B4237" s="117" t="s">
        <v>978</v>
      </c>
      <c r="C4237" s="118" t="s">
        <v>6203</v>
      </c>
      <c r="D4237" s="117" t="s">
        <v>30</v>
      </c>
      <c r="E4237" s="117" t="s">
        <v>1161</v>
      </c>
      <c r="F4237" s="11" t="s">
        <v>6002</v>
      </c>
      <c r="G4237" s="68" t="s">
        <v>6003</v>
      </c>
      <c r="H4237" s="117" t="s">
        <v>6004</v>
      </c>
      <c r="I4237" s="119" t="s">
        <v>1165</v>
      </c>
      <c r="J4237" s="120">
        <f>+Tabla1[[#This Row],[FECHA ENTRADA]]</f>
        <v>45963</v>
      </c>
      <c r="K4237" s="120">
        <v>45982</v>
      </c>
      <c r="L4237" s="122">
        <f>_xlfn.DAYS(Tabla1[[#This Row],[FECHA FIN ]],Tabla1[[#This Row],[FECHA INICIO]])</f>
        <v>19</v>
      </c>
      <c r="M4237" s="119">
        <f>(871.86+853.6)/4</f>
        <v>431.36500000000001</v>
      </c>
      <c r="N4237" s="123"/>
      <c r="O4237" s="123">
        <f>(Tabla1[[#This Row],[COSTO FIJO ]]/30)*Tabla1[[#This Row],[TOTAL DIAS PROYECTO]]+(Tabla1[[#This Row],[COSTO TEMPORAL]])</f>
        <v>431.36500000000001</v>
      </c>
      <c r="P4237" s="119"/>
      <c r="Q4237" s="119">
        <f>+(Tabla1[[#This Row],[COSTO COCHE]]/30)*Tabla1[[#This Row],[TOTAL DIAS PROYECTO]]</f>
        <v>0</v>
      </c>
      <c r="R4237" s="119">
        <f>+Tabla1[[#This Row],[COSTO TOTAL ALOJAMIENTO]]+Tabla1[[#This Row],[COSTO TOTAL COCHE]]</f>
        <v>431.36500000000001</v>
      </c>
      <c r="S4237" s="117" t="s">
        <v>84</v>
      </c>
      <c r="T4237" s="124" t="s">
        <v>44</v>
      </c>
      <c r="U4237" s="124">
        <v>45963</v>
      </c>
      <c r="V4237" s="159">
        <v>45983</v>
      </c>
      <c r="W4237" s="126"/>
      <c r="X4237" s="117"/>
      <c r="Y4237" s="118" t="s">
        <v>6204</v>
      </c>
      <c r="Z4237" s="117" t="s">
        <v>36</v>
      </c>
      <c r="AA4237" s="127" t="s">
        <v>10413</v>
      </c>
      <c r="AB4237" s="127">
        <v>3652672</v>
      </c>
    </row>
    <row r="4238" spans="1:28" ht="15" customHeight="1">
      <c r="A4238" s="117" t="s">
        <v>10072</v>
      </c>
      <c r="B4238" s="117" t="s">
        <v>978</v>
      </c>
      <c r="C4238" s="118" t="s">
        <v>6205</v>
      </c>
      <c r="D4238" s="117" t="s">
        <v>30</v>
      </c>
      <c r="E4238" s="117" t="s">
        <v>1161</v>
      </c>
      <c r="F4238" s="11" t="s">
        <v>6002</v>
      </c>
      <c r="G4238" s="68" t="s">
        <v>6003</v>
      </c>
      <c r="H4238" s="117" t="s">
        <v>6004</v>
      </c>
      <c r="I4238" s="119" t="s">
        <v>1165</v>
      </c>
      <c r="J4238" s="120">
        <f>+Tabla1[[#This Row],[FECHA ENTRADA]]</f>
        <v>45963</v>
      </c>
      <c r="K4238" s="120">
        <v>45982</v>
      </c>
      <c r="L4238" s="122">
        <f>_xlfn.DAYS(Tabla1[[#This Row],[FECHA FIN ]],Tabla1[[#This Row],[FECHA INICIO]])</f>
        <v>19</v>
      </c>
      <c r="M4238" s="119">
        <f>(871.86+853.6)/4</f>
        <v>431.36500000000001</v>
      </c>
      <c r="N4238" s="123"/>
      <c r="O4238" s="123">
        <f>(Tabla1[[#This Row],[COSTO FIJO ]]/30)*Tabla1[[#This Row],[TOTAL DIAS PROYECTO]]+(Tabla1[[#This Row],[COSTO TEMPORAL]])</f>
        <v>431.36500000000001</v>
      </c>
      <c r="P4238" s="119"/>
      <c r="Q4238" s="119">
        <f>+(Tabla1[[#This Row],[COSTO COCHE]]/30)*Tabla1[[#This Row],[TOTAL DIAS PROYECTO]]</f>
        <v>0</v>
      </c>
      <c r="R4238" s="119">
        <f>+Tabla1[[#This Row],[COSTO TOTAL ALOJAMIENTO]]+Tabla1[[#This Row],[COSTO TOTAL COCHE]]</f>
        <v>431.36500000000001</v>
      </c>
      <c r="S4238" s="117" t="s">
        <v>84</v>
      </c>
      <c r="T4238" s="124" t="s">
        <v>44</v>
      </c>
      <c r="U4238" s="124">
        <v>45963</v>
      </c>
      <c r="V4238" s="125">
        <v>45983</v>
      </c>
      <c r="W4238" s="126"/>
      <c r="X4238" s="117"/>
      <c r="Y4238" s="118" t="s">
        <v>6204</v>
      </c>
      <c r="Z4238" s="117" t="s">
        <v>36</v>
      </c>
      <c r="AA4238" s="127" t="s">
        <v>10413</v>
      </c>
      <c r="AB4238" s="127">
        <v>3652672</v>
      </c>
    </row>
    <row r="4239" spans="1:28" ht="15" customHeight="1">
      <c r="A4239" s="117" t="s">
        <v>10052</v>
      </c>
      <c r="B4239" s="117" t="s">
        <v>978</v>
      </c>
      <c r="C4239" s="290" t="s">
        <v>6096</v>
      </c>
      <c r="D4239" s="117" t="s">
        <v>30</v>
      </c>
      <c r="E4239" s="117" t="s">
        <v>1161</v>
      </c>
      <c r="F4239" s="11" t="s">
        <v>6002</v>
      </c>
      <c r="G4239" s="68" t="s">
        <v>6003</v>
      </c>
      <c r="H4239" s="117" t="s">
        <v>6004</v>
      </c>
      <c r="I4239" s="119" t="s">
        <v>1165</v>
      </c>
      <c r="J4239" s="120">
        <f>+Tabla1[[#This Row],[FECHA ENTRADA]]</f>
        <v>45963</v>
      </c>
      <c r="K4239" s="120">
        <v>45982</v>
      </c>
      <c r="L4239" s="122">
        <f>_xlfn.DAYS(Tabla1[[#This Row],[FECHA FIN ]],Tabla1[[#This Row],[FECHA INICIO]])</f>
        <v>19</v>
      </c>
      <c r="M4239" s="119">
        <f>(871.86+853.6)/4</f>
        <v>431.36500000000001</v>
      </c>
      <c r="N4239" s="123"/>
      <c r="O4239" s="123">
        <f>(Tabla1[[#This Row],[COSTO FIJO ]]/30)*Tabla1[[#This Row],[TOTAL DIAS PROYECTO]]+(Tabla1[[#This Row],[COSTO TEMPORAL]])</f>
        <v>431.36500000000001</v>
      </c>
      <c r="P4239" s="119"/>
      <c r="Q4239" s="119">
        <f>+(Tabla1[[#This Row],[COSTO COCHE]]/30)*Tabla1[[#This Row],[TOTAL DIAS PROYECTO]]</f>
        <v>0</v>
      </c>
      <c r="R4239" s="119">
        <f>+Tabla1[[#This Row],[COSTO TOTAL ALOJAMIENTO]]+Tabla1[[#This Row],[COSTO TOTAL COCHE]]</f>
        <v>431.36500000000001</v>
      </c>
      <c r="S4239" s="117" t="s">
        <v>84</v>
      </c>
      <c r="T4239" s="124" t="s">
        <v>44</v>
      </c>
      <c r="U4239" s="124">
        <v>45963</v>
      </c>
      <c r="V4239" s="125">
        <v>45983</v>
      </c>
      <c r="W4239" s="126"/>
      <c r="X4239" s="117"/>
      <c r="Y4239" s="118" t="s">
        <v>6204</v>
      </c>
      <c r="Z4239" s="117" t="s">
        <v>36</v>
      </c>
      <c r="AA4239" s="127" t="s">
        <v>10413</v>
      </c>
      <c r="AB4239" s="127">
        <v>3652672</v>
      </c>
    </row>
    <row r="4240" spans="1:28" ht="15" customHeight="1">
      <c r="A4240" s="2" t="s">
        <v>9177</v>
      </c>
      <c r="B4240" s="2" t="s">
        <v>978</v>
      </c>
      <c r="C4240" s="11" t="s">
        <v>2328</v>
      </c>
      <c r="D4240" s="2" t="s">
        <v>30</v>
      </c>
      <c r="E4240" s="2" t="s">
        <v>245</v>
      </c>
      <c r="F4240" s="11" t="s">
        <v>5418</v>
      </c>
      <c r="G4240" s="46" t="s">
        <v>5419</v>
      </c>
      <c r="H4240" s="2" t="s">
        <v>5389</v>
      </c>
      <c r="I4240" s="12" t="s">
        <v>5047</v>
      </c>
      <c r="J4240" s="41">
        <f>+Tabla1[[#This Row],[FECHA ENTRADA]]</f>
        <v>45931</v>
      </c>
      <c r="K4240" s="41">
        <v>45932</v>
      </c>
      <c r="L4240" s="42">
        <f>_xlfn.DAYS(Tabla1[[#This Row],[FECHA FIN ]],Tabla1[[#This Row],[FECHA INICIO]])</f>
        <v>1</v>
      </c>
      <c r="M4240" s="12">
        <v>29</v>
      </c>
      <c r="N4240" s="28"/>
      <c r="O4240" s="28">
        <f>(Tabla1[[#This Row],[COSTO FIJO ]]/30)*Tabla1[[#This Row],[TOTAL DIAS PROYECTO]]+(Tabla1[[#This Row],[COSTO TEMPORAL]])</f>
        <v>29</v>
      </c>
      <c r="P4240" s="12"/>
      <c r="Q4240" s="12">
        <f>+(Tabla1[[#This Row],[COSTO COCHE]]/30)*Tabla1[[#This Row],[TOTAL DIAS PROYECTO]]</f>
        <v>0</v>
      </c>
      <c r="R4240" s="12">
        <f>+Tabla1[[#This Row],[COSTO TOTAL ALOJAMIENTO]]+Tabla1[[#This Row],[COSTO TOTAL COCHE]]</f>
        <v>29</v>
      </c>
      <c r="S4240" s="2" t="s">
        <v>403</v>
      </c>
      <c r="T4240" s="14" t="s">
        <v>44</v>
      </c>
      <c r="U4240" s="14">
        <v>45931</v>
      </c>
      <c r="V4240" s="43">
        <v>45932</v>
      </c>
      <c r="W4240" s="71"/>
      <c r="X4240" s="2"/>
      <c r="Y4240" s="11" t="s">
        <v>1120</v>
      </c>
      <c r="Z4240" s="2" t="s">
        <v>36</v>
      </c>
      <c r="AA4240" s="13" t="s">
        <v>10355</v>
      </c>
      <c r="AB4240" s="13" t="s">
        <v>10356</v>
      </c>
    </row>
    <row r="4241" spans="1:28" ht="15.75" customHeight="1">
      <c r="A4241" s="2" t="s">
        <v>9893</v>
      </c>
      <c r="B4241" s="2" t="s">
        <v>978</v>
      </c>
      <c r="C4241" s="11" t="s">
        <v>5239</v>
      </c>
      <c r="D4241" s="2" t="s">
        <v>30</v>
      </c>
      <c r="E4241" s="2" t="s">
        <v>245</v>
      </c>
      <c r="F4241" s="11" t="s">
        <v>5418</v>
      </c>
      <c r="G4241" s="46" t="s">
        <v>5419</v>
      </c>
      <c r="H4241" s="2" t="s">
        <v>1468</v>
      </c>
      <c r="I4241" s="12" t="s">
        <v>5047</v>
      </c>
      <c r="J4241" s="41">
        <f>+Tabla1[[#This Row],[FECHA ENTRADA]]</f>
        <v>45931</v>
      </c>
      <c r="K4241" s="41">
        <v>45932</v>
      </c>
      <c r="L4241" s="42">
        <f>_xlfn.DAYS(Tabla1[[#This Row],[FECHA FIN ]],Tabla1[[#This Row],[FECHA INICIO]])</f>
        <v>1</v>
      </c>
      <c r="M4241" s="12">
        <v>29</v>
      </c>
      <c r="N4241" s="28"/>
      <c r="O4241" s="28">
        <f>(Tabla1[[#This Row],[COSTO FIJO ]]/30)*Tabla1[[#This Row],[TOTAL DIAS PROYECTO]]+(Tabla1[[#This Row],[COSTO TEMPORAL]])</f>
        <v>29</v>
      </c>
      <c r="P4241" s="12"/>
      <c r="Q4241" s="12">
        <f>+(Tabla1[[#This Row],[COSTO COCHE]]/30)*Tabla1[[#This Row],[TOTAL DIAS PROYECTO]]</f>
        <v>0</v>
      </c>
      <c r="R4241" s="12">
        <f>+Tabla1[[#This Row],[COSTO TOTAL ALOJAMIENTO]]+Tabla1[[#This Row],[COSTO TOTAL COCHE]]</f>
        <v>29</v>
      </c>
      <c r="S4241" s="2" t="s">
        <v>403</v>
      </c>
      <c r="T4241" s="14" t="s">
        <v>44</v>
      </c>
      <c r="U4241" s="14">
        <v>45931</v>
      </c>
      <c r="V4241" s="43">
        <v>45932</v>
      </c>
      <c r="W4241" s="71"/>
      <c r="X4241" s="2"/>
      <c r="Y4241" s="11" t="s">
        <v>1120</v>
      </c>
      <c r="Z4241" s="2" t="s">
        <v>36</v>
      </c>
      <c r="AA4241" s="13" t="s">
        <v>10355</v>
      </c>
      <c r="AB4241" s="13" t="s">
        <v>10356</v>
      </c>
    </row>
    <row r="4242" spans="1:28" ht="15.75" customHeight="1">
      <c r="A4242" s="2" t="s">
        <v>9894</v>
      </c>
      <c r="B4242" s="2" t="s">
        <v>978</v>
      </c>
      <c r="C4242" s="11" t="s">
        <v>5240</v>
      </c>
      <c r="D4242" s="2" t="s">
        <v>30</v>
      </c>
      <c r="E4242" s="2" t="s">
        <v>245</v>
      </c>
      <c r="F4242" s="11" t="s">
        <v>5418</v>
      </c>
      <c r="G4242" s="46" t="s">
        <v>5419</v>
      </c>
      <c r="H4242" s="2" t="s">
        <v>1468</v>
      </c>
      <c r="I4242" s="12" t="s">
        <v>5047</v>
      </c>
      <c r="J4242" s="41">
        <f>+Tabla1[[#This Row],[FECHA ENTRADA]]</f>
        <v>45931</v>
      </c>
      <c r="K4242" s="41">
        <v>45932</v>
      </c>
      <c r="L4242" s="42">
        <f>_xlfn.DAYS(Tabla1[[#This Row],[FECHA FIN ]],Tabla1[[#This Row],[FECHA INICIO]])</f>
        <v>1</v>
      </c>
      <c r="M4242" s="12">
        <v>29</v>
      </c>
      <c r="N4242" s="28"/>
      <c r="O4242" s="28">
        <f>(Tabla1[[#This Row],[COSTO FIJO ]]/30)*Tabla1[[#This Row],[TOTAL DIAS PROYECTO]]+(Tabla1[[#This Row],[COSTO TEMPORAL]])</f>
        <v>29</v>
      </c>
      <c r="P4242" s="12"/>
      <c r="Q4242" s="12">
        <f>+(Tabla1[[#This Row],[COSTO COCHE]]/30)*Tabla1[[#This Row],[TOTAL DIAS PROYECTO]]</f>
        <v>0</v>
      </c>
      <c r="R4242" s="12">
        <f>+Tabla1[[#This Row],[COSTO TOTAL ALOJAMIENTO]]+Tabla1[[#This Row],[COSTO TOTAL COCHE]]</f>
        <v>29</v>
      </c>
      <c r="S4242" s="2" t="s">
        <v>403</v>
      </c>
      <c r="T4242" s="14" t="s">
        <v>44</v>
      </c>
      <c r="U4242" s="14">
        <v>45931</v>
      </c>
      <c r="V4242" s="43">
        <v>45932</v>
      </c>
      <c r="W4242" s="71"/>
      <c r="X4242" s="2"/>
      <c r="Y4242" s="11" t="s">
        <v>1120</v>
      </c>
      <c r="Z4242" s="2" t="s">
        <v>36</v>
      </c>
      <c r="AA4242" s="13" t="s">
        <v>10355</v>
      </c>
      <c r="AB4242" s="13" t="s">
        <v>10356</v>
      </c>
    </row>
    <row r="4243" spans="1:28" ht="15.75" customHeight="1">
      <c r="A4243" s="2" t="s">
        <v>9177</v>
      </c>
      <c r="B4243" s="2" t="s">
        <v>978</v>
      </c>
      <c r="C4243" s="31" t="s">
        <v>2328</v>
      </c>
      <c r="D4243" s="2" t="s">
        <v>30</v>
      </c>
      <c r="E4243" s="2" t="s">
        <v>245</v>
      </c>
      <c r="F4243" s="11" t="s">
        <v>6206</v>
      </c>
      <c r="G4243" s="21" t="s">
        <v>6207</v>
      </c>
      <c r="H4243" s="2" t="s">
        <v>5389</v>
      </c>
      <c r="I4243" s="6" t="s">
        <v>5047</v>
      </c>
      <c r="J4243" s="41">
        <f>+Tabla1[[#This Row],[FECHA ENTRADA]]</f>
        <v>45932</v>
      </c>
      <c r="K4243" s="41">
        <v>45940</v>
      </c>
      <c r="L4243" s="42">
        <f>_xlfn.DAYS(Tabla1[[#This Row],[FECHA FIN ]],Tabla1[[#This Row],[FECHA INICIO]])</f>
        <v>8</v>
      </c>
      <c r="M4243" s="12">
        <f>2904.49/5</f>
        <v>580.89799999999991</v>
      </c>
      <c r="N4243" s="28"/>
      <c r="O4243" s="28">
        <f>(Tabla1[[#This Row],[COSTO FIJO ]]/30)*Tabla1[[#This Row],[TOTAL DIAS PROYECTO]]+(Tabla1[[#This Row],[COSTO TEMPORAL]])</f>
        <v>580.89799999999991</v>
      </c>
      <c r="P4243" s="12"/>
      <c r="Q4243" s="12">
        <f>+(Tabla1[[#This Row],[COSTO COCHE]]/30)*Tabla1[[#This Row],[TOTAL DIAS PROYECTO]]</f>
        <v>0</v>
      </c>
      <c r="R4243" s="12">
        <f>+Tabla1[[#This Row],[COSTO TOTAL ALOJAMIENTO]]+Tabla1[[#This Row],[COSTO TOTAL COCHE]]</f>
        <v>580.89799999999991</v>
      </c>
      <c r="S4243" s="2" t="s">
        <v>84</v>
      </c>
      <c r="T4243" s="14" t="s">
        <v>44</v>
      </c>
      <c r="U4243" s="14">
        <v>45932</v>
      </c>
      <c r="V4243" s="43">
        <v>45963</v>
      </c>
      <c r="W4243" s="71"/>
      <c r="X4243" s="2"/>
      <c r="Y4243" s="11" t="s">
        <v>6208</v>
      </c>
      <c r="Z4243" s="2" t="s">
        <v>36</v>
      </c>
      <c r="AA4243" s="13" t="s">
        <v>10355</v>
      </c>
      <c r="AB4243" s="13" t="s">
        <v>10356</v>
      </c>
    </row>
    <row r="4244" spans="1:28" ht="15.75" customHeight="1">
      <c r="A4244" s="2" t="s">
        <v>9669</v>
      </c>
      <c r="B4244" s="2" t="s">
        <v>606</v>
      </c>
      <c r="C4244" s="31" t="s">
        <v>4149</v>
      </c>
      <c r="D4244" s="2" t="s">
        <v>99</v>
      </c>
      <c r="E4244" s="2" t="s">
        <v>31</v>
      </c>
      <c r="F4244" s="11" t="s">
        <v>5699</v>
      </c>
      <c r="G4244" t="s">
        <v>5700</v>
      </c>
      <c r="H4244" s="2" t="s">
        <v>6209</v>
      </c>
      <c r="I4244" s="12" t="s">
        <v>1552</v>
      </c>
      <c r="J4244" s="22">
        <f>+Tabla1[[#This Row],[FECHA ENTRADA]]</f>
        <v>45950</v>
      </c>
      <c r="K4244" s="22">
        <v>45982</v>
      </c>
      <c r="L4244" s="23">
        <f>_xlfn.DAYS(Tabla1[[#This Row],[FECHA FIN ]],Tabla1[[#This Row],[FECHA INICIO]])</f>
        <v>32</v>
      </c>
      <c r="M4244" s="12"/>
      <c r="N4244" s="24">
        <v>370</v>
      </c>
      <c r="O4244" s="24">
        <f>(Tabla1[[#This Row],[COSTO FIJO ]]/30)*Tabla1[[#This Row],[TOTAL DIAS PROYECTO]]+(Tabla1[[#This Row],[COSTO TEMPORAL]])</f>
        <v>394.66666666666669</v>
      </c>
      <c r="P4244" s="12"/>
      <c r="Q4244" s="12">
        <f>+(Tabla1[[#This Row],[COSTO COCHE]]/30)*Tabla1[[#This Row],[TOTAL DIAS PROYECTO]]</f>
        <v>0</v>
      </c>
      <c r="R4244" s="12">
        <f>+Tabla1[[#This Row],[COSTO TOTAL ALOJAMIENTO]]+Tabla1[[#This Row],[COSTO TOTAL COCHE]]</f>
        <v>394.66666666666669</v>
      </c>
      <c r="S4244" s="2"/>
      <c r="T4244" s="14" t="s">
        <v>35</v>
      </c>
      <c r="U4244" s="14">
        <v>45950</v>
      </c>
      <c r="V4244" s="25"/>
      <c r="W4244" s="71"/>
      <c r="X4244" s="2">
        <v>30</v>
      </c>
      <c r="Y4244" s="11" t="s">
        <v>6210</v>
      </c>
      <c r="Z4244" s="2" t="s">
        <v>36</v>
      </c>
      <c r="AA4244" s="13" t="s">
        <v>10323</v>
      </c>
      <c r="AB4244" s="13" t="s">
        <v>10324</v>
      </c>
    </row>
    <row r="4245" spans="1:28" ht="15.75" customHeight="1">
      <c r="A4245" s="2" t="s">
        <v>10073</v>
      </c>
      <c r="B4245" s="2" t="s">
        <v>606</v>
      </c>
      <c r="C4245" s="31" t="s">
        <v>6211</v>
      </c>
      <c r="D4245" s="2" t="s">
        <v>30</v>
      </c>
      <c r="E4245" s="2" t="s">
        <v>31</v>
      </c>
      <c r="F4245" s="11" t="s">
        <v>1106</v>
      </c>
      <c r="G4245" s="46"/>
      <c r="H4245" s="2" t="s">
        <v>6212</v>
      </c>
      <c r="I4245" s="12" t="s">
        <v>6213</v>
      </c>
      <c r="J4245" s="41">
        <f>+Tabla1[[#This Row],[FECHA ENTRADA]]</f>
        <v>45966</v>
      </c>
      <c r="K4245" s="22">
        <v>45982</v>
      </c>
      <c r="L4245" s="42">
        <f>_xlfn.DAYS(Tabla1[[#This Row],[FECHA FIN ]],Tabla1[[#This Row],[FECHA INICIO]])</f>
        <v>16</v>
      </c>
      <c r="M4245" s="12"/>
      <c r="N4245" s="28"/>
      <c r="O4245" s="28">
        <f>(Tabla1[[#This Row],[COSTO FIJO ]]/30)*Tabla1[[#This Row],[TOTAL DIAS PROYECTO]]+(Tabla1[[#This Row],[COSTO TEMPORAL]])</f>
        <v>0</v>
      </c>
      <c r="P4245" s="12"/>
      <c r="Q4245" s="12">
        <f>+(Tabla1[[#This Row],[COSTO COCHE]]/30)*Tabla1[[#This Row],[TOTAL DIAS PROYECTO]]</f>
        <v>0</v>
      </c>
      <c r="R4245" s="12">
        <f>+Tabla1[[#This Row],[COSTO TOTAL ALOJAMIENTO]]+Tabla1[[#This Row],[COSTO TOTAL COCHE]]</f>
        <v>0</v>
      </c>
      <c r="S4245" s="2"/>
      <c r="T4245" s="2" t="s">
        <v>8</v>
      </c>
      <c r="U4245" s="14">
        <v>45966</v>
      </c>
      <c r="V4245" s="43"/>
      <c r="W4245" s="71"/>
      <c r="X4245" s="2"/>
      <c r="Y4245" s="11" t="s">
        <v>6214</v>
      </c>
      <c r="Z4245" s="2" t="s">
        <v>36</v>
      </c>
      <c r="AA4245" s="13" t="s">
        <v>10323</v>
      </c>
      <c r="AB4245" s="13" t="s">
        <v>10324</v>
      </c>
    </row>
    <row r="4246" spans="1:28" ht="15" customHeight="1">
      <c r="A4246" s="2" t="s">
        <v>9431</v>
      </c>
      <c r="B4246" s="2" t="s">
        <v>28</v>
      </c>
      <c r="C4246" s="31" t="s">
        <v>3165</v>
      </c>
      <c r="D4246" s="2" t="s">
        <v>30</v>
      </c>
      <c r="E4246" s="2" t="s">
        <v>87</v>
      </c>
      <c r="F4246" s="11" t="s">
        <v>1668</v>
      </c>
      <c r="G4246" s="128" t="s">
        <v>1669</v>
      </c>
      <c r="H4246" s="2" t="s">
        <v>6215</v>
      </c>
      <c r="I4246" s="12" t="s">
        <v>34</v>
      </c>
      <c r="J4246" s="41">
        <f>+Tabla1[[#This Row],[FECHA ENTRADA]]</f>
        <v>45966</v>
      </c>
      <c r="K4246" s="22">
        <v>45983</v>
      </c>
      <c r="L4246" s="42">
        <f>_xlfn.DAYS(Tabla1[[#This Row],[FECHA FIN ]],Tabla1[[#This Row],[FECHA INICIO]])</f>
        <v>17</v>
      </c>
      <c r="M4246" s="12"/>
      <c r="N4246" s="12">
        <v>268.83333333333331</v>
      </c>
      <c r="O4246" s="28">
        <f>(Tabla1[[#This Row],[COSTO FIJO ]]/30)*Tabla1[[#This Row],[TOTAL DIAS PROYECTO]]+(Tabla1[[#This Row],[COSTO TEMPORAL]])</f>
        <v>152.33888888888887</v>
      </c>
      <c r="P4246" s="12"/>
      <c r="Q4246" s="12">
        <f>+(Tabla1[[#This Row],[COSTO COCHE]]/30)*Tabla1[[#This Row],[TOTAL DIAS PROYECTO]]</f>
        <v>0</v>
      </c>
      <c r="R4246" s="12">
        <f>+Tabla1[[#This Row],[COSTO TOTAL ALOJAMIENTO]]+Tabla1[[#This Row],[COSTO TOTAL COCHE]]</f>
        <v>152.33888888888887</v>
      </c>
      <c r="S4246" s="2"/>
      <c r="T4246" s="14" t="s">
        <v>35</v>
      </c>
      <c r="U4246" s="14">
        <v>45966</v>
      </c>
      <c r="V4246" s="43"/>
      <c r="W4246" s="71"/>
      <c r="X4246" s="2">
        <v>5</v>
      </c>
      <c r="Y4246" s="11" t="s">
        <v>6216</v>
      </c>
      <c r="Z4246" s="2" t="s">
        <v>36</v>
      </c>
      <c r="AA4246" s="13" t="s">
        <v>10335</v>
      </c>
      <c r="AB4246" s="13">
        <v>404.16500000000002</v>
      </c>
    </row>
    <row r="4247" spans="1:28" ht="15" customHeight="1">
      <c r="A4247" s="2" t="s">
        <v>10074</v>
      </c>
      <c r="B4247" s="2" t="s">
        <v>28</v>
      </c>
      <c r="C4247" s="31" t="s">
        <v>6217</v>
      </c>
      <c r="D4247" s="2" t="s">
        <v>30</v>
      </c>
      <c r="E4247" s="2" t="s">
        <v>648</v>
      </c>
      <c r="F4247" s="11" t="s">
        <v>5107</v>
      </c>
      <c r="G4247" s="11" t="s">
        <v>1545</v>
      </c>
      <c r="H4247" s="2" t="s">
        <v>1363</v>
      </c>
      <c r="I4247" s="12" t="s">
        <v>96</v>
      </c>
      <c r="J4247" s="41">
        <f>+Tabla1[[#This Row],[FECHA ENTRADA]]</f>
        <v>45683</v>
      </c>
      <c r="K4247" s="22">
        <v>45821</v>
      </c>
      <c r="L4247" s="42">
        <f>_xlfn.DAYS(Tabla1[[#This Row],[FECHA FIN ]],Tabla1[[#This Row],[FECHA INICIO]])</f>
        <v>138</v>
      </c>
      <c r="M4247" s="12"/>
      <c r="N4247" s="20">
        <f>550/3</f>
        <v>183.33333333333334</v>
      </c>
      <c r="O4247" s="28">
        <f>(Tabla1[[#This Row],[COSTO FIJO ]]/30)*Tabla1[[#This Row],[TOTAL DIAS PROYECTO]]+(Tabla1[[#This Row],[COSTO TEMPORAL]])</f>
        <v>843.33333333333337</v>
      </c>
      <c r="P4247" s="12"/>
      <c r="Q4247" s="12">
        <f>+(Tabla1[[#This Row],[COSTO COCHE]]/30)*Tabla1[[#This Row],[TOTAL DIAS PROYECTO]]</f>
        <v>0</v>
      </c>
      <c r="R4247" s="12">
        <f>+Tabla1[[#This Row],[COSTO TOTAL ALOJAMIENTO]]+Tabla1[[#This Row],[COSTO TOTAL COCHE]]</f>
        <v>843.33333333333337</v>
      </c>
      <c r="S4247" s="2"/>
      <c r="T4247" s="2" t="s">
        <v>35</v>
      </c>
      <c r="U4247" s="14">
        <v>45683</v>
      </c>
      <c r="V4247" s="79"/>
      <c r="W4247" s="26">
        <v>550</v>
      </c>
      <c r="X4247" s="2">
        <v>1</v>
      </c>
      <c r="Y4247" s="106" t="s">
        <v>1510</v>
      </c>
      <c r="Z4247" s="2" t="s">
        <v>36</v>
      </c>
      <c r="AA4247" s="13" t="s">
        <v>10387</v>
      </c>
      <c r="AB4247" s="13" t="s">
        <v>10388</v>
      </c>
    </row>
    <row r="4248" spans="1:28" ht="15" customHeight="1">
      <c r="A4248" s="2" t="s">
        <v>9014</v>
      </c>
      <c r="B4248" s="2" t="s">
        <v>606</v>
      </c>
      <c r="C4248" s="31" t="s">
        <v>1701</v>
      </c>
      <c r="D4248" s="2" t="s">
        <v>99</v>
      </c>
      <c r="E4248" s="2" t="s">
        <v>447</v>
      </c>
      <c r="F4248" s="11" t="s">
        <v>1106</v>
      </c>
      <c r="G4248" s="21"/>
      <c r="H4248" s="2" t="s">
        <v>6218</v>
      </c>
      <c r="I4248" s="12" t="s">
        <v>279</v>
      </c>
      <c r="J4248" s="22">
        <f>+Tabla1[[#This Row],[FECHA ENTRADA]]</f>
        <v>45956</v>
      </c>
      <c r="K4248" s="22">
        <v>45984</v>
      </c>
      <c r="L4248" s="23">
        <f>_xlfn.DAYS(Tabla1[[#This Row],[FECHA FIN ]],Tabla1[[#This Row],[FECHA INICIO]])</f>
        <v>28</v>
      </c>
      <c r="M4248" s="12"/>
      <c r="N4248" s="20">
        <v>0</v>
      </c>
      <c r="O4248" s="24">
        <f>(Tabla1[[#This Row],[COSTO FIJO ]]/30)*Tabla1[[#This Row],[TOTAL DIAS PROYECTO]]+(Tabla1[[#This Row],[COSTO TEMPORAL]])</f>
        <v>0</v>
      </c>
      <c r="P4248" s="12"/>
      <c r="Q4248" s="12">
        <f>+(Tabla1[[#This Row],[COSTO COCHE]]/30)*Tabla1[[#This Row],[TOTAL DIAS PROYECTO]]</f>
        <v>0</v>
      </c>
      <c r="R4248" s="12">
        <f>+Tabla1[[#This Row],[COSTO TOTAL ALOJAMIENTO]]+Tabla1[[#This Row],[COSTO TOTAL COCHE]]</f>
        <v>0</v>
      </c>
      <c r="S4248" s="2"/>
      <c r="T4248" s="2" t="s">
        <v>8</v>
      </c>
      <c r="U4248" s="14">
        <v>45956</v>
      </c>
      <c r="V4248" s="79"/>
      <c r="W4248" s="71"/>
      <c r="X4248" s="2"/>
      <c r="Y4248" s="11" t="s">
        <v>6219</v>
      </c>
      <c r="Z4248" s="2" t="s">
        <v>36</v>
      </c>
      <c r="AA4248" s="13">
        <v>-697.06100000000004</v>
      </c>
      <c r="AB4248" s="13" t="s">
        <v>10377</v>
      </c>
    </row>
    <row r="4249" spans="1:28" ht="15" customHeight="1">
      <c r="A4249" s="2" t="s">
        <v>9592</v>
      </c>
      <c r="B4249" s="2" t="s">
        <v>606</v>
      </c>
      <c r="C4249" s="31" t="s">
        <v>3788</v>
      </c>
      <c r="D4249" s="2" t="s">
        <v>99</v>
      </c>
      <c r="E4249" s="2" t="s">
        <v>447</v>
      </c>
      <c r="F4249" s="11" t="s">
        <v>1106</v>
      </c>
      <c r="G4249" s="21"/>
      <c r="H4249" s="2" t="s">
        <v>6218</v>
      </c>
      <c r="I4249" s="12" t="s">
        <v>279</v>
      </c>
      <c r="J4249" s="22">
        <f>+Tabla1[[#This Row],[FECHA ENTRADA]]</f>
        <v>45956</v>
      </c>
      <c r="K4249" s="22">
        <v>45984</v>
      </c>
      <c r="L4249" s="23">
        <f>_xlfn.DAYS(Tabla1[[#This Row],[FECHA FIN ]],Tabla1[[#This Row],[FECHA INICIO]])</f>
        <v>28</v>
      </c>
      <c r="M4249" s="12"/>
      <c r="N4249" s="20">
        <v>0</v>
      </c>
      <c r="O4249" s="24">
        <f>(Tabla1[[#This Row],[COSTO FIJO ]]/30)*Tabla1[[#This Row],[TOTAL DIAS PROYECTO]]+(Tabla1[[#This Row],[COSTO TEMPORAL]])</f>
        <v>0</v>
      </c>
      <c r="P4249" s="12"/>
      <c r="Q4249" s="12">
        <f>+(Tabla1[[#This Row],[COSTO COCHE]]/30)*Tabla1[[#This Row],[TOTAL DIAS PROYECTO]]</f>
        <v>0</v>
      </c>
      <c r="R4249" s="12">
        <f>+Tabla1[[#This Row],[COSTO TOTAL ALOJAMIENTO]]+Tabla1[[#This Row],[COSTO TOTAL COCHE]]</f>
        <v>0</v>
      </c>
      <c r="S4249" s="2"/>
      <c r="T4249" s="2" t="s">
        <v>8</v>
      </c>
      <c r="U4249" s="14">
        <v>45956</v>
      </c>
      <c r="V4249" s="79"/>
      <c r="W4249" s="71"/>
      <c r="X4249" s="2"/>
      <c r="Y4249" s="11" t="s">
        <v>6219</v>
      </c>
      <c r="Z4249" s="2" t="s">
        <v>36</v>
      </c>
      <c r="AA4249" s="13">
        <v>-697.06100000000004</v>
      </c>
      <c r="AB4249" s="13" t="s">
        <v>10377</v>
      </c>
    </row>
    <row r="4250" spans="1:28" ht="15" customHeight="1">
      <c r="A4250" s="2" t="s">
        <v>9715</v>
      </c>
      <c r="B4250" s="2" t="s">
        <v>606</v>
      </c>
      <c r="C4250" s="31" t="s">
        <v>4371</v>
      </c>
      <c r="D4250" s="2" t="s">
        <v>99</v>
      </c>
      <c r="E4250" s="2" t="s">
        <v>447</v>
      </c>
      <c r="F4250" s="11" t="s">
        <v>1106</v>
      </c>
      <c r="G4250" s="21"/>
      <c r="H4250" s="2" t="s">
        <v>6218</v>
      </c>
      <c r="I4250" s="12" t="s">
        <v>279</v>
      </c>
      <c r="J4250" s="22">
        <f>+Tabla1[[#This Row],[FECHA ENTRADA]]</f>
        <v>45956</v>
      </c>
      <c r="K4250" s="22">
        <v>45984</v>
      </c>
      <c r="L4250" s="23">
        <f>_xlfn.DAYS(Tabla1[[#This Row],[FECHA FIN ]],Tabla1[[#This Row],[FECHA INICIO]])</f>
        <v>28</v>
      </c>
      <c r="M4250" s="12"/>
      <c r="N4250" s="20">
        <v>0</v>
      </c>
      <c r="O4250" s="24">
        <f>(Tabla1[[#This Row],[COSTO FIJO ]]/30)*Tabla1[[#This Row],[TOTAL DIAS PROYECTO]]+(Tabla1[[#This Row],[COSTO TEMPORAL]])</f>
        <v>0</v>
      </c>
      <c r="P4250" s="12"/>
      <c r="Q4250" s="12">
        <f>+(Tabla1[[#This Row],[COSTO COCHE]]/30)*Tabla1[[#This Row],[TOTAL DIAS PROYECTO]]</f>
        <v>0</v>
      </c>
      <c r="R4250" s="12">
        <f>+Tabla1[[#This Row],[COSTO TOTAL ALOJAMIENTO]]+Tabla1[[#This Row],[COSTO TOTAL COCHE]]</f>
        <v>0</v>
      </c>
      <c r="S4250" s="2"/>
      <c r="T4250" s="2" t="s">
        <v>8</v>
      </c>
      <c r="U4250" s="14">
        <v>45956</v>
      </c>
      <c r="V4250" s="79"/>
      <c r="W4250" s="71"/>
      <c r="X4250" s="2"/>
      <c r="Y4250" s="11" t="s">
        <v>6220</v>
      </c>
      <c r="Z4250" s="2" t="s">
        <v>36</v>
      </c>
      <c r="AA4250" s="13">
        <v>-697.06100000000004</v>
      </c>
      <c r="AB4250" s="13" t="s">
        <v>10377</v>
      </c>
    </row>
    <row r="4251" spans="1:28" ht="15" customHeight="1">
      <c r="A4251" s="2" t="s">
        <v>9938</v>
      </c>
      <c r="B4251" s="2" t="s">
        <v>606</v>
      </c>
      <c r="C4251" s="31" t="s">
        <v>5573</v>
      </c>
      <c r="D4251" s="2" t="s">
        <v>99</v>
      </c>
      <c r="E4251" s="2" t="s">
        <v>447</v>
      </c>
      <c r="F4251" s="11" t="s">
        <v>1106</v>
      </c>
      <c r="G4251" s="21"/>
      <c r="H4251" s="2" t="s">
        <v>6218</v>
      </c>
      <c r="I4251" s="12" t="s">
        <v>279</v>
      </c>
      <c r="J4251" s="22">
        <f>+Tabla1[[#This Row],[FECHA ENTRADA]]</f>
        <v>45956</v>
      </c>
      <c r="K4251" s="22">
        <v>45984</v>
      </c>
      <c r="L4251" s="23">
        <f>_xlfn.DAYS(Tabla1[[#This Row],[FECHA FIN ]],Tabla1[[#This Row],[FECHA INICIO]])</f>
        <v>28</v>
      </c>
      <c r="M4251" s="12"/>
      <c r="N4251" s="20">
        <v>0</v>
      </c>
      <c r="O4251" s="24">
        <f>(Tabla1[[#This Row],[COSTO FIJO ]]/30)*Tabla1[[#This Row],[TOTAL DIAS PROYECTO]]+(Tabla1[[#This Row],[COSTO TEMPORAL]])</f>
        <v>0</v>
      </c>
      <c r="P4251" s="12"/>
      <c r="Q4251" s="12">
        <f>+(Tabla1[[#This Row],[COSTO COCHE]]/30)*Tabla1[[#This Row],[TOTAL DIAS PROYECTO]]</f>
        <v>0</v>
      </c>
      <c r="R4251" s="12">
        <f>+Tabla1[[#This Row],[COSTO TOTAL ALOJAMIENTO]]+Tabla1[[#This Row],[COSTO TOTAL COCHE]]</f>
        <v>0</v>
      </c>
      <c r="S4251" s="2"/>
      <c r="T4251" s="2" t="s">
        <v>8</v>
      </c>
      <c r="U4251" s="14">
        <v>45956</v>
      </c>
      <c r="V4251" s="79"/>
      <c r="W4251" s="71"/>
      <c r="X4251" s="2"/>
      <c r="Y4251" s="11" t="s">
        <v>6219</v>
      </c>
      <c r="Z4251" s="2" t="s">
        <v>36</v>
      </c>
      <c r="AA4251" s="13">
        <v>-697.06100000000004</v>
      </c>
      <c r="AB4251" s="13" t="s">
        <v>10377</v>
      </c>
    </row>
    <row r="4252" spans="1:28" ht="15" customHeight="1">
      <c r="A4252" s="2" t="s">
        <v>9177</v>
      </c>
      <c r="B4252" s="2" t="s">
        <v>606</v>
      </c>
      <c r="C4252" s="31" t="s">
        <v>2328</v>
      </c>
      <c r="D4252" s="2" t="s">
        <v>99</v>
      </c>
      <c r="E4252" s="2" t="s">
        <v>447</v>
      </c>
      <c r="F4252" s="11" t="s">
        <v>1106</v>
      </c>
      <c r="G4252" s="21"/>
      <c r="H4252" s="2" t="s">
        <v>6218</v>
      </c>
      <c r="I4252" s="12" t="s">
        <v>279</v>
      </c>
      <c r="J4252" s="22">
        <f>+Tabla1[[#This Row],[FECHA ENTRADA]]</f>
        <v>45956</v>
      </c>
      <c r="K4252" s="22">
        <v>45984</v>
      </c>
      <c r="L4252" s="23">
        <f>_xlfn.DAYS(Tabla1[[#This Row],[FECHA FIN ]],Tabla1[[#This Row],[FECHA INICIO]])</f>
        <v>28</v>
      </c>
      <c r="M4252" s="12"/>
      <c r="N4252" s="20">
        <v>0</v>
      </c>
      <c r="O4252" s="24">
        <f>(Tabla1[[#This Row],[COSTO FIJO ]]/30)*Tabla1[[#This Row],[TOTAL DIAS PROYECTO]]+(Tabla1[[#This Row],[COSTO TEMPORAL]])</f>
        <v>0</v>
      </c>
      <c r="P4252" s="12"/>
      <c r="Q4252" s="12">
        <f>+(Tabla1[[#This Row],[COSTO COCHE]]/30)*Tabla1[[#This Row],[TOTAL DIAS PROYECTO]]</f>
        <v>0</v>
      </c>
      <c r="R4252" s="12">
        <f>+Tabla1[[#This Row],[COSTO TOTAL ALOJAMIENTO]]+Tabla1[[#This Row],[COSTO TOTAL COCHE]]</f>
        <v>0</v>
      </c>
      <c r="S4252" s="2"/>
      <c r="T4252" s="2" t="s">
        <v>8</v>
      </c>
      <c r="U4252" s="14">
        <v>45956</v>
      </c>
      <c r="V4252" s="79"/>
      <c r="W4252" s="71"/>
      <c r="X4252" s="2"/>
      <c r="Y4252" s="11" t="s">
        <v>6219</v>
      </c>
      <c r="Z4252" s="2" t="s">
        <v>36</v>
      </c>
      <c r="AA4252" s="13">
        <v>-697.06100000000004</v>
      </c>
      <c r="AB4252" s="13" t="s">
        <v>10377</v>
      </c>
    </row>
    <row r="4253" spans="1:28" ht="15" customHeight="1">
      <c r="A4253" s="2" t="s">
        <v>10075</v>
      </c>
      <c r="B4253" s="2" t="s">
        <v>606</v>
      </c>
      <c r="C4253" s="31" t="s">
        <v>6221</v>
      </c>
      <c r="D4253" s="2" t="s">
        <v>99</v>
      </c>
      <c r="E4253" s="2" t="s">
        <v>447</v>
      </c>
      <c r="F4253" s="11" t="s">
        <v>1106</v>
      </c>
      <c r="G4253" s="21"/>
      <c r="H4253" s="2" t="s">
        <v>6218</v>
      </c>
      <c r="I4253" s="12" t="s">
        <v>279</v>
      </c>
      <c r="J4253" s="22">
        <f>+Tabla1[[#This Row],[FECHA ENTRADA]]</f>
        <v>45956</v>
      </c>
      <c r="K4253" s="22">
        <v>45984</v>
      </c>
      <c r="L4253" s="23">
        <f>_xlfn.DAYS(Tabla1[[#This Row],[FECHA FIN ]],Tabla1[[#This Row],[FECHA INICIO]])</f>
        <v>28</v>
      </c>
      <c r="M4253" s="12"/>
      <c r="N4253" s="12"/>
      <c r="O4253" s="24">
        <f>(Tabla1[[#This Row],[COSTO FIJO ]]/30)*Tabla1[[#This Row],[TOTAL DIAS PROYECTO]]+(Tabla1[[#This Row],[COSTO TEMPORAL]])</f>
        <v>0</v>
      </c>
      <c r="P4253" s="12"/>
      <c r="Q4253" s="12">
        <f>+(Tabla1[[#This Row],[COSTO COCHE]]/30)*Tabla1[[#This Row],[TOTAL DIAS PROYECTO]]</f>
        <v>0</v>
      </c>
      <c r="R4253" s="12">
        <f>+Tabla1[[#This Row],[COSTO TOTAL ALOJAMIENTO]]+Tabla1[[#This Row],[COSTO TOTAL COCHE]]</f>
        <v>0</v>
      </c>
      <c r="S4253" s="2"/>
      <c r="T4253" s="2" t="s">
        <v>8</v>
      </c>
      <c r="U4253" s="14">
        <v>45956</v>
      </c>
      <c r="V4253" s="79"/>
      <c r="W4253" s="71"/>
      <c r="X4253" s="2"/>
      <c r="Y4253" s="11" t="s">
        <v>6219</v>
      </c>
      <c r="Z4253" s="2" t="s">
        <v>36</v>
      </c>
      <c r="AA4253" s="13">
        <v>-697.06100000000004</v>
      </c>
      <c r="AB4253" s="13" t="s">
        <v>10377</v>
      </c>
    </row>
    <row r="4254" spans="1:28" ht="15" customHeight="1">
      <c r="A4254" s="2" t="s">
        <v>9694</v>
      </c>
      <c r="B4254" s="2" t="s">
        <v>978</v>
      </c>
      <c r="C4254" s="31" t="s">
        <v>4273</v>
      </c>
      <c r="D4254" s="2" t="s">
        <v>30</v>
      </c>
      <c r="E4254" s="2" t="s">
        <v>380</v>
      </c>
      <c r="F4254" s="11" t="s">
        <v>6222</v>
      </c>
      <c r="G4254" s="21" t="s">
        <v>6223</v>
      </c>
      <c r="H4254" s="2" t="s">
        <v>1363</v>
      </c>
      <c r="I4254" s="12" t="s">
        <v>4276</v>
      </c>
      <c r="J4254" s="22">
        <f>+Tabla1[[#This Row],[FECHA ENTRADA]]</f>
        <v>45871</v>
      </c>
      <c r="K4254" s="22">
        <v>45900</v>
      </c>
      <c r="L4254" s="23">
        <f>_xlfn.DAYS(Tabla1[[#This Row],[FECHA FIN ]],Tabla1[[#This Row],[FECHA INICIO]])</f>
        <v>29</v>
      </c>
      <c r="M4254" s="12"/>
      <c r="N4254" s="12"/>
      <c r="O4254" s="24">
        <f>(Tabla1[[#This Row],[COSTO FIJO ]]/30)*Tabla1[[#This Row],[TOTAL DIAS PROYECTO]]+(Tabla1[[#This Row],[COSTO TEMPORAL]])</f>
        <v>0</v>
      </c>
      <c r="P4254" s="12"/>
      <c r="Q4254" s="12">
        <f>+(Tabla1[[#This Row],[COSTO COCHE]]/30)*Tabla1[[#This Row],[TOTAL DIAS PROYECTO]]</f>
        <v>0</v>
      </c>
      <c r="R4254" s="12">
        <f>+Tabla1[[#This Row],[COSTO TOTAL ALOJAMIENTO]]+Tabla1[[#This Row],[COSTO TOTAL COCHE]]</f>
        <v>0</v>
      </c>
      <c r="S4254" s="2"/>
      <c r="T4254" s="14" t="s">
        <v>35</v>
      </c>
      <c r="U4254" s="14">
        <v>45871</v>
      </c>
      <c r="V4254" s="79">
        <v>45901</v>
      </c>
      <c r="W4254" s="12"/>
      <c r="X4254" s="2">
        <v>1</v>
      </c>
      <c r="Y4254" s="11" t="s">
        <v>6224</v>
      </c>
      <c r="Z4254" s="2" t="s">
        <v>36</v>
      </c>
      <c r="AA4254" s="13" t="s">
        <v>10370</v>
      </c>
      <c r="AB4254" s="13" t="s">
        <v>10371</v>
      </c>
    </row>
    <row r="4255" spans="1:28" ht="15" customHeight="1">
      <c r="A4255" s="117" t="s">
        <v>10076</v>
      </c>
      <c r="B4255" s="117" t="s">
        <v>606</v>
      </c>
      <c r="C4255" s="118" t="s">
        <v>6225</v>
      </c>
      <c r="D4255" s="117" t="s">
        <v>30</v>
      </c>
      <c r="E4255" s="2" t="s">
        <v>31</v>
      </c>
      <c r="F4255" s="11" t="s">
        <v>6226</v>
      </c>
      <c r="G4255" s="197" t="s">
        <v>4615</v>
      </c>
      <c r="H4255" s="117" t="s">
        <v>6227</v>
      </c>
      <c r="I4255" s="119" t="s">
        <v>385</v>
      </c>
      <c r="J4255" s="121">
        <f>+Tabla1[[#This Row],[FECHA ENTRADA]]</f>
        <v>45977</v>
      </c>
      <c r="K4255" s="121">
        <v>45985</v>
      </c>
      <c r="L4255" s="129">
        <f>_xlfn.DAYS(Tabla1[[#This Row],[FECHA FIN ]],Tabla1[[#This Row],[FECHA INICIO]])</f>
        <v>8</v>
      </c>
      <c r="M4255" s="119">
        <v>320</v>
      </c>
      <c r="N4255" s="131"/>
      <c r="O4255" s="131">
        <f>(Tabla1[[#This Row],[COSTO FIJO ]]/30)*Tabla1[[#This Row],[TOTAL DIAS PROYECTO]]+(Tabla1[[#This Row],[COSTO TEMPORAL]])</f>
        <v>320</v>
      </c>
      <c r="P4255" s="119"/>
      <c r="Q4255" s="119">
        <f>+(Tabla1[[#This Row],[COSTO COCHE]]/30)*Tabla1[[#This Row],[TOTAL DIAS PROYECTO]]</f>
        <v>0</v>
      </c>
      <c r="R4255" s="119">
        <f>+Tabla1[[#This Row],[COSTO TOTAL ALOJAMIENTO]]+Tabla1[[#This Row],[COSTO TOTAL COCHE]]</f>
        <v>320</v>
      </c>
      <c r="S4255" s="117"/>
      <c r="T4255" s="124" t="s">
        <v>44</v>
      </c>
      <c r="U4255" s="124">
        <v>45977</v>
      </c>
      <c r="V4255" s="125">
        <v>45985</v>
      </c>
      <c r="W4255" s="126"/>
      <c r="X4255" s="117"/>
      <c r="Y4255" s="118" t="s">
        <v>1166</v>
      </c>
      <c r="Z4255" s="117" t="s">
        <v>36</v>
      </c>
      <c r="AA4255" s="127" t="s">
        <v>10323</v>
      </c>
      <c r="AB4255" s="127" t="s">
        <v>10324</v>
      </c>
    </row>
    <row r="4256" spans="1:28" ht="15" customHeight="1">
      <c r="A4256" s="2" t="s">
        <v>9422</v>
      </c>
      <c r="B4256" s="2" t="s">
        <v>978</v>
      </c>
      <c r="C4256" s="11" t="s">
        <v>3118</v>
      </c>
      <c r="D4256" s="2" t="s">
        <v>30</v>
      </c>
      <c r="E4256" s="2" t="s">
        <v>380</v>
      </c>
      <c r="F4256" s="11" t="s">
        <v>6222</v>
      </c>
      <c r="G4256" s="21" t="s">
        <v>6223</v>
      </c>
      <c r="H4256" s="2" t="s">
        <v>1363</v>
      </c>
      <c r="I4256" s="12" t="s">
        <v>4276</v>
      </c>
      <c r="J4256" s="22">
        <f>+Tabla1[[#This Row],[FECHA ENTRADA]]</f>
        <v>45871</v>
      </c>
      <c r="K4256" s="22">
        <v>45928</v>
      </c>
      <c r="L4256" s="23">
        <f>_xlfn.DAYS(Tabla1[[#This Row],[FECHA FIN ]],Tabla1[[#This Row],[FECHA INICIO]])</f>
        <v>57</v>
      </c>
      <c r="M4256" s="12"/>
      <c r="N4256" s="12"/>
      <c r="O4256" s="24">
        <f>(Tabla1[[#This Row],[COSTO FIJO ]]/30)*Tabla1[[#This Row],[TOTAL DIAS PROYECTO]]+(Tabla1[[#This Row],[COSTO TEMPORAL]])</f>
        <v>0</v>
      </c>
      <c r="P4256" s="12"/>
      <c r="Q4256" s="12">
        <f>+(Tabla1[[#This Row],[COSTO COCHE]]/30)*Tabla1[[#This Row],[TOTAL DIAS PROYECTO]]</f>
        <v>0</v>
      </c>
      <c r="R4256" s="12">
        <f>+Tabla1[[#This Row],[COSTO TOTAL ALOJAMIENTO]]+Tabla1[[#This Row],[COSTO TOTAL COCHE]]</f>
        <v>0</v>
      </c>
      <c r="S4256" s="2"/>
      <c r="T4256" s="14" t="s">
        <v>35</v>
      </c>
      <c r="U4256" s="14">
        <v>45871</v>
      </c>
      <c r="V4256" s="79">
        <v>45901</v>
      </c>
      <c r="W4256" s="12"/>
      <c r="X4256" s="2">
        <v>1</v>
      </c>
      <c r="Y4256" s="11" t="s">
        <v>6228</v>
      </c>
      <c r="Z4256" s="2" t="s">
        <v>36</v>
      </c>
      <c r="AA4256" s="13" t="s">
        <v>10370</v>
      </c>
      <c r="AB4256" s="13" t="s">
        <v>10371</v>
      </c>
    </row>
    <row r="4257" spans="1:28" ht="15" customHeight="1">
      <c r="A4257" s="2" t="s">
        <v>9695</v>
      </c>
      <c r="B4257" s="2" t="s">
        <v>978</v>
      </c>
      <c r="C4257" s="11" t="s">
        <v>4277</v>
      </c>
      <c r="D4257" s="2" t="s">
        <v>30</v>
      </c>
      <c r="E4257" s="2" t="s">
        <v>380</v>
      </c>
      <c r="F4257" s="11" t="s">
        <v>6222</v>
      </c>
      <c r="G4257" s="21" t="s">
        <v>6223</v>
      </c>
      <c r="H4257" s="2" t="s">
        <v>1363</v>
      </c>
      <c r="I4257" s="12" t="s">
        <v>4276</v>
      </c>
      <c r="J4257" s="22">
        <f>+Tabla1[[#This Row],[FECHA ENTRADA]]</f>
        <v>45871</v>
      </c>
      <c r="K4257" s="22">
        <v>45928</v>
      </c>
      <c r="L4257" s="23">
        <f>_xlfn.DAYS(Tabla1[[#This Row],[FECHA FIN ]],Tabla1[[#This Row],[FECHA INICIO]])</f>
        <v>57</v>
      </c>
      <c r="M4257" s="12"/>
      <c r="N4257" s="12"/>
      <c r="O4257" s="24">
        <f>(Tabla1[[#This Row],[COSTO FIJO ]]/30)*Tabla1[[#This Row],[TOTAL DIAS PROYECTO]]+(Tabla1[[#This Row],[COSTO TEMPORAL]])</f>
        <v>0</v>
      </c>
      <c r="P4257" s="12"/>
      <c r="Q4257" s="12">
        <f>+(Tabla1[[#This Row],[COSTO COCHE]]/30)*Tabla1[[#This Row],[TOTAL DIAS PROYECTO]]</f>
        <v>0</v>
      </c>
      <c r="R4257" s="12">
        <f>+Tabla1[[#This Row],[COSTO TOTAL ALOJAMIENTO]]+Tabla1[[#This Row],[COSTO TOTAL COCHE]]</f>
        <v>0</v>
      </c>
      <c r="S4257" s="2"/>
      <c r="T4257" s="14" t="s">
        <v>35</v>
      </c>
      <c r="U4257" s="14">
        <v>45871</v>
      </c>
      <c r="V4257" s="79">
        <v>45901</v>
      </c>
      <c r="W4257" s="12">
        <v>600</v>
      </c>
      <c r="X4257" s="2">
        <v>1</v>
      </c>
      <c r="Y4257" s="11" t="s">
        <v>6229</v>
      </c>
      <c r="Z4257" s="2" t="s">
        <v>36</v>
      </c>
      <c r="AA4257" s="13" t="s">
        <v>10370</v>
      </c>
      <c r="AB4257" s="13" t="s">
        <v>10371</v>
      </c>
    </row>
    <row r="4258" spans="1:28" ht="15" customHeight="1">
      <c r="A4258" s="2" t="s">
        <v>10077</v>
      </c>
      <c r="B4258" s="2" t="s">
        <v>711</v>
      </c>
      <c r="C4258" s="279" t="s">
        <v>6230</v>
      </c>
      <c r="D4258" s="2" t="s">
        <v>99</v>
      </c>
      <c r="E4258" s="2" t="s">
        <v>608</v>
      </c>
      <c r="F4258" s="11" t="s">
        <v>1918</v>
      </c>
      <c r="G4258" s="49" t="s">
        <v>4772</v>
      </c>
      <c r="H4258" s="157" t="s">
        <v>6231</v>
      </c>
      <c r="I4258" s="12" t="s">
        <v>6232</v>
      </c>
      <c r="J4258" s="41">
        <f>+Tabla1[[#This Row],[FECHA ENTRADA]]</f>
        <v>45924</v>
      </c>
      <c r="K4258" s="22">
        <v>45986</v>
      </c>
      <c r="L4258" s="42">
        <f>_xlfn.DAYS(Tabla1[[#This Row],[FECHA FIN ]],Tabla1[[#This Row],[FECHA INICIO]])</f>
        <v>62</v>
      </c>
      <c r="M4258" s="12"/>
      <c r="N4258" s="28">
        <v>450</v>
      </c>
      <c r="O4258" s="28">
        <f>(Tabla1[[#This Row],[COSTO FIJO ]]/30)*Tabla1[[#This Row],[TOTAL DIAS PROYECTO]]+(Tabla1[[#This Row],[COSTO TEMPORAL]])</f>
        <v>930</v>
      </c>
      <c r="P4258" s="12"/>
      <c r="Q4258" s="12">
        <f>+(Tabla1[[#This Row],[COSTO COCHE]]/30)*Tabla1[[#This Row],[TOTAL DIAS PROYECTO]]</f>
        <v>0</v>
      </c>
      <c r="R4258" s="12">
        <f>+Tabla1[[#This Row],[COSTO TOTAL ALOJAMIENTO]]+Tabla1[[#This Row],[COSTO TOTAL COCHE]]</f>
        <v>930</v>
      </c>
      <c r="S4258" s="2"/>
      <c r="T4258" s="14" t="s">
        <v>35</v>
      </c>
      <c r="U4258" s="14">
        <v>45924</v>
      </c>
      <c r="V4258" s="43"/>
      <c r="W4258" s="12">
        <v>900</v>
      </c>
      <c r="X4258" s="2">
        <v>15</v>
      </c>
      <c r="Y4258" s="11" t="s">
        <v>6233</v>
      </c>
      <c r="Z4258" s="2" t="s">
        <v>36</v>
      </c>
      <c r="AA4258" s="13" t="s">
        <v>10383</v>
      </c>
      <c r="AB4258" s="13" t="s">
        <v>10384</v>
      </c>
    </row>
    <row r="4259" spans="1:28" ht="15" customHeight="1">
      <c r="A4259" s="2" t="s">
        <v>10078</v>
      </c>
      <c r="B4259" s="2" t="s">
        <v>711</v>
      </c>
      <c r="C4259" s="31" t="s">
        <v>6234</v>
      </c>
      <c r="D4259" s="2" t="s">
        <v>30</v>
      </c>
      <c r="E4259" s="2" t="s">
        <v>608</v>
      </c>
      <c r="F4259" s="11" t="s">
        <v>1918</v>
      </c>
      <c r="G4259" s="49" t="s">
        <v>4772</v>
      </c>
      <c r="H4259" s="2" t="s">
        <v>6231</v>
      </c>
      <c r="I4259" s="12" t="s">
        <v>6232</v>
      </c>
      <c r="J4259" s="41">
        <f>+Tabla1[[#This Row],[FECHA ENTRADA]]</f>
        <v>45924</v>
      </c>
      <c r="K4259" s="22">
        <v>45986</v>
      </c>
      <c r="L4259" s="42">
        <f>_xlfn.DAYS(Tabla1[[#This Row],[FECHA FIN ]],Tabla1[[#This Row],[FECHA INICIO]])</f>
        <v>62</v>
      </c>
      <c r="M4259" s="12"/>
      <c r="N4259" s="28">
        <v>450</v>
      </c>
      <c r="O4259" s="28">
        <f>(Tabla1[[#This Row],[COSTO FIJO ]]/30)*Tabla1[[#This Row],[TOTAL DIAS PROYECTO]]+(Tabla1[[#This Row],[COSTO TEMPORAL]])</f>
        <v>930</v>
      </c>
      <c r="P4259" s="12"/>
      <c r="Q4259" s="12">
        <f>+(Tabla1[[#This Row],[COSTO COCHE]]/30)*Tabla1[[#This Row],[TOTAL DIAS PROYECTO]]</f>
        <v>0</v>
      </c>
      <c r="R4259" s="12">
        <f>+Tabla1[[#This Row],[COSTO TOTAL ALOJAMIENTO]]+Tabla1[[#This Row],[COSTO TOTAL COCHE]]</f>
        <v>930</v>
      </c>
      <c r="S4259" s="2"/>
      <c r="T4259" s="14" t="s">
        <v>35</v>
      </c>
      <c r="U4259" s="14">
        <v>45924</v>
      </c>
      <c r="V4259" s="43"/>
      <c r="W4259" s="12"/>
      <c r="X4259" s="2">
        <v>15</v>
      </c>
      <c r="Y4259" s="11" t="s">
        <v>6233</v>
      </c>
      <c r="Z4259" s="2" t="s">
        <v>36</v>
      </c>
      <c r="AA4259" s="13" t="s">
        <v>10383</v>
      </c>
      <c r="AB4259" s="13" t="s">
        <v>10384</v>
      </c>
    </row>
    <row r="4260" spans="1:28" ht="15" customHeight="1">
      <c r="A4260" s="2" t="s">
        <v>9170</v>
      </c>
      <c r="B4260" s="2" t="s">
        <v>28</v>
      </c>
      <c r="C4260" s="11" t="s">
        <v>2305</v>
      </c>
      <c r="D4260" s="2" t="s">
        <v>30</v>
      </c>
      <c r="E4260" s="2" t="s">
        <v>359</v>
      </c>
      <c r="F4260" s="11" t="s">
        <v>360</v>
      </c>
      <c r="G4260" s="11" t="s">
        <v>361</v>
      </c>
      <c r="H4260" s="2" t="s">
        <v>6235</v>
      </c>
      <c r="I4260" s="12" t="s">
        <v>96</v>
      </c>
      <c r="J4260" s="41">
        <f>+Tabla1[[#This Row],[FECHA ENTRADA]]</f>
        <v>45749</v>
      </c>
      <c r="K4260" s="22">
        <v>45779</v>
      </c>
      <c r="L4260" s="42">
        <f>_xlfn.DAYS(Tabla1[[#This Row],[FECHA FIN ]],Tabla1[[#This Row],[FECHA INICIO]])</f>
        <v>30</v>
      </c>
      <c r="M4260" s="12"/>
      <c r="N4260" s="28">
        <v>400</v>
      </c>
      <c r="O4260" s="28">
        <f>(Tabla1[[#This Row],[COSTO FIJO ]]/30)*Tabla1[[#This Row],[TOTAL DIAS PROYECTO]]+(Tabla1[[#This Row],[COSTO TEMPORAL]])</f>
        <v>400</v>
      </c>
      <c r="P4260" s="12"/>
      <c r="Q4260" s="12">
        <f>+(Tabla1[[#This Row],[COSTO COCHE]]/30)*Tabla1[[#This Row],[TOTAL DIAS PROYECTO]]</f>
        <v>0</v>
      </c>
      <c r="R4260" s="12">
        <f>+Tabla1[[#This Row],[COSTO TOTAL ALOJAMIENTO]]+Tabla1[[#This Row],[COSTO TOTAL COCHE]]</f>
        <v>400</v>
      </c>
      <c r="S4260" s="2"/>
      <c r="T4260" s="2" t="s">
        <v>35</v>
      </c>
      <c r="U4260" s="14">
        <v>45749</v>
      </c>
      <c r="V4260" s="43">
        <v>45779</v>
      </c>
      <c r="W4260" s="26">
        <v>400</v>
      </c>
      <c r="X4260" s="2">
        <v>1</v>
      </c>
      <c r="Y4260" s="11"/>
      <c r="Z4260" s="2" t="s">
        <v>36</v>
      </c>
      <c r="AA4260" s="13" t="s">
        <v>10367</v>
      </c>
      <c r="AB4260" s="13">
        <v>3899424</v>
      </c>
    </row>
    <row r="4261" spans="1:28" ht="15" customHeight="1">
      <c r="A4261" s="2" t="s">
        <v>9170</v>
      </c>
      <c r="B4261" s="2" t="s">
        <v>28</v>
      </c>
      <c r="C4261" s="11" t="s">
        <v>2305</v>
      </c>
      <c r="D4261" s="2" t="s">
        <v>30</v>
      </c>
      <c r="E4261" s="2" t="s">
        <v>100</v>
      </c>
      <c r="F4261" s="11" t="s">
        <v>101</v>
      </c>
      <c r="G4261" s="21" t="s">
        <v>102</v>
      </c>
      <c r="H4261" s="2" t="s">
        <v>4431</v>
      </c>
      <c r="I4261" s="12" t="s">
        <v>96</v>
      </c>
      <c r="J4261" s="22">
        <f>+Tabla1[[#This Row],[FECHA ENTRADA]]</f>
        <v>45685</v>
      </c>
      <c r="K4261" s="22">
        <v>45749</v>
      </c>
      <c r="L4261" s="23">
        <f>_xlfn.DAYS(Tabla1[[#This Row],[FECHA FIN ]],Tabla1[[#This Row],[FECHA INICIO]])</f>
        <v>64</v>
      </c>
      <c r="M4261" s="12"/>
      <c r="N4261" s="12"/>
      <c r="O4261" s="24">
        <f>(Tabla1[[#This Row],[COSTO FIJO ]]/30)*Tabla1[[#This Row],[TOTAL DIAS PROYECTO]]+(Tabla1[[#This Row],[COSTO TEMPORAL]])</f>
        <v>0</v>
      </c>
      <c r="P4261" s="12">
        <f>651.96/3</f>
        <v>217.32000000000002</v>
      </c>
      <c r="Q4261" s="12">
        <f>+(Tabla1[[#This Row],[COSTO COCHE]]/30)*Tabla1[[#This Row],[TOTAL DIAS PROYECTO]]</f>
        <v>463.61600000000004</v>
      </c>
      <c r="R4261" s="12">
        <f>+Tabla1[[#This Row],[COSTO TOTAL ALOJAMIENTO]]+Tabla1[[#This Row],[COSTO TOTAL COCHE]]</f>
        <v>463.61600000000004</v>
      </c>
      <c r="S4261" s="2"/>
      <c r="T4261" s="2" t="s">
        <v>35</v>
      </c>
      <c r="U4261" s="14">
        <v>45685</v>
      </c>
      <c r="V4261" s="79"/>
      <c r="W4261" s="26"/>
      <c r="X4261" s="2">
        <v>25</v>
      </c>
      <c r="Y4261" s="11"/>
      <c r="Z4261" s="2" t="s">
        <v>36</v>
      </c>
      <c r="AA4261" s="13" t="s">
        <v>10338</v>
      </c>
      <c r="AB4261" s="13">
        <v>3718817</v>
      </c>
    </row>
    <row r="4262" spans="1:28" ht="15" customHeight="1">
      <c r="A4262" s="2" t="s">
        <v>9499</v>
      </c>
      <c r="B4262" s="2" t="s">
        <v>28</v>
      </c>
      <c r="C4262" s="11" t="s">
        <v>3399</v>
      </c>
      <c r="D4262" s="2" t="s">
        <v>99</v>
      </c>
      <c r="E4262" s="2" t="s">
        <v>259</v>
      </c>
      <c r="F4262" s="11" t="s">
        <v>4894</v>
      </c>
      <c r="G4262" s="68" t="s">
        <v>4207</v>
      </c>
      <c r="H4262" s="2" t="s">
        <v>3397</v>
      </c>
      <c r="I4262" s="12" t="s">
        <v>57</v>
      </c>
      <c r="J4262" s="41">
        <f>+Tabla1[[#This Row],[FECHA ENTRADA]]</f>
        <v>45829</v>
      </c>
      <c r="K4262" s="8">
        <v>45987</v>
      </c>
      <c r="L4262" s="42">
        <f>_xlfn.DAYS(Tabla1[[#This Row],[FECHA FIN ]],Tabla1[[#This Row],[FECHA INICIO]])</f>
        <v>158</v>
      </c>
      <c r="M4262" s="12"/>
      <c r="N4262" s="28">
        <v>325</v>
      </c>
      <c r="O4262" s="28">
        <f>(Tabla1[[#This Row],[COSTO FIJO ]]/30)*Tabla1[[#This Row],[TOTAL DIAS PROYECTO]]+(Tabla1[[#This Row],[COSTO TEMPORAL]])</f>
        <v>1711.6666666666667</v>
      </c>
      <c r="P4262" s="12"/>
      <c r="Q4262" s="12">
        <f>+(Tabla1[[#This Row],[COSTO COCHE]]/30)*Tabla1[[#This Row],[TOTAL DIAS PROYECTO]]</f>
        <v>0</v>
      </c>
      <c r="R4262" s="12">
        <f>+Tabla1[[#This Row],[COSTO TOTAL ALOJAMIENTO]]+Tabla1[[#This Row],[COSTO TOTAL COCHE]]</f>
        <v>1711.6666666666667</v>
      </c>
      <c r="S4262" s="2"/>
      <c r="T4262" s="14" t="s">
        <v>35</v>
      </c>
      <c r="U4262" s="14">
        <v>45829</v>
      </c>
      <c r="V4262" s="43"/>
      <c r="W4262" s="71">
        <v>1300</v>
      </c>
      <c r="X4262" s="2">
        <v>5</v>
      </c>
      <c r="Y4262" s="11" t="s">
        <v>6236</v>
      </c>
      <c r="Z4262" s="2" t="s">
        <v>36</v>
      </c>
      <c r="AA4262" s="13">
        <v>-0.87734000000000001</v>
      </c>
      <c r="AB4262" s="13" t="s">
        <v>10359</v>
      </c>
    </row>
    <row r="4263" spans="1:28" ht="15" customHeight="1">
      <c r="A4263" s="2" t="s">
        <v>9704</v>
      </c>
      <c r="B4263" s="2" t="s">
        <v>28</v>
      </c>
      <c r="C4263" s="31" t="s">
        <v>4333</v>
      </c>
      <c r="D4263" s="2" t="s">
        <v>30</v>
      </c>
      <c r="E4263" s="2" t="s">
        <v>55</v>
      </c>
      <c r="F4263" s="11" t="s">
        <v>231</v>
      </c>
      <c r="G4263" s="291" t="s">
        <v>106</v>
      </c>
      <c r="H4263" s="2" t="s">
        <v>4437</v>
      </c>
      <c r="I4263" s="54" t="s">
        <v>589</v>
      </c>
      <c r="J4263" s="22">
        <f>+Tabla1[[#This Row],[FECHA ENTRADA]]</f>
        <v>45853</v>
      </c>
      <c r="K4263" s="22">
        <v>45988</v>
      </c>
      <c r="L4263" s="23">
        <f>_xlfn.DAYS(Tabla1[[#This Row],[FECHA FIN ]],Tabla1[[#This Row],[FECHA INICIO]])</f>
        <v>135</v>
      </c>
      <c r="M4263" s="12"/>
      <c r="N4263" s="12">
        <v>500</v>
      </c>
      <c r="O4263" s="24">
        <f>(Tabla1[[#This Row],[COSTO FIJO ]]/30)*Tabla1[[#This Row],[TOTAL DIAS PROYECTO]]+(Tabla1[[#This Row],[COSTO TEMPORAL]])</f>
        <v>2250</v>
      </c>
      <c r="P4263" s="12"/>
      <c r="Q4263" s="12">
        <f>+(Tabla1[[#This Row],[COSTO COCHE]]/30)*Tabla1[[#This Row],[TOTAL DIAS PROYECTO]]</f>
        <v>0</v>
      </c>
      <c r="R4263" s="12">
        <f>+Tabla1[[#This Row],[COSTO TOTAL ALOJAMIENTO]]+Tabla1[[#This Row],[COSTO TOTAL COCHE]]</f>
        <v>2250</v>
      </c>
      <c r="S4263" s="2"/>
      <c r="T4263" s="14" t="s">
        <v>35</v>
      </c>
      <c r="U4263" s="14">
        <v>45853</v>
      </c>
      <c r="V4263" s="25"/>
      <c r="W4263" s="12"/>
      <c r="X4263" s="2">
        <v>1</v>
      </c>
      <c r="Y4263" s="11" t="s">
        <v>6237</v>
      </c>
      <c r="Z4263" s="2" t="s">
        <v>36</v>
      </c>
      <c r="AA4263" s="13" t="s">
        <v>10327</v>
      </c>
      <c r="AB4263" s="13" t="s">
        <v>10328</v>
      </c>
    </row>
    <row r="4264" spans="1:28" ht="15" customHeight="1">
      <c r="A4264" s="2" t="s">
        <v>10079</v>
      </c>
      <c r="B4264" s="2" t="s">
        <v>606</v>
      </c>
      <c r="C4264" s="292" t="s">
        <v>6238</v>
      </c>
      <c r="D4264" s="2" t="s">
        <v>99</v>
      </c>
      <c r="E4264" s="2" t="s">
        <v>31</v>
      </c>
      <c r="F4264" s="11" t="s">
        <v>344</v>
      </c>
      <c r="G4264" s="11" t="s">
        <v>345</v>
      </c>
      <c r="H4264" s="2" t="s">
        <v>6239</v>
      </c>
      <c r="I4264" s="12" t="s">
        <v>181</v>
      </c>
      <c r="J4264" s="22">
        <f>+Tabla1[[#This Row],[FECHA ENTRADA]]</f>
        <v>45956</v>
      </c>
      <c r="K4264" s="22">
        <v>45988</v>
      </c>
      <c r="L4264" s="23">
        <f>_xlfn.DAYS(Tabla1[[#This Row],[FECHA FIN ]],Tabla1[[#This Row],[FECHA INICIO]])</f>
        <v>32</v>
      </c>
      <c r="M4264" s="12"/>
      <c r="N4264" s="24">
        <f>1677.13/5</f>
        <v>335.42600000000004</v>
      </c>
      <c r="O4264" s="24">
        <f>(Tabla1[[#This Row],[COSTO FIJO ]]/30)*Tabla1[[#This Row],[TOTAL DIAS PROYECTO]]+(Tabla1[[#This Row],[COSTO TEMPORAL]])</f>
        <v>357.78773333333339</v>
      </c>
      <c r="P4264" s="12"/>
      <c r="Q4264" s="12">
        <f>+(Tabla1[[#This Row],[COSTO COCHE]]/30)*Tabla1[[#This Row],[TOTAL DIAS PROYECTO]]</f>
        <v>0</v>
      </c>
      <c r="R4264" s="12">
        <f>+Tabla1[[#This Row],[COSTO TOTAL ALOJAMIENTO]]+Tabla1[[#This Row],[COSTO TOTAL COCHE]]</f>
        <v>357.78773333333339</v>
      </c>
      <c r="S4264" s="2"/>
      <c r="T4264" s="14" t="s">
        <v>35</v>
      </c>
      <c r="U4264" s="14">
        <v>45956</v>
      </c>
      <c r="V4264" s="79"/>
      <c r="W4264" s="71"/>
      <c r="X4264" s="2"/>
      <c r="Y4264" s="11" t="s">
        <v>6240</v>
      </c>
      <c r="Z4264" s="2" t="s">
        <v>36</v>
      </c>
      <c r="AA4264" s="13" t="s">
        <v>10323</v>
      </c>
      <c r="AB4264" s="13" t="s">
        <v>10324</v>
      </c>
    </row>
    <row r="4265" spans="1:28" ht="15" customHeight="1">
      <c r="A4265" s="2" t="s">
        <v>9963</v>
      </c>
      <c r="B4265" s="2" t="s">
        <v>978</v>
      </c>
      <c r="C4265" s="293" t="s">
        <v>5746</v>
      </c>
      <c r="D4265" s="2" t="s">
        <v>30</v>
      </c>
      <c r="E4265" s="2" t="s">
        <v>259</v>
      </c>
      <c r="F4265" s="11" t="s">
        <v>5261</v>
      </c>
      <c r="G4265" s="49" t="s">
        <v>4207</v>
      </c>
      <c r="H4265" s="2" t="s">
        <v>5262</v>
      </c>
      <c r="I4265" s="12" t="s">
        <v>5263</v>
      </c>
      <c r="J4265" s="41">
        <f>+Tabla1[[#This Row],[FECHA ENTRADA]]</f>
        <v>45954</v>
      </c>
      <c r="K4265" s="41">
        <v>45989</v>
      </c>
      <c r="L4265" s="42">
        <f>_xlfn.DAYS(Tabla1[[#This Row],[FECHA FIN ]],Tabla1[[#This Row],[FECHA INICIO]])</f>
        <v>35</v>
      </c>
      <c r="M4265" s="12"/>
      <c r="N4265" s="28">
        <v>271.42857142857144</v>
      </c>
      <c r="O4265" s="28">
        <f>(Tabla1[[#This Row],[COSTO FIJO ]]/30)*Tabla1[[#This Row],[TOTAL DIAS PROYECTO]]+(Tabla1[[#This Row],[COSTO TEMPORAL]])</f>
        <v>316.66666666666669</v>
      </c>
      <c r="P4265" s="12"/>
      <c r="Q4265" s="12">
        <f>+(Tabla1[[#This Row],[COSTO COCHE]]/30)*Tabla1[[#This Row],[TOTAL DIAS PROYECTO]]</f>
        <v>0</v>
      </c>
      <c r="R4265" s="12">
        <f>+Tabla1[[#This Row],[COSTO TOTAL ALOJAMIENTO]]+Tabla1[[#This Row],[COSTO TOTAL COCHE]]</f>
        <v>316.66666666666669</v>
      </c>
      <c r="S4265" s="2"/>
      <c r="T4265" s="14" t="s">
        <v>35</v>
      </c>
      <c r="U4265" s="14">
        <v>45954</v>
      </c>
      <c r="V4265" s="43"/>
      <c r="W4265" s="71"/>
      <c r="X4265" s="2">
        <v>1</v>
      </c>
      <c r="Y4265" s="11" t="s">
        <v>6241</v>
      </c>
      <c r="Z4265" s="2" t="s">
        <v>36</v>
      </c>
      <c r="AA4265" s="13">
        <v>-0.87734000000000001</v>
      </c>
      <c r="AB4265" s="13" t="s">
        <v>10359</v>
      </c>
    </row>
    <row r="4266" spans="1:28" ht="15" customHeight="1">
      <c r="A4266" s="2" t="s">
        <v>9960</v>
      </c>
      <c r="B4266" s="2" t="s">
        <v>711</v>
      </c>
      <c r="C4266" s="31" t="s">
        <v>5735</v>
      </c>
      <c r="D4266" s="2" t="s">
        <v>30</v>
      </c>
      <c r="E4266" s="2" t="s">
        <v>259</v>
      </c>
      <c r="F4266" s="11" t="s">
        <v>5261</v>
      </c>
      <c r="G4266" s="197" t="s">
        <v>4207</v>
      </c>
      <c r="H4266" s="2" t="s">
        <v>5738</v>
      </c>
      <c r="I4266" s="12" t="s">
        <v>794</v>
      </c>
      <c r="J4266" s="41">
        <f>+Tabla1[[#This Row],[FECHA ENTRADA]]</f>
        <v>45954</v>
      </c>
      <c r="K4266" s="41">
        <v>45991</v>
      </c>
      <c r="L4266" s="42">
        <f>_xlfn.DAYS(Tabla1[[#This Row],[FECHA FIN ]],Tabla1[[#This Row],[FECHA INICIO]])</f>
        <v>37</v>
      </c>
      <c r="M4266" s="12"/>
      <c r="N4266" s="28">
        <v>271.42857142857144</v>
      </c>
      <c r="O4266" s="28">
        <f>(Tabla1[[#This Row],[COSTO FIJO ]]/30)*Tabla1[[#This Row],[TOTAL DIAS PROYECTO]]+(Tabla1[[#This Row],[COSTO TEMPORAL]])</f>
        <v>334.76190476190476</v>
      </c>
      <c r="P4266" s="12"/>
      <c r="Q4266" s="12">
        <f>+(Tabla1[[#This Row],[COSTO COCHE]]/30)*Tabla1[[#This Row],[TOTAL DIAS PROYECTO]]</f>
        <v>0</v>
      </c>
      <c r="R4266" s="12">
        <f>+Tabla1[[#This Row],[COSTO TOTAL ALOJAMIENTO]]+Tabla1[[#This Row],[COSTO TOTAL COCHE]]</f>
        <v>334.76190476190476</v>
      </c>
      <c r="S4266" s="2"/>
      <c r="T4266" s="14" t="s">
        <v>35</v>
      </c>
      <c r="U4266" s="14">
        <v>45954</v>
      </c>
      <c r="V4266" s="43"/>
      <c r="W4266" s="12">
        <v>1900</v>
      </c>
      <c r="X4266" s="2">
        <v>1</v>
      </c>
      <c r="Y4266" s="11" t="s">
        <v>6242</v>
      </c>
      <c r="Z4266" s="2" t="s">
        <v>36</v>
      </c>
      <c r="AA4266" s="13">
        <v>-0.87734000000000001</v>
      </c>
      <c r="AB4266" s="13" t="s">
        <v>10359</v>
      </c>
    </row>
    <row r="4267" spans="1:28" ht="15" customHeight="1">
      <c r="A4267" s="2" t="s">
        <v>9954</v>
      </c>
      <c r="B4267" s="2" t="s">
        <v>978</v>
      </c>
      <c r="C4267" s="31" t="s">
        <v>5680</v>
      </c>
      <c r="D4267" s="2" t="s">
        <v>30</v>
      </c>
      <c r="E4267" s="2" t="s">
        <v>259</v>
      </c>
      <c r="F4267" s="11" t="s">
        <v>5261</v>
      </c>
      <c r="G4267" s="49" t="s">
        <v>4207</v>
      </c>
      <c r="H4267" s="2" t="s">
        <v>5971</v>
      </c>
      <c r="I4267" s="12" t="s">
        <v>5263</v>
      </c>
      <c r="J4267" s="22">
        <f>+Tabla1[[#This Row],[FECHA ENTRADA]]</f>
        <v>45979</v>
      </c>
      <c r="K4267" s="22">
        <v>45989</v>
      </c>
      <c r="L4267" s="23">
        <f>_xlfn.DAYS(Tabla1[[#This Row],[FECHA FIN ]],Tabla1[[#This Row],[FECHA INICIO]])</f>
        <v>10</v>
      </c>
      <c r="M4267" s="12"/>
      <c r="N4267" s="24">
        <v>271.42857142857144</v>
      </c>
      <c r="O4267" s="24">
        <f>(Tabla1[[#This Row],[COSTO FIJO ]]/30)*Tabla1[[#This Row],[TOTAL DIAS PROYECTO]]+(Tabla1[[#This Row],[COSTO TEMPORAL]])</f>
        <v>90.476190476190482</v>
      </c>
      <c r="P4267" s="12"/>
      <c r="Q4267" s="12">
        <f>+(Tabla1[[#This Row],[COSTO COCHE]]/30)*Tabla1[[#This Row],[TOTAL DIAS PROYECTO]]</f>
        <v>0</v>
      </c>
      <c r="R4267" s="12">
        <f>+Tabla1[[#This Row],[COSTO TOTAL ALOJAMIENTO]]+Tabla1[[#This Row],[COSTO TOTAL COCHE]]</f>
        <v>90.476190476190482</v>
      </c>
      <c r="S4267" s="2"/>
      <c r="T4267" s="14" t="s">
        <v>35</v>
      </c>
      <c r="U4267" s="14">
        <v>45979</v>
      </c>
      <c r="V4267" s="79"/>
      <c r="W4267" s="12"/>
      <c r="X4267" s="2">
        <v>1</v>
      </c>
      <c r="Y4267" s="11" t="s">
        <v>6243</v>
      </c>
      <c r="Z4267" s="2" t="s">
        <v>36</v>
      </c>
      <c r="AA4267" s="13">
        <v>-0.87734000000000001</v>
      </c>
      <c r="AB4267" s="13" t="s">
        <v>10359</v>
      </c>
    </row>
    <row r="4268" spans="1:28" ht="15" customHeight="1">
      <c r="A4268" s="2" t="s">
        <v>9750</v>
      </c>
      <c r="B4268" s="2" t="s">
        <v>978</v>
      </c>
      <c r="C4268" s="31" t="s">
        <v>4554</v>
      </c>
      <c r="D4268" s="2" t="s">
        <v>30</v>
      </c>
      <c r="E4268" s="2" t="s">
        <v>259</v>
      </c>
      <c r="F4268" s="11" t="s">
        <v>5261</v>
      </c>
      <c r="G4268" s="49" t="s">
        <v>4207</v>
      </c>
      <c r="H4268" s="2" t="s">
        <v>5971</v>
      </c>
      <c r="I4268" s="12" t="s">
        <v>5263</v>
      </c>
      <c r="J4268" s="22">
        <f>+Tabla1[[#This Row],[FECHA ENTRADA]]</f>
        <v>45979</v>
      </c>
      <c r="K4268" s="22">
        <v>45989</v>
      </c>
      <c r="L4268" s="23">
        <f>_xlfn.DAYS(Tabla1[[#This Row],[FECHA FIN ]],Tabla1[[#This Row],[FECHA INICIO]])</f>
        <v>10</v>
      </c>
      <c r="M4268" s="12"/>
      <c r="N4268" s="24">
        <v>271.42857142857144</v>
      </c>
      <c r="O4268" s="24">
        <f>(Tabla1[[#This Row],[COSTO FIJO ]]/30)*Tabla1[[#This Row],[TOTAL DIAS PROYECTO]]+(Tabla1[[#This Row],[COSTO TEMPORAL]])</f>
        <v>90.476190476190482</v>
      </c>
      <c r="P4268" s="12"/>
      <c r="Q4268" s="12">
        <f>+(Tabla1[[#This Row],[COSTO COCHE]]/30)*Tabla1[[#This Row],[TOTAL DIAS PROYECTO]]</f>
        <v>0</v>
      </c>
      <c r="R4268" s="12">
        <f>+Tabla1[[#This Row],[COSTO TOTAL ALOJAMIENTO]]+Tabla1[[#This Row],[COSTO TOTAL COCHE]]</f>
        <v>90.476190476190482</v>
      </c>
      <c r="S4268" s="2"/>
      <c r="T4268" s="14" t="s">
        <v>35</v>
      </c>
      <c r="U4268" s="14">
        <v>45979</v>
      </c>
      <c r="V4268" s="79"/>
      <c r="W4268" s="12"/>
      <c r="X4268" s="2">
        <v>1</v>
      </c>
      <c r="Y4268" s="11" t="s">
        <v>6243</v>
      </c>
      <c r="Z4268" s="2" t="s">
        <v>36</v>
      </c>
      <c r="AA4268" s="13">
        <v>-0.87734000000000001</v>
      </c>
      <c r="AB4268" s="13" t="s">
        <v>10359</v>
      </c>
    </row>
    <row r="4269" spans="1:28" ht="15" customHeight="1">
      <c r="A4269" s="2" t="s">
        <v>9765</v>
      </c>
      <c r="B4269" s="2" t="s">
        <v>978</v>
      </c>
      <c r="C4269" s="11" t="s">
        <v>4648</v>
      </c>
      <c r="D4269" s="2" t="s">
        <v>30</v>
      </c>
      <c r="E4269" s="2" t="s">
        <v>380</v>
      </c>
      <c r="F4269" s="11" t="s">
        <v>6222</v>
      </c>
      <c r="G4269" s="21" t="s">
        <v>6223</v>
      </c>
      <c r="H4269" s="2" t="s">
        <v>4279</v>
      </c>
      <c r="I4269" s="12" t="s">
        <v>4276</v>
      </c>
      <c r="J4269" s="22">
        <f>+Tabla1[[#This Row],[FECHA ENTRADA]]</f>
        <v>45871</v>
      </c>
      <c r="K4269" s="22">
        <v>45928</v>
      </c>
      <c r="L4269" s="23">
        <f>_xlfn.DAYS(Tabla1[[#This Row],[FECHA FIN ]],Tabla1[[#This Row],[FECHA INICIO]])</f>
        <v>57</v>
      </c>
      <c r="M4269" s="12"/>
      <c r="N4269" s="12"/>
      <c r="O4269" s="24">
        <f>(Tabla1[[#This Row],[COSTO FIJO ]]/30)*Tabla1[[#This Row],[TOTAL DIAS PROYECTO]]+(Tabla1[[#This Row],[COSTO TEMPORAL]])</f>
        <v>0</v>
      </c>
      <c r="P4269" s="12"/>
      <c r="Q4269" s="12">
        <f>+(Tabla1[[#This Row],[COSTO COCHE]]/30)*Tabla1[[#This Row],[TOTAL DIAS PROYECTO]]</f>
        <v>0</v>
      </c>
      <c r="R4269" s="12">
        <f>+Tabla1[[#This Row],[COSTO TOTAL ALOJAMIENTO]]+Tabla1[[#This Row],[COSTO TOTAL COCHE]]</f>
        <v>0</v>
      </c>
      <c r="S4269" s="2"/>
      <c r="T4269" s="14" t="s">
        <v>35</v>
      </c>
      <c r="U4269" s="14">
        <v>45871</v>
      </c>
      <c r="V4269" s="79">
        <v>45901</v>
      </c>
      <c r="W4269" s="12"/>
      <c r="X4269" s="2">
        <v>1</v>
      </c>
      <c r="Y4269" s="11" t="s">
        <v>6244</v>
      </c>
      <c r="Z4269" s="2" t="s">
        <v>36</v>
      </c>
      <c r="AA4269" s="13" t="s">
        <v>10370</v>
      </c>
      <c r="AB4269" s="13" t="s">
        <v>10371</v>
      </c>
    </row>
    <row r="4270" spans="1:28" ht="15" customHeight="1">
      <c r="A4270" s="2" t="s">
        <v>8995</v>
      </c>
      <c r="B4270" s="2" t="s">
        <v>978</v>
      </c>
      <c r="C4270" s="11" t="s">
        <v>1621</v>
      </c>
      <c r="D4270" s="2" t="s">
        <v>30</v>
      </c>
      <c r="E4270" s="2" t="s">
        <v>109</v>
      </c>
      <c r="F4270" s="11" t="s">
        <v>6245</v>
      </c>
      <c r="G4270" s="46" t="s">
        <v>6246</v>
      </c>
      <c r="H4270" s="2" t="s">
        <v>4680</v>
      </c>
      <c r="I4270" s="12" t="s">
        <v>4681</v>
      </c>
      <c r="J4270" s="41">
        <f>+Tabla1[[#This Row],[FECHA ENTRADA]]</f>
        <v>45870</v>
      </c>
      <c r="K4270" s="22">
        <v>45873</v>
      </c>
      <c r="L4270" s="42">
        <f>_xlfn.DAYS(Tabla1[[#This Row],[FECHA FIN ]],Tabla1[[#This Row],[FECHA INICIO]])</f>
        <v>3</v>
      </c>
      <c r="M4270" s="12"/>
      <c r="N4270" s="12"/>
      <c r="O4270" s="28">
        <f>(Tabla1[[#This Row],[COSTO FIJO ]]/30)*Tabla1[[#This Row],[TOTAL DIAS PROYECTO]]+(Tabla1[[#This Row],[COSTO TEMPORAL]])</f>
        <v>0</v>
      </c>
      <c r="P4270" s="12"/>
      <c r="Q4270" s="12">
        <f>+(Tabla1[[#This Row],[COSTO COCHE]]/30)*Tabla1[[#This Row],[TOTAL DIAS PROYECTO]]</f>
        <v>0</v>
      </c>
      <c r="R4270" s="12">
        <f>+Tabla1[[#This Row],[COSTO TOTAL ALOJAMIENTO]]+Tabla1[[#This Row],[COSTO TOTAL COCHE]]</f>
        <v>0</v>
      </c>
      <c r="S4270" s="2"/>
      <c r="T4270" s="14" t="s">
        <v>44</v>
      </c>
      <c r="U4270" s="79">
        <v>45870</v>
      </c>
      <c r="V4270" s="43">
        <v>45873</v>
      </c>
      <c r="W4270" s="12"/>
      <c r="X4270" s="2"/>
      <c r="Y4270" s="11" t="s">
        <v>6247</v>
      </c>
      <c r="Z4270" s="2" t="s">
        <v>36</v>
      </c>
      <c r="AA4270" s="13">
        <v>0.62217999999999996</v>
      </c>
      <c r="AB4270" s="13" t="s">
        <v>10339</v>
      </c>
    </row>
    <row r="4271" spans="1:28" ht="15" customHeight="1">
      <c r="A4271" s="2" t="s">
        <v>8994</v>
      </c>
      <c r="B4271" s="2" t="s">
        <v>978</v>
      </c>
      <c r="C4271" s="11" t="s">
        <v>1617</v>
      </c>
      <c r="D4271" s="2" t="s">
        <v>30</v>
      </c>
      <c r="E4271" s="2" t="s">
        <v>109</v>
      </c>
      <c r="F4271" s="11" t="s">
        <v>6245</v>
      </c>
      <c r="G4271" s="46" t="s">
        <v>6246</v>
      </c>
      <c r="H4271" s="2" t="s">
        <v>4680</v>
      </c>
      <c r="I4271" s="12" t="s">
        <v>4681</v>
      </c>
      <c r="J4271" s="41">
        <f>+Tabla1[[#This Row],[FECHA ENTRADA]]</f>
        <v>45870</v>
      </c>
      <c r="K4271" s="22">
        <v>45873</v>
      </c>
      <c r="L4271" s="42">
        <f>_xlfn.DAYS(Tabla1[[#This Row],[FECHA FIN ]],Tabla1[[#This Row],[FECHA INICIO]])</f>
        <v>3</v>
      </c>
      <c r="M4271" s="12"/>
      <c r="N4271" s="12"/>
      <c r="O4271" s="28">
        <f>(Tabla1[[#This Row],[COSTO FIJO ]]/30)*Tabla1[[#This Row],[TOTAL DIAS PROYECTO]]+(Tabla1[[#This Row],[COSTO TEMPORAL]])</f>
        <v>0</v>
      </c>
      <c r="P4271" s="12"/>
      <c r="Q4271" s="12">
        <f>+(Tabla1[[#This Row],[COSTO COCHE]]/30)*Tabla1[[#This Row],[TOTAL DIAS PROYECTO]]</f>
        <v>0</v>
      </c>
      <c r="R4271" s="12">
        <f>+Tabla1[[#This Row],[COSTO TOTAL ALOJAMIENTO]]+Tabla1[[#This Row],[COSTO TOTAL COCHE]]</f>
        <v>0</v>
      </c>
      <c r="S4271" s="2"/>
      <c r="T4271" s="14" t="s">
        <v>44</v>
      </c>
      <c r="U4271" s="79">
        <v>45870</v>
      </c>
      <c r="V4271" s="43">
        <v>45873</v>
      </c>
      <c r="W4271" s="12"/>
      <c r="X4271" s="2"/>
      <c r="Y4271" s="11" t="s">
        <v>6247</v>
      </c>
      <c r="Z4271" s="2" t="s">
        <v>36</v>
      </c>
      <c r="AA4271" s="13">
        <v>0.62217999999999996</v>
      </c>
      <c r="AB4271" s="13" t="s">
        <v>10339</v>
      </c>
    </row>
    <row r="4272" spans="1:28" ht="15" customHeight="1">
      <c r="A4272" s="117" t="s">
        <v>10080</v>
      </c>
      <c r="B4272" s="117" t="s">
        <v>606</v>
      </c>
      <c r="C4272" s="118" t="s">
        <v>6248</v>
      </c>
      <c r="D4272" s="117" t="s">
        <v>30</v>
      </c>
      <c r="E4272" s="117" t="s">
        <v>259</v>
      </c>
      <c r="F4272" s="11" t="s">
        <v>691</v>
      </c>
      <c r="G4272" s="118" t="s">
        <v>692</v>
      </c>
      <c r="H4272" s="117" t="s">
        <v>6249</v>
      </c>
      <c r="I4272" s="119" t="s">
        <v>57</v>
      </c>
      <c r="J4272" s="120">
        <f>+Tabla1[[#This Row],[FECHA ENTRADA]]</f>
        <v>45873</v>
      </c>
      <c r="K4272" s="294">
        <v>45990</v>
      </c>
      <c r="L4272" s="122">
        <f>_xlfn.DAYS(Tabla1[[#This Row],[FECHA FIN ]],Tabla1[[#This Row],[FECHA INICIO]])</f>
        <v>117</v>
      </c>
      <c r="M4272" s="119"/>
      <c r="N4272" s="123">
        <v>297.5</v>
      </c>
      <c r="O4272" s="123">
        <f>(Tabla1[[#This Row],[COSTO FIJO ]]/30)*Tabla1[[#This Row],[TOTAL DIAS PROYECTO]]+(Tabla1[[#This Row],[COSTO TEMPORAL]])</f>
        <v>1160.25</v>
      </c>
      <c r="P4272" s="119"/>
      <c r="Q4272" s="119">
        <f>+(Tabla1[[#This Row],[COSTO COCHE]]/30)*Tabla1[[#This Row],[TOTAL DIAS PROYECTO]]</f>
        <v>0</v>
      </c>
      <c r="R4272" s="119">
        <f>+Tabla1[[#This Row],[COSTO TOTAL ALOJAMIENTO]]+Tabla1[[#This Row],[COSTO TOTAL COCHE]]</f>
        <v>1160.25</v>
      </c>
      <c r="S4272" s="117"/>
      <c r="T4272" s="124" t="s">
        <v>35</v>
      </c>
      <c r="U4272" s="124">
        <v>45873</v>
      </c>
      <c r="V4272" s="159"/>
      <c r="W4272" s="119"/>
      <c r="X4272" s="117">
        <v>1</v>
      </c>
      <c r="Y4272" s="118" t="s">
        <v>6250</v>
      </c>
      <c r="Z4272" s="117" t="s">
        <v>36</v>
      </c>
      <c r="AA4272" s="127">
        <v>-0.87734000000000001</v>
      </c>
      <c r="AB4272" s="127" t="s">
        <v>10359</v>
      </c>
    </row>
    <row r="4273" spans="1:32" ht="15" customHeight="1">
      <c r="A4273" s="2" t="s">
        <v>8642</v>
      </c>
      <c r="B4273" s="2" t="s">
        <v>711</v>
      </c>
      <c r="C4273" s="31" t="s">
        <v>6251</v>
      </c>
      <c r="D4273" s="2" t="s">
        <v>30</v>
      </c>
      <c r="E4273" s="2" t="s">
        <v>422</v>
      </c>
      <c r="F4273" s="11" t="s">
        <v>5145</v>
      </c>
      <c r="G4273" t="s">
        <v>1376</v>
      </c>
      <c r="H4273" s="2" t="s">
        <v>5671</v>
      </c>
      <c r="I4273" s="30" t="s">
        <v>1322</v>
      </c>
      <c r="J4273" s="22">
        <f>+Tabla1[[#This Row],[FECHA ENTRADA]]</f>
        <v>45874</v>
      </c>
      <c r="K4273" s="8">
        <v>45886</v>
      </c>
      <c r="L4273" s="23">
        <f>_xlfn.DAYS(Tabla1[[#This Row],[FECHA FIN ]],Tabla1[[#This Row],[FECHA INICIO]])</f>
        <v>12</v>
      </c>
      <c r="M4273" s="12"/>
      <c r="N4273" s="20">
        <v>240</v>
      </c>
      <c r="O4273" s="24">
        <f>(Tabla1[[#This Row],[COSTO FIJO ]]/30)*Tabla1[[#This Row],[TOTAL DIAS PROYECTO]]+(Tabla1[[#This Row],[COSTO TEMPORAL]])</f>
        <v>96</v>
      </c>
      <c r="P4273" s="12"/>
      <c r="Q4273" s="12">
        <f>+(Tabla1[[#This Row],[COSTO COCHE]]/30)*Tabla1[[#This Row],[TOTAL DIAS PROYECTO]]</f>
        <v>0</v>
      </c>
      <c r="R4273" s="12">
        <f>+Tabla1[[#This Row],[COSTO TOTAL ALOJAMIENTO]]+Tabla1[[#This Row],[COSTO TOTAL COCHE]]</f>
        <v>96</v>
      </c>
      <c r="S4273" s="2"/>
      <c r="T4273" s="14" t="s">
        <v>35</v>
      </c>
      <c r="U4273" s="14">
        <v>45874</v>
      </c>
      <c r="V4273" s="79"/>
      <c r="W4273" s="12"/>
      <c r="X4273" s="2">
        <v>5</v>
      </c>
      <c r="Y4273" s="11" t="s">
        <v>5672</v>
      </c>
      <c r="Z4273" s="2" t="s">
        <v>36</v>
      </c>
      <c r="AA4273" s="13">
        <v>-326.69799999999998</v>
      </c>
      <c r="AB4273" s="13" t="s">
        <v>10373</v>
      </c>
    </row>
    <row r="4274" spans="1:32" ht="15" customHeight="1">
      <c r="A4274" s="2" t="s">
        <v>9096</v>
      </c>
      <c r="B4274" s="2" t="s">
        <v>28</v>
      </c>
      <c r="C4274" s="31" t="s">
        <v>2011</v>
      </c>
      <c r="D4274" s="2" t="s">
        <v>99</v>
      </c>
      <c r="E4274" s="2" t="s">
        <v>422</v>
      </c>
      <c r="F4274" s="11" t="s">
        <v>956</v>
      </c>
      <c r="G4274" s="118" t="s">
        <v>957</v>
      </c>
      <c r="H4274" s="2" t="s">
        <v>6252</v>
      </c>
      <c r="I4274" s="12" t="s">
        <v>4327</v>
      </c>
      <c r="J4274" s="41">
        <f>+Tabla1[[#This Row],[FECHA ENTRADA]]</f>
        <v>45882</v>
      </c>
      <c r="K4274" s="22">
        <v>46033</v>
      </c>
      <c r="L4274" s="42">
        <f>_xlfn.DAYS(Tabla1[[#This Row],[FECHA FIN ]],Tabla1[[#This Row],[FECHA INICIO]])</f>
        <v>151</v>
      </c>
      <c r="M4274" s="12"/>
      <c r="N4274" s="28">
        <v>287.5</v>
      </c>
      <c r="O4274" s="28">
        <f>(Tabla1[[#This Row],[COSTO FIJO ]]/30)*Tabla1[[#This Row],[TOTAL DIAS PROYECTO]]+(Tabla1[[#This Row],[COSTO TEMPORAL]])</f>
        <v>1447.0833333333335</v>
      </c>
      <c r="P4274" s="12"/>
      <c r="Q4274" s="12">
        <f>+(Tabla1[[#This Row],[COSTO COCHE]]/30)*Tabla1[[#This Row],[TOTAL DIAS PROYECTO]]</f>
        <v>0</v>
      </c>
      <c r="R4274" s="12">
        <f>+Tabla1[[#This Row],[COSTO TOTAL ALOJAMIENTO]]+Tabla1[[#This Row],[COSTO TOTAL COCHE]]</f>
        <v>1447.0833333333335</v>
      </c>
      <c r="S4274" s="2"/>
      <c r="T4274" s="14" t="s">
        <v>35</v>
      </c>
      <c r="U4274" s="14">
        <v>45882</v>
      </c>
      <c r="V4274" s="43"/>
      <c r="W4274" s="12"/>
      <c r="X4274" s="2">
        <v>5</v>
      </c>
      <c r="Y4274" s="11" t="s">
        <v>4348</v>
      </c>
      <c r="Z4274" s="2" t="s">
        <v>36</v>
      </c>
      <c r="AA4274" s="13">
        <v>-326.69799999999998</v>
      </c>
      <c r="AB4274" s="13" t="s">
        <v>10373</v>
      </c>
      <c r="AF4274" s="22"/>
    </row>
    <row r="4275" spans="1:32" ht="15" customHeight="1">
      <c r="A4275" s="2" t="s">
        <v>9998</v>
      </c>
      <c r="B4275" s="2" t="s">
        <v>28</v>
      </c>
      <c r="C4275" s="31" t="s">
        <v>5871</v>
      </c>
      <c r="D4275" s="2" t="s">
        <v>30</v>
      </c>
      <c r="E4275" s="2" t="s">
        <v>422</v>
      </c>
      <c r="F4275" s="11" t="s">
        <v>4786</v>
      </c>
      <c r="G4275" s="49" t="s">
        <v>4787</v>
      </c>
      <c r="H4275" s="2" t="s">
        <v>6253</v>
      </c>
      <c r="I4275" s="12" t="s">
        <v>4327</v>
      </c>
      <c r="J4275" s="22">
        <f>+Tabla1[[#This Row],[FECHA ENTRADA]]</f>
        <v>45886</v>
      </c>
      <c r="K4275" s="22">
        <v>45898</v>
      </c>
      <c r="L4275" s="23">
        <f>_xlfn.DAYS(Tabla1[[#This Row],[FECHA FIN ]],Tabla1[[#This Row],[FECHA INICIO]])</f>
        <v>12</v>
      </c>
      <c r="M4275" s="12"/>
      <c r="N4275" s="12"/>
      <c r="O4275" s="24">
        <f>(Tabla1[[#This Row],[COSTO FIJO ]]/30)*Tabla1[[#This Row],[TOTAL DIAS PROYECTO]]+(Tabla1[[#This Row],[COSTO TEMPORAL]])</f>
        <v>0</v>
      </c>
      <c r="P4275" s="12"/>
      <c r="Q4275" s="12">
        <f>+(Tabla1[[#This Row],[COSTO COCHE]]/30)*Tabla1[[#This Row],[TOTAL DIAS PROYECTO]]</f>
        <v>0</v>
      </c>
      <c r="R4275" s="12">
        <f>+Tabla1[[#This Row],[COSTO TOTAL ALOJAMIENTO]]+Tabla1[[#This Row],[COSTO TOTAL COCHE]]</f>
        <v>0</v>
      </c>
      <c r="S4275" s="2"/>
      <c r="T4275" s="14" t="s">
        <v>35</v>
      </c>
      <c r="U4275" s="14">
        <v>45886</v>
      </c>
      <c r="V4275" s="25"/>
      <c r="W4275" s="12"/>
      <c r="X4275" s="2">
        <v>5</v>
      </c>
      <c r="Y4275" s="253" t="s">
        <v>6254</v>
      </c>
      <c r="Z4275" s="2" t="s">
        <v>36</v>
      </c>
      <c r="AA4275" s="13">
        <v>-326.69799999999998</v>
      </c>
      <c r="AB4275" s="13" t="s">
        <v>10373</v>
      </c>
    </row>
    <row r="4276" spans="1:32" ht="15" customHeight="1">
      <c r="A4276" s="2" t="s">
        <v>9921</v>
      </c>
      <c r="B4276" s="2" t="s">
        <v>711</v>
      </c>
      <c r="C4276" s="11" t="s">
        <v>5451</v>
      </c>
      <c r="D4276" s="2" t="s">
        <v>99</v>
      </c>
      <c r="E4276" s="2" t="s">
        <v>253</v>
      </c>
      <c r="F4276" s="11" t="s">
        <v>5811</v>
      </c>
      <c r="G4276" s="197" t="s">
        <v>981</v>
      </c>
      <c r="H4276" s="2" t="s">
        <v>5449</v>
      </c>
      <c r="I4276" s="12" t="s">
        <v>2321</v>
      </c>
      <c r="J4276" s="22">
        <f>+Tabla1[[#This Row],[FECHA ENTRADA]]</f>
        <v>45959</v>
      </c>
      <c r="K4276" s="22">
        <v>45990</v>
      </c>
      <c r="L4276" s="23">
        <f>_xlfn.DAYS(Tabla1[[#This Row],[FECHA FIN ]],Tabla1[[#This Row],[FECHA INICIO]])</f>
        <v>31</v>
      </c>
      <c r="M4276" s="12"/>
      <c r="N4276" s="20">
        <v>500</v>
      </c>
      <c r="O4276" s="24">
        <f>(Tabla1[[#This Row],[COSTO FIJO ]]/30)*Tabla1[[#This Row],[TOTAL DIAS PROYECTO]]+(Tabla1[[#This Row],[COSTO TEMPORAL]])</f>
        <v>516.66666666666674</v>
      </c>
      <c r="P4276" s="12"/>
      <c r="Q4276" s="12">
        <f>+(Tabla1[[#This Row],[COSTO COCHE]]/30)*Tabla1[[#This Row],[TOTAL DIAS PROYECTO]]</f>
        <v>0</v>
      </c>
      <c r="R4276" s="12">
        <f>+Tabla1[[#This Row],[COSTO TOTAL ALOJAMIENTO]]+Tabla1[[#This Row],[COSTO TOTAL COCHE]]</f>
        <v>516.66666666666674</v>
      </c>
      <c r="S4276" s="2"/>
      <c r="T4276" s="14" t="s">
        <v>35</v>
      </c>
      <c r="U4276" s="14">
        <v>45959</v>
      </c>
      <c r="V4276" s="79"/>
      <c r="W4276" s="71"/>
      <c r="X4276" s="2">
        <v>5</v>
      </c>
      <c r="Y4276" s="11" t="s">
        <v>6255</v>
      </c>
      <c r="Z4276" s="2" t="s">
        <v>36</v>
      </c>
      <c r="AA4276" s="13" t="s">
        <v>10357</v>
      </c>
      <c r="AB4276" s="13" t="s">
        <v>10358</v>
      </c>
    </row>
    <row r="4277" spans="1:32" ht="15" customHeight="1">
      <c r="A4277" s="2" t="s">
        <v>9286</v>
      </c>
      <c r="B4277" s="2" t="s">
        <v>978</v>
      </c>
      <c r="C4277" s="31" t="s">
        <v>2700</v>
      </c>
      <c r="D4277" s="2" t="s">
        <v>99</v>
      </c>
      <c r="E4277" s="2" t="s">
        <v>31</v>
      </c>
      <c r="F4277" s="11" t="s">
        <v>6256</v>
      </c>
      <c r="G4277" s="49" t="s">
        <v>5083</v>
      </c>
      <c r="H4277" s="2" t="s">
        <v>6257</v>
      </c>
      <c r="I4277" s="12" t="s">
        <v>4902</v>
      </c>
      <c r="J4277" s="22">
        <f>+Tabla1[[#This Row],[FECHA ENTRADA]]</f>
        <v>45949</v>
      </c>
      <c r="K4277" s="22">
        <v>45976</v>
      </c>
      <c r="L4277" s="23">
        <f>_xlfn.DAYS(Tabla1[[#This Row],[FECHA FIN ]],Tabla1[[#This Row],[FECHA INICIO]])</f>
        <v>27</v>
      </c>
      <c r="M4277" s="12">
        <v>466.66666666666669</v>
      </c>
      <c r="N4277" s="24"/>
      <c r="O4277" s="24">
        <f>(Tabla1[[#This Row],[COSTO FIJO ]]/30)*Tabla1[[#This Row],[TOTAL DIAS PROYECTO]]+(Tabla1[[#This Row],[COSTO TEMPORAL]])</f>
        <v>466.66666666666669</v>
      </c>
      <c r="P4277" s="12"/>
      <c r="Q4277" s="12">
        <f>+(Tabla1[[#This Row],[COSTO COCHE]]/30)*Tabla1[[#This Row],[TOTAL DIAS PROYECTO]]</f>
        <v>0</v>
      </c>
      <c r="R4277" s="12">
        <f>+Tabla1[[#This Row],[COSTO TOTAL ALOJAMIENTO]]+Tabla1[[#This Row],[COSTO TOTAL COCHE]]</f>
        <v>466.66666666666669</v>
      </c>
      <c r="S4277" s="2"/>
      <c r="T4277" s="14" t="s">
        <v>44</v>
      </c>
      <c r="U4277" s="14">
        <v>45949</v>
      </c>
      <c r="V4277" s="25">
        <v>45991</v>
      </c>
      <c r="W4277" s="71"/>
      <c r="X4277" s="2">
        <v>25</v>
      </c>
      <c r="Y4277" s="11" t="s">
        <v>6258</v>
      </c>
      <c r="Z4277" s="2" t="s">
        <v>36</v>
      </c>
      <c r="AA4277" s="13" t="s">
        <v>10323</v>
      </c>
      <c r="AB4277" s="13" t="s">
        <v>10324</v>
      </c>
    </row>
    <row r="4278" spans="1:32" ht="15" customHeight="1">
      <c r="A4278" s="2" t="s">
        <v>9970</v>
      </c>
      <c r="B4278" s="2" t="s">
        <v>711</v>
      </c>
      <c r="C4278" s="31" t="s">
        <v>5779</v>
      </c>
      <c r="D4278" s="2" t="s">
        <v>99</v>
      </c>
      <c r="E4278" s="2" t="s">
        <v>626</v>
      </c>
      <c r="F4278" s="11" t="s">
        <v>5547</v>
      </c>
      <c r="G4278" s="21" t="s">
        <v>5548</v>
      </c>
      <c r="H4278" s="2" t="s">
        <v>6066</v>
      </c>
      <c r="I4278" s="12" t="s">
        <v>570</v>
      </c>
      <c r="J4278" s="41">
        <f>+Tabla1[[#This Row],[FECHA ENTRADA]]</f>
        <v>45972</v>
      </c>
      <c r="K4278" s="8">
        <v>45990</v>
      </c>
      <c r="L4278" s="42">
        <f>_xlfn.DAYS(Tabla1[[#This Row],[FECHA FIN ]],Tabla1[[#This Row],[FECHA INICIO]])</f>
        <v>18</v>
      </c>
      <c r="M4278" s="12"/>
      <c r="N4278" s="28"/>
      <c r="O4278" s="28">
        <f>(Tabla1[[#This Row],[COSTO FIJO ]]/30)*Tabla1[[#This Row],[TOTAL DIAS PROYECTO]]+(Tabla1[[#This Row],[COSTO TEMPORAL]])</f>
        <v>0</v>
      </c>
      <c r="P4278" s="12"/>
      <c r="Q4278" s="12">
        <f>+(Tabla1[[#This Row],[COSTO COCHE]]/30)*Tabla1[[#This Row],[TOTAL DIAS PROYECTO]]</f>
        <v>0</v>
      </c>
      <c r="R4278" s="12">
        <f>+Tabla1[[#This Row],[COSTO TOTAL ALOJAMIENTO]]+Tabla1[[#This Row],[COSTO TOTAL COCHE]]</f>
        <v>0</v>
      </c>
      <c r="S4278" s="2"/>
      <c r="T4278" s="14" t="s">
        <v>44</v>
      </c>
      <c r="U4278" s="14">
        <v>45972</v>
      </c>
      <c r="V4278" s="25">
        <v>45990</v>
      </c>
      <c r="W4278" s="71"/>
      <c r="X4278" s="2"/>
      <c r="Y4278" s="11" t="s">
        <v>6259</v>
      </c>
      <c r="Z4278" s="2" t="s">
        <v>36</v>
      </c>
      <c r="AA4278" s="13" t="s">
        <v>10385</v>
      </c>
      <c r="AB4278" s="13" t="s">
        <v>10386</v>
      </c>
    </row>
    <row r="4279" spans="1:32" ht="15" customHeight="1">
      <c r="A4279" s="2" t="s">
        <v>9114</v>
      </c>
      <c r="B4279" s="2" t="s">
        <v>978</v>
      </c>
      <c r="C4279" s="31" t="s">
        <v>2057</v>
      </c>
      <c r="D4279" s="2" t="s">
        <v>30</v>
      </c>
      <c r="E4279" s="2" t="s">
        <v>1393</v>
      </c>
      <c r="F4279" s="11" t="s">
        <v>4998</v>
      </c>
      <c r="G4279" s="128" t="s">
        <v>4999</v>
      </c>
      <c r="H4279" s="2" t="s">
        <v>5140</v>
      </c>
      <c r="I4279" s="12" t="s">
        <v>5141</v>
      </c>
      <c r="J4279" s="22">
        <f>+Tabla1[[#This Row],[FECHA ENTRADA]]</f>
        <v>45904</v>
      </c>
      <c r="K4279" s="22">
        <v>45991</v>
      </c>
      <c r="L4279" s="23">
        <f>_xlfn.DAYS(Tabla1[[#This Row],[FECHA FIN ]],Tabla1[[#This Row],[FECHA INICIO]])</f>
        <v>87</v>
      </c>
      <c r="M4279" s="12"/>
      <c r="N4279" s="20">
        <v>325</v>
      </c>
      <c r="O4279" s="24">
        <f>(Tabla1[[#This Row],[COSTO FIJO ]]/30)*Tabla1[[#This Row],[TOTAL DIAS PROYECTO]]+(Tabla1[[#This Row],[COSTO TEMPORAL]])</f>
        <v>942.5</v>
      </c>
      <c r="P4279" s="12"/>
      <c r="Q4279" s="12">
        <f>+(Tabla1[[#This Row],[COSTO COCHE]]/30)*Tabla1[[#This Row],[TOTAL DIAS PROYECTO]]</f>
        <v>0</v>
      </c>
      <c r="R4279" s="12">
        <f>+Tabla1[[#This Row],[COSTO TOTAL ALOJAMIENTO]]+Tabla1[[#This Row],[COSTO TOTAL COCHE]]</f>
        <v>942.5</v>
      </c>
      <c r="S4279" s="2"/>
      <c r="T4279" s="14" t="s">
        <v>35</v>
      </c>
      <c r="U4279" s="14">
        <v>45904</v>
      </c>
      <c r="V4279" s="79"/>
      <c r="W4279" s="71"/>
      <c r="X4279" s="2">
        <v>1</v>
      </c>
      <c r="Y4279" s="11" t="s">
        <v>6260</v>
      </c>
      <c r="Z4279" s="2" t="s">
        <v>36</v>
      </c>
      <c r="AA4279" s="13" t="s">
        <v>10416</v>
      </c>
      <c r="AB4279" s="13" t="s">
        <v>10417</v>
      </c>
    </row>
    <row r="4280" spans="1:32" ht="15" customHeight="1">
      <c r="A4280" s="2" t="s">
        <v>9858</v>
      </c>
      <c r="B4280" s="2" t="s">
        <v>28</v>
      </c>
      <c r="C4280" s="239" t="s">
        <v>5064</v>
      </c>
      <c r="D4280" s="2" t="s">
        <v>30</v>
      </c>
      <c r="E4280" s="2" t="s">
        <v>253</v>
      </c>
      <c r="F4280" s="11" t="s">
        <v>6261</v>
      </c>
      <c r="G4280" s="46" t="s">
        <v>1529</v>
      </c>
      <c r="H4280" s="2" t="s">
        <v>5066</v>
      </c>
      <c r="I4280" s="12" t="s">
        <v>582</v>
      </c>
      <c r="J4280" s="41">
        <f>+Tabla1[[#This Row],[FECHA ENTRADA]]</f>
        <v>45902</v>
      </c>
      <c r="K4280" s="8">
        <v>45991</v>
      </c>
      <c r="L4280" s="42">
        <f>_xlfn.DAYS(Tabla1[[#This Row],[FECHA FIN ]],Tabla1[[#This Row],[FECHA INICIO]])</f>
        <v>89</v>
      </c>
      <c r="M4280" s="12"/>
      <c r="N4280" s="28">
        <v>530</v>
      </c>
      <c r="O4280" s="28">
        <f>(Tabla1[[#This Row],[COSTO FIJO ]]/30)*Tabla1[[#This Row],[TOTAL DIAS PROYECTO]]+(Tabla1[[#This Row],[COSTO TEMPORAL]])</f>
        <v>1572.3333333333335</v>
      </c>
      <c r="P4280" s="12"/>
      <c r="Q4280" s="12">
        <f>+(Tabla1[[#This Row],[COSTO COCHE]]/30)*Tabla1[[#This Row],[TOTAL DIAS PROYECTO]]</f>
        <v>0</v>
      </c>
      <c r="R4280" s="12">
        <f>+Tabla1[[#This Row],[COSTO TOTAL ALOJAMIENTO]]+Tabla1[[#This Row],[COSTO TOTAL COCHE]]</f>
        <v>1572.3333333333335</v>
      </c>
      <c r="S4280" s="2"/>
      <c r="T4280" s="14" t="s">
        <v>35</v>
      </c>
      <c r="U4280" s="14">
        <v>45902</v>
      </c>
      <c r="V4280" s="43"/>
      <c r="W4280" s="71"/>
      <c r="X4280" s="2">
        <v>1</v>
      </c>
      <c r="Y4280" s="11" t="s">
        <v>6262</v>
      </c>
      <c r="Z4280" s="2" t="s">
        <v>36</v>
      </c>
      <c r="AA4280" s="13" t="s">
        <v>10357</v>
      </c>
      <c r="AB4280" s="13" t="s">
        <v>10358</v>
      </c>
    </row>
    <row r="4281" spans="1:32" ht="15" customHeight="1">
      <c r="A4281" s="2" t="s">
        <v>9859</v>
      </c>
      <c r="B4281" s="2" t="s">
        <v>28</v>
      </c>
      <c r="C4281" s="239" t="s">
        <v>5069</v>
      </c>
      <c r="D4281" s="2" t="s">
        <v>30</v>
      </c>
      <c r="E4281" s="2" t="s">
        <v>253</v>
      </c>
      <c r="F4281" s="11" t="s">
        <v>6261</v>
      </c>
      <c r="G4281" s="46" t="s">
        <v>1529</v>
      </c>
      <c r="H4281" s="2" t="s">
        <v>5066</v>
      </c>
      <c r="I4281" s="12" t="s">
        <v>582</v>
      </c>
      <c r="J4281" s="41">
        <f>+Tabla1[[#This Row],[FECHA ENTRADA]]</f>
        <v>45902</v>
      </c>
      <c r="K4281" s="8">
        <v>45991</v>
      </c>
      <c r="L4281" s="42">
        <f>_xlfn.DAYS(Tabla1[[#This Row],[FECHA FIN ]],Tabla1[[#This Row],[FECHA INICIO]])</f>
        <v>89</v>
      </c>
      <c r="M4281" s="12"/>
      <c r="N4281" s="28">
        <v>530</v>
      </c>
      <c r="O4281" s="28">
        <f>(Tabla1[[#This Row],[COSTO FIJO ]]/30)*Tabla1[[#This Row],[TOTAL DIAS PROYECTO]]+(Tabla1[[#This Row],[COSTO TEMPORAL]])</f>
        <v>1572.3333333333335</v>
      </c>
      <c r="P4281" s="12"/>
      <c r="Q4281" s="12">
        <f>+(Tabla1[[#This Row],[COSTO COCHE]]/30)*Tabla1[[#This Row],[TOTAL DIAS PROYECTO]]</f>
        <v>0</v>
      </c>
      <c r="R4281" s="12">
        <f>+Tabla1[[#This Row],[COSTO TOTAL ALOJAMIENTO]]+Tabla1[[#This Row],[COSTO TOTAL COCHE]]</f>
        <v>1572.3333333333335</v>
      </c>
      <c r="S4281" s="2"/>
      <c r="T4281" s="14" t="s">
        <v>35</v>
      </c>
      <c r="U4281" s="14">
        <v>45902</v>
      </c>
      <c r="V4281" s="43"/>
      <c r="W4281" s="71"/>
      <c r="X4281" s="2">
        <v>1</v>
      </c>
      <c r="Y4281" s="11" t="s">
        <v>6262</v>
      </c>
      <c r="Z4281" s="2" t="s">
        <v>36</v>
      </c>
      <c r="AA4281" s="13" t="s">
        <v>10357</v>
      </c>
      <c r="AB4281" s="13" t="s">
        <v>10358</v>
      </c>
    </row>
    <row r="4282" spans="1:32" ht="15" customHeight="1">
      <c r="A4282" s="2" t="s">
        <v>10067</v>
      </c>
      <c r="B4282" s="2" t="s">
        <v>606</v>
      </c>
      <c r="C4282" s="11" t="s">
        <v>6186</v>
      </c>
      <c r="D4282" s="2" t="s">
        <v>99</v>
      </c>
      <c r="E4282" s="2" t="s">
        <v>259</v>
      </c>
      <c r="F4282" s="11" t="s">
        <v>5261</v>
      </c>
      <c r="G4282" s="197" t="s">
        <v>4207</v>
      </c>
      <c r="H4282" s="2" t="s">
        <v>6263</v>
      </c>
      <c r="I4282" s="12" t="s">
        <v>57</v>
      </c>
      <c r="J4282" s="22">
        <f>+Tabla1[[#This Row],[FECHA ENTRADA]]</f>
        <v>45986</v>
      </c>
      <c r="K4282" s="22">
        <v>46023</v>
      </c>
      <c r="L4282" s="23">
        <f>_xlfn.DAYS(Tabla1[[#This Row],[FECHA FIN ]],Tabla1[[#This Row],[FECHA INICIO]])</f>
        <v>37</v>
      </c>
      <c r="M4282" s="12"/>
      <c r="N4282" s="24">
        <v>271.42857142857144</v>
      </c>
      <c r="O4282" s="24">
        <f>(Tabla1[[#This Row],[COSTO FIJO ]]/30)*Tabla1[[#This Row],[TOTAL DIAS PROYECTO]]+(Tabla1[[#This Row],[COSTO TEMPORAL]])</f>
        <v>334.76190476190476</v>
      </c>
      <c r="P4282" s="12"/>
      <c r="Q4282" s="12">
        <f>+(Tabla1[[#This Row],[COSTO COCHE]]/30)*Tabla1[[#This Row],[TOTAL DIAS PROYECTO]]</f>
        <v>0</v>
      </c>
      <c r="R4282" s="12">
        <f>+Tabla1[[#This Row],[COSTO TOTAL ALOJAMIENTO]]+Tabla1[[#This Row],[COSTO TOTAL COCHE]]</f>
        <v>334.76190476190476</v>
      </c>
      <c r="S4282" s="2"/>
      <c r="T4282" s="14" t="s">
        <v>35</v>
      </c>
      <c r="U4282" s="14">
        <v>45986</v>
      </c>
      <c r="V4282" s="79"/>
      <c r="W4282" s="12"/>
      <c r="X4282" s="2">
        <v>1</v>
      </c>
      <c r="Y4282" s="11"/>
      <c r="Z4282" s="2" t="s">
        <v>36</v>
      </c>
      <c r="AA4282" s="13">
        <v>-0.87734000000000001</v>
      </c>
      <c r="AB4282" s="13" t="s">
        <v>10359</v>
      </c>
    </row>
    <row r="4283" spans="1:32" ht="15" customHeight="1">
      <c r="A4283" s="2" t="s">
        <v>8977</v>
      </c>
      <c r="B4283" s="2" t="s">
        <v>28</v>
      </c>
      <c r="C4283" s="31" t="s">
        <v>1572</v>
      </c>
      <c r="D4283" s="2" t="s">
        <v>30</v>
      </c>
      <c r="E4283" s="2" t="s">
        <v>31</v>
      </c>
      <c r="F4283" s="11"/>
      <c r="G4283" s="49"/>
      <c r="H4283" s="2" t="s">
        <v>1468</v>
      </c>
      <c r="I4283" s="12" t="s">
        <v>34</v>
      </c>
      <c r="J4283" s="22">
        <f>+Tabla1[[#This Row],[FECHA ENTRADA]]</f>
        <v>45699</v>
      </c>
      <c r="K4283" s="8">
        <v>45991</v>
      </c>
      <c r="L4283" s="23">
        <f>_xlfn.DAYS(Tabla1[[#This Row],[FECHA FIN ]],Tabla1[[#This Row],[FECHA INICIO]])</f>
        <v>292</v>
      </c>
      <c r="M4283" s="12"/>
      <c r="N4283" s="28">
        <v>300</v>
      </c>
      <c r="O4283" s="24">
        <f>(Tabla1[[#This Row],[COSTO FIJO ]]/30)*Tabla1[[#This Row],[TOTAL DIAS PROYECTO]]+(Tabla1[[#This Row],[COSTO TEMPORAL]])</f>
        <v>2920</v>
      </c>
      <c r="P4283" s="12">
        <v>133.33333333333334</v>
      </c>
      <c r="Q4283" s="12">
        <f>+(Tabla1[[#This Row],[COSTO COCHE]]/30)*Tabla1[[#This Row],[TOTAL DIAS PROYECTO]]</f>
        <v>1297.7777777777778</v>
      </c>
      <c r="R4283" s="12">
        <f>+Tabla1[[#This Row],[COSTO TOTAL ALOJAMIENTO]]+Tabla1[[#This Row],[COSTO TOTAL COCHE]]</f>
        <v>4217.7777777777774</v>
      </c>
      <c r="S4283" s="2"/>
      <c r="T4283" s="2" t="s">
        <v>58</v>
      </c>
      <c r="U4283" s="14">
        <v>45699</v>
      </c>
      <c r="V4283" s="25"/>
      <c r="W4283" s="26"/>
      <c r="X4283" s="2"/>
      <c r="Y4283" s="11" t="s">
        <v>6264</v>
      </c>
      <c r="Z4283" s="2" t="s">
        <v>36</v>
      </c>
      <c r="AA4283" s="13" t="s">
        <v>10323</v>
      </c>
      <c r="AB4283" s="13" t="s">
        <v>10324</v>
      </c>
    </row>
    <row r="4284" spans="1:32" ht="15" customHeight="1">
      <c r="A4284" s="2" t="s">
        <v>10081</v>
      </c>
      <c r="B4284" s="2" t="s">
        <v>28</v>
      </c>
      <c r="C4284" s="31" t="s">
        <v>6265</v>
      </c>
      <c r="D4284" s="2" t="s">
        <v>99</v>
      </c>
      <c r="E4284" s="2" t="s">
        <v>253</v>
      </c>
      <c r="F4284" s="11" t="s">
        <v>1261</v>
      </c>
      <c r="G4284" s="118" t="s">
        <v>772</v>
      </c>
      <c r="H4284" s="2" t="s">
        <v>4680</v>
      </c>
      <c r="I4284" s="12" t="s">
        <v>1263</v>
      </c>
      <c r="J4284" s="22">
        <f>+Tabla1[[#This Row],[FECHA ENTRADA]]</f>
        <v>45692</v>
      </c>
      <c r="K4284" s="22">
        <v>45991</v>
      </c>
      <c r="L4284" s="23">
        <f>_xlfn.DAYS(Tabla1[[#This Row],[FECHA FIN ]],Tabla1[[#This Row],[FECHA INICIO]])</f>
        <v>299</v>
      </c>
      <c r="M4284" s="12"/>
      <c r="N4284" s="12">
        <v>320</v>
      </c>
      <c r="O4284" s="24">
        <f>(Tabla1[[#This Row],[COSTO FIJO ]]/30)*Tabla1[[#This Row],[TOTAL DIAS PROYECTO]]+(Tabla1[[#This Row],[COSTO TEMPORAL]])</f>
        <v>3189.333333333333</v>
      </c>
      <c r="P4284" s="12">
        <f>1304.98/7</f>
        <v>186.42571428571429</v>
      </c>
      <c r="Q4284" s="12">
        <f>+(Tabla1[[#This Row],[COSTO COCHE]]/30)*Tabla1[[#This Row],[TOTAL DIAS PROYECTO]]</f>
        <v>1858.0429523809526</v>
      </c>
      <c r="R4284" s="12">
        <f>+Tabla1[[#This Row],[COSTO TOTAL ALOJAMIENTO]]+Tabla1[[#This Row],[COSTO TOTAL COCHE]]</f>
        <v>5047.3762857142856</v>
      </c>
      <c r="S4284" s="2"/>
      <c r="T4284" s="2" t="s">
        <v>35</v>
      </c>
      <c r="U4284" s="14">
        <v>45692</v>
      </c>
      <c r="V4284" s="25"/>
      <c r="W4284" s="26"/>
      <c r="X4284" s="2">
        <v>5</v>
      </c>
      <c r="Y4284" s="11" t="s">
        <v>6266</v>
      </c>
      <c r="Z4284" s="2" t="s">
        <v>36</v>
      </c>
      <c r="AA4284" s="13" t="s">
        <v>10357</v>
      </c>
      <c r="AB4284" s="13" t="s">
        <v>10358</v>
      </c>
    </row>
    <row r="4285" spans="1:32" ht="15" customHeight="1">
      <c r="A4285" s="2" t="s">
        <v>10082</v>
      </c>
      <c r="B4285" s="2" t="s">
        <v>28</v>
      </c>
      <c r="C4285" s="31" t="s">
        <v>6267</v>
      </c>
      <c r="D4285" s="2" t="s">
        <v>99</v>
      </c>
      <c r="E4285" s="2" t="s">
        <v>253</v>
      </c>
      <c r="F4285" s="11" t="s">
        <v>1261</v>
      </c>
      <c r="G4285" s="11" t="s">
        <v>772</v>
      </c>
      <c r="H4285" s="2" t="s">
        <v>4680</v>
      </c>
      <c r="I4285" s="12" t="s">
        <v>1263</v>
      </c>
      <c r="J4285" s="22">
        <f>+Tabla1[[#This Row],[FECHA ENTRADA]]</f>
        <v>45692</v>
      </c>
      <c r="K4285" s="8">
        <v>45991</v>
      </c>
      <c r="L4285" s="23">
        <f>_xlfn.DAYS(Tabla1[[#This Row],[FECHA FIN ]],Tabla1[[#This Row],[FECHA INICIO]])</f>
        <v>299</v>
      </c>
      <c r="M4285" s="12"/>
      <c r="N4285" s="12">
        <v>320</v>
      </c>
      <c r="O4285" s="24">
        <f>(Tabla1[[#This Row],[COSTO FIJO ]]/30)*Tabla1[[#This Row],[TOTAL DIAS PROYECTO]]+(Tabla1[[#This Row],[COSTO TEMPORAL]])</f>
        <v>3189.333333333333</v>
      </c>
      <c r="P4285" s="12">
        <f>1304.98/7</f>
        <v>186.42571428571429</v>
      </c>
      <c r="Q4285" s="12">
        <f>+(Tabla1[[#This Row],[COSTO COCHE]]/30)*Tabla1[[#This Row],[TOTAL DIAS PROYECTO]]</f>
        <v>1858.0429523809526</v>
      </c>
      <c r="R4285" s="12">
        <f>+Tabla1[[#This Row],[COSTO TOTAL ALOJAMIENTO]]+Tabla1[[#This Row],[COSTO TOTAL COCHE]]</f>
        <v>5047.3762857142856</v>
      </c>
      <c r="S4285" s="2"/>
      <c r="T4285" s="2" t="s">
        <v>35</v>
      </c>
      <c r="U4285" s="14">
        <v>45692</v>
      </c>
      <c r="V4285" s="25"/>
      <c r="W4285" s="26"/>
      <c r="X4285" s="2">
        <v>5</v>
      </c>
      <c r="Y4285" s="11" t="s">
        <v>6268</v>
      </c>
      <c r="Z4285" s="2" t="s">
        <v>36</v>
      </c>
      <c r="AA4285" s="13" t="s">
        <v>10357</v>
      </c>
      <c r="AB4285" s="13" t="s">
        <v>10358</v>
      </c>
    </row>
    <row r="4286" spans="1:32" s="70" customFormat="1" ht="15" customHeight="1">
      <c r="A4286" s="2" t="s">
        <v>8952</v>
      </c>
      <c r="B4286" s="2" t="s">
        <v>28</v>
      </c>
      <c r="C4286" s="31" t="s">
        <v>1442</v>
      </c>
      <c r="D4286" s="2" t="s">
        <v>30</v>
      </c>
      <c r="E4286" s="2" t="s">
        <v>87</v>
      </c>
      <c r="F4286" s="11" t="s">
        <v>1668</v>
      </c>
      <c r="G4286" s="128" t="s">
        <v>1669</v>
      </c>
      <c r="H4286" s="2" t="s">
        <v>6215</v>
      </c>
      <c r="I4286" s="12" t="s">
        <v>34</v>
      </c>
      <c r="J4286" s="41">
        <f>+Tabla1[[#This Row],[FECHA ENTRADA]]</f>
        <v>45966</v>
      </c>
      <c r="K4286" s="22">
        <v>45991</v>
      </c>
      <c r="L4286" s="42">
        <f>_xlfn.DAYS(Tabla1[[#This Row],[FECHA FIN ]],Tabla1[[#This Row],[FECHA INICIO]])</f>
        <v>25</v>
      </c>
      <c r="M4286" s="12"/>
      <c r="N4286" s="12">
        <v>268.33333333333331</v>
      </c>
      <c r="O4286" s="28">
        <f>(Tabla1[[#This Row],[COSTO FIJO ]]/30)*Tabla1[[#This Row],[TOTAL DIAS PROYECTO]]+(Tabla1[[#This Row],[COSTO TEMPORAL]])</f>
        <v>223.61111111111111</v>
      </c>
      <c r="P4286" s="12"/>
      <c r="Q4286" s="12">
        <f>+(Tabla1[[#This Row],[COSTO COCHE]]/30)*Tabla1[[#This Row],[TOTAL DIAS PROYECTO]]</f>
        <v>0</v>
      </c>
      <c r="R4286" s="12">
        <f>+Tabla1[[#This Row],[COSTO TOTAL ALOJAMIENTO]]+Tabla1[[#This Row],[COSTO TOTAL COCHE]]</f>
        <v>223.61111111111111</v>
      </c>
      <c r="S4286" s="2"/>
      <c r="T4286" s="14" t="s">
        <v>35</v>
      </c>
      <c r="U4286" s="14">
        <v>45966</v>
      </c>
      <c r="V4286" s="43"/>
      <c r="W4286" s="71"/>
      <c r="X4286" s="2">
        <v>5</v>
      </c>
      <c r="Y4286" s="11" t="s">
        <v>6269</v>
      </c>
      <c r="Z4286" s="2" t="s">
        <v>36</v>
      </c>
      <c r="AA4286" s="13" t="s">
        <v>10335</v>
      </c>
      <c r="AB4286" s="13">
        <v>404.16500000000002</v>
      </c>
    </row>
    <row r="4287" spans="1:32" ht="15" customHeight="1">
      <c r="A4287" s="2" t="s">
        <v>9136</v>
      </c>
      <c r="B4287" s="2" t="s">
        <v>28</v>
      </c>
      <c r="C4287" s="97" t="s">
        <v>2152</v>
      </c>
      <c r="D4287" s="2" t="s">
        <v>30</v>
      </c>
      <c r="E4287" s="2" t="s">
        <v>87</v>
      </c>
      <c r="F4287" s="11" t="s">
        <v>1668</v>
      </c>
      <c r="G4287" s="128" t="s">
        <v>1669</v>
      </c>
      <c r="H4287" s="2" t="s">
        <v>6215</v>
      </c>
      <c r="I4287" s="12" t="s">
        <v>34</v>
      </c>
      <c r="J4287" s="41">
        <f>+Tabla1[[#This Row],[FECHA ENTRADA]]</f>
        <v>45966</v>
      </c>
      <c r="K4287" s="22">
        <v>45991</v>
      </c>
      <c r="L4287" s="42">
        <f>_xlfn.DAYS(Tabla1[[#This Row],[FECHA FIN ]],Tabla1[[#This Row],[FECHA INICIO]])</f>
        <v>25</v>
      </c>
      <c r="M4287" s="12"/>
      <c r="N4287" s="12">
        <v>268.83333333333331</v>
      </c>
      <c r="O4287" s="28">
        <f>(Tabla1[[#This Row],[COSTO FIJO ]]/30)*Tabla1[[#This Row],[TOTAL DIAS PROYECTO]]+(Tabla1[[#This Row],[COSTO TEMPORAL]])</f>
        <v>224.02777777777777</v>
      </c>
      <c r="P4287" s="12"/>
      <c r="Q4287" s="12">
        <f>+(Tabla1[[#This Row],[COSTO COCHE]]/30)*Tabla1[[#This Row],[TOTAL DIAS PROYECTO]]</f>
        <v>0</v>
      </c>
      <c r="R4287" s="12">
        <f>+Tabla1[[#This Row],[COSTO TOTAL ALOJAMIENTO]]+Tabla1[[#This Row],[COSTO TOTAL COCHE]]</f>
        <v>224.02777777777777</v>
      </c>
      <c r="S4287" s="2"/>
      <c r="T4287" s="14" t="s">
        <v>35</v>
      </c>
      <c r="U4287" s="14">
        <v>45966</v>
      </c>
      <c r="V4287" s="43"/>
      <c r="W4287" s="12"/>
      <c r="X4287" s="2">
        <v>5</v>
      </c>
      <c r="Y4287" s="11" t="s">
        <v>6269</v>
      </c>
      <c r="Z4287" s="2" t="s">
        <v>36</v>
      </c>
      <c r="AA4287" s="13" t="s">
        <v>10335</v>
      </c>
      <c r="AB4287" s="13">
        <v>404.16500000000002</v>
      </c>
    </row>
    <row r="4288" spans="1:32" ht="15" customHeight="1">
      <c r="A4288" s="117" t="s">
        <v>8824</v>
      </c>
      <c r="B4288" s="117" t="s">
        <v>711</v>
      </c>
      <c r="C4288" s="295" t="s">
        <v>911</v>
      </c>
      <c r="D4288" s="117" t="s">
        <v>30</v>
      </c>
      <c r="E4288" s="117" t="s">
        <v>253</v>
      </c>
      <c r="F4288" s="11" t="s">
        <v>4021</v>
      </c>
      <c r="G4288" s="70" t="s">
        <v>4072</v>
      </c>
      <c r="H4288" s="117" t="s">
        <v>2246</v>
      </c>
      <c r="I4288" s="119" t="s">
        <v>1232</v>
      </c>
      <c r="J4288" s="121">
        <f>+Tabla1[[#This Row],[FECHA ENTRADA]]</f>
        <v>45791</v>
      </c>
      <c r="K4288" s="121">
        <v>46095</v>
      </c>
      <c r="L4288" s="129">
        <f>_xlfn.DAYS(Tabla1[[#This Row],[FECHA FIN ]],Tabla1[[#This Row],[FECHA INICIO]])</f>
        <v>304</v>
      </c>
      <c r="M4288" s="119"/>
      <c r="N4288" s="131">
        <v>450</v>
      </c>
      <c r="O4288" s="131">
        <f>(Tabla1[[#This Row],[COSTO FIJO ]]/30)*Tabla1[[#This Row],[TOTAL DIAS PROYECTO]]+(Tabla1[[#This Row],[COSTO TEMPORAL]])</f>
        <v>4560</v>
      </c>
      <c r="P4288" s="119"/>
      <c r="Q4288" s="119">
        <f>+(Tabla1[[#This Row],[COSTO COCHE]]/30)*Tabla1[[#This Row],[TOTAL DIAS PROYECTO]]</f>
        <v>0</v>
      </c>
      <c r="R4288" s="119">
        <f>+Tabla1[[#This Row],[COSTO TOTAL ALOJAMIENTO]]+Tabla1[[#This Row],[COSTO TOTAL COCHE]]</f>
        <v>4560</v>
      </c>
      <c r="S4288" s="117"/>
      <c r="T4288" s="117" t="s">
        <v>35</v>
      </c>
      <c r="U4288" s="124">
        <v>45791</v>
      </c>
      <c r="V4288" s="125"/>
      <c r="W4288" s="119">
        <v>900</v>
      </c>
      <c r="X4288" s="117">
        <v>10</v>
      </c>
      <c r="Y4288" s="118" t="s">
        <v>6270</v>
      </c>
      <c r="Z4288" s="117" t="s">
        <v>36</v>
      </c>
      <c r="AA4288" s="127" t="s">
        <v>10357</v>
      </c>
      <c r="AB4288" s="127" t="s">
        <v>10358</v>
      </c>
    </row>
    <row r="4289" spans="1:28" ht="15" customHeight="1">
      <c r="A4289" s="2" t="s">
        <v>9984</v>
      </c>
      <c r="B4289" s="2" t="s">
        <v>711</v>
      </c>
      <c r="C4289" s="31" t="s">
        <v>5842</v>
      </c>
      <c r="D4289" s="2" t="s">
        <v>30</v>
      </c>
      <c r="E4289" s="2" t="s">
        <v>985</v>
      </c>
      <c r="F4289" s="11" t="s">
        <v>6271</v>
      </c>
      <c r="G4289" s="21" t="s">
        <v>6272</v>
      </c>
      <c r="H4289" s="2" t="s">
        <v>5845</v>
      </c>
      <c r="I4289" s="12" t="s">
        <v>5120</v>
      </c>
      <c r="J4289" s="22">
        <f>+Tabla1[[#This Row],[FECHA ENTRADA]]</f>
        <v>45959</v>
      </c>
      <c r="K4289" s="22">
        <v>45991</v>
      </c>
      <c r="L4289" s="23">
        <f>_xlfn.DAYS(Tabla1[[#This Row],[FECHA FIN ]],Tabla1[[#This Row],[FECHA INICIO]])</f>
        <v>32</v>
      </c>
      <c r="M4289" s="12">
        <f>1320.11/2</f>
        <v>660.05499999999995</v>
      </c>
      <c r="N4289" s="20"/>
      <c r="O4289" s="24">
        <f>(Tabla1[[#This Row],[COSTO FIJO ]]/30)*Tabla1[[#This Row],[TOTAL DIAS PROYECTO]]+(Tabla1[[#This Row],[COSTO TEMPORAL]])</f>
        <v>660.05499999999995</v>
      </c>
      <c r="P4289" s="12"/>
      <c r="Q4289" s="12">
        <f>+(Tabla1[[#This Row],[COSTO COCHE]]/30)*Tabla1[[#This Row],[TOTAL DIAS PROYECTO]]</f>
        <v>0</v>
      </c>
      <c r="R4289" s="12">
        <f>+Tabla1[[#This Row],[COSTO TOTAL ALOJAMIENTO]]+Tabla1[[#This Row],[COSTO TOTAL COCHE]]</f>
        <v>660.05499999999995</v>
      </c>
      <c r="S4289" s="2"/>
      <c r="T4289" s="14" t="s">
        <v>44</v>
      </c>
      <c r="U4289" s="14">
        <v>45959</v>
      </c>
      <c r="V4289" s="25">
        <v>45993</v>
      </c>
      <c r="W4289" s="71"/>
      <c r="X4289" s="2"/>
      <c r="Y4289" s="11" t="s">
        <v>6273</v>
      </c>
      <c r="Z4289" s="2" t="s">
        <v>36</v>
      </c>
      <c r="AA4289" s="13" t="s">
        <v>10407</v>
      </c>
      <c r="AB4289" s="13" t="s">
        <v>10408</v>
      </c>
    </row>
    <row r="4290" spans="1:28" ht="15" customHeight="1">
      <c r="A4290" s="2" t="s">
        <v>10083</v>
      </c>
      <c r="B4290" s="2" t="s">
        <v>28</v>
      </c>
      <c r="C4290" s="99" t="s">
        <v>6274</v>
      </c>
      <c r="D4290" s="2" t="s">
        <v>30</v>
      </c>
      <c r="E4290" s="2" t="s">
        <v>253</v>
      </c>
      <c r="F4290" s="11"/>
      <c r="G4290" s="11"/>
      <c r="H4290" s="2" t="s">
        <v>2371</v>
      </c>
      <c r="I4290" s="12" t="s">
        <v>582</v>
      </c>
      <c r="J4290" s="8">
        <f>+Tabla1[[#This Row],[FECHA ENTRADA]]</f>
        <v>45496</v>
      </c>
      <c r="K4290" s="8">
        <v>45991</v>
      </c>
      <c r="L4290" s="13">
        <f>_xlfn.DAYS(Tabla1[[#This Row],[FECHA FIN ]],Tabla1[[#This Row],[FECHA INICIO]])</f>
        <v>495</v>
      </c>
      <c r="M4290" s="12"/>
      <c r="N4290" s="28">
        <v>300</v>
      </c>
      <c r="O4290" s="12">
        <f>(Tabla1[[#This Row],[COSTO FIJO ]]/30)*Tabla1[[#This Row],[TOTAL DIAS PROYECTO]]+(Tabla1[[#This Row],[COSTO TEMPORAL]])</f>
        <v>4950</v>
      </c>
      <c r="P4290" s="12">
        <f>1304.98/7</f>
        <v>186.42571428571429</v>
      </c>
      <c r="Q4290" s="12">
        <f>+(Tabla1[[#This Row],[COSTO COCHE]]/30)*Tabla1[[#This Row],[TOTAL DIAS PROYECTO]]</f>
        <v>3076.0242857142862</v>
      </c>
      <c r="R4290" s="12">
        <f>+Tabla1[[#This Row],[COSTO TOTAL ALOJAMIENTO]]+Tabla1[[#This Row],[COSTO TOTAL COCHE]]</f>
        <v>8026.0242857142857</v>
      </c>
      <c r="S4290" s="2"/>
      <c r="T4290" s="2" t="s">
        <v>58</v>
      </c>
      <c r="U4290" s="14">
        <v>45496</v>
      </c>
      <c r="V4290" s="14"/>
      <c r="W4290" s="26"/>
      <c r="X4290" s="2"/>
      <c r="Y4290" s="11" t="s">
        <v>6275</v>
      </c>
      <c r="Z4290" s="2" t="s">
        <v>36</v>
      </c>
      <c r="AA4290" s="13" t="s">
        <v>10357</v>
      </c>
      <c r="AB4290" s="13" t="s">
        <v>10358</v>
      </c>
    </row>
    <row r="4291" spans="1:28" s="70" customFormat="1" ht="15" customHeight="1">
      <c r="A4291" s="2" t="s">
        <v>8638</v>
      </c>
      <c r="B4291" s="2" t="s">
        <v>28</v>
      </c>
      <c r="C4291" s="31" t="s">
        <v>1158</v>
      </c>
      <c r="D4291" s="2" t="s">
        <v>30</v>
      </c>
      <c r="E4291" s="2" t="s">
        <v>253</v>
      </c>
      <c r="F4291" s="11"/>
      <c r="G4291" s="49"/>
      <c r="H4291" s="2">
        <v>2023</v>
      </c>
      <c r="I4291" s="2" t="s">
        <v>582</v>
      </c>
      <c r="J4291" s="22">
        <f>+Tabla1[[#This Row],[FECHA ENTRADA]]</f>
        <v>45870</v>
      </c>
      <c r="K4291" s="8">
        <v>45991</v>
      </c>
      <c r="L4291" s="23">
        <f>_xlfn.DAYS(Tabla1[[#This Row],[FECHA FIN ]],Tabla1[[#This Row],[FECHA INICIO]])</f>
        <v>121</v>
      </c>
      <c r="M4291" s="12"/>
      <c r="N4291" s="28">
        <v>300</v>
      </c>
      <c r="O4291" s="24">
        <f>(Tabla1[[#This Row],[COSTO FIJO ]]/30)*Tabla1[[#This Row],[TOTAL DIAS PROYECTO]]+(Tabla1[[#This Row],[COSTO TEMPORAL]])</f>
        <v>1210</v>
      </c>
      <c r="P4291" s="12"/>
      <c r="Q4291" s="12">
        <f>+(Tabla1[[#This Row],[COSTO COCHE]]/30)*Tabla1[[#This Row],[TOTAL DIAS PROYECTO]]</f>
        <v>0</v>
      </c>
      <c r="R4291" s="12">
        <f>+Tabla1[[#This Row],[COSTO TOTAL ALOJAMIENTO]]+Tabla1[[#This Row],[COSTO TOTAL COCHE]]</f>
        <v>1210</v>
      </c>
      <c r="S4291" s="2"/>
      <c r="T4291" s="14" t="s">
        <v>58</v>
      </c>
      <c r="U4291" s="14">
        <v>45870</v>
      </c>
      <c r="V4291" s="25"/>
      <c r="W4291" s="12"/>
      <c r="X4291" s="2"/>
      <c r="Y4291" s="11" t="s">
        <v>6262</v>
      </c>
      <c r="Z4291" s="2" t="s">
        <v>36</v>
      </c>
      <c r="AA4291" s="13" t="s">
        <v>10357</v>
      </c>
      <c r="AB4291" s="13" t="s">
        <v>10358</v>
      </c>
    </row>
    <row r="4292" spans="1:28" ht="15" customHeight="1">
      <c r="A4292" s="2" t="s">
        <v>9170</v>
      </c>
      <c r="B4292" s="2" t="s">
        <v>28</v>
      </c>
      <c r="C4292" s="11" t="s">
        <v>2305</v>
      </c>
      <c r="D4292" s="2" t="s">
        <v>30</v>
      </c>
      <c r="E4292" s="2" t="s">
        <v>359</v>
      </c>
      <c r="F4292" s="11" t="s">
        <v>494</v>
      </c>
      <c r="G4292" s="49" t="s">
        <v>495</v>
      </c>
      <c r="H4292" s="2" t="s">
        <v>6235</v>
      </c>
      <c r="I4292" s="12" t="s">
        <v>96</v>
      </c>
      <c r="J4292" s="41">
        <f>+Tabla1[[#This Row],[FECHA ENTRADA]]</f>
        <v>45779</v>
      </c>
      <c r="K4292" s="41">
        <v>45916</v>
      </c>
      <c r="L4292" s="23">
        <f>_xlfn.DAYS(Tabla1[[#This Row],[FECHA FIN ]],Tabla1[[#This Row],[FECHA INICIO]])</f>
        <v>137</v>
      </c>
      <c r="M4292" s="12"/>
      <c r="N4292" s="12">
        <v>141.66666666666666</v>
      </c>
      <c r="O4292" s="24">
        <f>(Tabla1[[#This Row],[COSTO FIJO ]]/30)*Tabla1[[#This Row],[TOTAL DIAS PROYECTO]]+(Tabla1[[#This Row],[COSTO TEMPORAL]])</f>
        <v>646.94444444444446</v>
      </c>
      <c r="P4292" s="12">
        <f>651.96/2</f>
        <v>325.98</v>
      </c>
      <c r="Q4292" s="12">
        <f>+(Tabla1[[#This Row],[COSTO COCHE]]/30)*Tabla1[[#This Row],[TOTAL DIAS PROYECTO]]</f>
        <v>1488.6420000000003</v>
      </c>
      <c r="R4292" s="12">
        <f>+Tabla1[[#This Row],[COSTO TOTAL ALOJAMIENTO]]+Tabla1[[#This Row],[COSTO TOTAL COCHE]]</f>
        <v>2135.5864444444446</v>
      </c>
      <c r="S4292" s="2"/>
      <c r="T4292" s="2" t="s">
        <v>35</v>
      </c>
      <c r="U4292" s="14">
        <v>45779</v>
      </c>
      <c r="V4292" s="25"/>
      <c r="W4292" s="26">
        <v>850</v>
      </c>
      <c r="X4292" s="2">
        <v>1</v>
      </c>
      <c r="Y4292" s="11" t="s">
        <v>6276</v>
      </c>
      <c r="Z4292" s="2" t="s">
        <v>36</v>
      </c>
      <c r="AA4292" s="13" t="s">
        <v>10367</v>
      </c>
      <c r="AB4292" s="13">
        <v>3899424</v>
      </c>
    </row>
    <row r="4293" spans="1:28" ht="15" customHeight="1">
      <c r="A4293" s="2" t="s">
        <v>9125</v>
      </c>
      <c r="B4293" s="2" t="s">
        <v>711</v>
      </c>
      <c r="C4293" s="296" t="s">
        <v>2100</v>
      </c>
      <c r="D4293" s="2" t="s">
        <v>30</v>
      </c>
      <c r="E4293" s="2" t="s">
        <v>626</v>
      </c>
      <c r="F4293" s="11" t="s">
        <v>1964</v>
      </c>
      <c r="G4293" s="146" t="s">
        <v>1409</v>
      </c>
      <c r="H4293" s="2" t="s">
        <v>2357</v>
      </c>
      <c r="I4293" s="12" t="s">
        <v>570</v>
      </c>
      <c r="J4293" s="22">
        <f>+Tabla1[[#This Row],[FECHA ENTRADA]]</f>
        <v>45802</v>
      </c>
      <c r="K4293" s="22">
        <v>45992</v>
      </c>
      <c r="L4293" s="23">
        <f>_xlfn.DAYS(Tabla1[[#This Row],[FECHA FIN ]],Tabla1[[#This Row],[FECHA INICIO]])</f>
        <v>190</v>
      </c>
      <c r="M4293" s="12"/>
      <c r="N4293" s="12">
        <v>400</v>
      </c>
      <c r="O4293" s="24">
        <f>(Tabla1[[#This Row],[COSTO FIJO ]]/30)*Tabla1[[#This Row],[TOTAL DIAS PROYECTO]]+(Tabla1[[#This Row],[COSTO TEMPORAL]])</f>
        <v>2533.3333333333335</v>
      </c>
      <c r="P4293" s="12"/>
      <c r="Q4293" s="12">
        <f>+(Tabla1[[#This Row],[COSTO COCHE]]/30)*Tabla1[[#This Row],[TOTAL DIAS PROYECTO]]</f>
        <v>0</v>
      </c>
      <c r="R4293" s="12">
        <f>+Tabla1[[#This Row],[COSTO TOTAL ALOJAMIENTO]]+Tabla1[[#This Row],[COSTO TOTAL COCHE]]</f>
        <v>2533.3333333333335</v>
      </c>
      <c r="S4293" s="2"/>
      <c r="T4293" s="2" t="s">
        <v>35</v>
      </c>
      <c r="U4293" s="14">
        <v>45802</v>
      </c>
      <c r="V4293" s="25"/>
      <c r="W4293" s="26">
        <v>500</v>
      </c>
      <c r="X4293" s="2">
        <v>5</v>
      </c>
      <c r="Y4293" s="11" t="s">
        <v>5481</v>
      </c>
      <c r="Z4293" s="2" t="s">
        <v>36</v>
      </c>
      <c r="AA4293" s="13" t="s">
        <v>10385</v>
      </c>
      <c r="AB4293" s="13" t="s">
        <v>10386</v>
      </c>
    </row>
    <row r="4294" spans="1:28" ht="15" customHeight="1">
      <c r="A4294" s="2" t="s">
        <v>9543</v>
      </c>
      <c r="B4294" s="2" t="s">
        <v>28</v>
      </c>
      <c r="C4294" s="11" t="s">
        <v>3583</v>
      </c>
      <c r="D4294" s="2" t="s">
        <v>30</v>
      </c>
      <c r="E4294" s="2" t="s">
        <v>422</v>
      </c>
      <c r="F4294" s="11" t="s">
        <v>4786</v>
      </c>
      <c r="G4294" s="49" t="s">
        <v>4787</v>
      </c>
      <c r="H4294" s="2" t="s">
        <v>6253</v>
      </c>
      <c r="I4294" s="12" t="s">
        <v>4327</v>
      </c>
      <c r="J4294" s="22">
        <f>+Tabla1[[#This Row],[FECHA ENTRADA]]</f>
        <v>45886</v>
      </c>
      <c r="K4294" s="22">
        <v>45902</v>
      </c>
      <c r="L4294" s="23">
        <f>_xlfn.DAYS(Tabla1[[#This Row],[FECHA FIN ]],Tabla1[[#This Row],[FECHA INICIO]])</f>
        <v>16</v>
      </c>
      <c r="M4294" s="12"/>
      <c r="N4294" s="12"/>
      <c r="O4294" s="24">
        <f>(Tabla1[[#This Row],[COSTO FIJO ]]/30)*Tabla1[[#This Row],[TOTAL DIAS PROYECTO]]+(Tabla1[[#This Row],[COSTO TEMPORAL]])</f>
        <v>0</v>
      </c>
      <c r="P4294" s="12"/>
      <c r="Q4294" s="12">
        <f>+(Tabla1[[#This Row],[COSTO COCHE]]/30)*Tabla1[[#This Row],[TOTAL DIAS PROYECTO]]</f>
        <v>0</v>
      </c>
      <c r="R4294" s="12">
        <f>+Tabla1[[#This Row],[COSTO TOTAL ALOJAMIENTO]]+Tabla1[[#This Row],[COSTO TOTAL COCHE]]</f>
        <v>0</v>
      </c>
      <c r="S4294" s="2"/>
      <c r="T4294" s="14" t="s">
        <v>35</v>
      </c>
      <c r="U4294" s="14">
        <v>45886</v>
      </c>
      <c r="V4294" s="25"/>
      <c r="W4294" s="12"/>
      <c r="X4294" s="2">
        <v>5</v>
      </c>
      <c r="Y4294" s="11" t="s">
        <v>6277</v>
      </c>
      <c r="Z4294" s="2" t="s">
        <v>36</v>
      </c>
      <c r="AA4294" s="13">
        <v>-326.69799999999998</v>
      </c>
      <c r="AB4294" s="13" t="s">
        <v>10373</v>
      </c>
    </row>
    <row r="4295" spans="1:28" ht="15" customHeight="1">
      <c r="A4295" s="2" t="s">
        <v>9976</v>
      </c>
      <c r="B4295" s="2" t="s">
        <v>711</v>
      </c>
      <c r="C4295" s="11" t="s">
        <v>5801</v>
      </c>
      <c r="D4295" s="2" t="s">
        <v>99</v>
      </c>
      <c r="E4295" s="2" t="s">
        <v>626</v>
      </c>
      <c r="F4295" s="11" t="s">
        <v>2376</v>
      </c>
      <c r="G4295" s="49" t="s">
        <v>6278</v>
      </c>
      <c r="H4295" s="2" t="s">
        <v>6279</v>
      </c>
      <c r="I4295" s="12" t="s">
        <v>570</v>
      </c>
      <c r="J4295" s="22">
        <f>+Tabla1[[#This Row],[FECHA ENTRADA]]</f>
        <v>45970</v>
      </c>
      <c r="K4295" s="8">
        <v>45992</v>
      </c>
      <c r="L4295" s="23">
        <f>_xlfn.DAYS(Tabla1[[#This Row],[FECHA FIN ]],Tabla1[[#This Row],[FECHA INICIO]])</f>
        <v>22</v>
      </c>
      <c r="M4295" s="12"/>
      <c r="N4295" s="24"/>
      <c r="O4295" s="24">
        <f>(Tabla1[[#This Row],[COSTO FIJO ]]/30)*Tabla1[[#This Row],[TOTAL DIAS PROYECTO]]+(Tabla1[[#This Row],[COSTO TEMPORAL]])</f>
        <v>0</v>
      </c>
      <c r="P4295" s="12"/>
      <c r="Q4295" s="12">
        <f>+(Tabla1[[#This Row],[COSTO COCHE]]/30)*Tabla1[[#This Row],[TOTAL DIAS PROYECTO]]</f>
        <v>0</v>
      </c>
      <c r="R4295" s="12">
        <f>+Tabla1[[#This Row],[COSTO TOTAL ALOJAMIENTO]]+Tabla1[[#This Row],[COSTO TOTAL COCHE]]</f>
        <v>0</v>
      </c>
      <c r="S4295" s="2"/>
      <c r="T4295" s="14" t="s">
        <v>44</v>
      </c>
      <c r="U4295" s="14">
        <v>45970</v>
      </c>
      <c r="V4295" s="25">
        <v>46000</v>
      </c>
      <c r="W4295" s="71"/>
      <c r="X4295" s="2"/>
      <c r="Y4295" s="11" t="s">
        <v>6280</v>
      </c>
      <c r="Z4295" s="2" t="s">
        <v>36</v>
      </c>
      <c r="AA4295" s="13" t="s">
        <v>10385</v>
      </c>
      <c r="AB4295" s="13" t="s">
        <v>10386</v>
      </c>
    </row>
    <row r="4296" spans="1:28" ht="15" customHeight="1">
      <c r="A4296" s="2" t="s">
        <v>8642</v>
      </c>
      <c r="B4296" s="2" t="s">
        <v>28</v>
      </c>
      <c r="C4296" s="11" t="s">
        <v>6281</v>
      </c>
      <c r="D4296" s="2" t="s">
        <v>30</v>
      </c>
      <c r="E4296" s="2" t="s">
        <v>31</v>
      </c>
      <c r="F4296" s="11" t="s">
        <v>5157</v>
      </c>
      <c r="G4296" t="s">
        <v>3915</v>
      </c>
      <c r="H4296" s="2" t="s">
        <v>6282</v>
      </c>
      <c r="I4296" s="12" t="s">
        <v>6283</v>
      </c>
      <c r="J4296" s="41">
        <f>+Tabla1[[#This Row],[FECHA ENTRADA]]</f>
        <v>45914</v>
      </c>
      <c r="K4296" s="41">
        <v>45993</v>
      </c>
      <c r="L4296" s="42">
        <f>_xlfn.DAYS(Tabla1[[#This Row],[FECHA FIN ]],Tabla1[[#This Row],[FECHA INICIO]])</f>
        <v>79</v>
      </c>
      <c r="M4296" s="12"/>
      <c r="N4296" s="28">
        <v>550</v>
      </c>
      <c r="O4296" s="28">
        <f>(Tabla1[[#This Row],[COSTO FIJO ]]/30)*Tabla1[[#This Row],[TOTAL DIAS PROYECTO]]+(Tabla1[[#This Row],[COSTO TEMPORAL]])</f>
        <v>1448.3333333333333</v>
      </c>
      <c r="P4296" s="12"/>
      <c r="Q4296" s="12">
        <f>+(Tabla1[[#This Row],[COSTO COCHE]]/30)*Tabla1[[#This Row],[TOTAL DIAS PROYECTO]]</f>
        <v>0</v>
      </c>
      <c r="R4296" s="12">
        <f>+Tabla1[[#This Row],[COSTO TOTAL ALOJAMIENTO]]+Tabla1[[#This Row],[COSTO TOTAL COCHE]]</f>
        <v>1448.3333333333333</v>
      </c>
      <c r="S4296" s="2"/>
      <c r="T4296" s="14" t="s">
        <v>35</v>
      </c>
      <c r="U4296" s="14">
        <v>45914</v>
      </c>
      <c r="V4296" s="43"/>
      <c r="W4296" s="71"/>
      <c r="X4296" s="2">
        <v>1</v>
      </c>
      <c r="Y4296" s="11" t="s">
        <v>6284</v>
      </c>
      <c r="Z4296" s="2" t="s">
        <v>36</v>
      </c>
      <c r="AA4296" s="13" t="s">
        <v>10323</v>
      </c>
      <c r="AB4296" s="13" t="s">
        <v>10324</v>
      </c>
    </row>
    <row r="4297" spans="1:28" ht="15" customHeight="1">
      <c r="A4297" s="2" t="s">
        <v>8642</v>
      </c>
      <c r="B4297" s="2" t="s">
        <v>978</v>
      </c>
      <c r="C4297" s="11" t="s">
        <v>6285</v>
      </c>
      <c r="D4297" s="2" t="s">
        <v>30</v>
      </c>
      <c r="E4297" s="2" t="s">
        <v>31</v>
      </c>
      <c r="F4297" s="11" t="s">
        <v>3914</v>
      </c>
      <c r="G4297" t="s">
        <v>3915</v>
      </c>
      <c r="H4297" s="2" t="s">
        <v>6282</v>
      </c>
      <c r="I4297" s="12" t="s">
        <v>6286</v>
      </c>
      <c r="J4297" s="41">
        <f>+Tabla1[[#This Row],[FECHA ENTRADA]]</f>
        <v>45953</v>
      </c>
      <c r="K4297" s="22">
        <v>45993</v>
      </c>
      <c r="L4297" s="42">
        <f>_xlfn.DAYS(Tabla1[[#This Row],[FECHA FIN ]],Tabla1[[#This Row],[FECHA INICIO]])</f>
        <v>40</v>
      </c>
      <c r="M4297" s="12"/>
      <c r="N4297" s="28">
        <v>500</v>
      </c>
      <c r="O4297" s="28">
        <f>(Tabla1[[#This Row],[COSTO FIJO ]]/30)*Tabla1[[#This Row],[TOTAL DIAS PROYECTO]]+(Tabla1[[#This Row],[COSTO TEMPORAL]])</f>
        <v>666.66666666666674</v>
      </c>
      <c r="P4297" s="12"/>
      <c r="Q4297" s="12">
        <f>+(Tabla1[[#This Row],[COSTO COCHE]]/30)*Tabla1[[#This Row],[TOTAL DIAS PROYECTO]]</f>
        <v>0</v>
      </c>
      <c r="R4297" s="12">
        <f>+Tabla1[[#This Row],[COSTO TOTAL ALOJAMIENTO]]+Tabla1[[#This Row],[COSTO TOTAL COCHE]]</f>
        <v>666.66666666666674</v>
      </c>
      <c r="S4297" s="2"/>
      <c r="T4297" s="14" t="s">
        <v>35</v>
      </c>
      <c r="U4297" s="14">
        <v>45953</v>
      </c>
      <c r="V4297" s="43"/>
      <c r="W4297" s="71"/>
      <c r="X4297" s="2">
        <v>1</v>
      </c>
      <c r="Y4297" s="11" t="s">
        <v>6287</v>
      </c>
      <c r="Z4297" s="2" t="s">
        <v>36</v>
      </c>
      <c r="AA4297" s="13" t="s">
        <v>10323</v>
      </c>
      <c r="AB4297" s="13" t="s">
        <v>10324</v>
      </c>
    </row>
    <row r="4298" spans="1:28" ht="15" customHeight="1">
      <c r="A4298" s="2" t="s">
        <v>10084</v>
      </c>
      <c r="B4298" s="2" t="s">
        <v>368</v>
      </c>
      <c r="C4298" s="69" t="s">
        <v>6288</v>
      </c>
      <c r="D4298" s="2" t="s">
        <v>30</v>
      </c>
      <c r="E4298" s="2" t="s">
        <v>31</v>
      </c>
      <c r="F4298" s="11" t="s">
        <v>3914</v>
      </c>
      <c r="G4298" s="70" t="s">
        <v>3915</v>
      </c>
      <c r="H4298" s="2" t="s">
        <v>6289</v>
      </c>
      <c r="I4298" s="12" t="s">
        <v>1642</v>
      </c>
      <c r="J4298" s="22">
        <f>+Tabla1[[#This Row],[FECHA ENTRADA]]</f>
        <v>45993</v>
      </c>
      <c r="K4298" s="22">
        <v>45993</v>
      </c>
      <c r="L4298" s="23">
        <f>_xlfn.DAYS(Tabla1[[#This Row],[FECHA FIN ]],Tabla1[[#This Row],[FECHA INICIO]])</f>
        <v>0</v>
      </c>
      <c r="M4298" s="12"/>
      <c r="N4298" s="20">
        <v>500</v>
      </c>
      <c r="O4298" s="24">
        <f>(Tabla1[[#This Row],[COSTO FIJO ]]/30)*Tabla1[[#This Row],[TOTAL DIAS PROYECTO]]+(Tabla1[[#This Row],[COSTO TEMPORAL]])</f>
        <v>0</v>
      </c>
      <c r="P4298" s="12"/>
      <c r="Q4298" s="12">
        <f>+(Tabla1[[#This Row],[COSTO COCHE]]/30)*Tabla1[[#This Row],[TOTAL DIAS PROYECTO]]</f>
        <v>0</v>
      </c>
      <c r="R4298" s="12">
        <f>+Tabla1[[#This Row],[COSTO TOTAL ALOJAMIENTO]]+Tabla1[[#This Row],[COSTO TOTAL COCHE]]</f>
        <v>0</v>
      </c>
      <c r="S4298" s="2"/>
      <c r="T4298" s="14" t="s">
        <v>35</v>
      </c>
      <c r="U4298" s="14">
        <v>45993</v>
      </c>
      <c r="V4298" s="79"/>
      <c r="W4298" s="12"/>
      <c r="X4298" s="2">
        <v>1</v>
      </c>
      <c r="Y4298" s="11"/>
      <c r="Z4298" s="2" t="s">
        <v>36</v>
      </c>
      <c r="AA4298" s="13" t="s">
        <v>10323</v>
      </c>
      <c r="AB4298" s="13" t="s">
        <v>10324</v>
      </c>
    </row>
    <row r="4299" spans="1:28" ht="15" customHeight="1">
      <c r="A4299" s="2" t="s">
        <v>9920</v>
      </c>
      <c r="B4299" s="2" t="s">
        <v>711</v>
      </c>
      <c r="C4299" s="239" t="s">
        <v>5450</v>
      </c>
      <c r="D4299" s="2" t="s">
        <v>99</v>
      </c>
      <c r="E4299" s="2" t="s">
        <v>253</v>
      </c>
      <c r="F4299" s="11" t="s">
        <v>1688</v>
      </c>
      <c r="G4299" s="49" t="s">
        <v>1689</v>
      </c>
      <c r="H4299" s="2" t="s">
        <v>5449</v>
      </c>
      <c r="I4299" s="12" t="s">
        <v>2321</v>
      </c>
      <c r="J4299" s="22">
        <f>+Tabla1[[#This Row],[FECHA ENTRADA]]</f>
        <v>45960</v>
      </c>
      <c r="K4299" s="22">
        <v>45993</v>
      </c>
      <c r="L4299" s="23">
        <f>_xlfn.DAYS(Tabla1[[#This Row],[FECHA FIN ]],Tabla1[[#This Row],[FECHA INICIO]])</f>
        <v>33</v>
      </c>
      <c r="M4299" s="12"/>
      <c r="N4299" s="20">
        <v>480</v>
      </c>
      <c r="O4299" s="24">
        <f>(Tabla1[[#This Row],[COSTO FIJO ]]/30)*Tabla1[[#This Row],[TOTAL DIAS PROYECTO]]+(Tabla1[[#This Row],[COSTO TEMPORAL]])</f>
        <v>528</v>
      </c>
      <c r="P4299" s="12"/>
      <c r="Q4299" s="12">
        <f>+(Tabla1[[#This Row],[COSTO COCHE]]/30)*Tabla1[[#This Row],[TOTAL DIAS PROYECTO]]</f>
        <v>0</v>
      </c>
      <c r="R4299" s="12">
        <f>+Tabla1[[#This Row],[COSTO TOTAL ALOJAMIENTO]]+Tabla1[[#This Row],[COSTO TOTAL COCHE]]</f>
        <v>528</v>
      </c>
      <c r="S4299" s="2"/>
      <c r="T4299" s="14" t="s">
        <v>35</v>
      </c>
      <c r="U4299" s="14">
        <v>45960</v>
      </c>
      <c r="V4299" s="79"/>
      <c r="W4299" s="71"/>
      <c r="X4299" s="2">
        <v>15</v>
      </c>
      <c r="Y4299" s="11" t="s">
        <v>6290</v>
      </c>
      <c r="Z4299" s="2" t="s">
        <v>36</v>
      </c>
      <c r="AA4299" s="13" t="s">
        <v>10357</v>
      </c>
      <c r="AB4299" s="13" t="s">
        <v>10358</v>
      </c>
    </row>
    <row r="4300" spans="1:28" ht="15" customHeight="1">
      <c r="A4300" s="2" t="s">
        <v>9578</v>
      </c>
      <c r="B4300" s="2" t="s">
        <v>606</v>
      </c>
      <c r="C4300" s="11" t="s">
        <v>3738</v>
      </c>
      <c r="D4300" s="2" t="s">
        <v>30</v>
      </c>
      <c r="E4300" s="2" t="s">
        <v>31</v>
      </c>
      <c r="F4300" s="11"/>
      <c r="G4300" s="21"/>
      <c r="H4300" s="2" t="s">
        <v>6291</v>
      </c>
      <c r="I4300" s="12" t="s">
        <v>385</v>
      </c>
      <c r="J4300" s="22">
        <f>+Tabla1[[#This Row],[FECHA ENTRADA]]</f>
        <v>45949</v>
      </c>
      <c r="K4300" s="22">
        <v>45993</v>
      </c>
      <c r="L4300" s="23">
        <f>_xlfn.DAYS(Tabla1[[#This Row],[FECHA FIN ]],Tabla1[[#This Row],[FECHA INICIO]])</f>
        <v>44</v>
      </c>
      <c r="M4300" s="12"/>
      <c r="N4300" s="20">
        <v>300</v>
      </c>
      <c r="O4300" s="24">
        <f>(Tabla1[[#This Row],[COSTO FIJO ]]/30)*Tabla1[[#This Row],[TOTAL DIAS PROYECTO]]+(Tabla1[[#This Row],[COSTO TEMPORAL]])</f>
        <v>440</v>
      </c>
      <c r="P4300" s="12"/>
      <c r="Q4300" s="12">
        <f>+(Tabla1[[#This Row],[COSTO COCHE]]/30)*Tabla1[[#This Row],[TOTAL DIAS PROYECTO]]</f>
        <v>0</v>
      </c>
      <c r="R4300" s="12">
        <f>+Tabla1[[#This Row],[COSTO TOTAL ALOJAMIENTO]]+Tabla1[[#This Row],[COSTO TOTAL COCHE]]</f>
        <v>440</v>
      </c>
      <c r="S4300" s="2"/>
      <c r="T4300" s="14" t="s">
        <v>58</v>
      </c>
      <c r="U4300" s="14">
        <v>45949</v>
      </c>
      <c r="V4300" s="79"/>
      <c r="W4300" s="71"/>
      <c r="X4300" s="2"/>
      <c r="Y4300" s="11" t="s">
        <v>6292</v>
      </c>
      <c r="Z4300" s="2" t="s">
        <v>36</v>
      </c>
      <c r="AA4300" s="13" t="s">
        <v>10323</v>
      </c>
      <c r="AB4300" s="13" t="s">
        <v>10324</v>
      </c>
    </row>
    <row r="4301" spans="1:28" ht="15" customHeight="1">
      <c r="A4301" s="117" t="s">
        <v>9772</v>
      </c>
      <c r="B4301" s="117" t="s">
        <v>606</v>
      </c>
      <c r="C4301" s="118" t="s">
        <v>4674</v>
      </c>
      <c r="D4301" s="117" t="s">
        <v>30</v>
      </c>
      <c r="E4301" s="2" t="s">
        <v>31</v>
      </c>
      <c r="F4301" s="11" t="s">
        <v>6226</v>
      </c>
      <c r="G4301" s="68" t="s">
        <v>4615</v>
      </c>
      <c r="H4301" s="117" t="s">
        <v>6133</v>
      </c>
      <c r="I4301" s="10" t="s">
        <v>3364</v>
      </c>
      <c r="J4301" s="120">
        <f>+Tabla1[[#This Row],[FECHA ENTRADA]]</f>
        <v>45972</v>
      </c>
      <c r="K4301" s="120">
        <v>45993</v>
      </c>
      <c r="L4301" s="122">
        <f>_xlfn.DAYS(Tabla1[[#This Row],[FECHA FIN ]],Tabla1[[#This Row],[FECHA INICIO]])</f>
        <v>21</v>
      </c>
      <c r="M4301" s="119">
        <v>175</v>
      </c>
      <c r="N4301" s="123"/>
      <c r="O4301" s="123">
        <f>(Tabla1[[#This Row],[COSTO FIJO ]]/30)*Tabla1[[#This Row],[TOTAL DIAS PROYECTO]]+(Tabla1[[#This Row],[COSTO TEMPORAL]])</f>
        <v>175</v>
      </c>
      <c r="P4301" s="119"/>
      <c r="Q4301" s="119">
        <f>+(Tabla1[[#This Row],[COSTO COCHE]]/30)*Tabla1[[#This Row],[TOTAL DIAS PROYECTO]]</f>
        <v>0</v>
      </c>
      <c r="R4301" s="119">
        <f>+Tabla1[[#This Row],[COSTO TOTAL ALOJAMIENTO]]+Tabla1[[#This Row],[COSTO TOTAL COCHE]]</f>
        <v>175</v>
      </c>
      <c r="S4301" s="117"/>
      <c r="T4301" s="124" t="s">
        <v>44</v>
      </c>
      <c r="U4301" s="124">
        <v>45972</v>
      </c>
      <c r="V4301" s="125">
        <v>45994</v>
      </c>
      <c r="W4301" s="126"/>
      <c r="X4301" s="117"/>
      <c r="Y4301" s="297" t="s">
        <v>6293</v>
      </c>
      <c r="Z4301" s="117" t="s">
        <v>36</v>
      </c>
      <c r="AA4301" s="127" t="s">
        <v>10323</v>
      </c>
      <c r="AB4301" s="127" t="s">
        <v>10324</v>
      </c>
    </row>
    <row r="4302" spans="1:28" ht="15" customHeight="1">
      <c r="A4302" s="117" t="s">
        <v>10056</v>
      </c>
      <c r="B4302" s="117" t="s">
        <v>606</v>
      </c>
      <c r="C4302" s="118" t="s">
        <v>6116</v>
      </c>
      <c r="D4302" s="117" t="s">
        <v>30</v>
      </c>
      <c r="E4302" s="2" t="s">
        <v>31</v>
      </c>
      <c r="F4302" s="11" t="s">
        <v>6226</v>
      </c>
      <c r="G4302" s="68" t="s">
        <v>4615</v>
      </c>
      <c r="H4302" s="117" t="s">
        <v>6133</v>
      </c>
      <c r="I4302" s="10" t="s">
        <v>3364</v>
      </c>
      <c r="J4302" s="120">
        <f>+Tabla1[[#This Row],[FECHA ENTRADA]]</f>
        <v>45972</v>
      </c>
      <c r="K4302" s="120">
        <v>45993</v>
      </c>
      <c r="L4302" s="122">
        <f>_xlfn.DAYS(Tabla1[[#This Row],[FECHA FIN ]],Tabla1[[#This Row],[FECHA INICIO]])</f>
        <v>21</v>
      </c>
      <c r="M4302" s="119">
        <v>175</v>
      </c>
      <c r="N4302" s="123"/>
      <c r="O4302" s="123">
        <f>(Tabla1[[#This Row],[COSTO FIJO ]]/30)*Tabla1[[#This Row],[TOTAL DIAS PROYECTO]]+(Tabla1[[#This Row],[COSTO TEMPORAL]])</f>
        <v>175</v>
      </c>
      <c r="P4302" s="119"/>
      <c r="Q4302" s="119">
        <f>+(Tabla1[[#This Row],[COSTO COCHE]]/30)*Tabla1[[#This Row],[TOTAL DIAS PROYECTO]]</f>
        <v>0</v>
      </c>
      <c r="R4302" s="119">
        <f>+Tabla1[[#This Row],[COSTO TOTAL ALOJAMIENTO]]+Tabla1[[#This Row],[COSTO TOTAL COCHE]]</f>
        <v>175</v>
      </c>
      <c r="S4302" s="117"/>
      <c r="T4302" s="124" t="s">
        <v>44</v>
      </c>
      <c r="U4302" s="124">
        <v>45972</v>
      </c>
      <c r="V4302" s="125">
        <v>45994</v>
      </c>
      <c r="W4302" s="126"/>
      <c r="X4302" s="117"/>
      <c r="Y4302" s="118" t="s">
        <v>6294</v>
      </c>
      <c r="Z4302" s="117" t="s">
        <v>36</v>
      </c>
      <c r="AA4302" s="127" t="s">
        <v>10323</v>
      </c>
      <c r="AB4302" s="127" t="s">
        <v>10324</v>
      </c>
    </row>
    <row r="4303" spans="1:28" ht="15" customHeight="1">
      <c r="A4303" s="2" t="s">
        <v>9404</v>
      </c>
      <c r="B4303" s="2" t="s">
        <v>978</v>
      </c>
      <c r="C4303" s="239" t="s">
        <v>3073</v>
      </c>
      <c r="D4303" s="2" t="s">
        <v>30</v>
      </c>
      <c r="E4303" s="2" t="s">
        <v>253</v>
      </c>
      <c r="F4303" s="11" t="s">
        <v>254</v>
      </c>
      <c r="G4303" s="11" t="s">
        <v>255</v>
      </c>
      <c r="H4303" s="2" t="s">
        <v>1530</v>
      </c>
      <c r="I4303" s="12" t="s">
        <v>1155</v>
      </c>
      <c r="J4303" s="22">
        <f>+Tabla1[[#This Row],[FECHA ENTRADA]]</f>
        <v>45822</v>
      </c>
      <c r="K4303" s="22">
        <v>45994</v>
      </c>
      <c r="L4303" s="23">
        <f>_xlfn.DAYS(Tabla1[[#This Row],[FECHA FIN ]],Tabla1[[#This Row],[FECHA INICIO]])</f>
        <v>172</v>
      </c>
      <c r="M4303" s="12"/>
      <c r="N4303" s="12">
        <v>216.66666666666666</v>
      </c>
      <c r="O4303" s="24">
        <f>(Tabla1[[#This Row],[COSTO FIJO ]]/30)*Tabla1[[#This Row],[TOTAL DIAS PROYECTO]]+(Tabla1[[#This Row],[COSTO TEMPORAL]])</f>
        <v>1242.2222222222222</v>
      </c>
      <c r="P4303" s="12"/>
      <c r="Q4303" s="12">
        <f>+(Tabla1[[#This Row],[COSTO COCHE]]/30)*Tabla1[[#This Row],[TOTAL DIAS PROYECTO]]</f>
        <v>0</v>
      </c>
      <c r="R4303" s="12">
        <f>+Tabla1[[#This Row],[COSTO TOTAL ALOJAMIENTO]]+Tabla1[[#This Row],[COSTO TOTAL COCHE]]</f>
        <v>1242.2222222222222</v>
      </c>
      <c r="S4303" s="2"/>
      <c r="T4303" s="14" t="s">
        <v>35</v>
      </c>
      <c r="U4303" s="14">
        <v>45822</v>
      </c>
      <c r="V4303" s="25"/>
      <c r="W4303" s="2"/>
      <c r="X4303" s="2">
        <v>1</v>
      </c>
      <c r="Y4303" s="11" t="s">
        <v>5771</v>
      </c>
      <c r="Z4303" s="2" t="s">
        <v>36</v>
      </c>
      <c r="AA4303" s="13" t="s">
        <v>10357</v>
      </c>
      <c r="AB4303" s="13" t="s">
        <v>10358</v>
      </c>
    </row>
    <row r="4304" spans="1:28">
      <c r="A4304" s="2" t="s">
        <v>9696</v>
      </c>
      <c r="B4304" s="2" t="s">
        <v>978</v>
      </c>
      <c r="C4304" s="11" t="s">
        <v>4278</v>
      </c>
      <c r="D4304" s="2" t="s">
        <v>30</v>
      </c>
      <c r="E4304" s="2" t="s">
        <v>380</v>
      </c>
      <c r="F4304" s="11" t="s">
        <v>6222</v>
      </c>
      <c r="G4304" s="21" t="s">
        <v>6223</v>
      </c>
      <c r="H4304" s="2" t="s">
        <v>4279</v>
      </c>
      <c r="I4304" s="12" t="s">
        <v>4276</v>
      </c>
      <c r="J4304" s="22">
        <f>+Tabla1[[#This Row],[FECHA ENTRADA]]</f>
        <v>45871</v>
      </c>
      <c r="K4304" s="22">
        <v>45928</v>
      </c>
      <c r="L4304" s="23">
        <f>_xlfn.DAYS(Tabla1[[#This Row],[FECHA FIN ]],Tabla1[[#This Row],[FECHA INICIO]])</f>
        <v>57</v>
      </c>
      <c r="M4304" s="12"/>
      <c r="N4304" s="12"/>
      <c r="O4304" s="24">
        <f>(Tabla1[[#This Row],[COSTO FIJO ]]/30)*Tabla1[[#This Row],[TOTAL DIAS PROYECTO]]+(Tabla1[[#This Row],[COSTO TEMPORAL]])</f>
        <v>0</v>
      </c>
      <c r="P4304" s="12"/>
      <c r="Q4304" s="12">
        <f>+(Tabla1[[#This Row],[COSTO COCHE]]/30)*Tabla1[[#This Row],[TOTAL DIAS PROYECTO]]</f>
        <v>0</v>
      </c>
      <c r="R4304" s="12">
        <f>+Tabla1[[#This Row],[COSTO TOTAL ALOJAMIENTO]]+Tabla1[[#This Row],[COSTO TOTAL COCHE]]</f>
        <v>0</v>
      </c>
      <c r="S4304" s="2"/>
      <c r="T4304" s="14" t="s">
        <v>35</v>
      </c>
      <c r="U4304" s="14">
        <v>45871</v>
      </c>
      <c r="V4304" s="79">
        <v>45901</v>
      </c>
      <c r="W4304" s="12"/>
      <c r="X4304" s="2">
        <v>1</v>
      </c>
      <c r="Y4304" s="11" t="s">
        <v>6229</v>
      </c>
      <c r="Z4304" s="2" t="s">
        <v>36</v>
      </c>
      <c r="AA4304" s="13" t="s">
        <v>10370</v>
      </c>
      <c r="AB4304" s="13" t="s">
        <v>10371</v>
      </c>
    </row>
    <row r="4305" spans="1:28" ht="15" customHeight="1">
      <c r="A4305" s="2" t="s">
        <v>8642</v>
      </c>
      <c r="B4305" s="2" t="s">
        <v>978</v>
      </c>
      <c r="C4305" s="11" t="s">
        <v>6295</v>
      </c>
      <c r="D4305" s="2" t="s">
        <v>30</v>
      </c>
      <c r="E4305" s="2" t="s">
        <v>380</v>
      </c>
      <c r="F4305" s="11" t="s">
        <v>1579</v>
      </c>
      <c r="G4305" s="11" t="s">
        <v>1580</v>
      </c>
      <c r="H4305" s="2" t="s">
        <v>6296</v>
      </c>
      <c r="I4305" s="12" t="s">
        <v>4681</v>
      </c>
      <c r="J4305" s="22">
        <f>+Tabla1[[#This Row],[FECHA ENTRADA]]</f>
        <v>45915</v>
      </c>
      <c r="K4305" s="22">
        <v>45919</v>
      </c>
      <c r="L4305" s="23">
        <f>_xlfn.DAYS(Tabla1[[#This Row],[FECHA FIN ]],Tabla1[[#This Row],[FECHA INICIO]])</f>
        <v>4</v>
      </c>
      <c r="M4305" s="12"/>
      <c r="N4305" s="12"/>
      <c r="O4305" s="24">
        <f>(Tabla1[[#This Row],[COSTO FIJO ]]/30)*Tabla1[[#This Row],[TOTAL DIAS PROYECTO]]+(Tabla1[[#This Row],[COSTO TEMPORAL]])</f>
        <v>0</v>
      </c>
      <c r="P4305" s="12"/>
      <c r="Q4305" s="12">
        <f>+(Tabla1[[#This Row],[COSTO COCHE]]/30)*Tabla1[[#This Row],[TOTAL DIAS PROYECTO]]</f>
        <v>0</v>
      </c>
      <c r="R4305" s="12">
        <f>+Tabla1[[#This Row],[COSTO TOTAL ALOJAMIENTO]]+Tabla1[[#This Row],[COSTO TOTAL COCHE]]</f>
        <v>0</v>
      </c>
      <c r="S4305" s="2"/>
      <c r="T4305" s="14" t="s">
        <v>35</v>
      </c>
      <c r="U4305" s="14">
        <v>45915</v>
      </c>
      <c r="V4305" s="25"/>
      <c r="W4305" s="71"/>
      <c r="X4305" s="2">
        <v>1</v>
      </c>
      <c r="Y4305" s="11" t="s">
        <v>6297</v>
      </c>
      <c r="Z4305" s="2" t="s">
        <v>36</v>
      </c>
      <c r="AA4305" s="13" t="s">
        <v>10370</v>
      </c>
      <c r="AB4305" s="13" t="s">
        <v>10371</v>
      </c>
    </row>
    <row r="4306" spans="1:28" ht="15" customHeight="1">
      <c r="A4306" s="117" t="s">
        <v>9877</v>
      </c>
      <c r="B4306" s="117" t="s">
        <v>711</v>
      </c>
      <c r="C4306" s="118" t="s">
        <v>5183</v>
      </c>
      <c r="D4306" s="117" t="s">
        <v>30</v>
      </c>
      <c r="E4306" s="117" t="s">
        <v>1130</v>
      </c>
      <c r="F4306" s="11" t="s">
        <v>5654</v>
      </c>
      <c r="G4306" s="128" t="s">
        <v>5655</v>
      </c>
      <c r="H4306" s="117" t="s">
        <v>5468</v>
      </c>
      <c r="I4306" s="119" t="s">
        <v>5469</v>
      </c>
      <c r="J4306" s="121">
        <f>+Tabla1[[#This Row],[FECHA ENTRADA]]</f>
        <v>45940</v>
      </c>
      <c r="K4306" s="121">
        <v>45994</v>
      </c>
      <c r="L4306" s="129">
        <f>_xlfn.DAYS(Tabla1[[#This Row],[FECHA FIN ]],Tabla1[[#This Row],[FECHA INICIO]])</f>
        <v>54</v>
      </c>
      <c r="M4306" s="119"/>
      <c r="N4306" s="119"/>
      <c r="O4306" s="131">
        <f>(Tabla1[[#This Row],[COSTO FIJO ]]/30)*Tabla1[[#This Row],[TOTAL DIAS PROYECTO]]+(Tabla1[[#This Row],[COSTO TEMPORAL]])</f>
        <v>0</v>
      </c>
      <c r="P4306" s="119"/>
      <c r="Q4306" s="119">
        <f>+(Tabla1[[#This Row],[COSTO COCHE]]/30)*Tabla1[[#This Row],[TOTAL DIAS PROYECTO]]</f>
        <v>0</v>
      </c>
      <c r="R4306" s="119">
        <f>+Tabla1[[#This Row],[COSTO TOTAL ALOJAMIENTO]]+Tabla1[[#This Row],[COSTO TOTAL COCHE]]</f>
        <v>0</v>
      </c>
      <c r="S4306" s="117"/>
      <c r="T4306" s="124" t="s">
        <v>35</v>
      </c>
      <c r="U4306" s="124">
        <v>45940</v>
      </c>
      <c r="V4306" s="132"/>
      <c r="W4306" s="126">
        <v>250</v>
      </c>
      <c r="X4306" s="117">
        <v>1</v>
      </c>
      <c r="Y4306" s="118" t="s">
        <v>5656</v>
      </c>
      <c r="Z4306" s="117" t="s">
        <v>36</v>
      </c>
      <c r="AA4306" s="127" t="s">
        <v>10412</v>
      </c>
      <c r="AB4306" s="127">
        <v>4200955</v>
      </c>
    </row>
    <row r="4307" spans="1:28" ht="15" customHeight="1">
      <c r="A4307" s="2" t="s">
        <v>9176</v>
      </c>
      <c r="B4307" s="2" t="s">
        <v>28</v>
      </c>
      <c r="C4307" s="239" t="s">
        <v>2326</v>
      </c>
      <c r="D4307" s="2" t="s">
        <v>99</v>
      </c>
      <c r="E4307" s="2" t="s">
        <v>253</v>
      </c>
      <c r="F4307" s="11" t="s">
        <v>254</v>
      </c>
      <c r="G4307" s="11" t="s">
        <v>255</v>
      </c>
      <c r="H4307" s="2" t="s">
        <v>2313</v>
      </c>
      <c r="I4307" s="12" t="s">
        <v>256</v>
      </c>
      <c r="J4307" s="22">
        <f>+Tabla1[[#This Row],[FECHA ENTRADA]]</f>
        <v>45857</v>
      </c>
      <c r="K4307" s="22">
        <v>45994</v>
      </c>
      <c r="L4307" s="23">
        <f>_xlfn.DAYS(Tabla1[[#This Row],[FECHA FIN ]],Tabla1[[#This Row],[FECHA INICIO]])</f>
        <v>137</v>
      </c>
      <c r="M4307" s="12"/>
      <c r="N4307" s="12">
        <v>216.66666666666666</v>
      </c>
      <c r="O4307" s="24">
        <f>(Tabla1[[#This Row],[COSTO FIJO ]]/30)*Tabla1[[#This Row],[TOTAL DIAS PROYECTO]]+(Tabla1[[#This Row],[COSTO TEMPORAL]])</f>
        <v>989.44444444444446</v>
      </c>
      <c r="P4307" s="12"/>
      <c r="Q4307" s="12">
        <f>+(Tabla1[[#This Row],[COSTO COCHE]]/30)*Tabla1[[#This Row],[TOTAL DIAS PROYECTO]]</f>
        <v>0</v>
      </c>
      <c r="R4307" s="12">
        <f>+Tabla1[[#This Row],[COSTO TOTAL ALOJAMIENTO]]+Tabla1[[#This Row],[COSTO TOTAL COCHE]]</f>
        <v>989.44444444444446</v>
      </c>
      <c r="S4307" s="2"/>
      <c r="T4307" s="2" t="s">
        <v>35</v>
      </c>
      <c r="U4307" s="14">
        <v>45857</v>
      </c>
      <c r="V4307" s="25"/>
      <c r="W4307" s="12"/>
      <c r="X4307" s="2">
        <v>1</v>
      </c>
      <c r="Y4307" s="11" t="s">
        <v>6298</v>
      </c>
      <c r="Z4307" s="2" t="s">
        <v>36</v>
      </c>
      <c r="AA4307" s="13" t="s">
        <v>10357</v>
      </c>
      <c r="AB4307" s="13" t="s">
        <v>10358</v>
      </c>
    </row>
    <row r="4308" spans="1:28" ht="15" customHeight="1">
      <c r="A4308" s="2" t="s">
        <v>9975</v>
      </c>
      <c r="B4308" s="2" t="s">
        <v>711</v>
      </c>
      <c r="C4308" s="31" t="s">
        <v>5800</v>
      </c>
      <c r="D4308" s="2" t="s">
        <v>30</v>
      </c>
      <c r="E4308" s="2" t="s">
        <v>626</v>
      </c>
      <c r="F4308" s="11" t="s">
        <v>2376</v>
      </c>
      <c r="G4308" s="46" t="s">
        <v>6278</v>
      </c>
      <c r="H4308" s="2" t="s">
        <v>6299</v>
      </c>
      <c r="I4308" s="12" t="s">
        <v>6300</v>
      </c>
      <c r="J4308" s="41">
        <f>+Tabla1[[#This Row],[FECHA ENTRADA]]</f>
        <v>45977</v>
      </c>
      <c r="K4308" s="22">
        <v>45994</v>
      </c>
      <c r="L4308" s="42">
        <f>_xlfn.DAYS(Tabla1[[#This Row],[FECHA FIN ]],Tabla1[[#This Row],[FECHA INICIO]])</f>
        <v>17</v>
      </c>
      <c r="M4308" s="12"/>
      <c r="N4308" s="28"/>
      <c r="O4308" s="28">
        <f>(Tabla1[[#This Row],[COSTO FIJO ]]/30)*Tabla1[[#This Row],[TOTAL DIAS PROYECTO]]+(Tabla1[[#This Row],[COSTO TEMPORAL]])</f>
        <v>0</v>
      </c>
      <c r="P4308" s="12"/>
      <c r="Q4308" s="12">
        <f>+(Tabla1[[#This Row],[COSTO COCHE]]/30)*Tabla1[[#This Row],[TOTAL DIAS PROYECTO]]</f>
        <v>0</v>
      </c>
      <c r="R4308" s="12">
        <f>+Tabla1[[#This Row],[COSTO TOTAL ALOJAMIENTO]]+Tabla1[[#This Row],[COSTO TOTAL COCHE]]</f>
        <v>0</v>
      </c>
      <c r="S4308" s="2"/>
      <c r="T4308" s="14" t="s">
        <v>44</v>
      </c>
      <c r="U4308" s="14">
        <v>45977</v>
      </c>
      <c r="V4308" s="25">
        <v>45994</v>
      </c>
      <c r="W4308" s="71"/>
      <c r="X4308" s="2"/>
      <c r="Y4308" s="11" t="s">
        <v>6301</v>
      </c>
      <c r="Z4308" s="2" t="s">
        <v>36</v>
      </c>
      <c r="AA4308" s="13" t="s">
        <v>10385</v>
      </c>
      <c r="AB4308" s="13" t="s">
        <v>10386</v>
      </c>
    </row>
    <row r="4309" spans="1:28" ht="15" customHeight="1">
      <c r="A4309" s="2" t="s">
        <v>9969</v>
      </c>
      <c r="B4309" s="2" t="s">
        <v>711</v>
      </c>
      <c r="C4309" s="31" t="s">
        <v>5774</v>
      </c>
      <c r="D4309" s="2" t="s">
        <v>30</v>
      </c>
      <c r="E4309" s="2" t="s">
        <v>447</v>
      </c>
      <c r="F4309" s="11" t="s">
        <v>6302</v>
      </c>
      <c r="G4309" s="46" t="s">
        <v>6303</v>
      </c>
      <c r="H4309" s="2" t="s">
        <v>5777</v>
      </c>
      <c r="I4309" s="12" t="s">
        <v>2321</v>
      </c>
      <c r="J4309" s="41">
        <f>+Tabla1[[#This Row],[FECHA ENTRADA]]</f>
        <v>45956</v>
      </c>
      <c r="K4309" s="8">
        <v>45995</v>
      </c>
      <c r="L4309" s="42">
        <f>_xlfn.DAYS(Tabla1[[#This Row],[FECHA FIN ]],Tabla1[[#This Row],[FECHA INICIO]])</f>
        <v>39</v>
      </c>
      <c r="M4309" s="12">
        <v>479.95</v>
      </c>
      <c r="N4309" s="28"/>
      <c r="O4309" s="28">
        <f>(Tabla1[[#This Row],[COSTO FIJO ]]/30)*Tabla1[[#This Row],[TOTAL DIAS PROYECTO]]+(Tabla1[[#This Row],[COSTO TEMPORAL]])</f>
        <v>479.95</v>
      </c>
      <c r="P4309" s="12"/>
      <c r="Q4309" s="12">
        <f>+(Tabla1[[#This Row],[COSTO COCHE]]/30)*Tabla1[[#This Row],[TOTAL DIAS PROYECTO]]</f>
        <v>0</v>
      </c>
      <c r="R4309" s="12">
        <f>+Tabla1[[#This Row],[COSTO TOTAL ALOJAMIENTO]]+Tabla1[[#This Row],[COSTO TOTAL COCHE]]</f>
        <v>479.95</v>
      </c>
      <c r="S4309" s="2"/>
      <c r="T4309" s="14" t="s">
        <v>528</v>
      </c>
      <c r="U4309" s="14">
        <v>45956</v>
      </c>
      <c r="V4309" s="43">
        <v>45995</v>
      </c>
      <c r="W4309" s="71"/>
      <c r="X4309" s="2"/>
      <c r="Y4309" s="11" t="s">
        <v>6304</v>
      </c>
      <c r="Z4309" s="2" t="s">
        <v>36</v>
      </c>
      <c r="AA4309" s="13">
        <v>-697.06100000000004</v>
      </c>
      <c r="AB4309" s="13" t="s">
        <v>10377</v>
      </c>
    </row>
    <row r="4310" spans="1:28" ht="15" customHeight="1">
      <c r="A4310" s="2" t="s">
        <v>10085</v>
      </c>
      <c r="B4310" s="2" t="s">
        <v>711</v>
      </c>
      <c r="C4310" s="11" t="s">
        <v>6305</v>
      </c>
      <c r="D4310" s="2" t="s">
        <v>30</v>
      </c>
      <c r="E4310" s="2" t="s">
        <v>1719</v>
      </c>
      <c r="F4310" s="11" t="s">
        <v>6306</v>
      </c>
      <c r="G4310" s="46" t="s">
        <v>6307</v>
      </c>
      <c r="H4310" s="2" t="s">
        <v>6308</v>
      </c>
      <c r="I4310" s="12" t="s">
        <v>1392</v>
      </c>
      <c r="J4310" s="41">
        <f>+Tabla1[[#This Row],[FECHA ENTRADA]]</f>
        <v>45965</v>
      </c>
      <c r="K4310" s="41">
        <v>45995</v>
      </c>
      <c r="L4310" s="42">
        <f>_xlfn.DAYS(Tabla1[[#This Row],[FECHA FIN ]],Tabla1[[#This Row],[FECHA INICIO]])</f>
        <v>30</v>
      </c>
      <c r="M4310" s="12">
        <v>300</v>
      </c>
      <c r="N4310" s="28"/>
      <c r="O4310" s="28">
        <f>(Tabla1[[#This Row],[COSTO FIJO ]]/30)*Tabla1[[#This Row],[TOTAL DIAS PROYECTO]]+(Tabla1[[#This Row],[COSTO TEMPORAL]])</f>
        <v>300</v>
      </c>
      <c r="P4310" s="12"/>
      <c r="Q4310" s="12">
        <f>+(Tabla1[[#This Row],[COSTO COCHE]]/30)*Tabla1[[#This Row],[TOTAL DIAS PROYECTO]]</f>
        <v>0</v>
      </c>
      <c r="R4310" s="12">
        <f>+Tabla1[[#This Row],[COSTO TOTAL ALOJAMIENTO]]+Tabla1[[#This Row],[COSTO TOTAL COCHE]]</f>
        <v>300</v>
      </c>
      <c r="S4310" s="2"/>
      <c r="T4310" s="14" t="s">
        <v>44</v>
      </c>
      <c r="U4310" s="14">
        <v>45965</v>
      </c>
      <c r="V4310" s="25">
        <v>45995</v>
      </c>
      <c r="W4310" s="71">
        <v>150</v>
      </c>
      <c r="X4310" s="2"/>
      <c r="Y4310" s="11" t="s">
        <v>6309</v>
      </c>
      <c r="Z4310" s="2" t="s">
        <v>36</v>
      </c>
      <c r="AA4310" s="13" t="s">
        <v>10427</v>
      </c>
      <c r="AB4310" s="13">
        <v>4260003</v>
      </c>
    </row>
    <row r="4311" spans="1:28" ht="15" customHeight="1">
      <c r="A4311" s="2" t="s">
        <v>10086</v>
      </c>
      <c r="B4311" s="2" t="s">
        <v>711</v>
      </c>
      <c r="C4311" s="11" t="s">
        <v>6310</v>
      </c>
      <c r="D4311" s="2" t="s">
        <v>30</v>
      </c>
      <c r="E4311" s="2" t="s">
        <v>1719</v>
      </c>
      <c r="F4311" s="11" t="s">
        <v>6306</v>
      </c>
      <c r="G4311" s="46" t="s">
        <v>6307</v>
      </c>
      <c r="H4311" s="2" t="s">
        <v>6308</v>
      </c>
      <c r="I4311" s="12" t="s">
        <v>1392</v>
      </c>
      <c r="J4311" s="41">
        <f>+Tabla1[[#This Row],[FECHA ENTRADA]]</f>
        <v>45965</v>
      </c>
      <c r="K4311" s="41">
        <v>45995</v>
      </c>
      <c r="L4311" s="42">
        <f>_xlfn.DAYS(Tabla1[[#This Row],[FECHA FIN ]],Tabla1[[#This Row],[FECHA INICIO]])</f>
        <v>30</v>
      </c>
      <c r="M4311" s="12">
        <v>300</v>
      </c>
      <c r="N4311" s="28"/>
      <c r="O4311" s="28">
        <f>(Tabla1[[#This Row],[COSTO FIJO ]]/30)*Tabla1[[#This Row],[TOTAL DIAS PROYECTO]]+(Tabla1[[#This Row],[COSTO TEMPORAL]])</f>
        <v>300</v>
      </c>
      <c r="P4311" s="12"/>
      <c r="Q4311" s="12">
        <f>+(Tabla1[[#This Row],[COSTO COCHE]]/30)*Tabla1[[#This Row],[TOTAL DIAS PROYECTO]]</f>
        <v>0</v>
      </c>
      <c r="R4311" s="12">
        <f>+Tabla1[[#This Row],[COSTO TOTAL ALOJAMIENTO]]+Tabla1[[#This Row],[COSTO TOTAL COCHE]]</f>
        <v>300</v>
      </c>
      <c r="S4311" s="2"/>
      <c r="T4311" s="14" t="s">
        <v>44</v>
      </c>
      <c r="U4311" s="14">
        <v>45965</v>
      </c>
      <c r="V4311" s="25">
        <v>45995</v>
      </c>
      <c r="W4311" s="71"/>
      <c r="X4311" s="2"/>
      <c r="Y4311" s="11" t="s">
        <v>6309</v>
      </c>
      <c r="Z4311" s="2" t="s">
        <v>36</v>
      </c>
      <c r="AA4311" s="13" t="s">
        <v>10427</v>
      </c>
      <c r="AB4311" s="13">
        <v>4260003</v>
      </c>
    </row>
    <row r="4312" spans="1:28" ht="15" customHeight="1">
      <c r="A4312" s="2" t="s">
        <v>9972</v>
      </c>
      <c r="B4312" s="2" t="s">
        <v>711</v>
      </c>
      <c r="C4312" s="11" t="s">
        <v>5788</v>
      </c>
      <c r="D4312" s="2" t="s">
        <v>30</v>
      </c>
      <c r="E4312" s="2" t="s">
        <v>1719</v>
      </c>
      <c r="F4312" s="11" t="s">
        <v>6306</v>
      </c>
      <c r="G4312" s="46" t="s">
        <v>6307</v>
      </c>
      <c r="H4312" s="2" t="s">
        <v>6308</v>
      </c>
      <c r="I4312" s="12" t="s">
        <v>1392</v>
      </c>
      <c r="J4312" s="41">
        <f>+Tabla1[[#This Row],[FECHA ENTRADA]]</f>
        <v>45965</v>
      </c>
      <c r="K4312" s="41">
        <v>45995</v>
      </c>
      <c r="L4312" s="42">
        <f>_xlfn.DAYS(Tabla1[[#This Row],[FECHA FIN ]],Tabla1[[#This Row],[FECHA INICIO]])</f>
        <v>30</v>
      </c>
      <c r="M4312" s="12">
        <v>300</v>
      </c>
      <c r="N4312" s="28"/>
      <c r="O4312" s="28">
        <f>(Tabla1[[#This Row],[COSTO FIJO ]]/30)*Tabla1[[#This Row],[TOTAL DIAS PROYECTO]]+(Tabla1[[#This Row],[COSTO TEMPORAL]])</f>
        <v>300</v>
      </c>
      <c r="P4312" s="12"/>
      <c r="Q4312" s="12">
        <f>+(Tabla1[[#This Row],[COSTO COCHE]]/30)*Tabla1[[#This Row],[TOTAL DIAS PROYECTO]]</f>
        <v>0</v>
      </c>
      <c r="R4312" s="12">
        <f>+Tabla1[[#This Row],[COSTO TOTAL ALOJAMIENTO]]+Tabla1[[#This Row],[COSTO TOTAL COCHE]]</f>
        <v>300</v>
      </c>
      <c r="S4312" s="2"/>
      <c r="T4312" s="14" t="s">
        <v>44</v>
      </c>
      <c r="U4312" s="14">
        <v>45965</v>
      </c>
      <c r="V4312" s="25">
        <v>45995</v>
      </c>
      <c r="W4312" s="71"/>
      <c r="X4312" s="2"/>
      <c r="Y4312" s="11" t="s">
        <v>6309</v>
      </c>
      <c r="Z4312" s="2" t="s">
        <v>36</v>
      </c>
      <c r="AA4312" s="13" t="s">
        <v>10427</v>
      </c>
      <c r="AB4312" s="13">
        <v>4260003</v>
      </c>
    </row>
    <row r="4313" spans="1:28" ht="15" customHeight="1">
      <c r="A4313" s="2" t="s">
        <v>10087</v>
      </c>
      <c r="B4313" s="2" t="s">
        <v>711</v>
      </c>
      <c r="C4313" s="11" t="s">
        <v>6311</v>
      </c>
      <c r="D4313" s="2" t="s">
        <v>30</v>
      </c>
      <c r="E4313" s="2" t="s">
        <v>1719</v>
      </c>
      <c r="F4313" s="11" t="s">
        <v>6306</v>
      </c>
      <c r="G4313" s="46" t="s">
        <v>6307</v>
      </c>
      <c r="H4313" s="2" t="s">
        <v>6308</v>
      </c>
      <c r="I4313" s="12" t="s">
        <v>1392</v>
      </c>
      <c r="J4313" s="41">
        <f>+Tabla1[[#This Row],[FECHA ENTRADA]]</f>
        <v>45965</v>
      </c>
      <c r="K4313" s="41">
        <v>45995</v>
      </c>
      <c r="L4313" s="42">
        <f>_xlfn.DAYS(Tabla1[[#This Row],[FECHA FIN ]],Tabla1[[#This Row],[FECHA INICIO]])</f>
        <v>30</v>
      </c>
      <c r="M4313" s="12">
        <v>300</v>
      </c>
      <c r="N4313" s="28"/>
      <c r="O4313" s="28">
        <f>(Tabla1[[#This Row],[COSTO FIJO ]]/30)*Tabla1[[#This Row],[TOTAL DIAS PROYECTO]]+(Tabla1[[#This Row],[COSTO TEMPORAL]])</f>
        <v>300</v>
      </c>
      <c r="P4313" s="12"/>
      <c r="Q4313" s="12">
        <f>+(Tabla1[[#This Row],[COSTO COCHE]]/30)*Tabla1[[#This Row],[TOTAL DIAS PROYECTO]]</f>
        <v>0</v>
      </c>
      <c r="R4313" s="12">
        <f>+Tabla1[[#This Row],[COSTO TOTAL ALOJAMIENTO]]+Tabla1[[#This Row],[COSTO TOTAL COCHE]]</f>
        <v>300</v>
      </c>
      <c r="S4313" s="2"/>
      <c r="T4313" s="14" t="s">
        <v>44</v>
      </c>
      <c r="U4313" s="14">
        <v>45965</v>
      </c>
      <c r="V4313" s="25">
        <v>45995</v>
      </c>
      <c r="W4313" s="71"/>
      <c r="X4313" s="2"/>
      <c r="Y4313" s="11" t="s">
        <v>6309</v>
      </c>
      <c r="Z4313" s="2" t="s">
        <v>36</v>
      </c>
      <c r="AA4313" s="13" t="s">
        <v>10427</v>
      </c>
      <c r="AB4313" s="13">
        <v>4260003</v>
      </c>
    </row>
    <row r="4314" spans="1:28" ht="15" customHeight="1">
      <c r="A4314" s="2" t="s">
        <v>10088</v>
      </c>
      <c r="B4314" s="2" t="s">
        <v>711</v>
      </c>
      <c r="C4314" s="11" t="s">
        <v>6312</v>
      </c>
      <c r="D4314" s="2" t="s">
        <v>30</v>
      </c>
      <c r="E4314" s="2" t="s">
        <v>1719</v>
      </c>
      <c r="F4314" s="11" t="s">
        <v>6306</v>
      </c>
      <c r="G4314" s="46" t="s">
        <v>6307</v>
      </c>
      <c r="H4314" s="2" t="s">
        <v>6308</v>
      </c>
      <c r="I4314" s="12" t="s">
        <v>1392</v>
      </c>
      <c r="J4314" s="41">
        <f>+Tabla1[[#This Row],[FECHA ENTRADA]]</f>
        <v>45965</v>
      </c>
      <c r="K4314" s="41">
        <v>45995</v>
      </c>
      <c r="L4314" s="42">
        <f>_xlfn.DAYS(Tabla1[[#This Row],[FECHA FIN ]],Tabla1[[#This Row],[FECHA INICIO]])</f>
        <v>30</v>
      </c>
      <c r="M4314" s="12">
        <v>300</v>
      </c>
      <c r="N4314" s="28"/>
      <c r="O4314" s="28">
        <f>(Tabla1[[#This Row],[COSTO FIJO ]]/30)*Tabla1[[#This Row],[TOTAL DIAS PROYECTO]]+(Tabla1[[#This Row],[COSTO TEMPORAL]])</f>
        <v>300</v>
      </c>
      <c r="P4314" s="12"/>
      <c r="Q4314" s="12">
        <f>+(Tabla1[[#This Row],[COSTO COCHE]]/30)*Tabla1[[#This Row],[TOTAL DIAS PROYECTO]]</f>
        <v>0</v>
      </c>
      <c r="R4314" s="12">
        <f>+Tabla1[[#This Row],[COSTO TOTAL ALOJAMIENTO]]+Tabla1[[#This Row],[COSTO TOTAL COCHE]]</f>
        <v>300</v>
      </c>
      <c r="S4314" s="2"/>
      <c r="T4314" s="14" t="s">
        <v>44</v>
      </c>
      <c r="U4314" s="14">
        <v>45965</v>
      </c>
      <c r="V4314" s="25">
        <v>45995</v>
      </c>
      <c r="W4314" s="71"/>
      <c r="X4314" s="2"/>
      <c r="Y4314" s="11" t="s">
        <v>6309</v>
      </c>
      <c r="Z4314" s="2" t="s">
        <v>36</v>
      </c>
      <c r="AA4314" s="13" t="s">
        <v>10427</v>
      </c>
      <c r="AB4314" s="13">
        <v>4260003</v>
      </c>
    </row>
    <row r="4315" spans="1:28" ht="15" customHeight="1">
      <c r="A4315" s="2" t="s">
        <v>9922</v>
      </c>
      <c r="B4315" s="2" t="s">
        <v>978</v>
      </c>
      <c r="C4315" s="239" t="s">
        <v>5454</v>
      </c>
      <c r="D4315" s="2" t="s">
        <v>30</v>
      </c>
      <c r="E4315" s="2" t="s">
        <v>1393</v>
      </c>
      <c r="F4315" s="11" t="s">
        <v>6313</v>
      </c>
      <c r="G4315" s="46" t="s">
        <v>6314</v>
      </c>
      <c r="H4315" s="2" t="s">
        <v>5457</v>
      </c>
      <c r="I4315" s="12" t="s">
        <v>5291</v>
      </c>
      <c r="J4315" s="41">
        <f>+Tabla1[[#This Row],[FECHA ENTRADA]]</f>
        <v>45936</v>
      </c>
      <c r="K4315" s="41">
        <v>45996</v>
      </c>
      <c r="L4315" s="42">
        <f>_xlfn.DAYS(Tabla1[[#This Row],[FECHA FIN ]],Tabla1[[#This Row],[FECHA INICIO]])</f>
        <v>60</v>
      </c>
      <c r="M4315" s="12"/>
      <c r="N4315" s="12">
        <v>350</v>
      </c>
      <c r="O4315" s="28">
        <f>(Tabla1[[#This Row],[COSTO FIJO ]]/30)*Tabla1[[#This Row],[TOTAL DIAS PROYECTO]]+(Tabla1[[#This Row],[COSTO TEMPORAL]])</f>
        <v>700</v>
      </c>
      <c r="P4315" s="12"/>
      <c r="Q4315" s="12">
        <f>+(Tabla1[[#This Row],[COSTO COCHE]]/30)*Tabla1[[#This Row],[TOTAL DIAS PROYECTO]]</f>
        <v>0</v>
      </c>
      <c r="R4315" s="12">
        <f>+Tabla1[[#This Row],[COSTO TOTAL ALOJAMIENTO]]+Tabla1[[#This Row],[COSTO TOTAL COCHE]]</f>
        <v>700</v>
      </c>
      <c r="S4315" s="2"/>
      <c r="T4315" s="14" t="s">
        <v>35</v>
      </c>
      <c r="U4315" s="14">
        <v>45936</v>
      </c>
      <c r="V4315" s="43"/>
      <c r="W4315" s="71">
        <v>200</v>
      </c>
      <c r="X4315" s="2">
        <v>1</v>
      </c>
      <c r="Y4315" s="11" t="s">
        <v>6315</v>
      </c>
      <c r="Z4315" s="2" t="s">
        <v>36</v>
      </c>
      <c r="AA4315" s="13" t="s">
        <v>10416</v>
      </c>
      <c r="AB4315" s="13" t="s">
        <v>10417</v>
      </c>
    </row>
    <row r="4316" spans="1:28" ht="15" customHeight="1">
      <c r="A4316" s="2" t="s">
        <v>10089</v>
      </c>
      <c r="B4316" s="2" t="s">
        <v>978</v>
      </c>
      <c r="C4316" s="31" t="s">
        <v>6316</v>
      </c>
      <c r="D4316" s="2" t="s">
        <v>30</v>
      </c>
      <c r="E4316" s="2" t="s">
        <v>2378</v>
      </c>
      <c r="F4316" s="11" t="s">
        <v>6317</v>
      </c>
      <c r="G4316" s="49" t="s">
        <v>5901</v>
      </c>
      <c r="H4316" s="2" t="s">
        <v>6318</v>
      </c>
      <c r="I4316" s="12" t="s">
        <v>5263</v>
      </c>
      <c r="J4316" s="22">
        <f>+Tabla1[[#This Row],[FECHA ENTRADA]]</f>
        <v>45950</v>
      </c>
      <c r="K4316" s="22">
        <v>45996</v>
      </c>
      <c r="L4316" s="23">
        <f>_xlfn.DAYS(Tabla1[[#This Row],[FECHA FIN ]],Tabla1[[#This Row],[FECHA INICIO]])</f>
        <v>46</v>
      </c>
      <c r="M4316" s="12">
        <v>333.75</v>
      </c>
      <c r="N4316" s="24"/>
      <c r="O4316" s="24">
        <f>(Tabla1[[#This Row],[COSTO FIJO ]]/30)*Tabla1[[#This Row],[TOTAL DIAS PROYECTO]]+(Tabla1[[#This Row],[COSTO TEMPORAL]])</f>
        <v>333.75</v>
      </c>
      <c r="P4316" s="12"/>
      <c r="Q4316" s="12">
        <f>+(Tabla1[[#This Row],[COSTO COCHE]]/30)*Tabla1[[#This Row],[TOTAL DIAS PROYECTO]]</f>
        <v>0</v>
      </c>
      <c r="R4316" s="12">
        <f>+Tabla1[[#This Row],[COSTO TOTAL ALOJAMIENTO]]+Tabla1[[#This Row],[COSTO TOTAL COCHE]]</f>
        <v>333.75</v>
      </c>
      <c r="S4316" s="2" t="s">
        <v>403</v>
      </c>
      <c r="T4316" s="14" t="s">
        <v>44</v>
      </c>
      <c r="U4316" s="14">
        <v>45950</v>
      </c>
      <c r="V4316" s="25">
        <v>46011</v>
      </c>
      <c r="W4316" s="71"/>
      <c r="X4316" s="2"/>
      <c r="Y4316" s="11" t="s">
        <v>6319</v>
      </c>
      <c r="Z4316" s="2" t="s">
        <v>36</v>
      </c>
      <c r="AA4316" s="13" t="e">
        <v>#N/A</v>
      </c>
      <c r="AB4316" s="13" t="e">
        <v>#N/A</v>
      </c>
    </row>
    <row r="4317" spans="1:28" ht="15" customHeight="1">
      <c r="A4317" s="2" t="s">
        <v>10090</v>
      </c>
      <c r="B4317" s="2" t="s">
        <v>978</v>
      </c>
      <c r="C4317" s="31" t="s">
        <v>6320</v>
      </c>
      <c r="D4317" s="2" t="s">
        <v>30</v>
      </c>
      <c r="E4317" s="2" t="s">
        <v>2378</v>
      </c>
      <c r="F4317" s="11" t="s">
        <v>6317</v>
      </c>
      <c r="G4317" s="49" t="s">
        <v>5901</v>
      </c>
      <c r="H4317" s="2" t="s">
        <v>6318</v>
      </c>
      <c r="I4317" s="12" t="s">
        <v>5263</v>
      </c>
      <c r="J4317" s="22">
        <f>+Tabla1[[#This Row],[FECHA ENTRADA]]</f>
        <v>45950</v>
      </c>
      <c r="K4317" s="22">
        <v>45996</v>
      </c>
      <c r="L4317" s="23">
        <f>_xlfn.DAYS(Tabla1[[#This Row],[FECHA FIN ]],Tabla1[[#This Row],[FECHA INICIO]])</f>
        <v>46</v>
      </c>
      <c r="M4317" s="12">
        <v>333.75</v>
      </c>
      <c r="N4317" s="24"/>
      <c r="O4317" s="24">
        <f>(Tabla1[[#This Row],[COSTO FIJO ]]/30)*Tabla1[[#This Row],[TOTAL DIAS PROYECTO]]+(Tabla1[[#This Row],[COSTO TEMPORAL]])</f>
        <v>333.75</v>
      </c>
      <c r="P4317" s="12"/>
      <c r="Q4317" s="12">
        <f>+(Tabla1[[#This Row],[COSTO COCHE]]/30)*Tabla1[[#This Row],[TOTAL DIAS PROYECTO]]</f>
        <v>0</v>
      </c>
      <c r="R4317" s="12">
        <f>+Tabla1[[#This Row],[COSTO TOTAL ALOJAMIENTO]]+Tabla1[[#This Row],[COSTO TOTAL COCHE]]</f>
        <v>333.75</v>
      </c>
      <c r="S4317" s="2" t="s">
        <v>403</v>
      </c>
      <c r="T4317" s="14" t="s">
        <v>44</v>
      </c>
      <c r="U4317" s="14">
        <v>45950</v>
      </c>
      <c r="V4317" s="25">
        <v>46011</v>
      </c>
      <c r="W4317" s="71"/>
      <c r="X4317" s="2"/>
      <c r="Y4317" s="11" t="s">
        <v>6319</v>
      </c>
      <c r="Z4317" s="2" t="s">
        <v>36</v>
      </c>
      <c r="AA4317" s="13" t="e">
        <v>#N/A</v>
      </c>
      <c r="AB4317" s="13" t="e">
        <v>#N/A</v>
      </c>
    </row>
    <row r="4318" spans="1:28" ht="15" customHeight="1">
      <c r="A4318" s="117" t="s">
        <v>9946</v>
      </c>
      <c r="B4318" s="117" t="s">
        <v>978</v>
      </c>
      <c r="C4318" s="118" t="s">
        <v>5625</v>
      </c>
      <c r="D4318" s="117" t="s">
        <v>99</v>
      </c>
      <c r="E4318" s="117" t="s">
        <v>1404</v>
      </c>
      <c r="F4318" s="11" t="s">
        <v>6321</v>
      </c>
      <c r="G4318" s="128" t="s">
        <v>5877</v>
      </c>
      <c r="H4318" s="117" t="s">
        <v>5628</v>
      </c>
      <c r="I4318" s="119" t="s">
        <v>5629</v>
      </c>
      <c r="J4318" s="121">
        <f>+Tabla1[[#This Row],[FECHA ENTRADA]]</f>
        <v>45963</v>
      </c>
      <c r="K4318" s="121">
        <v>45996</v>
      </c>
      <c r="L4318" s="129">
        <f>_xlfn.DAYS(Tabla1[[#This Row],[FECHA FIN ]],Tabla1[[#This Row],[FECHA INICIO]])</f>
        <v>33</v>
      </c>
      <c r="M4318" s="119">
        <v>793.96</v>
      </c>
      <c r="N4318" s="130"/>
      <c r="O4318" s="131">
        <f>(Tabla1[[#This Row],[COSTO FIJO ]]/30)*Tabla1[[#This Row],[TOTAL DIAS PROYECTO]]+(Tabla1[[#This Row],[COSTO TEMPORAL]])</f>
        <v>793.96</v>
      </c>
      <c r="P4318" s="119"/>
      <c r="Q4318" s="119">
        <f>+(Tabla1[[#This Row],[COSTO COCHE]]/30)*Tabla1[[#This Row],[TOTAL DIAS PROYECTO]]</f>
        <v>0</v>
      </c>
      <c r="R4318" s="119">
        <f>+Tabla1[[#This Row],[COSTO TOTAL ALOJAMIENTO]]+Tabla1[[#This Row],[COSTO TOTAL COCHE]]</f>
        <v>793.96</v>
      </c>
      <c r="S4318" s="117" t="s">
        <v>84</v>
      </c>
      <c r="T4318" s="124" t="s">
        <v>44</v>
      </c>
      <c r="U4318" s="124">
        <v>45963</v>
      </c>
      <c r="V4318" s="125">
        <v>45997</v>
      </c>
      <c r="W4318" s="126"/>
      <c r="X4318" s="117"/>
      <c r="Y4318" s="118" t="s">
        <v>6322</v>
      </c>
      <c r="Z4318" s="117" t="s">
        <v>36</v>
      </c>
      <c r="AA4318" s="127" t="s">
        <v>10418</v>
      </c>
      <c r="AB4318" s="127" t="s">
        <v>10419</v>
      </c>
    </row>
    <row r="4319" spans="1:28" ht="15" customHeight="1">
      <c r="A4319" s="2" t="s">
        <v>10091</v>
      </c>
      <c r="B4319" s="2" t="s">
        <v>711</v>
      </c>
      <c r="C4319" s="31" t="s">
        <v>6323</v>
      </c>
      <c r="D4319" s="2" t="s">
        <v>99</v>
      </c>
      <c r="E4319" s="2" t="s">
        <v>502</v>
      </c>
      <c r="F4319" s="11" t="s">
        <v>6324</v>
      </c>
      <c r="G4319" s="21" t="s">
        <v>6325</v>
      </c>
      <c r="H4319" s="2" t="s">
        <v>6196</v>
      </c>
      <c r="I4319" s="12" t="s">
        <v>2862</v>
      </c>
      <c r="J4319" s="22">
        <f>+Tabla1[[#This Row],[FECHA ENTRADA]]</f>
        <v>45913</v>
      </c>
      <c r="K4319" s="22">
        <v>45929</v>
      </c>
      <c r="L4319" s="23">
        <f>_xlfn.DAYS(Tabla1[[#This Row],[FECHA FIN ]],Tabla1[[#This Row],[FECHA INICIO]])</f>
        <v>16</v>
      </c>
      <c r="M4319" s="12"/>
      <c r="N4319" s="12">
        <f>2225.3/8</f>
        <v>278.16250000000002</v>
      </c>
      <c r="O4319" s="24">
        <f>(Tabla1[[#This Row],[COSTO FIJO ]]/30)*Tabla1[[#This Row],[TOTAL DIAS PROYECTO]]+(Tabla1[[#This Row],[COSTO TEMPORAL]])</f>
        <v>148.35333333333335</v>
      </c>
      <c r="P4319" s="12"/>
      <c r="Q4319" s="12">
        <f>+(Tabla1[[#This Row],[COSTO COCHE]]/30)*Tabla1[[#This Row],[TOTAL DIAS PROYECTO]]</f>
        <v>0</v>
      </c>
      <c r="R4319" s="12">
        <f>+Tabla1[[#This Row],[COSTO TOTAL ALOJAMIENTO]]+Tabla1[[#This Row],[COSTO TOTAL COCHE]]</f>
        <v>148.35333333333335</v>
      </c>
      <c r="S4319" s="2" t="s">
        <v>84</v>
      </c>
      <c r="T4319" s="14" t="s">
        <v>44</v>
      </c>
      <c r="U4319" s="14">
        <v>45913</v>
      </c>
      <c r="V4319" s="79">
        <v>45929</v>
      </c>
      <c r="W4319" s="71"/>
      <c r="X4319" s="2"/>
      <c r="Y4319" s="11" t="s">
        <v>6326</v>
      </c>
      <c r="Z4319" s="2" t="s">
        <v>36</v>
      </c>
      <c r="AA4319" s="13" t="s">
        <v>10378</v>
      </c>
      <c r="AB4319" s="13" t="s">
        <v>10379</v>
      </c>
    </row>
    <row r="4320" spans="1:28" ht="15" customHeight="1">
      <c r="A4320" s="2" t="s">
        <v>10092</v>
      </c>
      <c r="B4320" s="2" t="s">
        <v>978</v>
      </c>
      <c r="C4320" s="31" t="s">
        <v>6327</v>
      </c>
      <c r="D4320" s="2" t="s">
        <v>30</v>
      </c>
      <c r="E4320" s="2" t="s">
        <v>2378</v>
      </c>
      <c r="F4320" s="11" t="s">
        <v>6317</v>
      </c>
      <c r="G4320" s="49" t="s">
        <v>5901</v>
      </c>
      <c r="H4320" s="2" t="s">
        <v>6328</v>
      </c>
      <c r="I4320" s="12" t="s">
        <v>5263</v>
      </c>
      <c r="J4320" s="22">
        <f>+Tabla1[[#This Row],[FECHA ENTRADA]]</f>
        <v>45950</v>
      </c>
      <c r="K4320" s="22">
        <v>45996</v>
      </c>
      <c r="L4320" s="23">
        <f>_xlfn.DAYS(Tabla1[[#This Row],[FECHA FIN ]],Tabla1[[#This Row],[FECHA INICIO]])</f>
        <v>46</v>
      </c>
      <c r="M4320" s="12">
        <v>333.75</v>
      </c>
      <c r="N4320" s="24"/>
      <c r="O4320" s="24">
        <f>(Tabla1[[#This Row],[COSTO FIJO ]]/30)*Tabla1[[#This Row],[TOTAL DIAS PROYECTO]]+(Tabla1[[#This Row],[COSTO TEMPORAL]])</f>
        <v>333.75</v>
      </c>
      <c r="P4320" s="12"/>
      <c r="Q4320" s="12">
        <f>+(Tabla1[[#This Row],[COSTO COCHE]]/30)*Tabla1[[#This Row],[TOTAL DIAS PROYECTO]]</f>
        <v>0</v>
      </c>
      <c r="R4320" s="12">
        <f>+Tabla1[[#This Row],[COSTO TOTAL ALOJAMIENTO]]+Tabla1[[#This Row],[COSTO TOTAL COCHE]]</f>
        <v>333.75</v>
      </c>
      <c r="S4320" s="2" t="s">
        <v>403</v>
      </c>
      <c r="T4320" s="14" t="s">
        <v>44</v>
      </c>
      <c r="U4320" s="14">
        <v>45950</v>
      </c>
      <c r="V4320" s="25">
        <v>46011</v>
      </c>
      <c r="W4320" s="71"/>
      <c r="X4320" s="2"/>
      <c r="Y4320" s="11" t="s">
        <v>6319</v>
      </c>
      <c r="Z4320" s="2" t="s">
        <v>36</v>
      </c>
      <c r="AA4320" s="13" t="e">
        <v>#N/A</v>
      </c>
      <c r="AB4320" s="13" t="e">
        <v>#N/A</v>
      </c>
    </row>
    <row r="4321" spans="1:28" ht="15" customHeight="1">
      <c r="A4321" s="2" t="s">
        <v>10093</v>
      </c>
      <c r="B4321" s="2" t="s">
        <v>978</v>
      </c>
      <c r="C4321" s="31" t="s">
        <v>6329</v>
      </c>
      <c r="D4321" s="2" t="s">
        <v>30</v>
      </c>
      <c r="E4321" s="2" t="s">
        <v>2378</v>
      </c>
      <c r="F4321" s="11" t="s">
        <v>6317</v>
      </c>
      <c r="G4321" s="49" t="s">
        <v>5901</v>
      </c>
      <c r="H4321" s="2" t="s">
        <v>6328</v>
      </c>
      <c r="I4321" s="12" t="s">
        <v>5263</v>
      </c>
      <c r="J4321" s="22">
        <f>+Tabla1[[#This Row],[FECHA ENTRADA]]</f>
        <v>45950</v>
      </c>
      <c r="K4321" s="22">
        <v>45996</v>
      </c>
      <c r="L4321" s="23">
        <f>_xlfn.DAYS(Tabla1[[#This Row],[FECHA FIN ]],Tabla1[[#This Row],[FECHA INICIO]])</f>
        <v>46</v>
      </c>
      <c r="M4321" s="12">
        <v>333.75</v>
      </c>
      <c r="N4321" s="24"/>
      <c r="O4321" s="24">
        <f>(Tabla1[[#This Row],[COSTO FIJO ]]/30)*Tabla1[[#This Row],[TOTAL DIAS PROYECTO]]+(Tabla1[[#This Row],[COSTO TEMPORAL]])</f>
        <v>333.75</v>
      </c>
      <c r="P4321" s="12"/>
      <c r="Q4321" s="12">
        <f>+(Tabla1[[#This Row],[COSTO COCHE]]/30)*Tabla1[[#This Row],[TOTAL DIAS PROYECTO]]</f>
        <v>0</v>
      </c>
      <c r="R4321" s="12">
        <f>+Tabla1[[#This Row],[COSTO TOTAL ALOJAMIENTO]]+Tabla1[[#This Row],[COSTO TOTAL COCHE]]</f>
        <v>333.75</v>
      </c>
      <c r="S4321" s="2" t="s">
        <v>403</v>
      </c>
      <c r="T4321" s="14" t="s">
        <v>44</v>
      </c>
      <c r="U4321" s="14">
        <v>45950</v>
      </c>
      <c r="V4321" s="25">
        <v>46011</v>
      </c>
      <c r="W4321" s="71"/>
      <c r="X4321" s="2"/>
      <c r="Y4321" s="11" t="s">
        <v>6319</v>
      </c>
      <c r="Z4321" s="2" t="s">
        <v>36</v>
      </c>
      <c r="AA4321" s="13" t="e">
        <v>#N/A</v>
      </c>
      <c r="AB4321" s="13" t="e">
        <v>#N/A</v>
      </c>
    </row>
    <row r="4322" spans="1:28" ht="15" customHeight="1">
      <c r="A4322" s="2" t="s">
        <v>10094</v>
      </c>
      <c r="B4322" s="2" t="s">
        <v>711</v>
      </c>
      <c r="C4322" s="31" t="s">
        <v>6330</v>
      </c>
      <c r="D4322" s="2" t="s">
        <v>30</v>
      </c>
      <c r="E4322" s="2" t="s">
        <v>855</v>
      </c>
      <c r="F4322" s="11" t="s">
        <v>6331</v>
      </c>
      <c r="G4322" s="49" t="s">
        <v>1474</v>
      </c>
      <c r="H4322" s="2" t="s">
        <v>6332</v>
      </c>
      <c r="I4322" s="12" t="s">
        <v>1392</v>
      </c>
      <c r="J4322" s="22">
        <f>+Tabla1[[#This Row],[FECHA ENTRADA]]</f>
        <v>45950</v>
      </c>
      <c r="K4322" s="22">
        <v>45996</v>
      </c>
      <c r="L4322" s="23">
        <f>_xlfn.DAYS(Tabla1[[#This Row],[FECHA FIN ]],Tabla1[[#This Row],[FECHA INICIO]])</f>
        <v>46</v>
      </c>
      <c r="M4322" s="12">
        <v>233.33333333333334</v>
      </c>
      <c r="N4322" s="24"/>
      <c r="O4322" s="24">
        <f>(Tabla1[[#This Row],[COSTO FIJO ]]/30)*Tabla1[[#This Row],[TOTAL DIAS PROYECTO]]+(Tabla1[[#This Row],[COSTO TEMPORAL]])</f>
        <v>233.33333333333334</v>
      </c>
      <c r="P4322" s="12"/>
      <c r="Q4322" s="12">
        <f>+(Tabla1[[#This Row],[COSTO COCHE]]/30)*Tabla1[[#This Row],[TOTAL DIAS PROYECTO]]</f>
        <v>0</v>
      </c>
      <c r="R4322" s="12">
        <f>+Tabla1[[#This Row],[COSTO TOTAL ALOJAMIENTO]]+Tabla1[[#This Row],[COSTO TOTAL COCHE]]</f>
        <v>233.33333333333334</v>
      </c>
      <c r="S4322" s="2"/>
      <c r="T4322" s="14" t="s">
        <v>44</v>
      </c>
      <c r="U4322" s="14">
        <v>45950</v>
      </c>
      <c r="V4322" s="25">
        <v>46020</v>
      </c>
      <c r="W4322" s="71"/>
      <c r="X4322" s="2"/>
      <c r="Y4322" s="11" t="s">
        <v>6333</v>
      </c>
      <c r="Z4322" s="2" t="s">
        <v>36</v>
      </c>
      <c r="AA4322" s="13" t="s">
        <v>10401</v>
      </c>
      <c r="AB4322" s="13" t="s">
        <v>10402</v>
      </c>
    </row>
    <row r="4323" spans="1:28" ht="15" customHeight="1">
      <c r="A4323" s="2" t="s">
        <v>9462</v>
      </c>
      <c r="B4323" s="2" t="s">
        <v>711</v>
      </c>
      <c r="C4323" s="31" t="s">
        <v>3271</v>
      </c>
      <c r="D4323" s="2" t="s">
        <v>30</v>
      </c>
      <c r="E4323" s="2" t="s">
        <v>855</v>
      </c>
      <c r="F4323" s="11" t="s">
        <v>6331</v>
      </c>
      <c r="G4323" s="49" t="s">
        <v>1474</v>
      </c>
      <c r="H4323" s="2" t="s">
        <v>6332</v>
      </c>
      <c r="I4323" s="12" t="s">
        <v>1392</v>
      </c>
      <c r="J4323" s="22">
        <f>+Tabla1[[#This Row],[FECHA ENTRADA]]</f>
        <v>45950</v>
      </c>
      <c r="K4323" s="22">
        <v>45996</v>
      </c>
      <c r="L4323" s="23">
        <f>_xlfn.DAYS(Tabla1[[#This Row],[FECHA FIN ]],Tabla1[[#This Row],[FECHA INICIO]])</f>
        <v>46</v>
      </c>
      <c r="M4323" s="12">
        <v>233.33333333333334</v>
      </c>
      <c r="N4323" s="24"/>
      <c r="O4323" s="24">
        <f>(Tabla1[[#This Row],[COSTO FIJO ]]/30)*Tabla1[[#This Row],[TOTAL DIAS PROYECTO]]+(Tabla1[[#This Row],[COSTO TEMPORAL]])</f>
        <v>233.33333333333334</v>
      </c>
      <c r="P4323" s="12"/>
      <c r="Q4323" s="12">
        <f>+(Tabla1[[#This Row],[COSTO COCHE]]/30)*Tabla1[[#This Row],[TOTAL DIAS PROYECTO]]</f>
        <v>0</v>
      </c>
      <c r="R4323" s="12">
        <f>+Tabla1[[#This Row],[COSTO TOTAL ALOJAMIENTO]]+Tabla1[[#This Row],[COSTO TOTAL COCHE]]</f>
        <v>233.33333333333334</v>
      </c>
      <c r="S4323" s="2"/>
      <c r="T4323" s="14" t="s">
        <v>44</v>
      </c>
      <c r="U4323" s="14">
        <v>45950</v>
      </c>
      <c r="V4323" s="25">
        <v>46020</v>
      </c>
      <c r="W4323" s="71"/>
      <c r="X4323" s="2"/>
      <c r="Y4323" s="11" t="s">
        <v>6334</v>
      </c>
      <c r="Z4323" s="2" t="s">
        <v>36</v>
      </c>
      <c r="AA4323" s="13" t="s">
        <v>10401</v>
      </c>
      <c r="AB4323" s="13" t="s">
        <v>10402</v>
      </c>
    </row>
    <row r="4324" spans="1:28" ht="15" customHeight="1">
      <c r="A4324" s="2" t="s">
        <v>9353</v>
      </c>
      <c r="B4324" s="2" t="s">
        <v>978</v>
      </c>
      <c r="C4324" s="298" t="s">
        <v>2916</v>
      </c>
      <c r="D4324" s="2" t="s">
        <v>30</v>
      </c>
      <c r="E4324" s="2" t="s">
        <v>253</v>
      </c>
      <c r="F4324" s="11" t="s">
        <v>1883</v>
      </c>
      <c r="G4324" s="30" t="s">
        <v>1693</v>
      </c>
      <c r="H4324" s="2" t="s">
        <v>1154</v>
      </c>
      <c r="I4324" s="12" t="s">
        <v>1155</v>
      </c>
      <c r="J4324" s="41">
        <f>+Tabla1[[#This Row],[FECHA ENTRADA]]</f>
        <v>45645</v>
      </c>
      <c r="K4324" s="41">
        <v>45998</v>
      </c>
      <c r="L4324" s="42">
        <f>_xlfn.DAYS(Tabla1[[#This Row],[FECHA FIN ]],Tabla1[[#This Row],[FECHA INICIO]])</f>
        <v>353</v>
      </c>
      <c r="M4324" s="12"/>
      <c r="N4324" s="12">
        <v>480</v>
      </c>
      <c r="O4324" s="28">
        <f>(Tabla1[[#This Row],[COSTO FIJO ]]/30)*Tabla1[[#This Row],[TOTAL DIAS PROYECTO]]+(Tabla1[[#This Row],[COSTO TEMPORAL]])</f>
        <v>5648</v>
      </c>
      <c r="P4324" s="12"/>
      <c r="Q4324" s="12">
        <f>+(Tabla1[[#This Row],[COSTO COCHE]]/30)*Tabla1[[#This Row],[TOTAL DIAS PROYECTO]]</f>
        <v>0</v>
      </c>
      <c r="R4324" s="12">
        <f>+Tabla1[[#This Row],[COSTO TOTAL ALOJAMIENTO]]+Tabla1[[#This Row],[COSTO TOTAL COCHE]]</f>
        <v>5648</v>
      </c>
      <c r="S4324" s="2"/>
      <c r="T4324" s="2" t="s">
        <v>35</v>
      </c>
      <c r="U4324" s="14">
        <v>45645</v>
      </c>
      <c r="V4324" s="43"/>
      <c r="W4324" s="26"/>
      <c r="X4324" s="2">
        <v>1</v>
      </c>
      <c r="Y4324" s="11" t="s">
        <v>6335</v>
      </c>
      <c r="Z4324" s="2" t="s">
        <v>36</v>
      </c>
      <c r="AA4324" s="13" t="s">
        <v>10357</v>
      </c>
      <c r="AB4324" s="13" t="s">
        <v>10358</v>
      </c>
    </row>
    <row r="4325" spans="1:28" ht="15" customHeight="1">
      <c r="A4325" s="2" t="s">
        <v>8900</v>
      </c>
      <c r="B4325" s="2" t="s">
        <v>978</v>
      </c>
      <c r="C4325" s="298" t="s">
        <v>1209</v>
      </c>
      <c r="D4325" s="2" t="s">
        <v>30</v>
      </c>
      <c r="E4325" s="2" t="s">
        <v>253</v>
      </c>
      <c r="F4325" s="11" t="s">
        <v>1883</v>
      </c>
      <c r="G4325" s="30" t="s">
        <v>1693</v>
      </c>
      <c r="H4325" s="2" t="s">
        <v>1154</v>
      </c>
      <c r="I4325" s="12" t="s">
        <v>1155</v>
      </c>
      <c r="J4325" s="41">
        <f>+Tabla1[[#This Row],[FECHA ENTRADA]]</f>
        <v>45645</v>
      </c>
      <c r="K4325" s="41">
        <v>45998</v>
      </c>
      <c r="L4325" s="42">
        <f>_xlfn.DAYS(Tabla1[[#This Row],[FECHA FIN ]],Tabla1[[#This Row],[FECHA INICIO]])</f>
        <v>353</v>
      </c>
      <c r="M4325" s="12"/>
      <c r="N4325" s="12">
        <v>480</v>
      </c>
      <c r="O4325" s="28">
        <f>(Tabla1[[#This Row],[COSTO FIJO ]]/30)*Tabla1[[#This Row],[TOTAL DIAS PROYECTO]]+(Tabla1[[#This Row],[COSTO TEMPORAL]])</f>
        <v>5648</v>
      </c>
      <c r="P4325" s="12"/>
      <c r="Q4325" s="12">
        <f>+(Tabla1[[#This Row],[COSTO COCHE]]/30)*Tabla1[[#This Row],[TOTAL DIAS PROYECTO]]</f>
        <v>0</v>
      </c>
      <c r="R4325" s="12">
        <f>+Tabla1[[#This Row],[COSTO TOTAL ALOJAMIENTO]]+Tabla1[[#This Row],[COSTO TOTAL COCHE]]</f>
        <v>5648</v>
      </c>
      <c r="S4325" s="2"/>
      <c r="T4325" s="2" t="s">
        <v>35</v>
      </c>
      <c r="U4325" s="14">
        <v>45645</v>
      </c>
      <c r="V4325" s="43"/>
      <c r="W4325" s="26">
        <v>2400</v>
      </c>
      <c r="X4325" s="2">
        <v>1</v>
      </c>
      <c r="Y4325" s="11" t="s">
        <v>6336</v>
      </c>
      <c r="Z4325" s="2" t="s">
        <v>36</v>
      </c>
      <c r="AA4325" s="13" t="s">
        <v>10357</v>
      </c>
      <c r="AB4325" s="13" t="s">
        <v>10358</v>
      </c>
    </row>
    <row r="4326" spans="1:28" ht="15" customHeight="1">
      <c r="A4326" s="2" t="s">
        <v>10095</v>
      </c>
      <c r="B4326" s="2" t="s">
        <v>606</v>
      </c>
      <c r="C4326" s="11" t="s">
        <v>6337</v>
      </c>
      <c r="D4326" s="2" t="s">
        <v>30</v>
      </c>
      <c r="E4326" s="2" t="s">
        <v>31</v>
      </c>
      <c r="F4326" s="11" t="s">
        <v>6338</v>
      </c>
      <c r="G4326" s="21" t="s">
        <v>6339</v>
      </c>
      <c r="H4326" s="2" t="s">
        <v>6340</v>
      </c>
      <c r="I4326" s="12" t="s">
        <v>385</v>
      </c>
      <c r="J4326" s="22">
        <f>+Tabla1[[#This Row],[FECHA ENTRADA]]</f>
        <v>45993</v>
      </c>
      <c r="K4326" s="22">
        <v>46000</v>
      </c>
      <c r="L4326" s="23">
        <f>_xlfn.DAYS(Tabla1[[#This Row],[FECHA FIN ]],Tabla1[[#This Row],[FECHA INICIO]])</f>
        <v>7</v>
      </c>
      <c r="M4326" s="12"/>
      <c r="N4326" s="20"/>
      <c r="O4326" s="24">
        <f>(Tabla1[[#This Row],[COSTO FIJO ]]/30)*Tabla1[[#This Row],[TOTAL DIAS PROYECTO]]+(Tabla1[[#This Row],[COSTO TEMPORAL]])</f>
        <v>0</v>
      </c>
      <c r="P4326" s="12"/>
      <c r="Q4326" s="12">
        <f>+(Tabla1[[#This Row],[COSTO COCHE]]/30)*Tabla1[[#This Row],[TOTAL DIAS PROYECTO]]</f>
        <v>0</v>
      </c>
      <c r="R4326" s="12">
        <f>+Tabla1[[#This Row],[COSTO TOTAL ALOJAMIENTO]]+Tabla1[[#This Row],[COSTO TOTAL COCHE]]</f>
        <v>0</v>
      </c>
      <c r="S4326" s="2"/>
      <c r="T4326" s="14" t="s">
        <v>44</v>
      </c>
      <c r="U4326" s="14">
        <v>45993</v>
      </c>
      <c r="V4326" s="25">
        <v>46000</v>
      </c>
      <c r="W4326" s="12"/>
      <c r="X4326" s="2"/>
      <c r="Y4326" s="11" t="s">
        <v>6341</v>
      </c>
      <c r="Z4326" s="2" t="s">
        <v>36</v>
      </c>
      <c r="AA4326" s="13" t="s">
        <v>10323</v>
      </c>
      <c r="AB4326" s="13" t="s">
        <v>10324</v>
      </c>
    </row>
    <row r="4327" spans="1:28" ht="15" customHeight="1">
      <c r="A4327" s="2" t="s">
        <v>10096</v>
      </c>
      <c r="B4327" s="2" t="s">
        <v>606</v>
      </c>
      <c r="C4327" s="31" t="s">
        <v>6342</v>
      </c>
      <c r="D4327" s="2" t="s">
        <v>30</v>
      </c>
      <c r="E4327" s="2" t="s">
        <v>31</v>
      </c>
      <c r="F4327" s="11" t="s">
        <v>6338</v>
      </c>
      <c r="G4327" s="21" t="s">
        <v>6339</v>
      </c>
      <c r="H4327" s="2" t="s">
        <v>6340</v>
      </c>
      <c r="I4327" s="12" t="s">
        <v>385</v>
      </c>
      <c r="J4327" s="22">
        <f>+Tabla1[[#This Row],[FECHA ENTRADA]]</f>
        <v>45993</v>
      </c>
      <c r="K4327" s="22">
        <v>46000</v>
      </c>
      <c r="L4327" s="23">
        <f>_xlfn.DAYS(Tabla1[[#This Row],[FECHA FIN ]],Tabla1[[#This Row],[FECHA INICIO]])</f>
        <v>7</v>
      </c>
      <c r="M4327" s="12"/>
      <c r="N4327" s="20"/>
      <c r="O4327" s="24">
        <f>(Tabla1[[#This Row],[COSTO FIJO ]]/30)*Tabla1[[#This Row],[TOTAL DIAS PROYECTO]]+(Tabla1[[#This Row],[COSTO TEMPORAL]])</f>
        <v>0</v>
      </c>
      <c r="P4327" s="12"/>
      <c r="Q4327" s="12">
        <f>+(Tabla1[[#This Row],[COSTO COCHE]]/30)*Tabla1[[#This Row],[TOTAL DIAS PROYECTO]]</f>
        <v>0</v>
      </c>
      <c r="R4327" s="12">
        <f>+Tabla1[[#This Row],[COSTO TOTAL ALOJAMIENTO]]+Tabla1[[#This Row],[COSTO TOTAL COCHE]]</f>
        <v>0</v>
      </c>
      <c r="S4327" s="2"/>
      <c r="T4327" s="14" t="s">
        <v>44</v>
      </c>
      <c r="U4327" s="14">
        <v>45993</v>
      </c>
      <c r="V4327" s="25">
        <v>46000</v>
      </c>
      <c r="W4327" s="12"/>
      <c r="X4327" s="2"/>
      <c r="Y4327" s="11" t="s">
        <v>6341</v>
      </c>
      <c r="Z4327" s="2" t="s">
        <v>36</v>
      </c>
      <c r="AA4327" s="13" t="s">
        <v>10323</v>
      </c>
      <c r="AB4327" s="13" t="s">
        <v>10324</v>
      </c>
    </row>
    <row r="4328" spans="1:28" ht="15" customHeight="1">
      <c r="A4328" s="2" t="s">
        <v>10097</v>
      </c>
      <c r="B4328" s="2" t="s">
        <v>606</v>
      </c>
      <c r="C4328" s="11" t="s">
        <v>6343</v>
      </c>
      <c r="D4328" s="2" t="s">
        <v>30</v>
      </c>
      <c r="E4328" s="2" t="s">
        <v>31</v>
      </c>
      <c r="F4328" s="11" t="s">
        <v>6338</v>
      </c>
      <c r="G4328" s="21" t="s">
        <v>6339</v>
      </c>
      <c r="H4328" s="2" t="s">
        <v>6340</v>
      </c>
      <c r="I4328" s="12" t="s">
        <v>385</v>
      </c>
      <c r="J4328" s="22">
        <f>+Tabla1[[#This Row],[FECHA ENTRADA]]</f>
        <v>45993</v>
      </c>
      <c r="K4328" s="22">
        <v>46000</v>
      </c>
      <c r="L4328" s="23">
        <f>_xlfn.DAYS(Tabla1[[#This Row],[FECHA FIN ]],Tabla1[[#This Row],[FECHA INICIO]])</f>
        <v>7</v>
      </c>
      <c r="M4328" s="12"/>
      <c r="N4328" s="20"/>
      <c r="O4328" s="24">
        <f>(Tabla1[[#This Row],[COSTO FIJO ]]/30)*Tabla1[[#This Row],[TOTAL DIAS PROYECTO]]+(Tabla1[[#This Row],[COSTO TEMPORAL]])</f>
        <v>0</v>
      </c>
      <c r="P4328" s="12"/>
      <c r="Q4328" s="12">
        <f>+(Tabla1[[#This Row],[COSTO COCHE]]/30)*Tabla1[[#This Row],[TOTAL DIAS PROYECTO]]</f>
        <v>0</v>
      </c>
      <c r="R4328" s="12">
        <f>+Tabla1[[#This Row],[COSTO TOTAL ALOJAMIENTO]]+Tabla1[[#This Row],[COSTO TOTAL COCHE]]</f>
        <v>0</v>
      </c>
      <c r="S4328" s="2"/>
      <c r="T4328" s="14" t="s">
        <v>44</v>
      </c>
      <c r="U4328" s="14">
        <v>45993</v>
      </c>
      <c r="V4328" s="25">
        <v>46000</v>
      </c>
      <c r="W4328" s="12"/>
      <c r="X4328" s="2"/>
      <c r="Y4328" s="11" t="s">
        <v>6341</v>
      </c>
      <c r="Z4328" s="2" t="s">
        <v>36</v>
      </c>
      <c r="AA4328" s="13" t="s">
        <v>10323</v>
      </c>
      <c r="AB4328" s="13" t="s">
        <v>10324</v>
      </c>
    </row>
    <row r="4329" spans="1:28" ht="15" customHeight="1">
      <c r="A4329" s="2" t="s">
        <v>10098</v>
      </c>
      <c r="B4329" s="2" t="s">
        <v>978</v>
      </c>
      <c r="C4329" s="31" t="s">
        <v>6344</v>
      </c>
      <c r="D4329" s="2" t="s">
        <v>99</v>
      </c>
      <c r="E4329" s="2" t="s">
        <v>31</v>
      </c>
      <c r="F4329" s="11" t="s">
        <v>6256</v>
      </c>
      <c r="G4329" s="49" t="s">
        <v>5083</v>
      </c>
      <c r="H4329" s="2" t="s">
        <v>6257</v>
      </c>
      <c r="I4329" s="12" t="s">
        <v>4902</v>
      </c>
      <c r="J4329" s="22">
        <f>+Tabla1[[#This Row],[FECHA ENTRADA]]</f>
        <v>45949</v>
      </c>
      <c r="K4329" s="22">
        <v>45976</v>
      </c>
      <c r="L4329" s="23">
        <f>_xlfn.DAYS(Tabla1[[#This Row],[FECHA FIN ]],Tabla1[[#This Row],[FECHA INICIO]])</f>
        <v>27</v>
      </c>
      <c r="M4329" s="12">
        <v>466.66666666666669</v>
      </c>
      <c r="N4329" s="24"/>
      <c r="O4329" s="24">
        <f>(Tabla1[[#This Row],[COSTO FIJO ]]/30)*Tabla1[[#This Row],[TOTAL DIAS PROYECTO]]+(Tabla1[[#This Row],[COSTO TEMPORAL]])</f>
        <v>466.66666666666669</v>
      </c>
      <c r="P4329" s="12"/>
      <c r="Q4329" s="12">
        <f>+(Tabla1[[#This Row],[COSTO COCHE]]/30)*Tabla1[[#This Row],[TOTAL DIAS PROYECTO]]</f>
        <v>0</v>
      </c>
      <c r="R4329" s="12">
        <f>+Tabla1[[#This Row],[COSTO TOTAL ALOJAMIENTO]]+Tabla1[[#This Row],[COSTO TOTAL COCHE]]</f>
        <v>466.66666666666669</v>
      </c>
      <c r="S4329" s="2"/>
      <c r="T4329" s="14" t="s">
        <v>44</v>
      </c>
      <c r="U4329" s="14">
        <v>45949</v>
      </c>
      <c r="V4329" s="25">
        <v>45991</v>
      </c>
      <c r="W4329" s="71">
        <v>500</v>
      </c>
      <c r="X4329" s="2">
        <v>25</v>
      </c>
      <c r="Y4329" s="11" t="s">
        <v>6258</v>
      </c>
      <c r="Z4329" s="2" t="s">
        <v>36</v>
      </c>
      <c r="AA4329" s="13" t="s">
        <v>10323</v>
      </c>
      <c r="AB4329" s="13" t="s">
        <v>10324</v>
      </c>
    </row>
    <row r="4330" spans="1:28" ht="15" customHeight="1">
      <c r="A4330" s="2" t="s">
        <v>9998</v>
      </c>
      <c r="B4330" s="2" t="s">
        <v>711</v>
      </c>
      <c r="C4330" s="31" t="s">
        <v>5871</v>
      </c>
      <c r="D4330" s="2" t="s">
        <v>99</v>
      </c>
      <c r="E4330" s="2" t="s">
        <v>502</v>
      </c>
      <c r="F4330" s="11" t="s">
        <v>6324</v>
      </c>
      <c r="G4330" s="21" t="s">
        <v>6325</v>
      </c>
      <c r="H4330" s="2" t="s">
        <v>6196</v>
      </c>
      <c r="I4330" s="12" t="s">
        <v>2862</v>
      </c>
      <c r="J4330" s="22">
        <f>+Tabla1[[#This Row],[FECHA ENTRADA]]</f>
        <v>45913</v>
      </c>
      <c r="K4330" s="22">
        <v>45929</v>
      </c>
      <c r="L4330" s="23">
        <f>_xlfn.DAYS(Tabla1[[#This Row],[FECHA FIN ]],Tabla1[[#This Row],[FECHA INICIO]])</f>
        <v>16</v>
      </c>
      <c r="M4330" s="12"/>
      <c r="N4330" s="12">
        <f>2225.3/8</f>
        <v>278.16250000000002</v>
      </c>
      <c r="O4330" s="24">
        <f>(Tabla1[[#This Row],[COSTO FIJO ]]/30)*Tabla1[[#This Row],[TOTAL DIAS PROYECTO]]+(Tabla1[[#This Row],[COSTO TEMPORAL]])</f>
        <v>148.35333333333335</v>
      </c>
      <c r="P4330" s="12"/>
      <c r="Q4330" s="12">
        <f>+(Tabla1[[#This Row],[COSTO COCHE]]/30)*Tabla1[[#This Row],[TOTAL DIAS PROYECTO]]</f>
        <v>0</v>
      </c>
      <c r="R4330" s="12">
        <f>+Tabla1[[#This Row],[COSTO TOTAL ALOJAMIENTO]]+Tabla1[[#This Row],[COSTO TOTAL COCHE]]</f>
        <v>148.35333333333335</v>
      </c>
      <c r="S4330" s="2" t="s">
        <v>84</v>
      </c>
      <c r="T4330" s="14" t="s">
        <v>44</v>
      </c>
      <c r="U4330" s="14">
        <v>45913</v>
      </c>
      <c r="V4330" s="79">
        <v>45929</v>
      </c>
      <c r="W4330" s="71"/>
      <c r="X4330" s="2"/>
      <c r="Y4330" s="11" t="s">
        <v>6326</v>
      </c>
      <c r="Z4330" s="2" t="s">
        <v>36</v>
      </c>
      <c r="AA4330" s="13" t="s">
        <v>10378</v>
      </c>
      <c r="AB4330" s="13" t="s">
        <v>10379</v>
      </c>
    </row>
    <row r="4331" spans="1:28" ht="15" customHeight="1">
      <c r="A4331" s="2" t="s">
        <v>9527</v>
      </c>
      <c r="B4331" s="2" t="s">
        <v>711</v>
      </c>
      <c r="C4331" s="31" t="s">
        <v>3541</v>
      </c>
      <c r="D4331" s="2" t="s">
        <v>99</v>
      </c>
      <c r="E4331" s="2" t="s">
        <v>502</v>
      </c>
      <c r="F4331" s="11" t="s">
        <v>6324</v>
      </c>
      <c r="G4331" s="21" t="s">
        <v>6325</v>
      </c>
      <c r="H4331" s="2" t="s">
        <v>6196</v>
      </c>
      <c r="I4331" s="12" t="s">
        <v>2862</v>
      </c>
      <c r="J4331" s="22">
        <f>+Tabla1[[#This Row],[FECHA ENTRADA]]</f>
        <v>45913</v>
      </c>
      <c r="K4331" s="22">
        <v>45929</v>
      </c>
      <c r="L4331" s="23">
        <f>_xlfn.DAYS(Tabla1[[#This Row],[FECHA FIN ]],Tabla1[[#This Row],[FECHA INICIO]])</f>
        <v>16</v>
      </c>
      <c r="M4331" s="12"/>
      <c r="N4331" s="12">
        <f>2225.3/8</f>
        <v>278.16250000000002</v>
      </c>
      <c r="O4331" s="24">
        <f>(Tabla1[[#This Row],[COSTO FIJO ]]/30)*Tabla1[[#This Row],[TOTAL DIAS PROYECTO]]+(Tabla1[[#This Row],[COSTO TEMPORAL]])</f>
        <v>148.35333333333335</v>
      </c>
      <c r="P4331" s="12"/>
      <c r="Q4331" s="12">
        <f>+(Tabla1[[#This Row],[COSTO COCHE]]/30)*Tabla1[[#This Row],[TOTAL DIAS PROYECTO]]</f>
        <v>0</v>
      </c>
      <c r="R4331" s="12">
        <f>+Tabla1[[#This Row],[COSTO TOTAL ALOJAMIENTO]]+Tabla1[[#This Row],[COSTO TOTAL COCHE]]</f>
        <v>148.35333333333335</v>
      </c>
      <c r="S4331" s="2" t="s">
        <v>84</v>
      </c>
      <c r="T4331" s="14" t="s">
        <v>44</v>
      </c>
      <c r="U4331" s="14">
        <v>45913</v>
      </c>
      <c r="V4331" s="79">
        <v>45929</v>
      </c>
      <c r="W4331" s="71"/>
      <c r="X4331" s="2"/>
      <c r="Y4331" s="11" t="s">
        <v>6326</v>
      </c>
      <c r="Z4331" s="2" t="s">
        <v>36</v>
      </c>
      <c r="AA4331" s="13" t="s">
        <v>10378</v>
      </c>
      <c r="AB4331" s="13" t="s">
        <v>10379</v>
      </c>
    </row>
    <row r="4332" spans="1:28" ht="15" customHeight="1">
      <c r="A4332" s="2" t="s">
        <v>8858</v>
      </c>
      <c r="B4332" s="2" t="s">
        <v>978</v>
      </c>
      <c r="C4332" s="11" t="s">
        <v>1048</v>
      </c>
      <c r="D4332" s="2" t="s">
        <v>30</v>
      </c>
      <c r="E4332" s="2" t="s">
        <v>1393</v>
      </c>
      <c r="F4332" s="11" t="s">
        <v>6313</v>
      </c>
      <c r="G4332" s="68" t="s">
        <v>6314</v>
      </c>
      <c r="H4332" s="2" t="s">
        <v>6345</v>
      </c>
      <c r="I4332" s="12" t="s">
        <v>5291</v>
      </c>
      <c r="J4332" s="22">
        <f>+Tabla1[[#This Row],[FECHA ENTRADA]]</f>
        <v>46034</v>
      </c>
      <c r="K4332" s="22">
        <v>46200</v>
      </c>
      <c r="L4332" s="23">
        <f>_xlfn.DAYS(Tabla1[[#This Row],[FECHA FIN ]],Tabla1[[#This Row],[FECHA INICIO]])</f>
        <v>166</v>
      </c>
      <c r="M4332" s="12"/>
      <c r="N4332" s="20">
        <v>350</v>
      </c>
      <c r="O4332" s="24">
        <f>(Tabla1[[#This Row],[COSTO FIJO ]]/30)*Tabla1[[#This Row],[TOTAL DIAS PROYECTO]]+(Tabla1[[#This Row],[COSTO TEMPORAL]])</f>
        <v>1936.6666666666665</v>
      </c>
      <c r="P4332" s="12"/>
      <c r="Q4332" s="12">
        <f>+(Tabla1[[#This Row],[COSTO COCHE]]/30)*Tabla1[[#This Row],[TOTAL DIAS PROYECTO]]</f>
        <v>0</v>
      </c>
      <c r="R4332" s="12">
        <f>+Tabla1[[#This Row],[COSTO TOTAL ALOJAMIENTO]]+Tabla1[[#This Row],[COSTO TOTAL COCHE]]</f>
        <v>1936.6666666666665</v>
      </c>
      <c r="S4332" s="2"/>
      <c r="T4332" s="14" t="s">
        <v>35</v>
      </c>
      <c r="U4332" s="14">
        <v>46034</v>
      </c>
      <c r="V4332" s="79"/>
      <c r="W4332" s="12">
        <v>200</v>
      </c>
      <c r="X4332" s="2">
        <v>1</v>
      </c>
      <c r="Y4332" s="11" t="s">
        <v>6346</v>
      </c>
      <c r="Z4332" s="2" t="s">
        <v>36</v>
      </c>
      <c r="AA4332" s="13" t="s">
        <v>10416</v>
      </c>
      <c r="AB4332" s="13" t="s">
        <v>10417</v>
      </c>
    </row>
    <row r="4333" spans="1:28" ht="15" customHeight="1">
      <c r="A4333" s="2" t="s">
        <v>9487</v>
      </c>
      <c r="B4333" s="2" t="s">
        <v>711</v>
      </c>
      <c r="C4333" s="11" t="s">
        <v>3355</v>
      </c>
      <c r="D4333" s="2" t="s">
        <v>30</v>
      </c>
      <c r="E4333" s="2" t="s">
        <v>87</v>
      </c>
      <c r="F4333" s="11"/>
      <c r="G4333" s="46"/>
      <c r="H4333" s="2" t="s">
        <v>6347</v>
      </c>
      <c r="I4333" s="12" t="s">
        <v>96</v>
      </c>
      <c r="J4333" s="41">
        <f>+Tabla1[[#This Row],[FECHA ENTRADA]]</f>
        <v>46173</v>
      </c>
      <c r="K4333" s="22">
        <f ca="1">TODAY()</f>
        <v>46260</v>
      </c>
      <c r="L4333" s="42">
        <f ca="1">_xlfn.DAYS(Tabla1[[#This Row],[FECHA FIN ]],Tabla1[[#This Row],[FECHA INICIO]])</f>
        <v>87</v>
      </c>
      <c r="M4333" s="12"/>
      <c r="N4333" s="28">
        <v>0</v>
      </c>
      <c r="O4333" s="28">
        <f ca="1">(Tabla1[[#This Row],[COSTO FIJO ]]/30)*Tabla1[[#This Row],[TOTAL DIAS PROYECTO]]+(Tabla1[[#This Row],[COSTO TEMPORAL]])</f>
        <v>0</v>
      </c>
      <c r="P4333" s="12"/>
      <c r="Q4333" s="12">
        <f ca="1">+(Tabla1[[#This Row],[COSTO COCHE]]/30)*Tabla1[[#This Row],[TOTAL DIAS PROYECTO]]</f>
        <v>0</v>
      </c>
      <c r="R4333" s="12">
        <f ca="1">+Tabla1[[#This Row],[COSTO TOTAL ALOJAMIENTO]]+Tabla1[[#This Row],[COSTO TOTAL COCHE]]</f>
        <v>0</v>
      </c>
      <c r="S4333" s="2"/>
      <c r="T4333" s="14" t="s">
        <v>8</v>
      </c>
      <c r="U4333" s="14">
        <v>46173</v>
      </c>
      <c r="V4333" s="43"/>
      <c r="W4333" s="12"/>
      <c r="X4333" s="2"/>
      <c r="Y4333" s="11" t="s">
        <v>6348</v>
      </c>
      <c r="Z4333" s="2" t="s">
        <v>702</v>
      </c>
      <c r="AA4333" s="13" t="s">
        <v>10335</v>
      </c>
      <c r="AB4333" s="13">
        <v>404.16500000000002</v>
      </c>
    </row>
    <row r="4334" spans="1:28" ht="15" customHeight="1">
      <c r="A4334" s="2" t="s">
        <v>9759</v>
      </c>
      <c r="B4334" s="2" t="s">
        <v>711</v>
      </c>
      <c r="C4334" s="104" t="s">
        <v>4589</v>
      </c>
      <c r="D4334" s="2" t="s">
        <v>30</v>
      </c>
      <c r="E4334" s="2" t="s">
        <v>87</v>
      </c>
      <c r="F4334" s="11" t="s">
        <v>6349</v>
      </c>
      <c r="G4334" s="21" t="s">
        <v>6350</v>
      </c>
      <c r="H4334" s="2" t="s">
        <v>6351</v>
      </c>
      <c r="I4334" s="12" t="s">
        <v>989</v>
      </c>
      <c r="J4334" s="22">
        <f>+Tabla1[[#This Row],[FECHA ENTRADA]]</f>
        <v>45996</v>
      </c>
      <c r="K4334" s="22">
        <v>46001</v>
      </c>
      <c r="L4334" s="23">
        <f>_xlfn.DAYS(Tabla1[[#This Row],[FECHA FIN ]],Tabla1[[#This Row],[FECHA INICIO]])</f>
        <v>5</v>
      </c>
      <c r="M4334" s="12"/>
      <c r="N4334" s="20"/>
      <c r="O4334" s="24">
        <f>(Tabla1[[#This Row],[COSTO FIJO ]]/30)*Tabla1[[#This Row],[TOTAL DIAS PROYECTO]]+(Tabla1[[#This Row],[COSTO TEMPORAL]])</f>
        <v>0</v>
      </c>
      <c r="P4334" s="12"/>
      <c r="Q4334" s="12">
        <f>+(Tabla1[[#This Row],[COSTO COCHE]]/30)*Tabla1[[#This Row],[TOTAL DIAS PROYECTO]]</f>
        <v>0</v>
      </c>
      <c r="R4334" s="12">
        <f>+Tabla1[[#This Row],[COSTO TOTAL ALOJAMIENTO]]+Tabla1[[#This Row],[COSTO TOTAL COCHE]]</f>
        <v>0</v>
      </c>
      <c r="S4334" s="2" t="s">
        <v>84</v>
      </c>
      <c r="T4334" s="14" t="s">
        <v>44</v>
      </c>
      <c r="U4334" s="14">
        <v>45996</v>
      </c>
      <c r="V4334" s="79">
        <v>46002</v>
      </c>
      <c r="W4334" s="12"/>
      <c r="X4334" s="2"/>
      <c r="Y4334" s="11" t="s">
        <v>6352</v>
      </c>
      <c r="Z4334" s="2" t="s">
        <v>36</v>
      </c>
      <c r="AA4334" s="13" t="s">
        <v>10335</v>
      </c>
      <c r="AB4334" s="13">
        <v>404.16500000000002</v>
      </c>
    </row>
    <row r="4335" spans="1:28" ht="15" customHeight="1">
      <c r="A4335" s="2" t="s">
        <v>9962</v>
      </c>
      <c r="B4335" s="2" t="s">
        <v>711</v>
      </c>
      <c r="C4335" s="104" t="s">
        <v>5744</v>
      </c>
      <c r="D4335" s="2" t="s">
        <v>30</v>
      </c>
      <c r="E4335" s="2" t="s">
        <v>87</v>
      </c>
      <c r="F4335" s="11" t="s">
        <v>6349</v>
      </c>
      <c r="G4335" s="21" t="s">
        <v>6350</v>
      </c>
      <c r="H4335" s="2" t="s">
        <v>6351</v>
      </c>
      <c r="I4335" s="12" t="s">
        <v>989</v>
      </c>
      <c r="J4335" s="22">
        <f>+Tabla1[[#This Row],[FECHA ENTRADA]]</f>
        <v>45996</v>
      </c>
      <c r="K4335" s="22">
        <v>46001</v>
      </c>
      <c r="L4335" s="23">
        <f>_xlfn.DAYS(Tabla1[[#This Row],[FECHA FIN ]],Tabla1[[#This Row],[FECHA INICIO]])</f>
        <v>5</v>
      </c>
      <c r="M4335" s="12"/>
      <c r="N4335" s="20"/>
      <c r="O4335" s="24">
        <f>(Tabla1[[#This Row],[COSTO FIJO ]]/30)*Tabla1[[#This Row],[TOTAL DIAS PROYECTO]]+(Tabla1[[#This Row],[COSTO TEMPORAL]])</f>
        <v>0</v>
      </c>
      <c r="P4335" s="12"/>
      <c r="Q4335" s="12">
        <f>+(Tabla1[[#This Row],[COSTO COCHE]]/30)*Tabla1[[#This Row],[TOTAL DIAS PROYECTO]]</f>
        <v>0</v>
      </c>
      <c r="R4335" s="12">
        <f>+Tabla1[[#This Row],[COSTO TOTAL ALOJAMIENTO]]+Tabla1[[#This Row],[COSTO TOTAL COCHE]]</f>
        <v>0</v>
      </c>
      <c r="S4335" s="2" t="s">
        <v>84</v>
      </c>
      <c r="T4335" s="14" t="s">
        <v>44</v>
      </c>
      <c r="U4335" s="14">
        <v>45996</v>
      </c>
      <c r="V4335" s="79">
        <v>46002</v>
      </c>
      <c r="W4335" s="12"/>
      <c r="X4335" s="2"/>
      <c r="Y4335" s="11" t="s">
        <v>6352</v>
      </c>
      <c r="Z4335" s="2" t="s">
        <v>36</v>
      </c>
      <c r="AA4335" s="13" t="s">
        <v>10335</v>
      </c>
      <c r="AB4335" s="13">
        <v>404.16500000000002</v>
      </c>
    </row>
    <row r="4336" spans="1:28" ht="15" customHeight="1">
      <c r="A4336" s="2" t="s">
        <v>9740</v>
      </c>
      <c r="B4336" s="2" t="s">
        <v>368</v>
      </c>
      <c r="C4336" s="69" t="s">
        <v>4508</v>
      </c>
      <c r="D4336" s="2" t="s">
        <v>30</v>
      </c>
      <c r="E4336" s="2" t="s">
        <v>213</v>
      </c>
      <c r="F4336" s="11" t="s">
        <v>6353</v>
      </c>
      <c r="G4336" t="s">
        <v>1197</v>
      </c>
      <c r="H4336" s="2" t="s">
        <v>5149</v>
      </c>
      <c r="I4336" s="12" t="s">
        <v>1043</v>
      </c>
      <c r="J4336" s="41">
        <f>+Tabla1[[#This Row],[FECHA ENTRADA]]</f>
        <v>45913</v>
      </c>
      <c r="K4336" s="22">
        <v>46002</v>
      </c>
      <c r="L4336" s="42">
        <f>_xlfn.DAYS(Tabla1[[#This Row],[FECHA FIN ]],Tabla1[[#This Row],[FECHA INICIO]])</f>
        <v>89</v>
      </c>
      <c r="M4336" s="12"/>
      <c r="N4336" s="28">
        <v>475</v>
      </c>
      <c r="O4336" s="28">
        <f>(Tabla1[[#This Row],[COSTO FIJO ]]/30)*Tabla1[[#This Row],[TOTAL DIAS PROYECTO]]+(Tabla1[[#This Row],[COSTO TEMPORAL]])</f>
        <v>1409.1666666666667</v>
      </c>
      <c r="P4336" s="12"/>
      <c r="Q4336" s="12">
        <f>+(Tabla1[[#This Row],[COSTO COCHE]]/30)*Tabla1[[#This Row],[TOTAL DIAS PROYECTO]]</f>
        <v>0</v>
      </c>
      <c r="R4336" s="12">
        <f>+Tabla1[[#This Row],[COSTO TOTAL ALOJAMIENTO]]+Tabla1[[#This Row],[COSTO TOTAL COCHE]]</f>
        <v>1409.1666666666667</v>
      </c>
      <c r="S4336" s="2"/>
      <c r="T4336" s="14" t="s">
        <v>35</v>
      </c>
      <c r="U4336" s="14">
        <v>45913</v>
      </c>
      <c r="V4336" s="43">
        <v>45933</v>
      </c>
      <c r="W4336" s="71"/>
      <c r="X4336" s="2">
        <v>10</v>
      </c>
      <c r="Y4336" s="11" t="s">
        <v>6354</v>
      </c>
      <c r="Z4336" s="2" t="s">
        <v>36</v>
      </c>
      <c r="AA4336" s="13" t="s">
        <v>10349</v>
      </c>
      <c r="AB4336" s="13" t="s">
        <v>10350</v>
      </c>
    </row>
    <row r="4337" spans="1:28" ht="15" customHeight="1">
      <c r="A4337" s="2" t="s">
        <v>9871</v>
      </c>
      <c r="B4337" s="2" t="s">
        <v>368</v>
      </c>
      <c r="C4337" s="69" t="s">
        <v>5150</v>
      </c>
      <c r="D4337" s="2" t="s">
        <v>30</v>
      </c>
      <c r="E4337" s="2" t="s">
        <v>213</v>
      </c>
      <c r="F4337" s="11" t="s">
        <v>6353</v>
      </c>
      <c r="G4337" t="s">
        <v>1197</v>
      </c>
      <c r="H4337" s="2" t="s">
        <v>5151</v>
      </c>
      <c r="I4337" s="12" t="s">
        <v>1043</v>
      </c>
      <c r="J4337" s="41">
        <f>+Tabla1[[#This Row],[FECHA ENTRADA]]</f>
        <v>45913</v>
      </c>
      <c r="K4337" s="22">
        <v>46002</v>
      </c>
      <c r="L4337" s="42">
        <f>_xlfn.DAYS(Tabla1[[#This Row],[FECHA FIN ]],Tabla1[[#This Row],[FECHA INICIO]])</f>
        <v>89</v>
      </c>
      <c r="M4337" s="12"/>
      <c r="N4337" s="28">
        <v>475</v>
      </c>
      <c r="O4337" s="28">
        <f>(Tabla1[[#This Row],[COSTO FIJO ]]/30)*Tabla1[[#This Row],[TOTAL DIAS PROYECTO]]+(Tabla1[[#This Row],[COSTO TEMPORAL]])</f>
        <v>1409.1666666666667</v>
      </c>
      <c r="P4337" s="12"/>
      <c r="Q4337" s="12">
        <f>+(Tabla1[[#This Row],[COSTO COCHE]]/30)*Tabla1[[#This Row],[TOTAL DIAS PROYECTO]]</f>
        <v>0</v>
      </c>
      <c r="R4337" s="12">
        <f>+Tabla1[[#This Row],[COSTO TOTAL ALOJAMIENTO]]+Tabla1[[#This Row],[COSTO TOTAL COCHE]]</f>
        <v>1409.1666666666667</v>
      </c>
      <c r="S4337" s="2"/>
      <c r="T4337" s="14" t="s">
        <v>35</v>
      </c>
      <c r="U4337" s="14">
        <v>45913</v>
      </c>
      <c r="V4337" s="43">
        <v>45933</v>
      </c>
      <c r="W4337" s="71"/>
      <c r="X4337" s="2">
        <v>10</v>
      </c>
      <c r="Y4337" s="11" t="s">
        <v>6355</v>
      </c>
      <c r="Z4337" s="2" t="s">
        <v>36</v>
      </c>
      <c r="AA4337" s="13" t="s">
        <v>10349</v>
      </c>
      <c r="AB4337" s="13" t="s">
        <v>10350</v>
      </c>
    </row>
    <row r="4338" spans="1:28" ht="15" customHeight="1">
      <c r="A4338" s="2" t="s">
        <v>9028</v>
      </c>
      <c r="B4338" s="2" t="s">
        <v>28</v>
      </c>
      <c r="C4338" s="273" t="s">
        <v>1737</v>
      </c>
      <c r="D4338" s="2" t="s">
        <v>30</v>
      </c>
      <c r="E4338" s="2" t="s">
        <v>213</v>
      </c>
      <c r="F4338" s="11" t="s">
        <v>6353</v>
      </c>
      <c r="G4338" t="s">
        <v>1197</v>
      </c>
      <c r="H4338" s="2" t="s">
        <v>1738</v>
      </c>
      <c r="I4338" s="12" t="s">
        <v>1043</v>
      </c>
      <c r="J4338" s="41">
        <f>+Tabla1[[#This Row],[FECHA ENTRADA]]</f>
        <v>45913</v>
      </c>
      <c r="K4338" s="22">
        <v>46002</v>
      </c>
      <c r="L4338" s="42">
        <f>_xlfn.DAYS(Tabla1[[#This Row],[FECHA FIN ]],Tabla1[[#This Row],[FECHA INICIO]])</f>
        <v>89</v>
      </c>
      <c r="M4338" s="12"/>
      <c r="N4338" s="28">
        <v>475</v>
      </c>
      <c r="O4338" s="28">
        <f>(Tabla1[[#This Row],[COSTO FIJO ]]/30)*Tabla1[[#This Row],[TOTAL DIAS PROYECTO]]+(Tabla1[[#This Row],[COSTO TEMPORAL]])</f>
        <v>1409.1666666666667</v>
      </c>
      <c r="P4338" s="12"/>
      <c r="Q4338" s="12">
        <f>+(Tabla1[[#This Row],[COSTO COCHE]]/30)*Tabla1[[#This Row],[TOTAL DIAS PROYECTO]]</f>
        <v>0</v>
      </c>
      <c r="R4338" s="12">
        <f>+Tabla1[[#This Row],[COSTO TOTAL ALOJAMIENTO]]+Tabla1[[#This Row],[COSTO TOTAL COCHE]]</f>
        <v>1409.1666666666667</v>
      </c>
      <c r="S4338" s="2"/>
      <c r="T4338" s="14" t="s">
        <v>35</v>
      </c>
      <c r="U4338" s="14">
        <v>45913</v>
      </c>
      <c r="V4338" s="43">
        <v>45933</v>
      </c>
      <c r="W4338" s="71"/>
      <c r="X4338" s="2">
        <v>10</v>
      </c>
      <c r="Y4338" s="11" t="s">
        <v>6355</v>
      </c>
      <c r="Z4338" s="2" t="s">
        <v>36</v>
      </c>
      <c r="AA4338" s="13" t="s">
        <v>10349</v>
      </c>
      <c r="AB4338" s="13" t="s">
        <v>10350</v>
      </c>
    </row>
    <row r="4339" spans="1:28" ht="15" customHeight="1">
      <c r="A4339" s="2" t="s">
        <v>9027</v>
      </c>
      <c r="B4339" s="2" t="s">
        <v>28</v>
      </c>
      <c r="C4339" s="273" t="s">
        <v>1732</v>
      </c>
      <c r="D4339" s="2" t="s">
        <v>30</v>
      </c>
      <c r="E4339" s="2" t="s">
        <v>213</v>
      </c>
      <c r="F4339" s="11" t="s">
        <v>6353</v>
      </c>
      <c r="G4339" t="s">
        <v>1197</v>
      </c>
      <c r="H4339" s="2" t="s">
        <v>1735</v>
      </c>
      <c r="I4339" s="12" t="s">
        <v>1043</v>
      </c>
      <c r="J4339" s="41">
        <f>+Tabla1[[#This Row],[FECHA ENTRADA]]</f>
        <v>45913</v>
      </c>
      <c r="K4339" s="22">
        <v>46002</v>
      </c>
      <c r="L4339" s="42">
        <f>_xlfn.DAYS(Tabla1[[#This Row],[FECHA FIN ]],Tabla1[[#This Row],[FECHA INICIO]])</f>
        <v>89</v>
      </c>
      <c r="M4339" s="12"/>
      <c r="N4339" s="28">
        <v>475</v>
      </c>
      <c r="O4339" s="28">
        <f>(Tabla1[[#This Row],[COSTO FIJO ]]/30)*Tabla1[[#This Row],[TOTAL DIAS PROYECTO]]+(Tabla1[[#This Row],[COSTO TEMPORAL]])</f>
        <v>1409.1666666666667</v>
      </c>
      <c r="P4339" s="12"/>
      <c r="Q4339" s="12">
        <f>+(Tabla1[[#This Row],[COSTO COCHE]]/30)*Tabla1[[#This Row],[TOTAL DIAS PROYECTO]]</f>
        <v>0</v>
      </c>
      <c r="R4339" s="12">
        <f>+Tabla1[[#This Row],[COSTO TOTAL ALOJAMIENTO]]+Tabla1[[#This Row],[COSTO TOTAL COCHE]]</f>
        <v>1409.1666666666667</v>
      </c>
      <c r="S4339" s="2"/>
      <c r="T4339" s="14" t="s">
        <v>35</v>
      </c>
      <c r="U4339" s="14">
        <v>45913</v>
      </c>
      <c r="V4339" s="43">
        <v>45933</v>
      </c>
      <c r="W4339" s="71"/>
      <c r="X4339" s="2">
        <v>10</v>
      </c>
      <c r="Y4339" s="11" t="s">
        <v>6355</v>
      </c>
      <c r="Z4339" s="2" t="s">
        <v>36</v>
      </c>
      <c r="AA4339" s="13" t="s">
        <v>10349</v>
      </c>
      <c r="AB4339" s="13" t="s">
        <v>10350</v>
      </c>
    </row>
    <row r="4340" spans="1:28" ht="15" customHeight="1">
      <c r="A4340" s="2" t="s">
        <v>8944</v>
      </c>
      <c r="B4340" s="2" t="s">
        <v>711</v>
      </c>
      <c r="C4340" s="31" t="s">
        <v>1382</v>
      </c>
      <c r="D4340" s="2" t="s">
        <v>30</v>
      </c>
      <c r="E4340" s="2" t="s">
        <v>31</v>
      </c>
      <c r="F4340" s="11" t="s">
        <v>715</v>
      </c>
      <c r="G4340" s="11" t="s">
        <v>716</v>
      </c>
      <c r="H4340" s="2" t="s">
        <v>6356</v>
      </c>
      <c r="I4340" s="12" t="s">
        <v>5873</v>
      </c>
      <c r="J4340" s="22">
        <f>+Tabla1[[#This Row],[FECHA ENTRADA]]</f>
        <v>45946</v>
      </c>
      <c r="K4340" s="22">
        <v>46003</v>
      </c>
      <c r="L4340" s="23">
        <f>_xlfn.DAYS(Tabla1[[#This Row],[FECHA FIN ]],Tabla1[[#This Row],[FECHA INICIO]])</f>
        <v>57</v>
      </c>
      <c r="M4340" s="12"/>
      <c r="N4340" s="12">
        <v>160</v>
      </c>
      <c r="O4340" s="24">
        <f>(Tabla1[[#This Row],[COSTO FIJO ]]/30)*Tabla1[[#This Row],[TOTAL DIAS PROYECTO]]+(Tabla1[[#This Row],[COSTO TEMPORAL]])</f>
        <v>304</v>
      </c>
      <c r="P4340" s="12"/>
      <c r="Q4340" s="12">
        <f>+(Tabla1[[#This Row],[COSTO COCHE]]/30)*Tabla1[[#This Row],[TOTAL DIAS PROYECTO]]</f>
        <v>0</v>
      </c>
      <c r="R4340" s="12">
        <f>+Tabla1[[#This Row],[COSTO TOTAL ALOJAMIENTO]]+Tabla1[[#This Row],[COSTO TOTAL COCHE]]</f>
        <v>304</v>
      </c>
      <c r="S4340" s="2"/>
      <c r="T4340" s="14" t="s">
        <v>35</v>
      </c>
      <c r="U4340" s="14">
        <v>45946</v>
      </c>
      <c r="V4340" s="79"/>
      <c r="W4340" s="71"/>
      <c r="X4340" s="2">
        <v>1</v>
      </c>
      <c r="Y4340" s="11" t="s">
        <v>6357</v>
      </c>
      <c r="Z4340" s="2" t="s">
        <v>36</v>
      </c>
      <c r="AA4340" s="13" t="s">
        <v>10323</v>
      </c>
      <c r="AB4340" s="13" t="s">
        <v>10324</v>
      </c>
    </row>
    <row r="4341" spans="1:28" ht="15" customHeight="1">
      <c r="A4341" s="2" t="s">
        <v>9590</v>
      </c>
      <c r="B4341" s="2" t="s">
        <v>711</v>
      </c>
      <c r="C4341" s="239" t="s">
        <v>3771</v>
      </c>
      <c r="D4341" s="2" t="s">
        <v>30</v>
      </c>
      <c r="E4341" s="2" t="s">
        <v>720</v>
      </c>
      <c r="F4341" s="11" t="s">
        <v>6112</v>
      </c>
      <c r="G4341" s="251" t="s">
        <v>4584</v>
      </c>
      <c r="H4341" s="2" t="s">
        <v>6113</v>
      </c>
      <c r="I4341" s="12" t="s">
        <v>2176</v>
      </c>
      <c r="J4341" s="22">
        <f>+Tabla1[[#This Row],[FECHA ENTRADA]]</f>
        <v>45739</v>
      </c>
      <c r="K4341" s="22">
        <v>46003</v>
      </c>
      <c r="L4341" s="23">
        <f>_xlfn.DAYS(Tabla1[[#This Row],[FECHA FIN ]],Tabla1[[#This Row],[FECHA INICIO]])</f>
        <v>264</v>
      </c>
      <c r="M4341" s="12"/>
      <c r="N4341" s="12">
        <v>175</v>
      </c>
      <c r="O4341" s="24">
        <f>(Tabla1[[#This Row],[COSTO FIJO ]]/30)*Tabla1[[#This Row],[TOTAL DIAS PROYECTO]]+(Tabla1[[#This Row],[COSTO TEMPORAL]])</f>
        <v>1540</v>
      </c>
      <c r="P4341" s="12">
        <v>200</v>
      </c>
      <c r="Q4341" s="12">
        <f>+(Tabla1[[#This Row],[COSTO COCHE]]/30)*Tabla1[[#This Row],[TOTAL DIAS PROYECTO]]</f>
        <v>1760</v>
      </c>
      <c r="R4341" s="12">
        <f>+Tabla1[[#This Row],[COSTO TOTAL ALOJAMIENTO]]+Tabla1[[#This Row],[COSTO TOTAL COCHE]]</f>
        <v>3300</v>
      </c>
      <c r="S4341" s="2"/>
      <c r="T4341" s="2" t="s">
        <v>35</v>
      </c>
      <c r="U4341" s="14">
        <v>45739</v>
      </c>
      <c r="V4341" s="25"/>
      <c r="W4341" s="26">
        <v>175</v>
      </c>
      <c r="X4341" s="2">
        <v>1</v>
      </c>
      <c r="Y4341" s="11" t="s">
        <v>6358</v>
      </c>
      <c r="Z4341" s="2" t="s">
        <v>36</v>
      </c>
      <c r="AA4341" s="13" t="s">
        <v>10394</v>
      </c>
      <c r="AB4341" s="13" t="s">
        <v>10395</v>
      </c>
    </row>
    <row r="4342" spans="1:28" ht="15" customHeight="1">
      <c r="A4342" s="2" t="s">
        <v>10099</v>
      </c>
      <c r="B4342" s="2" t="s">
        <v>606</v>
      </c>
      <c r="C4342" s="31" t="s">
        <v>6359</v>
      </c>
      <c r="D4342" s="2" t="s">
        <v>99</v>
      </c>
      <c r="E4342" s="2" t="s">
        <v>31</v>
      </c>
      <c r="F4342" s="11" t="s">
        <v>1206</v>
      </c>
      <c r="G4342" t="s">
        <v>1005</v>
      </c>
      <c r="H4342" s="2" t="s">
        <v>6360</v>
      </c>
      <c r="I4342" s="12" t="s">
        <v>3054</v>
      </c>
      <c r="J4342" s="22">
        <f>+Tabla1[[#This Row],[FECHA ENTRADA]]</f>
        <v>45718</v>
      </c>
      <c r="K4342" s="22">
        <v>46003</v>
      </c>
      <c r="L4342" s="23">
        <f>_xlfn.DAYS(Tabla1[[#This Row],[FECHA FIN ]],Tabla1[[#This Row],[FECHA INICIO]])</f>
        <v>285</v>
      </c>
      <c r="M4342" s="12"/>
      <c r="N4342" s="20">
        <v>357.14285714285717</v>
      </c>
      <c r="O4342" s="24">
        <f>(Tabla1[[#This Row],[COSTO FIJO ]]/30)*Tabla1[[#This Row],[TOTAL DIAS PROYECTO]]+(Tabla1[[#This Row],[COSTO TEMPORAL]])</f>
        <v>3392.8571428571431</v>
      </c>
      <c r="P4342" s="12">
        <v>85.714285714285708</v>
      </c>
      <c r="Q4342" s="12">
        <f>+(Tabla1[[#This Row],[COSTO COCHE]]/30)*Tabla1[[#This Row],[TOTAL DIAS PROYECTO]]</f>
        <v>814.28571428571422</v>
      </c>
      <c r="R4342" s="12">
        <f>+Tabla1[[#This Row],[COSTO TOTAL ALOJAMIENTO]]+Tabla1[[#This Row],[COSTO TOTAL COCHE]]</f>
        <v>4207.1428571428569</v>
      </c>
      <c r="S4342" s="2"/>
      <c r="T4342" s="2" t="s">
        <v>35</v>
      </c>
      <c r="U4342" s="14">
        <v>45718</v>
      </c>
      <c r="V4342" s="79"/>
      <c r="W4342" s="26"/>
      <c r="X4342" s="2">
        <v>27</v>
      </c>
      <c r="Y4342" s="11" t="s">
        <v>6361</v>
      </c>
      <c r="Z4342" s="2" t="s">
        <v>36</v>
      </c>
      <c r="AA4342" s="13" t="s">
        <v>10323</v>
      </c>
      <c r="AB4342" s="13" t="s">
        <v>10324</v>
      </c>
    </row>
    <row r="4343" spans="1:28" ht="15" customHeight="1">
      <c r="A4343" s="2" t="s">
        <v>9832</v>
      </c>
      <c r="B4343" s="2" t="s">
        <v>711</v>
      </c>
      <c r="C4343" s="31" t="s">
        <v>4947</v>
      </c>
      <c r="D4343" s="2" t="s">
        <v>99</v>
      </c>
      <c r="E4343" s="2" t="s">
        <v>502</v>
      </c>
      <c r="F4343" s="11" t="s">
        <v>6324</v>
      </c>
      <c r="G4343" s="21" t="s">
        <v>6325</v>
      </c>
      <c r="H4343" s="2" t="s">
        <v>6196</v>
      </c>
      <c r="I4343" s="12" t="s">
        <v>2862</v>
      </c>
      <c r="J4343" s="22">
        <f>+Tabla1[[#This Row],[FECHA ENTRADA]]</f>
        <v>45913</v>
      </c>
      <c r="K4343" s="22">
        <v>45929</v>
      </c>
      <c r="L4343" s="23">
        <f>_xlfn.DAYS(Tabla1[[#This Row],[FECHA FIN ]],Tabla1[[#This Row],[FECHA INICIO]])</f>
        <v>16</v>
      </c>
      <c r="M4343" s="12"/>
      <c r="N4343" s="12">
        <f>2225.3/8</f>
        <v>278.16250000000002</v>
      </c>
      <c r="O4343" s="24">
        <f>(Tabla1[[#This Row],[COSTO FIJO ]]/30)*Tabla1[[#This Row],[TOTAL DIAS PROYECTO]]+(Tabla1[[#This Row],[COSTO TEMPORAL]])</f>
        <v>148.35333333333335</v>
      </c>
      <c r="P4343" s="12"/>
      <c r="Q4343" s="12">
        <f>+(Tabla1[[#This Row],[COSTO COCHE]]/30)*Tabla1[[#This Row],[TOTAL DIAS PROYECTO]]</f>
        <v>0</v>
      </c>
      <c r="R4343" s="12">
        <f>+Tabla1[[#This Row],[COSTO TOTAL ALOJAMIENTO]]+Tabla1[[#This Row],[COSTO TOTAL COCHE]]</f>
        <v>148.35333333333335</v>
      </c>
      <c r="S4343" s="2" t="s">
        <v>84</v>
      </c>
      <c r="T4343" s="14" t="s">
        <v>44</v>
      </c>
      <c r="U4343" s="14">
        <v>45913</v>
      </c>
      <c r="V4343" s="79">
        <v>45929</v>
      </c>
      <c r="W4343" s="71"/>
      <c r="X4343" s="2"/>
      <c r="Y4343" s="11" t="s">
        <v>6326</v>
      </c>
      <c r="Z4343" s="2" t="s">
        <v>36</v>
      </c>
      <c r="AA4343" s="13" t="s">
        <v>10378</v>
      </c>
      <c r="AB4343" s="13" t="s">
        <v>10379</v>
      </c>
    </row>
    <row r="4344" spans="1:28" ht="15" customHeight="1">
      <c r="A4344" s="2" t="s">
        <v>9828</v>
      </c>
      <c r="B4344" s="2" t="s">
        <v>711</v>
      </c>
      <c r="C4344" s="97" t="s">
        <v>4931</v>
      </c>
      <c r="D4344" s="2" t="s">
        <v>99</v>
      </c>
      <c r="E4344" s="2" t="s">
        <v>502</v>
      </c>
      <c r="F4344" s="11" t="s">
        <v>6324</v>
      </c>
      <c r="G4344" s="21" t="s">
        <v>6325</v>
      </c>
      <c r="H4344" s="2" t="s">
        <v>6196</v>
      </c>
      <c r="I4344" s="12" t="s">
        <v>2862</v>
      </c>
      <c r="J4344" s="22">
        <f>+Tabla1[[#This Row],[FECHA ENTRADA]]</f>
        <v>45913</v>
      </c>
      <c r="K4344" s="22">
        <v>45929</v>
      </c>
      <c r="L4344" s="23">
        <f>_xlfn.DAYS(Tabla1[[#This Row],[FECHA FIN ]],Tabla1[[#This Row],[FECHA INICIO]])</f>
        <v>16</v>
      </c>
      <c r="M4344" s="12"/>
      <c r="N4344" s="12">
        <f>2225.3/8</f>
        <v>278.16250000000002</v>
      </c>
      <c r="O4344" s="24">
        <f>(Tabla1[[#This Row],[COSTO FIJO ]]/30)*Tabla1[[#This Row],[TOTAL DIAS PROYECTO]]+(Tabla1[[#This Row],[COSTO TEMPORAL]])</f>
        <v>148.35333333333335</v>
      </c>
      <c r="P4344" s="12"/>
      <c r="Q4344" s="12">
        <f>+(Tabla1[[#This Row],[COSTO COCHE]]/30)*Tabla1[[#This Row],[TOTAL DIAS PROYECTO]]</f>
        <v>0</v>
      </c>
      <c r="R4344" s="12">
        <f>+Tabla1[[#This Row],[COSTO TOTAL ALOJAMIENTO]]+Tabla1[[#This Row],[COSTO TOTAL COCHE]]</f>
        <v>148.35333333333335</v>
      </c>
      <c r="S4344" s="2" t="s">
        <v>84</v>
      </c>
      <c r="T4344" s="14" t="s">
        <v>44</v>
      </c>
      <c r="U4344" s="14">
        <v>45913</v>
      </c>
      <c r="V4344" s="79">
        <v>45929</v>
      </c>
      <c r="W4344" s="71"/>
      <c r="X4344" s="2"/>
      <c r="Y4344" s="11" t="s">
        <v>6326</v>
      </c>
      <c r="Z4344" s="2" t="s">
        <v>36</v>
      </c>
      <c r="AA4344" s="13" t="s">
        <v>10378</v>
      </c>
      <c r="AB4344" s="13" t="s">
        <v>10379</v>
      </c>
    </row>
    <row r="4345" spans="1:28" ht="15" customHeight="1">
      <c r="A4345" s="2" t="s">
        <v>8642</v>
      </c>
      <c r="B4345" s="2" t="s">
        <v>978</v>
      </c>
      <c r="C4345" s="31" t="s">
        <v>6203</v>
      </c>
      <c r="D4345" s="2" t="s">
        <v>30</v>
      </c>
      <c r="E4345" s="2" t="s">
        <v>1161</v>
      </c>
      <c r="F4345" s="11" t="s">
        <v>6097</v>
      </c>
      <c r="G4345" s="21" t="s">
        <v>6098</v>
      </c>
      <c r="H4345" s="2" t="s">
        <v>6004</v>
      </c>
      <c r="I4345" s="12" t="s">
        <v>1165</v>
      </c>
      <c r="J4345" s="22">
        <f>+Tabla1[[#This Row],[FECHA ENTRADA]]</f>
        <v>45982</v>
      </c>
      <c r="K4345" s="22">
        <v>46003</v>
      </c>
      <c r="L4345" s="23">
        <f>_xlfn.DAYS(Tabla1[[#This Row],[FECHA FIN ]],Tabla1[[#This Row],[FECHA INICIO]])</f>
        <v>21</v>
      </c>
      <c r="M4345" s="12">
        <v>229.25</v>
      </c>
      <c r="N4345" s="20"/>
      <c r="O4345" s="24">
        <f>(Tabla1[[#This Row],[COSTO FIJO ]]/30)*Tabla1[[#This Row],[TOTAL DIAS PROYECTO]]+(Tabla1[[#This Row],[COSTO TEMPORAL]])</f>
        <v>229.25</v>
      </c>
      <c r="P4345" s="12"/>
      <c r="Q4345" s="12">
        <f>+(Tabla1[[#This Row],[COSTO COCHE]]/30)*Tabla1[[#This Row],[TOTAL DIAS PROYECTO]]</f>
        <v>0</v>
      </c>
      <c r="R4345" s="12">
        <f>+Tabla1[[#This Row],[COSTO TOTAL ALOJAMIENTO]]+Tabla1[[#This Row],[COSTO TOTAL COCHE]]</f>
        <v>229.25</v>
      </c>
      <c r="S4345" s="2" t="s">
        <v>84</v>
      </c>
      <c r="T4345" s="14" t="s">
        <v>44</v>
      </c>
      <c r="U4345" s="14">
        <v>45982</v>
      </c>
      <c r="V4345" s="25">
        <v>46007</v>
      </c>
      <c r="W4345" s="71"/>
      <c r="X4345" s="2"/>
      <c r="Y4345" s="11" t="s">
        <v>6362</v>
      </c>
      <c r="Z4345" s="2" t="s">
        <v>36</v>
      </c>
      <c r="AA4345" s="13" t="s">
        <v>10413</v>
      </c>
      <c r="AB4345" s="13">
        <v>3652672</v>
      </c>
    </row>
    <row r="4346" spans="1:28" ht="15" customHeight="1">
      <c r="A4346" s="2" t="s">
        <v>10072</v>
      </c>
      <c r="B4346" s="2" t="s">
        <v>978</v>
      </c>
      <c r="C4346" s="31" t="s">
        <v>6205</v>
      </c>
      <c r="D4346" s="2" t="s">
        <v>30</v>
      </c>
      <c r="E4346" s="2" t="s">
        <v>1161</v>
      </c>
      <c r="F4346" s="11" t="s">
        <v>6097</v>
      </c>
      <c r="G4346" s="21" t="s">
        <v>6098</v>
      </c>
      <c r="H4346" s="2" t="s">
        <v>6004</v>
      </c>
      <c r="I4346" s="12" t="s">
        <v>1165</v>
      </c>
      <c r="J4346" s="22">
        <f>+Tabla1[[#This Row],[FECHA ENTRADA]]</f>
        <v>45982</v>
      </c>
      <c r="K4346" s="22">
        <v>46003</v>
      </c>
      <c r="L4346" s="23">
        <f>_xlfn.DAYS(Tabla1[[#This Row],[FECHA FIN ]],Tabla1[[#This Row],[FECHA INICIO]])</f>
        <v>21</v>
      </c>
      <c r="M4346" s="12">
        <v>229.25</v>
      </c>
      <c r="N4346" s="20"/>
      <c r="O4346" s="24">
        <f>(Tabla1[[#This Row],[COSTO FIJO ]]/30)*Tabla1[[#This Row],[TOTAL DIAS PROYECTO]]+(Tabla1[[#This Row],[COSTO TEMPORAL]])</f>
        <v>229.25</v>
      </c>
      <c r="P4346" s="12"/>
      <c r="Q4346" s="12">
        <f>+(Tabla1[[#This Row],[COSTO COCHE]]/30)*Tabla1[[#This Row],[TOTAL DIAS PROYECTO]]</f>
        <v>0</v>
      </c>
      <c r="R4346" s="12">
        <f>+Tabla1[[#This Row],[COSTO TOTAL ALOJAMIENTO]]+Tabla1[[#This Row],[COSTO TOTAL COCHE]]</f>
        <v>229.25</v>
      </c>
      <c r="S4346" s="2" t="s">
        <v>84</v>
      </c>
      <c r="T4346" s="14" t="s">
        <v>44</v>
      </c>
      <c r="U4346" s="14">
        <v>45982</v>
      </c>
      <c r="V4346" s="25">
        <v>46007</v>
      </c>
      <c r="W4346" s="71"/>
      <c r="X4346" s="2"/>
      <c r="Y4346" s="11" t="s">
        <v>6362</v>
      </c>
      <c r="Z4346" s="2" t="s">
        <v>36</v>
      </c>
      <c r="AA4346" s="13" t="s">
        <v>10413</v>
      </c>
      <c r="AB4346" s="13">
        <v>3652672</v>
      </c>
    </row>
    <row r="4347" spans="1:28" ht="15" customHeight="1">
      <c r="A4347" s="2" t="s">
        <v>10054</v>
      </c>
      <c r="B4347" s="2" t="s">
        <v>978</v>
      </c>
      <c r="C4347" s="31" t="s">
        <v>6107</v>
      </c>
      <c r="D4347" s="2" t="s">
        <v>30</v>
      </c>
      <c r="E4347" s="2" t="s">
        <v>1161</v>
      </c>
      <c r="F4347" s="11" t="s">
        <v>6097</v>
      </c>
      <c r="G4347" s="21" t="s">
        <v>6098</v>
      </c>
      <c r="H4347" s="2" t="s">
        <v>6363</v>
      </c>
      <c r="I4347" s="12" t="s">
        <v>6364</v>
      </c>
      <c r="J4347" s="22">
        <f>+Tabla1[[#This Row],[FECHA ENTRADA]]</f>
        <v>45984</v>
      </c>
      <c r="K4347" s="22">
        <v>46003</v>
      </c>
      <c r="L4347" s="23">
        <f>_xlfn.DAYS(Tabla1[[#This Row],[FECHA FIN ]],Tabla1[[#This Row],[FECHA INICIO]])</f>
        <v>19</v>
      </c>
      <c r="M4347" s="12">
        <v>229.25</v>
      </c>
      <c r="N4347" s="24"/>
      <c r="O4347" s="24">
        <f>(Tabla1[[#This Row],[COSTO FIJO ]]/30)*Tabla1[[#This Row],[TOTAL DIAS PROYECTO]]+(Tabla1[[#This Row],[COSTO TEMPORAL]])</f>
        <v>229.25</v>
      </c>
      <c r="P4347" s="12"/>
      <c r="Q4347" s="12">
        <f>+(Tabla1[[#This Row],[COSTO COCHE]]/30)*Tabla1[[#This Row],[TOTAL DIAS PROYECTO]]</f>
        <v>0</v>
      </c>
      <c r="R4347" s="12">
        <f>+Tabla1[[#This Row],[COSTO TOTAL ALOJAMIENTO]]+Tabla1[[#This Row],[COSTO TOTAL COCHE]]</f>
        <v>229.25</v>
      </c>
      <c r="S4347" s="2" t="s">
        <v>84</v>
      </c>
      <c r="T4347" s="14" t="s">
        <v>44</v>
      </c>
      <c r="U4347" s="14">
        <v>45984</v>
      </c>
      <c r="V4347" s="25">
        <v>46007</v>
      </c>
      <c r="W4347" s="71"/>
      <c r="X4347" s="2"/>
      <c r="Y4347" s="11" t="s">
        <v>6362</v>
      </c>
      <c r="Z4347" s="2" t="s">
        <v>36</v>
      </c>
      <c r="AA4347" s="13" t="s">
        <v>10413</v>
      </c>
      <c r="AB4347" s="13">
        <v>3652672</v>
      </c>
    </row>
    <row r="4348" spans="1:28" ht="15" customHeight="1">
      <c r="A4348" s="2" t="s">
        <v>9894</v>
      </c>
      <c r="B4348" s="2" t="s">
        <v>978</v>
      </c>
      <c r="C4348" s="31" t="s">
        <v>5240</v>
      </c>
      <c r="D4348" s="2" t="s">
        <v>30</v>
      </c>
      <c r="E4348" s="2" t="s">
        <v>245</v>
      </c>
      <c r="F4348" s="11" t="s">
        <v>6206</v>
      </c>
      <c r="G4348" s="21" t="s">
        <v>6207</v>
      </c>
      <c r="H4348" s="2" t="s">
        <v>1468</v>
      </c>
      <c r="I4348" s="12" t="s">
        <v>5047</v>
      </c>
      <c r="J4348" s="41">
        <f>+Tabla1[[#This Row],[FECHA ENTRADA]]</f>
        <v>45932</v>
      </c>
      <c r="K4348" s="41">
        <v>45982</v>
      </c>
      <c r="L4348" s="42">
        <f>_xlfn.DAYS(Tabla1[[#This Row],[FECHA FIN ]],Tabla1[[#This Row],[FECHA INICIO]])</f>
        <v>50</v>
      </c>
      <c r="M4348" s="12">
        <v>500</v>
      </c>
      <c r="N4348" s="28"/>
      <c r="O4348" s="28">
        <f>(Tabla1[[#This Row],[COSTO FIJO ]]/30)*Tabla1[[#This Row],[TOTAL DIAS PROYECTO]]+(Tabla1[[#This Row],[COSTO TEMPORAL]])</f>
        <v>500</v>
      </c>
      <c r="P4348" s="12"/>
      <c r="Q4348" s="12">
        <f>+(Tabla1[[#This Row],[COSTO COCHE]]/30)*Tabla1[[#This Row],[TOTAL DIAS PROYECTO]]</f>
        <v>0</v>
      </c>
      <c r="R4348" s="12">
        <f>+Tabla1[[#This Row],[COSTO TOTAL ALOJAMIENTO]]+Tabla1[[#This Row],[COSTO TOTAL COCHE]]</f>
        <v>500</v>
      </c>
      <c r="S4348" s="2" t="s">
        <v>84</v>
      </c>
      <c r="T4348" s="14" t="s">
        <v>44</v>
      </c>
      <c r="U4348" s="14">
        <v>45932</v>
      </c>
      <c r="V4348" s="25">
        <v>45993</v>
      </c>
      <c r="W4348" s="71"/>
      <c r="X4348" s="2"/>
      <c r="Y4348" s="11" t="s">
        <v>6365</v>
      </c>
      <c r="Z4348" s="2" t="s">
        <v>36</v>
      </c>
      <c r="AA4348" s="13" t="s">
        <v>10355</v>
      </c>
      <c r="AB4348" s="13" t="s">
        <v>10356</v>
      </c>
    </row>
    <row r="4349" spans="1:28" ht="15" customHeight="1">
      <c r="A4349" s="2" t="s">
        <v>10100</v>
      </c>
      <c r="B4349" s="2" t="s">
        <v>711</v>
      </c>
      <c r="C4349" s="31" t="s">
        <v>6366</v>
      </c>
      <c r="D4349" s="2" t="s">
        <v>30</v>
      </c>
      <c r="E4349" s="2" t="s">
        <v>626</v>
      </c>
      <c r="F4349" s="11" t="s">
        <v>6367</v>
      </c>
      <c r="G4349" s="21" t="s">
        <v>5548</v>
      </c>
      <c r="H4349" s="2" t="s">
        <v>6368</v>
      </c>
      <c r="I4349" s="12" t="s">
        <v>570</v>
      </c>
      <c r="J4349" s="22">
        <f>+Tabla1[[#This Row],[FECHA ENTRADA]]</f>
        <v>45993</v>
      </c>
      <c r="K4349" s="22">
        <v>46004</v>
      </c>
      <c r="L4349" s="23">
        <f>_xlfn.DAYS(Tabla1[[#This Row],[FECHA FIN ]],Tabla1[[#This Row],[FECHA INICIO]])</f>
        <v>11</v>
      </c>
      <c r="M4349" s="12"/>
      <c r="N4349" s="20"/>
      <c r="O4349" s="24">
        <f>(Tabla1[[#This Row],[COSTO FIJO ]]/30)*Tabla1[[#This Row],[TOTAL DIAS PROYECTO]]+(Tabla1[[#This Row],[COSTO TEMPORAL]])</f>
        <v>0</v>
      </c>
      <c r="P4349" s="12"/>
      <c r="Q4349" s="12">
        <f>+(Tabla1[[#This Row],[COSTO COCHE]]/30)*Tabla1[[#This Row],[TOTAL DIAS PROYECTO]]</f>
        <v>0</v>
      </c>
      <c r="R4349" s="12">
        <f>+Tabla1[[#This Row],[COSTO TOTAL ALOJAMIENTO]]+Tabla1[[#This Row],[COSTO TOTAL COCHE]]</f>
        <v>0</v>
      </c>
      <c r="S4349" s="2"/>
      <c r="T4349" s="14" t="s">
        <v>44</v>
      </c>
      <c r="U4349" s="14">
        <v>45993</v>
      </c>
      <c r="V4349" s="25">
        <v>46009</v>
      </c>
      <c r="W4349" s="12"/>
      <c r="X4349" s="2"/>
      <c r="Y4349" s="11" t="s">
        <v>6369</v>
      </c>
      <c r="Z4349" s="2" t="s">
        <v>36</v>
      </c>
      <c r="AA4349" s="13" t="s">
        <v>10385</v>
      </c>
      <c r="AB4349" s="13" t="s">
        <v>10386</v>
      </c>
    </row>
    <row r="4350" spans="1:28" ht="15" customHeight="1">
      <c r="A4350" s="2" t="s">
        <v>10047</v>
      </c>
      <c r="B4350" s="2" t="s">
        <v>711</v>
      </c>
      <c r="C4350" s="31" t="s">
        <v>6053</v>
      </c>
      <c r="D4350" s="2" t="s">
        <v>30</v>
      </c>
      <c r="E4350" s="2" t="s">
        <v>87</v>
      </c>
      <c r="F4350" s="11" t="s">
        <v>3134</v>
      </c>
      <c r="G4350" s="21" t="s">
        <v>3135</v>
      </c>
      <c r="H4350" s="157" t="s">
        <v>6141</v>
      </c>
      <c r="I4350" s="12" t="s">
        <v>1392</v>
      </c>
      <c r="J4350" s="22">
        <f>+Tabla1[[#This Row],[FECHA ENTRADA]]</f>
        <v>45981</v>
      </c>
      <c r="K4350" s="22">
        <v>46005</v>
      </c>
      <c r="L4350" s="23">
        <f>_xlfn.DAYS(Tabla1[[#This Row],[FECHA FIN ]],Tabla1[[#This Row],[FECHA INICIO]])</f>
        <v>24</v>
      </c>
      <c r="M4350" s="12"/>
      <c r="N4350" s="20">
        <v>450</v>
      </c>
      <c r="O4350" s="24">
        <f>(Tabla1[[#This Row],[COSTO FIJO ]]/30)*Tabla1[[#This Row],[TOTAL DIAS PROYECTO]]+(Tabla1[[#This Row],[COSTO TEMPORAL]])</f>
        <v>360</v>
      </c>
      <c r="P4350" s="12"/>
      <c r="Q4350" s="12">
        <f>+(Tabla1[[#This Row],[COSTO COCHE]]/30)*Tabla1[[#This Row],[TOTAL DIAS PROYECTO]]</f>
        <v>0</v>
      </c>
      <c r="R4350" s="12">
        <f>+Tabla1[[#This Row],[COSTO TOTAL ALOJAMIENTO]]+Tabla1[[#This Row],[COSTO TOTAL COCHE]]</f>
        <v>360</v>
      </c>
      <c r="S4350" s="2"/>
      <c r="T4350" s="14" t="s">
        <v>35</v>
      </c>
      <c r="U4350" s="14">
        <v>45981</v>
      </c>
      <c r="V4350" s="79"/>
      <c r="W4350" s="71"/>
      <c r="X4350" s="2">
        <v>17</v>
      </c>
      <c r="Y4350" s="11" t="s">
        <v>6370</v>
      </c>
      <c r="Z4350" s="2" t="s">
        <v>36</v>
      </c>
      <c r="AA4350" s="13" t="s">
        <v>10335</v>
      </c>
      <c r="AB4350" s="13">
        <v>404.16500000000002</v>
      </c>
    </row>
    <row r="4351" spans="1:28" ht="15" customHeight="1">
      <c r="A4351" s="2" t="s">
        <v>10095</v>
      </c>
      <c r="B4351" s="2" t="s">
        <v>606</v>
      </c>
      <c r="C4351" s="31" t="s">
        <v>6337</v>
      </c>
      <c r="D4351" s="2" t="s">
        <v>30</v>
      </c>
      <c r="E4351" s="2" t="s">
        <v>31</v>
      </c>
      <c r="F4351" s="11" t="s">
        <v>6371</v>
      </c>
      <c r="G4351" s="21" t="s">
        <v>6372</v>
      </c>
      <c r="H4351" s="157" t="s">
        <v>6340</v>
      </c>
      <c r="I4351" s="12" t="s">
        <v>385</v>
      </c>
      <c r="J4351" s="22">
        <f>+Tabla1[[#This Row],[FECHA ENTRADA]]</f>
        <v>46000</v>
      </c>
      <c r="K4351" s="22">
        <v>46005</v>
      </c>
      <c r="L4351" s="23">
        <f>_xlfn.DAYS(Tabla1[[#This Row],[FECHA FIN ]],Tabla1[[#This Row],[FECHA INICIO]])</f>
        <v>5</v>
      </c>
      <c r="M4351" s="12">
        <v>440</v>
      </c>
      <c r="N4351" s="20"/>
      <c r="O4351" s="24">
        <f>(Tabla1[[#This Row],[COSTO FIJO ]]/30)*Tabla1[[#This Row],[TOTAL DIAS PROYECTO]]+(Tabla1[[#This Row],[COSTO TEMPORAL]])</f>
        <v>440</v>
      </c>
      <c r="P4351" s="12"/>
      <c r="Q4351" s="12">
        <f>+(Tabla1[[#This Row],[COSTO COCHE]]/30)*Tabla1[[#This Row],[TOTAL DIAS PROYECTO]]</f>
        <v>0</v>
      </c>
      <c r="R4351" s="12">
        <f>+Tabla1[[#This Row],[COSTO TOTAL ALOJAMIENTO]]+Tabla1[[#This Row],[COSTO TOTAL COCHE]]</f>
        <v>440</v>
      </c>
      <c r="S4351" s="2"/>
      <c r="T4351" s="14" t="s">
        <v>44</v>
      </c>
      <c r="U4351" s="14">
        <v>46000</v>
      </c>
      <c r="V4351" s="79">
        <v>46031</v>
      </c>
      <c r="W4351" s="12"/>
      <c r="X4351" s="2"/>
      <c r="Y4351" s="11" t="s">
        <v>6373</v>
      </c>
      <c r="Z4351" s="2" t="s">
        <v>36</v>
      </c>
      <c r="AA4351" s="13" t="s">
        <v>10323</v>
      </c>
      <c r="AB4351" s="13" t="s">
        <v>10324</v>
      </c>
    </row>
    <row r="4352" spans="1:28">
      <c r="A4352" s="2" t="s">
        <v>9141</v>
      </c>
      <c r="B4352" s="2" t="s">
        <v>711</v>
      </c>
      <c r="C4352" s="11" t="s">
        <v>2172</v>
      </c>
      <c r="D4352" s="2" t="s">
        <v>99</v>
      </c>
      <c r="E4352" s="2" t="s">
        <v>720</v>
      </c>
      <c r="F4352" s="11" t="s">
        <v>4583</v>
      </c>
      <c r="G4352" t="s">
        <v>4584</v>
      </c>
      <c r="H4352" s="2" t="s">
        <v>4585</v>
      </c>
      <c r="I4352" s="12" t="s">
        <v>2176</v>
      </c>
      <c r="J4352" s="41">
        <f>+Tabla1[[#This Row],[FECHA ENTRADA]]</f>
        <v>45781</v>
      </c>
      <c r="K4352" s="22">
        <v>46127</v>
      </c>
      <c r="L4352" s="23">
        <f>_xlfn.DAYS(Tabla1[[#This Row],[FECHA FIN ]],Tabla1[[#This Row],[FECHA INICIO]])</f>
        <v>346</v>
      </c>
      <c r="M4352" s="12"/>
      <c r="N4352" s="20">
        <v>275</v>
      </c>
      <c r="O4352" s="24">
        <f>(Tabla1[[#This Row],[COSTO FIJO ]]/30)*Tabla1[[#This Row],[TOTAL DIAS PROYECTO]]+(Tabla1[[#This Row],[COSTO TEMPORAL]])</f>
        <v>3171.6666666666665</v>
      </c>
      <c r="P4352" s="12"/>
      <c r="Q4352" s="12">
        <f>+(Tabla1[[#This Row],[COSTO COCHE]]/30)*Tabla1[[#This Row],[TOTAL DIAS PROYECTO]]</f>
        <v>0</v>
      </c>
      <c r="R4352" s="12">
        <f>+Tabla1[[#This Row],[COSTO TOTAL ALOJAMIENTO]]+Tabla1[[#This Row],[COSTO TOTAL COCHE]]</f>
        <v>3171.6666666666665</v>
      </c>
      <c r="S4352" s="2"/>
      <c r="T4352" s="2" t="s">
        <v>35</v>
      </c>
      <c r="U4352" s="14">
        <v>45781</v>
      </c>
      <c r="V4352" s="25"/>
      <c r="W4352" s="12">
        <v>550</v>
      </c>
      <c r="X4352" s="2">
        <v>1</v>
      </c>
      <c r="Y4352" s="11" t="s">
        <v>6374</v>
      </c>
      <c r="Z4352" s="2" t="s">
        <v>36</v>
      </c>
      <c r="AA4352" s="13" t="s">
        <v>10394</v>
      </c>
      <c r="AB4352" s="13" t="s">
        <v>10395</v>
      </c>
    </row>
    <row r="4353" spans="1:28" ht="15" customHeight="1">
      <c r="A4353" s="2" t="s">
        <v>9815</v>
      </c>
      <c r="B4353" s="2" t="s">
        <v>711</v>
      </c>
      <c r="C4353" s="31" t="s">
        <v>4878</v>
      </c>
      <c r="D4353" s="2" t="s">
        <v>30</v>
      </c>
      <c r="E4353" s="2" t="s">
        <v>1130</v>
      </c>
      <c r="F4353" s="11" t="s">
        <v>1131</v>
      </c>
      <c r="G4353" s="11" t="s">
        <v>1132</v>
      </c>
      <c r="H4353" s="2" t="s">
        <v>5468</v>
      </c>
      <c r="I4353" s="12" t="s">
        <v>5469</v>
      </c>
      <c r="J4353" s="22">
        <f>+Tabla1[[#This Row],[FECHA ENTRADA]]</f>
        <v>45928</v>
      </c>
      <c r="K4353" s="22">
        <v>46006</v>
      </c>
      <c r="L4353" s="23">
        <f>_xlfn.DAYS(Tabla1[[#This Row],[FECHA FIN ]],Tabla1[[#This Row],[FECHA INICIO]])</f>
        <v>78</v>
      </c>
      <c r="M4353" s="12"/>
      <c r="N4353" s="24">
        <v>333.33333333333331</v>
      </c>
      <c r="O4353" s="24">
        <f>(Tabla1[[#This Row],[COSTO FIJO ]]/30)*Tabla1[[#This Row],[TOTAL DIAS PROYECTO]]+(Tabla1[[#This Row],[COSTO TEMPORAL]])</f>
        <v>866.66666666666663</v>
      </c>
      <c r="P4353" s="12"/>
      <c r="Q4353" s="12">
        <f>+(Tabla1[[#This Row],[COSTO COCHE]]/30)*Tabla1[[#This Row],[TOTAL DIAS PROYECTO]]</f>
        <v>0</v>
      </c>
      <c r="R4353" s="12">
        <f>+Tabla1[[#This Row],[COSTO TOTAL ALOJAMIENTO]]+Tabla1[[#This Row],[COSTO TOTAL COCHE]]</f>
        <v>866.66666666666663</v>
      </c>
      <c r="S4353" s="2"/>
      <c r="T4353" s="14" t="s">
        <v>35</v>
      </c>
      <c r="U4353" s="14">
        <v>45928</v>
      </c>
      <c r="V4353" s="25"/>
      <c r="W4353" s="71"/>
      <c r="X4353" s="2">
        <v>14</v>
      </c>
      <c r="Y4353" s="11" t="s">
        <v>6375</v>
      </c>
      <c r="Z4353" s="2" t="s">
        <v>36</v>
      </c>
      <c r="AA4353" s="13" t="s">
        <v>10412</v>
      </c>
      <c r="AB4353" s="13">
        <v>4200955</v>
      </c>
    </row>
    <row r="4354" spans="1:28" ht="15" customHeight="1">
      <c r="A4354" s="2" t="s">
        <v>9877</v>
      </c>
      <c r="B4354" s="2" t="s">
        <v>711</v>
      </c>
      <c r="C4354" s="31" t="s">
        <v>5183</v>
      </c>
      <c r="D4354" s="2" t="s">
        <v>30</v>
      </c>
      <c r="E4354" s="2" t="s">
        <v>1130</v>
      </c>
      <c r="F4354" s="11" t="s">
        <v>1131</v>
      </c>
      <c r="G4354" s="11" t="s">
        <v>1132</v>
      </c>
      <c r="H4354" s="2" t="s">
        <v>5468</v>
      </c>
      <c r="I4354" s="12" t="s">
        <v>5469</v>
      </c>
      <c r="J4354" s="22">
        <f>+Tabla1[[#This Row],[FECHA ENTRADA]]</f>
        <v>45994</v>
      </c>
      <c r="K4354" s="22">
        <v>46006</v>
      </c>
      <c r="L4354" s="23">
        <f>_xlfn.DAYS(Tabla1[[#This Row],[FECHA FIN ]],Tabla1[[#This Row],[FECHA INICIO]])</f>
        <v>12</v>
      </c>
      <c r="M4354" s="12"/>
      <c r="N4354" s="20"/>
      <c r="O4354" s="24">
        <f>(Tabla1[[#This Row],[COSTO FIJO ]]/30)*Tabla1[[#This Row],[TOTAL DIAS PROYECTO]]+(Tabla1[[#This Row],[COSTO TEMPORAL]])</f>
        <v>0</v>
      </c>
      <c r="P4354" s="12"/>
      <c r="Q4354" s="12">
        <f>+(Tabla1[[#This Row],[COSTO COCHE]]/30)*Tabla1[[#This Row],[TOTAL DIAS PROYECTO]]</f>
        <v>0</v>
      </c>
      <c r="R4354" s="12">
        <f>+Tabla1[[#This Row],[COSTO TOTAL ALOJAMIENTO]]+Tabla1[[#This Row],[COSTO TOTAL COCHE]]</f>
        <v>0</v>
      </c>
      <c r="S4354" s="2"/>
      <c r="T4354" s="14" t="s">
        <v>35</v>
      </c>
      <c r="U4354" s="14">
        <v>45994</v>
      </c>
      <c r="V4354" s="79"/>
      <c r="W4354" s="12"/>
      <c r="X4354" s="2">
        <v>14</v>
      </c>
      <c r="Y4354" s="11" t="s">
        <v>6375</v>
      </c>
      <c r="Z4354" s="2" t="s">
        <v>36</v>
      </c>
      <c r="AA4354" s="13" t="s">
        <v>10412</v>
      </c>
      <c r="AB4354" s="13">
        <v>4200955</v>
      </c>
    </row>
    <row r="4355" spans="1:28" ht="15" customHeight="1">
      <c r="A4355" s="117" t="s">
        <v>10046</v>
      </c>
      <c r="B4355" s="117" t="s">
        <v>711</v>
      </c>
      <c r="C4355" s="118" t="s">
        <v>6048</v>
      </c>
      <c r="D4355" s="117" t="s">
        <v>30</v>
      </c>
      <c r="E4355" s="117" t="s">
        <v>87</v>
      </c>
      <c r="F4355" s="11" t="s">
        <v>3134</v>
      </c>
      <c r="G4355" s="128" t="s">
        <v>3135</v>
      </c>
      <c r="H4355" s="117" t="s">
        <v>6141</v>
      </c>
      <c r="I4355" s="119" t="s">
        <v>1392</v>
      </c>
      <c r="J4355" s="121">
        <f>+Tabla1[[#This Row],[FECHA ENTRADA]]</f>
        <v>45981</v>
      </c>
      <c r="K4355" s="121">
        <v>46006</v>
      </c>
      <c r="L4355" s="129">
        <f>_xlfn.DAYS(Tabla1[[#This Row],[FECHA FIN ]],Tabla1[[#This Row],[FECHA INICIO]])</f>
        <v>25</v>
      </c>
      <c r="M4355" s="119"/>
      <c r="N4355" s="130">
        <v>450</v>
      </c>
      <c r="O4355" s="131">
        <f>(Tabla1[[#This Row],[COSTO FIJO ]]/30)*Tabla1[[#This Row],[TOTAL DIAS PROYECTO]]+(Tabla1[[#This Row],[COSTO TEMPORAL]])</f>
        <v>375</v>
      </c>
      <c r="P4355" s="119"/>
      <c r="Q4355" s="119">
        <f>+(Tabla1[[#This Row],[COSTO COCHE]]/30)*Tabla1[[#This Row],[TOTAL DIAS PROYECTO]]</f>
        <v>0</v>
      </c>
      <c r="R4355" s="119">
        <f>+Tabla1[[#This Row],[COSTO TOTAL ALOJAMIENTO]]+Tabla1[[#This Row],[COSTO TOTAL COCHE]]</f>
        <v>375</v>
      </c>
      <c r="S4355" s="117"/>
      <c r="T4355" s="124" t="s">
        <v>35</v>
      </c>
      <c r="U4355" s="124">
        <v>45981</v>
      </c>
      <c r="V4355" s="132"/>
      <c r="W4355" s="126"/>
      <c r="X4355" s="117">
        <v>17</v>
      </c>
      <c r="Y4355" s="118" t="s">
        <v>1166</v>
      </c>
      <c r="Z4355" s="117" t="s">
        <v>36</v>
      </c>
      <c r="AA4355" s="127" t="s">
        <v>10335</v>
      </c>
      <c r="AB4355" s="127">
        <v>404.16500000000002</v>
      </c>
    </row>
    <row r="4356" spans="1:28" ht="15" customHeight="1">
      <c r="A4356" s="2" t="s">
        <v>9489</v>
      </c>
      <c r="B4356" s="2" t="s">
        <v>606</v>
      </c>
      <c r="C4356" s="31" t="s">
        <v>3366</v>
      </c>
      <c r="D4356" s="2" t="s">
        <v>30</v>
      </c>
      <c r="E4356" s="2" t="s">
        <v>87</v>
      </c>
      <c r="F4356" s="11" t="s">
        <v>1106</v>
      </c>
      <c r="G4356" s="21"/>
      <c r="H4356" s="2" t="s">
        <v>6376</v>
      </c>
      <c r="I4356" s="10" t="s">
        <v>3364</v>
      </c>
      <c r="J4356" s="22">
        <f>+Tabla1[[#This Row],[FECHA ENTRADA]]</f>
        <v>45956</v>
      </c>
      <c r="K4356" s="22">
        <v>46006</v>
      </c>
      <c r="L4356" s="23">
        <f>_xlfn.DAYS(Tabla1[[#This Row],[FECHA FIN ]],Tabla1[[#This Row],[FECHA INICIO]])</f>
        <v>50</v>
      </c>
      <c r="M4356" s="12"/>
      <c r="N4356" s="12"/>
      <c r="O4356" s="24">
        <f>(Tabla1[[#This Row],[COSTO FIJO ]]/30)*Tabla1[[#This Row],[TOTAL DIAS PROYECTO]]+(Tabla1[[#This Row],[COSTO TEMPORAL]])</f>
        <v>0</v>
      </c>
      <c r="P4356" s="12"/>
      <c r="Q4356" s="12">
        <f>+(Tabla1[[#This Row],[COSTO COCHE]]/30)*Tabla1[[#This Row],[TOTAL DIAS PROYECTO]]</f>
        <v>0</v>
      </c>
      <c r="R4356" s="12">
        <f>+Tabla1[[#This Row],[COSTO TOTAL ALOJAMIENTO]]+Tabla1[[#This Row],[COSTO TOTAL COCHE]]</f>
        <v>0</v>
      </c>
      <c r="S4356" s="2"/>
      <c r="T4356" s="2" t="s">
        <v>8</v>
      </c>
      <c r="U4356" s="14">
        <v>45956</v>
      </c>
      <c r="V4356" s="79"/>
      <c r="W4356" s="71"/>
      <c r="X4356" s="2"/>
      <c r="Y4356" s="11" t="s">
        <v>6377</v>
      </c>
      <c r="Z4356" s="2" t="s">
        <v>36</v>
      </c>
      <c r="AA4356" s="13" t="s">
        <v>10335</v>
      </c>
      <c r="AB4356" s="13">
        <v>404.16500000000002</v>
      </c>
    </row>
    <row r="4357" spans="1:28" ht="15" customHeight="1">
      <c r="A4357" s="2" t="s">
        <v>9170</v>
      </c>
      <c r="B4357" s="2" t="s">
        <v>28</v>
      </c>
      <c r="C4357" s="11" t="s">
        <v>2305</v>
      </c>
      <c r="D4357" s="2" t="s">
        <v>30</v>
      </c>
      <c r="E4357" s="2" t="s">
        <v>686</v>
      </c>
      <c r="F4357" s="11" t="s">
        <v>3068</v>
      </c>
      <c r="G4357" s="21" t="s">
        <v>3069</v>
      </c>
      <c r="H4357" s="2" t="s">
        <v>6378</v>
      </c>
      <c r="I4357" s="12" t="s">
        <v>96</v>
      </c>
      <c r="J4357" s="22">
        <f>+Tabla1[[#This Row],[FECHA ENTRADA]]</f>
        <v>45916</v>
      </c>
      <c r="K4357" s="22">
        <v>45931</v>
      </c>
      <c r="L4357" s="23">
        <f>_xlfn.DAYS(Tabla1[[#This Row],[FECHA FIN ]],Tabla1[[#This Row],[FECHA INICIO]])</f>
        <v>15</v>
      </c>
      <c r="M4357" s="12"/>
      <c r="N4357" s="24"/>
      <c r="O4357" s="24">
        <f>(Tabla1[[#This Row],[COSTO FIJO ]]/30)*Tabla1[[#This Row],[TOTAL DIAS PROYECTO]]+(Tabla1[[#This Row],[COSTO TEMPORAL]])</f>
        <v>0</v>
      </c>
      <c r="P4357" s="12"/>
      <c r="Q4357" s="12">
        <f>+(Tabla1[[#This Row],[COSTO COCHE]]/30)*Tabla1[[#This Row],[TOTAL DIAS PROYECTO]]</f>
        <v>0</v>
      </c>
      <c r="R4357" s="12">
        <f>+Tabla1[[#This Row],[COSTO TOTAL ALOJAMIENTO]]+Tabla1[[#This Row],[COSTO TOTAL COCHE]]</f>
        <v>0</v>
      </c>
      <c r="S4357" s="2"/>
      <c r="T4357" s="14" t="s">
        <v>44</v>
      </c>
      <c r="U4357" s="14">
        <v>45916</v>
      </c>
      <c r="V4357" s="25">
        <v>45931</v>
      </c>
      <c r="W4357" s="71"/>
      <c r="X4357" s="2"/>
      <c r="Y4357" s="136" t="s">
        <v>3697</v>
      </c>
      <c r="Z4357" s="2" t="s">
        <v>36</v>
      </c>
      <c r="AA4357" s="13" t="s">
        <v>10393</v>
      </c>
      <c r="AB4357" s="13">
        <v>3834517</v>
      </c>
    </row>
    <row r="4358" spans="1:28" ht="15" customHeight="1">
      <c r="A4358" s="2" t="s">
        <v>9170</v>
      </c>
      <c r="B4358" s="2" t="s">
        <v>711</v>
      </c>
      <c r="C4358" s="219" t="s">
        <v>2305</v>
      </c>
      <c r="D4358" s="2" t="s">
        <v>30</v>
      </c>
      <c r="E4358" s="2" t="s">
        <v>686</v>
      </c>
      <c r="F4358" s="11" t="s">
        <v>3268</v>
      </c>
      <c r="G4358" s="21" t="s">
        <v>3269</v>
      </c>
      <c r="H4358" s="2" t="s">
        <v>6378</v>
      </c>
      <c r="I4358" s="12" t="s">
        <v>96</v>
      </c>
      <c r="J4358" s="41">
        <f>+Tabla1[[#This Row],[FECHA ENTRADA]]</f>
        <v>45931</v>
      </c>
      <c r="K4358" s="22">
        <v>45986</v>
      </c>
      <c r="L4358" s="42">
        <f>_xlfn.DAYS(Tabla1[[#This Row],[FECHA FIN ]],Tabla1[[#This Row],[FECHA INICIO]])</f>
        <v>55</v>
      </c>
      <c r="M4358" s="12">
        <f>4035.33/4</f>
        <v>1008.8325</v>
      </c>
      <c r="N4358" s="28"/>
      <c r="O4358" s="28">
        <f>(Tabla1[[#This Row],[COSTO FIJO ]]/30)*Tabla1[[#This Row],[TOTAL DIAS PROYECTO]]+(Tabla1[[#This Row],[COSTO TEMPORAL]])</f>
        <v>1008.8325</v>
      </c>
      <c r="P4358" s="12"/>
      <c r="Q4358" s="12">
        <f>+(Tabla1[[#This Row],[COSTO COCHE]]/30)*Tabla1[[#This Row],[TOTAL DIAS PROYECTO]]</f>
        <v>0</v>
      </c>
      <c r="R4358" s="12">
        <f>+Tabla1[[#This Row],[COSTO TOTAL ALOJAMIENTO]]+Tabla1[[#This Row],[COSTO TOTAL COCHE]]</f>
        <v>1008.8325</v>
      </c>
      <c r="S4358" s="2" t="s">
        <v>84</v>
      </c>
      <c r="T4358" s="14" t="s">
        <v>44</v>
      </c>
      <c r="U4358" s="14">
        <v>45931</v>
      </c>
      <c r="V4358" s="25">
        <v>46010</v>
      </c>
      <c r="W4358" s="71"/>
      <c r="X4358" s="2"/>
      <c r="Y4358" s="11" t="s">
        <v>6379</v>
      </c>
      <c r="Z4358" s="2" t="s">
        <v>36</v>
      </c>
      <c r="AA4358" s="13" t="s">
        <v>10393</v>
      </c>
      <c r="AB4358" s="13">
        <v>3834517</v>
      </c>
    </row>
    <row r="4359" spans="1:28" ht="15" customHeight="1">
      <c r="A4359" s="2" t="s">
        <v>8737</v>
      </c>
      <c r="B4359" s="2" t="s">
        <v>711</v>
      </c>
      <c r="C4359" s="31" t="s">
        <v>510</v>
      </c>
      <c r="D4359" s="2" t="s">
        <v>30</v>
      </c>
      <c r="E4359" s="2" t="s">
        <v>855</v>
      </c>
      <c r="F4359" s="11" t="s">
        <v>1662</v>
      </c>
      <c r="G4359" s="49" t="s">
        <v>1474</v>
      </c>
      <c r="H4359" s="2" t="s">
        <v>6380</v>
      </c>
      <c r="I4359" s="12" t="s">
        <v>1392</v>
      </c>
      <c r="J4359" s="22">
        <f>+Tabla1[[#This Row],[FECHA ENTRADA]]</f>
        <v>45942</v>
      </c>
      <c r="K4359" s="22">
        <v>46007</v>
      </c>
      <c r="L4359" s="23">
        <f>_xlfn.DAYS(Tabla1[[#This Row],[FECHA FIN ]],Tabla1[[#This Row],[FECHA INICIO]])</f>
        <v>65</v>
      </c>
      <c r="M4359" s="12">
        <f>(233.333333333333+291.3333)</f>
        <v>524.66663333333304</v>
      </c>
      <c r="N4359" s="24"/>
      <c r="O4359" s="24">
        <f>(Tabla1[[#This Row],[COSTO FIJO ]]/30)*Tabla1[[#This Row],[TOTAL DIAS PROYECTO]]+(Tabla1[[#This Row],[COSTO TEMPORAL]])</f>
        <v>524.66663333333304</v>
      </c>
      <c r="P4359" s="12"/>
      <c r="Q4359" s="12">
        <f>+(Tabla1[[#This Row],[COSTO COCHE]]/30)*Tabla1[[#This Row],[TOTAL DIAS PROYECTO]]</f>
        <v>0</v>
      </c>
      <c r="R4359" s="12">
        <f>+Tabla1[[#This Row],[COSTO TOTAL ALOJAMIENTO]]+Tabla1[[#This Row],[COSTO TOTAL COCHE]]</f>
        <v>524.66663333333304</v>
      </c>
      <c r="S4359" s="2"/>
      <c r="T4359" s="14" t="s">
        <v>44</v>
      </c>
      <c r="U4359" s="14">
        <v>45942</v>
      </c>
      <c r="V4359" s="25">
        <v>46011</v>
      </c>
      <c r="W4359" s="71"/>
      <c r="X4359" s="2"/>
      <c r="Y4359" s="11" t="s">
        <v>6381</v>
      </c>
      <c r="Z4359" s="2" t="s">
        <v>36</v>
      </c>
      <c r="AA4359" s="13" t="s">
        <v>10401</v>
      </c>
      <c r="AB4359" s="13" t="s">
        <v>10402</v>
      </c>
    </row>
    <row r="4360" spans="1:28" ht="15" customHeight="1">
      <c r="A4360" s="2" t="s">
        <v>9993</v>
      </c>
      <c r="B4360" s="2" t="s">
        <v>606</v>
      </c>
      <c r="C4360" s="31" t="s">
        <v>5857</v>
      </c>
      <c r="D4360" s="2" t="s">
        <v>99</v>
      </c>
      <c r="E4360" s="2" t="s">
        <v>31</v>
      </c>
      <c r="F4360" s="11" t="s">
        <v>6382</v>
      </c>
      <c r="G4360" s="21" t="s">
        <v>6372</v>
      </c>
      <c r="H4360" s="2" t="s">
        <v>6227</v>
      </c>
      <c r="I4360" s="12" t="s">
        <v>385</v>
      </c>
      <c r="J4360" s="22">
        <f>+Tabla1[[#This Row],[FECHA ENTRADA]]</f>
        <v>45985</v>
      </c>
      <c r="K4360" s="22">
        <v>46007</v>
      </c>
      <c r="L4360" s="23">
        <f>_xlfn.DAYS(Tabla1[[#This Row],[FECHA FIN ]],Tabla1[[#This Row],[FECHA INICIO]])</f>
        <v>22</v>
      </c>
      <c r="M4360" s="12">
        <v>293.33333333333331</v>
      </c>
      <c r="N4360" s="20"/>
      <c r="O4360" s="24">
        <f>(Tabla1[[#This Row],[COSTO FIJO ]]/30)*Tabla1[[#This Row],[TOTAL DIAS PROYECTO]]+(Tabla1[[#This Row],[COSTO TEMPORAL]])</f>
        <v>293.33333333333331</v>
      </c>
      <c r="P4360" s="12"/>
      <c r="Q4360" s="12">
        <f>+(Tabla1[[#This Row],[COSTO COCHE]]/30)*Tabla1[[#This Row],[TOTAL DIAS PROYECTO]]</f>
        <v>0</v>
      </c>
      <c r="R4360" s="12">
        <f>+Tabla1[[#This Row],[COSTO TOTAL ALOJAMIENTO]]+Tabla1[[#This Row],[COSTO TOTAL COCHE]]</f>
        <v>293.33333333333331</v>
      </c>
      <c r="S4360" s="2"/>
      <c r="T4360" s="14" t="s">
        <v>528</v>
      </c>
      <c r="U4360" s="14">
        <v>45985</v>
      </c>
      <c r="V4360" s="79">
        <v>46015</v>
      </c>
      <c r="W4360" s="71"/>
      <c r="X4360" s="2"/>
      <c r="Y4360" s="11" t="s">
        <v>6383</v>
      </c>
      <c r="Z4360" s="2" t="s">
        <v>36</v>
      </c>
      <c r="AA4360" s="13" t="s">
        <v>10323</v>
      </c>
      <c r="AB4360" s="13" t="s">
        <v>10324</v>
      </c>
    </row>
    <row r="4361" spans="1:28" ht="15" customHeight="1">
      <c r="A4361" s="2" t="s">
        <v>10101</v>
      </c>
      <c r="B4361" s="2" t="s">
        <v>606</v>
      </c>
      <c r="C4361" s="31" t="s">
        <v>6384</v>
      </c>
      <c r="D4361" s="2" t="s">
        <v>99</v>
      </c>
      <c r="E4361" s="2" t="s">
        <v>31</v>
      </c>
      <c r="F4361" s="11" t="s">
        <v>6382</v>
      </c>
      <c r="G4361" s="21" t="s">
        <v>6372</v>
      </c>
      <c r="H4361" s="2" t="s">
        <v>6227</v>
      </c>
      <c r="I4361" s="12" t="s">
        <v>385</v>
      </c>
      <c r="J4361" s="22">
        <f>+Tabla1[[#This Row],[FECHA ENTRADA]]</f>
        <v>45985</v>
      </c>
      <c r="K4361" s="22">
        <v>46007</v>
      </c>
      <c r="L4361" s="23">
        <f>_xlfn.DAYS(Tabla1[[#This Row],[FECHA FIN ]],Tabla1[[#This Row],[FECHA INICIO]])</f>
        <v>22</v>
      </c>
      <c r="M4361" s="12">
        <v>293.33333333333331</v>
      </c>
      <c r="N4361" s="20"/>
      <c r="O4361" s="24">
        <f>(Tabla1[[#This Row],[COSTO FIJO ]]/30)*Tabla1[[#This Row],[TOTAL DIAS PROYECTO]]+(Tabla1[[#This Row],[COSTO TEMPORAL]])</f>
        <v>293.33333333333331</v>
      </c>
      <c r="P4361" s="12"/>
      <c r="Q4361" s="12">
        <f>+(Tabla1[[#This Row],[COSTO COCHE]]/30)*Tabla1[[#This Row],[TOTAL DIAS PROYECTO]]</f>
        <v>0</v>
      </c>
      <c r="R4361" s="12">
        <f>+Tabla1[[#This Row],[COSTO TOTAL ALOJAMIENTO]]+Tabla1[[#This Row],[COSTO TOTAL COCHE]]</f>
        <v>293.33333333333331</v>
      </c>
      <c r="S4361" s="2"/>
      <c r="T4361" s="14" t="s">
        <v>44</v>
      </c>
      <c r="U4361" s="14">
        <v>45985</v>
      </c>
      <c r="V4361" s="79">
        <v>46015</v>
      </c>
      <c r="W4361" s="71"/>
      <c r="X4361" s="2"/>
      <c r="Y4361" s="11" t="s">
        <v>6383</v>
      </c>
      <c r="Z4361" s="2" t="s">
        <v>36</v>
      </c>
      <c r="AA4361" s="13" t="s">
        <v>10323</v>
      </c>
      <c r="AB4361" s="13" t="s">
        <v>10324</v>
      </c>
    </row>
    <row r="4362" spans="1:28" ht="15" customHeight="1">
      <c r="A4362" s="2" t="s">
        <v>9170</v>
      </c>
      <c r="B4362" s="2" t="s">
        <v>711</v>
      </c>
      <c r="C4362" s="69" t="s">
        <v>2305</v>
      </c>
      <c r="D4362" s="2" t="s">
        <v>30</v>
      </c>
      <c r="E4362" s="2" t="s">
        <v>127</v>
      </c>
      <c r="F4362" s="11" t="s">
        <v>128</v>
      </c>
      <c r="G4362" s="197" t="s">
        <v>2111</v>
      </c>
      <c r="H4362" s="2" t="s">
        <v>6385</v>
      </c>
      <c r="I4362" s="12" t="s">
        <v>96</v>
      </c>
      <c r="J4362" s="22">
        <f>+Tabla1[[#This Row],[FECHA ENTRADA]]</f>
        <v>45986</v>
      </c>
      <c r="K4362" s="22">
        <v>46071</v>
      </c>
      <c r="L4362" s="23">
        <f>_xlfn.DAYS(Tabla1[[#This Row],[FECHA FIN ]],Tabla1[[#This Row],[FECHA INICIO]])</f>
        <v>85</v>
      </c>
      <c r="M4362" s="12"/>
      <c r="N4362" s="12">
        <v>312.5</v>
      </c>
      <c r="O4362" s="24">
        <f>(Tabla1[[#This Row],[COSTO FIJO ]]/30)*Tabla1[[#This Row],[TOTAL DIAS PROYECTO]]+(Tabla1[[#This Row],[COSTO TEMPORAL]])</f>
        <v>885.41666666666663</v>
      </c>
      <c r="P4362" s="12"/>
      <c r="Q4362" s="12">
        <f>+(Tabla1[[#This Row],[COSTO COCHE]]/30)*Tabla1[[#This Row],[TOTAL DIAS PROYECTO]]</f>
        <v>0</v>
      </c>
      <c r="R4362" s="12">
        <f>+Tabla1[[#This Row],[COSTO TOTAL ALOJAMIENTO]]+Tabla1[[#This Row],[COSTO TOTAL COCHE]]</f>
        <v>885.41666666666663</v>
      </c>
      <c r="S4362" s="2"/>
      <c r="T4362" s="14" t="s">
        <v>35</v>
      </c>
      <c r="U4362" s="14">
        <v>45986</v>
      </c>
      <c r="V4362" s="79"/>
      <c r="W4362" s="71">
        <v>1000</v>
      </c>
      <c r="X4362" s="2">
        <v>1</v>
      </c>
      <c r="Y4362" s="11"/>
      <c r="Z4362" s="2" t="s">
        <v>36</v>
      </c>
      <c r="AA4362" s="13" t="s">
        <v>10342</v>
      </c>
      <c r="AB4362" s="13" t="s">
        <v>10343</v>
      </c>
    </row>
    <row r="4363" spans="1:28" ht="15" customHeight="1">
      <c r="A4363" s="117" t="s">
        <v>9773</v>
      </c>
      <c r="B4363" s="117" t="s">
        <v>606</v>
      </c>
      <c r="C4363" s="118" t="s">
        <v>4675</v>
      </c>
      <c r="D4363" s="117" t="s">
        <v>30</v>
      </c>
      <c r="E4363" s="2" t="s">
        <v>31</v>
      </c>
      <c r="F4363" s="11" t="s">
        <v>6226</v>
      </c>
      <c r="G4363" s="68" t="s">
        <v>4615</v>
      </c>
      <c r="H4363" s="117" t="s">
        <v>6133</v>
      </c>
      <c r="I4363" s="10" t="s">
        <v>3364</v>
      </c>
      <c r="J4363" s="120">
        <f>+Tabla1[[#This Row],[FECHA ENTRADA]]</f>
        <v>45972</v>
      </c>
      <c r="K4363" s="120">
        <v>46009</v>
      </c>
      <c r="L4363" s="122">
        <f>_xlfn.DAYS(Tabla1[[#This Row],[FECHA FIN ]],Tabla1[[#This Row],[FECHA INICIO]])</f>
        <v>37</v>
      </c>
      <c r="M4363" s="119">
        <v>175</v>
      </c>
      <c r="N4363" s="123"/>
      <c r="O4363" s="123">
        <f>(Tabla1[[#This Row],[COSTO FIJO ]]/30)*Tabla1[[#This Row],[TOTAL DIAS PROYECTO]]+(Tabla1[[#This Row],[COSTO TEMPORAL]])</f>
        <v>175</v>
      </c>
      <c r="P4363" s="119"/>
      <c r="Q4363" s="119">
        <f>+(Tabla1[[#This Row],[COSTO COCHE]]/30)*Tabla1[[#This Row],[TOTAL DIAS PROYECTO]]</f>
        <v>0</v>
      </c>
      <c r="R4363" s="119">
        <f>+Tabla1[[#This Row],[COSTO TOTAL ALOJAMIENTO]]+Tabla1[[#This Row],[COSTO TOTAL COCHE]]</f>
        <v>175</v>
      </c>
      <c r="S4363" s="117"/>
      <c r="T4363" s="124" t="s">
        <v>44</v>
      </c>
      <c r="U4363" s="124">
        <v>45972</v>
      </c>
      <c r="V4363" s="125">
        <v>46009</v>
      </c>
      <c r="W4363" s="126"/>
      <c r="X4363" s="117"/>
      <c r="Y4363" s="118" t="s">
        <v>6386</v>
      </c>
      <c r="Z4363" s="117" t="s">
        <v>36</v>
      </c>
      <c r="AA4363" s="127" t="s">
        <v>10323</v>
      </c>
      <c r="AB4363" s="127" t="s">
        <v>10324</v>
      </c>
    </row>
    <row r="4364" spans="1:28" ht="15" customHeight="1">
      <c r="A4364" s="117" t="s">
        <v>9737</v>
      </c>
      <c r="B4364" s="117" t="s">
        <v>978</v>
      </c>
      <c r="C4364" s="118" t="s">
        <v>4500</v>
      </c>
      <c r="D4364" s="117" t="s">
        <v>30</v>
      </c>
      <c r="E4364" s="117" t="s">
        <v>5074</v>
      </c>
      <c r="F4364" s="11" t="s">
        <v>6387</v>
      </c>
      <c r="G4364" s="128" t="s">
        <v>6388</v>
      </c>
      <c r="H4364" s="117" t="s">
        <v>5077</v>
      </c>
      <c r="I4364" s="119" t="s">
        <v>4504</v>
      </c>
      <c r="J4364" s="121">
        <f>+Tabla1[[#This Row],[FECHA ENTRADA]]</f>
        <v>45937</v>
      </c>
      <c r="K4364" s="121">
        <v>46009</v>
      </c>
      <c r="L4364" s="129">
        <f>_xlfn.DAYS(Tabla1[[#This Row],[FECHA FIN ]],Tabla1[[#This Row],[FECHA INICIO]])</f>
        <v>72</v>
      </c>
      <c r="M4364" s="119">
        <f>428.75+(2200/4)</f>
        <v>978.75</v>
      </c>
      <c r="N4364" s="130"/>
      <c r="O4364" s="131">
        <f>(Tabla1[[#This Row],[COSTO FIJO ]]/30)*Tabla1[[#This Row],[TOTAL DIAS PROYECTO]]+(Tabla1[[#This Row],[COSTO TEMPORAL]])</f>
        <v>978.75</v>
      </c>
      <c r="P4364" s="119"/>
      <c r="Q4364" s="119">
        <f>+(Tabla1[[#This Row],[COSTO COCHE]]/30)*Tabla1[[#This Row],[TOTAL DIAS PROYECTO]]</f>
        <v>0</v>
      </c>
      <c r="R4364" s="119">
        <f>+Tabla1[[#This Row],[COSTO TOTAL ALOJAMIENTO]]+Tabla1[[#This Row],[COSTO TOTAL COCHE]]</f>
        <v>978.75</v>
      </c>
      <c r="S4364" s="117" t="s">
        <v>403</v>
      </c>
      <c r="T4364" s="124" t="s">
        <v>44</v>
      </c>
      <c r="U4364" s="124">
        <v>45937</v>
      </c>
      <c r="V4364" s="25">
        <v>46009</v>
      </c>
      <c r="W4364" s="126"/>
      <c r="X4364" s="117"/>
      <c r="Y4364" s="118" t="s">
        <v>6389</v>
      </c>
      <c r="Z4364" s="117" t="s">
        <v>36</v>
      </c>
      <c r="AA4364" s="127" t="e">
        <v>#N/A</v>
      </c>
      <c r="AB4364" s="127" t="e">
        <v>#N/A</v>
      </c>
    </row>
    <row r="4365" spans="1:28" ht="15" customHeight="1">
      <c r="A4365" s="117" t="s">
        <v>9860</v>
      </c>
      <c r="B4365" s="117" t="s">
        <v>978</v>
      </c>
      <c r="C4365" s="118" t="s">
        <v>5079</v>
      </c>
      <c r="D4365" s="117" t="s">
        <v>30</v>
      </c>
      <c r="E4365" s="117" t="s">
        <v>5074</v>
      </c>
      <c r="F4365" s="11" t="s">
        <v>6387</v>
      </c>
      <c r="G4365" s="128" t="s">
        <v>6388</v>
      </c>
      <c r="H4365" s="117" t="s">
        <v>5077</v>
      </c>
      <c r="I4365" s="119" t="s">
        <v>4504</v>
      </c>
      <c r="J4365" s="121">
        <f>+Tabla1[[#This Row],[FECHA ENTRADA]]</f>
        <v>45937</v>
      </c>
      <c r="K4365" s="121">
        <v>46009</v>
      </c>
      <c r="L4365" s="129">
        <f>_xlfn.DAYS(Tabla1[[#This Row],[FECHA FIN ]],Tabla1[[#This Row],[FECHA INICIO]])</f>
        <v>72</v>
      </c>
      <c r="M4365" s="119">
        <f>428.75+(2200/4)</f>
        <v>978.75</v>
      </c>
      <c r="N4365" s="130"/>
      <c r="O4365" s="131">
        <f>(Tabla1[[#This Row],[COSTO FIJO ]]/30)*Tabla1[[#This Row],[TOTAL DIAS PROYECTO]]+(Tabla1[[#This Row],[COSTO TEMPORAL]])</f>
        <v>978.75</v>
      </c>
      <c r="P4365" s="119"/>
      <c r="Q4365" s="119">
        <f>+(Tabla1[[#This Row],[COSTO COCHE]]/30)*Tabla1[[#This Row],[TOTAL DIAS PROYECTO]]</f>
        <v>0</v>
      </c>
      <c r="R4365" s="119">
        <f>+Tabla1[[#This Row],[COSTO TOTAL ALOJAMIENTO]]+Tabla1[[#This Row],[COSTO TOTAL COCHE]]</f>
        <v>978.75</v>
      </c>
      <c r="S4365" s="117" t="s">
        <v>403</v>
      </c>
      <c r="T4365" s="124" t="s">
        <v>44</v>
      </c>
      <c r="U4365" s="124">
        <v>45937</v>
      </c>
      <c r="V4365" s="25">
        <v>46009</v>
      </c>
      <c r="W4365" s="126"/>
      <c r="X4365" s="117"/>
      <c r="Y4365" s="118" t="s">
        <v>6390</v>
      </c>
      <c r="Z4365" s="117" t="s">
        <v>36</v>
      </c>
      <c r="AA4365" s="127" t="e">
        <v>#N/A</v>
      </c>
      <c r="AB4365" s="127" t="e">
        <v>#N/A</v>
      </c>
    </row>
    <row r="4366" spans="1:28" ht="15" customHeight="1">
      <c r="A4366" s="117" t="s">
        <v>9210</v>
      </c>
      <c r="B4366" s="117" t="s">
        <v>978</v>
      </c>
      <c r="C4366" s="101" t="s">
        <v>2447</v>
      </c>
      <c r="D4366" s="117" t="s">
        <v>30</v>
      </c>
      <c r="E4366" s="117" t="s">
        <v>5074</v>
      </c>
      <c r="F4366" s="11" t="s">
        <v>6387</v>
      </c>
      <c r="G4366" s="128" t="s">
        <v>6388</v>
      </c>
      <c r="H4366" s="117" t="s">
        <v>5077</v>
      </c>
      <c r="I4366" s="119" t="s">
        <v>4504</v>
      </c>
      <c r="J4366" s="121">
        <f>+Tabla1[[#This Row],[FECHA ENTRADA]]</f>
        <v>45937</v>
      </c>
      <c r="K4366" s="121">
        <v>46009</v>
      </c>
      <c r="L4366" s="129">
        <f>_xlfn.DAYS(Tabla1[[#This Row],[FECHA FIN ]],Tabla1[[#This Row],[FECHA INICIO]])</f>
        <v>72</v>
      </c>
      <c r="M4366" s="119">
        <f>428.75+(2200/4)</f>
        <v>978.75</v>
      </c>
      <c r="N4366" s="130"/>
      <c r="O4366" s="131">
        <f>(Tabla1[[#This Row],[COSTO FIJO ]]/30)*Tabla1[[#This Row],[TOTAL DIAS PROYECTO]]+(Tabla1[[#This Row],[COSTO TEMPORAL]])</f>
        <v>978.75</v>
      </c>
      <c r="P4366" s="119"/>
      <c r="Q4366" s="119">
        <f>+(Tabla1[[#This Row],[COSTO COCHE]]/30)*Tabla1[[#This Row],[TOTAL DIAS PROYECTO]]</f>
        <v>0</v>
      </c>
      <c r="R4366" s="119">
        <f>+Tabla1[[#This Row],[COSTO TOTAL ALOJAMIENTO]]+Tabla1[[#This Row],[COSTO TOTAL COCHE]]</f>
        <v>978.75</v>
      </c>
      <c r="S4366" s="117" t="s">
        <v>403</v>
      </c>
      <c r="T4366" s="124" t="s">
        <v>44</v>
      </c>
      <c r="U4366" s="124">
        <v>45937</v>
      </c>
      <c r="V4366" s="25">
        <v>46009</v>
      </c>
      <c r="W4366" s="126"/>
      <c r="X4366" s="117"/>
      <c r="Y4366" s="118" t="s">
        <v>6391</v>
      </c>
      <c r="Z4366" s="117" t="s">
        <v>36</v>
      </c>
      <c r="AA4366" s="127" t="e">
        <v>#N/A</v>
      </c>
      <c r="AB4366" s="127" t="e">
        <v>#N/A</v>
      </c>
    </row>
    <row r="4367" spans="1:28" ht="15" customHeight="1">
      <c r="A4367" s="117" t="s">
        <v>9862</v>
      </c>
      <c r="B4367" s="117" t="s">
        <v>978</v>
      </c>
      <c r="C4367" s="101" t="s">
        <v>5097</v>
      </c>
      <c r="D4367" s="117" t="s">
        <v>30</v>
      </c>
      <c r="E4367" s="117" t="s">
        <v>5074</v>
      </c>
      <c r="F4367" s="11" t="s">
        <v>6387</v>
      </c>
      <c r="G4367" s="128" t="s">
        <v>6388</v>
      </c>
      <c r="H4367" s="117" t="s">
        <v>5077</v>
      </c>
      <c r="I4367" s="119" t="s">
        <v>4504</v>
      </c>
      <c r="J4367" s="121">
        <f>+Tabla1[[#This Row],[FECHA ENTRADA]]</f>
        <v>45937</v>
      </c>
      <c r="K4367" s="121">
        <v>46009</v>
      </c>
      <c r="L4367" s="129">
        <f>_xlfn.DAYS(Tabla1[[#This Row],[FECHA FIN ]],Tabla1[[#This Row],[FECHA INICIO]])</f>
        <v>72</v>
      </c>
      <c r="M4367" s="119">
        <f>428.75+(2200/4)</f>
        <v>978.75</v>
      </c>
      <c r="N4367" s="130"/>
      <c r="O4367" s="131">
        <f>(Tabla1[[#This Row],[COSTO FIJO ]]/30)*Tabla1[[#This Row],[TOTAL DIAS PROYECTO]]+(Tabla1[[#This Row],[COSTO TEMPORAL]])</f>
        <v>978.75</v>
      </c>
      <c r="P4367" s="119"/>
      <c r="Q4367" s="119">
        <f>+(Tabla1[[#This Row],[COSTO COCHE]]/30)*Tabla1[[#This Row],[TOTAL DIAS PROYECTO]]</f>
        <v>0</v>
      </c>
      <c r="R4367" s="119">
        <f>+Tabla1[[#This Row],[COSTO TOTAL ALOJAMIENTO]]+Tabla1[[#This Row],[COSTO TOTAL COCHE]]</f>
        <v>978.75</v>
      </c>
      <c r="S4367" s="117" t="s">
        <v>403</v>
      </c>
      <c r="T4367" s="124" t="s">
        <v>44</v>
      </c>
      <c r="U4367" s="124">
        <v>45937</v>
      </c>
      <c r="V4367" s="25">
        <v>46009</v>
      </c>
      <c r="W4367" s="126"/>
      <c r="X4367" s="117"/>
      <c r="Y4367" s="118" t="s">
        <v>6391</v>
      </c>
      <c r="Z4367" s="117" t="s">
        <v>36</v>
      </c>
      <c r="AA4367" s="127" t="e">
        <v>#N/A</v>
      </c>
      <c r="AB4367" s="127" t="e">
        <v>#N/A</v>
      </c>
    </row>
    <row r="4368" spans="1:28" ht="15" customHeight="1">
      <c r="A4368" s="117" t="s">
        <v>8642</v>
      </c>
      <c r="B4368" s="117" t="s">
        <v>978</v>
      </c>
      <c r="C4368" s="118" t="s">
        <v>6392</v>
      </c>
      <c r="D4368" s="117" t="s">
        <v>30</v>
      </c>
      <c r="E4368" s="117" t="s">
        <v>6393</v>
      </c>
      <c r="F4368" s="11" t="s">
        <v>6394</v>
      </c>
      <c r="G4368" s="128" t="s">
        <v>6395</v>
      </c>
      <c r="H4368" s="117" t="s">
        <v>6396</v>
      </c>
      <c r="I4368" s="119" t="s">
        <v>4276</v>
      </c>
      <c r="J4368" s="121">
        <f>+Tabla1[[#This Row],[FECHA ENTRADA]]</f>
        <v>45984</v>
      </c>
      <c r="K4368" s="121">
        <v>46009</v>
      </c>
      <c r="L4368" s="129">
        <f>_xlfn.DAYS(Tabla1[[#This Row],[FECHA FIN ]],Tabla1[[#This Row],[FECHA INICIO]])</f>
        <v>25</v>
      </c>
      <c r="M4368" s="119">
        <f>962.01/3</f>
        <v>320.67</v>
      </c>
      <c r="N4368" s="131"/>
      <c r="O4368" s="131">
        <f>(Tabla1[[#This Row],[COSTO FIJO ]]/30)*Tabla1[[#This Row],[TOTAL DIAS PROYECTO]]+(Tabla1[[#This Row],[COSTO TEMPORAL]])</f>
        <v>320.67</v>
      </c>
      <c r="P4368" s="119"/>
      <c r="Q4368" s="119">
        <f>+(Tabla1[[#This Row],[COSTO COCHE]]/30)*Tabla1[[#This Row],[TOTAL DIAS PROYECTO]]</f>
        <v>0</v>
      </c>
      <c r="R4368" s="119">
        <f>+Tabla1[[#This Row],[COSTO TOTAL ALOJAMIENTO]]+Tabla1[[#This Row],[COSTO TOTAL COCHE]]</f>
        <v>320.67</v>
      </c>
      <c r="S4368" s="117" t="s">
        <v>84</v>
      </c>
      <c r="T4368" s="124" t="s">
        <v>44</v>
      </c>
      <c r="U4368" s="124">
        <v>45984</v>
      </c>
      <c r="V4368" s="125">
        <v>46010</v>
      </c>
      <c r="W4368" s="126"/>
      <c r="X4368" s="117"/>
      <c r="Y4368" s="118" t="s">
        <v>1166</v>
      </c>
      <c r="Z4368" s="117" t="s">
        <v>36</v>
      </c>
      <c r="AA4368" s="127" t="e">
        <v>#N/A</v>
      </c>
      <c r="AB4368" s="127" t="e">
        <v>#N/A</v>
      </c>
    </row>
    <row r="4369" spans="1:28" ht="15" customHeight="1">
      <c r="A4369" s="117" t="s">
        <v>10102</v>
      </c>
      <c r="B4369" s="117" t="s">
        <v>978</v>
      </c>
      <c r="C4369" s="118" t="s">
        <v>6397</v>
      </c>
      <c r="D4369" s="117" t="s">
        <v>99</v>
      </c>
      <c r="E4369" s="117" t="s">
        <v>6393</v>
      </c>
      <c r="F4369" s="11" t="s">
        <v>6394</v>
      </c>
      <c r="G4369" s="128" t="s">
        <v>6395</v>
      </c>
      <c r="H4369" s="117" t="s">
        <v>6396</v>
      </c>
      <c r="I4369" s="119" t="s">
        <v>4276</v>
      </c>
      <c r="J4369" s="121">
        <f>+Tabla1[[#This Row],[FECHA ENTRADA]]</f>
        <v>45984</v>
      </c>
      <c r="K4369" s="121">
        <v>46009</v>
      </c>
      <c r="L4369" s="129">
        <f>_xlfn.DAYS(Tabla1[[#This Row],[FECHA FIN ]],Tabla1[[#This Row],[FECHA INICIO]])</f>
        <v>25</v>
      </c>
      <c r="M4369" s="119">
        <f>962.01/3</f>
        <v>320.67</v>
      </c>
      <c r="N4369" s="131"/>
      <c r="O4369" s="131">
        <f>(Tabla1[[#This Row],[COSTO FIJO ]]/30)*Tabla1[[#This Row],[TOTAL DIAS PROYECTO]]+(Tabla1[[#This Row],[COSTO TEMPORAL]])</f>
        <v>320.67</v>
      </c>
      <c r="P4369" s="119"/>
      <c r="Q4369" s="119">
        <f>+(Tabla1[[#This Row],[COSTO COCHE]]/30)*Tabla1[[#This Row],[TOTAL DIAS PROYECTO]]</f>
        <v>0</v>
      </c>
      <c r="R4369" s="119">
        <f>+Tabla1[[#This Row],[COSTO TOTAL ALOJAMIENTO]]+Tabla1[[#This Row],[COSTO TOTAL COCHE]]</f>
        <v>320.67</v>
      </c>
      <c r="S4369" s="117" t="s">
        <v>84</v>
      </c>
      <c r="T4369" s="124" t="s">
        <v>44</v>
      </c>
      <c r="U4369" s="124">
        <v>45984</v>
      </c>
      <c r="V4369" s="125">
        <v>46010</v>
      </c>
      <c r="W4369" s="126"/>
      <c r="X4369" s="117"/>
      <c r="Y4369" s="118" t="s">
        <v>1166</v>
      </c>
      <c r="Z4369" s="117" t="s">
        <v>36</v>
      </c>
      <c r="AA4369" s="127" t="e">
        <v>#N/A</v>
      </c>
      <c r="AB4369" s="127" t="e">
        <v>#N/A</v>
      </c>
    </row>
    <row r="4370" spans="1:28" ht="15" customHeight="1">
      <c r="A4370" s="117" t="s">
        <v>10022</v>
      </c>
      <c r="B4370" s="117" t="s">
        <v>978</v>
      </c>
      <c r="C4370" s="118" t="s">
        <v>5983</v>
      </c>
      <c r="D4370" s="117" t="s">
        <v>99</v>
      </c>
      <c r="E4370" s="117" t="s">
        <v>6393</v>
      </c>
      <c r="F4370" s="11" t="s">
        <v>6394</v>
      </c>
      <c r="G4370" s="128" t="s">
        <v>6395</v>
      </c>
      <c r="H4370" s="117" t="s">
        <v>6396</v>
      </c>
      <c r="I4370" s="119" t="s">
        <v>4276</v>
      </c>
      <c r="J4370" s="121">
        <f>+Tabla1[[#This Row],[FECHA ENTRADA]]</f>
        <v>45984</v>
      </c>
      <c r="K4370" s="121">
        <v>46009</v>
      </c>
      <c r="L4370" s="129">
        <f>_xlfn.DAYS(Tabla1[[#This Row],[FECHA FIN ]],Tabla1[[#This Row],[FECHA INICIO]])</f>
        <v>25</v>
      </c>
      <c r="M4370" s="119">
        <f>962.01/3</f>
        <v>320.67</v>
      </c>
      <c r="N4370" s="131"/>
      <c r="O4370" s="131">
        <f>(Tabla1[[#This Row],[COSTO FIJO ]]/30)*Tabla1[[#This Row],[TOTAL DIAS PROYECTO]]+(Tabla1[[#This Row],[COSTO TEMPORAL]])</f>
        <v>320.67</v>
      </c>
      <c r="P4370" s="119"/>
      <c r="Q4370" s="119">
        <f>+(Tabla1[[#This Row],[COSTO COCHE]]/30)*Tabla1[[#This Row],[TOTAL DIAS PROYECTO]]</f>
        <v>0</v>
      </c>
      <c r="R4370" s="119">
        <f>+Tabla1[[#This Row],[COSTO TOTAL ALOJAMIENTO]]+Tabla1[[#This Row],[COSTO TOTAL COCHE]]</f>
        <v>320.67</v>
      </c>
      <c r="S4370" s="117" t="s">
        <v>84</v>
      </c>
      <c r="T4370" s="124" t="s">
        <v>44</v>
      </c>
      <c r="U4370" s="124">
        <v>45984</v>
      </c>
      <c r="V4370" s="125">
        <v>46010</v>
      </c>
      <c r="W4370" s="126"/>
      <c r="X4370" s="117"/>
      <c r="Y4370" s="118" t="s">
        <v>1166</v>
      </c>
      <c r="Z4370" s="117" t="s">
        <v>36</v>
      </c>
      <c r="AA4370" s="127" t="e">
        <v>#N/A</v>
      </c>
      <c r="AB4370" s="127" t="e">
        <v>#N/A</v>
      </c>
    </row>
    <row r="4371" spans="1:28" ht="15" customHeight="1">
      <c r="A4371" s="117" t="s">
        <v>10055</v>
      </c>
      <c r="B4371" s="117" t="s">
        <v>711</v>
      </c>
      <c r="C4371" s="118" t="s">
        <v>6110</v>
      </c>
      <c r="D4371" s="117" t="s">
        <v>99</v>
      </c>
      <c r="E4371" s="117" t="s">
        <v>1514</v>
      </c>
      <c r="F4371" s="11" t="s">
        <v>6398</v>
      </c>
      <c r="G4371" s="128" t="s">
        <v>6399</v>
      </c>
      <c r="H4371" s="117" t="s">
        <v>6351</v>
      </c>
      <c r="I4371" s="119" t="s">
        <v>989</v>
      </c>
      <c r="J4371" s="121">
        <f>+Tabla1[[#This Row],[FECHA ENTRADA]]</f>
        <v>46001</v>
      </c>
      <c r="K4371" s="121">
        <v>46009</v>
      </c>
      <c r="L4371" s="129">
        <f>_xlfn.DAYS(Tabla1[[#This Row],[FECHA FIN ]],Tabla1[[#This Row],[FECHA INICIO]])</f>
        <v>8</v>
      </c>
      <c r="M4371" s="119">
        <f>705.6/4</f>
        <v>176.4</v>
      </c>
      <c r="N4371" s="130"/>
      <c r="O4371" s="131">
        <f>(Tabla1[[#This Row],[COSTO FIJO ]]/30)*Tabla1[[#This Row],[TOTAL DIAS PROYECTO]]+(Tabla1[[#This Row],[COSTO TEMPORAL]])</f>
        <v>176.4</v>
      </c>
      <c r="P4371" s="119"/>
      <c r="Q4371" s="119">
        <f>+(Tabla1[[#This Row],[COSTO COCHE]]/30)*Tabla1[[#This Row],[TOTAL DIAS PROYECTO]]</f>
        <v>0</v>
      </c>
      <c r="R4371" s="119">
        <f>+Tabla1[[#This Row],[COSTO TOTAL ALOJAMIENTO]]+Tabla1[[#This Row],[COSTO TOTAL COCHE]]</f>
        <v>176.4</v>
      </c>
      <c r="S4371" s="117"/>
      <c r="T4371" s="124" t="s">
        <v>44</v>
      </c>
      <c r="U4371" s="124">
        <v>46001</v>
      </c>
      <c r="V4371" s="125">
        <v>46009</v>
      </c>
      <c r="W4371" s="119"/>
      <c r="X4371" s="117"/>
      <c r="Y4371" s="118" t="s">
        <v>6400</v>
      </c>
      <c r="Z4371" s="117" t="s">
        <v>36</v>
      </c>
      <c r="AA4371" s="127" t="s">
        <v>10424</v>
      </c>
      <c r="AB4371" s="127">
        <v>398581</v>
      </c>
    </row>
    <row r="4372" spans="1:28" ht="15" customHeight="1">
      <c r="A4372" s="117" t="s">
        <v>10103</v>
      </c>
      <c r="B4372" s="117" t="s">
        <v>711</v>
      </c>
      <c r="C4372" s="118" t="s">
        <v>6401</v>
      </c>
      <c r="D4372" s="117" t="s">
        <v>30</v>
      </c>
      <c r="E4372" s="117" t="s">
        <v>1514</v>
      </c>
      <c r="F4372" s="11" t="s">
        <v>6398</v>
      </c>
      <c r="G4372" s="128" t="s">
        <v>6399</v>
      </c>
      <c r="H4372" s="117" t="s">
        <v>6351</v>
      </c>
      <c r="I4372" s="119" t="s">
        <v>989</v>
      </c>
      <c r="J4372" s="121">
        <f>+Tabla1[[#This Row],[FECHA ENTRADA]]</f>
        <v>46001</v>
      </c>
      <c r="K4372" s="121">
        <v>46009</v>
      </c>
      <c r="L4372" s="129">
        <f>_xlfn.DAYS(Tabla1[[#This Row],[FECHA FIN ]],Tabla1[[#This Row],[FECHA INICIO]])</f>
        <v>8</v>
      </c>
      <c r="M4372" s="119">
        <f>705.6/4</f>
        <v>176.4</v>
      </c>
      <c r="N4372" s="130"/>
      <c r="O4372" s="131">
        <f>(Tabla1[[#This Row],[COSTO FIJO ]]/30)*Tabla1[[#This Row],[TOTAL DIAS PROYECTO]]+(Tabla1[[#This Row],[COSTO TEMPORAL]])</f>
        <v>176.4</v>
      </c>
      <c r="P4372" s="119"/>
      <c r="Q4372" s="119">
        <f>+(Tabla1[[#This Row],[COSTO COCHE]]/30)*Tabla1[[#This Row],[TOTAL DIAS PROYECTO]]</f>
        <v>0</v>
      </c>
      <c r="R4372" s="119">
        <f>+Tabla1[[#This Row],[COSTO TOTAL ALOJAMIENTO]]+Tabla1[[#This Row],[COSTO TOTAL COCHE]]</f>
        <v>176.4</v>
      </c>
      <c r="S4372" s="117"/>
      <c r="T4372" s="124" t="s">
        <v>44</v>
      </c>
      <c r="U4372" s="124">
        <v>46001</v>
      </c>
      <c r="V4372" s="125">
        <v>46009</v>
      </c>
      <c r="W4372" s="119"/>
      <c r="X4372" s="117"/>
      <c r="Y4372" s="118" t="s">
        <v>6400</v>
      </c>
      <c r="Z4372" s="117" t="s">
        <v>36</v>
      </c>
      <c r="AA4372" s="127" t="s">
        <v>10424</v>
      </c>
      <c r="AB4372" s="127">
        <v>398581</v>
      </c>
    </row>
    <row r="4373" spans="1:28" ht="15" customHeight="1">
      <c r="A4373" s="117" t="s">
        <v>9759</v>
      </c>
      <c r="B4373" s="117" t="s">
        <v>711</v>
      </c>
      <c r="C4373" s="118" t="s">
        <v>4589</v>
      </c>
      <c r="D4373" s="117" t="s">
        <v>30</v>
      </c>
      <c r="E4373" s="117" t="s">
        <v>1514</v>
      </c>
      <c r="F4373" s="11" t="s">
        <v>6398</v>
      </c>
      <c r="G4373" s="128" t="s">
        <v>6399</v>
      </c>
      <c r="H4373" s="117" t="s">
        <v>6351</v>
      </c>
      <c r="I4373" s="119" t="s">
        <v>989</v>
      </c>
      <c r="J4373" s="121">
        <f>+Tabla1[[#This Row],[FECHA ENTRADA]]</f>
        <v>46001</v>
      </c>
      <c r="K4373" s="121">
        <v>46009</v>
      </c>
      <c r="L4373" s="129">
        <f>_xlfn.DAYS(Tabla1[[#This Row],[FECHA FIN ]],Tabla1[[#This Row],[FECHA INICIO]])</f>
        <v>8</v>
      </c>
      <c r="M4373" s="119">
        <f>705.6/4</f>
        <v>176.4</v>
      </c>
      <c r="N4373" s="130"/>
      <c r="O4373" s="131">
        <f>(Tabla1[[#This Row],[COSTO FIJO ]]/30)*Tabla1[[#This Row],[TOTAL DIAS PROYECTO]]+(Tabla1[[#This Row],[COSTO TEMPORAL]])</f>
        <v>176.4</v>
      </c>
      <c r="P4373" s="119"/>
      <c r="Q4373" s="119">
        <f>+(Tabla1[[#This Row],[COSTO COCHE]]/30)*Tabla1[[#This Row],[TOTAL DIAS PROYECTO]]</f>
        <v>0</v>
      </c>
      <c r="R4373" s="119">
        <f>+Tabla1[[#This Row],[COSTO TOTAL ALOJAMIENTO]]+Tabla1[[#This Row],[COSTO TOTAL COCHE]]</f>
        <v>176.4</v>
      </c>
      <c r="S4373" s="117"/>
      <c r="T4373" s="124" t="s">
        <v>44</v>
      </c>
      <c r="U4373" s="124">
        <v>46001</v>
      </c>
      <c r="V4373" s="125">
        <v>46009</v>
      </c>
      <c r="W4373" s="119"/>
      <c r="X4373" s="117"/>
      <c r="Y4373" s="118" t="s">
        <v>6400</v>
      </c>
      <c r="Z4373" s="117" t="s">
        <v>36</v>
      </c>
      <c r="AA4373" s="127" t="s">
        <v>10424</v>
      </c>
      <c r="AB4373" s="127">
        <v>398581</v>
      </c>
    </row>
    <row r="4374" spans="1:28" ht="15" customHeight="1">
      <c r="A4374" s="117" t="s">
        <v>9962</v>
      </c>
      <c r="B4374" s="117" t="s">
        <v>711</v>
      </c>
      <c r="C4374" s="118" t="s">
        <v>5744</v>
      </c>
      <c r="D4374" s="117" t="s">
        <v>30</v>
      </c>
      <c r="E4374" s="117" t="s">
        <v>1514</v>
      </c>
      <c r="F4374" s="11" t="s">
        <v>6398</v>
      </c>
      <c r="G4374" s="128" t="s">
        <v>6399</v>
      </c>
      <c r="H4374" s="117" t="s">
        <v>6351</v>
      </c>
      <c r="I4374" s="119" t="s">
        <v>989</v>
      </c>
      <c r="J4374" s="121">
        <f>+Tabla1[[#This Row],[FECHA ENTRADA]]</f>
        <v>46001</v>
      </c>
      <c r="K4374" s="121">
        <v>46009</v>
      </c>
      <c r="L4374" s="129">
        <f>_xlfn.DAYS(Tabla1[[#This Row],[FECHA FIN ]],Tabla1[[#This Row],[FECHA INICIO]])</f>
        <v>8</v>
      </c>
      <c r="M4374" s="119">
        <f>705.6/4</f>
        <v>176.4</v>
      </c>
      <c r="N4374" s="130"/>
      <c r="O4374" s="131">
        <f>(Tabla1[[#This Row],[COSTO FIJO ]]/30)*Tabla1[[#This Row],[TOTAL DIAS PROYECTO]]+(Tabla1[[#This Row],[COSTO TEMPORAL]])</f>
        <v>176.4</v>
      </c>
      <c r="P4374" s="119"/>
      <c r="Q4374" s="119">
        <f>+(Tabla1[[#This Row],[COSTO COCHE]]/30)*Tabla1[[#This Row],[TOTAL DIAS PROYECTO]]</f>
        <v>0</v>
      </c>
      <c r="R4374" s="119">
        <f>+Tabla1[[#This Row],[COSTO TOTAL ALOJAMIENTO]]+Tabla1[[#This Row],[COSTO TOTAL COCHE]]</f>
        <v>176.4</v>
      </c>
      <c r="S4374" s="117"/>
      <c r="T4374" s="124" t="s">
        <v>44</v>
      </c>
      <c r="U4374" s="124">
        <v>46001</v>
      </c>
      <c r="V4374" s="125">
        <v>46009</v>
      </c>
      <c r="W4374" s="119"/>
      <c r="X4374" s="117"/>
      <c r="Y4374" s="118" t="s">
        <v>6400</v>
      </c>
      <c r="Z4374" s="117" t="s">
        <v>36</v>
      </c>
      <c r="AA4374" s="127" t="s">
        <v>10424</v>
      </c>
      <c r="AB4374" s="127">
        <v>398581</v>
      </c>
    </row>
    <row r="4375" spans="1:28" ht="15" customHeight="1">
      <c r="A4375" s="2" t="s">
        <v>9186</v>
      </c>
      <c r="B4375" s="2" t="s">
        <v>606</v>
      </c>
      <c r="C4375" s="31" t="s">
        <v>2361</v>
      </c>
      <c r="D4375" s="2" t="s">
        <v>30</v>
      </c>
      <c r="E4375" s="2" t="s">
        <v>87</v>
      </c>
      <c r="F4375" s="11" t="s">
        <v>1106</v>
      </c>
      <c r="G4375" s="21"/>
      <c r="H4375" s="2" t="s">
        <v>6376</v>
      </c>
      <c r="I4375" s="10" t="s">
        <v>3364</v>
      </c>
      <c r="J4375" s="22">
        <f>+Tabla1[[#This Row],[FECHA ENTRADA]]</f>
        <v>45956</v>
      </c>
      <c r="K4375" s="22">
        <v>46009</v>
      </c>
      <c r="L4375" s="23">
        <f>_xlfn.DAYS(Tabla1[[#This Row],[FECHA FIN ]],Tabla1[[#This Row],[FECHA INICIO]])</f>
        <v>53</v>
      </c>
      <c r="M4375" s="12"/>
      <c r="N4375" s="20">
        <v>0</v>
      </c>
      <c r="O4375" s="24">
        <f>(Tabla1[[#This Row],[COSTO FIJO ]]/30)*Tabla1[[#This Row],[TOTAL DIAS PROYECTO]]+(Tabla1[[#This Row],[COSTO TEMPORAL]])</f>
        <v>0</v>
      </c>
      <c r="P4375" s="12"/>
      <c r="Q4375" s="12">
        <f>+(Tabla1[[#This Row],[COSTO COCHE]]/30)*Tabla1[[#This Row],[TOTAL DIAS PROYECTO]]</f>
        <v>0</v>
      </c>
      <c r="R4375" s="12">
        <f>+Tabla1[[#This Row],[COSTO TOTAL ALOJAMIENTO]]+Tabla1[[#This Row],[COSTO TOTAL COCHE]]</f>
        <v>0</v>
      </c>
      <c r="S4375" s="2"/>
      <c r="T4375" s="2" t="s">
        <v>8</v>
      </c>
      <c r="U4375" s="14">
        <v>45956</v>
      </c>
      <c r="V4375" s="79"/>
      <c r="W4375" s="71"/>
      <c r="X4375" s="2"/>
      <c r="Y4375" s="11" t="s">
        <v>6402</v>
      </c>
      <c r="Z4375" s="2" t="s">
        <v>36</v>
      </c>
      <c r="AA4375" s="13" t="s">
        <v>10335</v>
      </c>
      <c r="AB4375" s="13">
        <v>404.16500000000002</v>
      </c>
    </row>
    <row r="4376" spans="1:28" ht="15" customHeight="1">
      <c r="A4376" s="2" t="s">
        <v>9756</v>
      </c>
      <c r="B4376" s="2" t="s">
        <v>978</v>
      </c>
      <c r="C4376" s="11" t="s">
        <v>4574</v>
      </c>
      <c r="D4376" s="2" t="s">
        <v>99</v>
      </c>
      <c r="E4376" s="2" t="s">
        <v>1443</v>
      </c>
      <c r="F4376" s="11" t="s">
        <v>1444</v>
      </c>
      <c r="G4376" s="11" t="s">
        <v>1445</v>
      </c>
      <c r="H4376" s="2" t="s">
        <v>4612</v>
      </c>
      <c r="I4376" s="6" t="s">
        <v>4477</v>
      </c>
      <c r="J4376" s="22">
        <f>+Tabla1[[#This Row],[FECHA ENTRADA]]</f>
        <v>45915</v>
      </c>
      <c r="K4376" s="22">
        <v>46010</v>
      </c>
      <c r="L4376" s="23">
        <f>_xlfn.DAYS(Tabla1[[#This Row],[FECHA FIN ]],Tabla1[[#This Row],[FECHA INICIO]])</f>
        <v>95</v>
      </c>
      <c r="M4376" s="12"/>
      <c r="N4376" s="20">
        <v>450</v>
      </c>
      <c r="O4376" s="24">
        <f>(Tabla1[[#This Row],[COSTO FIJO ]]/30)*Tabla1[[#This Row],[TOTAL DIAS PROYECTO]]+(Tabla1[[#This Row],[COSTO TEMPORAL]])</f>
        <v>1425</v>
      </c>
      <c r="P4376" s="12"/>
      <c r="Q4376" s="12">
        <f>+(Tabla1[[#This Row],[COSTO COCHE]]/30)*Tabla1[[#This Row],[TOTAL DIAS PROYECTO]]</f>
        <v>0</v>
      </c>
      <c r="R4376" s="12">
        <f>+Tabla1[[#This Row],[COSTO TOTAL ALOJAMIENTO]]+Tabla1[[#This Row],[COSTO TOTAL COCHE]]</f>
        <v>1425</v>
      </c>
      <c r="S4376" s="2"/>
      <c r="T4376" s="14" t="s">
        <v>44</v>
      </c>
      <c r="U4376" s="14">
        <v>45915</v>
      </c>
      <c r="V4376" s="25">
        <v>46010</v>
      </c>
      <c r="W4376" s="71"/>
      <c r="X4376" s="2"/>
      <c r="Y4376" s="11" t="s">
        <v>6403</v>
      </c>
      <c r="Z4376" s="2" t="s">
        <v>36</v>
      </c>
      <c r="AA4376" s="13" t="s">
        <v>10420</v>
      </c>
      <c r="AB4376" s="13">
        <v>3907741</v>
      </c>
    </row>
    <row r="4377" spans="1:28" ht="15.75" customHeight="1">
      <c r="A4377" s="2" t="s">
        <v>10104</v>
      </c>
      <c r="B4377" s="2" t="s">
        <v>711</v>
      </c>
      <c r="C4377" s="31" t="s">
        <v>6404</v>
      </c>
      <c r="D4377" s="2" t="s">
        <v>78</v>
      </c>
      <c r="E4377" s="2" t="s">
        <v>4055</v>
      </c>
      <c r="F4377" s="11" t="s">
        <v>6405</v>
      </c>
      <c r="G4377" s="49" t="s">
        <v>6406</v>
      </c>
      <c r="H4377" s="2" t="s">
        <v>6407</v>
      </c>
      <c r="I4377" s="12" t="s">
        <v>800</v>
      </c>
      <c r="J4377" s="22">
        <f>+Tabla1[[#This Row],[FECHA ENTRADA]]</f>
        <v>45971</v>
      </c>
      <c r="K4377" s="8">
        <v>46010</v>
      </c>
      <c r="L4377" s="23">
        <f>_xlfn.DAYS(Tabla1[[#This Row],[FECHA FIN ]],Tabla1[[#This Row],[FECHA INICIO]])</f>
        <v>39</v>
      </c>
      <c r="M4377" s="12"/>
      <c r="N4377" s="24">
        <v>0</v>
      </c>
      <c r="O4377" s="24">
        <f>(Tabla1[[#This Row],[COSTO FIJO ]]/30)*Tabla1[[#This Row],[TOTAL DIAS PROYECTO]]+(Tabla1[[#This Row],[COSTO TEMPORAL]])</f>
        <v>0</v>
      </c>
      <c r="P4377" s="12"/>
      <c r="Q4377" s="12">
        <f>+(Tabla1[[#This Row],[COSTO COCHE]]/30)*Tabla1[[#This Row],[TOTAL DIAS PROYECTO]]</f>
        <v>0</v>
      </c>
      <c r="R4377" s="12">
        <f>+Tabla1[[#This Row],[COSTO TOTAL ALOJAMIENTO]]+Tabla1[[#This Row],[COSTO TOTAL COCHE]]</f>
        <v>0</v>
      </c>
      <c r="S4377" s="2"/>
      <c r="T4377" s="14" t="s">
        <v>35</v>
      </c>
      <c r="U4377" s="14">
        <v>45971</v>
      </c>
      <c r="V4377" s="25">
        <v>46010</v>
      </c>
      <c r="W4377" s="71"/>
      <c r="X4377" s="2"/>
      <c r="Y4377" s="11" t="s">
        <v>6408</v>
      </c>
      <c r="Z4377" s="2" t="s">
        <v>36</v>
      </c>
      <c r="AA4377" s="13" t="e">
        <v>#N/A</v>
      </c>
      <c r="AB4377" s="13" t="e">
        <v>#N/A</v>
      </c>
    </row>
    <row r="4378" spans="1:28" ht="15.75" customHeight="1">
      <c r="A4378" s="2" t="s">
        <v>9488</v>
      </c>
      <c r="B4378" s="2" t="s">
        <v>711</v>
      </c>
      <c r="C4378" s="31" t="s">
        <v>3358</v>
      </c>
      <c r="D4378" s="2" t="s">
        <v>78</v>
      </c>
      <c r="E4378" s="2" t="s">
        <v>4055</v>
      </c>
      <c r="F4378" s="11" t="s">
        <v>6405</v>
      </c>
      <c r="G4378" s="49" t="s">
        <v>6406</v>
      </c>
      <c r="H4378" s="2" t="s">
        <v>6407</v>
      </c>
      <c r="I4378" s="12" t="s">
        <v>800</v>
      </c>
      <c r="J4378" s="22">
        <f>+Tabla1[[#This Row],[FECHA ENTRADA]]</f>
        <v>45971</v>
      </c>
      <c r="K4378" s="8">
        <v>46010</v>
      </c>
      <c r="L4378" s="23">
        <f>_xlfn.DAYS(Tabla1[[#This Row],[FECHA FIN ]],Tabla1[[#This Row],[FECHA INICIO]])</f>
        <v>39</v>
      </c>
      <c r="M4378" s="12"/>
      <c r="N4378" s="24">
        <v>0</v>
      </c>
      <c r="O4378" s="24">
        <f>(Tabla1[[#This Row],[COSTO FIJO ]]/30)*Tabla1[[#This Row],[TOTAL DIAS PROYECTO]]+(Tabla1[[#This Row],[COSTO TEMPORAL]])</f>
        <v>0</v>
      </c>
      <c r="P4378" s="12"/>
      <c r="Q4378" s="12">
        <f>+(Tabla1[[#This Row],[COSTO COCHE]]/30)*Tabla1[[#This Row],[TOTAL DIAS PROYECTO]]</f>
        <v>0</v>
      </c>
      <c r="R4378" s="12">
        <f>+Tabla1[[#This Row],[COSTO TOTAL ALOJAMIENTO]]+Tabla1[[#This Row],[COSTO TOTAL COCHE]]</f>
        <v>0</v>
      </c>
      <c r="S4378" s="2"/>
      <c r="T4378" s="14" t="s">
        <v>35</v>
      </c>
      <c r="U4378" s="14">
        <v>45971</v>
      </c>
      <c r="V4378" s="25">
        <v>46010</v>
      </c>
      <c r="W4378" s="71"/>
      <c r="X4378" s="2"/>
      <c r="Y4378" s="11" t="s">
        <v>6409</v>
      </c>
      <c r="Z4378" s="2" t="s">
        <v>36</v>
      </c>
      <c r="AA4378" s="13" t="e">
        <v>#N/A</v>
      </c>
      <c r="AB4378" s="13" t="e">
        <v>#N/A</v>
      </c>
    </row>
    <row r="4379" spans="1:28" ht="15.75" customHeight="1">
      <c r="A4379" s="2" t="s">
        <v>9250</v>
      </c>
      <c r="B4379" s="2" t="s">
        <v>978</v>
      </c>
      <c r="C4379" s="31" t="s">
        <v>2595</v>
      </c>
      <c r="D4379" s="2" t="s">
        <v>99</v>
      </c>
      <c r="E4379" s="2" t="s">
        <v>1443</v>
      </c>
      <c r="F4379" s="11" t="s">
        <v>1444</v>
      </c>
      <c r="G4379" s="11" t="s">
        <v>1445</v>
      </c>
      <c r="H4379" s="2" t="s">
        <v>4608</v>
      </c>
      <c r="I4379" s="12" t="s">
        <v>4477</v>
      </c>
      <c r="J4379" s="22">
        <f>+Tabla1[[#This Row],[FECHA ENTRADA]]</f>
        <v>45915</v>
      </c>
      <c r="K4379" s="22">
        <v>46010</v>
      </c>
      <c r="L4379" s="23">
        <f>_xlfn.DAYS(Tabla1[[#This Row],[FECHA FIN ]],Tabla1[[#This Row],[FECHA INICIO]])</f>
        <v>95</v>
      </c>
      <c r="M4379" s="12">
        <v>450</v>
      </c>
      <c r="N4379" s="20"/>
      <c r="O4379" s="24">
        <f>(Tabla1[[#This Row],[COSTO FIJO ]]/30)*Tabla1[[#This Row],[TOTAL DIAS PROYECTO]]+(Tabla1[[#This Row],[COSTO TEMPORAL]])</f>
        <v>450</v>
      </c>
      <c r="P4379" s="12"/>
      <c r="Q4379" s="12">
        <f>+(Tabla1[[#This Row],[COSTO COCHE]]/30)*Tabla1[[#This Row],[TOTAL DIAS PROYECTO]]</f>
        <v>0</v>
      </c>
      <c r="R4379" s="12">
        <f>+Tabla1[[#This Row],[COSTO TOTAL ALOJAMIENTO]]+Tabla1[[#This Row],[COSTO TOTAL COCHE]]</f>
        <v>450</v>
      </c>
      <c r="S4379" s="2"/>
      <c r="T4379" s="14" t="s">
        <v>44</v>
      </c>
      <c r="U4379" s="14">
        <v>45915</v>
      </c>
      <c r="V4379" s="79">
        <v>46091</v>
      </c>
      <c r="W4379" s="71"/>
      <c r="X4379" s="2"/>
      <c r="Y4379" s="11" t="s">
        <v>6410</v>
      </c>
      <c r="Z4379" s="2" t="s">
        <v>36</v>
      </c>
      <c r="AA4379" s="13" t="s">
        <v>10420</v>
      </c>
      <c r="AB4379" s="13">
        <v>3907741</v>
      </c>
    </row>
    <row r="4380" spans="1:28" ht="15.75" customHeight="1">
      <c r="A4380" s="2" t="s">
        <v>9924</v>
      </c>
      <c r="B4380" s="2" t="s">
        <v>711</v>
      </c>
      <c r="C4380" s="31" t="s">
        <v>5471</v>
      </c>
      <c r="D4380" s="2" t="s">
        <v>30</v>
      </c>
      <c r="E4380" s="2" t="s">
        <v>1130</v>
      </c>
      <c r="F4380" s="11" t="s">
        <v>5654</v>
      </c>
      <c r="G4380" s="21" t="s">
        <v>5655</v>
      </c>
      <c r="H4380" s="2" t="s">
        <v>5468</v>
      </c>
      <c r="I4380" s="12" t="s">
        <v>5469</v>
      </c>
      <c r="J4380" s="22">
        <f>+Tabla1[[#This Row],[FECHA ENTRADA]]</f>
        <v>45940</v>
      </c>
      <c r="K4380" s="22">
        <v>46011</v>
      </c>
      <c r="L4380" s="23">
        <f>_xlfn.DAYS(Tabla1[[#This Row],[FECHA FIN ]],Tabla1[[#This Row],[FECHA INICIO]])</f>
        <v>71</v>
      </c>
      <c r="M4380" s="12"/>
      <c r="N4380" s="12"/>
      <c r="O4380" s="24">
        <f>(Tabla1[[#This Row],[COSTO FIJO ]]/30)*Tabla1[[#This Row],[TOTAL DIAS PROYECTO]]+(Tabla1[[#This Row],[COSTO TEMPORAL]])</f>
        <v>0</v>
      </c>
      <c r="P4380" s="12"/>
      <c r="Q4380" s="12">
        <f>+(Tabla1[[#This Row],[COSTO COCHE]]/30)*Tabla1[[#This Row],[TOTAL DIAS PROYECTO]]</f>
        <v>0</v>
      </c>
      <c r="R4380" s="12">
        <f>+Tabla1[[#This Row],[COSTO TOTAL ALOJAMIENTO]]+Tabla1[[#This Row],[COSTO TOTAL COCHE]]</f>
        <v>0</v>
      </c>
      <c r="S4380" s="2"/>
      <c r="T4380" s="14" t="s">
        <v>35</v>
      </c>
      <c r="U4380" s="14">
        <v>45940</v>
      </c>
      <c r="V4380" s="79"/>
      <c r="W4380" s="71">
        <v>365</v>
      </c>
      <c r="X4380" s="2">
        <v>1</v>
      </c>
      <c r="Y4380" s="11" t="s">
        <v>6411</v>
      </c>
      <c r="Z4380" s="2" t="s">
        <v>36</v>
      </c>
      <c r="AA4380" s="13" t="s">
        <v>10412</v>
      </c>
      <c r="AB4380" s="13">
        <v>4200955</v>
      </c>
    </row>
    <row r="4381" spans="1:28" ht="15" customHeight="1">
      <c r="A4381" s="2" t="s">
        <v>10105</v>
      </c>
      <c r="B4381" s="2" t="s">
        <v>711</v>
      </c>
      <c r="C4381" s="31" t="s">
        <v>6412</v>
      </c>
      <c r="D4381" s="2" t="s">
        <v>30</v>
      </c>
      <c r="E4381" s="2" t="s">
        <v>1130</v>
      </c>
      <c r="F4381" s="11" t="s">
        <v>1131</v>
      </c>
      <c r="G4381" s="11" t="s">
        <v>1132</v>
      </c>
      <c r="H4381" s="2" t="s">
        <v>5468</v>
      </c>
      <c r="I4381" s="12" t="s">
        <v>5469</v>
      </c>
      <c r="J4381" s="22">
        <f>+Tabla1[[#This Row],[FECHA ENTRADA]]</f>
        <v>45928</v>
      </c>
      <c r="K4381" s="22">
        <v>46011</v>
      </c>
      <c r="L4381" s="23">
        <f>_xlfn.DAYS(Tabla1[[#This Row],[FECHA FIN ]],Tabla1[[#This Row],[FECHA INICIO]])</f>
        <v>83</v>
      </c>
      <c r="M4381" s="12"/>
      <c r="N4381" s="24">
        <v>333.33333333333331</v>
      </c>
      <c r="O4381" s="24">
        <f>(Tabla1[[#This Row],[COSTO FIJO ]]/30)*Tabla1[[#This Row],[TOTAL DIAS PROYECTO]]+(Tabla1[[#This Row],[COSTO TEMPORAL]])</f>
        <v>922.22222222222217</v>
      </c>
      <c r="P4381" s="12"/>
      <c r="Q4381" s="12">
        <f>+(Tabla1[[#This Row],[COSTO COCHE]]/30)*Tabla1[[#This Row],[TOTAL DIAS PROYECTO]]</f>
        <v>0</v>
      </c>
      <c r="R4381" s="12">
        <f>+Tabla1[[#This Row],[COSTO TOTAL ALOJAMIENTO]]+Tabla1[[#This Row],[COSTO TOTAL COCHE]]</f>
        <v>922.22222222222217</v>
      </c>
      <c r="S4381" s="2"/>
      <c r="T4381" s="14" t="s">
        <v>35</v>
      </c>
      <c r="U4381" s="14">
        <v>45928</v>
      </c>
      <c r="V4381" s="25"/>
      <c r="W4381" s="71">
        <v>1000</v>
      </c>
      <c r="X4381" s="2">
        <v>14</v>
      </c>
      <c r="Y4381" s="11" t="s">
        <v>6411</v>
      </c>
      <c r="Z4381" s="2" t="s">
        <v>36</v>
      </c>
      <c r="AA4381" s="13" t="s">
        <v>10412</v>
      </c>
      <c r="AB4381" s="13">
        <v>4200955</v>
      </c>
    </row>
    <row r="4382" spans="1:28" ht="15" customHeight="1">
      <c r="A4382" s="2" t="s">
        <v>9746</v>
      </c>
      <c r="B4382" s="2" t="s">
        <v>711</v>
      </c>
      <c r="C4382" s="31" t="s">
        <v>4546</v>
      </c>
      <c r="D4382" s="2" t="s">
        <v>30</v>
      </c>
      <c r="E4382" s="2" t="s">
        <v>1130</v>
      </c>
      <c r="F4382" s="11" t="s">
        <v>1131</v>
      </c>
      <c r="G4382" s="11" t="s">
        <v>1132</v>
      </c>
      <c r="H4382" s="2" t="s">
        <v>5468</v>
      </c>
      <c r="I4382" s="12" t="s">
        <v>5469</v>
      </c>
      <c r="J4382" s="22">
        <f>+Tabla1[[#This Row],[FECHA ENTRADA]]</f>
        <v>45928</v>
      </c>
      <c r="K4382" s="22">
        <v>46011</v>
      </c>
      <c r="L4382" s="23">
        <f>_xlfn.DAYS(Tabla1[[#This Row],[FECHA FIN ]],Tabla1[[#This Row],[FECHA INICIO]])</f>
        <v>83</v>
      </c>
      <c r="M4382" s="12"/>
      <c r="N4382" s="24">
        <v>333.33333333333331</v>
      </c>
      <c r="O4382" s="24">
        <f>(Tabla1[[#This Row],[COSTO FIJO ]]/30)*Tabla1[[#This Row],[TOTAL DIAS PROYECTO]]+(Tabla1[[#This Row],[COSTO TEMPORAL]])</f>
        <v>922.22222222222217</v>
      </c>
      <c r="P4382" s="12"/>
      <c r="Q4382" s="12">
        <f>+(Tabla1[[#This Row],[COSTO COCHE]]/30)*Tabla1[[#This Row],[TOTAL DIAS PROYECTO]]</f>
        <v>0</v>
      </c>
      <c r="R4382" s="12">
        <f>+Tabla1[[#This Row],[COSTO TOTAL ALOJAMIENTO]]+Tabla1[[#This Row],[COSTO TOTAL COCHE]]</f>
        <v>922.22222222222217</v>
      </c>
      <c r="S4382" s="2"/>
      <c r="T4382" s="14" t="s">
        <v>35</v>
      </c>
      <c r="U4382" s="14">
        <v>45928</v>
      </c>
      <c r="V4382" s="25"/>
      <c r="W4382" s="71"/>
      <c r="X4382" s="2">
        <v>14</v>
      </c>
      <c r="Y4382" s="11" t="s">
        <v>6411</v>
      </c>
      <c r="Z4382" s="2" t="s">
        <v>36</v>
      </c>
      <c r="AA4382" s="13" t="s">
        <v>10412</v>
      </c>
      <c r="AB4382" s="13">
        <v>4200955</v>
      </c>
    </row>
    <row r="4383" spans="1:28" ht="15" customHeight="1">
      <c r="A4383" s="2" t="s">
        <v>10106</v>
      </c>
      <c r="B4383" s="2" t="s">
        <v>711</v>
      </c>
      <c r="C4383" s="31" t="s">
        <v>6413</v>
      </c>
      <c r="D4383" s="2" t="s">
        <v>30</v>
      </c>
      <c r="E4383" s="2" t="s">
        <v>2378</v>
      </c>
      <c r="F4383" s="11" t="s">
        <v>5900</v>
      </c>
      <c r="G4383" s="49" t="s">
        <v>5901</v>
      </c>
      <c r="H4383" s="2" t="s">
        <v>6170</v>
      </c>
      <c r="I4383" s="12" t="s">
        <v>1392</v>
      </c>
      <c r="J4383" s="22">
        <f>+Tabla1[[#This Row],[FECHA ENTRADA]]</f>
        <v>45950</v>
      </c>
      <c r="K4383" s="22">
        <v>46011</v>
      </c>
      <c r="L4383" s="23">
        <f>_xlfn.DAYS(Tabla1[[#This Row],[FECHA FIN ]],Tabla1[[#This Row],[FECHA INICIO]])</f>
        <v>61</v>
      </c>
      <c r="M4383" s="12">
        <v>510</v>
      </c>
      <c r="N4383" s="24"/>
      <c r="O4383" s="24">
        <f>(Tabla1[[#This Row],[COSTO FIJO ]]/30)*Tabla1[[#This Row],[TOTAL DIAS PROYECTO]]+(Tabla1[[#This Row],[COSTO TEMPORAL]])</f>
        <v>510</v>
      </c>
      <c r="P4383" s="12"/>
      <c r="Q4383" s="12">
        <f>+(Tabla1[[#This Row],[COSTO COCHE]]/30)*Tabla1[[#This Row],[TOTAL DIAS PROYECTO]]</f>
        <v>0</v>
      </c>
      <c r="R4383" s="12">
        <f>+Tabla1[[#This Row],[COSTO TOTAL ALOJAMIENTO]]+Tabla1[[#This Row],[COSTO TOTAL COCHE]]</f>
        <v>510</v>
      </c>
      <c r="S4383" s="2"/>
      <c r="T4383" s="14" t="s">
        <v>44</v>
      </c>
      <c r="U4383" s="14">
        <v>45950</v>
      </c>
      <c r="V4383" s="25">
        <v>46011</v>
      </c>
      <c r="W4383" s="71"/>
      <c r="X4383" s="2"/>
      <c r="Y4383" s="11" t="s">
        <v>6414</v>
      </c>
      <c r="Z4383" s="2" t="s">
        <v>36</v>
      </c>
      <c r="AA4383" s="13" t="e">
        <v>#N/A</v>
      </c>
      <c r="AB4383" s="13" t="e">
        <v>#N/A</v>
      </c>
    </row>
    <row r="4384" spans="1:28" ht="15" customHeight="1">
      <c r="A4384" s="2" t="s">
        <v>10107</v>
      </c>
      <c r="B4384" s="2" t="s">
        <v>711</v>
      </c>
      <c r="C4384" s="31" t="s">
        <v>6415</v>
      </c>
      <c r="D4384" s="2" t="s">
        <v>30</v>
      </c>
      <c r="E4384" s="2" t="s">
        <v>2378</v>
      </c>
      <c r="F4384" s="11" t="s">
        <v>5900</v>
      </c>
      <c r="G4384" s="49" t="s">
        <v>5901</v>
      </c>
      <c r="H4384" s="2" t="s">
        <v>6170</v>
      </c>
      <c r="I4384" s="12" t="s">
        <v>1392</v>
      </c>
      <c r="J4384" s="22">
        <f>+Tabla1[[#This Row],[FECHA ENTRADA]]</f>
        <v>45950</v>
      </c>
      <c r="K4384" s="22">
        <v>46011</v>
      </c>
      <c r="L4384" s="23">
        <f>_xlfn.DAYS(Tabla1[[#This Row],[FECHA FIN ]],Tabla1[[#This Row],[FECHA INICIO]])</f>
        <v>61</v>
      </c>
      <c r="M4384" s="12">
        <v>510</v>
      </c>
      <c r="N4384" s="24"/>
      <c r="O4384" s="24">
        <f>(Tabla1[[#This Row],[COSTO FIJO ]]/30)*Tabla1[[#This Row],[TOTAL DIAS PROYECTO]]+(Tabla1[[#This Row],[COSTO TEMPORAL]])</f>
        <v>510</v>
      </c>
      <c r="P4384" s="12"/>
      <c r="Q4384" s="12">
        <f>+(Tabla1[[#This Row],[COSTO COCHE]]/30)*Tabla1[[#This Row],[TOTAL DIAS PROYECTO]]</f>
        <v>0</v>
      </c>
      <c r="R4384" s="12">
        <f>+Tabla1[[#This Row],[COSTO TOTAL ALOJAMIENTO]]+Tabla1[[#This Row],[COSTO TOTAL COCHE]]</f>
        <v>510</v>
      </c>
      <c r="S4384" s="2"/>
      <c r="T4384" s="14" t="s">
        <v>44</v>
      </c>
      <c r="U4384" s="14">
        <v>45950</v>
      </c>
      <c r="V4384" s="25">
        <v>46011</v>
      </c>
      <c r="W4384" s="71"/>
      <c r="X4384" s="2"/>
      <c r="Y4384" s="11" t="s">
        <v>6416</v>
      </c>
      <c r="Z4384" s="2" t="s">
        <v>36</v>
      </c>
      <c r="AA4384" s="13" t="e">
        <v>#N/A</v>
      </c>
      <c r="AB4384" s="13" t="e">
        <v>#N/A</v>
      </c>
    </row>
    <row r="4385" spans="1:28" ht="15" customHeight="1">
      <c r="A4385" s="2" t="s">
        <v>9205</v>
      </c>
      <c r="B4385" s="2" t="s">
        <v>711</v>
      </c>
      <c r="C4385" s="31" t="s">
        <v>2425</v>
      </c>
      <c r="D4385" s="2" t="s">
        <v>30</v>
      </c>
      <c r="E4385" s="2" t="s">
        <v>5690</v>
      </c>
      <c r="F4385" s="11" t="s">
        <v>6417</v>
      </c>
      <c r="G4385" s="21" t="s">
        <v>5706</v>
      </c>
      <c r="H4385" s="2" t="s">
        <v>5962</v>
      </c>
      <c r="I4385" s="12" t="s">
        <v>5694</v>
      </c>
      <c r="J4385" s="22">
        <f>+Tabla1[[#This Row],[FECHA ENTRADA]]</f>
        <v>45992</v>
      </c>
      <c r="K4385" s="22">
        <v>46011</v>
      </c>
      <c r="L4385" s="23">
        <f>_xlfn.DAYS(Tabla1[[#This Row],[FECHA FIN ]],Tabla1[[#This Row],[FECHA INICIO]])</f>
        <v>19</v>
      </c>
      <c r="M4385" s="12">
        <v>497.5</v>
      </c>
      <c r="N4385" s="20"/>
      <c r="O4385" s="24">
        <f>(Tabla1[[#This Row],[COSTO FIJO ]]/30)*Tabla1[[#This Row],[TOTAL DIAS PROYECTO]]+(Tabla1[[#This Row],[COSTO TEMPORAL]])</f>
        <v>497.5</v>
      </c>
      <c r="P4385" s="12"/>
      <c r="Q4385" s="12">
        <f>+(Tabla1[[#This Row],[COSTO COCHE]]/30)*Tabla1[[#This Row],[TOTAL DIAS PROYECTO]]</f>
        <v>0</v>
      </c>
      <c r="R4385" s="12">
        <f>+Tabla1[[#This Row],[COSTO TOTAL ALOJAMIENTO]]+Tabla1[[#This Row],[COSTO TOTAL COCHE]]</f>
        <v>497.5</v>
      </c>
      <c r="S4385" s="2"/>
      <c r="T4385" s="14" t="s">
        <v>44</v>
      </c>
      <c r="U4385" s="14">
        <v>45992</v>
      </c>
      <c r="V4385" s="25">
        <v>46011</v>
      </c>
      <c r="W4385" s="12"/>
      <c r="X4385" s="2"/>
      <c r="Y4385" s="11" t="s">
        <v>6418</v>
      </c>
      <c r="Z4385" s="2" t="s">
        <v>36</v>
      </c>
      <c r="AA4385" s="13" t="e">
        <v>#N/A</v>
      </c>
      <c r="AB4385" s="13" t="e">
        <v>#N/A</v>
      </c>
    </row>
    <row r="4386" spans="1:28" ht="15" customHeight="1">
      <c r="A4386" s="2" t="s">
        <v>10014</v>
      </c>
      <c r="B4386" s="2" t="s">
        <v>711</v>
      </c>
      <c r="C4386" s="31" t="s">
        <v>5967</v>
      </c>
      <c r="D4386" s="2" t="s">
        <v>30</v>
      </c>
      <c r="E4386" s="2" t="s">
        <v>5690</v>
      </c>
      <c r="F4386" s="11" t="s">
        <v>6417</v>
      </c>
      <c r="G4386" s="21" t="s">
        <v>5706</v>
      </c>
      <c r="H4386" s="2" t="s">
        <v>5962</v>
      </c>
      <c r="I4386" s="12" t="s">
        <v>5694</v>
      </c>
      <c r="J4386" s="22">
        <f>+Tabla1[[#This Row],[FECHA ENTRADA]]</f>
        <v>45992</v>
      </c>
      <c r="K4386" s="22">
        <v>46011</v>
      </c>
      <c r="L4386" s="23">
        <f>_xlfn.DAYS(Tabla1[[#This Row],[FECHA FIN ]],Tabla1[[#This Row],[FECHA INICIO]])</f>
        <v>19</v>
      </c>
      <c r="M4386" s="12">
        <v>497.5</v>
      </c>
      <c r="N4386" s="20"/>
      <c r="O4386" s="24">
        <f>(Tabla1[[#This Row],[COSTO FIJO ]]/30)*Tabla1[[#This Row],[TOTAL DIAS PROYECTO]]+(Tabla1[[#This Row],[COSTO TEMPORAL]])</f>
        <v>497.5</v>
      </c>
      <c r="P4386" s="12"/>
      <c r="Q4386" s="12">
        <f>+(Tabla1[[#This Row],[COSTO COCHE]]/30)*Tabla1[[#This Row],[TOTAL DIAS PROYECTO]]</f>
        <v>0</v>
      </c>
      <c r="R4386" s="12">
        <f>+Tabla1[[#This Row],[COSTO TOTAL ALOJAMIENTO]]+Tabla1[[#This Row],[COSTO TOTAL COCHE]]</f>
        <v>497.5</v>
      </c>
      <c r="S4386" s="2"/>
      <c r="T4386" s="14" t="s">
        <v>44</v>
      </c>
      <c r="U4386" s="14">
        <v>45992</v>
      </c>
      <c r="V4386" s="25">
        <v>46011</v>
      </c>
      <c r="W4386" s="12"/>
      <c r="X4386" s="2"/>
      <c r="Y4386" s="11" t="s">
        <v>6418</v>
      </c>
      <c r="Z4386" s="2" t="s">
        <v>36</v>
      </c>
      <c r="AA4386" s="13" t="e">
        <v>#N/A</v>
      </c>
      <c r="AB4386" s="13" t="e">
        <v>#N/A</v>
      </c>
    </row>
    <row r="4387" spans="1:28" ht="15" customHeight="1">
      <c r="A4387" s="2" t="s">
        <v>9916</v>
      </c>
      <c r="B4387" s="2" t="s">
        <v>711</v>
      </c>
      <c r="C4387" s="31" t="s">
        <v>5400</v>
      </c>
      <c r="D4387" s="2" t="s">
        <v>30</v>
      </c>
      <c r="E4387" s="2" t="s">
        <v>5690</v>
      </c>
      <c r="F4387" s="11" t="s">
        <v>6417</v>
      </c>
      <c r="G4387" s="21" t="s">
        <v>5706</v>
      </c>
      <c r="H4387" s="2" t="s">
        <v>5962</v>
      </c>
      <c r="I4387" s="12" t="s">
        <v>5694</v>
      </c>
      <c r="J4387" s="22">
        <f>+Tabla1[[#This Row],[FECHA ENTRADA]]</f>
        <v>45992</v>
      </c>
      <c r="K4387" s="22">
        <v>46011</v>
      </c>
      <c r="L4387" s="23">
        <f>_xlfn.DAYS(Tabla1[[#This Row],[FECHA FIN ]],Tabla1[[#This Row],[FECHA INICIO]])</f>
        <v>19</v>
      </c>
      <c r="M4387" s="12">
        <v>497.5</v>
      </c>
      <c r="N4387" s="20"/>
      <c r="O4387" s="24">
        <f>(Tabla1[[#This Row],[COSTO FIJO ]]/30)*Tabla1[[#This Row],[TOTAL DIAS PROYECTO]]+(Tabla1[[#This Row],[COSTO TEMPORAL]])</f>
        <v>497.5</v>
      </c>
      <c r="P4387" s="12"/>
      <c r="Q4387" s="12">
        <f>+(Tabla1[[#This Row],[COSTO COCHE]]/30)*Tabla1[[#This Row],[TOTAL DIAS PROYECTO]]</f>
        <v>0</v>
      </c>
      <c r="R4387" s="12">
        <f>+Tabla1[[#This Row],[COSTO TOTAL ALOJAMIENTO]]+Tabla1[[#This Row],[COSTO TOTAL COCHE]]</f>
        <v>497.5</v>
      </c>
      <c r="S4387" s="2"/>
      <c r="T4387" s="14" t="s">
        <v>44</v>
      </c>
      <c r="U4387" s="14">
        <v>45992</v>
      </c>
      <c r="V4387" s="25">
        <v>46011</v>
      </c>
      <c r="W4387" s="12"/>
      <c r="X4387" s="2"/>
      <c r="Y4387" s="11" t="s">
        <v>6418</v>
      </c>
      <c r="Z4387" s="2" t="s">
        <v>36</v>
      </c>
      <c r="AA4387" s="13" t="e">
        <v>#N/A</v>
      </c>
      <c r="AB4387" s="13" t="e">
        <v>#N/A</v>
      </c>
    </row>
    <row r="4388" spans="1:28" ht="15.75" customHeight="1">
      <c r="A4388" s="2" t="s">
        <v>9799</v>
      </c>
      <c r="B4388" s="2" t="s">
        <v>711</v>
      </c>
      <c r="C4388" s="31" t="s">
        <v>4801</v>
      </c>
      <c r="D4388" s="2" t="s">
        <v>30</v>
      </c>
      <c r="E4388" s="2" t="s">
        <v>5690</v>
      </c>
      <c r="F4388" s="11" t="s">
        <v>6417</v>
      </c>
      <c r="G4388" s="21" t="s">
        <v>5706</v>
      </c>
      <c r="H4388" s="2" t="s">
        <v>5962</v>
      </c>
      <c r="I4388" s="12" t="s">
        <v>5694</v>
      </c>
      <c r="J4388" s="22">
        <f>+Tabla1[[#This Row],[FECHA ENTRADA]]</f>
        <v>45992</v>
      </c>
      <c r="K4388" s="22">
        <v>46011</v>
      </c>
      <c r="L4388" s="23">
        <f>_xlfn.DAYS(Tabla1[[#This Row],[FECHA FIN ]],Tabla1[[#This Row],[FECHA INICIO]])</f>
        <v>19</v>
      </c>
      <c r="M4388" s="12">
        <v>497.5</v>
      </c>
      <c r="N4388" s="20"/>
      <c r="O4388" s="24">
        <f>(Tabla1[[#This Row],[COSTO FIJO ]]/30)*Tabla1[[#This Row],[TOTAL DIAS PROYECTO]]+(Tabla1[[#This Row],[COSTO TEMPORAL]])</f>
        <v>497.5</v>
      </c>
      <c r="P4388" s="12"/>
      <c r="Q4388" s="12">
        <f>+(Tabla1[[#This Row],[COSTO COCHE]]/30)*Tabla1[[#This Row],[TOTAL DIAS PROYECTO]]</f>
        <v>0</v>
      </c>
      <c r="R4388" s="12">
        <f>+Tabla1[[#This Row],[COSTO TOTAL ALOJAMIENTO]]+Tabla1[[#This Row],[COSTO TOTAL COCHE]]</f>
        <v>497.5</v>
      </c>
      <c r="S4388" s="2"/>
      <c r="T4388" s="14" t="s">
        <v>44</v>
      </c>
      <c r="U4388" s="14">
        <v>45992</v>
      </c>
      <c r="V4388" s="25">
        <v>46011</v>
      </c>
      <c r="W4388" s="12"/>
      <c r="X4388" s="2"/>
      <c r="Y4388" s="11" t="s">
        <v>6418</v>
      </c>
      <c r="Z4388" s="2" t="s">
        <v>36</v>
      </c>
      <c r="AA4388" s="13" t="e">
        <v>#N/A</v>
      </c>
      <c r="AB4388" s="13" t="e">
        <v>#N/A</v>
      </c>
    </row>
    <row r="4389" spans="1:28" ht="15" customHeight="1">
      <c r="A4389" s="2" t="s">
        <v>9197</v>
      </c>
      <c r="B4389" s="2" t="s">
        <v>28</v>
      </c>
      <c r="C4389" s="31" t="s">
        <v>2406</v>
      </c>
      <c r="D4389" s="2" t="s">
        <v>99</v>
      </c>
      <c r="E4389" s="2" t="s">
        <v>31</v>
      </c>
      <c r="F4389" s="11" t="s">
        <v>5421</v>
      </c>
      <c r="G4389" s="128" t="s">
        <v>5422</v>
      </c>
      <c r="H4389" s="2" t="s">
        <v>2405</v>
      </c>
      <c r="I4389" s="12" t="s">
        <v>347</v>
      </c>
      <c r="J4389" s="22">
        <f>+Tabla1[[#This Row],[FECHA ENTRADA]]</f>
        <v>45806</v>
      </c>
      <c r="K4389" s="8">
        <v>46012</v>
      </c>
      <c r="L4389" s="23">
        <f>_xlfn.DAYS(Tabla1[[#This Row],[FECHA FIN ]],Tabla1[[#This Row],[FECHA INICIO]])</f>
        <v>206</v>
      </c>
      <c r="M4389" s="12"/>
      <c r="N4389" s="12">
        <v>433.33333333333331</v>
      </c>
      <c r="O4389" s="24">
        <f>(Tabla1[[#This Row],[COSTO FIJO ]]/30)*Tabla1[[#This Row],[TOTAL DIAS PROYECTO]]+(Tabla1[[#This Row],[COSTO TEMPORAL]])</f>
        <v>2975.5555555555557</v>
      </c>
      <c r="P4389" s="12"/>
      <c r="Q4389" s="12">
        <f>+(Tabla1[[#This Row],[COSTO COCHE]]/30)*Tabla1[[#This Row],[TOTAL DIAS PROYECTO]]</f>
        <v>0</v>
      </c>
      <c r="R4389" s="12">
        <f>+Tabla1[[#This Row],[COSTO TOTAL ALOJAMIENTO]]+Tabla1[[#This Row],[COSTO TOTAL COCHE]]</f>
        <v>2975.5555555555557</v>
      </c>
      <c r="S4389" s="2"/>
      <c r="T4389" s="2" t="s">
        <v>35</v>
      </c>
      <c r="U4389" s="14">
        <v>45806</v>
      </c>
      <c r="V4389" s="180"/>
      <c r="W4389" s="71">
        <v>1300</v>
      </c>
      <c r="X4389" s="2">
        <v>1</v>
      </c>
      <c r="Y4389" s="11" t="s">
        <v>6419</v>
      </c>
      <c r="Z4389" s="2" t="s">
        <v>36</v>
      </c>
      <c r="AA4389" s="13" t="s">
        <v>10323</v>
      </c>
      <c r="AB4389" s="13" t="s">
        <v>10324</v>
      </c>
    </row>
    <row r="4390" spans="1:28" ht="15" customHeight="1">
      <c r="A4390" s="117" t="s">
        <v>9795</v>
      </c>
      <c r="B4390" s="117" t="s">
        <v>978</v>
      </c>
      <c r="C4390" s="101" t="s">
        <v>4770</v>
      </c>
      <c r="D4390" s="117" t="s">
        <v>30</v>
      </c>
      <c r="E4390" s="117" t="s">
        <v>476</v>
      </c>
      <c r="F4390" s="11" t="s">
        <v>5315</v>
      </c>
      <c r="G4390" s="128" t="s">
        <v>5316</v>
      </c>
      <c r="H4390" s="117" t="s">
        <v>4768</v>
      </c>
      <c r="I4390" s="119" t="s">
        <v>4714</v>
      </c>
      <c r="J4390" s="121">
        <f>+Tabla1[[#This Row],[FECHA ENTRADA]]</f>
        <v>45923</v>
      </c>
      <c r="K4390" s="121">
        <v>46012</v>
      </c>
      <c r="L4390" s="129">
        <f>_xlfn.DAYS(Tabla1[[#This Row],[FECHA FIN ]],Tabla1[[#This Row],[FECHA INICIO]])</f>
        <v>89</v>
      </c>
      <c r="M4390" s="119">
        <v>140</v>
      </c>
      <c r="N4390" s="130"/>
      <c r="O4390" s="131">
        <f>(Tabla1[[#This Row],[COSTO FIJO ]]/30)*Tabla1[[#This Row],[TOTAL DIAS PROYECTO]]+(Tabla1[[#This Row],[COSTO TEMPORAL]])</f>
        <v>140</v>
      </c>
      <c r="P4390" s="119"/>
      <c r="Q4390" s="119">
        <f>+(Tabla1[[#This Row],[COSTO COCHE]]/30)*Tabla1[[#This Row],[TOTAL DIAS PROYECTO]]</f>
        <v>0</v>
      </c>
      <c r="R4390" s="119">
        <f>+Tabla1[[#This Row],[COSTO TOTAL ALOJAMIENTO]]+Tabla1[[#This Row],[COSTO TOTAL COCHE]]</f>
        <v>140</v>
      </c>
      <c r="S4390" s="117"/>
      <c r="T4390" s="124" t="s">
        <v>44</v>
      </c>
      <c r="U4390" s="124">
        <v>45923</v>
      </c>
      <c r="V4390" s="125">
        <v>46012</v>
      </c>
      <c r="W4390" s="126"/>
      <c r="X4390" s="117"/>
      <c r="Y4390" s="299" t="s">
        <v>6420</v>
      </c>
      <c r="Z4390" s="117" t="s">
        <v>36</v>
      </c>
      <c r="AA4390" s="127">
        <v>-7.8640699999999999</v>
      </c>
      <c r="AB4390" s="127">
        <v>42.336689999999997</v>
      </c>
    </row>
    <row r="4391" spans="1:28" ht="15" customHeight="1">
      <c r="A4391" s="2" t="s">
        <v>9829</v>
      </c>
      <c r="B4391" s="2" t="s">
        <v>711</v>
      </c>
      <c r="C4391" s="31" t="s">
        <v>4934</v>
      </c>
      <c r="D4391" s="2" t="s">
        <v>99</v>
      </c>
      <c r="E4391" s="2" t="s">
        <v>5690</v>
      </c>
      <c r="F4391" s="11" t="s">
        <v>5691</v>
      </c>
      <c r="G4391" s="49" t="s">
        <v>6421</v>
      </c>
      <c r="H4391" s="2" t="s">
        <v>5693</v>
      </c>
      <c r="I4391" s="12" t="s">
        <v>5694</v>
      </c>
      <c r="J4391" s="22">
        <f>+Tabla1[[#This Row],[FECHA ENTRADA]]</f>
        <v>45951</v>
      </c>
      <c r="K4391" s="22">
        <v>46012</v>
      </c>
      <c r="L4391" s="23">
        <f>_xlfn.DAYS(Tabla1[[#This Row],[FECHA FIN ]],Tabla1[[#This Row],[FECHA INICIO]])</f>
        <v>61</v>
      </c>
      <c r="M4391" s="12">
        <f>1561.8/4</f>
        <v>390.45</v>
      </c>
      <c r="N4391" s="24"/>
      <c r="O4391" s="24">
        <f>(Tabla1[[#This Row],[COSTO FIJO ]]/30)*Tabla1[[#This Row],[TOTAL DIAS PROYECTO]]+(Tabla1[[#This Row],[COSTO TEMPORAL]])</f>
        <v>390.45</v>
      </c>
      <c r="P4391" s="12"/>
      <c r="Q4391" s="12">
        <f>+(Tabla1[[#This Row],[COSTO COCHE]]/30)*Tabla1[[#This Row],[TOTAL DIAS PROYECTO]]</f>
        <v>0</v>
      </c>
      <c r="R4391" s="12">
        <f>+Tabla1[[#This Row],[COSTO TOTAL ALOJAMIENTO]]+Tabla1[[#This Row],[COSTO TOTAL COCHE]]</f>
        <v>390.45</v>
      </c>
      <c r="S4391" s="2" t="s">
        <v>403</v>
      </c>
      <c r="T4391" s="14" t="s">
        <v>44</v>
      </c>
      <c r="U4391" s="14">
        <v>45951</v>
      </c>
      <c r="V4391" s="25">
        <v>46012</v>
      </c>
      <c r="W4391" s="71"/>
      <c r="X4391" s="2"/>
      <c r="Y4391" s="11" t="s">
        <v>6070</v>
      </c>
      <c r="Z4391" s="2" t="s">
        <v>36</v>
      </c>
      <c r="AA4391" s="13" t="e">
        <v>#N/A</v>
      </c>
      <c r="AB4391" s="13" t="e">
        <v>#N/A</v>
      </c>
    </row>
    <row r="4392" spans="1:28" ht="15" customHeight="1">
      <c r="A4392" s="2" t="s">
        <v>9703</v>
      </c>
      <c r="B4392" s="2" t="s">
        <v>711</v>
      </c>
      <c r="C4392" s="31" t="s">
        <v>4328</v>
      </c>
      <c r="D4392" s="2" t="s">
        <v>99</v>
      </c>
      <c r="E4392" s="2" t="s">
        <v>5690</v>
      </c>
      <c r="F4392" s="11" t="s">
        <v>5691</v>
      </c>
      <c r="G4392" s="49" t="s">
        <v>6421</v>
      </c>
      <c r="H4392" s="2" t="s">
        <v>5693</v>
      </c>
      <c r="I4392" s="12" t="s">
        <v>5694</v>
      </c>
      <c r="J4392" s="22">
        <f>+Tabla1[[#This Row],[FECHA ENTRADA]]</f>
        <v>45951</v>
      </c>
      <c r="K4392" s="22">
        <v>46012</v>
      </c>
      <c r="L4392" s="23">
        <f>_xlfn.DAYS(Tabla1[[#This Row],[FECHA FIN ]],Tabla1[[#This Row],[FECHA INICIO]])</f>
        <v>61</v>
      </c>
      <c r="M4392" s="12">
        <f>1561.8/4</f>
        <v>390.45</v>
      </c>
      <c r="N4392" s="24"/>
      <c r="O4392" s="24">
        <f>(Tabla1[[#This Row],[COSTO FIJO ]]/30)*Tabla1[[#This Row],[TOTAL DIAS PROYECTO]]+(Tabla1[[#This Row],[COSTO TEMPORAL]])</f>
        <v>390.45</v>
      </c>
      <c r="P4392" s="12"/>
      <c r="Q4392" s="12">
        <f>+(Tabla1[[#This Row],[COSTO COCHE]]/30)*Tabla1[[#This Row],[TOTAL DIAS PROYECTO]]</f>
        <v>0</v>
      </c>
      <c r="R4392" s="12">
        <f>+Tabla1[[#This Row],[COSTO TOTAL ALOJAMIENTO]]+Tabla1[[#This Row],[COSTO TOTAL COCHE]]</f>
        <v>390.45</v>
      </c>
      <c r="S4392" s="2" t="s">
        <v>403</v>
      </c>
      <c r="T4392" s="14" t="s">
        <v>44</v>
      </c>
      <c r="U4392" s="14">
        <v>45951</v>
      </c>
      <c r="V4392" s="25">
        <v>46012</v>
      </c>
      <c r="W4392" s="71"/>
      <c r="X4392" s="2"/>
      <c r="Y4392" s="11" t="s">
        <v>6070</v>
      </c>
      <c r="Z4392" s="2" t="s">
        <v>36</v>
      </c>
      <c r="AA4392" s="13" t="e">
        <v>#N/A</v>
      </c>
      <c r="AB4392" s="13" t="e">
        <v>#N/A</v>
      </c>
    </row>
    <row r="4393" spans="1:28" ht="15" customHeight="1">
      <c r="A4393" s="2" t="s">
        <v>9562</v>
      </c>
      <c r="B4393" s="2" t="s">
        <v>711</v>
      </c>
      <c r="C4393" s="31" t="s">
        <v>3652</v>
      </c>
      <c r="D4393" s="2" t="s">
        <v>99</v>
      </c>
      <c r="E4393" s="2" t="s">
        <v>5690</v>
      </c>
      <c r="F4393" s="11" t="s">
        <v>5691</v>
      </c>
      <c r="G4393" s="49" t="s">
        <v>6421</v>
      </c>
      <c r="H4393" s="2" t="s">
        <v>5693</v>
      </c>
      <c r="I4393" s="12" t="s">
        <v>5694</v>
      </c>
      <c r="J4393" s="22">
        <f>+Tabla1[[#This Row],[FECHA ENTRADA]]</f>
        <v>45951</v>
      </c>
      <c r="K4393" s="22">
        <v>46012</v>
      </c>
      <c r="L4393" s="23">
        <f>_xlfn.DAYS(Tabla1[[#This Row],[FECHA FIN ]],Tabla1[[#This Row],[FECHA INICIO]])</f>
        <v>61</v>
      </c>
      <c r="M4393" s="12">
        <f>1561.8/4</f>
        <v>390.45</v>
      </c>
      <c r="N4393" s="24"/>
      <c r="O4393" s="24">
        <f>(Tabla1[[#This Row],[COSTO FIJO ]]/30)*Tabla1[[#This Row],[TOTAL DIAS PROYECTO]]+(Tabla1[[#This Row],[COSTO TEMPORAL]])</f>
        <v>390.45</v>
      </c>
      <c r="P4393" s="12"/>
      <c r="Q4393" s="12">
        <f>+(Tabla1[[#This Row],[COSTO COCHE]]/30)*Tabla1[[#This Row],[TOTAL DIAS PROYECTO]]</f>
        <v>0</v>
      </c>
      <c r="R4393" s="12">
        <f>+Tabla1[[#This Row],[COSTO TOTAL ALOJAMIENTO]]+Tabla1[[#This Row],[COSTO TOTAL COCHE]]</f>
        <v>390.45</v>
      </c>
      <c r="S4393" s="2" t="s">
        <v>403</v>
      </c>
      <c r="T4393" s="14" t="s">
        <v>44</v>
      </c>
      <c r="U4393" s="14">
        <v>45951</v>
      </c>
      <c r="V4393" s="25">
        <v>46012</v>
      </c>
      <c r="W4393" s="71"/>
      <c r="X4393" s="2"/>
      <c r="Y4393" s="11" t="s">
        <v>6422</v>
      </c>
      <c r="Z4393" s="2" t="s">
        <v>36</v>
      </c>
      <c r="AA4393" s="13" t="e">
        <v>#N/A</v>
      </c>
      <c r="AB4393" s="13" t="e">
        <v>#N/A</v>
      </c>
    </row>
    <row r="4394" spans="1:28" ht="15" customHeight="1">
      <c r="A4394" s="2" t="s">
        <v>9726</v>
      </c>
      <c r="B4394" s="2" t="s">
        <v>978</v>
      </c>
      <c r="C4394" s="31" t="s">
        <v>4422</v>
      </c>
      <c r="D4394" s="2" t="s">
        <v>30</v>
      </c>
      <c r="E4394" s="2" t="s">
        <v>55</v>
      </c>
      <c r="F4394" s="11" t="s">
        <v>1653</v>
      </c>
      <c r="G4394" s="11" t="s">
        <v>1440</v>
      </c>
      <c r="H4394" s="2" t="s">
        <v>6423</v>
      </c>
      <c r="I4394" s="10" t="s">
        <v>3364</v>
      </c>
      <c r="J4394" s="41">
        <f>+Tabla1[[#This Row],[FECHA ENTRADA]]</f>
        <v>45900</v>
      </c>
      <c r="K4394" s="22">
        <v>46013</v>
      </c>
      <c r="L4394" s="42">
        <f>_xlfn.DAYS(Tabla1[[#This Row],[FECHA FIN ]],Tabla1[[#This Row],[FECHA INICIO]])</f>
        <v>113</v>
      </c>
      <c r="M4394" s="12"/>
      <c r="N4394" s="28">
        <v>500</v>
      </c>
      <c r="O4394" s="28">
        <f>(Tabla1[[#This Row],[COSTO FIJO ]]/30)*Tabla1[[#This Row],[TOTAL DIAS PROYECTO]]+(Tabla1[[#This Row],[COSTO TEMPORAL]])</f>
        <v>1883.3333333333335</v>
      </c>
      <c r="P4394" s="12"/>
      <c r="Q4394" s="12">
        <f>+(Tabla1[[#This Row],[COSTO COCHE]]/30)*Tabla1[[#This Row],[TOTAL DIAS PROYECTO]]</f>
        <v>0</v>
      </c>
      <c r="R4394" s="12">
        <f>+Tabla1[[#This Row],[COSTO TOTAL ALOJAMIENTO]]+Tabla1[[#This Row],[COSTO TOTAL COCHE]]</f>
        <v>1883.3333333333335</v>
      </c>
      <c r="S4394" s="2"/>
      <c r="T4394" s="14" t="s">
        <v>35</v>
      </c>
      <c r="U4394" s="14">
        <v>45900</v>
      </c>
      <c r="V4394" s="43"/>
      <c r="W4394" s="12"/>
      <c r="X4394" s="2">
        <v>1</v>
      </c>
      <c r="Y4394" s="11" t="s">
        <v>6424</v>
      </c>
      <c r="Z4394" s="2" t="s">
        <v>36</v>
      </c>
      <c r="AA4394" s="13" t="s">
        <v>10327</v>
      </c>
      <c r="AB4394" s="13" t="s">
        <v>10328</v>
      </c>
    </row>
    <row r="4395" spans="1:28" ht="15" customHeight="1">
      <c r="A4395" s="2" t="s">
        <v>9142</v>
      </c>
      <c r="B4395" s="2" t="s">
        <v>978</v>
      </c>
      <c r="C4395" s="31" t="s">
        <v>2192</v>
      </c>
      <c r="D4395" s="2" t="s">
        <v>30</v>
      </c>
      <c r="E4395" s="2" t="s">
        <v>55</v>
      </c>
      <c r="F4395" s="11" t="s">
        <v>1653</v>
      </c>
      <c r="G4395" s="11" t="s">
        <v>1440</v>
      </c>
      <c r="H4395" s="2" t="s">
        <v>6423</v>
      </c>
      <c r="I4395" s="10" t="s">
        <v>3364</v>
      </c>
      <c r="J4395" s="41">
        <f>+Tabla1[[#This Row],[FECHA ENTRADA]]</f>
        <v>45900</v>
      </c>
      <c r="K4395" s="22">
        <v>46013</v>
      </c>
      <c r="L4395" s="42">
        <f>_xlfn.DAYS(Tabla1[[#This Row],[FECHA FIN ]],Tabla1[[#This Row],[FECHA INICIO]])</f>
        <v>113</v>
      </c>
      <c r="M4395" s="12"/>
      <c r="N4395" s="28">
        <v>500</v>
      </c>
      <c r="O4395" s="28">
        <f>(Tabla1[[#This Row],[COSTO FIJO ]]/30)*Tabla1[[#This Row],[TOTAL DIAS PROYECTO]]+(Tabla1[[#This Row],[COSTO TEMPORAL]])</f>
        <v>1883.3333333333335</v>
      </c>
      <c r="P4395" s="12"/>
      <c r="Q4395" s="12">
        <f>+(Tabla1[[#This Row],[COSTO COCHE]]/30)*Tabla1[[#This Row],[TOTAL DIAS PROYECTO]]</f>
        <v>0</v>
      </c>
      <c r="R4395" s="12">
        <f>+Tabla1[[#This Row],[COSTO TOTAL ALOJAMIENTO]]+Tabla1[[#This Row],[COSTO TOTAL COCHE]]</f>
        <v>1883.3333333333335</v>
      </c>
      <c r="S4395" s="2"/>
      <c r="T4395" s="14" t="s">
        <v>35</v>
      </c>
      <c r="U4395" s="14">
        <v>45900</v>
      </c>
      <c r="V4395" s="43"/>
      <c r="W4395" s="12"/>
      <c r="X4395" s="2">
        <v>1</v>
      </c>
      <c r="Y4395" s="11" t="s">
        <v>6424</v>
      </c>
      <c r="Z4395" s="2" t="s">
        <v>36</v>
      </c>
      <c r="AA4395" s="13" t="s">
        <v>10327</v>
      </c>
      <c r="AB4395" s="13" t="s">
        <v>10328</v>
      </c>
    </row>
    <row r="4396" spans="1:28" ht="15" customHeight="1">
      <c r="A4396" s="2" t="s">
        <v>9772</v>
      </c>
      <c r="B4396" s="2" t="s">
        <v>606</v>
      </c>
      <c r="C4396" s="31" t="s">
        <v>4674</v>
      </c>
      <c r="D4396" s="2" t="s">
        <v>30</v>
      </c>
      <c r="E4396" s="2" t="s">
        <v>31</v>
      </c>
      <c r="F4396" s="11" t="s">
        <v>5761</v>
      </c>
      <c r="G4396" s="197" t="s">
        <v>5762</v>
      </c>
      <c r="H4396" s="2" t="s">
        <v>6133</v>
      </c>
      <c r="I4396" s="10" t="s">
        <v>3364</v>
      </c>
      <c r="J4396" s="22">
        <f>+Tabla1[[#This Row],[FECHA ENTRADA]]</f>
        <v>45993</v>
      </c>
      <c r="K4396" s="22">
        <v>46013</v>
      </c>
      <c r="L4396" s="23">
        <f>_xlfn.DAYS(Tabla1[[#This Row],[FECHA FIN ]],Tabla1[[#This Row],[FECHA INICIO]])</f>
        <v>20</v>
      </c>
      <c r="M4396" s="12"/>
      <c r="N4396" s="20">
        <v>450</v>
      </c>
      <c r="O4396" s="24">
        <f>(Tabla1[[#This Row],[COSTO FIJO ]]/30)*Tabla1[[#This Row],[TOTAL DIAS PROYECTO]]+(Tabla1[[#This Row],[COSTO TEMPORAL]])</f>
        <v>300</v>
      </c>
      <c r="P4396" s="12"/>
      <c r="Q4396" s="12">
        <f>+(Tabla1[[#This Row],[COSTO COCHE]]/30)*Tabla1[[#This Row],[TOTAL DIAS PROYECTO]]</f>
        <v>0</v>
      </c>
      <c r="R4396" s="12">
        <f>+Tabla1[[#This Row],[COSTO TOTAL ALOJAMIENTO]]+Tabla1[[#This Row],[COSTO TOTAL COCHE]]</f>
        <v>300</v>
      </c>
      <c r="S4396" s="2"/>
      <c r="T4396" s="14" t="s">
        <v>35</v>
      </c>
      <c r="U4396" s="14">
        <v>45993</v>
      </c>
      <c r="V4396" s="79"/>
      <c r="W4396" s="12"/>
      <c r="X4396" s="2">
        <v>1</v>
      </c>
      <c r="Y4396" s="11" t="s">
        <v>6425</v>
      </c>
      <c r="Z4396" s="2" t="s">
        <v>36</v>
      </c>
      <c r="AA4396" s="13" t="s">
        <v>10323</v>
      </c>
      <c r="AB4396" s="13" t="s">
        <v>10324</v>
      </c>
    </row>
    <row r="4397" spans="1:28" ht="15" customHeight="1">
      <c r="A4397" s="2" t="s">
        <v>10056</v>
      </c>
      <c r="B4397" s="2" t="s">
        <v>606</v>
      </c>
      <c r="C4397" s="31" t="s">
        <v>6116</v>
      </c>
      <c r="D4397" s="2" t="s">
        <v>30</v>
      </c>
      <c r="E4397" s="2" t="s">
        <v>31</v>
      </c>
      <c r="F4397" s="11" t="s">
        <v>5157</v>
      </c>
      <c r="G4397" s="70" t="s">
        <v>3915</v>
      </c>
      <c r="H4397" s="2" t="s">
        <v>6133</v>
      </c>
      <c r="I4397" s="10" t="s">
        <v>3364</v>
      </c>
      <c r="J4397" s="22">
        <f>+Tabla1[[#This Row],[FECHA ENTRADA]]</f>
        <v>45993</v>
      </c>
      <c r="K4397" s="22">
        <v>46013</v>
      </c>
      <c r="L4397" s="23">
        <f>_xlfn.DAYS(Tabla1[[#This Row],[FECHA FIN ]],Tabla1[[#This Row],[FECHA INICIO]])</f>
        <v>20</v>
      </c>
      <c r="M4397" s="12"/>
      <c r="N4397" s="20">
        <v>550</v>
      </c>
      <c r="O4397" s="24">
        <f>(Tabla1[[#This Row],[COSTO FIJO ]]/30)*Tabla1[[#This Row],[TOTAL DIAS PROYECTO]]+(Tabla1[[#This Row],[COSTO TEMPORAL]])</f>
        <v>366.66666666666663</v>
      </c>
      <c r="P4397" s="12"/>
      <c r="Q4397" s="12">
        <f>+(Tabla1[[#This Row],[COSTO COCHE]]/30)*Tabla1[[#This Row],[TOTAL DIAS PROYECTO]]</f>
        <v>0</v>
      </c>
      <c r="R4397" s="12">
        <f>+Tabla1[[#This Row],[COSTO TOTAL ALOJAMIENTO]]+Tabla1[[#This Row],[COSTO TOTAL COCHE]]</f>
        <v>366.66666666666663</v>
      </c>
      <c r="S4397" s="2"/>
      <c r="T4397" s="14" t="s">
        <v>35</v>
      </c>
      <c r="U4397" s="14">
        <v>45993</v>
      </c>
      <c r="V4397" s="79"/>
      <c r="W4397" s="12"/>
      <c r="X4397" s="2">
        <v>1</v>
      </c>
      <c r="Y4397" s="11" t="s">
        <v>6425</v>
      </c>
      <c r="Z4397" s="2" t="s">
        <v>36</v>
      </c>
      <c r="AA4397" s="13" t="s">
        <v>10323</v>
      </c>
      <c r="AB4397" s="13" t="s">
        <v>10324</v>
      </c>
    </row>
    <row r="4398" spans="1:28" ht="15" customHeight="1">
      <c r="A4398" s="117" t="s">
        <v>9774</v>
      </c>
      <c r="B4398" s="117" t="s">
        <v>606</v>
      </c>
      <c r="C4398" s="118" t="s">
        <v>4676</v>
      </c>
      <c r="D4398" s="117" t="s">
        <v>30</v>
      </c>
      <c r="E4398" s="2" t="s">
        <v>31</v>
      </c>
      <c r="F4398" s="11" t="s">
        <v>6226</v>
      </c>
      <c r="G4398" s="68" t="s">
        <v>4615</v>
      </c>
      <c r="H4398" s="117" t="s">
        <v>6133</v>
      </c>
      <c r="I4398" s="10" t="s">
        <v>3364</v>
      </c>
      <c r="J4398" s="120">
        <f>+Tabla1[[#This Row],[FECHA ENTRADA]]</f>
        <v>45972</v>
      </c>
      <c r="K4398" s="120">
        <v>46013</v>
      </c>
      <c r="L4398" s="122">
        <f>_xlfn.DAYS(Tabla1[[#This Row],[FECHA FIN ]],Tabla1[[#This Row],[FECHA INICIO]])</f>
        <v>41</v>
      </c>
      <c r="M4398" s="119">
        <v>175</v>
      </c>
      <c r="N4398" s="123"/>
      <c r="O4398" s="123">
        <f>(Tabla1[[#This Row],[COSTO FIJO ]]/30)*Tabla1[[#This Row],[TOTAL DIAS PROYECTO]]+(Tabla1[[#This Row],[COSTO TEMPORAL]])</f>
        <v>175</v>
      </c>
      <c r="P4398" s="119"/>
      <c r="Q4398" s="119">
        <f>+(Tabla1[[#This Row],[COSTO COCHE]]/30)*Tabla1[[#This Row],[TOTAL DIAS PROYECTO]]</f>
        <v>0</v>
      </c>
      <c r="R4398" s="119">
        <f>+Tabla1[[#This Row],[COSTO TOTAL ALOJAMIENTO]]+Tabla1[[#This Row],[COSTO TOTAL COCHE]]</f>
        <v>175</v>
      </c>
      <c r="S4398" s="117"/>
      <c r="T4398" s="124" t="s">
        <v>44</v>
      </c>
      <c r="U4398" s="124">
        <v>45972</v>
      </c>
      <c r="V4398" s="125">
        <v>46014</v>
      </c>
      <c r="W4398" s="126"/>
      <c r="X4398" s="117"/>
      <c r="Y4398" s="118" t="s">
        <v>6426</v>
      </c>
      <c r="Z4398" s="117" t="s">
        <v>36</v>
      </c>
      <c r="AA4398" s="127" t="s">
        <v>10323</v>
      </c>
      <c r="AB4398" s="127" t="s">
        <v>10324</v>
      </c>
    </row>
    <row r="4399" spans="1:28" ht="15" customHeight="1">
      <c r="A4399" s="2" t="s">
        <v>8906</v>
      </c>
      <c r="B4399" s="2" t="s">
        <v>978</v>
      </c>
      <c r="C4399" s="31" t="s">
        <v>1228</v>
      </c>
      <c r="D4399" s="2" t="s">
        <v>99</v>
      </c>
      <c r="E4399" s="2" t="s">
        <v>100</v>
      </c>
      <c r="F4399" s="11" t="s">
        <v>5696</v>
      </c>
      <c r="G4399" s="21">
        <v>34958430344</v>
      </c>
      <c r="H4399" s="2" t="s">
        <v>6199</v>
      </c>
      <c r="I4399" s="12" t="s">
        <v>4663</v>
      </c>
      <c r="J4399" s="22">
        <f>+Tabla1[[#This Row],[FECHA ENTRADA]]</f>
        <v>45950</v>
      </c>
      <c r="K4399" s="22">
        <v>46013</v>
      </c>
      <c r="L4399" s="23">
        <f>_xlfn.DAYS(Tabla1[[#This Row],[FECHA FIN ]],Tabla1[[#This Row],[FECHA INICIO]])</f>
        <v>63</v>
      </c>
      <c r="M4399" s="12">
        <v>200.66666666666666</v>
      </c>
      <c r="N4399" s="20"/>
      <c r="O4399" s="24">
        <f>(Tabla1[[#This Row],[COSTO FIJO ]]/30)*Tabla1[[#This Row],[TOTAL DIAS PROYECTO]]+(Tabla1[[#This Row],[COSTO TEMPORAL]])</f>
        <v>200.66666666666666</v>
      </c>
      <c r="P4399" s="12"/>
      <c r="Q4399" s="12">
        <f>+(Tabla1[[#This Row],[COSTO COCHE]]/30)*Tabla1[[#This Row],[TOTAL DIAS PROYECTO]]</f>
        <v>0</v>
      </c>
      <c r="R4399" s="12">
        <f>+Tabla1[[#This Row],[COSTO TOTAL ALOJAMIENTO]]+Tabla1[[#This Row],[COSTO TOTAL COCHE]]</f>
        <v>200.66666666666666</v>
      </c>
      <c r="S4399" s="2"/>
      <c r="T4399" s="14" t="s">
        <v>44</v>
      </c>
      <c r="U4399" s="14">
        <v>45950</v>
      </c>
      <c r="V4399" s="25">
        <v>46014</v>
      </c>
      <c r="W4399" s="71"/>
      <c r="X4399" s="2"/>
      <c r="Y4399" s="11" t="s">
        <v>6427</v>
      </c>
      <c r="Z4399" s="2" t="s">
        <v>36</v>
      </c>
      <c r="AA4399" s="13" t="s">
        <v>10338</v>
      </c>
      <c r="AB4399" s="13">
        <v>3718817</v>
      </c>
    </row>
    <row r="4400" spans="1:28" ht="15" customHeight="1">
      <c r="A4400" s="2" t="s">
        <v>9186</v>
      </c>
      <c r="B4400" s="2" t="s">
        <v>606</v>
      </c>
      <c r="C4400" s="11" t="s">
        <v>2361</v>
      </c>
      <c r="D4400" s="2" t="s">
        <v>30</v>
      </c>
      <c r="E4400" s="2" t="s">
        <v>31</v>
      </c>
      <c r="F4400" s="11" t="s">
        <v>6338</v>
      </c>
      <c r="G4400" s="21" t="s">
        <v>6339</v>
      </c>
      <c r="H4400" s="2" t="s">
        <v>6428</v>
      </c>
      <c r="I4400" s="10" t="s">
        <v>3364</v>
      </c>
      <c r="J4400" s="22">
        <f>+Tabla1[[#This Row],[FECHA ENTRADA]]</f>
        <v>46009</v>
      </c>
      <c r="K4400" s="22">
        <v>46013</v>
      </c>
      <c r="L4400" s="23">
        <f>_xlfn.DAYS(Tabla1[[#This Row],[FECHA FIN ]],Tabla1[[#This Row],[FECHA INICIO]])</f>
        <v>4</v>
      </c>
      <c r="M4400" s="12"/>
      <c r="N4400" s="20"/>
      <c r="O4400" s="24">
        <f>(Tabla1[[#This Row],[COSTO FIJO ]]/30)*Tabla1[[#This Row],[TOTAL DIAS PROYECTO]]+(Tabla1[[#This Row],[COSTO TEMPORAL]])</f>
        <v>0</v>
      </c>
      <c r="P4400" s="12"/>
      <c r="Q4400" s="12">
        <f>+(Tabla1[[#This Row],[COSTO COCHE]]/30)*Tabla1[[#This Row],[TOTAL DIAS PROYECTO]]</f>
        <v>0</v>
      </c>
      <c r="R4400" s="12">
        <f>+Tabla1[[#This Row],[COSTO TOTAL ALOJAMIENTO]]+Tabla1[[#This Row],[COSTO TOTAL COCHE]]</f>
        <v>0</v>
      </c>
      <c r="S4400" s="2"/>
      <c r="T4400" s="14" t="s">
        <v>44</v>
      </c>
      <c r="U4400" s="14">
        <v>46009</v>
      </c>
      <c r="V4400" s="79">
        <v>46014</v>
      </c>
      <c r="W4400" s="12"/>
      <c r="X4400" s="2"/>
      <c r="Y4400" s="11"/>
      <c r="Z4400" s="2" t="s">
        <v>36</v>
      </c>
      <c r="AA4400" s="13" t="s">
        <v>10323</v>
      </c>
      <c r="AB4400" s="13" t="s">
        <v>10324</v>
      </c>
    </row>
    <row r="4401" spans="1:28" ht="15" customHeight="1">
      <c r="A4401" s="2" t="s">
        <v>9710</v>
      </c>
      <c r="B4401" s="2" t="s">
        <v>606</v>
      </c>
      <c r="C4401" s="31" t="s">
        <v>4353</v>
      </c>
      <c r="D4401" s="2" t="s">
        <v>30</v>
      </c>
      <c r="E4401" s="2" t="s">
        <v>31</v>
      </c>
      <c r="F4401" s="11" t="s">
        <v>1106</v>
      </c>
      <c r="G4401" s="46"/>
      <c r="H4401" s="2" t="s">
        <v>6212</v>
      </c>
      <c r="I4401" s="12" t="s">
        <v>6213</v>
      </c>
      <c r="J4401" s="41">
        <f>+Tabla1[[#This Row],[FECHA ENTRADA]]</f>
        <v>45966</v>
      </c>
      <c r="K4401" s="22">
        <v>46013</v>
      </c>
      <c r="L4401" s="42">
        <f>_xlfn.DAYS(Tabla1[[#This Row],[FECHA FIN ]],Tabla1[[#This Row],[FECHA INICIO]])</f>
        <v>47</v>
      </c>
      <c r="M4401" s="12"/>
      <c r="N4401" s="28"/>
      <c r="O4401" s="28">
        <f>(Tabla1[[#This Row],[COSTO FIJO ]]/30)*Tabla1[[#This Row],[TOTAL DIAS PROYECTO]]+(Tabla1[[#This Row],[COSTO TEMPORAL]])</f>
        <v>0</v>
      </c>
      <c r="P4401" s="12"/>
      <c r="Q4401" s="12">
        <f>+(Tabla1[[#This Row],[COSTO COCHE]]/30)*Tabla1[[#This Row],[TOTAL DIAS PROYECTO]]</f>
        <v>0</v>
      </c>
      <c r="R4401" s="12">
        <f>+Tabla1[[#This Row],[COSTO TOTAL ALOJAMIENTO]]+Tabla1[[#This Row],[COSTO TOTAL COCHE]]</f>
        <v>0</v>
      </c>
      <c r="S4401" s="2"/>
      <c r="T4401" s="2" t="s">
        <v>8</v>
      </c>
      <c r="U4401" s="14">
        <v>45966</v>
      </c>
      <c r="V4401" s="43"/>
      <c r="W4401" s="71"/>
      <c r="X4401" s="2"/>
      <c r="Y4401" s="178" t="s">
        <v>6429</v>
      </c>
      <c r="Z4401" s="2" t="s">
        <v>36</v>
      </c>
      <c r="AA4401" s="13" t="s">
        <v>10323</v>
      </c>
      <c r="AB4401" s="13" t="s">
        <v>10324</v>
      </c>
    </row>
    <row r="4402" spans="1:28" ht="15" customHeight="1">
      <c r="A4402" s="2" t="s">
        <v>8638</v>
      </c>
      <c r="B4402" s="2" t="s">
        <v>978</v>
      </c>
      <c r="C4402" s="31" t="s">
        <v>2720</v>
      </c>
      <c r="D4402" s="2" t="s">
        <v>30</v>
      </c>
      <c r="E4402" s="2" t="s">
        <v>380</v>
      </c>
      <c r="F4402" s="11" t="s">
        <v>6430</v>
      </c>
      <c r="G4402" s="49" t="s">
        <v>6431</v>
      </c>
      <c r="H4402" s="2" t="s">
        <v>6296</v>
      </c>
      <c r="I4402" s="12" t="s">
        <v>4681</v>
      </c>
      <c r="J4402" s="22">
        <f>+Tabla1[[#This Row],[FECHA ENTRADA]]</f>
        <v>45915</v>
      </c>
      <c r="K4402" s="22">
        <v>45920</v>
      </c>
      <c r="L4402" s="23">
        <f>_xlfn.DAYS(Tabla1[[#This Row],[FECHA FIN ]],Tabla1[[#This Row],[FECHA INICIO]])</f>
        <v>5</v>
      </c>
      <c r="M4402" s="12"/>
      <c r="N4402" s="12">
        <v>188</v>
      </c>
      <c r="O4402" s="24">
        <f>(Tabla1[[#This Row],[COSTO FIJO ]]/30)*Tabla1[[#This Row],[TOTAL DIAS PROYECTO]]+(Tabla1[[#This Row],[COSTO TEMPORAL]])</f>
        <v>31.333333333333332</v>
      </c>
      <c r="P4402" s="12"/>
      <c r="Q4402" s="12">
        <f>+(Tabla1[[#This Row],[COSTO COCHE]]/30)*Tabla1[[#This Row],[TOTAL DIAS PROYECTO]]</f>
        <v>0</v>
      </c>
      <c r="R4402" s="12">
        <f>+Tabla1[[#This Row],[COSTO TOTAL ALOJAMIENTO]]+Tabla1[[#This Row],[COSTO TOTAL COCHE]]</f>
        <v>31.333333333333332</v>
      </c>
      <c r="S4402" s="2" t="s">
        <v>403</v>
      </c>
      <c r="T4402" s="14" t="s">
        <v>44</v>
      </c>
      <c r="U4402" s="14">
        <v>45915</v>
      </c>
      <c r="V4402" s="25">
        <v>45923</v>
      </c>
      <c r="W4402" s="71"/>
      <c r="X4402" s="2"/>
      <c r="Y4402" s="11" t="s">
        <v>6432</v>
      </c>
      <c r="Z4402" s="2" t="s">
        <v>36</v>
      </c>
      <c r="AA4402" s="13" t="s">
        <v>10370</v>
      </c>
      <c r="AB4402" s="13" t="s">
        <v>10371</v>
      </c>
    </row>
    <row r="4403" spans="1:28" ht="15" customHeight="1">
      <c r="A4403" s="2" t="s">
        <v>10091</v>
      </c>
      <c r="B4403" s="2" t="s">
        <v>28</v>
      </c>
      <c r="C4403" s="11" t="s">
        <v>6323</v>
      </c>
      <c r="D4403" s="2" t="s">
        <v>30</v>
      </c>
      <c r="E4403" s="2" t="s">
        <v>422</v>
      </c>
      <c r="F4403" s="11" t="s">
        <v>5145</v>
      </c>
      <c r="G4403" t="s">
        <v>1376</v>
      </c>
      <c r="H4403" s="2" t="s">
        <v>6253</v>
      </c>
      <c r="I4403" s="12" t="s">
        <v>4327</v>
      </c>
      <c r="J4403" s="22">
        <f>+Tabla1[[#This Row],[FECHA ENTRADA]]</f>
        <v>45886</v>
      </c>
      <c r="K4403" s="22">
        <v>45912</v>
      </c>
      <c r="L4403" s="23">
        <f>_xlfn.DAYS(Tabla1[[#This Row],[FECHA FIN ]],Tabla1[[#This Row],[FECHA INICIO]])</f>
        <v>26</v>
      </c>
      <c r="M4403" s="12"/>
      <c r="N4403" s="12"/>
      <c r="O4403" s="24">
        <f>(Tabla1[[#This Row],[COSTO FIJO ]]/30)*Tabla1[[#This Row],[TOTAL DIAS PROYECTO]]+(Tabla1[[#This Row],[COSTO TEMPORAL]])</f>
        <v>0</v>
      </c>
      <c r="P4403" s="12"/>
      <c r="Q4403" s="12">
        <f>+(Tabla1[[#This Row],[COSTO COCHE]]/30)*Tabla1[[#This Row],[TOTAL DIAS PROYECTO]]</f>
        <v>0</v>
      </c>
      <c r="R4403" s="12">
        <f>+Tabla1[[#This Row],[COSTO TOTAL ALOJAMIENTO]]+Tabla1[[#This Row],[COSTO TOTAL COCHE]]</f>
        <v>0</v>
      </c>
      <c r="S4403" s="2"/>
      <c r="T4403" s="14" t="s">
        <v>35</v>
      </c>
      <c r="U4403" s="14">
        <v>45886</v>
      </c>
      <c r="V4403" s="25"/>
      <c r="W4403" s="12">
        <v>1200</v>
      </c>
      <c r="X4403" s="2">
        <v>5</v>
      </c>
      <c r="Y4403" s="255" t="s">
        <v>6433</v>
      </c>
      <c r="Z4403" s="2" t="s">
        <v>36</v>
      </c>
      <c r="AA4403" s="13">
        <v>-326.69799999999998</v>
      </c>
      <c r="AB4403" s="13" t="s">
        <v>10373</v>
      </c>
    </row>
    <row r="4404" spans="1:28" ht="15" customHeight="1">
      <c r="A4404" s="2" t="s">
        <v>9527</v>
      </c>
      <c r="B4404" s="2" t="s">
        <v>28</v>
      </c>
      <c r="C4404" s="31" t="s">
        <v>3541</v>
      </c>
      <c r="D4404" s="2" t="s">
        <v>30</v>
      </c>
      <c r="E4404" s="2" t="s">
        <v>422</v>
      </c>
      <c r="F4404" s="11" t="s">
        <v>6434</v>
      </c>
      <c r="G4404" s="11" t="s">
        <v>5428</v>
      </c>
      <c r="H4404" s="2" t="s">
        <v>5579</v>
      </c>
      <c r="I4404" s="12" t="s">
        <v>4327</v>
      </c>
      <c r="J4404" s="22">
        <f>+Tabla1[[#This Row],[FECHA ENTRADA]]</f>
        <v>45886</v>
      </c>
      <c r="K4404" s="22">
        <v>45912</v>
      </c>
      <c r="L4404" s="23">
        <f>_xlfn.DAYS(Tabla1[[#This Row],[FECHA FIN ]],Tabla1[[#This Row],[FECHA INICIO]])</f>
        <v>26</v>
      </c>
      <c r="M4404" s="12"/>
      <c r="N4404" s="20">
        <v>450</v>
      </c>
      <c r="O4404" s="24">
        <f>(Tabla1[[#This Row],[COSTO FIJO ]]/30)*Tabla1[[#This Row],[TOTAL DIAS PROYECTO]]+(Tabla1[[#This Row],[COSTO TEMPORAL]])</f>
        <v>390</v>
      </c>
      <c r="P4404" s="12"/>
      <c r="Q4404" s="12">
        <f>+(Tabla1[[#This Row],[COSTO COCHE]]/30)*Tabla1[[#This Row],[TOTAL DIAS PROYECTO]]</f>
        <v>0</v>
      </c>
      <c r="R4404" s="12">
        <f>+Tabla1[[#This Row],[COSTO TOTAL ALOJAMIENTO]]+Tabla1[[#This Row],[COSTO TOTAL COCHE]]</f>
        <v>390</v>
      </c>
      <c r="S4404" s="2"/>
      <c r="T4404" s="14" t="s">
        <v>35</v>
      </c>
      <c r="U4404" s="14">
        <v>45886</v>
      </c>
      <c r="V4404" s="79"/>
      <c r="W4404" s="12">
        <v>450</v>
      </c>
      <c r="X4404" s="2">
        <v>13</v>
      </c>
      <c r="Y4404" s="255" t="s">
        <v>6435</v>
      </c>
      <c r="Z4404" s="2" t="s">
        <v>36</v>
      </c>
      <c r="AA4404" s="13">
        <v>-326.69799999999998</v>
      </c>
      <c r="AB4404" s="13" t="s">
        <v>10373</v>
      </c>
    </row>
    <row r="4405" spans="1:28" ht="15" customHeight="1">
      <c r="A4405" s="117" t="s">
        <v>9170</v>
      </c>
      <c r="B4405" s="117" t="s">
        <v>711</v>
      </c>
      <c r="C4405" s="118" t="s">
        <v>2305</v>
      </c>
      <c r="D4405" s="117" t="s">
        <v>30</v>
      </c>
      <c r="E4405" s="2" t="s">
        <v>826</v>
      </c>
      <c r="F4405" s="11" t="s">
        <v>3862</v>
      </c>
      <c r="G4405" s="118" t="s">
        <v>3863</v>
      </c>
      <c r="H4405" s="117" t="s">
        <v>6436</v>
      </c>
      <c r="I4405" s="119" t="s">
        <v>96</v>
      </c>
      <c r="J4405" s="121">
        <f>+Tabla1[[#This Row],[FECHA ENTRADA]]</f>
        <v>46103</v>
      </c>
      <c r="K4405" s="121">
        <v>46105</v>
      </c>
      <c r="L4405" s="129">
        <f>_xlfn.DAYS(Tabla1[[#This Row],[FECHA FIN ]],Tabla1[[#This Row],[FECHA INICIO]])</f>
        <v>2</v>
      </c>
      <c r="M4405" s="119"/>
      <c r="N4405" s="130"/>
      <c r="O4405" s="131">
        <f>(Tabla1[[#This Row],[COSTO FIJO ]]/30)*Tabla1[[#This Row],[TOTAL DIAS PROYECTO]]+(Tabla1[[#This Row],[COSTO TEMPORAL]])</f>
        <v>0</v>
      </c>
      <c r="P4405" s="119"/>
      <c r="Q4405" s="119">
        <f>+(Tabla1[[#This Row],[COSTO COCHE]]/30)*Tabla1[[#This Row],[TOTAL DIAS PROYECTO]]</f>
        <v>0</v>
      </c>
      <c r="R4405" s="119">
        <f>+Tabla1[[#This Row],[COSTO TOTAL ALOJAMIENTO]]+Tabla1[[#This Row],[COSTO TOTAL COCHE]]</f>
        <v>0</v>
      </c>
      <c r="S4405" s="117" t="s">
        <v>84</v>
      </c>
      <c r="T4405" s="124" t="s">
        <v>44</v>
      </c>
      <c r="U4405" s="124">
        <v>46103</v>
      </c>
      <c r="V4405" s="132">
        <v>46106</v>
      </c>
      <c r="W4405" s="119"/>
      <c r="X4405" s="117"/>
      <c r="Y4405" s="118" t="s">
        <v>3864</v>
      </c>
      <c r="Z4405" s="117" t="s">
        <v>36</v>
      </c>
      <c r="AA4405" s="127" t="s">
        <v>10399</v>
      </c>
      <c r="AB4405" s="127" t="s">
        <v>10400</v>
      </c>
    </row>
    <row r="4406" spans="1:28" ht="15" customHeight="1">
      <c r="A4406" s="2" t="s">
        <v>9170</v>
      </c>
      <c r="B4406" s="2" t="s">
        <v>711</v>
      </c>
      <c r="C4406" s="69" t="s">
        <v>2305</v>
      </c>
      <c r="D4406" s="2" t="s">
        <v>30</v>
      </c>
      <c r="E4406" s="2" t="s">
        <v>648</v>
      </c>
      <c r="F4406" s="11" t="s">
        <v>2103</v>
      </c>
      <c r="G4406" s="118" t="s">
        <v>1545</v>
      </c>
      <c r="H4406" s="2" t="s">
        <v>6436</v>
      </c>
      <c r="I4406" s="12" t="s">
        <v>96</v>
      </c>
      <c r="J4406" s="22">
        <f>+Tabla1[[#This Row],[FECHA ENTRADA]]</f>
        <v>46071</v>
      </c>
      <c r="K4406" s="22">
        <v>46103</v>
      </c>
      <c r="L4406" s="23">
        <f>_xlfn.DAYS(Tabla1[[#This Row],[FECHA FIN ]],Tabla1[[#This Row],[FECHA INICIO]])</f>
        <v>32</v>
      </c>
      <c r="M4406" s="12"/>
      <c r="N4406" s="20">
        <v>240</v>
      </c>
      <c r="O4406" s="24">
        <f>(Tabla1[[#This Row],[COSTO FIJO ]]/30)*Tabla1[[#This Row],[TOTAL DIAS PROYECTO]]+(Tabla1[[#This Row],[COSTO TEMPORAL]])</f>
        <v>256</v>
      </c>
      <c r="P4406" s="12"/>
      <c r="Q4406" s="12">
        <f>+(Tabla1[[#This Row],[COSTO COCHE]]/30)*Tabla1[[#This Row],[TOTAL DIAS PROYECTO]]</f>
        <v>0</v>
      </c>
      <c r="R4406" s="12">
        <f>+Tabla1[[#This Row],[COSTO TOTAL ALOJAMIENTO]]+Tabla1[[#This Row],[COSTO TOTAL COCHE]]</f>
        <v>256</v>
      </c>
      <c r="S4406" s="2"/>
      <c r="T4406" s="14" t="s">
        <v>35</v>
      </c>
      <c r="U4406" s="14">
        <v>46071</v>
      </c>
      <c r="V4406" s="25"/>
      <c r="W4406" s="12"/>
      <c r="X4406" s="2">
        <v>1</v>
      </c>
      <c r="Y4406" s="11" t="s">
        <v>3865</v>
      </c>
      <c r="Z4406" s="2" t="s">
        <v>36</v>
      </c>
      <c r="AA4406" s="13" t="s">
        <v>10387</v>
      </c>
      <c r="AB4406" s="13" t="s">
        <v>10388</v>
      </c>
    </row>
    <row r="4407" spans="1:28" ht="15" customHeight="1">
      <c r="A4407" s="117" t="s">
        <v>10108</v>
      </c>
      <c r="B4407" s="117" t="s">
        <v>711</v>
      </c>
      <c r="C4407" s="118" t="s">
        <v>6437</v>
      </c>
      <c r="D4407" s="117" t="s">
        <v>99</v>
      </c>
      <c r="E4407" s="117" t="s">
        <v>61</v>
      </c>
      <c r="F4407" s="11" t="s">
        <v>5894</v>
      </c>
      <c r="G4407" s="68" t="s">
        <v>5895</v>
      </c>
      <c r="H4407" s="117" t="s">
        <v>6438</v>
      </c>
      <c r="I4407" s="119" t="s">
        <v>5897</v>
      </c>
      <c r="J4407" s="120">
        <f>+Tabla1[[#This Row],[FECHA ENTRADA]]</f>
        <v>45900</v>
      </c>
      <c r="K4407" s="121">
        <v>46014</v>
      </c>
      <c r="L4407" s="122">
        <f>_xlfn.DAYS(Tabla1[[#This Row],[FECHA FIN ]],Tabla1[[#This Row],[FECHA INICIO]])</f>
        <v>114</v>
      </c>
      <c r="M4407" s="119">
        <v>162.5</v>
      </c>
      <c r="N4407" s="123"/>
      <c r="O4407" s="123">
        <f>(Tabla1[[#This Row],[COSTO FIJO ]]/30)*Tabla1[[#This Row],[TOTAL DIAS PROYECTO]]+(Tabla1[[#This Row],[COSTO TEMPORAL]])</f>
        <v>162.5</v>
      </c>
      <c r="P4407" s="119"/>
      <c r="Q4407" s="119">
        <f>+(Tabla1[[#This Row],[COSTO COCHE]]/30)*Tabla1[[#This Row],[TOTAL DIAS PROYECTO]]</f>
        <v>0</v>
      </c>
      <c r="R4407" s="119">
        <f>+Tabla1[[#This Row],[COSTO TOTAL ALOJAMIENTO]]+Tabla1[[#This Row],[COSTO TOTAL COCHE]]</f>
        <v>162.5</v>
      </c>
      <c r="S4407" s="117" t="s">
        <v>403</v>
      </c>
      <c r="T4407" s="124" t="s">
        <v>44</v>
      </c>
      <c r="U4407" s="124">
        <v>45900</v>
      </c>
      <c r="V4407" s="125">
        <v>46014</v>
      </c>
      <c r="W4407" s="119"/>
      <c r="X4407" s="117"/>
      <c r="Y4407" s="118" t="s">
        <v>6439</v>
      </c>
      <c r="Z4407" s="117" t="s">
        <v>36</v>
      </c>
      <c r="AA4407" s="127" t="s">
        <v>10329</v>
      </c>
      <c r="AB4407" s="127" t="s">
        <v>10330</v>
      </c>
    </row>
    <row r="4408" spans="1:28" ht="15" customHeight="1">
      <c r="A4408" s="2" t="s">
        <v>8956</v>
      </c>
      <c r="B4408" s="2" t="s">
        <v>711</v>
      </c>
      <c r="C4408" s="11" t="s">
        <v>1467</v>
      </c>
      <c r="D4408" s="2" t="s">
        <v>30</v>
      </c>
      <c r="E4408" s="2" t="s">
        <v>626</v>
      </c>
      <c r="F4408" s="11" t="s">
        <v>5547</v>
      </c>
      <c r="G4408" s="21" t="s">
        <v>5548</v>
      </c>
      <c r="H4408" s="2" t="s">
        <v>4916</v>
      </c>
      <c r="I4408" s="12" t="s">
        <v>570</v>
      </c>
      <c r="J4408" s="22">
        <f>+Tabla1[[#This Row],[FECHA ENTRADA]]</f>
        <v>45941</v>
      </c>
      <c r="K4408" s="41">
        <v>46014</v>
      </c>
      <c r="L4408" s="23">
        <f>_xlfn.DAYS(Tabla1[[#This Row],[FECHA FIN ]],Tabla1[[#This Row],[FECHA INICIO]])</f>
        <v>73</v>
      </c>
      <c r="M4408" s="12">
        <f>230+102.4+152</f>
        <v>484.4</v>
      </c>
      <c r="N4408" s="20"/>
      <c r="O4408" s="24">
        <f>(Tabla1[[#This Row],[COSTO FIJO ]]/30)*Tabla1[[#This Row],[TOTAL DIAS PROYECTO]]+(Tabla1[[#This Row],[COSTO TEMPORAL]])</f>
        <v>484.4</v>
      </c>
      <c r="P4408" s="12"/>
      <c r="Q4408" s="12">
        <f>+(Tabla1[[#This Row],[COSTO COCHE]]/30)*Tabla1[[#This Row],[TOTAL DIAS PROYECTO]]</f>
        <v>0</v>
      </c>
      <c r="R4408" s="12">
        <f>+Tabla1[[#This Row],[COSTO TOTAL ALOJAMIENTO]]+Tabla1[[#This Row],[COSTO TOTAL COCHE]]</f>
        <v>484.4</v>
      </c>
      <c r="S4408" s="2"/>
      <c r="T4408" s="14" t="s">
        <v>44</v>
      </c>
      <c r="U4408" s="14">
        <v>45941</v>
      </c>
      <c r="V4408" s="25">
        <v>46014</v>
      </c>
      <c r="W4408" s="71"/>
      <c r="X4408" s="2"/>
      <c r="Y4408" s="11" t="s">
        <v>6440</v>
      </c>
      <c r="Z4408" s="2" t="s">
        <v>36</v>
      </c>
      <c r="AA4408" s="13" t="s">
        <v>10385</v>
      </c>
      <c r="AB4408" s="13" t="s">
        <v>10386</v>
      </c>
    </row>
    <row r="4409" spans="1:28" ht="15" customHeight="1">
      <c r="A4409" s="2" t="s">
        <v>9763</v>
      </c>
      <c r="B4409" s="2" t="s">
        <v>368</v>
      </c>
      <c r="C4409" s="31" t="s">
        <v>4630</v>
      </c>
      <c r="D4409" s="2" t="s">
        <v>30</v>
      </c>
      <c r="E4409" s="2" t="s">
        <v>415</v>
      </c>
      <c r="F4409" s="11" t="s">
        <v>6089</v>
      </c>
      <c r="G4409" s="49" t="s">
        <v>1413</v>
      </c>
      <c r="H4409" s="2" t="s">
        <v>2203</v>
      </c>
      <c r="I4409" s="12" t="s">
        <v>2200</v>
      </c>
      <c r="J4409" s="41">
        <f>+Tabla1[[#This Row],[FECHA ENTRADA]]</f>
        <v>45870</v>
      </c>
      <c r="K4409" s="22">
        <v>46014</v>
      </c>
      <c r="L4409" s="42">
        <f>_xlfn.DAYS(Tabla1[[#This Row],[FECHA FIN ]],Tabla1[[#This Row],[FECHA INICIO]])</f>
        <v>144</v>
      </c>
      <c r="M4409" s="12"/>
      <c r="N4409" s="28">
        <v>500</v>
      </c>
      <c r="O4409" s="28">
        <f>(Tabla1[[#This Row],[COSTO FIJO ]]/30)*Tabla1[[#This Row],[TOTAL DIAS PROYECTO]]+(Tabla1[[#This Row],[COSTO TEMPORAL]])</f>
        <v>2400</v>
      </c>
      <c r="P4409" s="12"/>
      <c r="Q4409" s="12">
        <f>+(Tabla1[[#This Row],[COSTO COCHE]]/30)*Tabla1[[#This Row],[TOTAL DIAS PROYECTO]]</f>
        <v>0</v>
      </c>
      <c r="R4409" s="12">
        <f>+Tabla1[[#This Row],[COSTO TOTAL ALOJAMIENTO]]+Tabla1[[#This Row],[COSTO TOTAL COCHE]]</f>
        <v>2400</v>
      </c>
      <c r="S4409" s="2"/>
      <c r="T4409" s="14" t="s">
        <v>35</v>
      </c>
      <c r="U4409" s="14">
        <v>45870</v>
      </c>
      <c r="V4409" s="43"/>
      <c r="W4409" s="12"/>
      <c r="X4409" s="2">
        <v>30</v>
      </c>
      <c r="Y4409" s="253" t="s">
        <v>6441</v>
      </c>
      <c r="Z4409" s="2" t="s">
        <v>36</v>
      </c>
      <c r="AA4409" s="13">
        <v>-0.37739</v>
      </c>
      <c r="AB4409" s="13" t="s">
        <v>10372</v>
      </c>
    </row>
    <row r="4410" spans="1:28" ht="15" customHeight="1">
      <c r="A4410" s="2" t="s">
        <v>9762</v>
      </c>
      <c r="B4410" s="2" t="s">
        <v>368</v>
      </c>
      <c r="C4410" s="31" t="s">
        <v>4629</v>
      </c>
      <c r="D4410" s="2" t="s">
        <v>99</v>
      </c>
      <c r="E4410" s="2" t="s">
        <v>415</v>
      </c>
      <c r="F4410" s="11" t="s">
        <v>6089</v>
      </c>
      <c r="G4410" s="49" t="s">
        <v>1413</v>
      </c>
      <c r="H4410" s="2" t="s">
        <v>4627</v>
      </c>
      <c r="I4410" s="12" t="s">
        <v>2200</v>
      </c>
      <c r="J4410" s="41">
        <f>+Tabla1[[#This Row],[FECHA ENTRADA]]</f>
        <v>45870</v>
      </c>
      <c r="K4410" s="22">
        <v>46014</v>
      </c>
      <c r="L4410" s="42">
        <f>_xlfn.DAYS(Tabla1[[#This Row],[FECHA FIN ]],Tabla1[[#This Row],[FECHA INICIO]])</f>
        <v>144</v>
      </c>
      <c r="M4410" s="12"/>
      <c r="N4410" s="28">
        <v>500</v>
      </c>
      <c r="O4410" s="28">
        <f>(Tabla1[[#This Row],[COSTO FIJO ]]/30)*Tabla1[[#This Row],[TOTAL DIAS PROYECTO]]+(Tabla1[[#This Row],[COSTO TEMPORAL]])</f>
        <v>2400</v>
      </c>
      <c r="P4410" s="12"/>
      <c r="Q4410" s="12">
        <f>+(Tabla1[[#This Row],[COSTO COCHE]]/30)*Tabla1[[#This Row],[TOTAL DIAS PROYECTO]]</f>
        <v>0</v>
      </c>
      <c r="R4410" s="12">
        <f>+Tabla1[[#This Row],[COSTO TOTAL ALOJAMIENTO]]+Tabla1[[#This Row],[COSTO TOTAL COCHE]]</f>
        <v>2400</v>
      </c>
      <c r="S4410" s="2"/>
      <c r="T4410" s="14" t="s">
        <v>35</v>
      </c>
      <c r="U4410" s="14">
        <v>45870</v>
      </c>
      <c r="V4410" s="43"/>
      <c r="W4410" s="12"/>
      <c r="X4410" s="2">
        <v>30</v>
      </c>
      <c r="Y4410" s="253" t="s">
        <v>6441</v>
      </c>
      <c r="Z4410" s="2" t="s">
        <v>36</v>
      </c>
      <c r="AA4410" s="13">
        <v>-0.37739</v>
      </c>
      <c r="AB4410" s="13" t="s">
        <v>10372</v>
      </c>
    </row>
    <row r="4411" spans="1:28" ht="15" customHeight="1">
      <c r="A4411" s="2" t="s">
        <v>9761</v>
      </c>
      <c r="B4411" s="2" t="s">
        <v>368</v>
      </c>
      <c r="C4411" s="31" t="s">
        <v>4626</v>
      </c>
      <c r="D4411" s="2" t="s">
        <v>99</v>
      </c>
      <c r="E4411" s="2" t="s">
        <v>415</v>
      </c>
      <c r="F4411" s="11" t="s">
        <v>6089</v>
      </c>
      <c r="G4411" s="49" t="s">
        <v>1413</v>
      </c>
      <c r="H4411" s="2" t="s">
        <v>4627</v>
      </c>
      <c r="I4411" s="12" t="s">
        <v>2200</v>
      </c>
      <c r="J4411" s="41">
        <f>+Tabla1[[#This Row],[FECHA ENTRADA]]</f>
        <v>45870</v>
      </c>
      <c r="K4411" s="22">
        <v>46014</v>
      </c>
      <c r="L4411" s="42">
        <f>_xlfn.DAYS(Tabla1[[#This Row],[FECHA FIN ]],Tabla1[[#This Row],[FECHA INICIO]])</f>
        <v>144</v>
      </c>
      <c r="M4411" s="12"/>
      <c r="N4411" s="28">
        <v>500</v>
      </c>
      <c r="O4411" s="28">
        <f>(Tabla1[[#This Row],[COSTO FIJO ]]/30)*Tabla1[[#This Row],[TOTAL DIAS PROYECTO]]+(Tabla1[[#This Row],[COSTO TEMPORAL]])</f>
        <v>2400</v>
      </c>
      <c r="P4411" s="12"/>
      <c r="Q4411" s="12">
        <f>+(Tabla1[[#This Row],[COSTO COCHE]]/30)*Tabla1[[#This Row],[TOTAL DIAS PROYECTO]]</f>
        <v>0</v>
      </c>
      <c r="R4411" s="12">
        <f>+Tabla1[[#This Row],[COSTO TOTAL ALOJAMIENTO]]+Tabla1[[#This Row],[COSTO TOTAL COCHE]]</f>
        <v>2400</v>
      </c>
      <c r="S4411" s="2"/>
      <c r="T4411" s="14" t="s">
        <v>35</v>
      </c>
      <c r="U4411" s="14">
        <v>45870</v>
      </c>
      <c r="V4411" s="43"/>
      <c r="W4411" s="12"/>
      <c r="X4411" s="2">
        <v>30</v>
      </c>
      <c r="Y4411" s="253" t="s">
        <v>6441</v>
      </c>
      <c r="Z4411" s="2" t="s">
        <v>36</v>
      </c>
      <c r="AA4411" s="13">
        <v>-0.37739</v>
      </c>
      <c r="AB4411" s="13" t="s">
        <v>10372</v>
      </c>
    </row>
    <row r="4412" spans="1:28" ht="15" customHeight="1">
      <c r="A4412" s="2" t="s">
        <v>8905</v>
      </c>
      <c r="B4412" s="2" t="s">
        <v>368</v>
      </c>
      <c r="C4412" s="31" t="s">
        <v>1221</v>
      </c>
      <c r="D4412" s="2" t="s">
        <v>99</v>
      </c>
      <c r="E4412" s="2" t="s">
        <v>415</v>
      </c>
      <c r="F4412" s="11" t="s">
        <v>6089</v>
      </c>
      <c r="G4412" s="49" t="s">
        <v>1413</v>
      </c>
      <c r="H4412" s="2" t="s">
        <v>3089</v>
      </c>
      <c r="I4412" s="12" t="s">
        <v>2200</v>
      </c>
      <c r="J4412" s="41">
        <f>+Tabla1[[#This Row],[FECHA ENTRADA]]</f>
        <v>45870</v>
      </c>
      <c r="K4412" s="22">
        <v>46014</v>
      </c>
      <c r="L4412" s="42">
        <f>_xlfn.DAYS(Tabla1[[#This Row],[FECHA FIN ]],Tabla1[[#This Row],[FECHA INICIO]])</f>
        <v>144</v>
      </c>
      <c r="M4412" s="12"/>
      <c r="N4412" s="28">
        <v>500</v>
      </c>
      <c r="O4412" s="28">
        <f>(Tabla1[[#This Row],[COSTO FIJO ]]/30)*Tabla1[[#This Row],[TOTAL DIAS PROYECTO]]+(Tabla1[[#This Row],[COSTO TEMPORAL]])</f>
        <v>2400</v>
      </c>
      <c r="P4412" s="12"/>
      <c r="Q4412" s="12">
        <f>+(Tabla1[[#This Row],[COSTO COCHE]]/30)*Tabla1[[#This Row],[TOTAL DIAS PROYECTO]]</f>
        <v>0</v>
      </c>
      <c r="R4412" s="12">
        <f>+Tabla1[[#This Row],[COSTO TOTAL ALOJAMIENTO]]+Tabla1[[#This Row],[COSTO TOTAL COCHE]]</f>
        <v>2400</v>
      </c>
      <c r="S4412" s="2"/>
      <c r="T4412" s="14" t="s">
        <v>35</v>
      </c>
      <c r="U4412" s="14">
        <v>45870</v>
      </c>
      <c r="V4412" s="43"/>
      <c r="W4412" s="12">
        <v>2000</v>
      </c>
      <c r="X4412" s="2">
        <v>30</v>
      </c>
      <c r="Y4412" s="253" t="s">
        <v>6441</v>
      </c>
      <c r="Z4412" s="2" t="s">
        <v>36</v>
      </c>
      <c r="AA4412" s="13">
        <v>-0.37739</v>
      </c>
      <c r="AB4412" s="13" t="s">
        <v>10372</v>
      </c>
    </row>
    <row r="4413" spans="1:28" ht="15" customHeight="1">
      <c r="A4413" s="2" t="s">
        <v>10109</v>
      </c>
      <c r="B4413" s="2" t="s">
        <v>978</v>
      </c>
      <c r="C4413" s="31" t="s">
        <v>6442</v>
      </c>
      <c r="D4413" s="2" t="s">
        <v>99</v>
      </c>
      <c r="E4413" s="2" t="s">
        <v>31</v>
      </c>
      <c r="F4413" s="11" t="s">
        <v>6256</v>
      </c>
      <c r="G4413" s="49" t="s">
        <v>5083</v>
      </c>
      <c r="H4413" s="2" t="s">
        <v>6257</v>
      </c>
      <c r="I4413" s="12" t="s">
        <v>4902</v>
      </c>
      <c r="J4413" s="22">
        <f>+Tabla1[[#This Row],[FECHA ENTRADA]]</f>
        <v>45949</v>
      </c>
      <c r="K4413" s="22">
        <v>45976</v>
      </c>
      <c r="L4413" s="23">
        <f>_xlfn.DAYS(Tabla1[[#This Row],[FECHA FIN ]],Tabla1[[#This Row],[FECHA INICIO]])</f>
        <v>27</v>
      </c>
      <c r="M4413" s="12">
        <v>466.66666666666669</v>
      </c>
      <c r="N4413" s="24"/>
      <c r="O4413" s="24">
        <f>(Tabla1[[#This Row],[COSTO FIJO ]]/30)*Tabla1[[#This Row],[TOTAL DIAS PROYECTO]]+(Tabla1[[#This Row],[COSTO TEMPORAL]])</f>
        <v>466.66666666666669</v>
      </c>
      <c r="P4413" s="12"/>
      <c r="Q4413" s="12">
        <f>+(Tabla1[[#This Row],[COSTO COCHE]]/30)*Tabla1[[#This Row],[TOTAL DIAS PROYECTO]]</f>
        <v>0</v>
      </c>
      <c r="R4413" s="12">
        <f>+Tabla1[[#This Row],[COSTO TOTAL ALOJAMIENTO]]+Tabla1[[#This Row],[COSTO TOTAL COCHE]]</f>
        <v>466.66666666666669</v>
      </c>
      <c r="S4413" s="2"/>
      <c r="T4413" s="14" t="s">
        <v>44</v>
      </c>
      <c r="U4413" s="14">
        <v>45949</v>
      </c>
      <c r="V4413" s="25">
        <v>45991</v>
      </c>
      <c r="W4413" s="71"/>
      <c r="X4413" s="2">
        <v>25</v>
      </c>
      <c r="Y4413" s="11" t="s">
        <v>6258</v>
      </c>
      <c r="Z4413" s="2" t="s">
        <v>36</v>
      </c>
      <c r="AA4413" s="13" t="s">
        <v>10323</v>
      </c>
      <c r="AB4413" s="13" t="s">
        <v>10324</v>
      </c>
    </row>
    <row r="4414" spans="1:28" ht="15" customHeight="1">
      <c r="A4414" s="2" t="s">
        <v>8642</v>
      </c>
      <c r="B4414" s="2" t="s">
        <v>978</v>
      </c>
      <c r="C4414" s="31" t="s">
        <v>6443</v>
      </c>
      <c r="D4414" s="2" t="s">
        <v>99</v>
      </c>
      <c r="E4414" s="2" t="s">
        <v>31</v>
      </c>
      <c r="F4414" s="11" t="s">
        <v>6256</v>
      </c>
      <c r="G4414" s="49" t="s">
        <v>5083</v>
      </c>
      <c r="H4414" s="2" t="s">
        <v>6257</v>
      </c>
      <c r="I4414" s="12" t="s">
        <v>4902</v>
      </c>
      <c r="J4414" s="22">
        <f>+Tabla1[[#This Row],[FECHA ENTRADA]]</f>
        <v>45949</v>
      </c>
      <c r="K4414" s="22">
        <v>45976</v>
      </c>
      <c r="L4414" s="23">
        <f>_xlfn.DAYS(Tabla1[[#This Row],[FECHA FIN ]],Tabla1[[#This Row],[FECHA INICIO]])</f>
        <v>27</v>
      </c>
      <c r="M4414" s="12">
        <v>466.66666666666669</v>
      </c>
      <c r="N4414" s="24"/>
      <c r="O4414" s="24">
        <f>(Tabla1[[#This Row],[COSTO FIJO ]]/30)*Tabla1[[#This Row],[TOTAL DIAS PROYECTO]]+(Tabla1[[#This Row],[COSTO TEMPORAL]])</f>
        <v>466.66666666666669</v>
      </c>
      <c r="P4414" s="12"/>
      <c r="Q4414" s="12">
        <f>+(Tabla1[[#This Row],[COSTO COCHE]]/30)*Tabla1[[#This Row],[TOTAL DIAS PROYECTO]]</f>
        <v>0</v>
      </c>
      <c r="R4414" s="12">
        <f>+Tabla1[[#This Row],[COSTO TOTAL ALOJAMIENTO]]+Tabla1[[#This Row],[COSTO TOTAL COCHE]]</f>
        <v>466.66666666666669</v>
      </c>
      <c r="S4414" s="2"/>
      <c r="T4414" s="14" t="s">
        <v>44</v>
      </c>
      <c r="U4414" s="14">
        <v>45949</v>
      </c>
      <c r="V4414" s="25">
        <v>45991</v>
      </c>
      <c r="W4414" s="71"/>
      <c r="X4414" s="2">
        <v>25</v>
      </c>
      <c r="Y4414" s="11" t="s">
        <v>6258</v>
      </c>
      <c r="Z4414" s="2" t="s">
        <v>36</v>
      </c>
      <c r="AA4414" s="13" t="s">
        <v>10323</v>
      </c>
      <c r="AB4414" s="13" t="s">
        <v>10324</v>
      </c>
    </row>
    <row r="4415" spans="1:28" ht="15" customHeight="1">
      <c r="A4415" s="2" t="s">
        <v>9085</v>
      </c>
      <c r="B4415" s="2" t="s">
        <v>711</v>
      </c>
      <c r="C4415" s="31" t="s">
        <v>1954</v>
      </c>
      <c r="D4415" s="2" t="s">
        <v>72</v>
      </c>
      <c r="E4415" s="2" t="s">
        <v>1955</v>
      </c>
      <c r="F4415" s="11" t="s">
        <v>3627</v>
      </c>
      <c r="G4415" s="46" t="s">
        <v>6444</v>
      </c>
      <c r="H4415" s="2" t="s">
        <v>1958</v>
      </c>
      <c r="I4415" s="12" t="s">
        <v>1959</v>
      </c>
      <c r="J4415" s="41">
        <f>+Tabla1[[#This Row],[FECHA ENTRADA]]</f>
        <v>45891</v>
      </c>
      <c r="K4415" s="41">
        <v>46014</v>
      </c>
      <c r="L4415" s="42">
        <f>_xlfn.DAYS(Tabla1[[#This Row],[FECHA FIN ]],Tabla1[[#This Row],[FECHA INICIO]])</f>
        <v>123</v>
      </c>
      <c r="M4415" s="12">
        <f>8411.19/2</f>
        <v>4205.5950000000003</v>
      </c>
      <c r="N4415" s="28"/>
      <c r="O4415" s="28">
        <f>(Tabla1[[#This Row],[COSTO FIJO ]]/30)*Tabla1[[#This Row],[TOTAL DIAS PROYECTO]]+(Tabla1[[#This Row],[COSTO TEMPORAL]])</f>
        <v>4205.5950000000003</v>
      </c>
      <c r="P4415" s="12"/>
      <c r="Q4415" s="12">
        <f>+(Tabla1[[#This Row],[COSTO COCHE]]/30)*Tabla1[[#This Row],[TOTAL DIAS PROYECTO]]</f>
        <v>0</v>
      </c>
      <c r="R4415" s="12">
        <f>+Tabla1[[#This Row],[COSTO TOTAL ALOJAMIENTO]]+Tabla1[[#This Row],[COSTO TOTAL COCHE]]</f>
        <v>4205.5950000000003</v>
      </c>
      <c r="S4415" s="2" t="s">
        <v>84</v>
      </c>
      <c r="T4415" s="2" t="s">
        <v>528</v>
      </c>
      <c r="U4415" s="14">
        <v>45891</v>
      </c>
      <c r="V4415" s="43">
        <v>46035</v>
      </c>
      <c r="W4415" s="12"/>
      <c r="X4415" s="2"/>
      <c r="Y4415" s="11" t="s">
        <v>6445</v>
      </c>
      <c r="Z4415" s="2" t="s">
        <v>36</v>
      </c>
      <c r="AA4415" s="13" t="s">
        <v>10433</v>
      </c>
      <c r="AB4415" s="13" t="s">
        <v>10434</v>
      </c>
    </row>
    <row r="4416" spans="1:28" ht="15" customHeight="1">
      <c r="A4416" s="2" t="s">
        <v>9907</v>
      </c>
      <c r="B4416" s="184" t="s">
        <v>606</v>
      </c>
      <c r="C4416" s="11" t="s">
        <v>5335</v>
      </c>
      <c r="D4416" s="2" t="s">
        <v>30</v>
      </c>
      <c r="E4416" s="2" t="s">
        <v>415</v>
      </c>
      <c r="F4416" s="11" t="s">
        <v>487</v>
      </c>
      <c r="G4416" s="49" t="s">
        <v>488</v>
      </c>
      <c r="H4416" s="2" t="s">
        <v>5524</v>
      </c>
      <c r="I4416" s="12" t="s">
        <v>34</v>
      </c>
      <c r="J4416" s="41">
        <f>+Tabla1[[#This Row],[FECHA ENTRADA]]</f>
        <v>45973</v>
      </c>
      <c r="K4416" s="22">
        <v>46015</v>
      </c>
      <c r="L4416" s="42">
        <f>_xlfn.DAYS(Tabla1[[#This Row],[FECHA FIN ]],Tabla1[[#This Row],[FECHA INICIO]])</f>
        <v>42</v>
      </c>
      <c r="M4416" s="12"/>
      <c r="N4416" s="24">
        <v>255.55555555555554</v>
      </c>
      <c r="O4416" s="28">
        <f>(Tabla1[[#This Row],[COSTO FIJO ]]/30)*Tabla1[[#This Row],[TOTAL DIAS PROYECTO]]+(Tabla1[[#This Row],[COSTO TEMPORAL]])</f>
        <v>357.77777777777771</v>
      </c>
      <c r="P4416" s="12"/>
      <c r="Q4416" s="12">
        <f>+(Tabla1[[#This Row],[COSTO COCHE]]/30)*Tabla1[[#This Row],[TOTAL DIAS PROYECTO]]</f>
        <v>0</v>
      </c>
      <c r="R4416" s="12">
        <f>+Tabla1[[#This Row],[COSTO TOTAL ALOJAMIENTO]]+Tabla1[[#This Row],[COSTO TOTAL COCHE]]</f>
        <v>357.77777777777771</v>
      </c>
      <c r="S4416" s="2"/>
      <c r="T4416" s="14" t="s">
        <v>35</v>
      </c>
      <c r="U4416" s="14">
        <v>45973</v>
      </c>
      <c r="V4416" s="43"/>
      <c r="W4416" s="12"/>
      <c r="X4416" s="2">
        <v>1</v>
      </c>
      <c r="Y4416" s="11"/>
      <c r="Z4416" s="2" t="s">
        <v>36</v>
      </c>
      <c r="AA4416" s="13">
        <v>-0.37739</v>
      </c>
      <c r="AB4416" s="13" t="s">
        <v>10372</v>
      </c>
    </row>
    <row r="4417" spans="1:28" ht="15" customHeight="1">
      <c r="A4417" s="2" t="s">
        <v>9636</v>
      </c>
      <c r="B4417" s="184" t="s">
        <v>606</v>
      </c>
      <c r="C4417" s="104" t="s">
        <v>4018</v>
      </c>
      <c r="D4417" s="2" t="s">
        <v>30</v>
      </c>
      <c r="E4417" s="2" t="s">
        <v>415</v>
      </c>
      <c r="F4417" s="11" t="s">
        <v>487</v>
      </c>
      <c r="G4417" s="49" t="s">
        <v>488</v>
      </c>
      <c r="H4417" s="2" t="s">
        <v>5524</v>
      </c>
      <c r="I4417" s="12" t="s">
        <v>34</v>
      </c>
      <c r="J4417" s="41">
        <f>+Tabla1[[#This Row],[FECHA ENTRADA]]</f>
        <v>45973</v>
      </c>
      <c r="K4417" s="22">
        <v>46015</v>
      </c>
      <c r="L4417" s="42">
        <f>_xlfn.DAYS(Tabla1[[#This Row],[FECHA FIN ]],Tabla1[[#This Row],[FECHA INICIO]])</f>
        <v>42</v>
      </c>
      <c r="M4417" s="12"/>
      <c r="N4417" s="24">
        <v>255.55555555555554</v>
      </c>
      <c r="O4417" s="28">
        <f>(Tabla1[[#This Row],[COSTO FIJO ]]/30)*Tabla1[[#This Row],[TOTAL DIAS PROYECTO]]+(Tabla1[[#This Row],[COSTO TEMPORAL]])</f>
        <v>357.77777777777771</v>
      </c>
      <c r="P4417" s="12"/>
      <c r="Q4417" s="12">
        <f>+(Tabla1[[#This Row],[COSTO COCHE]]/30)*Tabla1[[#This Row],[TOTAL DIAS PROYECTO]]</f>
        <v>0</v>
      </c>
      <c r="R4417" s="12">
        <f>+Tabla1[[#This Row],[COSTO TOTAL ALOJAMIENTO]]+Tabla1[[#This Row],[COSTO TOTAL COCHE]]</f>
        <v>357.77777777777771</v>
      </c>
      <c r="S4417" s="2"/>
      <c r="T4417" s="14" t="s">
        <v>35</v>
      </c>
      <c r="U4417" s="14">
        <v>45973</v>
      </c>
      <c r="V4417" s="43"/>
      <c r="W4417" s="71"/>
      <c r="X4417" s="2">
        <v>1</v>
      </c>
      <c r="Y4417" s="11" t="s">
        <v>6446</v>
      </c>
      <c r="Z4417" s="2" t="s">
        <v>36</v>
      </c>
      <c r="AA4417" s="13">
        <v>-0.37739</v>
      </c>
      <c r="AB4417" s="13" t="s">
        <v>10372</v>
      </c>
    </row>
    <row r="4418" spans="1:28" ht="15" customHeight="1">
      <c r="A4418" s="2" t="s">
        <v>9791</v>
      </c>
      <c r="B4418" s="2" t="s">
        <v>606</v>
      </c>
      <c r="C4418" s="31" t="s">
        <v>4749</v>
      </c>
      <c r="D4418" s="2" t="s">
        <v>30</v>
      </c>
      <c r="E4418" s="2" t="s">
        <v>415</v>
      </c>
      <c r="F4418" s="11" t="s">
        <v>6089</v>
      </c>
      <c r="G4418" s="49" t="s">
        <v>1413</v>
      </c>
      <c r="H4418" s="2" t="s">
        <v>6090</v>
      </c>
      <c r="I4418" s="10" t="s">
        <v>1946</v>
      </c>
      <c r="J4418" s="22">
        <f>+Tabla1[[#This Row],[FECHA ENTRADA]]</f>
        <v>46040</v>
      </c>
      <c r="K4418" s="22">
        <v>46189</v>
      </c>
      <c r="L4418" s="23">
        <f>_xlfn.DAYS(Tabla1[[#This Row],[FECHA FIN ]],Tabla1[[#This Row],[FECHA INICIO]])</f>
        <v>149</v>
      </c>
      <c r="M4418" s="12"/>
      <c r="N4418" s="12">
        <v>666.66666666666663</v>
      </c>
      <c r="O4418" s="24">
        <f>(Tabla1[[#This Row],[COSTO FIJO ]]/30)*Tabla1[[#This Row],[TOTAL DIAS PROYECTO]]+(Tabla1[[#This Row],[COSTO TEMPORAL]])</f>
        <v>3311.1111111111109</v>
      </c>
      <c r="P4418" s="12"/>
      <c r="Q4418" s="12">
        <f>+(Tabla1[[#This Row],[COSTO COCHE]]/30)*Tabla1[[#This Row],[TOTAL DIAS PROYECTO]]</f>
        <v>0</v>
      </c>
      <c r="R4418" s="12">
        <f>+Tabla1[[#This Row],[COSTO TOTAL ALOJAMIENTO]]+Tabla1[[#This Row],[COSTO TOTAL COCHE]]</f>
        <v>3311.1111111111109</v>
      </c>
      <c r="S4418" s="2"/>
      <c r="T4418" s="14" t="s">
        <v>35</v>
      </c>
      <c r="U4418" s="14">
        <v>46040</v>
      </c>
      <c r="V4418" s="79"/>
      <c r="W4418" s="12"/>
      <c r="X4418" s="2">
        <v>1</v>
      </c>
      <c r="Y4418" s="30" t="s">
        <v>6447</v>
      </c>
      <c r="Z4418" s="2" t="s">
        <v>36</v>
      </c>
      <c r="AA4418" s="13">
        <v>-0.37739</v>
      </c>
      <c r="AB4418" s="13" t="s">
        <v>10372</v>
      </c>
    </row>
    <row r="4419" spans="1:28" ht="15" customHeight="1">
      <c r="A4419" s="2" t="s">
        <v>10110</v>
      </c>
      <c r="B4419" s="2" t="s">
        <v>978</v>
      </c>
      <c r="C4419" s="11" t="s">
        <v>6448</v>
      </c>
      <c r="D4419" s="2" t="s">
        <v>30</v>
      </c>
      <c r="E4419" s="2" t="s">
        <v>422</v>
      </c>
      <c r="F4419" s="31" t="s">
        <v>5435</v>
      </c>
      <c r="G4419" s="118" t="s">
        <v>5428</v>
      </c>
      <c r="H4419" s="2" t="s">
        <v>2180</v>
      </c>
      <c r="I4419" s="12" t="s">
        <v>5430</v>
      </c>
      <c r="J4419" s="41">
        <f>+Tabla1[[#This Row],[FECHA ENTRADA]]</f>
        <v>45839</v>
      </c>
      <c r="K4419" s="22">
        <v>46229</v>
      </c>
      <c r="L4419" s="42">
        <f>_xlfn.DAYS(Tabla1[[#This Row],[FECHA FIN ]],Tabla1[[#This Row],[FECHA INICIO]])</f>
        <v>390</v>
      </c>
      <c r="M4419" s="12"/>
      <c r="N4419" s="12">
        <v>450</v>
      </c>
      <c r="O4419" s="28">
        <f>(Tabla1[[#This Row],[COSTO FIJO ]]/30)*Tabla1[[#This Row],[TOTAL DIAS PROYECTO]]+(Tabla1[[#This Row],[COSTO TEMPORAL]])</f>
        <v>5850</v>
      </c>
      <c r="P4419" s="12"/>
      <c r="Q4419" s="12">
        <f>+(Tabla1[[#This Row],[COSTO COCHE]]/30)*Tabla1[[#This Row],[TOTAL DIAS PROYECTO]]</f>
        <v>0</v>
      </c>
      <c r="R4419" s="12">
        <f>+Tabla1[[#This Row],[COSTO TOTAL ALOJAMIENTO]]+Tabla1[[#This Row],[COSTO TOTAL COCHE]]</f>
        <v>5850</v>
      </c>
      <c r="S4419" s="2"/>
      <c r="T4419" s="14" t="s">
        <v>35</v>
      </c>
      <c r="U4419" s="14">
        <v>45839</v>
      </c>
      <c r="V4419" s="43"/>
      <c r="W4419" s="12"/>
      <c r="X4419" s="2">
        <v>1</v>
      </c>
      <c r="Y4419" s="11" t="s">
        <v>6449</v>
      </c>
      <c r="Z4419" s="2" t="s">
        <v>36</v>
      </c>
      <c r="AA4419" s="13">
        <v>-326.69799999999998</v>
      </c>
      <c r="AB4419" s="13" t="s">
        <v>10373</v>
      </c>
    </row>
    <row r="4420" spans="1:28" ht="15" customHeight="1">
      <c r="A4420" s="2" t="s">
        <v>9117</v>
      </c>
      <c r="B4420" s="184" t="s">
        <v>606</v>
      </c>
      <c r="C4420" s="11" t="s">
        <v>2068</v>
      </c>
      <c r="D4420" s="2" t="s">
        <v>30</v>
      </c>
      <c r="E4420" s="2" t="s">
        <v>415</v>
      </c>
      <c r="F4420" s="11" t="s">
        <v>487</v>
      </c>
      <c r="G4420" s="49" t="s">
        <v>488</v>
      </c>
      <c r="H4420" s="2" t="s">
        <v>6085</v>
      </c>
      <c r="I4420" s="12" t="s">
        <v>34</v>
      </c>
      <c r="J4420" s="41">
        <f>+Tabla1[[#This Row],[FECHA ENTRADA]]</f>
        <v>45973</v>
      </c>
      <c r="K4420" s="22">
        <v>46015</v>
      </c>
      <c r="L4420" s="42">
        <f>_xlfn.DAYS(Tabla1[[#This Row],[FECHA FIN ]],Tabla1[[#This Row],[FECHA INICIO]])</f>
        <v>42</v>
      </c>
      <c r="M4420" s="12"/>
      <c r="N4420" s="24">
        <v>255.55555555555554</v>
      </c>
      <c r="O4420" s="28">
        <f>(Tabla1[[#This Row],[COSTO FIJO ]]/30)*Tabla1[[#This Row],[TOTAL DIAS PROYECTO]]+(Tabla1[[#This Row],[COSTO TEMPORAL]])</f>
        <v>357.77777777777771</v>
      </c>
      <c r="P4420" s="12"/>
      <c r="Q4420" s="12">
        <f>+(Tabla1[[#This Row],[COSTO COCHE]]/30)*Tabla1[[#This Row],[TOTAL DIAS PROYECTO]]</f>
        <v>0</v>
      </c>
      <c r="R4420" s="12">
        <f>+Tabla1[[#This Row],[COSTO TOTAL ALOJAMIENTO]]+Tabla1[[#This Row],[COSTO TOTAL COCHE]]</f>
        <v>357.77777777777771</v>
      </c>
      <c r="S4420" s="2"/>
      <c r="T4420" s="14" t="s">
        <v>35</v>
      </c>
      <c r="U4420" s="14">
        <v>45973</v>
      </c>
      <c r="V4420" s="43"/>
      <c r="W4420" s="71"/>
      <c r="X4420" s="2">
        <v>1</v>
      </c>
      <c r="Y4420" s="11"/>
      <c r="Z4420" s="2" t="s">
        <v>36</v>
      </c>
      <c r="AA4420" s="13">
        <v>-0.37739</v>
      </c>
      <c r="AB4420" s="13" t="s">
        <v>10372</v>
      </c>
    </row>
    <row r="4421" spans="1:28" ht="15" customHeight="1">
      <c r="A4421" s="2" t="s">
        <v>10111</v>
      </c>
      <c r="B4421" s="2" t="s">
        <v>978</v>
      </c>
      <c r="C4421" s="31" t="s">
        <v>6450</v>
      </c>
      <c r="D4421" s="2" t="s">
        <v>99</v>
      </c>
      <c r="E4421" s="2" t="s">
        <v>31</v>
      </c>
      <c r="F4421" s="11" t="s">
        <v>6256</v>
      </c>
      <c r="G4421" s="49" t="s">
        <v>5083</v>
      </c>
      <c r="H4421" s="2" t="s">
        <v>6257</v>
      </c>
      <c r="I4421" s="12" t="s">
        <v>4902</v>
      </c>
      <c r="J4421" s="22">
        <f>+Tabla1[[#This Row],[FECHA ENTRADA]]</f>
        <v>45949</v>
      </c>
      <c r="K4421" s="22">
        <v>45990</v>
      </c>
      <c r="L4421" s="23">
        <f>_xlfn.DAYS(Tabla1[[#This Row],[FECHA FIN ]],Tabla1[[#This Row],[FECHA INICIO]])</f>
        <v>41</v>
      </c>
      <c r="M4421" s="12">
        <v>466.66666666666669</v>
      </c>
      <c r="N4421" s="24"/>
      <c r="O4421" s="24">
        <f>(Tabla1[[#This Row],[COSTO FIJO ]]/30)*Tabla1[[#This Row],[TOTAL DIAS PROYECTO]]+(Tabla1[[#This Row],[COSTO TEMPORAL]])</f>
        <v>466.66666666666669</v>
      </c>
      <c r="P4421" s="12"/>
      <c r="Q4421" s="12">
        <f>+(Tabla1[[#This Row],[COSTO COCHE]]/30)*Tabla1[[#This Row],[TOTAL DIAS PROYECTO]]</f>
        <v>0</v>
      </c>
      <c r="R4421" s="12">
        <f>+Tabla1[[#This Row],[COSTO TOTAL ALOJAMIENTO]]+Tabla1[[#This Row],[COSTO TOTAL COCHE]]</f>
        <v>466.66666666666669</v>
      </c>
      <c r="S4421" s="2"/>
      <c r="T4421" s="14" t="s">
        <v>44</v>
      </c>
      <c r="U4421" s="14">
        <v>45949</v>
      </c>
      <c r="V4421" s="25">
        <v>45991</v>
      </c>
      <c r="W4421" s="71">
        <v>500</v>
      </c>
      <c r="X4421" s="2">
        <v>25</v>
      </c>
      <c r="Y4421" s="11" t="s">
        <v>6451</v>
      </c>
      <c r="Z4421" s="2" t="s">
        <v>36</v>
      </c>
      <c r="AA4421" s="13" t="s">
        <v>10323</v>
      </c>
      <c r="AB4421" s="13" t="s">
        <v>10324</v>
      </c>
    </row>
    <row r="4422" spans="1:28" ht="15" customHeight="1">
      <c r="A4422" s="2" t="s">
        <v>9765</v>
      </c>
      <c r="B4422" s="2" t="s">
        <v>711</v>
      </c>
      <c r="C4422" s="11" t="s">
        <v>4648</v>
      </c>
      <c r="D4422" s="2" t="s">
        <v>30</v>
      </c>
      <c r="E4422" s="2" t="s">
        <v>31</v>
      </c>
      <c r="F4422" s="11" t="s">
        <v>6256</v>
      </c>
      <c r="G4422" s="49" t="s">
        <v>5083</v>
      </c>
      <c r="H4422" s="2" t="s">
        <v>6452</v>
      </c>
      <c r="I4422" s="12" t="s">
        <v>5531</v>
      </c>
      <c r="J4422" s="22">
        <f>+Tabla1[[#This Row],[FECHA ENTRADA]]</f>
        <v>45950</v>
      </c>
      <c r="K4422" s="22">
        <v>45972</v>
      </c>
      <c r="L4422" s="23">
        <f>_xlfn.DAYS(Tabla1[[#This Row],[FECHA FIN ]],Tabla1[[#This Row],[FECHA INICIO]])</f>
        <v>22</v>
      </c>
      <c r="M4422" s="12">
        <v>466.66666666666669</v>
      </c>
      <c r="N4422" s="24"/>
      <c r="O4422" s="24">
        <f>(Tabla1[[#This Row],[COSTO FIJO ]]/30)*Tabla1[[#This Row],[TOTAL DIAS PROYECTO]]+(Tabla1[[#This Row],[COSTO TEMPORAL]])</f>
        <v>466.66666666666669</v>
      </c>
      <c r="P4422" s="12"/>
      <c r="Q4422" s="12">
        <f>+(Tabla1[[#This Row],[COSTO COCHE]]/30)*Tabla1[[#This Row],[TOTAL DIAS PROYECTO]]</f>
        <v>0</v>
      </c>
      <c r="R4422" s="12">
        <f>+Tabla1[[#This Row],[COSTO TOTAL ALOJAMIENTO]]+Tabla1[[#This Row],[COSTO TOTAL COCHE]]</f>
        <v>466.66666666666669</v>
      </c>
      <c r="S4422" s="2"/>
      <c r="T4422" s="14" t="s">
        <v>44</v>
      </c>
      <c r="U4422" s="14">
        <v>45950</v>
      </c>
      <c r="V4422" s="25">
        <v>45991</v>
      </c>
      <c r="W4422" s="71"/>
      <c r="X4422" s="2">
        <v>25</v>
      </c>
      <c r="Y4422" s="11" t="s">
        <v>6453</v>
      </c>
      <c r="Z4422" s="2" t="s">
        <v>36</v>
      </c>
      <c r="AA4422" s="13" t="s">
        <v>10323</v>
      </c>
      <c r="AB4422" s="13" t="s">
        <v>10324</v>
      </c>
    </row>
    <row r="4423" spans="1:28" ht="15" customHeight="1">
      <c r="A4423" s="2" t="s">
        <v>10112</v>
      </c>
      <c r="B4423" s="2" t="s">
        <v>711</v>
      </c>
      <c r="C4423" s="31" t="s">
        <v>6454</v>
      </c>
      <c r="D4423" s="2" t="s">
        <v>30</v>
      </c>
      <c r="E4423" s="2" t="s">
        <v>31</v>
      </c>
      <c r="F4423" s="11" t="s">
        <v>5258</v>
      </c>
      <c r="G4423" s="49" t="s">
        <v>5083</v>
      </c>
      <c r="H4423" s="2" t="s">
        <v>6452</v>
      </c>
      <c r="I4423" s="12" t="s">
        <v>5531</v>
      </c>
      <c r="J4423" s="22">
        <f>+Tabla1[[#This Row],[FECHA ENTRADA]]</f>
        <v>45950</v>
      </c>
      <c r="K4423" s="22">
        <v>46021</v>
      </c>
      <c r="L4423" s="23">
        <f>_xlfn.DAYS(Tabla1[[#This Row],[FECHA FIN ]],Tabla1[[#This Row],[FECHA INICIO]])</f>
        <v>71</v>
      </c>
      <c r="M4423" s="12"/>
      <c r="N4423" s="24">
        <v>416.66666666666669</v>
      </c>
      <c r="O4423" s="24">
        <f>(Tabla1[[#This Row],[COSTO FIJO ]]/30)*Tabla1[[#This Row],[TOTAL DIAS PROYECTO]]+(Tabla1[[#This Row],[COSTO TEMPORAL]])</f>
        <v>986.11111111111109</v>
      </c>
      <c r="P4423" s="12"/>
      <c r="Q4423" s="12">
        <f>+(Tabla1[[#This Row],[COSTO COCHE]]/30)*Tabla1[[#This Row],[TOTAL DIAS PROYECTO]]</f>
        <v>0</v>
      </c>
      <c r="R4423" s="12">
        <f>+Tabla1[[#This Row],[COSTO TOTAL ALOJAMIENTO]]+Tabla1[[#This Row],[COSTO TOTAL COCHE]]</f>
        <v>986.11111111111109</v>
      </c>
      <c r="S4423" s="2"/>
      <c r="T4423" s="14" t="s">
        <v>44</v>
      </c>
      <c r="U4423" s="14">
        <v>45950</v>
      </c>
      <c r="V4423" s="25">
        <v>46021</v>
      </c>
      <c r="W4423" s="71"/>
      <c r="X4423" s="2">
        <v>25</v>
      </c>
      <c r="Y4423" s="11" t="s">
        <v>6455</v>
      </c>
      <c r="Z4423" s="2" t="s">
        <v>36</v>
      </c>
      <c r="AA4423" s="13" t="s">
        <v>10323</v>
      </c>
      <c r="AB4423" s="13" t="s">
        <v>10324</v>
      </c>
    </row>
    <row r="4424" spans="1:28" ht="15" customHeight="1">
      <c r="A4424" s="2" t="s">
        <v>9928</v>
      </c>
      <c r="B4424" s="2" t="s">
        <v>978</v>
      </c>
      <c r="C4424" s="31" t="s">
        <v>5501</v>
      </c>
      <c r="D4424" s="2" t="s">
        <v>99</v>
      </c>
      <c r="E4424" s="2" t="s">
        <v>31</v>
      </c>
      <c r="F4424" s="11" t="s">
        <v>6456</v>
      </c>
      <c r="G4424" s="46" t="s">
        <v>5083</v>
      </c>
      <c r="H4424" s="2" t="s">
        <v>6457</v>
      </c>
      <c r="I4424" s="12" t="s">
        <v>6458</v>
      </c>
      <c r="J4424" s="41">
        <f>+Tabla1[[#This Row],[FECHA ENTRADA]]</f>
        <v>45952</v>
      </c>
      <c r="K4424" s="41">
        <v>46015</v>
      </c>
      <c r="L4424" s="42">
        <f>_xlfn.DAYS(Tabla1[[#This Row],[FECHA FIN ]],Tabla1[[#This Row],[FECHA INICIO]])</f>
        <v>63</v>
      </c>
      <c r="M4424" s="12">
        <v>560</v>
      </c>
      <c r="N4424" s="28"/>
      <c r="O4424" s="28">
        <f>(Tabla1[[#This Row],[COSTO FIJO ]]/30)*Tabla1[[#This Row],[TOTAL DIAS PROYECTO]]+(Tabla1[[#This Row],[COSTO TEMPORAL]])</f>
        <v>560</v>
      </c>
      <c r="P4424" s="12"/>
      <c r="Q4424" s="12">
        <f>+(Tabla1[[#This Row],[COSTO COCHE]]/30)*Tabla1[[#This Row],[TOTAL DIAS PROYECTO]]</f>
        <v>0</v>
      </c>
      <c r="R4424" s="12">
        <f>+Tabla1[[#This Row],[COSTO TOTAL ALOJAMIENTO]]+Tabla1[[#This Row],[COSTO TOTAL COCHE]]</f>
        <v>560</v>
      </c>
      <c r="S4424" s="2"/>
      <c r="T4424" s="14" t="s">
        <v>44</v>
      </c>
      <c r="U4424" s="14">
        <v>45952</v>
      </c>
      <c r="V4424" s="25">
        <v>46015</v>
      </c>
      <c r="W4424" s="71">
        <v>500</v>
      </c>
      <c r="X4424" s="2">
        <v>19</v>
      </c>
      <c r="Y4424" s="11" t="s">
        <v>6459</v>
      </c>
      <c r="Z4424" s="2" t="s">
        <v>36</v>
      </c>
      <c r="AA4424" s="13" t="s">
        <v>10323</v>
      </c>
      <c r="AB4424" s="13" t="s">
        <v>10324</v>
      </c>
    </row>
    <row r="4425" spans="1:28" ht="15" customHeight="1">
      <c r="A4425" s="2" t="s">
        <v>10113</v>
      </c>
      <c r="B4425" s="2" t="s">
        <v>978</v>
      </c>
      <c r="C4425" s="31" t="s">
        <v>6460</v>
      </c>
      <c r="D4425" s="2" t="s">
        <v>30</v>
      </c>
      <c r="E4425" s="2" t="s">
        <v>31</v>
      </c>
      <c r="F4425" s="11" t="s">
        <v>6456</v>
      </c>
      <c r="G4425" s="46" t="s">
        <v>5083</v>
      </c>
      <c r="H4425" s="2" t="s">
        <v>6457</v>
      </c>
      <c r="I4425" s="12" t="s">
        <v>6458</v>
      </c>
      <c r="J4425" s="41">
        <f>+Tabla1[[#This Row],[FECHA ENTRADA]]</f>
        <v>45952</v>
      </c>
      <c r="K4425" s="41">
        <v>46015</v>
      </c>
      <c r="L4425" s="42">
        <f>_xlfn.DAYS(Tabla1[[#This Row],[FECHA FIN ]],Tabla1[[#This Row],[FECHA INICIO]])</f>
        <v>63</v>
      </c>
      <c r="M4425" s="12">
        <v>560</v>
      </c>
      <c r="N4425" s="28"/>
      <c r="O4425" s="28">
        <f>(Tabla1[[#This Row],[COSTO FIJO ]]/30)*Tabla1[[#This Row],[TOTAL DIAS PROYECTO]]+(Tabla1[[#This Row],[COSTO TEMPORAL]])</f>
        <v>560</v>
      </c>
      <c r="P4425" s="12"/>
      <c r="Q4425" s="12">
        <f>+(Tabla1[[#This Row],[COSTO COCHE]]/30)*Tabla1[[#This Row],[TOTAL DIAS PROYECTO]]</f>
        <v>0</v>
      </c>
      <c r="R4425" s="12">
        <f>+Tabla1[[#This Row],[COSTO TOTAL ALOJAMIENTO]]+Tabla1[[#This Row],[COSTO TOTAL COCHE]]</f>
        <v>560</v>
      </c>
      <c r="S4425" s="2"/>
      <c r="T4425" s="14" t="s">
        <v>44</v>
      </c>
      <c r="U4425" s="14">
        <v>45952</v>
      </c>
      <c r="V4425" s="25">
        <v>46015</v>
      </c>
      <c r="W4425" s="71"/>
      <c r="X4425" s="2">
        <v>19</v>
      </c>
      <c r="Y4425" s="11" t="s">
        <v>6461</v>
      </c>
      <c r="Z4425" s="2" t="s">
        <v>36</v>
      </c>
      <c r="AA4425" s="13" t="s">
        <v>10323</v>
      </c>
      <c r="AB4425" s="13" t="s">
        <v>10324</v>
      </c>
    </row>
    <row r="4426" spans="1:28" ht="15" customHeight="1">
      <c r="A4426" s="2" t="s">
        <v>9185</v>
      </c>
      <c r="B4426" s="2" t="s">
        <v>978</v>
      </c>
      <c r="C4426" s="31" t="s">
        <v>2354</v>
      </c>
      <c r="D4426" s="2" t="s">
        <v>30</v>
      </c>
      <c r="E4426" s="2" t="s">
        <v>855</v>
      </c>
      <c r="F4426" s="11" t="s">
        <v>1662</v>
      </c>
      <c r="G4426" s="46" t="s">
        <v>1474</v>
      </c>
      <c r="H4426" s="2" t="s">
        <v>5576</v>
      </c>
      <c r="I4426" s="12" t="s">
        <v>4362</v>
      </c>
      <c r="J4426" s="41">
        <f>+Tabla1[[#This Row],[FECHA ENTRADA]]</f>
        <v>45943</v>
      </c>
      <c r="K4426" s="22">
        <v>46015</v>
      </c>
      <c r="L4426" s="42">
        <f>_xlfn.DAYS(Tabla1[[#This Row],[FECHA FIN ]],Tabla1[[#This Row],[FECHA INICIO]])</f>
        <v>72</v>
      </c>
      <c r="M4426" s="12">
        <v>166.66666666666666</v>
      </c>
      <c r="N4426" s="28"/>
      <c r="O4426" s="28">
        <f>(Tabla1[[#This Row],[COSTO FIJO ]]/30)*Tabla1[[#This Row],[TOTAL DIAS PROYECTO]]+(Tabla1[[#This Row],[COSTO TEMPORAL]])</f>
        <v>166.66666666666666</v>
      </c>
      <c r="P4426" s="12"/>
      <c r="Q4426" s="12">
        <f>+(Tabla1[[#This Row],[COSTO COCHE]]/30)*Tabla1[[#This Row],[TOTAL DIAS PROYECTO]]</f>
        <v>0</v>
      </c>
      <c r="R4426" s="12">
        <f>+Tabla1[[#This Row],[COSTO TOTAL ALOJAMIENTO]]+Tabla1[[#This Row],[COSTO TOTAL COCHE]]</f>
        <v>166.66666666666666</v>
      </c>
      <c r="S4426" s="2"/>
      <c r="T4426" s="14" t="s">
        <v>44</v>
      </c>
      <c r="U4426" s="14">
        <v>45943</v>
      </c>
      <c r="V4426" s="25">
        <v>46020</v>
      </c>
      <c r="W4426" s="71"/>
      <c r="X4426" s="2"/>
      <c r="Y4426" s="11" t="s">
        <v>6462</v>
      </c>
      <c r="Z4426" s="2" t="s">
        <v>36</v>
      </c>
      <c r="AA4426" s="13" t="s">
        <v>10401</v>
      </c>
      <c r="AB4426" s="13" t="s">
        <v>10402</v>
      </c>
    </row>
    <row r="4427" spans="1:28" ht="15" customHeight="1">
      <c r="A4427" s="2" t="s">
        <v>9903</v>
      </c>
      <c r="B4427" s="2" t="s">
        <v>606</v>
      </c>
      <c r="C4427" s="11" t="s">
        <v>5310</v>
      </c>
      <c r="D4427" s="2" t="s">
        <v>30</v>
      </c>
      <c r="E4427" s="2" t="s">
        <v>259</v>
      </c>
      <c r="F4427" s="11" t="s">
        <v>4894</v>
      </c>
      <c r="G4427" s="49" t="s">
        <v>4207</v>
      </c>
      <c r="H4427" s="2" t="s">
        <v>5311</v>
      </c>
      <c r="I4427" s="12" t="s">
        <v>57</v>
      </c>
      <c r="J4427" s="22">
        <f>+Tabla1[[#This Row],[FECHA ENTRADA]]</f>
        <v>45944</v>
      </c>
      <c r="K4427" s="8">
        <v>46017</v>
      </c>
      <c r="L4427" s="23">
        <f>_xlfn.DAYS(Tabla1[[#This Row],[FECHA FIN ]],Tabla1[[#This Row],[FECHA INICIO]])</f>
        <v>73</v>
      </c>
      <c r="M4427" s="12"/>
      <c r="N4427" s="24">
        <v>325</v>
      </c>
      <c r="O4427" s="24">
        <f>(Tabla1[[#This Row],[COSTO FIJO ]]/30)*Tabla1[[#This Row],[TOTAL DIAS PROYECTO]]+(Tabla1[[#This Row],[COSTO TEMPORAL]])</f>
        <v>790.83333333333337</v>
      </c>
      <c r="P4427" s="12"/>
      <c r="Q4427" s="12">
        <f>+(Tabla1[[#This Row],[COSTO COCHE]]/30)*Tabla1[[#This Row],[TOTAL DIAS PROYECTO]]</f>
        <v>0</v>
      </c>
      <c r="R4427" s="12">
        <f>+Tabla1[[#This Row],[COSTO TOTAL ALOJAMIENTO]]+Tabla1[[#This Row],[COSTO TOTAL COCHE]]</f>
        <v>790.83333333333337</v>
      </c>
      <c r="S4427" s="2"/>
      <c r="T4427" s="14" t="s">
        <v>35</v>
      </c>
      <c r="U4427" s="14">
        <v>45944</v>
      </c>
      <c r="V4427" s="25"/>
      <c r="W4427" s="12">
        <v>1300</v>
      </c>
      <c r="X4427" s="2">
        <v>5</v>
      </c>
      <c r="Y4427" s="11"/>
      <c r="Z4427" s="2" t="s">
        <v>36</v>
      </c>
      <c r="AA4427" s="13">
        <v>-0.87734000000000001</v>
      </c>
      <c r="AB4427" s="13" t="s">
        <v>10359</v>
      </c>
    </row>
    <row r="4428" spans="1:28" ht="15" customHeight="1">
      <c r="A4428" s="2" t="s">
        <v>9771</v>
      </c>
      <c r="B4428" s="2" t="s">
        <v>606</v>
      </c>
      <c r="C4428" s="11" t="s">
        <v>4665</v>
      </c>
      <c r="D4428" s="2" t="s">
        <v>30</v>
      </c>
      <c r="E4428" s="2" t="s">
        <v>259</v>
      </c>
      <c r="F4428" s="11" t="s">
        <v>4894</v>
      </c>
      <c r="G4428" s="49" t="s">
        <v>4207</v>
      </c>
      <c r="H4428" s="2" t="s">
        <v>5311</v>
      </c>
      <c r="I4428" s="12" t="s">
        <v>57</v>
      </c>
      <c r="J4428" s="22">
        <f>+Tabla1[[#This Row],[FECHA ENTRADA]]</f>
        <v>45944</v>
      </c>
      <c r="K4428" s="8">
        <v>46017</v>
      </c>
      <c r="L4428" s="23">
        <f>_xlfn.DAYS(Tabla1[[#This Row],[FECHA FIN ]],Tabla1[[#This Row],[FECHA INICIO]])</f>
        <v>73</v>
      </c>
      <c r="M4428" s="12"/>
      <c r="N4428" s="24">
        <v>325</v>
      </c>
      <c r="O4428" s="24">
        <f>(Tabla1[[#This Row],[COSTO FIJO ]]/30)*Tabla1[[#This Row],[TOTAL DIAS PROYECTO]]+(Tabla1[[#This Row],[COSTO TEMPORAL]])</f>
        <v>790.83333333333337</v>
      </c>
      <c r="P4428" s="12"/>
      <c r="Q4428" s="12">
        <f>+(Tabla1[[#This Row],[COSTO COCHE]]/30)*Tabla1[[#This Row],[TOTAL DIAS PROYECTO]]</f>
        <v>0</v>
      </c>
      <c r="R4428" s="12">
        <f>+Tabla1[[#This Row],[COSTO TOTAL ALOJAMIENTO]]+Tabla1[[#This Row],[COSTO TOTAL COCHE]]</f>
        <v>790.83333333333337</v>
      </c>
      <c r="S4428" s="2"/>
      <c r="T4428" s="14" t="s">
        <v>35</v>
      </c>
      <c r="U4428" s="14">
        <v>45944</v>
      </c>
      <c r="V4428" s="25"/>
      <c r="W4428" s="71"/>
      <c r="X4428" s="2">
        <v>5</v>
      </c>
      <c r="Y4428" s="11"/>
      <c r="Z4428" s="2" t="s">
        <v>36</v>
      </c>
      <c r="AA4428" s="13">
        <v>-0.87734000000000001</v>
      </c>
      <c r="AB4428" s="13" t="s">
        <v>10359</v>
      </c>
    </row>
    <row r="4429" spans="1:28" ht="15" customHeight="1">
      <c r="A4429" s="2" t="s">
        <v>10033</v>
      </c>
      <c r="B4429" s="2" t="s">
        <v>606</v>
      </c>
      <c r="C4429" s="11" t="s">
        <v>6006</v>
      </c>
      <c r="D4429" s="2" t="s">
        <v>30</v>
      </c>
      <c r="E4429" s="2" t="s">
        <v>259</v>
      </c>
      <c r="F4429" s="11" t="s">
        <v>4894</v>
      </c>
      <c r="G4429" s="49" t="s">
        <v>4207</v>
      </c>
      <c r="H4429" s="2" t="s">
        <v>6463</v>
      </c>
      <c r="I4429" s="12" t="s">
        <v>57</v>
      </c>
      <c r="J4429" s="22">
        <f>+Tabla1[[#This Row],[FECHA ENTRADA]]</f>
        <v>45978</v>
      </c>
      <c r="K4429" s="22">
        <v>46017</v>
      </c>
      <c r="L4429" s="23">
        <f>_xlfn.DAYS(Tabla1[[#This Row],[FECHA FIN ]],Tabla1[[#This Row],[FECHA INICIO]])</f>
        <v>39</v>
      </c>
      <c r="M4429" s="12"/>
      <c r="N4429" s="24">
        <v>325</v>
      </c>
      <c r="O4429" s="24">
        <f>(Tabla1[[#This Row],[COSTO FIJO ]]/30)*Tabla1[[#This Row],[TOTAL DIAS PROYECTO]]+(Tabla1[[#This Row],[COSTO TEMPORAL]])</f>
        <v>422.5</v>
      </c>
      <c r="P4429" s="12"/>
      <c r="Q4429" s="12">
        <f>+(Tabla1[[#This Row],[COSTO COCHE]]/30)*Tabla1[[#This Row],[TOTAL DIAS PROYECTO]]</f>
        <v>0</v>
      </c>
      <c r="R4429" s="12">
        <f>+Tabla1[[#This Row],[COSTO TOTAL ALOJAMIENTO]]+Tabla1[[#This Row],[COSTO TOTAL COCHE]]</f>
        <v>422.5</v>
      </c>
      <c r="S4429" s="2"/>
      <c r="T4429" s="14" t="s">
        <v>35</v>
      </c>
      <c r="U4429" s="14">
        <v>45978</v>
      </c>
      <c r="V4429" s="25"/>
      <c r="W4429" s="71"/>
      <c r="X4429" s="2">
        <v>5</v>
      </c>
      <c r="Y4429" s="11"/>
      <c r="Z4429" s="2" t="s">
        <v>36</v>
      </c>
      <c r="AA4429" s="13">
        <v>-0.87734000000000001</v>
      </c>
      <c r="AB4429" s="13" t="s">
        <v>10359</v>
      </c>
    </row>
    <row r="4430" spans="1:28" ht="15" customHeight="1">
      <c r="A4430" s="2" t="s">
        <v>9917</v>
      </c>
      <c r="B4430" s="2" t="s">
        <v>606</v>
      </c>
      <c r="C4430" s="239" t="s">
        <v>5405</v>
      </c>
      <c r="D4430" s="2" t="s">
        <v>99</v>
      </c>
      <c r="E4430" s="2" t="s">
        <v>31</v>
      </c>
      <c r="F4430" s="11" t="s">
        <v>1450</v>
      </c>
      <c r="G4430" s="11" t="s">
        <v>1451</v>
      </c>
      <c r="H4430" s="2" t="s">
        <v>6464</v>
      </c>
      <c r="I4430" s="12" t="s">
        <v>2062</v>
      </c>
      <c r="J4430" s="41">
        <f>+Tabla1[[#This Row],[FECHA ENTRADA]]</f>
        <v>46057</v>
      </c>
      <c r="K4430" s="22">
        <v>46077</v>
      </c>
      <c r="L4430" s="42">
        <f>_xlfn.DAYS(Tabla1[[#This Row],[FECHA FIN ]],Tabla1[[#This Row],[FECHA INICIO]])</f>
        <v>20</v>
      </c>
      <c r="M4430" s="12"/>
      <c r="N4430" s="20">
        <v>978.63</v>
      </c>
      <c r="O4430" s="28">
        <f>(Tabla1[[#This Row],[COSTO FIJO ]]/30)*Tabla1[[#This Row],[TOTAL DIAS PROYECTO]]+(Tabla1[[#This Row],[COSTO TEMPORAL]])</f>
        <v>652.42000000000007</v>
      </c>
      <c r="P4430" s="12"/>
      <c r="Q4430" s="12">
        <f>+(Tabla1[[#This Row],[COSTO COCHE]]/30)*Tabla1[[#This Row],[TOTAL DIAS PROYECTO]]</f>
        <v>0</v>
      </c>
      <c r="R4430" s="12">
        <f>+Tabla1[[#This Row],[COSTO TOTAL ALOJAMIENTO]]+Tabla1[[#This Row],[COSTO TOTAL COCHE]]</f>
        <v>652.42000000000007</v>
      </c>
      <c r="S4430" s="2"/>
      <c r="T4430" s="14" t="s">
        <v>35</v>
      </c>
      <c r="U4430" s="14">
        <v>46057</v>
      </c>
      <c r="V4430" s="43"/>
      <c r="W4430" s="12"/>
      <c r="X4430" s="2">
        <v>1</v>
      </c>
      <c r="Y4430" s="202" t="s">
        <v>6465</v>
      </c>
      <c r="Z4430" s="2" t="s">
        <v>36</v>
      </c>
      <c r="AA4430" s="13" t="s">
        <v>10323</v>
      </c>
      <c r="AB4430" s="13" t="s">
        <v>10324</v>
      </c>
    </row>
    <row r="4431" spans="1:28" ht="15" customHeight="1">
      <c r="A4431" s="2" t="s">
        <v>9769</v>
      </c>
      <c r="B4431" s="2" t="s">
        <v>978</v>
      </c>
      <c r="C4431" s="31" t="s">
        <v>4658</v>
      </c>
      <c r="D4431" s="2" t="s">
        <v>30</v>
      </c>
      <c r="E4431" s="2" t="s">
        <v>855</v>
      </c>
      <c r="F4431" s="11" t="s">
        <v>6466</v>
      </c>
      <c r="G4431" s="49" t="s">
        <v>1474</v>
      </c>
      <c r="H4431" s="2" t="s">
        <v>5807</v>
      </c>
      <c r="I4431" s="12" t="s">
        <v>5808</v>
      </c>
      <c r="J4431" s="22">
        <f>+Tabla1[[#This Row],[FECHA ENTRADA]]</f>
        <v>45963</v>
      </c>
      <c r="K4431" s="22">
        <v>46020</v>
      </c>
      <c r="L4431" s="23">
        <f>_xlfn.DAYS(Tabla1[[#This Row],[FECHA FIN ]],Tabla1[[#This Row],[FECHA INICIO]])</f>
        <v>57</v>
      </c>
      <c r="M4431" s="12">
        <v>166.66666666666666</v>
      </c>
      <c r="N4431" s="20"/>
      <c r="O4431" s="24">
        <f>(Tabla1[[#This Row],[COSTO FIJO ]]/30)*Tabla1[[#This Row],[TOTAL DIAS PROYECTO]]+(Tabla1[[#This Row],[COSTO TEMPORAL]])</f>
        <v>166.66666666666666</v>
      </c>
      <c r="P4431" s="12"/>
      <c r="Q4431" s="12">
        <f>+(Tabla1[[#This Row],[COSTO COCHE]]/30)*Tabla1[[#This Row],[TOTAL DIAS PROYECTO]]</f>
        <v>0</v>
      </c>
      <c r="R4431" s="12">
        <f>+Tabla1[[#This Row],[COSTO TOTAL ALOJAMIENTO]]+Tabla1[[#This Row],[COSTO TOTAL COCHE]]</f>
        <v>166.66666666666666</v>
      </c>
      <c r="S4431" s="2"/>
      <c r="T4431" s="14" t="s">
        <v>44</v>
      </c>
      <c r="U4431" s="14">
        <v>45963</v>
      </c>
      <c r="V4431" s="25">
        <v>46020</v>
      </c>
      <c r="W4431" s="71"/>
      <c r="X4431" s="2"/>
      <c r="Y4431" s="11" t="s">
        <v>6467</v>
      </c>
      <c r="Z4431" s="2" t="s">
        <v>36</v>
      </c>
      <c r="AA4431" s="13" t="s">
        <v>10401</v>
      </c>
      <c r="AB4431" s="13" t="s">
        <v>10402</v>
      </c>
    </row>
    <row r="4432" spans="1:28" ht="15" customHeight="1">
      <c r="A4432" s="2" t="s">
        <v>10114</v>
      </c>
      <c r="B4432" s="2" t="s">
        <v>28</v>
      </c>
      <c r="C4432" s="31" t="s">
        <v>6468</v>
      </c>
      <c r="D4432" s="2" t="s">
        <v>30</v>
      </c>
      <c r="E4432" s="2" t="s">
        <v>31</v>
      </c>
      <c r="F4432" s="11" t="s">
        <v>715</v>
      </c>
      <c r="G4432" s="11" t="s">
        <v>716</v>
      </c>
      <c r="H4432" s="2" t="s">
        <v>1058</v>
      </c>
      <c r="I4432" s="12" t="s">
        <v>527</v>
      </c>
      <c r="J4432" s="8">
        <f>+Tabla1[[#This Row],[FECHA ENTRADA]]</f>
        <v>45453</v>
      </c>
      <c r="K4432" s="22">
        <v>46021</v>
      </c>
      <c r="L4432" s="13">
        <f>_xlfn.DAYS(Tabla1[[#This Row],[FECHA FIN ]],Tabla1[[#This Row],[FECHA INICIO]])</f>
        <v>568</v>
      </c>
      <c r="M4432" s="12"/>
      <c r="N4432" s="12">
        <v>160</v>
      </c>
      <c r="O4432" s="28">
        <f>(Tabla1[[#This Row],[COSTO FIJO ]]/30)*Tabla1[[#This Row],[TOTAL DIAS PROYECTO]]+(Tabla1[[#This Row],[COSTO TEMPORAL]])</f>
        <v>3029.333333333333</v>
      </c>
      <c r="P4432" s="12">
        <f>542.69/3</f>
        <v>180.89666666666668</v>
      </c>
      <c r="Q4432" s="28">
        <f>+(Tabla1[[#This Row],[COSTO COCHE]]/30)*Tabla1[[#This Row],[TOTAL DIAS PROYECTO]]</f>
        <v>3424.9768888888893</v>
      </c>
      <c r="R4432" s="28">
        <f>+Tabla1[[#This Row],[COSTO TOTAL ALOJAMIENTO]]+Tabla1[[#This Row],[COSTO TOTAL COCHE]]</f>
        <v>6454.3102222222224</v>
      </c>
      <c r="S4432" s="2"/>
      <c r="T4432" s="2" t="s">
        <v>35</v>
      </c>
      <c r="U4432" s="14">
        <v>45453</v>
      </c>
      <c r="V4432" s="14"/>
      <c r="W4432" s="26"/>
      <c r="X4432" s="2">
        <v>1</v>
      </c>
      <c r="Y4432" s="11" t="s">
        <v>6469</v>
      </c>
      <c r="Z4432" s="2" t="s">
        <v>36</v>
      </c>
      <c r="AA4432" s="13" t="s">
        <v>10323</v>
      </c>
      <c r="AB4432" s="13" t="s">
        <v>10324</v>
      </c>
    </row>
    <row r="4433" spans="1:28" ht="15" customHeight="1">
      <c r="A4433" s="2" t="s">
        <v>9833</v>
      </c>
      <c r="B4433" s="2" t="s">
        <v>978</v>
      </c>
      <c r="C4433" s="31" t="s">
        <v>4948</v>
      </c>
      <c r="D4433" s="2" t="s">
        <v>30</v>
      </c>
      <c r="E4433" s="2" t="s">
        <v>31</v>
      </c>
      <c r="F4433" s="11" t="s">
        <v>6456</v>
      </c>
      <c r="G4433" s="46" t="s">
        <v>5083</v>
      </c>
      <c r="H4433" s="2" t="s">
        <v>6457</v>
      </c>
      <c r="I4433" s="12" t="s">
        <v>6458</v>
      </c>
      <c r="J4433" s="41">
        <f>+Tabla1[[#This Row],[FECHA ENTRADA]]</f>
        <v>45952</v>
      </c>
      <c r="K4433" s="41">
        <v>46015</v>
      </c>
      <c r="L4433" s="42">
        <f>_xlfn.DAYS(Tabla1[[#This Row],[FECHA FIN ]],Tabla1[[#This Row],[FECHA INICIO]])</f>
        <v>63</v>
      </c>
      <c r="M4433" s="12">
        <v>560</v>
      </c>
      <c r="N4433" s="28"/>
      <c r="O4433" s="28">
        <f>(Tabla1[[#This Row],[COSTO FIJO ]]/30)*Tabla1[[#This Row],[TOTAL DIAS PROYECTO]]+(Tabla1[[#This Row],[COSTO TEMPORAL]])</f>
        <v>560</v>
      </c>
      <c r="P4433" s="12"/>
      <c r="Q4433" s="12">
        <f>+(Tabla1[[#This Row],[COSTO COCHE]]/30)*Tabla1[[#This Row],[TOTAL DIAS PROYECTO]]</f>
        <v>0</v>
      </c>
      <c r="R4433" s="12">
        <f>+Tabla1[[#This Row],[COSTO TOTAL ALOJAMIENTO]]+Tabla1[[#This Row],[COSTO TOTAL COCHE]]</f>
        <v>560</v>
      </c>
      <c r="S4433" s="2"/>
      <c r="T4433" s="14" t="s">
        <v>44</v>
      </c>
      <c r="U4433" s="14">
        <v>45952</v>
      </c>
      <c r="V4433" s="25">
        <v>46015</v>
      </c>
      <c r="W4433" s="71"/>
      <c r="X4433" s="2">
        <v>19</v>
      </c>
      <c r="Y4433" s="11" t="s">
        <v>6461</v>
      </c>
      <c r="Z4433" s="2" t="s">
        <v>36</v>
      </c>
      <c r="AA4433" s="13" t="s">
        <v>10323</v>
      </c>
      <c r="AB4433" s="13" t="s">
        <v>10324</v>
      </c>
    </row>
    <row r="4434" spans="1:28" ht="15" customHeight="1">
      <c r="A4434" s="2" t="s">
        <v>10115</v>
      </c>
      <c r="B4434" s="2" t="s">
        <v>978</v>
      </c>
      <c r="C4434" s="31" t="s">
        <v>6470</v>
      </c>
      <c r="D4434" s="2" t="s">
        <v>30</v>
      </c>
      <c r="E4434" s="2" t="s">
        <v>31</v>
      </c>
      <c r="F4434" s="11" t="s">
        <v>6456</v>
      </c>
      <c r="G4434" s="46" t="s">
        <v>5083</v>
      </c>
      <c r="H4434" s="2" t="s">
        <v>6471</v>
      </c>
      <c r="I4434" s="12" t="s">
        <v>6458</v>
      </c>
      <c r="J4434" s="41">
        <f>+Tabla1[[#This Row],[FECHA ENTRADA]]</f>
        <v>45956</v>
      </c>
      <c r="K4434" s="41">
        <v>46015</v>
      </c>
      <c r="L4434" s="42">
        <f>_xlfn.DAYS(Tabla1[[#This Row],[FECHA FIN ]],Tabla1[[#This Row],[FECHA INICIO]])</f>
        <v>59</v>
      </c>
      <c r="M4434" s="12">
        <v>560</v>
      </c>
      <c r="N4434" s="28"/>
      <c r="O4434" s="28">
        <f>(Tabla1[[#This Row],[COSTO FIJO ]]/30)*Tabla1[[#This Row],[TOTAL DIAS PROYECTO]]+(Tabla1[[#This Row],[COSTO TEMPORAL]])</f>
        <v>560</v>
      </c>
      <c r="P4434" s="12"/>
      <c r="Q4434" s="12">
        <f>+(Tabla1[[#This Row],[COSTO COCHE]]/30)*Tabla1[[#This Row],[TOTAL DIAS PROYECTO]]</f>
        <v>0</v>
      </c>
      <c r="R4434" s="12">
        <f>+Tabla1[[#This Row],[COSTO TOTAL ALOJAMIENTO]]+Tabla1[[#This Row],[COSTO TOTAL COCHE]]</f>
        <v>560</v>
      </c>
      <c r="S4434" s="2"/>
      <c r="T4434" s="14" t="s">
        <v>44</v>
      </c>
      <c r="U4434" s="14">
        <v>45956</v>
      </c>
      <c r="V4434" s="25">
        <v>46015</v>
      </c>
      <c r="W4434" s="71"/>
      <c r="X4434" s="2">
        <v>19</v>
      </c>
      <c r="Y4434" s="11" t="s">
        <v>6461</v>
      </c>
      <c r="Z4434" s="2" t="s">
        <v>36</v>
      </c>
      <c r="AA4434" s="13" t="s">
        <v>10323</v>
      </c>
      <c r="AB4434" s="13" t="s">
        <v>10324</v>
      </c>
    </row>
    <row r="4435" spans="1:28" ht="15" customHeight="1">
      <c r="A4435" s="2" t="s">
        <v>10116</v>
      </c>
      <c r="B4435" s="2" t="s">
        <v>978</v>
      </c>
      <c r="C4435" s="31" t="s">
        <v>6472</v>
      </c>
      <c r="D4435" s="2" t="s">
        <v>30</v>
      </c>
      <c r="E4435" s="2" t="s">
        <v>31</v>
      </c>
      <c r="F4435" s="11" t="s">
        <v>6456</v>
      </c>
      <c r="G4435" s="46" t="s">
        <v>5083</v>
      </c>
      <c r="H4435" s="2" t="s">
        <v>6471</v>
      </c>
      <c r="I4435" s="12" t="s">
        <v>6458</v>
      </c>
      <c r="J4435" s="41">
        <f>+Tabla1[[#This Row],[FECHA ENTRADA]]</f>
        <v>45956</v>
      </c>
      <c r="K4435" s="41">
        <v>46015</v>
      </c>
      <c r="L4435" s="42">
        <f>_xlfn.DAYS(Tabla1[[#This Row],[FECHA FIN ]],Tabla1[[#This Row],[FECHA INICIO]])</f>
        <v>59</v>
      </c>
      <c r="M4435" s="12">
        <v>560</v>
      </c>
      <c r="N4435" s="28"/>
      <c r="O4435" s="28">
        <f>(Tabla1[[#This Row],[COSTO FIJO ]]/30)*Tabla1[[#This Row],[TOTAL DIAS PROYECTO]]+(Tabla1[[#This Row],[COSTO TEMPORAL]])</f>
        <v>560</v>
      </c>
      <c r="P4435" s="12"/>
      <c r="Q4435" s="12">
        <f>+(Tabla1[[#This Row],[COSTO COCHE]]/30)*Tabla1[[#This Row],[TOTAL DIAS PROYECTO]]</f>
        <v>0</v>
      </c>
      <c r="R4435" s="12">
        <f>+Tabla1[[#This Row],[COSTO TOTAL ALOJAMIENTO]]+Tabla1[[#This Row],[COSTO TOTAL COCHE]]</f>
        <v>560</v>
      </c>
      <c r="S4435" s="2"/>
      <c r="T4435" s="14" t="s">
        <v>44</v>
      </c>
      <c r="U4435" s="14">
        <v>45956</v>
      </c>
      <c r="V4435" s="43">
        <v>46015</v>
      </c>
      <c r="W4435" s="71"/>
      <c r="X4435" s="2">
        <v>19</v>
      </c>
      <c r="Y4435" s="11" t="s">
        <v>6461</v>
      </c>
      <c r="Z4435" s="2" t="s">
        <v>36</v>
      </c>
      <c r="AA4435" s="13" t="s">
        <v>10323</v>
      </c>
      <c r="AB4435" s="13" t="s">
        <v>10324</v>
      </c>
    </row>
    <row r="4436" spans="1:28" ht="15" customHeight="1">
      <c r="A4436" s="2" t="s">
        <v>10112</v>
      </c>
      <c r="B4436" s="2" t="s">
        <v>711</v>
      </c>
      <c r="C4436" s="31" t="s">
        <v>6454</v>
      </c>
      <c r="D4436" s="2" t="s">
        <v>30</v>
      </c>
      <c r="E4436" s="2" t="s">
        <v>31</v>
      </c>
      <c r="F4436" s="11" t="s">
        <v>6473</v>
      </c>
      <c r="G4436" s="21" t="s">
        <v>6474</v>
      </c>
      <c r="H4436" s="2" t="s">
        <v>6452</v>
      </c>
      <c r="I4436" s="12" t="s">
        <v>5531</v>
      </c>
      <c r="J4436" s="22">
        <f>+Tabla1[[#This Row],[FECHA ENTRADA]]</f>
        <v>46021</v>
      </c>
      <c r="K4436" s="22">
        <v>46021</v>
      </c>
      <c r="L4436" s="23">
        <f>_xlfn.DAYS(Tabla1[[#This Row],[FECHA FIN ]],Tabla1[[#This Row],[FECHA INICIO]])</f>
        <v>0</v>
      </c>
      <c r="M4436" s="12"/>
      <c r="N4436" s="20"/>
      <c r="O4436" s="24">
        <f>(Tabla1[[#This Row],[COSTO FIJO ]]/30)*Tabla1[[#This Row],[TOTAL DIAS PROYECTO]]+(Tabla1[[#This Row],[COSTO TEMPORAL]])</f>
        <v>0</v>
      </c>
      <c r="P4436" s="12"/>
      <c r="Q4436" s="12">
        <f>+(Tabla1[[#This Row],[COSTO COCHE]]/30)*Tabla1[[#This Row],[TOTAL DIAS PROYECTO]]</f>
        <v>0</v>
      </c>
      <c r="R4436" s="12">
        <f>+Tabla1[[#This Row],[COSTO TOTAL ALOJAMIENTO]]+Tabla1[[#This Row],[COSTO TOTAL COCHE]]</f>
        <v>0</v>
      </c>
      <c r="S4436" s="2"/>
      <c r="T4436" s="14" t="s">
        <v>35</v>
      </c>
      <c r="U4436" s="14">
        <v>46021</v>
      </c>
      <c r="V4436" s="79"/>
      <c r="W4436" s="12"/>
      <c r="X4436" s="2">
        <v>28</v>
      </c>
      <c r="Y4436" s="11" t="s">
        <v>6475</v>
      </c>
      <c r="Z4436" s="2" t="s">
        <v>36</v>
      </c>
      <c r="AA4436" s="13" t="s">
        <v>10323</v>
      </c>
      <c r="AB4436" s="13" t="s">
        <v>10324</v>
      </c>
    </row>
    <row r="4437" spans="1:28" ht="15" customHeight="1">
      <c r="A4437" s="2" t="s">
        <v>9198</v>
      </c>
      <c r="B4437" s="10" t="s">
        <v>978</v>
      </c>
      <c r="C4437" s="31" t="s">
        <v>2407</v>
      </c>
      <c r="D4437" s="2" t="s">
        <v>30</v>
      </c>
      <c r="E4437" s="2" t="s">
        <v>31</v>
      </c>
      <c r="F4437" s="11" t="s">
        <v>6074</v>
      </c>
      <c r="G4437" s="49" t="s">
        <v>5083</v>
      </c>
      <c r="H4437" s="2" t="s">
        <v>6476</v>
      </c>
      <c r="I4437" s="12" t="s">
        <v>6458</v>
      </c>
      <c r="J4437" s="41">
        <f>+Tabla1[[#This Row],[FECHA ENTRADA]]</f>
        <v>45958</v>
      </c>
      <c r="K4437" s="22">
        <v>46014</v>
      </c>
      <c r="L4437" s="42">
        <f>_xlfn.DAYS(Tabla1[[#This Row],[FECHA FIN ]],Tabla1[[#This Row],[FECHA INICIO]])</f>
        <v>56</v>
      </c>
      <c r="M4437" s="12"/>
      <c r="N4437" s="24">
        <v>540</v>
      </c>
      <c r="O4437" s="28">
        <f>(Tabla1[[#This Row],[COSTO FIJO ]]/30)*Tabla1[[#This Row],[TOTAL DIAS PROYECTO]]+(Tabla1[[#This Row],[COSTO TEMPORAL]])</f>
        <v>1008</v>
      </c>
      <c r="P4437" s="12"/>
      <c r="Q4437" s="12">
        <f>+(Tabla1[[#This Row],[COSTO COCHE]]/30)*Tabla1[[#This Row],[TOTAL DIAS PROYECTO]]</f>
        <v>0</v>
      </c>
      <c r="R4437" s="12">
        <f>+Tabla1[[#This Row],[COSTO TOTAL ALOJAMIENTO]]+Tabla1[[#This Row],[COSTO TOTAL COCHE]]</f>
        <v>1008</v>
      </c>
      <c r="S4437" s="2"/>
      <c r="T4437" s="14" t="s">
        <v>44</v>
      </c>
      <c r="U4437" s="14">
        <v>45958</v>
      </c>
      <c r="V4437" s="25">
        <v>46021</v>
      </c>
      <c r="W4437" s="71"/>
      <c r="X4437" s="2">
        <v>25</v>
      </c>
      <c r="Y4437" s="11" t="s">
        <v>6477</v>
      </c>
      <c r="Z4437" s="2" t="s">
        <v>36</v>
      </c>
      <c r="AA4437" s="13" t="s">
        <v>10323</v>
      </c>
      <c r="AB4437" s="13" t="s">
        <v>10324</v>
      </c>
    </row>
    <row r="4438" spans="1:28" ht="15" customHeight="1">
      <c r="A4438" s="2" t="s">
        <v>9929</v>
      </c>
      <c r="B4438" s="10" t="s">
        <v>978</v>
      </c>
      <c r="C4438" s="31" t="s">
        <v>5503</v>
      </c>
      <c r="D4438" s="2" t="s">
        <v>30</v>
      </c>
      <c r="E4438" s="2" t="s">
        <v>31</v>
      </c>
      <c r="F4438" s="11" t="s">
        <v>6074</v>
      </c>
      <c r="G4438" s="49" t="s">
        <v>5083</v>
      </c>
      <c r="H4438" s="2" t="s">
        <v>6476</v>
      </c>
      <c r="I4438" s="12" t="s">
        <v>6458</v>
      </c>
      <c r="J4438" s="41">
        <f>+Tabla1[[#This Row],[FECHA ENTRADA]]</f>
        <v>45958</v>
      </c>
      <c r="K4438" s="22">
        <v>46014</v>
      </c>
      <c r="L4438" s="42">
        <f>_xlfn.DAYS(Tabla1[[#This Row],[FECHA FIN ]],Tabla1[[#This Row],[FECHA INICIO]])</f>
        <v>56</v>
      </c>
      <c r="M4438" s="12"/>
      <c r="N4438" s="24">
        <v>540</v>
      </c>
      <c r="O4438" s="28">
        <f>(Tabla1[[#This Row],[COSTO FIJO ]]/30)*Tabla1[[#This Row],[TOTAL DIAS PROYECTO]]+(Tabla1[[#This Row],[COSTO TEMPORAL]])</f>
        <v>1008</v>
      </c>
      <c r="P4438" s="12"/>
      <c r="Q4438" s="12">
        <f>+(Tabla1[[#This Row],[COSTO COCHE]]/30)*Tabla1[[#This Row],[TOTAL DIAS PROYECTO]]</f>
        <v>0</v>
      </c>
      <c r="R4438" s="12">
        <f>+Tabla1[[#This Row],[COSTO TOTAL ALOJAMIENTO]]+Tabla1[[#This Row],[COSTO TOTAL COCHE]]</f>
        <v>1008</v>
      </c>
      <c r="S4438" s="2"/>
      <c r="T4438" s="14" t="s">
        <v>44</v>
      </c>
      <c r="U4438" s="14">
        <v>45958</v>
      </c>
      <c r="V4438" s="25">
        <v>46021</v>
      </c>
      <c r="W4438" s="71"/>
      <c r="X4438" s="2">
        <v>25</v>
      </c>
      <c r="Y4438" s="11" t="s">
        <v>6478</v>
      </c>
      <c r="Z4438" s="2" t="s">
        <v>36</v>
      </c>
      <c r="AA4438" s="13" t="s">
        <v>10323</v>
      </c>
      <c r="AB4438" s="13" t="s">
        <v>10324</v>
      </c>
    </row>
    <row r="4439" spans="1:28" ht="15" customHeight="1">
      <c r="A4439" s="2" t="s">
        <v>9828</v>
      </c>
      <c r="B4439" s="2" t="s">
        <v>978</v>
      </c>
      <c r="C4439" s="31" t="s">
        <v>4931</v>
      </c>
      <c r="D4439" s="2" t="s">
        <v>99</v>
      </c>
      <c r="E4439" s="2" t="s">
        <v>31</v>
      </c>
      <c r="F4439" s="11" t="s">
        <v>5258</v>
      </c>
      <c r="G4439" s="49" t="s">
        <v>5083</v>
      </c>
      <c r="H4439" s="2" t="s">
        <v>6479</v>
      </c>
      <c r="I4439" s="12" t="s">
        <v>4902</v>
      </c>
      <c r="J4439" s="41">
        <f>+Tabla1[[#This Row],[FECHA ENTRADA]]</f>
        <v>45963</v>
      </c>
      <c r="K4439" s="22">
        <v>45972</v>
      </c>
      <c r="L4439" s="42">
        <f>_xlfn.DAYS(Tabla1[[#This Row],[FECHA FIN ]],Tabla1[[#This Row],[FECHA INICIO]])</f>
        <v>9</v>
      </c>
      <c r="M4439" s="24">
        <v>416.66666666666669</v>
      </c>
      <c r="N4439" s="24"/>
      <c r="O4439" s="28">
        <f>(Tabla1[[#This Row],[COSTO FIJO ]]/30)*Tabla1[[#This Row],[TOTAL DIAS PROYECTO]]+(Tabla1[[#This Row],[COSTO TEMPORAL]])</f>
        <v>416.66666666666669</v>
      </c>
      <c r="P4439" s="12"/>
      <c r="Q4439" s="12">
        <f>+(Tabla1[[#This Row],[COSTO COCHE]]/30)*Tabla1[[#This Row],[TOTAL DIAS PROYECTO]]</f>
        <v>0</v>
      </c>
      <c r="R4439" s="12">
        <f>+Tabla1[[#This Row],[COSTO TOTAL ALOJAMIENTO]]+Tabla1[[#This Row],[COSTO TOTAL COCHE]]</f>
        <v>416.66666666666669</v>
      </c>
      <c r="S4439" s="2"/>
      <c r="T4439" s="14" t="s">
        <v>44</v>
      </c>
      <c r="U4439" s="14">
        <v>45963</v>
      </c>
      <c r="V4439" s="43">
        <v>45991</v>
      </c>
      <c r="W4439" s="71"/>
      <c r="X4439" s="2">
        <v>25</v>
      </c>
      <c r="Y4439" s="11" t="s">
        <v>6480</v>
      </c>
      <c r="Z4439" s="2" t="s">
        <v>36</v>
      </c>
      <c r="AA4439" s="13" t="s">
        <v>10323</v>
      </c>
      <c r="AB4439" s="13" t="s">
        <v>10324</v>
      </c>
    </row>
    <row r="4440" spans="1:28" ht="15" customHeight="1">
      <c r="A4440" s="2" t="s">
        <v>10117</v>
      </c>
      <c r="B4440" s="2" t="s">
        <v>606</v>
      </c>
      <c r="C4440" s="31" t="s">
        <v>6481</v>
      </c>
      <c r="D4440" s="2" t="s">
        <v>99</v>
      </c>
      <c r="E4440" s="2" t="s">
        <v>31</v>
      </c>
      <c r="F4440" s="11" t="s">
        <v>5082</v>
      </c>
      <c r="G4440" s="49" t="s">
        <v>5083</v>
      </c>
      <c r="H4440" s="2" t="s">
        <v>6482</v>
      </c>
      <c r="I4440" s="12" t="s">
        <v>347</v>
      </c>
      <c r="J4440" s="22">
        <f>+Tabla1[[#This Row],[FECHA ENTRADA]]</f>
        <v>45970</v>
      </c>
      <c r="K4440" s="8">
        <v>46000</v>
      </c>
      <c r="L4440" s="23">
        <f>_xlfn.DAYS(Tabla1[[#This Row],[FECHA FIN ]],Tabla1[[#This Row],[FECHA INICIO]])</f>
        <v>30</v>
      </c>
      <c r="M4440" s="12"/>
      <c r="N4440" s="24">
        <v>416.66666666666669</v>
      </c>
      <c r="O4440" s="24">
        <f>(Tabla1[[#This Row],[COSTO FIJO ]]/30)*Tabla1[[#This Row],[TOTAL DIAS PROYECTO]]+(Tabla1[[#This Row],[COSTO TEMPORAL]])</f>
        <v>416.66666666666669</v>
      </c>
      <c r="P4440" s="12"/>
      <c r="Q4440" s="12">
        <f>+(Tabla1[[#This Row],[COSTO COCHE]]/30)*Tabla1[[#This Row],[TOTAL DIAS PROYECTO]]</f>
        <v>0</v>
      </c>
      <c r="R4440" s="12">
        <f>+Tabla1[[#This Row],[COSTO TOTAL ALOJAMIENTO]]+Tabla1[[#This Row],[COSTO TOTAL COCHE]]</f>
        <v>416.66666666666669</v>
      </c>
      <c r="S4440" s="2"/>
      <c r="T4440" s="14" t="s">
        <v>44</v>
      </c>
      <c r="U4440" s="14">
        <v>45970</v>
      </c>
      <c r="V4440" s="25">
        <v>46021</v>
      </c>
      <c r="W4440" s="71"/>
      <c r="X4440" s="2">
        <v>25</v>
      </c>
      <c r="Y4440" s="11" t="s">
        <v>6483</v>
      </c>
      <c r="Z4440" s="2" t="s">
        <v>36</v>
      </c>
      <c r="AA4440" s="13" t="s">
        <v>10323</v>
      </c>
      <c r="AB4440" s="13" t="s">
        <v>10324</v>
      </c>
    </row>
    <row r="4441" spans="1:28" ht="15" customHeight="1">
      <c r="A4441" s="2" t="s">
        <v>10118</v>
      </c>
      <c r="B4441" s="2" t="s">
        <v>606</v>
      </c>
      <c r="C4441" s="11" t="s">
        <v>6484</v>
      </c>
      <c r="D4441" s="2" t="s">
        <v>99</v>
      </c>
      <c r="E4441" s="2" t="s">
        <v>31</v>
      </c>
      <c r="F4441" s="11" t="s">
        <v>5082</v>
      </c>
      <c r="G4441" s="49" t="s">
        <v>5083</v>
      </c>
      <c r="H4441" s="2" t="s">
        <v>6482</v>
      </c>
      <c r="I4441" s="12" t="s">
        <v>347</v>
      </c>
      <c r="J4441" s="22">
        <f>+Tabla1[[#This Row],[FECHA ENTRADA]]</f>
        <v>45970</v>
      </c>
      <c r="K4441" s="22">
        <v>46021</v>
      </c>
      <c r="L4441" s="23">
        <f>_xlfn.DAYS(Tabla1[[#This Row],[FECHA FIN ]],Tabla1[[#This Row],[FECHA INICIO]])</f>
        <v>51</v>
      </c>
      <c r="M4441" s="12"/>
      <c r="N4441" s="24">
        <v>416.66666666666669</v>
      </c>
      <c r="O4441" s="24">
        <f>(Tabla1[[#This Row],[COSTO FIJO ]]/30)*Tabla1[[#This Row],[TOTAL DIAS PROYECTO]]+(Tabla1[[#This Row],[COSTO TEMPORAL]])</f>
        <v>708.33333333333337</v>
      </c>
      <c r="P4441" s="12"/>
      <c r="Q4441" s="12">
        <f>+(Tabla1[[#This Row],[COSTO COCHE]]/30)*Tabla1[[#This Row],[TOTAL DIAS PROYECTO]]</f>
        <v>0</v>
      </c>
      <c r="R4441" s="12">
        <f>+Tabla1[[#This Row],[COSTO TOTAL ALOJAMIENTO]]+Tabla1[[#This Row],[COSTO TOTAL COCHE]]</f>
        <v>708.33333333333337</v>
      </c>
      <c r="S4441" s="2"/>
      <c r="T4441" s="14" t="s">
        <v>44</v>
      </c>
      <c r="U4441" s="14">
        <v>45970</v>
      </c>
      <c r="V4441" s="25">
        <v>46021</v>
      </c>
      <c r="W4441" s="71"/>
      <c r="X4441" s="2">
        <v>25</v>
      </c>
      <c r="Y4441" s="11" t="s">
        <v>6485</v>
      </c>
      <c r="Z4441" s="2" t="s">
        <v>36</v>
      </c>
      <c r="AA4441" s="13" t="s">
        <v>10323</v>
      </c>
      <c r="AB4441" s="13" t="s">
        <v>10324</v>
      </c>
    </row>
    <row r="4442" spans="1:28" ht="15" customHeight="1">
      <c r="A4442" s="2" t="s">
        <v>9828</v>
      </c>
      <c r="B4442" s="2" t="s">
        <v>978</v>
      </c>
      <c r="C4442" s="97" t="s">
        <v>4931</v>
      </c>
      <c r="D4442" s="2" t="s">
        <v>99</v>
      </c>
      <c r="E4442" s="2" t="s">
        <v>31</v>
      </c>
      <c r="F4442" s="11" t="s">
        <v>6256</v>
      </c>
      <c r="G4442" s="49" t="s">
        <v>5083</v>
      </c>
      <c r="H4442" s="157" t="s">
        <v>6479</v>
      </c>
      <c r="I4442" s="158" t="s">
        <v>4902</v>
      </c>
      <c r="J4442" s="41">
        <f>+Tabla1[[#This Row],[FECHA ENTRADA]]</f>
        <v>45972</v>
      </c>
      <c r="K4442" s="22">
        <v>45976</v>
      </c>
      <c r="L4442" s="42">
        <f>_xlfn.DAYS(Tabla1[[#This Row],[FECHA FIN ]],Tabla1[[#This Row],[FECHA INICIO]])</f>
        <v>4</v>
      </c>
      <c r="M4442" s="12">
        <v>466.66666666666669</v>
      </c>
      <c r="N4442" s="28"/>
      <c r="O4442" s="28">
        <f>(Tabla1[[#This Row],[COSTO FIJO ]]/30)*Tabla1[[#This Row],[TOTAL DIAS PROYECTO]]+(Tabla1[[#This Row],[COSTO TEMPORAL]])</f>
        <v>466.66666666666669</v>
      </c>
      <c r="P4442" s="12"/>
      <c r="Q4442" s="12">
        <f>+(Tabla1[[#This Row],[COSTO COCHE]]/30)*Tabla1[[#This Row],[TOTAL DIAS PROYECTO]]</f>
        <v>0</v>
      </c>
      <c r="R4442" s="12">
        <f>+Tabla1[[#This Row],[COSTO TOTAL ALOJAMIENTO]]+Tabla1[[#This Row],[COSTO TOTAL COCHE]]</f>
        <v>466.66666666666669</v>
      </c>
      <c r="S4442" s="2"/>
      <c r="T4442" s="14" t="s">
        <v>44</v>
      </c>
      <c r="U4442" s="14">
        <v>45972</v>
      </c>
      <c r="V4442" s="25">
        <v>45991</v>
      </c>
      <c r="W4442" s="71"/>
      <c r="X4442" s="2">
        <v>25</v>
      </c>
      <c r="Y4442" s="11" t="s">
        <v>6258</v>
      </c>
      <c r="Z4442" s="2" t="s">
        <v>36</v>
      </c>
      <c r="AA4442" s="13" t="s">
        <v>10323</v>
      </c>
      <c r="AB4442" s="13" t="s">
        <v>10324</v>
      </c>
    </row>
    <row r="4443" spans="1:28" ht="15" customHeight="1">
      <c r="A4443" s="2" t="s">
        <v>9765</v>
      </c>
      <c r="B4443" s="2" t="s">
        <v>711</v>
      </c>
      <c r="C4443" s="104" t="s">
        <v>4648</v>
      </c>
      <c r="D4443" s="2" t="s">
        <v>30</v>
      </c>
      <c r="E4443" s="2" t="s">
        <v>31</v>
      </c>
      <c r="F4443" s="11" t="s">
        <v>5258</v>
      </c>
      <c r="G4443" s="49" t="s">
        <v>5083</v>
      </c>
      <c r="H4443" s="157" t="s">
        <v>6452</v>
      </c>
      <c r="I4443" s="158" t="s">
        <v>5531</v>
      </c>
      <c r="J4443" s="41">
        <f>+Tabla1[[#This Row],[FECHA ENTRADA]]</f>
        <v>45972</v>
      </c>
      <c r="K4443" s="22">
        <v>46021</v>
      </c>
      <c r="L4443" s="42">
        <f>_xlfn.DAYS(Tabla1[[#This Row],[FECHA FIN ]],Tabla1[[#This Row],[FECHA INICIO]])</f>
        <v>49</v>
      </c>
      <c r="M4443" s="12"/>
      <c r="N4443" s="24">
        <v>416.66666666666669</v>
      </c>
      <c r="O4443" s="28">
        <f>(Tabla1[[#This Row],[COSTO FIJO ]]/30)*Tabla1[[#This Row],[TOTAL DIAS PROYECTO]]+(Tabla1[[#This Row],[COSTO TEMPORAL]])</f>
        <v>680.55555555555554</v>
      </c>
      <c r="P4443" s="12"/>
      <c r="Q4443" s="12">
        <f>+(Tabla1[[#This Row],[COSTO COCHE]]/30)*Tabla1[[#This Row],[TOTAL DIAS PROYECTO]]</f>
        <v>0</v>
      </c>
      <c r="R4443" s="12">
        <f>+Tabla1[[#This Row],[COSTO TOTAL ALOJAMIENTO]]+Tabla1[[#This Row],[COSTO TOTAL COCHE]]</f>
        <v>680.55555555555554</v>
      </c>
      <c r="S4443" s="2"/>
      <c r="T4443" s="14" t="s">
        <v>44</v>
      </c>
      <c r="U4443" s="14">
        <v>45972</v>
      </c>
      <c r="V4443" s="25">
        <v>46021</v>
      </c>
      <c r="W4443" s="71"/>
      <c r="X4443" s="2">
        <v>25</v>
      </c>
      <c r="Y4443" s="11" t="s">
        <v>6126</v>
      </c>
      <c r="Z4443" s="2" t="s">
        <v>36</v>
      </c>
      <c r="AA4443" s="13" t="s">
        <v>10323</v>
      </c>
      <c r="AB4443" s="13" t="s">
        <v>10324</v>
      </c>
    </row>
    <row r="4444" spans="1:28" ht="15" customHeight="1">
      <c r="A4444" s="2" t="s">
        <v>10009</v>
      </c>
      <c r="B4444" s="2" t="s">
        <v>711</v>
      </c>
      <c r="C4444" s="104" t="s">
        <v>5938</v>
      </c>
      <c r="D4444" s="2" t="s">
        <v>99</v>
      </c>
      <c r="E4444" s="2" t="s">
        <v>31</v>
      </c>
      <c r="F4444" s="11" t="s">
        <v>6074</v>
      </c>
      <c r="G4444" s="49" t="s">
        <v>5083</v>
      </c>
      <c r="H4444" s="2" t="s">
        <v>6152</v>
      </c>
      <c r="I4444" s="12" t="s">
        <v>2391</v>
      </c>
      <c r="J4444" s="41">
        <f>+Tabla1[[#This Row],[FECHA ENTRADA]]</f>
        <v>45980</v>
      </c>
      <c r="K4444" s="41">
        <v>45981</v>
      </c>
      <c r="L4444" s="42">
        <f>_xlfn.DAYS(Tabla1[[#This Row],[FECHA FIN ]],Tabla1[[#This Row],[FECHA INICIO]])</f>
        <v>1</v>
      </c>
      <c r="M4444" s="12"/>
      <c r="N4444" s="24">
        <v>450</v>
      </c>
      <c r="O4444" s="28">
        <f>(Tabla1[[#This Row],[COSTO FIJO ]]/30)*Tabla1[[#This Row],[TOTAL DIAS PROYECTO]]+(Tabla1[[#This Row],[COSTO TEMPORAL]])</f>
        <v>15</v>
      </c>
      <c r="P4444" s="12"/>
      <c r="Q4444" s="12">
        <f>+(Tabla1[[#This Row],[COSTO COCHE]]/30)*Tabla1[[#This Row],[TOTAL DIAS PROYECTO]]</f>
        <v>0</v>
      </c>
      <c r="R4444" s="12">
        <f>+Tabla1[[#This Row],[COSTO TOTAL ALOJAMIENTO]]+Tabla1[[#This Row],[COSTO TOTAL COCHE]]</f>
        <v>15</v>
      </c>
      <c r="S4444" s="2"/>
      <c r="T4444" s="14" t="s">
        <v>44</v>
      </c>
      <c r="U4444" s="14">
        <v>45980</v>
      </c>
      <c r="V4444" s="25">
        <v>46021</v>
      </c>
      <c r="W4444" s="71"/>
      <c r="X4444" s="2">
        <v>25</v>
      </c>
      <c r="Y4444" s="11" t="s">
        <v>6486</v>
      </c>
      <c r="Z4444" s="2" t="s">
        <v>36</v>
      </c>
      <c r="AA4444" s="13" t="s">
        <v>10323</v>
      </c>
      <c r="AB4444" s="13" t="s">
        <v>10324</v>
      </c>
    </row>
    <row r="4445" spans="1:28" ht="15" customHeight="1">
      <c r="A4445" s="2" t="s">
        <v>9740</v>
      </c>
      <c r="B4445" s="2" t="s">
        <v>368</v>
      </c>
      <c r="C4445" s="104" t="s">
        <v>4508</v>
      </c>
      <c r="D4445" s="2" t="s">
        <v>30</v>
      </c>
      <c r="E4445" s="2" t="s">
        <v>213</v>
      </c>
      <c r="F4445" s="11" t="s">
        <v>6487</v>
      </c>
      <c r="G4445" s="21" t="s">
        <v>6488</v>
      </c>
      <c r="H4445" s="2" t="s">
        <v>5149</v>
      </c>
      <c r="I4445" s="12" t="s">
        <v>1043</v>
      </c>
      <c r="J4445" s="22">
        <f>+Tabla1[[#This Row],[FECHA ENTRADA]]</f>
        <v>46002</v>
      </c>
      <c r="K4445" s="22">
        <v>46021</v>
      </c>
      <c r="L4445" s="23">
        <f>_xlfn.DAYS(Tabla1[[#This Row],[FECHA FIN ]],Tabla1[[#This Row],[FECHA INICIO]])</f>
        <v>19</v>
      </c>
      <c r="M4445" s="12">
        <v>451.75</v>
      </c>
      <c r="N4445" s="20"/>
      <c r="O4445" s="24">
        <f>(Tabla1[[#This Row],[COSTO FIJO ]]/30)*Tabla1[[#This Row],[TOTAL DIAS PROYECTO]]+(Tabla1[[#This Row],[COSTO TEMPORAL]])</f>
        <v>451.75</v>
      </c>
      <c r="P4445" s="12"/>
      <c r="Q4445" s="12">
        <f>+(Tabla1[[#This Row],[COSTO COCHE]]/30)*Tabla1[[#This Row],[TOTAL DIAS PROYECTO]]</f>
        <v>0</v>
      </c>
      <c r="R4445" s="12">
        <f>+Tabla1[[#This Row],[COSTO TOTAL ALOJAMIENTO]]+Tabla1[[#This Row],[COSTO TOTAL COCHE]]</f>
        <v>451.75</v>
      </c>
      <c r="S4445" s="2"/>
      <c r="T4445" s="14" t="s">
        <v>44</v>
      </c>
      <c r="U4445" s="14">
        <v>46002</v>
      </c>
      <c r="V4445" s="79">
        <v>46021</v>
      </c>
      <c r="W4445" s="12"/>
      <c r="X4445" s="2"/>
      <c r="Y4445" s="11"/>
      <c r="Z4445" s="2" t="s">
        <v>36</v>
      </c>
      <c r="AA4445" s="13" t="s">
        <v>10349</v>
      </c>
      <c r="AB4445" s="13" t="s">
        <v>10350</v>
      </c>
    </row>
    <row r="4446" spans="1:28" ht="15" customHeight="1">
      <c r="A4446" s="2" t="s">
        <v>9871</v>
      </c>
      <c r="B4446" s="2" t="s">
        <v>368</v>
      </c>
      <c r="C4446" s="11" t="s">
        <v>5150</v>
      </c>
      <c r="D4446" s="2" t="s">
        <v>30</v>
      </c>
      <c r="E4446" s="2" t="s">
        <v>213</v>
      </c>
      <c r="F4446" s="11" t="s">
        <v>6487</v>
      </c>
      <c r="G4446" s="21" t="s">
        <v>6488</v>
      </c>
      <c r="H4446" s="2" t="s">
        <v>5151</v>
      </c>
      <c r="I4446" s="12" t="s">
        <v>1043</v>
      </c>
      <c r="J4446" s="22">
        <f>+Tabla1[[#This Row],[FECHA ENTRADA]]</f>
        <v>46002</v>
      </c>
      <c r="K4446" s="22">
        <v>46021</v>
      </c>
      <c r="L4446" s="23">
        <f>_xlfn.DAYS(Tabla1[[#This Row],[FECHA FIN ]],Tabla1[[#This Row],[FECHA INICIO]])</f>
        <v>19</v>
      </c>
      <c r="M4446" s="12">
        <v>451.75</v>
      </c>
      <c r="N4446" s="20"/>
      <c r="O4446" s="24">
        <f>(Tabla1[[#This Row],[COSTO FIJO ]]/30)*Tabla1[[#This Row],[TOTAL DIAS PROYECTO]]+(Tabla1[[#This Row],[COSTO TEMPORAL]])</f>
        <v>451.75</v>
      </c>
      <c r="P4446" s="12"/>
      <c r="Q4446" s="12">
        <f>+(Tabla1[[#This Row],[COSTO COCHE]]/30)*Tabla1[[#This Row],[TOTAL DIAS PROYECTO]]</f>
        <v>0</v>
      </c>
      <c r="R4446" s="12">
        <f>+Tabla1[[#This Row],[COSTO TOTAL ALOJAMIENTO]]+Tabla1[[#This Row],[COSTO TOTAL COCHE]]</f>
        <v>451.75</v>
      </c>
      <c r="S4446" s="2"/>
      <c r="T4446" s="14" t="s">
        <v>44</v>
      </c>
      <c r="U4446" s="14">
        <v>46002</v>
      </c>
      <c r="V4446" s="79">
        <v>46021</v>
      </c>
      <c r="W4446" s="12"/>
      <c r="X4446" s="2"/>
      <c r="Y4446" s="11"/>
      <c r="Z4446" s="2" t="s">
        <v>36</v>
      </c>
      <c r="AA4446" s="13" t="s">
        <v>10349</v>
      </c>
      <c r="AB4446" s="13" t="s">
        <v>10350</v>
      </c>
    </row>
    <row r="4447" spans="1:28" ht="15" customHeight="1">
      <c r="A4447" s="2" t="s">
        <v>9028</v>
      </c>
      <c r="B4447" s="2" t="s">
        <v>28</v>
      </c>
      <c r="C4447" s="104" t="s">
        <v>1737</v>
      </c>
      <c r="D4447" s="2" t="s">
        <v>30</v>
      </c>
      <c r="E4447" s="2" t="s">
        <v>213</v>
      </c>
      <c r="F4447" s="11" t="s">
        <v>6487</v>
      </c>
      <c r="G4447" s="21" t="s">
        <v>6488</v>
      </c>
      <c r="H4447" s="157" t="s">
        <v>1738</v>
      </c>
      <c r="I4447" s="158" t="s">
        <v>1043</v>
      </c>
      <c r="J4447" s="22">
        <f>+Tabla1[[#This Row],[FECHA ENTRADA]]</f>
        <v>46002</v>
      </c>
      <c r="K4447" s="22">
        <v>46021</v>
      </c>
      <c r="L4447" s="23">
        <f>_xlfn.DAYS(Tabla1[[#This Row],[FECHA FIN ]],Tabla1[[#This Row],[FECHA INICIO]])</f>
        <v>19</v>
      </c>
      <c r="M4447" s="12">
        <v>451.75</v>
      </c>
      <c r="N4447" s="20"/>
      <c r="O4447" s="24">
        <f>(Tabla1[[#This Row],[COSTO FIJO ]]/30)*Tabla1[[#This Row],[TOTAL DIAS PROYECTO]]+(Tabla1[[#This Row],[COSTO TEMPORAL]])</f>
        <v>451.75</v>
      </c>
      <c r="P4447" s="12"/>
      <c r="Q4447" s="12">
        <f>+(Tabla1[[#This Row],[COSTO COCHE]]/30)*Tabla1[[#This Row],[TOTAL DIAS PROYECTO]]</f>
        <v>0</v>
      </c>
      <c r="R4447" s="12">
        <f>+Tabla1[[#This Row],[COSTO TOTAL ALOJAMIENTO]]+Tabla1[[#This Row],[COSTO TOTAL COCHE]]</f>
        <v>451.75</v>
      </c>
      <c r="S4447" s="2"/>
      <c r="T4447" s="14" t="s">
        <v>44</v>
      </c>
      <c r="U4447" s="14">
        <v>46002</v>
      </c>
      <c r="V4447" s="79">
        <v>46021</v>
      </c>
      <c r="W4447" s="12"/>
      <c r="X4447" s="2"/>
      <c r="Y4447" s="11"/>
      <c r="Z4447" s="2" t="s">
        <v>36</v>
      </c>
      <c r="AA4447" s="13" t="s">
        <v>10349</v>
      </c>
      <c r="AB4447" s="13" t="s">
        <v>10350</v>
      </c>
    </row>
    <row r="4448" spans="1:28" ht="15" customHeight="1">
      <c r="A4448" s="2" t="s">
        <v>9027</v>
      </c>
      <c r="B4448" s="2" t="s">
        <v>28</v>
      </c>
      <c r="C4448" s="104" t="s">
        <v>1732</v>
      </c>
      <c r="D4448" s="2" t="s">
        <v>30</v>
      </c>
      <c r="E4448" s="2" t="s">
        <v>213</v>
      </c>
      <c r="F4448" s="11" t="s">
        <v>6487</v>
      </c>
      <c r="G4448" s="21" t="s">
        <v>6488</v>
      </c>
      <c r="H4448" s="157" t="s">
        <v>1735</v>
      </c>
      <c r="I4448" s="158" t="s">
        <v>1043</v>
      </c>
      <c r="J4448" s="22">
        <f>+Tabla1[[#This Row],[FECHA ENTRADA]]</f>
        <v>46002</v>
      </c>
      <c r="K4448" s="22">
        <v>46021</v>
      </c>
      <c r="L4448" s="23">
        <f>_xlfn.DAYS(Tabla1[[#This Row],[FECHA FIN ]],Tabla1[[#This Row],[FECHA INICIO]])</f>
        <v>19</v>
      </c>
      <c r="M4448" s="12">
        <v>451.75</v>
      </c>
      <c r="N4448" s="20"/>
      <c r="O4448" s="24">
        <f>(Tabla1[[#This Row],[COSTO FIJO ]]/30)*Tabla1[[#This Row],[TOTAL DIAS PROYECTO]]+(Tabla1[[#This Row],[COSTO TEMPORAL]])</f>
        <v>451.75</v>
      </c>
      <c r="P4448" s="12"/>
      <c r="Q4448" s="12">
        <f>+(Tabla1[[#This Row],[COSTO COCHE]]/30)*Tabla1[[#This Row],[TOTAL DIAS PROYECTO]]</f>
        <v>0</v>
      </c>
      <c r="R4448" s="12">
        <f>+Tabla1[[#This Row],[COSTO TOTAL ALOJAMIENTO]]+Tabla1[[#This Row],[COSTO TOTAL COCHE]]</f>
        <v>451.75</v>
      </c>
      <c r="S4448" s="2"/>
      <c r="T4448" s="14" t="s">
        <v>44</v>
      </c>
      <c r="U4448" s="14">
        <v>46002</v>
      </c>
      <c r="V4448" s="79">
        <v>46021</v>
      </c>
      <c r="W4448" s="12"/>
      <c r="X4448" s="2"/>
      <c r="Y4448" s="11"/>
      <c r="Z4448" s="2" t="s">
        <v>36</v>
      </c>
      <c r="AA4448" s="13" t="s">
        <v>10349</v>
      </c>
      <c r="AB4448" s="13" t="s">
        <v>10350</v>
      </c>
    </row>
    <row r="4449" spans="1:28" ht="15" customHeight="1">
      <c r="A4449" s="2" t="s">
        <v>9183</v>
      </c>
      <c r="B4449" s="2" t="s">
        <v>711</v>
      </c>
      <c r="C4449" s="97" t="s">
        <v>2344</v>
      </c>
      <c r="D4449" s="2" t="s">
        <v>99</v>
      </c>
      <c r="E4449" s="2" t="s">
        <v>31</v>
      </c>
      <c r="F4449" s="11" t="s">
        <v>32</v>
      </c>
      <c r="G4449" s="11" t="s">
        <v>33</v>
      </c>
      <c r="H4449" s="2" t="s">
        <v>6184</v>
      </c>
      <c r="I4449" s="12" t="s">
        <v>5085</v>
      </c>
      <c r="J4449" s="41">
        <f>+Tabla1[[#This Row],[FECHA ENTRADA]]</f>
        <v>45942</v>
      </c>
      <c r="K4449" s="41">
        <v>46022</v>
      </c>
      <c r="L4449" s="42">
        <f>_xlfn.DAYS(Tabla1[[#This Row],[FECHA FIN ]],Tabla1[[#This Row],[FECHA INICIO]])</f>
        <v>80</v>
      </c>
      <c r="M4449" s="12"/>
      <c r="N4449" s="12">
        <f>875.5/5</f>
        <v>175.1</v>
      </c>
      <c r="O4449" s="28">
        <f>(Tabla1[[#This Row],[COSTO FIJO ]]/30)*Tabla1[[#This Row],[TOTAL DIAS PROYECTO]]+(Tabla1[[#This Row],[COSTO TEMPORAL]])</f>
        <v>466.93333333333334</v>
      </c>
      <c r="P4449" s="12"/>
      <c r="Q4449" s="12">
        <f>+(Tabla1[[#This Row],[COSTO COCHE]]/30)*Tabla1[[#This Row],[TOTAL DIAS PROYECTO]]</f>
        <v>0</v>
      </c>
      <c r="R4449" s="12">
        <f>+Tabla1[[#This Row],[COSTO TOTAL ALOJAMIENTO]]+Tabla1[[#This Row],[COSTO TOTAL COCHE]]</f>
        <v>466.93333333333334</v>
      </c>
      <c r="S4449" s="2"/>
      <c r="T4449" s="14" t="s">
        <v>35</v>
      </c>
      <c r="U4449" s="14">
        <v>45942</v>
      </c>
      <c r="V4449" s="43"/>
      <c r="W4449" s="71"/>
      <c r="X4449" s="2">
        <v>1</v>
      </c>
      <c r="Y4449" s="11" t="s">
        <v>6489</v>
      </c>
      <c r="Z4449" s="2" t="s">
        <v>36</v>
      </c>
      <c r="AA4449" s="13" t="s">
        <v>10323</v>
      </c>
      <c r="AB4449" s="13" t="s">
        <v>10324</v>
      </c>
    </row>
    <row r="4450" spans="1:28" ht="15" customHeight="1">
      <c r="A4450" s="2" t="s">
        <v>9089</v>
      </c>
      <c r="B4450" s="2" t="s">
        <v>711</v>
      </c>
      <c r="C4450" s="97" t="s">
        <v>1963</v>
      </c>
      <c r="D4450" s="2" t="s">
        <v>99</v>
      </c>
      <c r="E4450" s="2" t="s">
        <v>502</v>
      </c>
      <c r="F4450" s="11" t="s">
        <v>6324</v>
      </c>
      <c r="G4450" s="21" t="s">
        <v>6325</v>
      </c>
      <c r="H4450" s="2" t="s">
        <v>6196</v>
      </c>
      <c r="I4450" s="12" t="s">
        <v>2862</v>
      </c>
      <c r="J4450" s="22">
        <f>+Tabla1[[#This Row],[FECHA ENTRADA]]</f>
        <v>45913</v>
      </c>
      <c r="K4450" s="22">
        <v>45929</v>
      </c>
      <c r="L4450" s="23">
        <f>_xlfn.DAYS(Tabla1[[#This Row],[FECHA FIN ]],Tabla1[[#This Row],[FECHA INICIO]])</f>
        <v>16</v>
      </c>
      <c r="M4450" s="12"/>
      <c r="N4450" s="12">
        <f>2225.3/8</f>
        <v>278.16250000000002</v>
      </c>
      <c r="O4450" s="24">
        <f>(Tabla1[[#This Row],[COSTO FIJO ]]/30)*Tabla1[[#This Row],[TOTAL DIAS PROYECTO]]+(Tabla1[[#This Row],[COSTO TEMPORAL]])</f>
        <v>148.35333333333335</v>
      </c>
      <c r="P4450" s="12"/>
      <c r="Q4450" s="12">
        <f>+(Tabla1[[#This Row],[COSTO COCHE]]/30)*Tabla1[[#This Row],[TOTAL DIAS PROYECTO]]</f>
        <v>0</v>
      </c>
      <c r="R4450" s="12">
        <f>+Tabla1[[#This Row],[COSTO TOTAL ALOJAMIENTO]]+Tabla1[[#This Row],[COSTO TOTAL COCHE]]</f>
        <v>148.35333333333335</v>
      </c>
      <c r="S4450" s="2" t="s">
        <v>84</v>
      </c>
      <c r="T4450" s="14" t="s">
        <v>44</v>
      </c>
      <c r="U4450" s="14">
        <v>45913</v>
      </c>
      <c r="V4450" s="79">
        <v>45929</v>
      </c>
      <c r="W4450" s="71"/>
      <c r="X4450" s="2"/>
      <c r="Y4450" s="11" t="s">
        <v>6326</v>
      </c>
      <c r="Z4450" s="2" t="s">
        <v>36</v>
      </c>
      <c r="AA4450" s="13" t="s">
        <v>10378</v>
      </c>
      <c r="AB4450" s="13" t="s">
        <v>10379</v>
      </c>
    </row>
    <row r="4451" spans="1:28" ht="15" customHeight="1">
      <c r="A4451" s="2" t="s">
        <v>8780</v>
      </c>
      <c r="B4451" s="241" t="s">
        <v>606</v>
      </c>
      <c r="C4451" s="97" t="s">
        <v>739</v>
      </c>
      <c r="D4451" s="2" t="s">
        <v>30</v>
      </c>
      <c r="E4451" s="2" t="s">
        <v>31</v>
      </c>
      <c r="F4451" s="11"/>
      <c r="G4451" s="21"/>
      <c r="H4451" s="2" t="s">
        <v>1780</v>
      </c>
      <c r="I4451" s="12" t="s">
        <v>34</v>
      </c>
      <c r="J4451" s="22">
        <f>+Tabla1[[#This Row],[FECHA ENTRADA]]</f>
        <v>45730</v>
      </c>
      <c r="K4451" s="8">
        <v>46022</v>
      </c>
      <c r="L4451" s="23">
        <f>_xlfn.DAYS(Tabla1[[#This Row],[FECHA FIN ]],Tabla1[[#This Row],[FECHA INICIO]])</f>
        <v>292</v>
      </c>
      <c r="M4451" s="12"/>
      <c r="N4451" s="28">
        <v>300</v>
      </c>
      <c r="O4451" s="24">
        <f>(Tabla1[[#This Row],[COSTO FIJO ]]/30)*Tabla1[[#This Row],[TOTAL DIAS PROYECTO]]+(Tabla1[[#This Row],[COSTO TEMPORAL]])</f>
        <v>2920</v>
      </c>
      <c r="P4451" s="12"/>
      <c r="Q4451" s="12">
        <f>+(Tabla1[[#This Row],[COSTO COCHE]]/30)*Tabla1[[#This Row],[TOTAL DIAS PROYECTO]]</f>
        <v>0</v>
      </c>
      <c r="R4451" s="12">
        <f>+Tabla1[[#This Row],[COSTO TOTAL ALOJAMIENTO]]+Tabla1[[#This Row],[COSTO TOTAL COCHE]]</f>
        <v>2920</v>
      </c>
      <c r="S4451" s="2"/>
      <c r="T4451" s="2" t="s">
        <v>58</v>
      </c>
      <c r="U4451" s="14">
        <v>45730</v>
      </c>
      <c r="V4451" s="79"/>
      <c r="W4451" s="26"/>
      <c r="X4451" s="2"/>
      <c r="Y4451" s="11" t="s">
        <v>6490</v>
      </c>
      <c r="Z4451" s="2" t="s">
        <v>36</v>
      </c>
      <c r="AA4451" s="13" t="s">
        <v>10323</v>
      </c>
      <c r="AB4451" s="13" t="s">
        <v>10324</v>
      </c>
    </row>
    <row r="4452" spans="1:28" ht="15" customHeight="1">
      <c r="A4452" s="2" t="s">
        <v>10119</v>
      </c>
      <c r="B4452" s="241" t="s">
        <v>606</v>
      </c>
      <c r="C4452" s="181" t="s">
        <v>6491</v>
      </c>
      <c r="D4452" s="2" t="s">
        <v>30</v>
      </c>
      <c r="E4452" s="2" t="s">
        <v>31</v>
      </c>
      <c r="F4452" s="11"/>
      <c r="G4452" s="11"/>
      <c r="H4452" s="157" t="s">
        <v>69</v>
      </c>
      <c r="I4452" s="158" t="s">
        <v>34</v>
      </c>
      <c r="J4452" s="8">
        <f>+Tabla1[[#This Row],[FECHA ENTRADA]]</f>
        <v>45354</v>
      </c>
      <c r="K4452" s="8">
        <v>46022</v>
      </c>
      <c r="L4452" s="13">
        <f>_xlfn.DAYS(Tabla1[[#This Row],[FECHA FIN ]],Tabla1[[#This Row],[FECHA INICIO]])</f>
        <v>668</v>
      </c>
      <c r="M4452" s="12"/>
      <c r="N4452" s="28">
        <v>300</v>
      </c>
      <c r="O4452" s="12">
        <f>(Tabla1[[#This Row],[COSTO FIJO ]]/30)*Tabla1[[#This Row],[TOTAL DIAS PROYECTO]]+(Tabla1[[#This Row],[COSTO TEMPORAL]])</f>
        <v>6680</v>
      </c>
      <c r="P4452" s="12">
        <v>133.33333333333334</v>
      </c>
      <c r="Q4452" s="12">
        <f>+(Tabla1[[#This Row],[COSTO COCHE]]/30)*Tabla1[[#This Row],[TOTAL DIAS PROYECTO]]</f>
        <v>2968.8888888888891</v>
      </c>
      <c r="R4452" s="12">
        <f>+Tabla1[[#This Row],[COSTO TOTAL ALOJAMIENTO]]+Tabla1[[#This Row],[COSTO TOTAL COCHE]]</f>
        <v>9648.8888888888887</v>
      </c>
      <c r="S4452" s="2"/>
      <c r="T4452" s="2" t="s">
        <v>58</v>
      </c>
      <c r="U4452" s="14">
        <v>45354</v>
      </c>
      <c r="V4452" s="14"/>
      <c r="W4452" s="15"/>
      <c r="X4452" s="16">
        <v>1</v>
      </c>
      <c r="Y4452" s="11" t="s">
        <v>6492</v>
      </c>
      <c r="Z4452" s="2" t="s">
        <v>36</v>
      </c>
      <c r="AA4452" s="13" t="s">
        <v>10323</v>
      </c>
      <c r="AB4452" s="13" t="s">
        <v>10324</v>
      </c>
    </row>
    <row r="4453" spans="1:28" ht="15" customHeight="1">
      <c r="A4453" s="2" t="s">
        <v>9778</v>
      </c>
      <c r="B4453" s="2" t="s">
        <v>978</v>
      </c>
      <c r="C4453" s="104" t="s">
        <v>4692</v>
      </c>
      <c r="D4453" s="2" t="s">
        <v>30</v>
      </c>
      <c r="E4453" s="2" t="s">
        <v>259</v>
      </c>
      <c r="F4453" s="11" t="s">
        <v>5662</v>
      </c>
      <c r="G4453" s="49" t="s">
        <v>4207</v>
      </c>
      <c r="H4453" s="2" t="s">
        <v>6047</v>
      </c>
      <c r="I4453" s="12" t="s">
        <v>3356</v>
      </c>
      <c r="J4453" s="41">
        <f>+Tabla1[[#This Row],[FECHA ENTRADA]]</f>
        <v>45970</v>
      </c>
      <c r="K4453" s="22">
        <v>46022</v>
      </c>
      <c r="L4453" s="42">
        <f>_xlfn.DAYS(Tabla1[[#This Row],[FECHA FIN ]],Tabla1[[#This Row],[FECHA INICIO]])</f>
        <v>52</v>
      </c>
      <c r="M4453" s="12"/>
      <c r="N4453" s="28">
        <v>400</v>
      </c>
      <c r="O4453" s="28">
        <f>(Tabla1[[#This Row],[COSTO FIJO ]]/30)*Tabla1[[#This Row],[TOTAL DIAS PROYECTO]]+(Tabla1[[#This Row],[COSTO TEMPORAL]])</f>
        <v>693.33333333333337</v>
      </c>
      <c r="P4453" s="12"/>
      <c r="Q4453" s="12">
        <f>+(Tabla1[[#This Row],[COSTO COCHE]]/30)*Tabla1[[#This Row],[TOTAL DIAS PROYECTO]]</f>
        <v>0</v>
      </c>
      <c r="R4453" s="12">
        <f>+Tabla1[[#This Row],[COSTO TOTAL ALOJAMIENTO]]+Tabla1[[#This Row],[COSTO TOTAL COCHE]]</f>
        <v>693.33333333333337</v>
      </c>
      <c r="S4453" s="2"/>
      <c r="T4453" s="14" t="s">
        <v>35</v>
      </c>
      <c r="U4453" s="14">
        <v>45970</v>
      </c>
      <c r="V4453" s="43">
        <v>46022</v>
      </c>
      <c r="W4453" s="12">
        <v>1200</v>
      </c>
      <c r="X4453" s="2">
        <v>5</v>
      </c>
      <c r="Y4453" s="11" t="s">
        <v>6493</v>
      </c>
      <c r="Z4453" s="2" t="s">
        <v>36</v>
      </c>
      <c r="AA4453" s="13">
        <v>-0.87734000000000001</v>
      </c>
      <c r="AB4453" s="13" t="s">
        <v>10359</v>
      </c>
    </row>
    <row r="4454" spans="1:28" ht="15" customHeight="1">
      <c r="A4454" s="2" t="s">
        <v>9500</v>
      </c>
      <c r="B4454" s="241" t="s">
        <v>606</v>
      </c>
      <c r="C4454" s="11" t="s">
        <v>3406</v>
      </c>
      <c r="D4454" s="2" t="s">
        <v>99</v>
      </c>
      <c r="E4454" s="2" t="s">
        <v>31</v>
      </c>
      <c r="F4454" s="11"/>
      <c r="G4454" s="11"/>
      <c r="H4454" s="2" t="s">
        <v>5429</v>
      </c>
      <c r="I4454" s="12" t="s">
        <v>34</v>
      </c>
      <c r="J4454" s="22">
        <f>+Tabla1[[#This Row],[FECHA ENTRADA]]</f>
        <v>45692</v>
      </c>
      <c r="K4454" s="8">
        <v>46022</v>
      </c>
      <c r="L4454" s="23">
        <f>_xlfn.DAYS(Tabla1[[#This Row],[FECHA FIN ]],Tabla1[[#This Row],[FECHA INICIO]])</f>
        <v>330</v>
      </c>
      <c r="M4454" s="12"/>
      <c r="N4454" s="28">
        <v>300</v>
      </c>
      <c r="O4454" s="24">
        <f>(Tabla1[[#This Row],[COSTO FIJO ]]/30)*Tabla1[[#This Row],[TOTAL DIAS PROYECTO]]+(Tabla1[[#This Row],[COSTO TEMPORAL]])</f>
        <v>3300</v>
      </c>
      <c r="P4454" s="12">
        <f>942.69/16</f>
        <v>58.918125000000003</v>
      </c>
      <c r="Q4454" s="12">
        <f>+(Tabla1[[#This Row],[COSTO COCHE]]/30)*Tabla1[[#This Row],[TOTAL DIAS PROYECTO]]</f>
        <v>648.09937500000001</v>
      </c>
      <c r="R4454" s="12">
        <f>+Tabla1[[#This Row],[COSTO TOTAL ALOJAMIENTO]]+Tabla1[[#This Row],[COSTO TOTAL COCHE]]</f>
        <v>3948.0993749999998</v>
      </c>
      <c r="S4454" s="2"/>
      <c r="T4454" s="2" t="s">
        <v>58</v>
      </c>
      <c r="U4454" s="14">
        <v>45692</v>
      </c>
      <c r="V4454" s="25"/>
      <c r="W4454" s="26"/>
      <c r="X4454" s="2"/>
      <c r="Y4454" s="11" t="s">
        <v>6494</v>
      </c>
      <c r="Z4454" s="2" t="s">
        <v>36</v>
      </c>
      <c r="AA4454" s="13" t="s">
        <v>10323</v>
      </c>
      <c r="AB4454" s="13" t="s">
        <v>10324</v>
      </c>
    </row>
    <row r="4455" spans="1:28" ht="15" customHeight="1">
      <c r="A4455" s="2" t="s">
        <v>8860</v>
      </c>
      <c r="B4455" s="241" t="s">
        <v>606</v>
      </c>
      <c r="C4455" s="181" t="s">
        <v>1054</v>
      </c>
      <c r="D4455" s="2" t="s">
        <v>30</v>
      </c>
      <c r="E4455" s="2" t="s">
        <v>31</v>
      </c>
      <c r="F4455" s="11"/>
      <c r="G4455" s="49"/>
      <c r="H4455" s="157" t="s">
        <v>1468</v>
      </c>
      <c r="I4455" s="158" t="s">
        <v>34</v>
      </c>
      <c r="J4455" s="22">
        <f>+Tabla1[[#This Row],[FECHA ENTRADA]]</f>
        <v>45689</v>
      </c>
      <c r="K4455" s="8">
        <v>46022</v>
      </c>
      <c r="L4455" s="23">
        <f>_xlfn.DAYS(Tabla1[[#This Row],[FECHA FIN ]],Tabla1[[#This Row],[FECHA INICIO]])</f>
        <v>333</v>
      </c>
      <c r="M4455" s="12"/>
      <c r="N4455" s="28">
        <v>300</v>
      </c>
      <c r="O4455" s="24">
        <f>(Tabla1[[#This Row],[COSTO FIJO ]]/30)*Tabla1[[#This Row],[TOTAL DIAS PROYECTO]]+(Tabla1[[#This Row],[COSTO TEMPORAL]])</f>
        <v>3330</v>
      </c>
      <c r="P4455" s="12">
        <v>133.33333333333334</v>
      </c>
      <c r="Q4455" s="12">
        <f>+(Tabla1[[#This Row],[COSTO COCHE]]/30)*Tabla1[[#This Row],[TOTAL DIAS PROYECTO]]</f>
        <v>1480</v>
      </c>
      <c r="R4455" s="12">
        <f>+Tabla1[[#This Row],[COSTO TOTAL ALOJAMIENTO]]+Tabla1[[#This Row],[COSTO TOTAL COCHE]]</f>
        <v>4810</v>
      </c>
      <c r="S4455" s="2"/>
      <c r="T4455" s="2" t="s">
        <v>58</v>
      </c>
      <c r="U4455" s="14">
        <v>45689</v>
      </c>
      <c r="V4455" s="25"/>
      <c r="W4455" s="26"/>
      <c r="X4455" s="2"/>
      <c r="Y4455" s="11" t="s">
        <v>6495</v>
      </c>
      <c r="Z4455" s="2" t="s">
        <v>36</v>
      </c>
      <c r="AA4455" s="13" t="s">
        <v>10323</v>
      </c>
      <c r="AB4455" s="13" t="s">
        <v>10324</v>
      </c>
    </row>
    <row r="4456" spans="1:28" ht="15" customHeight="1">
      <c r="A4456" s="2" t="s">
        <v>9464</v>
      </c>
      <c r="B4456" s="2" t="s">
        <v>711</v>
      </c>
      <c r="C4456" s="31" t="s">
        <v>3280</v>
      </c>
      <c r="D4456" s="2" t="s">
        <v>99</v>
      </c>
      <c r="E4456" s="2" t="s">
        <v>502</v>
      </c>
      <c r="F4456" s="11" t="s">
        <v>6324</v>
      </c>
      <c r="G4456" s="21" t="s">
        <v>6325</v>
      </c>
      <c r="H4456" s="2" t="s">
        <v>6196</v>
      </c>
      <c r="I4456" s="12" t="s">
        <v>2862</v>
      </c>
      <c r="J4456" s="22">
        <f>+Tabla1[[#This Row],[FECHA ENTRADA]]</f>
        <v>45913</v>
      </c>
      <c r="K4456" s="22">
        <v>45929</v>
      </c>
      <c r="L4456" s="23">
        <f>_xlfn.DAYS(Tabla1[[#This Row],[FECHA FIN ]],Tabla1[[#This Row],[FECHA INICIO]])</f>
        <v>16</v>
      </c>
      <c r="M4456" s="12"/>
      <c r="N4456" s="12">
        <f>2225.3/8</f>
        <v>278.16250000000002</v>
      </c>
      <c r="O4456" s="24">
        <f>(Tabla1[[#This Row],[COSTO FIJO ]]/30)*Tabla1[[#This Row],[TOTAL DIAS PROYECTO]]+(Tabla1[[#This Row],[COSTO TEMPORAL]])</f>
        <v>148.35333333333335</v>
      </c>
      <c r="P4456" s="12"/>
      <c r="Q4456" s="12">
        <f>+(Tabla1[[#This Row],[COSTO COCHE]]/30)*Tabla1[[#This Row],[TOTAL DIAS PROYECTO]]</f>
        <v>0</v>
      </c>
      <c r="R4456" s="12">
        <f>+Tabla1[[#This Row],[COSTO TOTAL ALOJAMIENTO]]+Tabla1[[#This Row],[COSTO TOTAL COCHE]]</f>
        <v>148.35333333333335</v>
      </c>
      <c r="S4456" s="2" t="s">
        <v>84</v>
      </c>
      <c r="T4456" s="14" t="s">
        <v>44</v>
      </c>
      <c r="U4456" s="14">
        <v>45913</v>
      </c>
      <c r="V4456" s="79">
        <v>45929</v>
      </c>
      <c r="W4456" s="71"/>
      <c r="X4456" s="2"/>
      <c r="Y4456" s="11" t="s">
        <v>6326</v>
      </c>
      <c r="Z4456" s="2" t="s">
        <v>36</v>
      </c>
      <c r="AA4456" s="13" t="s">
        <v>10378</v>
      </c>
      <c r="AB4456" s="13" t="s">
        <v>10379</v>
      </c>
    </row>
    <row r="4457" spans="1:28" ht="15" customHeight="1">
      <c r="A4457" s="2" t="s">
        <v>9700</v>
      </c>
      <c r="B4457" s="2" t="s">
        <v>711</v>
      </c>
      <c r="C4457" s="31" t="s">
        <v>4306</v>
      </c>
      <c r="D4457" s="2" t="s">
        <v>99</v>
      </c>
      <c r="E4457" s="2" t="s">
        <v>502</v>
      </c>
      <c r="F4457" s="11" t="s">
        <v>6324</v>
      </c>
      <c r="G4457" s="21" t="s">
        <v>6325</v>
      </c>
      <c r="H4457" s="2" t="s">
        <v>6196</v>
      </c>
      <c r="I4457" s="12" t="s">
        <v>2862</v>
      </c>
      <c r="J4457" s="22">
        <f>+Tabla1[[#This Row],[FECHA ENTRADA]]</f>
        <v>45913</v>
      </c>
      <c r="K4457" s="22">
        <v>45929</v>
      </c>
      <c r="L4457" s="23">
        <f>_xlfn.DAYS(Tabla1[[#This Row],[FECHA FIN ]],Tabla1[[#This Row],[FECHA INICIO]])</f>
        <v>16</v>
      </c>
      <c r="M4457" s="12"/>
      <c r="N4457" s="12">
        <f>2225.3/8</f>
        <v>278.16250000000002</v>
      </c>
      <c r="O4457" s="24">
        <f>(Tabla1[[#This Row],[COSTO FIJO ]]/30)*Tabla1[[#This Row],[TOTAL DIAS PROYECTO]]+(Tabla1[[#This Row],[COSTO TEMPORAL]])</f>
        <v>148.35333333333335</v>
      </c>
      <c r="P4457" s="12"/>
      <c r="Q4457" s="12">
        <f>+(Tabla1[[#This Row],[COSTO COCHE]]/30)*Tabla1[[#This Row],[TOTAL DIAS PROYECTO]]</f>
        <v>0</v>
      </c>
      <c r="R4457" s="12">
        <f>+Tabla1[[#This Row],[COSTO TOTAL ALOJAMIENTO]]+Tabla1[[#This Row],[COSTO TOTAL COCHE]]</f>
        <v>148.35333333333335</v>
      </c>
      <c r="S4457" s="2" t="s">
        <v>84</v>
      </c>
      <c r="T4457" s="14" t="s">
        <v>44</v>
      </c>
      <c r="U4457" s="14">
        <v>45913</v>
      </c>
      <c r="V4457" s="79">
        <v>45929</v>
      </c>
      <c r="W4457" s="71"/>
      <c r="X4457" s="2"/>
      <c r="Y4457" s="11" t="s">
        <v>6326</v>
      </c>
      <c r="Z4457" s="2" t="s">
        <v>36</v>
      </c>
      <c r="AA4457" s="13" t="s">
        <v>10378</v>
      </c>
      <c r="AB4457" s="13" t="s">
        <v>10379</v>
      </c>
    </row>
    <row r="4458" spans="1:28" ht="15" customHeight="1">
      <c r="A4458" s="2" t="s">
        <v>9339</v>
      </c>
      <c r="B4458" s="2" t="s">
        <v>368</v>
      </c>
      <c r="C4458" s="31" t="s">
        <v>2858</v>
      </c>
      <c r="D4458" s="2" t="s">
        <v>99</v>
      </c>
      <c r="E4458" s="2" t="s">
        <v>502</v>
      </c>
      <c r="F4458" s="11" t="s">
        <v>1106</v>
      </c>
      <c r="G4458" s="21"/>
      <c r="H4458" s="2" t="s">
        <v>6147</v>
      </c>
      <c r="I4458" s="12" t="s">
        <v>2862</v>
      </c>
      <c r="J4458" s="22">
        <f>+Tabla1[[#This Row],[FECHA ENTRADA]]</f>
        <v>45913</v>
      </c>
      <c r="K4458" s="22">
        <v>45953</v>
      </c>
      <c r="L4458" s="23">
        <f>_xlfn.DAYS(Tabla1[[#This Row],[FECHA FIN ]],Tabla1[[#This Row],[FECHA INICIO]])</f>
        <v>40</v>
      </c>
      <c r="M4458" s="12"/>
      <c r="N4458" s="24"/>
      <c r="O4458" s="24">
        <f>(Tabla1[[#This Row],[COSTO FIJO ]]/30)*Tabla1[[#This Row],[TOTAL DIAS PROYECTO]]+(Tabla1[[#This Row],[COSTO TEMPORAL]])</f>
        <v>0</v>
      </c>
      <c r="P4458" s="12"/>
      <c r="Q4458" s="12">
        <f>+(Tabla1[[#This Row],[COSTO COCHE]]/30)*Tabla1[[#This Row],[TOTAL DIAS PROYECTO]]</f>
        <v>0</v>
      </c>
      <c r="R4458" s="12">
        <f>+Tabla1[[#This Row],[COSTO TOTAL ALOJAMIENTO]]+Tabla1[[#This Row],[COSTO TOTAL COCHE]]</f>
        <v>0</v>
      </c>
      <c r="S4458" s="2"/>
      <c r="T4458" s="2" t="s">
        <v>8</v>
      </c>
      <c r="U4458" s="14">
        <v>45913</v>
      </c>
      <c r="V4458" s="25"/>
      <c r="W4458" s="71"/>
      <c r="X4458" s="2"/>
      <c r="Y4458" s="11" t="s">
        <v>6496</v>
      </c>
      <c r="Z4458" s="2" t="s">
        <v>36</v>
      </c>
      <c r="AA4458" s="13" t="s">
        <v>10378</v>
      </c>
      <c r="AB4458" s="13" t="s">
        <v>10379</v>
      </c>
    </row>
    <row r="4459" spans="1:28" ht="15" customHeight="1">
      <c r="A4459" s="2" t="s">
        <v>9664</v>
      </c>
      <c r="B4459" s="2" t="s">
        <v>28</v>
      </c>
      <c r="C4459" s="31" t="s">
        <v>4117</v>
      </c>
      <c r="D4459" s="2" t="s">
        <v>749</v>
      </c>
      <c r="E4459" s="2" t="s">
        <v>288</v>
      </c>
      <c r="F4459" s="11" t="s">
        <v>4873</v>
      </c>
      <c r="G4459" s="21" t="s">
        <v>4752</v>
      </c>
      <c r="H4459" s="2" t="s">
        <v>6497</v>
      </c>
      <c r="I4459" s="12" t="s">
        <v>753</v>
      </c>
      <c r="J4459" s="22">
        <f>+Tabla1[[#This Row],[FECHA ENTRADA]]</f>
        <v>45935</v>
      </c>
      <c r="K4459" s="41">
        <v>46087</v>
      </c>
      <c r="L4459" s="23">
        <f>_xlfn.DAYS(Tabla1[[#This Row],[FECHA FIN ]],Tabla1[[#This Row],[FECHA INICIO]])</f>
        <v>152</v>
      </c>
      <c r="M4459" s="12">
        <v>500</v>
      </c>
      <c r="N4459" s="20"/>
      <c r="O4459" s="24">
        <f>(Tabla1[[#This Row],[COSTO FIJO ]]/30)*Tabla1[[#This Row],[TOTAL DIAS PROYECTO]]+(Tabla1[[#This Row],[COSTO TEMPORAL]])</f>
        <v>500</v>
      </c>
      <c r="P4459" s="12"/>
      <c r="Q4459" s="12">
        <f>+(Tabla1[[#This Row],[COSTO COCHE]]/30)*Tabla1[[#This Row],[TOTAL DIAS PROYECTO]]</f>
        <v>0</v>
      </c>
      <c r="R4459" s="12">
        <f>+Tabla1[[#This Row],[COSTO TOTAL ALOJAMIENTO]]+Tabla1[[#This Row],[COSTO TOTAL COCHE]]</f>
        <v>500</v>
      </c>
      <c r="S4459" s="12"/>
      <c r="T4459" s="2" t="s">
        <v>44</v>
      </c>
      <c r="U4459" s="14">
        <v>45935</v>
      </c>
      <c r="V4459" s="79">
        <v>46143</v>
      </c>
      <c r="W4459" s="71"/>
      <c r="X4459" s="2"/>
      <c r="Y4459" s="11" t="s">
        <v>6498</v>
      </c>
      <c r="Z4459" s="2" t="s">
        <v>36</v>
      </c>
      <c r="AA4459" s="13" t="s">
        <v>10362</v>
      </c>
      <c r="AB4459" s="13" t="s">
        <v>10363</v>
      </c>
    </row>
    <row r="4460" spans="1:28" ht="15" customHeight="1">
      <c r="A4460" s="2" t="s">
        <v>9258</v>
      </c>
      <c r="B4460" s="2" t="s">
        <v>711</v>
      </c>
      <c r="C4460" s="31" t="s">
        <v>2625</v>
      </c>
      <c r="D4460" s="2" t="s">
        <v>30</v>
      </c>
      <c r="E4460" s="2" t="s">
        <v>31</v>
      </c>
      <c r="F4460" s="11" t="s">
        <v>6473</v>
      </c>
      <c r="G4460" s="21" t="s">
        <v>6474</v>
      </c>
      <c r="H4460" s="2" t="s">
        <v>5084</v>
      </c>
      <c r="I4460" s="12" t="s">
        <v>5085</v>
      </c>
      <c r="J4460" s="22">
        <f>+Tabla1[[#This Row],[FECHA ENTRADA]]</f>
        <v>46021</v>
      </c>
      <c r="K4460" s="22">
        <v>46022</v>
      </c>
      <c r="L4460" s="23">
        <f>_xlfn.DAYS(Tabla1[[#This Row],[FECHA FIN ]],Tabla1[[#This Row],[FECHA INICIO]])</f>
        <v>1</v>
      </c>
      <c r="M4460" s="12"/>
      <c r="N4460" s="20"/>
      <c r="O4460" s="24">
        <f>(Tabla1[[#This Row],[COSTO FIJO ]]/30)*Tabla1[[#This Row],[TOTAL DIAS PROYECTO]]+(Tabla1[[#This Row],[COSTO TEMPORAL]])</f>
        <v>0</v>
      </c>
      <c r="P4460" s="12"/>
      <c r="Q4460" s="12">
        <f>+(Tabla1[[#This Row],[COSTO COCHE]]/30)*Tabla1[[#This Row],[TOTAL DIAS PROYECTO]]</f>
        <v>0</v>
      </c>
      <c r="R4460" s="12">
        <f>+Tabla1[[#This Row],[COSTO TOTAL ALOJAMIENTO]]+Tabla1[[#This Row],[COSTO TOTAL COCHE]]</f>
        <v>0</v>
      </c>
      <c r="S4460" s="2"/>
      <c r="T4460" s="14" t="s">
        <v>35</v>
      </c>
      <c r="U4460" s="14">
        <v>46021</v>
      </c>
      <c r="V4460" s="79"/>
      <c r="W4460" s="12"/>
      <c r="X4460" s="2">
        <v>28</v>
      </c>
      <c r="Y4460" s="11" t="s">
        <v>6489</v>
      </c>
      <c r="Z4460" s="2" t="s">
        <v>36</v>
      </c>
      <c r="AA4460" s="13" t="s">
        <v>10323</v>
      </c>
      <c r="AB4460" s="13" t="s">
        <v>10324</v>
      </c>
    </row>
    <row r="4461" spans="1:28" ht="15" customHeight="1">
      <c r="A4461" s="2" t="s">
        <v>10041</v>
      </c>
      <c r="B4461" s="2" t="s">
        <v>28</v>
      </c>
      <c r="C4461" s="11" t="s">
        <v>6031</v>
      </c>
      <c r="D4461" s="2" t="s">
        <v>30</v>
      </c>
      <c r="E4461" s="2" t="s">
        <v>31</v>
      </c>
      <c r="F4461" s="11" t="s">
        <v>6499</v>
      </c>
      <c r="G4461" s="46" t="s">
        <v>6500</v>
      </c>
      <c r="H4461" s="2" t="s">
        <v>6501</v>
      </c>
      <c r="I4461" s="12" t="s">
        <v>753</v>
      </c>
      <c r="J4461" s="41">
        <f>+Tabla1[[#This Row],[FECHA ENTRADA]]</f>
        <v>45940</v>
      </c>
      <c r="K4461" s="41">
        <v>45941</v>
      </c>
      <c r="L4461" s="42">
        <f>_xlfn.DAYS(Tabla1[[#This Row],[FECHA FIN ]],Tabla1[[#This Row],[FECHA INICIO]])</f>
        <v>1</v>
      </c>
      <c r="M4461" s="12"/>
      <c r="N4461" s="28"/>
      <c r="O4461" s="28">
        <f>(Tabla1[[#This Row],[COSTO FIJO ]]/30)*Tabla1[[#This Row],[TOTAL DIAS PROYECTO]]+(Tabla1[[#This Row],[COSTO TEMPORAL]])</f>
        <v>0</v>
      </c>
      <c r="P4461" s="12"/>
      <c r="Q4461" s="12">
        <f>+(Tabla1[[#This Row],[COSTO COCHE]]/30)*Tabla1[[#This Row],[TOTAL DIAS PROYECTO]]</f>
        <v>0</v>
      </c>
      <c r="R4461" s="12">
        <f>+Tabla1[[#This Row],[COSTO TOTAL ALOJAMIENTO]]+Tabla1[[#This Row],[COSTO TOTAL COCHE]]</f>
        <v>0</v>
      </c>
      <c r="S4461" s="2"/>
      <c r="T4461" s="14" t="s">
        <v>44</v>
      </c>
      <c r="U4461" s="14">
        <v>45940</v>
      </c>
      <c r="V4461" s="43">
        <v>45941</v>
      </c>
      <c r="W4461" s="71"/>
      <c r="X4461" s="2"/>
      <c r="Y4461" s="11"/>
      <c r="Z4461" s="2" t="s">
        <v>36</v>
      </c>
      <c r="AA4461" s="13" t="s">
        <v>10323</v>
      </c>
      <c r="AB4461" s="13" t="s">
        <v>10324</v>
      </c>
    </row>
    <row r="4462" spans="1:28" ht="15" customHeight="1">
      <c r="A4462" s="2" t="s">
        <v>9330</v>
      </c>
      <c r="B4462" s="2" t="s">
        <v>28</v>
      </c>
      <c r="C4462" s="11" t="s">
        <v>2842</v>
      </c>
      <c r="D4462" s="2" t="s">
        <v>30</v>
      </c>
      <c r="E4462" s="2" t="s">
        <v>31</v>
      </c>
      <c r="F4462" s="11" t="s">
        <v>6499</v>
      </c>
      <c r="G4462" s="46" t="s">
        <v>6500</v>
      </c>
      <c r="H4462" s="2" t="s">
        <v>6501</v>
      </c>
      <c r="I4462" s="12" t="s">
        <v>753</v>
      </c>
      <c r="J4462" s="41">
        <f>+Tabla1[[#This Row],[FECHA ENTRADA]]</f>
        <v>45940</v>
      </c>
      <c r="K4462" s="41">
        <v>45941</v>
      </c>
      <c r="L4462" s="42">
        <f>_xlfn.DAYS(Tabla1[[#This Row],[FECHA FIN ]],Tabla1[[#This Row],[FECHA INICIO]])</f>
        <v>1</v>
      </c>
      <c r="M4462" s="12"/>
      <c r="N4462" s="28"/>
      <c r="O4462" s="28">
        <f>(Tabla1[[#This Row],[COSTO FIJO ]]/30)*Tabla1[[#This Row],[TOTAL DIAS PROYECTO]]+(Tabla1[[#This Row],[COSTO TEMPORAL]])</f>
        <v>0</v>
      </c>
      <c r="P4462" s="12"/>
      <c r="Q4462" s="12">
        <f>+(Tabla1[[#This Row],[COSTO COCHE]]/30)*Tabla1[[#This Row],[TOTAL DIAS PROYECTO]]</f>
        <v>0</v>
      </c>
      <c r="R4462" s="12">
        <f>+Tabla1[[#This Row],[COSTO TOTAL ALOJAMIENTO]]+Tabla1[[#This Row],[COSTO TOTAL COCHE]]</f>
        <v>0</v>
      </c>
      <c r="S4462" s="2"/>
      <c r="T4462" s="14" t="s">
        <v>44</v>
      </c>
      <c r="U4462" s="14">
        <v>45940</v>
      </c>
      <c r="V4462" s="43">
        <v>45941</v>
      </c>
      <c r="W4462" s="71"/>
      <c r="X4462" s="2"/>
      <c r="Y4462" s="11"/>
      <c r="Z4462" s="2" t="s">
        <v>36</v>
      </c>
      <c r="AA4462" s="13" t="s">
        <v>10323</v>
      </c>
      <c r="AB4462" s="13" t="s">
        <v>10324</v>
      </c>
    </row>
    <row r="4463" spans="1:28" ht="15" customHeight="1">
      <c r="A4463" s="2" t="s">
        <v>10120</v>
      </c>
      <c r="B4463" s="2" t="s">
        <v>28</v>
      </c>
      <c r="C4463" s="11" t="s">
        <v>6502</v>
      </c>
      <c r="D4463" s="2" t="s">
        <v>30</v>
      </c>
      <c r="E4463" s="2" t="s">
        <v>31</v>
      </c>
      <c r="F4463" s="11" t="s">
        <v>6499</v>
      </c>
      <c r="G4463" s="46" t="s">
        <v>6500</v>
      </c>
      <c r="H4463" s="2" t="s">
        <v>6501</v>
      </c>
      <c r="I4463" s="12" t="s">
        <v>753</v>
      </c>
      <c r="J4463" s="41">
        <f>+Tabla1[[#This Row],[FECHA ENTRADA]]</f>
        <v>45940</v>
      </c>
      <c r="K4463" s="41">
        <v>45941</v>
      </c>
      <c r="L4463" s="42">
        <f>_xlfn.DAYS(Tabla1[[#This Row],[FECHA FIN ]],Tabla1[[#This Row],[FECHA INICIO]])</f>
        <v>1</v>
      </c>
      <c r="M4463" s="12"/>
      <c r="N4463" s="28"/>
      <c r="O4463" s="28">
        <f>(Tabla1[[#This Row],[COSTO FIJO ]]/30)*Tabla1[[#This Row],[TOTAL DIAS PROYECTO]]+(Tabla1[[#This Row],[COSTO TEMPORAL]])</f>
        <v>0</v>
      </c>
      <c r="P4463" s="12"/>
      <c r="Q4463" s="12">
        <f>+(Tabla1[[#This Row],[COSTO COCHE]]/30)*Tabla1[[#This Row],[TOTAL DIAS PROYECTO]]</f>
        <v>0</v>
      </c>
      <c r="R4463" s="12">
        <f>+Tabla1[[#This Row],[COSTO TOTAL ALOJAMIENTO]]+Tabla1[[#This Row],[COSTO TOTAL COCHE]]</f>
        <v>0</v>
      </c>
      <c r="S4463" s="2"/>
      <c r="T4463" s="14" t="s">
        <v>44</v>
      </c>
      <c r="U4463" s="14">
        <v>45940</v>
      </c>
      <c r="V4463" s="43">
        <v>45941</v>
      </c>
      <c r="W4463" s="71"/>
      <c r="X4463" s="2"/>
      <c r="Y4463" s="11"/>
      <c r="Z4463" s="2" t="s">
        <v>36</v>
      </c>
      <c r="AA4463" s="13" t="s">
        <v>10323</v>
      </c>
      <c r="AB4463" s="13" t="s">
        <v>10324</v>
      </c>
    </row>
    <row r="4464" spans="1:28" ht="15" customHeight="1">
      <c r="A4464" s="2" t="s">
        <v>9806</v>
      </c>
      <c r="B4464" s="2" t="s">
        <v>28</v>
      </c>
      <c r="C4464" s="11" t="s">
        <v>4829</v>
      </c>
      <c r="D4464" s="2" t="s">
        <v>30</v>
      </c>
      <c r="E4464" s="2" t="s">
        <v>31</v>
      </c>
      <c r="F4464" s="11" t="s">
        <v>6499</v>
      </c>
      <c r="G4464" s="46" t="s">
        <v>6500</v>
      </c>
      <c r="H4464" s="2" t="s">
        <v>6501</v>
      </c>
      <c r="I4464" s="12" t="s">
        <v>753</v>
      </c>
      <c r="J4464" s="41">
        <f>+Tabla1[[#This Row],[FECHA ENTRADA]]</f>
        <v>45940</v>
      </c>
      <c r="K4464" s="41">
        <v>45941</v>
      </c>
      <c r="L4464" s="42">
        <f>_xlfn.DAYS(Tabla1[[#This Row],[FECHA FIN ]],Tabla1[[#This Row],[FECHA INICIO]])</f>
        <v>1</v>
      </c>
      <c r="M4464" s="12"/>
      <c r="N4464" s="28"/>
      <c r="O4464" s="28">
        <f>(Tabla1[[#This Row],[COSTO FIJO ]]/30)*Tabla1[[#This Row],[TOTAL DIAS PROYECTO]]+(Tabla1[[#This Row],[COSTO TEMPORAL]])</f>
        <v>0</v>
      </c>
      <c r="P4464" s="12"/>
      <c r="Q4464" s="12">
        <f>+(Tabla1[[#This Row],[COSTO COCHE]]/30)*Tabla1[[#This Row],[TOTAL DIAS PROYECTO]]</f>
        <v>0</v>
      </c>
      <c r="R4464" s="12">
        <f>+Tabla1[[#This Row],[COSTO TOTAL ALOJAMIENTO]]+Tabla1[[#This Row],[COSTO TOTAL COCHE]]</f>
        <v>0</v>
      </c>
      <c r="S4464" s="2"/>
      <c r="T4464" s="14" t="s">
        <v>44</v>
      </c>
      <c r="U4464" s="14">
        <v>45940</v>
      </c>
      <c r="V4464" s="43">
        <v>45941</v>
      </c>
      <c r="W4464" s="71"/>
      <c r="X4464" s="2"/>
      <c r="Y4464" s="11"/>
      <c r="Z4464" s="2" t="s">
        <v>36</v>
      </c>
      <c r="AA4464" s="13" t="s">
        <v>10323</v>
      </c>
      <c r="AB4464" s="13" t="s">
        <v>10324</v>
      </c>
    </row>
    <row r="4465" spans="1:28" ht="15" customHeight="1">
      <c r="A4465" s="2" t="s">
        <v>10120</v>
      </c>
      <c r="B4465" s="2" t="s">
        <v>28</v>
      </c>
      <c r="C4465" s="31" t="s">
        <v>6502</v>
      </c>
      <c r="D4465" s="2" t="s">
        <v>749</v>
      </c>
      <c r="E4465" s="2" t="s">
        <v>288</v>
      </c>
      <c r="F4465" s="11" t="s">
        <v>4873</v>
      </c>
      <c r="G4465" s="21" t="s">
        <v>4752</v>
      </c>
      <c r="H4465" s="2" t="s">
        <v>6501</v>
      </c>
      <c r="I4465" s="12" t="s">
        <v>753</v>
      </c>
      <c r="J4465" s="41">
        <f>+Tabla1[[#This Row],[FECHA ENTRADA]]</f>
        <v>45941</v>
      </c>
      <c r="K4465" s="22">
        <v>46003</v>
      </c>
      <c r="L4465" s="42">
        <f>_xlfn.DAYS(Tabla1[[#This Row],[FECHA FIN ]],Tabla1[[#This Row],[FECHA INICIO]])</f>
        <v>62</v>
      </c>
      <c r="M4465" s="12">
        <v>500</v>
      </c>
      <c r="N4465" s="28"/>
      <c r="O4465" s="28">
        <f>(Tabla1[[#This Row],[COSTO FIJO ]]/30)*Tabla1[[#This Row],[TOTAL DIAS PROYECTO]]+(Tabla1[[#This Row],[COSTO TEMPORAL]])</f>
        <v>500</v>
      </c>
      <c r="P4465" s="12"/>
      <c r="Q4465" s="12">
        <f>+(Tabla1[[#This Row],[COSTO COCHE]]/30)*Tabla1[[#This Row],[TOTAL DIAS PROYECTO]]</f>
        <v>0</v>
      </c>
      <c r="R4465" s="12">
        <f>+Tabla1[[#This Row],[COSTO TOTAL ALOJAMIENTO]]+Tabla1[[#This Row],[COSTO TOTAL COCHE]]</f>
        <v>500</v>
      </c>
      <c r="S4465" s="2"/>
      <c r="T4465" s="14" t="s">
        <v>44</v>
      </c>
      <c r="U4465" s="14">
        <v>45941</v>
      </c>
      <c r="V4465" s="25">
        <v>46023</v>
      </c>
      <c r="W4465" s="71"/>
      <c r="X4465" s="2"/>
      <c r="Y4465" s="11" t="s">
        <v>6503</v>
      </c>
      <c r="Z4465" s="2" t="s">
        <v>36</v>
      </c>
      <c r="AA4465" s="13" t="s">
        <v>10362</v>
      </c>
      <c r="AB4465" s="13" t="s">
        <v>10363</v>
      </c>
    </row>
    <row r="4466" spans="1:28" ht="15" customHeight="1">
      <c r="A4466" s="2" t="s">
        <v>10041</v>
      </c>
      <c r="B4466" s="2" t="s">
        <v>28</v>
      </c>
      <c r="C4466" s="252" t="s">
        <v>6031</v>
      </c>
      <c r="D4466" s="2" t="s">
        <v>749</v>
      </c>
      <c r="E4466" s="2" t="s">
        <v>288</v>
      </c>
      <c r="F4466" s="11" t="s">
        <v>4873</v>
      </c>
      <c r="G4466" s="21" t="s">
        <v>4752</v>
      </c>
      <c r="H4466" s="2" t="s">
        <v>4930</v>
      </c>
      <c r="I4466" s="12" t="s">
        <v>753</v>
      </c>
      <c r="J4466" s="41">
        <f>+Tabla1[[#This Row],[FECHA ENTRADA]]</f>
        <v>45941</v>
      </c>
      <c r="K4466" s="22">
        <v>46022</v>
      </c>
      <c r="L4466" s="42">
        <f>_xlfn.DAYS(Tabla1[[#This Row],[FECHA FIN ]],Tabla1[[#This Row],[FECHA INICIO]])</f>
        <v>81</v>
      </c>
      <c r="M4466" s="12">
        <v>500</v>
      </c>
      <c r="N4466" s="28"/>
      <c r="O4466" s="28">
        <f>(Tabla1[[#This Row],[COSTO FIJO ]]/30)*Tabla1[[#This Row],[TOTAL DIAS PROYECTO]]+(Tabla1[[#This Row],[COSTO TEMPORAL]])</f>
        <v>500</v>
      </c>
      <c r="P4466" s="12"/>
      <c r="Q4466" s="12">
        <f>+(Tabla1[[#This Row],[COSTO COCHE]]/30)*Tabla1[[#This Row],[TOTAL DIAS PROYECTO]]</f>
        <v>0</v>
      </c>
      <c r="R4466" s="12">
        <f>+Tabla1[[#This Row],[COSTO TOTAL ALOJAMIENTO]]+Tabla1[[#This Row],[COSTO TOTAL COCHE]]</f>
        <v>500</v>
      </c>
      <c r="S4466" s="2"/>
      <c r="T4466" s="14" t="s">
        <v>44</v>
      </c>
      <c r="U4466" s="14">
        <v>45941</v>
      </c>
      <c r="V4466" s="25">
        <v>46023</v>
      </c>
      <c r="W4466" s="71"/>
      <c r="X4466" s="2"/>
      <c r="Y4466" s="11" t="s">
        <v>6504</v>
      </c>
      <c r="Z4466" s="2" t="s">
        <v>36</v>
      </c>
      <c r="AA4466" s="13" t="s">
        <v>10362</v>
      </c>
      <c r="AB4466" s="13" t="s">
        <v>10363</v>
      </c>
    </row>
    <row r="4467" spans="1:28" ht="15" customHeight="1">
      <c r="A4467" s="2" t="s">
        <v>9330</v>
      </c>
      <c r="B4467" s="2" t="s">
        <v>28</v>
      </c>
      <c r="C4467" s="252" t="s">
        <v>2842</v>
      </c>
      <c r="D4467" s="2" t="s">
        <v>749</v>
      </c>
      <c r="E4467" s="2" t="s">
        <v>288</v>
      </c>
      <c r="F4467" s="11" t="s">
        <v>4873</v>
      </c>
      <c r="G4467" s="21" t="s">
        <v>4752</v>
      </c>
      <c r="H4467" s="2" t="s">
        <v>4930</v>
      </c>
      <c r="I4467" s="12" t="s">
        <v>753</v>
      </c>
      <c r="J4467" s="41">
        <f>+Tabla1[[#This Row],[FECHA ENTRADA]]</f>
        <v>45941</v>
      </c>
      <c r="K4467" s="22">
        <v>46022</v>
      </c>
      <c r="L4467" s="42">
        <f>_xlfn.DAYS(Tabla1[[#This Row],[FECHA FIN ]],Tabla1[[#This Row],[FECHA INICIO]])</f>
        <v>81</v>
      </c>
      <c r="M4467" s="12">
        <v>500</v>
      </c>
      <c r="N4467" s="28"/>
      <c r="O4467" s="28">
        <f>(Tabla1[[#This Row],[COSTO FIJO ]]/30)*Tabla1[[#This Row],[TOTAL DIAS PROYECTO]]+(Tabla1[[#This Row],[COSTO TEMPORAL]])</f>
        <v>500</v>
      </c>
      <c r="P4467" s="12"/>
      <c r="Q4467" s="12">
        <f>+(Tabla1[[#This Row],[COSTO COCHE]]/30)*Tabla1[[#This Row],[TOTAL DIAS PROYECTO]]</f>
        <v>0</v>
      </c>
      <c r="R4467" s="12">
        <f>+Tabla1[[#This Row],[COSTO TOTAL ALOJAMIENTO]]+Tabla1[[#This Row],[COSTO TOTAL COCHE]]</f>
        <v>500</v>
      </c>
      <c r="S4467" s="2"/>
      <c r="T4467" s="14" t="s">
        <v>44</v>
      </c>
      <c r="U4467" s="14">
        <v>45941</v>
      </c>
      <c r="V4467" s="25">
        <v>46023</v>
      </c>
      <c r="W4467" s="71"/>
      <c r="X4467" s="2"/>
      <c r="Y4467" s="11" t="s">
        <v>6504</v>
      </c>
      <c r="Z4467" s="2" t="s">
        <v>36</v>
      </c>
      <c r="AA4467" s="13" t="s">
        <v>10362</v>
      </c>
      <c r="AB4467" s="13" t="s">
        <v>10363</v>
      </c>
    </row>
    <row r="4468" spans="1:28" ht="15" customHeight="1">
      <c r="A4468" s="2" t="s">
        <v>9905</v>
      </c>
      <c r="B4468" s="2" t="s">
        <v>711</v>
      </c>
      <c r="C4468" s="11" t="s">
        <v>5322</v>
      </c>
      <c r="D4468" s="2" t="s">
        <v>99</v>
      </c>
      <c r="E4468" s="2" t="s">
        <v>31</v>
      </c>
      <c r="F4468" s="11" t="s">
        <v>6074</v>
      </c>
      <c r="G4468" s="49" t="s">
        <v>5083</v>
      </c>
      <c r="H4468" s="2" t="s">
        <v>6152</v>
      </c>
      <c r="I4468" s="12" t="s">
        <v>2391</v>
      </c>
      <c r="J4468" s="41">
        <f>+Tabla1[[#This Row],[FECHA ENTRADA]]</f>
        <v>45980</v>
      </c>
      <c r="K4468" s="41">
        <v>45981</v>
      </c>
      <c r="L4468" s="42">
        <f>_xlfn.DAYS(Tabla1[[#This Row],[FECHA FIN ]],Tabla1[[#This Row],[FECHA INICIO]])</f>
        <v>1</v>
      </c>
      <c r="M4468" s="12"/>
      <c r="N4468" s="24">
        <v>450</v>
      </c>
      <c r="O4468" s="28">
        <f>(Tabla1[[#This Row],[COSTO FIJO ]]/30)*Tabla1[[#This Row],[TOTAL DIAS PROYECTO]]+(Tabla1[[#This Row],[COSTO TEMPORAL]])</f>
        <v>15</v>
      </c>
      <c r="P4468" s="12"/>
      <c r="Q4468" s="12">
        <f>+(Tabla1[[#This Row],[COSTO COCHE]]/30)*Tabla1[[#This Row],[TOTAL DIAS PROYECTO]]</f>
        <v>0</v>
      </c>
      <c r="R4468" s="12">
        <f>+Tabla1[[#This Row],[COSTO TOTAL ALOJAMIENTO]]+Tabla1[[#This Row],[COSTO TOTAL COCHE]]</f>
        <v>15</v>
      </c>
      <c r="S4468" s="2"/>
      <c r="T4468" s="14" t="s">
        <v>44</v>
      </c>
      <c r="U4468" s="14">
        <v>45980</v>
      </c>
      <c r="V4468" s="25">
        <v>46021</v>
      </c>
      <c r="W4468" s="71"/>
      <c r="X4468" s="2">
        <v>25</v>
      </c>
      <c r="Y4468" s="11" t="s">
        <v>6505</v>
      </c>
      <c r="Z4468" s="2" t="s">
        <v>36</v>
      </c>
      <c r="AA4468" s="13" t="s">
        <v>10323</v>
      </c>
      <c r="AB4468" s="13" t="s">
        <v>10324</v>
      </c>
    </row>
    <row r="4469" spans="1:28" ht="15" customHeight="1">
      <c r="A4469" s="117" t="s">
        <v>9785</v>
      </c>
      <c r="B4469" s="117" t="s">
        <v>711</v>
      </c>
      <c r="C4469" s="101" t="s">
        <v>4738</v>
      </c>
      <c r="D4469" s="117" t="s">
        <v>99</v>
      </c>
      <c r="E4469" s="117" t="s">
        <v>985</v>
      </c>
      <c r="F4469" s="11" t="s">
        <v>6271</v>
      </c>
      <c r="G4469" s="21" t="s">
        <v>6272</v>
      </c>
      <c r="H4469" s="117" t="s">
        <v>5119</v>
      </c>
      <c r="I4469" s="119" t="s">
        <v>5120</v>
      </c>
      <c r="J4469" s="121">
        <f>+Tabla1[[#This Row],[FECHA ENTRADA]]</f>
        <v>45959</v>
      </c>
      <c r="K4469" s="121">
        <v>46022</v>
      </c>
      <c r="L4469" s="129">
        <f>_xlfn.DAYS(Tabla1[[#This Row],[FECHA FIN ]],Tabla1[[#This Row],[FECHA INICIO]])</f>
        <v>63</v>
      </c>
      <c r="M4469" s="119">
        <f>1320.11/2</f>
        <v>660.05499999999995</v>
      </c>
      <c r="N4469" s="130"/>
      <c r="O4469" s="131">
        <f>(Tabla1[[#This Row],[COSTO FIJO ]]/30)*Tabla1[[#This Row],[TOTAL DIAS PROYECTO]]+(Tabla1[[#This Row],[COSTO TEMPORAL]])</f>
        <v>660.05499999999995</v>
      </c>
      <c r="P4469" s="119"/>
      <c r="Q4469" s="119">
        <f>+(Tabla1[[#This Row],[COSTO COCHE]]/30)*Tabla1[[#This Row],[TOTAL DIAS PROYECTO]]</f>
        <v>0</v>
      </c>
      <c r="R4469" s="119">
        <f>+Tabla1[[#This Row],[COSTO TOTAL ALOJAMIENTO]]+Tabla1[[#This Row],[COSTO TOTAL COCHE]]</f>
        <v>660.05499999999995</v>
      </c>
      <c r="S4469" s="117"/>
      <c r="T4469" s="124" t="s">
        <v>44</v>
      </c>
      <c r="U4469" s="124">
        <v>45959</v>
      </c>
      <c r="V4469" s="25">
        <v>45993</v>
      </c>
      <c r="W4469" s="126"/>
      <c r="X4469" s="117"/>
      <c r="Y4469" s="118" t="s">
        <v>6506</v>
      </c>
      <c r="Z4469" s="117" t="s">
        <v>36</v>
      </c>
      <c r="AA4469" s="127" t="s">
        <v>10407</v>
      </c>
      <c r="AB4469" s="127" t="s">
        <v>10408</v>
      </c>
    </row>
    <row r="4470" spans="1:28" ht="15" customHeight="1">
      <c r="A4470" s="2" t="s">
        <v>9170</v>
      </c>
      <c r="B4470" s="2" t="s">
        <v>711</v>
      </c>
      <c r="C4470" s="144" t="s">
        <v>2305</v>
      </c>
      <c r="D4470" s="2" t="s">
        <v>30</v>
      </c>
      <c r="E4470" s="2" t="s">
        <v>3400</v>
      </c>
      <c r="F4470" s="11" t="s">
        <v>6507</v>
      </c>
      <c r="G4470" s="11" t="s">
        <v>3874</v>
      </c>
      <c r="H4470" s="2" t="s">
        <v>6436</v>
      </c>
      <c r="I4470" s="12" t="s">
        <v>96</v>
      </c>
      <c r="J4470" s="41">
        <f>+Tabla1[[#This Row],[FECHA ENTRADA]]</f>
        <v>46105</v>
      </c>
      <c r="K4470" s="22">
        <v>46174</v>
      </c>
      <c r="L4470" s="42">
        <f>_xlfn.DAYS(Tabla1[[#This Row],[FECHA FIN ]],Tabla1[[#This Row],[FECHA INICIO]])</f>
        <v>69</v>
      </c>
      <c r="M4470" s="12"/>
      <c r="N4470" s="28">
        <v>350</v>
      </c>
      <c r="O4470" s="28">
        <f>(Tabla1[[#This Row],[COSTO FIJO ]]/30)*Tabla1[[#This Row],[TOTAL DIAS PROYECTO]]+(Tabla1[[#This Row],[COSTO TEMPORAL]])</f>
        <v>805</v>
      </c>
      <c r="P4470" s="12"/>
      <c r="Q4470" s="12">
        <f>+(Tabla1[[#This Row],[COSTO COCHE]]/30)*Tabla1[[#This Row],[TOTAL DIAS PROYECTO]]</f>
        <v>0</v>
      </c>
      <c r="R4470" s="12">
        <f>+Tabla1[[#This Row],[COSTO TOTAL ALOJAMIENTO]]+Tabla1[[#This Row],[COSTO TOTAL COCHE]]</f>
        <v>805</v>
      </c>
      <c r="S4470" s="2"/>
      <c r="T4470" s="14" t="s">
        <v>35</v>
      </c>
      <c r="U4470" s="14">
        <v>46105</v>
      </c>
      <c r="V4470" s="43"/>
      <c r="W4470" s="12">
        <v>350</v>
      </c>
      <c r="X4470" s="2">
        <v>1</v>
      </c>
      <c r="Y4470" s="11" t="s">
        <v>738</v>
      </c>
      <c r="Z4470" s="2" t="s">
        <v>36</v>
      </c>
      <c r="AA4470" s="13" t="e">
        <v>#N/A</v>
      </c>
      <c r="AB4470" s="13" t="e">
        <v>#N/A</v>
      </c>
    </row>
    <row r="4471" spans="1:28" ht="15" customHeight="1">
      <c r="A4471" s="2" t="s">
        <v>9170</v>
      </c>
      <c r="B4471" s="2" t="s">
        <v>711</v>
      </c>
      <c r="C4471" s="31" t="s">
        <v>2305</v>
      </c>
      <c r="D4471" s="2" t="s">
        <v>30</v>
      </c>
      <c r="E4471" s="2" t="s">
        <v>3400</v>
      </c>
      <c r="F4471" s="11"/>
      <c r="G4471" s="46"/>
      <c r="H4471" s="2" t="s">
        <v>6436</v>
      </c>
      <c r="I4471" s="12" t="s">
        <v>96</v>
      </c>
      <c r="J4471" s="41">
        <f>+Tabla1[[#This Row],[FECHA ENTRADA]]</f>
        <v>46174</v>
      </c>
      <c r="K4471" s="22">
        <v>46195</v>
      </c>
      <c r="L4471" s="42">
        <f>_xlfn.DAYS(Tabla1[[#This Row],[FECHA FIN ]],Tabla1[[#This Row],[FECHA INICIO]])</f>
        <v>21</v>
      </c>
      <c r="M4471" s="12"/>
      <c r="N4471" s="28">
        <v>0</v>
      </c>
      <c r="O4471" s="28">
        <f>(Tabla1[[#This Row],[COSTO FIJO ]]/30)*Tabla1[[#This Row],[TOTAL DIAS PROYECTO]]+(Tabla1[[#This Row],[COSTO TEMPORAL]])</f>
        <v>0</v>
      </c>
      <c r="P4471" s="12"/>
      <c r="Q4471" s="12">
        <f>+(Tabla1[[#This Row],[COSTO COCHE]]/30)*Tabla1[[#This Row],[TOTAL DIAS PROYECTO]]</f>
        <v>0</v>
      </c>
      <c r="R4471" s="12">
        <f>+Tabla1[[#This Row],[COSTO TOTAL ALOJAMIENTO]]+Tabla1[[#This Row],[COSTO TOTAL COCHE]]</f>
        <v>0</v>
      </c>
      <c r="S4471" s="2"/>
      <c r="T4471" s="14" t="s">
        <v>8</v>
      </c>
      <c r="U4471" s="14">
        <v>46174</v>
      </c>
      <c r="V4471" s="43"/>
      <c r="W4471" s="12"/>
      <c r="X4471" s="2"/>
      <c r="Y4471" s="11" t="s">
        <v>6508</v>
      </c>
      <c r="Z4471" s="2" t="s">
        <v>36</v>
      </c>
      <c r="AA4471" s="13" t="e">
        <v>#N/A</v>
      </c>
      <c r="AB4471" s="13" t="e">
        <v>#N/A</v>
      </c>
    </row>
    <row r="4472" spans="1:28" ht="15" customHeight="1">
      <c r="A4472" s="2" t="s">
        <v>10026</v>
      </c>
      <c r="B4472" s="2" t="s">
        <v>711</v>
      </c>
      <c r="C4472" s="31" t="s">
        <v>5990</v>
      </c>
      <c r="D4472" s="2" t="s">
        <v>30</v>
      </c>
      <c r="E4472" s="2" t="s">
        <v>648</v>
      </c>
      <c r="F4472" s="11" t="s">
        <v>6509</v>
      </c>
      <c r="G4472" s="46"/>
      <c r="H4472" s="2" t="s">
        <v>6510</v>
      </c>
      <c r="I4472" s="12" t="s">
        <v>96</v>
      </c>
      <c r="J4472" s="41">
        <f>+Tabla1[[#This Row],[FECHA ENTRADA]]</f>
        <v>46173</v>
      </c>
      <c r="K4472" s="22">
        <v>46199</v>
      </c>
      <c r="L4472" s="42">
        <f>_xlfn.DAYS(Tabla1[[#This Row],[FECHA FIN ]],Tabla1[[#This Row],[FECHA INICIO]])</f>
        <v>26</v>
      </c>
      <c r="M4472" s="12"/>
      <c r="N4472" s="28">
        <v>0</v>
      </c>
      <c r="O4472" s="28">
        <f>(Tabla1[[#This Row],[COSTO FIJO ]]/30)*Tabla1[[#This Row],[TOTAL DIAS PROYECTO]]+(Tabla1[[#This Row],[COSTO TEMPORAL]])</f>
        <v>0</v>
      </c>
      <c r="P4472" s="12"/>
      <c r="Q4472" s="12">
        <f>+(Tabla1[[#This Row],[COSTO COCHE]]/30)*Tabla1[[#This Row],[TOTAL DIAS PROYECTO]]</f>
        <v>0</v>
      </c>
      <c r="R4472" s="12">
        <f>+Tabla1[[#This Row],[COSTO TOTAL ALOJAMIENTO]]+Tabla1[[#This Row],[COSTO TOTAL COCHE]]</f>
        <v>0</v>
      </c>
      <c r="S4472" s="2"/>
      <c r="T4472" s="14" t="s">
        <v>8</v>
      </c>
      <c r="U4472" s="14">
        <v>46173</v>
      </c>
      <c r="V4472" s="43"/>
      <c r="W4472" s="12"/>
      <c r="X4472" s="2"/>
      <c r="Y4472" s="11" t="s">
        <v>6511</v>
      </c>
      <c r="Z4472" s="2" t="s">
        <v>36</v>
      </c>
      <c r="AA4472" s="13" t="s">
        <v>10387</v>
      </c>
      <c r="AB4472" s="13" t="s">
        <v>10388</v>
      </c>
    </row>
    <row r="4473" spans="1:28" ht="15" customHeight="1">
      <c r="A4473" s="2" t="s">
        <v>10121</v>
      </c>
      <c r="B4473" s="2" t="s">
        <v>711</v>
      </c>
      <c r="C4473" s="31" t="s">
        <v>6512</v>
      </c>
      <c r="D4473" s="2" t="s">
        <v>30</v>
      </c>
      <c r="E4473" s="2" t="s">
        <v>648</v>
      </c>
      <c r="F4473" s="11" t="s">
        <v>1544</v>
      </c>
      <c r="G4473" s="118" t="s">
        <v>1545</v>
      </c>
      <c r="H4473" s="2" t="s">
        <v>3682</v>
      </c>
      <c r="I4473" s="12" t="s">
        <v>96</v>
      </c>
      <c r="J4473" s="41">
        <f>+Tabla1[[#This Row],[FECHA ENTRADA]]</f>
        <v>45966</v>
      </c>
      <c r="K4473" s="22">
        <v>45968</v>
      </c>
      <c r="L4473" s="42">
        <f>_xlfn.DAYS(Tabla1[[#This Row],[FECHA FIN ]],Tabla1[[#This Row],[FECHA INICIO]])</f>
        <v>2</v>
      </c>
      <c r="M4473" s="12"/>
      <c r="N4473" s="20">
        <v>183.33333333333334</v>
      </c>
      <c r="O4473" s="28">
        <f>(Tabla1[[#This Row],[COSTO FIJO ]]/30)*Tabla1[[#This Row],[TOTAL DIAS PROYECTO]]+(Tabla1[[#This Row],[COSTO TEMPORAL]])</f>
        <v>12.222222222222223</v>
      </c>
      <c r="P4473" s="12"/>
      <c r="Q4473" s="12">
        <f>+(Tabla1[[#This Row],[COSTO COCHE]]/30)*Tabla1[[#This Row],[TOTAL DIAS PROYECTO]]</f>
        <v>0</v>
      </c>
      <c r="R4473" s="12">
        <f>+Tabla1[[#This Row],[COSTO TOTAL ALOJAMIENTO]]+Tabla1[[#This Row],[COSTO TOTAL COCHE]]</f>
        <v>12.222222222222223</v>
      </c>
      <c r="S4473" s="2"/>
      <c r="T4473" s="14" t="s">
        <v>35</v>
      </c>
      <c r="U4473" s="14">
        <v>45966</v>
      </c>
      <c r="V4473" s="43"/>
      <c r="W4473" s="71">
        <v>550</v>
      </c>
      <c r="X4473" s="2">
        <v>1</v>
      </c>
      <c r="Y4473" s="11"/>
      <c r="Z4473" s="2" t="s">
        <v>36</v>
      </c>
      <c r="AA4473" s="13" t="s">
        <v>10387</v>
      </c>
      <c r="AB4473" s="13" t="s">
        <v>10388</v>
      </c>
    </row>
    <row r="4474" spans="1:28" ht="15" customHeight="1">
      <c r="A4474" s="2" t="s">
        <v>10111</v>
      </c>
      <c r="B4474" s="2" t="s">
        <v>978</v>
      </c>
      <c r="C4474" s="31" t="s">
        <v>6450</v>
      </c>
      <c r="D4474" s="2" t="s">
        <v>99</v>
      </c>
      <c r="E4474" s="2" t="s">
        <v>31</v>
      </c>
      <c r="F4474" s="11" t="s">
        <v>6074</v>
      </c>
      <c r="G4474" s="49" t="s">
        <v>5083</v>
      </c>
      <c r="H4474" s="2" t="s">
        <v>6257</v>
      </c>
      <c r="I4474" s="12" t="s">
        <v>4902</v>
      </c>
      <c r="J4474" s="41">
        <f>+Tabla1[[#This Row],[FECHA ENTRADA]]</f>
        <v>45990</v>
      </c>
      <c r="K4474" s="41">
        <v>46022</v>
      </c>
      <c r="L4474" s="42">
        <f>_xlfn.DAYS(Tabla1[[#This Row],[FECHA FIN ]],Tabla1[[#This Row],[FECHA INICIO]])</f>
        <v>32</v>
      </c>
      <c r="M4474" s="12"/>
      <c r="N4474" s="24">
        <v>540</v>
      </c>
      <c r="O4474" s="28">
        <f>(Tabla1[[#This Row],[COSTO FIJO ]]/30)*Tabla1[[#This Row],[TOTAL DIAS PROYECTO]]+(Tabla1[[#This Row],[COSTO TEMPORAL]])</f>
        <v>576</v>
      </c>
      <c r="P4474" s="12"/>
      <c r="Q4474" s="12">
        <f>+(Tabla1[[#This Row],[COSTO COCHE]]/30)*Tabla1[[#This Row],[TOTAL DIAS PROYECTO]]</f>
        <v>0</v>
      </c>
      <c r="R4474" s="12">
        <f>+Tabla1[[#This Row],[COSTO TOTAL ALOJAMIENTO]]+Tabla1[[#This Row],[COSTO TOTAL COCHE]]</f>
        <v>576</v>
      </c>
      <c r="S4474" s="2"/>
      <c r="T4474" s="14" t="s">
        <v>44</v>
      </c>
      <c r="U4474" s="14">
        <v>45990</v>
      </c>
      <c r="V4474" s="25">
        <v>46021</v>
      </c>
      <c r="W4474" s="12"/>
      <c r="X4474" s="2">
        <v>25</v>
      </c>
      <c r="Y4474" s="11" t="s">
        <v>6513</v>
      </c>
      <c r="Z4474" s="2" t="s">
        <v>36</v>
      </c>
      <c r="AA4474" s="13" t="s">
        <v>10323</v>
      </c>
      <c r="AB4474" s="13" t="s">
        <v>10324</v>
      </c>
    </row>
    <row r="4475" spans="1:28" ht="15" customHeight="1">
      <c r="A4475" s="2" t="s">
        <v>10005</v>
      </c>
      <c r="B4475" s="2" t="s">
        <v>978</v>
      </c>
      <c r="C4475" s="11" t="s">
        <v>5914</v>
      </c>
      <c r="D4475" s="2" t="s">
        <v>30</v>
      </c>
      <c r="E4475" s="2" t="s">
        <v>855</v>
      </c>
      <c r="F4475" s="11" t="s">
        <v>5772</v>
      </c>
      <c r="G4475" s="21" t="s">
        <v>1474</v>
      </c>
      <c r="H4475" s="2" t="s">
        <v>5807</v>
      </c>
      <c r="I4475" s="12" t="s">
        <v>5808</v>
      </c>
      <c r="J4475" s="22">
        <f>+Tabla1[[#This Row],[FECHA ENTRADA]]</f>
        <v>46132</v>
      </c>
      <c r="K4475" s="22">
        <v>46156</v>
      </c>
      <c r="L4475" s="23">
        <f>_xlfn.DAYS(Tabla1[[#This Row],[FECHA FIN ]],Tabla1[[#This Row],[FECHA INICIO]])</f>
        <v>24</v>
      </c>
      <c r="M4475" s="12">
        <v>484</v>
      </c>
      <c r="N4475" s="20"/>
      <c r="O4475" s="24">
        <v>484</v>
      </c>
      <c r="P4475" s="12"/>
      <c r="Q4475" s="12">
        <f>+(Tabla1[[#This Row],[COSTO COCHE]]/30)*Tabla1[[#This Row],[TOTAL DIAS PROYECTO]]</f>
        <v>0</v>
      </c>
      <c r="R4475" s="12">
        <f>+Tabla1[[#This Row],[COSTO TOTAL ALOJAMIENTO]]+Tabla1[[#This Row],[COSTO TOTAL COCHE]]</f>
        <v>484</v>
      </c>
      <c r="S4475" s="2"/>
      <c r="T4475" s="14" t="s">
        <v>44</v>
      </c>
      <c r="U4475" s="14">
        <v>46132</v>
      </c>
      <c r="V4475" s="79">
        <v>46156</v>
      </c>
      <c r="W4475" s="12"/>
      <c r="X4475" s="2"/>
      <c r="Y4475" s="11" t="s">
        <v>6514</v>
      </c>
      <c r="Z4475" s="2" t="s">
        <v>36</v>
      </c>
      <c r="AA4475" s="13" t="s">
        <v>10401</v>
      </c>
      <c r="AB4475" s="13" t="s">
        <v>10402</v>
      </c>
    </row>
    <row r="4476" spans="1:28" ht="15" customHeight="1">
      <c r="A4476" s="2" t="s">
        <v>10122</v>
      </c>
      <c r="B4476" s="184" t="s">
        <v>711</v>
      </c>
      <c r="C4476" s="69" t="s">
        <v>6515</v>
      </c>
      <c r="D4476" s="2" t="s">
        <v>30</v>
      </c>
      <c r="E4476" s="2" t="s">
        <v>790</v>
      </c>
      <c r="F4476" s="11" t="s">
        <v>791</v>
      </c>
      <c r="G4476" s="118" t="s">
        <v>792</v>
      </c>
      <c r="H4476" s="2">
        <v>2023</v>
      </c>
      <c r="I4476" s="2" t="s">
        <v>794</v>
      </c>
      <c r="J4476" s="8">
        <v>45124</v>
      </c>
      <c r="K4476" s="8">
        <v>46023</v>
      </c>
      <c r="L4476" s="13">
        <f>_xlfn.DAYS(Tabla1[[#This Row],[FECHA FIN ]],Tabla1[[#This Row],[FECHA INICIO]])</f>
        <v>899</v>
      </c>
      <c r="M4476" s="12"/>
      <c r="N4476" s="12">
        <v>350</v>
      </c>
      <c r="O4476" s="12">
        <f>(Tabla1[[#This Row],[COSTO FIJO ]]/30)*Tabla1[[#This Row],[TOTAL DIAS PROYECTO]]+(Tabla1[[#This Row],[COSTO TEMPORAL]])</f>
        <v>10488.333333333332</v>
      </c>
      <c r="P4476" s="12"/>
      <c r="Q4476" s="12">
        <f>+(Tabla1[[#This Row],[COSTO COCHE]]/30)*Tabla1[[#This Row],[TOTAL DIAS PROYECTO]]</f>
        <v>0</v>
      </c>
      <c r="R4476" s="12">
        <f>+Tabla1[[#This Row],[COSTO TOTAL ALOJAMIENTO]]+Tabla1[[#This Row],[COSTO TOTAL COCHE]]</f>
        <v>10488.333333333332</v>
      </c>
      <c r="S4476" s="2"/>
      <c r="T4476" s="2" t="s">
        <v>35</v>
      </c>
      <c r="U4476" s="14"/>
      <c r="V4476" s="14"/>
      <c r="W4476" s="15"/>
      <c r="X4476" s="16">
        <v>1</v>
      </c>
      <c r="Y4476" s="11" t="s">
        <v>6516</v>
      </c>
      <c r="Z4476" s="2" t="s">
        <v>36</v>
      </c>
      <c r="AA4476" s="13">
        <v>-574377</v>
      </c>
      <c r="AB4476" s="13">
        <v>4150368</v>
      </c>
    </row>
    <row r="4477" spans="1:28" ht="15" customHeight="1">
      <c r="A4477" s="2" t="s">
        <v>10080</v>
      </c>
      <c r="B4477" s="2" t="s">
        <v>606</v>
      </c>
      <c r="C4477" s="69" t="s">
        <v>6248</v>
      </c>
      <c r="D4477" s="2" t="s">
        <v>30</v>
      </c>
      <c r="E4477" s="2" t="s">
        <v>259</v>
      </c>
      <c r="F4477" s="11" t="s">
        <v>5261</v>
      </c>
      <c r="G4477" s="49" t="s">
        <v>4207</v>
      </c>
      <c r="H4477" s="2" t="s">
        <v>6249</v>
      </c>
      <c r="I4477" s="12" t="s">
        <v>57</v>
      </c>
      <c r="J4477" s="22">
        <f>+Tabla1[[#This Row],[FECHA ENTRADA]]</f>
        <v>45990</v>
      </c>
      <c r="K4477" s="22">
        <v>46023</v>
      </c>
      <c r="L4477" s="23">
        <f>_xlfn.DAYS(Tabla1[[#This Row],[FECHA FIN ]],Tabla1[[#This Row],[FECHA INICIO]])</f>
        <v>33</v>
      </c>
      <c r="M4477" s="12"/>
      <c r="N4477" s="28">
        <v>271.42857142857144</v>
      </c>
      <c r="O4477" s="24">
        <f>(Tabla1[[#This Row],[COSTO FIJO ]]/30)*Tabla1[[#This Row],[TOTAL DIAS PROYECTO]]+(Tabla1[[#This Row],[COSTO TEMPORAL]])</f>
        <v>298.57142857142856</v>
      </c>
      <c r="P4477" s="12"/>
      <c r="Q4477" s="12">
        <f>+(Tabla1[[#This Row],[COSTO COCHE]]/30)*Tabla1[[#This Row],[TOTAL DIAS PROYECTO]]</f>
        <v>0</v>
      </c>
      <c r="R4477" s="12">
        <f>+Tabla1[[#This Row],[COSTO TOTAL ALOJAMIENTO]]+Tabla1[[#This Row],[COSTO TOTAL COCHE]]</f>
        <v>298.57142857142856</v>
      </c>
      <c r="S4477" s="2"/>
      <c r="T4477" s="14" t="s">
        <v>35</v>
      </c>
      <c r="U4477" s="14">
        <v>45990</v>
      </c>
      <c r="V4477" s="79"/>
      <c r="W4477" s="71">
        <v>1900</v>
      </c>
      <c r="X4477" s="2">
        <v>1</v>
      </c>
      <c r="Y4477" s="11" t="s">
        <v>6517</v>
      </c>
      <c r="Z4477" s="2" t="s">
        <v>36</v>
      </c>
      <c r="AA4477" s="13">
        <v>-0.87734000000000001</v>
      </c>
      <c r="AB4477" s="13" t="s">
        <v>10359</v>
      </c>
    </row>
    <row r="4478" spans="1:28" ht="15" customHeight="1">
      <c r="A4478" s="2" t="s">
        <v>10123</v>
      </c>
      <c r="B4478" s="2" t="s">
        <v>606</v>
      </c>
      <c r="C4478" s="31" t="s">
        <v>6518</v>
      </c>
      <c r="D4478" s="2" t="s">
        <v>30</v>
      </c>
      <c r="E4478" s="2" t="s">
        <v>31</v>
      </c>
      <c r="F4478" s="11" t="s">
        <v>758</v>
      </c>
      <c r="G4478" s="11" t="s">
        <v>759</v>
      </c>
      <c r="H4478" s="2" t="s">
        <v>6519</v>
      </c>
      <c r="I4478" s="12" t="s">
        <v>2391</v>
      </c>
      <c r="J4478" s="22">
        <f>+Tabla1[[#This Row],[FECHA ENTRADA]]</f>
        <v>46040</v>
      </c>
      <c r="K4478" s="22">
        <v>46162</v>
      </c>
      <c r="L4478" s="23">
        <f>_xlfn.DAYS(Tabla1[[#This Row],[FECHA FIN ]],Tabla1[[#This Row],[FECHA INICIO]])</f>
        <v>122</v>
      </c>
      <c r="M4478" s="12"/>
      <c r="N4478" s="20">
        <v>212.5</v>
      </c>
      <c r="O4478" s="24">
        <f>(Tabla1[[#This Row],[COSTO FIJO ]]/30)*Tabla1[[#This Row],[TOTAL DIAS PROYECTO]]+(Tabla1[[#This Row],[COSTO TEMPORAL]])</f>
        <v>864.16666666666663</v>
      </c>
      <c r="P4478" s="12"/>
      <c r="Q4478" s="12">
        <f>+(Tabla1[[#This Row],[COSTO COCHE]]/30)*Tabla1[[#This Row],[TOTAL DIAS PROYECTO]]</f>
        <v>0</v>
      </c>
      <c r="R4478" s="12">
        <f>+Tabla1[[#This Row],[COSTO TOTAL ALOJAMIENTO]]+Tabla1[[#This Row],[COSTO TOTAL COCHE]]</f>
        <v>864.16666666666663</v>
      </c>
      <c r="S4478" s="2"/>
      <c r="T4478" s="14" t="s">
        <v>35</v>
      </c>
      <c r="U4478" s="14">
        <v>46040</v>
      </c>
      <c r="V4478" s="79"/>
      <c r="W4478" s="12"/>
      <c r="X4478" s="2">
        <v>1</v>
      </c>
      <c r="Y4478" s="11" t="s">
        <v>4411</v>
      </c>
      <c r="Z4478" s="2" t="s">
        <v>36</v>
      </c>
      <c r="AA4478" s="13" t="s">
        <v>10323</v>
      </c>
      <c r="AB4478" s="13" t="s">
        <v>10324</v>
      </c>
    </row>
    <row r="4479" spans="1:28" ht="15" customHeight="1">
      <c r="A4479" s="2" t="s">
        <v>10043</v>
      </c>
      <c r="B4479" s="10" t="s">
        <v>978</v>
      </c>
      <c r="C4479" s="11" t="s">
        <v>6039</v>
      </c>
      <c r="D4479" s="2" t="s">
        <v>30</v>
      </c>
      <c r="E4479" s="2" t="s">
        <v>608</v>
      </c>
      <c r="F4479" s="11" t="s">
        <v>6520</v>
      </c>
      <c r="G4479" s="197" t="s">
        <v>6521</v>
      </c>
      <c r="H4479" s="2" t="s">
        <v>6522</v>
      </c>
      <c r="I4479" s="12" t="s">
        <v>4255</v>
      </c>
      <c r="J4479" s="22">
        <f>+Tabla1[[#This Row],[FECHA ENTRADA]]</f>
        <v>45970</v>
      </c>
      <c r="K4479" s="41">
        <v>46023</v>
      </c>
      <c r="L4479" s="23">
        <f>_xlfn.DAYS(Tabla1[[#This Row],[FECHA FIN ]],Tabla1[[#This Row],[FECHA INICIO]])</f>
        <v>53</v>
      </c>
      <c r="M4479" s="12"/>
      <c r="N4479" s="20">
        <v>280.5</v>
      </c>
      <c r="O4479" s="24">
        <f>(Tabla1[[#This Row],[COSTO FIJO ]]/30)*Tabla1[[#This Row],[TOTAL DIAS PROYECTO]]+(Tabla1[[#This Row],[COSTO TEMPORAL]])</f>
        <v>495.54999999999995</v>
      </c>
      <c r="P4479" s="12"/>
      <c r="Q4479" s="12">
        <f>+(Tabla1[[#This Row],[COSTO COCHE]]/30)*Tabla1[[#This Row],[TOTAL DIAS PROYECTO]]</f>
        <v>0</v>
      </c>
      <c r="R4479" s="12">
        <f>+Tabla1[[#This Row],[COSTO TOTAL ALOJAMIENTO]]+Tabla1[[#This Row],[COSTO TOTAL COCHE]]</f>
        <v>495.54999999999995</v>
      </c>
      <c r="S4479" s="2"/>
      <c r="T4479" s="14" t="s">
        <v>35</v>
      </c>
      <c r="U4479" s="14">
        <v>45970</v>
      </c>
      <c r="V4479" s="79"/>
      <c r="W4479" s="71"/>
      <c r="X4479" s="2">
        <v>1</v>
      </c>
      <c r="Y4479" s="11" t="s">
        <v>6523</v>
      </c>
      <c r="Z4479" s="2" t="s">
        <v>36</v>
      </c>
      <c r="AA4479" s="13" t="s">
        <v>10383</v>
      </c>
      <c r="AB4479" s="13" t="s">
        <v>10384</v>
      </c>
    </row>
    <row r="4480" spans="1:28" ht="15" customHeight="1">
      <c r="A4480" s="2" t="s">
        <v>9512</v>
      </c>
      <c r="B4480" s="2" t="s">
        <v>28</v>
      </c>
      <c r="C4480" s="31" t="s">
        <v>3482</v>
      </c>
      <c r="D4480" s="2" t="s">
        <v>749</v>
      </c>
      <c r="E4480" s="2" t="s">
        <v>288</v>
      </c>
      <c r="F4480" s="11" t="s">
        <v>4873</v>
      </c>
      <c r="G4480" s="21" t="s">
        <v>4752</v>
      </c>
      <c r="H4480" s="2" t="s">
        <v>6524</v>
      </c>
      <c r="I4480" s="12" t="s">
        <v>753</v>
      </c>
      <c r="J4480" s="41">
        <f>+Tabla1[[#This Row],[FECHA ENTRADA]]</f>
        <v>45958</v>
      </c>
      <c r="K4480" s="22">
        <v>46003</v>
      </c>
      <c r="L4480" s="42">
        <f>_xlfn.DAYS(Tabla1[[#This Row],[FECHA FIN ]],Tabla1[[#This Row],[FECHA INICIO]])</f>
        <v>45</v>
      </c>
      <c r="M4480" s="12">
        <v>500</v>
      </c>
      <c r="N4480" s="28"/>
      <c r="O4480" s="28">
        <f>(Tabla1[[#This Row],[COSTO FIJO ]]/30)*Tabla1[[#This Row],[TOTAL DIAS PROYECTO]]+(Tabla1[[#This Row],[COSTO TEMPORAL]])</f>
        <v>500</v>
      </c>
      <c r="P4480" s="12"/>
      <c r="Q4480" s="12">
        <f>+(Tabla1[[#This Row],[COSTO COCHE]]/30)*Tabla1[[#This Row],[TOTAL DIAS PROYECTO]]</f>
        <v>0</v>
      </c>
      <c r="R4480" s="12">
        <f>+Tabla1[[#This Row],[COSTO TOTAL ALOJAMIENTO]]+Tabla1[[#This Row],[COSTO TOTAL COCHE]]</f>
        <v>500</v>
      </c>
      <c r="S4480" s="2"/>
      <c r="T4480" s="14" t="s">
        <v>44</v>
      </c>
      <c r="U4480" s="14">
        <v>45958</v>
      </c>
      <c r="V4480" s="25">
        <v>46023</v>
      </c>
      <c r="W4480" s="71"/>
      <c r="X4480" s="2"/>
      <c r="Y4480" s="11" t="s">
        <v>6525</v>
      </c>
      <c r="Z4480" s="2" t="s">
        <v>36</v>
      </c>
      <c r="AA4480" s="13" t="s">
        <v>10362</v>
      </c>
      <c r="AB4480" s="13" t="s">
        <v>10363</v>
      </c>
    </row>
    <row r="4481" spans="1:28" ht="15" customHeight="1">
      <c r="A4481" s="2" t="s">
        <v>10124</v>
      </c>
      <c r="B4481" s="2" t="s">
        <v>28</v>
      </c>
      <c r="C4481" s="239" t="s">
        <v>6526</v>
      </c>
      <c r="D4481" s="2" t="s">
        <v>749</v>
      </c>
      <c r="E4481" s="2" t="s">
        <v>288</v>
      </c>
      <c r="F4481" s="11" t="s">
        <v>4751</v>
      </c>
      <c r="G4481" s="21" t="s">
        <v>4752</v>
      </c>
      <c r="H4481" s="2" t="s">
        <v>6527</v>
      </c>
      <c r="I4481" s="12" t="s">
        <v>753</v>
      </c>
      <c r="J4481" s="41">
        <f>+Tabla1[[#This Row],[FECHA ENTRADA]]</f>
        <v>45970</v>
      </c>
      <c r="K4481" s="8">
        <v>45982</v>
      </c>
      <c r="L4481" s="42">
        <f>_xlfn.DAYS(Tabla1[[#This Row],[FECHA FIN ]],Tabla1[[#This Row],[FECHA INICIO]])</f>
        <v>12</v>
      </c>
      <c r="M4481" s="12">
        <v>500</v>
      </c>
      <c r="N4481" s="24"/>
      <c r="O4481" s="28">
        <f>(Tabla1[[#This Row],[COSTO FIJO ]]/30)*Tabla1[[#This Row],[TOTAL DIAS PROYECTO]]+(Tabla1[[#This Row],[COSTO TEMPORAL]])</f>
        <v>500</v>
      </c>
      <c r="P4481" s="12"/>
      <c r="Q4481" s="12">
        <f>+(Tabla1[[#This Row],[COSTO COCHE]]/30)*Tabla1[[#This Row],[TOTAL DIAS PROYECTO]]</f>
        <v>0</v>
      </c>
      <c r="R4481" s="12">
        <f>+Tabla1[[#This Row],[COSTO TOTAL ALOJAMIENTO]]+Tabla1[[#This Row],[COSTO TOTAL COCHE]]</f>
        <v>500</v>
      </c>
      <c r="S4481" s="2"/>
      <c r="T4481" s="14" t="s">
        <v>44</v>
      </c>
      <c r="U4481" s="14">
        <v>45970</v>
      </c>
      <c r="V4481" s="25">
        <v>45992</v>
      </c>
      <c r="W4481" s="71"/>
      <c r="X4481" s="2">
        <v>1</v>
      </c>
      <c r="Y4481" s="11" t="s">
        <v>6528</v>
      </c>
      <c r="Z4481" s="2" t="s">
        <v>36</v>
      </c>
      <c r="AA4481" s="13" t="s">
        <v>10362</v>
      </c>
      <c r="AB4481" s="13" t="s">
        <v>10363</v>
      </c>
    </row>
    <row r="4482" spans="1:28" ht="15" customHeight="1">
      <c r="A4482" s="2" t="s">
        <v>10125</v>
      </c>
      <c r="B4482" s="2" t="s">
        <v>28</v>
      </c>
      <c r="C4482" s="274" t="s">
        <v>6529</v>
      </c>
      <c r="D4482" s="2" t="s">
        <v>749</v>
      </c>
      <c r="E4482" s="2" t="s">
        <v>288</v>
      </c>
      <c r="F4482" s="11" t="s">
        <v>4873</v>
      </c>
      <c r="G4482" s="21" t="s">
        <v>4752</v>
      </c>
      <c r="H4482" s="2" t="s">
        <v>6527</v>
      </c>
      <c r="I4482" s="12" t="s">
        <v>753</v>
      </c>
      <c r="J4482" s="41">
        <f>+Tabla1[[#This Row],[FECHA ENTRADA]]</f>
        <v>45970</v>
      </c>
      <c r="K4482" s="22">
        <v>46022</v>
      </c>
      <c r="L4482" s="42">
        <f>_xlfn.DAYS(Tabla1[[#This Row],[FECHA FIN ]],Tabla1[[#This Row],[FECHA INICIO]])</f>
        <v>52</v>
      </c>
      <c r="M4482" s="12">
        <v>500</v>
      </c>
      <c r="N4482" s="28"/>
      <c r="O4482" s="28">
        <f>(Tabla1[[#This Row],[COSTO FIJO ]]/30)*Tabla1[[#This Row],[TOTAL DIAS PROYECTO]]+(Tabla1[[#This Row],[COSTO TEMPORAL]])</f>
        <v>500</v>
      </c>
      <c r="P4482" s="12"/>
      <c r="Q4482" s="12">
        <f>+(Tabla1[[#This Row],[COSTO COCHE]]/30)*Tabla1[[#This Row],[TOTAL DIAS PROYECTO]]</f>
        <v>0</v>
      </c>
      <c r="R4482" s="12">
        <f>+Tabla1[[#This Row],[COSTO TOTAL ALOJAMIENTO]]+Tabla1[[#This Row],[COSTO TOTAL COCHE]]</f>
        <v>500</v>
      </c>
      <c r="S4482" s="2"/>
      <c r="T4482" s="14" t="s">
        <v>44</v>
      </c>
      <c r="U4482" s="14">
        <v>45970</v>
      </c>
      <c r="V4482" s="25">
        <v>46023</v>
      </c>
      <c r="W4482" s="71"/>
      <c r="X4482" s="2"/>
      <c r="Y4482" s="11" t="s">
        <v>6530</v>
      </c>
      <c r="Z4482" s="2" t="s">
        <v>36</v>
      </c>
      <c r="AA4482" s="13" t="s">
        <v>10362</v>
      </c>
      <c r="AB4482" s="13" t="s">
        <v>10363</v>
      </c>
    </row>
    <row r="4483" spans="1:28" ht="15" customHeight="1">
      <c r="A4483" s="2" t="s">
        <v>9274</v>
      </c>
      <c r="B4483" s="157" t="s">
        <v>711</v>
      </c>
      <c r="C4483" s="104" t="s">
        <v>2676</v>
      </c>
      <c r="D4483" s="2" t="s">
        <v>99</v>
      </c>
      <c r="E4483" s="2" t="s">
        <v>31</v>
      </c>
      <c r="F4483" s="11" t="s">
        <v>758</v>
      </c>
      <c r="G4483" s="11" t="s">
        <v>759</v>
      </c>
      <c r="H4483" s="2" t="s">
        <v>6531</v>
      </c>
      <c r="I4483" s="2" t="s">
        <v>5085</v>
      </c>
      <c r="J4483" s="41">
        <f>+Tabla1[[#This Row],[FECHA ENTRADA]]</f>
        <v>45895</v>
      </c>
      <c r="K4483" s="22">
        <v>46196</v>
      </c>
      <c r="L4483" s="42">
        <f>_xlfn.DAYS(Tabla1[[#This Row],[FECHA FIN ]],Tabla1[[#This Row],[FECHA INICIO]])</f>
        <v>301</v>
      </c>
      <c r="M4483" s="12"/>
      <c r="N4483" s="20">
        <v>425</v>
      </c>
      <c r="O4483" s="28">
        <f>(Tabla1[[#This Row],[COSTO FIJO ]]/30)*Tabla1[[#This Row],[TOTAL DIAS PROYECTO]]+(Tabla1[[#This Row],[COSTO TEMPORAL]])</f>
        <v>4264.1666666666661</v>
      </c>
      <c r="P4483" s="12"/>
      <c r="Q4483" s="12">
        <f>+(Tabla1[[#This Row],[COSTO COCHE]]/30)*Tabla1[[#This Row],[TOTAL DIAS PROYECTO]]</f>
        <v>0</v>
      </c>
      <c r="R4483" s="12">
        <f>+Tabla1[[#This Row],[COSTO TOTAL ALOJAMIENTO]]+Tabla1[[#This Row],[COSTO TOTAL COCHE]]</f>
        <v>4264.1666666666661</v>
      </c>
      <c r="S4483" s="2"/>
      <c r="T4483" s="14" t="s">
        <v>35</v>
      </c>
      <c r="U4483" s="14">
        <v>45895</v>
      </c>
      <c r="V4483" s="43"/>
      <c r="W4483" s="12"/>
      <c r="X4483" s="2">
        <v>1</v>
      </c>
      <c r="Y4483" s="11" t="s">
        <v>6532</v>
      </c>
      <c r="Z4483" s="2" t="s">
        <v>36</v>
      </c>
      <c r="AA4483" s="13" t="s">
        <v>10323</v>
      </c>
      <c r="AB4483" s="13" t="s">
        <v>10324</v>
      </c>
    </row>
    <row r="4484" spans="1:28" ht="15" customHeight="1">
      <c r="A4484" s="2" t="s">
        <v>10126</v>
      </c>
      <c r="B4484" s="157" t="s">
        <v>28</v>
      </c>
      <c r="C4484" s="31" t="s">
        <v>6533</v>
      </c>
      <c r="D4484" s="2" t="s">
        <v>30</v>
      </c>
      <c r="E4484" s="2" t="s">
        <v>31</v>
      </c>
      <c r="F4484" s="11"/>
      <c r="G4484" s="21"/>
      <c r="H4484" s="2" t="s">
        <v>4616</v>
      </c>
      <c r="I4484" s="158" t="s">
        <v>385</v>
      </c>
      <c r="J4484" s="22">
        <f>+Tabla1[[#This Row],[FECHA ENTRADA]]</f>
        <v>45945</v>
      </c>
      <c r="K4484" s="22">
        <v>46026</v>
      </c>
      <c r="L4484" s="23">
        <f>_xlfn.DAYS(Tabla1[[#This Row],[FECHA FIN ]],Tabla1[[#This Row],[FECHA INICIO]])</f>
        <v>81</v>
      </c>
      <c r="M4484" s="12"/>
      <c r="N4484" s="20">
        <v>300</v>
      </c>
      <c r="O4484" s="24">
        <f>(Tabla1[[#This Row],[COSTO FIJO ]]/30)*Tabla1[[#This Row],[TOTAL DIAS PROYECTO]]+(Tabla1[[#This Row],[COSTO TEMPORAL]])</f>
        <v>810</v>
      </c>
      <c r="P4484" s="12"/>
      <c r="Q4484" s="12">
        <f>+(Tabla1[[#This Row],[COSTO COCHE]]/30)*Tabla1[[#This Row],[TOTAL DIAS PROYECTO]]</f>
        <v>0</v>
      </c>
      <c r="R4484" s="12">
        <f>+Tabla1[[#This Row],[COSTO TOTAL ALOJAMIENTO]]+Tabla1[[#This Row],[COSTO TOTAL COCHE]]</f>
        <v>810</v>
      </c>
      <c r="S4484" s="2"/>
      <c r="T4484" s="14" t="s">
        <v>58</v>
      </c>
      <c r="U4484" s="14">
        <v>45945</v>
      </c>
      <c r="V4484" s="79"/>
      <c r="W4484" s="71"/>
      <c r="X4484" s="2"/>
      <c r="Y4484" s="202" t="s">
        <v>6534</v>
      </c>
      <c r="Z4484" s="2" t="s">
        <v>36</v>
      </c>
      <c r="AA4484" s="13" t="s">
        <v>10323</v>
      </c>
      <c r="AB4484" s="13" t="s">
        <v>10324</v>
      </c>
    </row>
    <row r="4485" spans="1:28" ht="15" customHeight="1">
      <c r="A4485" s="2" t="s">
        <v>9409</v>
      </c>
      <c r="B4485" s="157" t="s">
        <v>28</v>
      </c>
      <c r="C4485" s="99" t="s">
        <v>3083</v>
      </c>
      <c r="D4485" s="2" t="s">
        <v>30</v>
      </c>
      <c r="E4485" s="2" t="s">
        <v>31</v>
      </c>
      <c r="F4485" s="11" t="s">
        <v>344</v>
      </c>
      <c r="G4485" s="11" t="s">
        <v>345</v>
      </c>
      <c r="H4485" s="2" t="s">
        <v>4001</v>
      </c>
      <c r="I4485" s="12" t="s">
        <v>181</v>
      </c>
      <c r="J4485" s="41">
        <v>45558</v>
      </c>
      <c r="K4485" s="8">
        <v>46027</v>
      </c>
      <c r="L4485" s="42">
        <f>_xlfn.DAYS(Tabla1[[#This Row],[FECHA FIN ]],Tabla1[[#This Row],[FECHA INICIO]])</f>
        <v>469</v>
      </c>
      <c r="M4485" s="12"/>
      <c r="N4485" s="28">
        <f>1677.13/5</f>
        <v>335.42600000000004</v>
      </c>
      <c r="O4485" s="28">
        <f>(Tabla1[[#This Row],[COSTO FIJO ]]/30)*Tabla1[[#This Row],[TOTAL DIAS PROYECTO]]+(Tabla1[[#This Row],[COSTO TEMPORAL]])</f>
        <v>5243.8264666666673</v>
      </c>
      <c r="P4485" s="12"/>
      <c r="Q4485" s="12">
        <f>+(Tabla1[[#This Row],[COSTO COCHE]]/30)*Tabla1[[#This Row],[TOTAL DIAS PROYECTO]]</f>
        <v>0</v>
      </c>
      <c r="R4485" s="12">
        <f>+Tabla1[[#This Row],[COSTO TOTAL ALOJAMIENTO]]+Tabla1[[#This Row],[COSTO TOTAL COCHE]]</f>
        <v>5243.8264666666673</v>
      </c>
      <c r="S4485" s="2"/>
      <c r="T4485" s="2" t="s">
        <v>35</v>
      </c>
      <c r="U4485" s="14">
        <v>45558</v>
      </c>
      <c r="V4485" s="75"/>
      <c r="W4485" s="26"/>
      <c r="X4485" s="2"/>
      <c r="Y4485" s="11" t="s">
        <v>6535</v>
      </c>
      <c r="Z4485" s="2" t="s">
        <v>36</v>
      </c>
      <c r="AA4485" s="13" t="s">
        <v>10323</v>
      </c>
      <c r="AB4485" s="13" t="s">
        <v>10324</v>
      </c>
    </row>
    <row r="4486" spans="1:28" ht="15" customHeight="1">
      <c r="A4486" s="2" t="s">
        <v>9200</v>
      </c>
      <c r="B4486" s="2" t="s">
        <v>28</v>
      </c>
      <c r="C4486" s="239" t="s">
        <v>2415</v>
      </c>
      <c r="D4486" s="2" t="s">
        <v>99</v>
      </c>
      <c r="E4486" s="2" t="s">
        <v>253</v>
      </c>
      <c r="F4486" s="11" t="s">
        <v>4021</v>
      </c>
      <c r="G4486" s="70" t="s">
        <v>4072</v>
      </c>
      <c r="H4486" s="2" t="s">
        <v>1820</v>
      </c>
      <c r="I4486" s="12" t="s">
        <v>256</v>
      </c>
      <c r="J4486" s="41">
        <f>+Tabla1[[#This Row],[FECHA ENTRADA]]</f>
        <v>45861</v>
      </c>
      <c r="K4486" s="41">
        <v>45959</v>
      </c>
      <c r="L4486" s="42">
        <f>_xlfn.DAYS(Tabla1[[#This Row],[FECHA FIN ]],Tabla1[[#This Row],[FECHA INICIO]])</f>
        <v>98</v>
      </c>
      <c r="M4486" s="12"/>
      <c r="N4486" s="28">
        <v>300</v>
      </c>
      <c r="O4486" s="28">
        <f>(Tabla1[[#This Row],[COSTO FIJO ]]/30)*Tabla1[[#This Row],[TOTAL DIAS PROYECTO]]+(Tabla1[[#This Row],[COSTO TEMPORAL]])</f>
        <v>980</v>
      </c>
      <c r="P4486" s="12"/>
      <c r="Q4486" s="12">
        <f>+(Tabla1[[#This Row],[COSTO COCHE]]/30)*Tabla1[[#This Row],[TOTAL DIAS PROYECTO]]</f>
        <v>0</v>
      </c>
      <c r="R4486" s="12">
        <f>+Tabla1[[#This Row],[COSTO TOTAL ALOJAMIENTO]]+Tabla1[[#This Row],[COSTO TOTAL COCHE]]</f>
        <v>980</v>
      </c>
      <c r="S4486" s="2"/>
      <c r="T4486" s="2" t="s">
        <v>35</v>
      </c>
      <c r="U4486" s="14">
        <v>45861</v>
      </c>
      <c r="V4486" s="43"/>
      <c r="W4486" s="12"/>
      <c r="X4486" s="2">
        <v>10</v>
      </c>
      <c r="Y4486" s="11" t="s">
        <v>5823</v>
      </c>
      <c r="Z4486" s="2" t="s">
        <v>36</v>
      </c>
      <c r="AA4486" s="13" t="s">
        <v>10357</v>
      </c>
      <c r="AB4486" s="13" t="s">
        <v>10358</v>
      </c>
    </row>
    <row r="4487" spans="1:28" ht="15" customHeight="1">
      <c r="A4487" s="2" t="s">
        <v>10127</v>
      </c>
      <c r="B4487" s="2" t="s">
        <v>28</v>
      </c>
      <c r="C4487" s="11" t="s">
        <v>6536</v>
      </c>
      <c r="D4487" s="2" t="s">
        <v>30</v>
      </c>
      <c r="E4487" s="2" t="s">
        <v>92</v>
      </c>
      <c r="F4487" s="11" t="s">
        <v>93</v>
      </c>
      <c r="G4487" s="11" t="s">
        <v>94</v>
      </c>
      <c r="H4487" s="2" t="s">
        <v>3082</v>
      </c>
      <c r="I4487" s="12" t="s">
        <v>96</v>
      </c>
      <c r="J4487" s="8">
        <f>+Tabla1[[#This Row],[FECHA ENTRADA]]</f>
        <v>45354</v>
      </c>
      <c r="K4487" s="22">
        <v>45821</v>
      </c>
      <c r="L4487" s="13">
        <f>_xlfn.DAYS(Tabla1[[#This Row],[FECHA FIN ]],Tabla1[[#This Row],[FECHA INICIO]])</f>
        <v>467</v>
      </c>
      <c r="M4487" s="12"/>
      <c r="N4487" s="12"/>
      <c r="O4487" s="12">
        <f>(Tabla1[[#This Row],[COSTO FIJO ]]/30)*Tabla1[[#This Row],[TOTAL DIAS PROYECTO]]+(Tabla1[[#This Row],[COSTO TEMPORAL]])</f>
        <v>0</v>
      </c>
      <c r="P4487" s="12"/>
      <c r="Q4487" s="12">
        <f>+(Tabla1[[#This Row],[COSTO COCHE]]/30)*Tabla1[[#This Row],[TOTAL DIAS PROYECTO]]</f>
        <v>0</v>
      </c>
      <c r="R4487" s="12">
        <f>+Tabla1[[#This Row],[COSTO TOTAL ALOJAMIENTO]]+Tabla1[[#This Row],[COSTO TOTAL COCHE]]</f>
        <v>0</v>
      </c>
      <c r="S4487" s="2"/>
      <c r="T4487" s="2" t="s">
        <v>35</v>
      </c>
      <c r="U4487" s="14">
        <v>45354</v>
      </c>
      <c r="V4487" s="14">
        <v>45365</v>
      </c>
      <c r="W4487" s="15"/>
      <c r="X4487" s="16">
        <v>27</v>
      </c>
      <c r="Y4487" s="18" t="s">
        <v>5229</v>
      </c>
      <c r="Z4487" s="2" t="s">
        <v>36</v>
      </c>
      <c r="AA4487" s="13" t="s">
        <v>10336</v>
      </c>
      <c r="AB4487" s="13" t="s">
        <v>10337</v>
      </c>
    </row>
    <row r="4488" spans="1:28" ht="15" customHeight="1">
      <c r="A4488" s="117" t="s">
        <v>9795</v>
      </c>
      <c r="B4488" s="117" t="s">
        <v>978</v>
      </c>
      <c r="C4488" s="118" t="s">
        <v>4770</v>
      </c>
      <c r="D4488" s="117" t="s">
        <v>30</v>
      </c>
      <c r="E4488" s="117" t="s">
        <v>3335</v>
      </c>
      <c r="F4488" s="11" t="s">
        <v>6537</v>
      </c>
      <c r="G4488" s="128" t="s">
        <v>6538</v>
      </c>
      <c r="H4488" s="117" t="s">
        <v>4768</v>
      </c>
      <c r="I4488" s="119" t="s">
        <v>4714</v>
      </c>
      <c r="J4488" s="121">
        <f>+Tabla1[[#This Row],[FECHA ENTRADA]]</f>
        <v>46012</v>
      </c>
      <c r="K4488" s="121">
        <v>46029</v>
      </c>
      <c r="L4488" s="129">
        <f>_xlfn.DAYS(Tabla1[[#This Row],[FECHA FIN ]],Tabla1[[#This Row],[FECHA INICIO]])</f>
        <v>17</v>
      </c>
      <c r="M4488" s="119">
        <v>489.56</v>
      </c>
      <c r="N4488" s="130"/>
      <c r="O4488" s="131">
        <f>(Tabla1[[#This Row],[COSTO FIJO ]]/30)*Tabla1[[#This Row],[TOTAL DIAS PROYECTO]]+(Tabla1[[#This Row],[COSTO TEMPORAL]])</f>
        <v>489.56</v>
      </c>
      <c r="P4488" s="119"/>
      <c r="Q4488" s="119">
        <f>+(Tabla1[[#This Row],[COSTO COCHE]]/30)*Tabla1[[#This Row],[TOTAL DIAS PROYECTO]]</f>
        <v>0</v>
      </c>
      <c r="R4488" s="119">
        <f>+Tabla1[[#This Row],[COSTO TOTAL ALOJAMIENTO]]+Tabla1[[#This Row],[COSTO TOTAL COCHE]]</f>
        <v>489.56</v>
      </c>
      <c r="S4488" s="117" t="s">
        <v>84</v>
      </c>
      <c r="T4488" s="124" t="s">
        <v>44</v>
      </c>
      <c r="U4488" s="124">
        <v>46012</v>
      </c>
      <c r="V4488" s="132">
        <v>46029</v>
      </c>
      <c r="W4488" s="119"/>
      <c r="X4488" s="117"/>
      <c r="Y4488" s="118" t="s">
        <v>6539</v>
      </c>
      <c r="Z4488" s="117" t="s">
        <v>36</v>
      </c>
      <c r="AA4488" s="127" t="e">
        <v>#N/A</v>
      </c>
      <c r="AB4488" s="127" t="e">
        <v>#N/A</v>
      </c>
    </row>
    <row r="4489" spans="1:28" ht="15" customHeight="1">
      <c r="A4489" s="2" t="s">
        <v>10019</v>
      </c>
      <c r="B4489" s="2" t="s">
        <v>711</v>
      </c>
      <c r="C4489" s="31" t="s">
        <v>5979</v>
      </c>
      <c r="D4489" s="2" t="s">
        <v>30</v>
      </c>
      <c r="E4489" s="2" t="s">
        <v>2378</v>
      </c>
      <c r="F4489" s="11" t="s">
        <v>5900</v>
      </c>
      <c r="G4489" s="21" t="s">
        <v>5901</v>
      </c>
      <c r="H4489" s="2" t="s">
        <v>6540</v>
      </c>
      <c r="I4489" s="12" t="s">
        <v>1392</v>
      </c>
      <c r="J4489" s="22">
        <f>+Tabla1[[#This Row],[FECHA ENTRADA]]</f>
        <v>46009</v>
      </c>
      <c r="K4489" s="22">
        <v>46029</v>
      </c>
      <c r="L4489" s="23">
        <f>_xlfn.DAYS(Tabla1[[#This Row],[FECHA FIN ]],Tabla1[[#This Row],[FECHA INICIO]])</f>
        <v>20</v>
      </c>
      <c r="M4489" s="12">
        <v>570</v>
      </c>
      <c r="N4489" s="20"/>
      <c r="O4489" s="24">
        <f>(Tabla1[[#This Row],[COSTO FIJO ]]/30)*Tabla1[[#This Row],[TOTAL DIAS PROYECTO]]+(Tabla1[[#This Row],[COSTO TEMPORAL]])</f>
        <v>570</v>
      </c>
      <c r="P4489" s="12"/>
      <c r="Q4489" s="12">
        <f>+(Tabla1[[#This Row],[COSTO COCHE]]/30)*Tabla1[[#This Row],[TOTAL DIAS PROYECTO]]</f>
        <v>0</v>
      </c>
      <c r="R4489" s="12">
        <f>+Tabla1[[#This Row],[COSTO TOTAL ALOJAMIENTO]]+Tabla1[[#This Row],[COSTO TOTAL COCHE]]</f>
        <v>570</v>
      </c>
      <c r="S4489" s="2"/>
      <c r="T4489" s="14" t="s">
        <v>44</v>
      </c>
      <c r="U4489" s="14">
        <v>46009</v>
      </c>
      <c r="V4489" s="25">
        <v>46030</v>
      </c>
      <c r="W4489" s="12"/>
      <c r="X4489" s="2"/>
      <c r="Y4489" s="11" t="s">
        <v>6541</v>
      </c>
      <c r="Z4489" s="2" t="s">
        <v>36</v>
      </c>
      <c r="AA4489" s="13" t="e">
        <v>#N/A</v>
      </c>
      <c r="AB4489" s="13" t="e">
        <v>#N/A</v>
      </c>
    </row>
    <row r="4490" spans="1:28" ht="15" customHeight="1">
      <c r="A4490" s="2" t="s">
        <v>10128</v>
      </c>
      <c r="B4490" s="2" t="s">
        <v>28</v>
      </c>
      <c r="C4490" s="101" t="s">
        <v>6542</v>
      </c>
      <c r="D4490" s="2" t="s">
        <v>749</v>
      </c>
      <c r="E4490" s="2" t="s">
        <v>288</v>
      </c>
      <c r="F4490" s="11" t="s">
        <v>4751</v>
      </c>
      <c r="G4490" s="21" t="s">
        <v>4752</v>
      </c>
      <c r="H4490" s="2" t="s">
        <v>6527</v>
      </c>
      <c r="I4490" s="12" t="s">
        <v>753</v>
      </c>
      <c r="J4490" s="41">
        <f>+Tabla1[[#This Row],[FECHA ENTRADA]]</f>
        <v>45970</v>
      </c>
      <c r="K4490" s="8">
        <v>46022</v>
      </c>
      <c r="L4490" s="42">
        <f>_xlfn.DAYS(Tabla1[[#This Row],[FECHA FIN ]],Tabla1[[#This Row],[FECHA INICIO]])</f>
        <v>52</v>
      </c>
      <c r="M4490" s="12">
        <v>500</v>
      </c>
      <c r="N4490" s="28"/>
      <c r="O4490" s="28">
        <f>(Tabla1[[#This Row],[COSTO FIJO ]]/30)*Tabla1[[#This Row],[TOTAL DIAS PROYECTO]]+(Tabla1[[#This Row],[COSTO TEMPORAL]])</f>
        <v>500</v>
      </c>
      <c r="P4490" s="12"/>
      <c r="Q4490" s="12">
        <f>+(Tabla1[[#This Row],[COSTO COCHE]]/30)*Tabla1[[#This Row],[TOTAL DIAS PROYECTO]]</f>
        <v>0</v>
      </c>
      <c r="R4490" s="12">
        <f>+Tabla1[[#This Row],[COSTO TOTAL ALOJAMIENTO]]+Tabla1[[#This Row],[COSTO TOTAL COCHE]]</f>
        <v>500</v>
      </c>
      <c r="S4490" s="2"/>
      <c r="T4490" s="14" t="s">
        <v>44</v>
      </c>
      <c r="U4490" s="14">
        <v>45970</v>
      </c>
      <c r="V4490" s="25">
        <v>46023</v>
      </c>
      <c r="W4490" s="71"/>
      <c r="X4490" s="2"/>
      <c r="Y4490" s="11" t="s">
        <v>6543</v>
      </c>
      <c r="Z4490" s="2" t="s">
        <v>36</v>
      </c>
      <c r="AA4490" s="13" t="s">
        <v>10362</v>
      </c>
      <c r="AB4490" s="13" t="s">
        <v>10363</v>
      </c>
    </row>
    <row r="4491" spans="1:28" ht="15" customHeight="1">
      <c r="A4491" s="2" t="s">
        <v>9846</v>
      </c>
      <c r="B4491" s="2" t="s">
        <v>711</v>
      </c>
      <c r="C4491" s="31" t="s">
        <v>5026</v>
      </c>
      <c r="D4491" s="2" t="s">
        <v>749</v>
      </c>
      <c r="E4491" s="2" t="s">
        <v>6544</v>
      </c>
      <c r="F4491" s="11" t="s">
        <v>6545</v>
      </c>
      <c r="G4491" s="46"/>
      <c r="H4491" s="2" t="s">
        <v>6546</v>
      </c>
      <c r="I4491" s="158" t="s">
        <v>2862</v>
      </c>
      <c r="J4491" s="41">
        <f>+Tabla1[[#This Row],[FECHA ENTRADA]]</f>
        <v>45973</v>
      </c>
      <c r="K4491" s="22">
        <v>46029</v>
      </c>
      <c r="L4491" s="42">
        <f>_xlfn.DAYS(Tabla1[[#This Row],[FECHA FIN ]],Tabla1[[#This Row],[FECHA INICIO]])</f>
        <v>56</v>
      </c>
      <c r="M4491" s="12"/>
      <c r="N4491" s="28"/>
      <c r="O4491" s="28">
        <f>(Tabla1[[#This Row],[COSTO FIJO ]]/30)*Tabla1[[#This Row],[TOTAL DIAS PROYECTO]]+(Tabla1[[#This Row],[COSTO TEMPORAL]])</f>
        <v>0</v>
      </c>
      <c r="P4491" s="12"/>
      <c r="Q4491" s="12">
        <f>+(Tabla1[[#This Row],[COSTO COCHE]]/30)*Tabla1[[#This Row],[TOTAL DIAS PROYECTO]]</f>
        <v>0</v>
      </c>
      <c r="R4491" s="12">
        <f>+Tabla1[[#This Row],[COSTO TOTAL ALOJAMIENTO]]+Tabla1[[#This Row],[COSTO TOTAL COCHE]]</f>
        <v>0</v>
      </c>
      <c r="S4491" s="2"/>
      <c r="T4491" s="14" t="s">
        <v>35</v>
      </c>
      <c r="U4491" s="14">
        <v>45973</v>
      </c>
      <c r="V4491" s="43"/>
      <c r="W4491" s="71"/>
      <c r="X4491" s="2"/>
      <c r="Y4491" s="11" t="s">
        <v>6547</v>
      </c>
      <c r="Z4491" s="2" t="s">
        <v>36</v>
      </c>
      <c r="AA4491" s="13" t="e">
        <v>#N/A</v>
      </c>
      <c r="AB4491" s="13" t="e">
        <v>#N/A</v>
      </c>
    </row>
    <row r="4492" spans="1:28" ht="15" customHeight="1">
      <c r="A4492" s="2" t="s">
        <v>9672</v>
      </c>
      <c r="B4492" s="2" t="s">
        <v>711</v>
      </c>
      <c r="C4492" s="31" t="s">
        <v>4170</v>
      </c>
      <c r="D4492" s="2" t="s">
        <v>749</v>
      </c>
      <c r="E4492" s="2" t="s">
        <v>6544</v>
      </c>
      <c r="F4492" s="11" t="s">
        <v>6545</v>
      </c>
      <c r="G4492" s="46"/>
      <c r="H4492" s="2" t="s">
        <v>6546</v>
      </c>
      <c r="I4492" s="12" t="s">
        <v>2862</v>
      </c>
      <c r="J4492" s="41">
        <f>+Tabla1[[#This Row],[FECHA ENTRADA]]</f>
        <v>45973</v>
      </c>
      <c r="K4492" s="22">
        <v>46029</v>
      </c>
      <c r="L4492" s="42">
        <f>_xlfn.DAYS(Tabla1[[#This Row],[FECHA FIN ]],Tabla1[[#This Row],[FECHA INICIO]])</f>
        <v>56</v>
      </c>
      <c r="M4492" s="12"/>
      <c r="N4492" s="28"/>
      <c r="O4492" s="28">
        <f>(Tabla1[[#This Row],[COSTO FIJO ]]/30)*Tabla1[[#This Row],[TOTAL DIAS PROYECTO]]+(Tabla1[[#This Row],[COSTO TEMPORAL]])</f>
        <v>0</v>
      </c>
      <c r="P4492" s="12"/>
      <c r="Q4492" s="12">
        <f>+(Tabla1[[#This Row],[COSTO COCHE]]/30)*Tabla1[[#This Row],[TOTAL DIAS PROYECTO]]</f>
        <v>0</v>
      </c>
      <c r="R4492" s="12">
        <f>+Tabla1[[#This Row],[COSTO TOTAL ALOJAMIENTO]]+Tabla1[[#This Row],[COSTO TOTAL COCHE]]</f>
        <v>0</v>
      </c>
      <c r="S4492" s="2"/>
      <c r="T4492" s="14" t="s">
        <v>35</v>
      </c>
      <c r="U4492" s="14">
        <v>45973</v>
      </c>
      <c r="V4492" s="43"/>
      <c r="W4492" s="71"/>
      <c r="X4492" s="2"/>
      <c r="Y4492" s="11" t="s">
        <v>6547</v>
      </c>
      <c r="Z4492" s="2" t="s">
        <v>36</v>
      </c>
      <c r="AA4492" s="13" t="e">
        <v>#N/A</v>
      </c>
      <c r="AB4492" s="13" t="e">
        <v>#N/A</v>
      </c>
    </row>
    <row r="4493" spans="1:28" ht="15" customHeight="1">
      <c r="A4493" s="2" t="s">
        <v>9854</v>
      </c>
      <c r="B4493" s="2" t="s">
        <v>711</v>
      </c>
      <c r="C4493" s="31" t="s">
        <v>5056</v>
      </c>
      <c r="D4493" s="2" t="s">
        <v>749</v>
      </c>
      <c r="E4493" s="2" t="s">
        <v>6544</v>
      </c>
      <c r="F4493" s="11" t="s">
        <v>6545</v>
      </c>
      <c r="G4493" s="46"/>
      <c r="H4493" s="2" t="s">
        <v>6546</v>
      </c>
      <c r="I4493" s="12" t="s">
        <v>2862</v>
      </c>
      <c r="J4493" s="41">
        <f>+Tabla1[[#This Row],[FECHA ENTRADA]]</f>
        <v>45973</v>
      </c>
      <c r="K4493" s="22">
        <v>46029</v>
      </c>
      <c r="L4493" s="42">
        <f>_xlfn.DAYS(Tabla1[[#This Row],[FECHA FIN ]],Tabla1[[#This Row],[FECHA INICIO]])</f>
        <v>56</v>
      </c>
      <c r="M4493" s="12"/>
      <c r="N4493" s="28"/>
      <c r="O4493" s="28">
        <f>(Tabla1[[#This Row],[COSTO FIJO ]]/30)*Tabla1[[#This Row],[TOTAL DIAS PROYECTO]]+(Tabla1[[#This Row],[COSTO TEMPORAL]])</f>
        <v>0</v>
      </c>
      <c r="P4493" s="12"/>
      <c r="Q4493" s="12">
        <f>+(Tabla1[[#This Row],[COSTO COCHE]]/30)*Tabla1[[#This Row],[TOTAL DIAS PROYECTO]]</f>
        <v>0</v>
      </c>
      <c r="R4493" s="12">
        <f>+Tabla1[[#This Row],[COSTO TOTAL ALOJAMIENTO]]+Tabla1[[#This Row],[COSTO TOTAL COCHE]]</f>
        <v>0</v>
      </c>
      <c r="S4493" s="2"/>
      <c r="T4493" s="14" t="s">
        <v>35</v>
      </c>
      <c r="U4493" s="14">
        <v>45973</v>
      </c>
      <c r="V4493" s="43"/>
      <c r="W4493" s="71"/>
      <c r="X4493" s="2"/>
      <c r="Y4493" s="11" t="s">
        <v>6547</v>
      </c>
      <c r="Z4493" s="2" t="s">
        <v>36</v>
      </c>
      <c r="AA4493" s="13" t="e">
        <v>#N/A</v>
      </c>
      <c r="AB4493" s="13" t="e">
        <v>#N/A</v>
      </c>
    </row>
    <row r="4494" spans="1:28" ht="15.75" customHeight="1">
      <c r="A4494" s="2" t="s">
        <v>9114</v>
      </c>
      <c r="B4494" s="2" t="s">
        <v>978</v>
      </c>
      <c r="C4494" s="69" t="s">
        <v>2057</v>
      </c>
      <c r="D4494" s="2" t="s">
        <v>30</v>
      </c>
      <c r="E4494" s="2" t="s">
        <v>599</v>
      </c>
      <c r="F4494" s="11" t="s">
        <v>600</v>
      </c>
      <c r="G4494" s="11" t="s">
        <v>601</v>
      </c>
      <c r="H4494" s="2" t="s">
        <v>6548</v>
      </c>
      <c r="I4494" s="12" t="s">
        <v>5141</v>
      </c>
      <c r="J4494" s="22">
        <f>+Tabla1[[#This Row],[FECHA ENTRADA]]</f>
        <v>46029</v>
      </c>
      <c r="K4494" s="22">
        <v>46029</v>
      </c>
      <c r="L4494" s="23">
        <f>_xlfn.DAYS(Tabla1[[#This Row],[FECHA FIN ]],Tabla1[[#This Row],[FECHA INICIO]])</f>
        <v>0</v>
      </c>
      <c r="M4494" s="12"/>
      <c r="N4494" s="20"/>
      <c r="O4494" s="24">
        <f>(Tabla1[[#This Row],[COSTO FIJO ]]/30)*Tabla1[[#This Row],[TOTAL DIAS PROYECTO]]+(Tabla1[[#This Row],[COSTO TEMPORAL]])</f>
        <v>0</v>
      </c>
      <c r="P4494" s="12"/>
      <c r="Q4494" s="12">
        <f>+(Tabla1[[#This Row],[COSTO COCHE]]/30)*Tabla1[[#This Row],[TOTAL DIAS PROYECTO]]</f>
        <v>0</v>
      </c>
      <c r="R4494" s="12">
        <f>+Tabla1[[#This Row],[COSTO TOTAL ALOJAMIENTO]]+Tabla1[[#This Row],[COSTO TOTAL COCHE]]</f>
        <v>0</v>
      </c>
      <c r="S4494" s="2"/>
      <c r="T4494" s="14" t="s">
        <v>35</v>
      </c>
      <c r="U4494" s="14">
        <v>46029</v>
      </c>
      <c r="V4494" s="79"/>
      <c r="W4494" s="12"/>
      <c r="X4494" s="2"/>
      <c r="Y4494" s="11" t="s">
        <v>6549</v>
      </c>
      <c r="Z4494" s="2" t="s">
        <v>36</v>
      </c>
      <c r="AA4494" s="13" t="s">
        <v>10382</v>
      </c>
      <c r="AB4494" s="13">
        <v>4038884</v>
      </c>
    </row>
    <row r="4495" spans="1:28" ht="15" customHeight="1">
      <c r="A4495" s="2" t="s">
        <v>9128</v>
      </c>
      <c r="B4495" s="2" t="s">
        <v>978</v>
      </c>
      <c r="C4495" s="11" t="s">
        <v>2116</v>
      </c>
      <c r="D4495" s="2" t="s">
        <v>30</v>
      </c>
      <c r="E4495" s="2" t="s">
        <v>380</v>
      </c>
      <c r="F4495" s="11" t="s">
        <v>6430</v>
      </c>
      <c r="G4495" s="49" t="s">
        <v>6431</v>
      </c>
      <c r="H4495" s="2" t="s">
        <v>6296</v>
      </c>
      <c r="I4495" s="12" t="s">
        <v>4681</v>
      </c>
      <c r="J4495" s="22">
        <f>+Tabla1[[#This Row],[FECHA ENTRADA]]</f>
        <v>45915</v>
      </c>
      <c r="K4495" s="22">
        <v>45923</v>
      </c>
      <c r="L4495" s="23">
        <f>_xlfn.DAYS(Tabla1[[#This Row],[FECHA FIN ]],Tabla1[[#This Row],[FECHA INICIO]])</f>
        <v>8</v>
      </c>
      <c r="M4495" s="12"/>
      <c r="N4495" s="12">
        <v>188</v>
      </c>
      <c r="O4495" s="24">
        <f>(Tabla1[[#This Row],[COSTO FIJO ]]/30)*Tabla1[[#This Row],[TOTAL DIAS PROYECTO]]+(Tabla1[[#This Row],[COSTO TEMPORAL]])</f>
        <v>50.133333333333333</v>
      </c>
      <c r="P4495" s="12"/>
      <c r="Q4495" s="12">
        <f>+(Tabla1[[#This Row],[COSTO COCHE]]/30)*Tabla1[[#This Row],[TOTAL DIAS PROYECTO]]</f>
        <v>0</v>
      </c>
      <c r="R4495" s="12">
        <f>+Tabla1[[#This Row],[COSTO TOTAL ALOJAMIENTO]]+Tabla1[[#This Row],[COSTO TOTAL COCHE]]</f>
        <v>50.133333333333333</v>
      </c>
      <c r="S4495" s="2" t="s">
        <v>403</v>
      </c>
      <c r="T4495" s="14" t="s">
        <v>44</v>
      </c>
      <c r="U4495" s="14">
        <v>45915</v>
      </c>
      <c r="V4495" s="25">
        <v>45923</v>
      </c>
      <c r="W4495" s="71"/>
      <c r="X4495" s="2"/>
      <c r="Y4495" s="11" t="s">
        <v>1361</v>
      </c>
      <c r="Z4495" s="2" t="s">
        <v>36</v>
      </c>
      <c r="AA4495" s="13" t="s">
        <v>10370</v>
      </c>
      <c r="AB4495" s="13" t="s">
        <v>10371</v>
      </c>
    </row>
    <row r="4496" spans="1:28" ht="15" customHeight="1">
      <c r="A4496" s="2" t="s">
        <v>9693</v>
      </c>
      <c r="B4496" s="2" t="s">
        <v>711</v>
      </c>
      <c r="C4496" s="97" t="s">
        <v>4272</v>
      </c>
      <c r="D4496" s="2" t="s">
        <v>30</v>
      </c>
      <c r="E4496" s="2" t="s">
        <v>31</v>
      </c>
      <c r="F4496" s="11" t="s">
        <v>32</v>
      </c>
      <c r="G4496" s="11" t="s">
        <v>33</v>
      </c>
      <c r="H4496" s="157" t="s">
        <v>6550</v>
      </c>
      <c r="I4496" s="158" t="s">
        <v>5085</v>
      </c>
      <c r="J4496" s="22">
        <f>+Tabla1[[#This Row],[FECHA ENTRADA]]</f>
        <v>45942</v>
      </c>
      <c r="K4496" s="22">
        <v>46031</v>
      </c>
      <c r="L4496" s="23">
        <f>_xlfn.DAYS(Tabla1[[#This Row],[FECHA FIN ]],Tabla1[[#This Row],[FECHA INICIO]])</f>
        <v>89</v>
      </c>
      <c r="M4496" s="12"/>
      <c r="N4496" s="12">
        <f>875.5/5</f>
        <v>175.1</v>
      </c>
      <c r="O4496" s="24">
        <f>(Tabla1[[#This Row],[COSTO FIJO ]]/30)*Tabla1[[#This Row],[TOTAL DIAS PROYECTO]]+(Tabla1[[#This Row],[COSTO TEMPORAL]])</f>
        <v>519.46333333333337</v>
      </c>
      <c r="P4496" s="12"/>
      <c r="Q4496" s="12">
        <f>+(Tabla1[[#This Row],[COSTO COCHE]]/30)*Tabla1[[#This Row],[TOTAL DIAS PROYECTO]]</f>
        <v>0</v>
      </c>
      <c r="R4496" s="12">
        <f>+Tabla1[[#This Row],[COSTO TOTAL ALOJAMIENTO]]+Tabla1[[#This Row],[COSTO TOTAL COCHE]]</f>
        <v>519.46333333333337</v>
      </c>
      <c r="S4496" s="2"/>
      <c r="T4496" s="14" t="s">
        <v>35</v>
      </c>
      <c r="U4496" s="14">
        <v>45942</v>
      </c>
      <c r="V4496" s="25"/>
      <c r="W4496" s="71"/>
      <c r="X4496" s="2">
        <v>1</v>
      </c>
      <c r="Y4496" s="11" t="s">
        <v>6551</v>
      </c>
      <c r="Z4496" s="2" t="s">
        <v>36</v>
      </c>
      <c r="AA4496" s="13" t="s">
        <v>10323</v>
      </c>
      <c r="AB4496" s="13" t="s">
        <v>10324</v>
      </c>
    </row>
    <row r="4497" spans="1:28" ht="15" customHeight="1">
      <c r="A4497" s="2" t="s">
        <v>10033</v>
      </c>
      <c r="B4497" s="2" t="s">
        <v>606</v>
      </c>
      <c r="C4497" s="31" t="s">
        <v>6006</v>
      </c>
      <c r="D4497" s="2" t="s">
        <v>30</v>
      </c>
      <c r="E4497" s="2" t="s">
        <v>259</v>
      </c>
      <c r="F4497" s="11" t="s">
        <v>5261</v>
      </c>
      <c r="G4497" s="197" t="s">
        <v>4207</v>
      </c>
      <c r="H4497" s="2" t="s">
        <v>6463</v>
      </c>
      <c r="I4497" s="12" t="s">
        <v>57</v>
      </c>
      <c r="J4497" s="22">
        <f>+Tabla1[[#This Row],[FECHA ENTRADA]]</f>
        <v>46017</v>
      </c>
      <c r="K4497" s="22">
        <v>46031</v>
      </c>
      <c r="L4497" s="23">
        <f>_xlfn.DAYS(Tabla1[[#This Row],[FECHA FIN ]],Tabla1[[#This Row],[FECHA INICIO]])</f>
        <v>14</v>
      </c>
      <c r="M4497" s="12"/>
      <c r="N4497" s="20"/>
      <c r="O4497" s="24">
        <f>(Tabla1[[#This Row],[COSTO FIJO ]]/30)*Tabla1[[#This Row],[TOTAL DIAS PROYECTO]]+(Tabla1[[#This Row],[COSTO TEMPORAL]])</f>
        <v>0</v>
      </c>
      <c r="P4497" s="12"/>
      <c r="Q4497" s="12">
        <f>+(Tabla1[[#This Row],[COSTO COCHE]]/30)*Tabla1[[#This Row],[TOTAL DIAS PROYECTO]]</f>
        <v>0</v>
      </c>
      <c r="R4497" s="12">
        <f>+Tabla1[[#This Row],[COSTO TOTAL ALOJAMIENTO]]+Tabla1[[#This Row],[COSTO TOTAL COCHE]]</f>
        <v>0</v>
      </c>
      <c r="S4497" s="2"/>
      <c r="T4497" s="14" t="s">
        <v>35</v>
      </c>
      <c r="U4497" s="14">
        <v>46017</v>
      </c>
      <c r="V4497" s="79"/>
      <c r="W4497" s="12"/>
      <c r="X4497" s="2">
        <v>1</v>
      </c>
      <c r="Y4497" s="11" t="s">
        <v>6552</v>
      </c>
      <c r="Z4497" s="2" t="s">
        <v>36</v>
      </c>
      <c r="AA4497" s="13">
        <v>-0.87734000000000001</v>
      </c>
      <c r="AB4497" s="13" t="s">
        <v>10359</v>
      </c>
    </row>
    <row r="4498" spans="1:28" ht="15" customHeight="1">
      <c r="A4498" s="117" t="s">
        <v>9950</v>
      </c>
      <c r="B4498" s="117" t="s">
        <v>711</v>
      </c>
      <c r="C4498" s="118" t="s">
        <v>5646</v>
      </c>
      <c r="D4498" s="117" t="s">
        <v>99</v>
      </c>
      <c r="E4498" s="117" t="s">
        <v>626</v>
      </c>
      <c r="F4498" s="11" t="s">
        <v>2376</v>
      </c>
      <c r="G4498" s="197" t="s">
        <v>6278</v>
      </c>
      <c r="H4498" s="117" t="s">
        <v>6279</v>
      </c>
      <c r="I4498" s="119" t="s">
        <v>570</v>
      </c>
      <c r="J4498" s="121">
        <f>+Tabla1[[#This Row],[FECHA ENTRADA]]</f>
        <v>45970</v>
      </c>
      <c r="K4498" s="294">
        <v>46032</v>
      </c>
      <c r="L4498" s="129">
        <f>_xlfn.DAYS(Tabla1[[#This Row],[FECHA FIN ]],Tabla1[[#This Row],[FECHA INICIO]])</f>
        <v>62</v>
      </c>
      <c r="M4498" s="119"/>
      <c r="N4498" s="131"/>
      <c r="O4498" s="131">
        <f>(Tabla1[[#This Row],[COSTO FIJO ]]/30)*Tabla1[[#This Row],[TOTAL DIAS PROYECTO]]+(Tabla1[[#This Row],[COSTO TEMPORAL]])</f>
        <v>0</v>
      </c>
      <c r="P4498" s="119"/>
      <c r="Q4498" s="119">
        <f>+(Tabla1[[#This Row],[COSTO COCHE]]/30)*Tabla1[[#This Row],[TOTAL DIAS PROYECTO]]</f>
        <v>0</v>
      </c>
      <c r="R4498" s="119">
        <f>+Tabla1[[#This Row],[COSTO TOTAL ALOJAMIENTO]]+Tabla1[[#This Row],[COSTO TOTAL COCHE]]</f>
        <v>0</v>
      </c>
      <c r="S4498" s="117"/>
      <c r="T4498" s="124" t="s">
        <v>44</v>
      </c>
      <c r="U4498" s="124">
        <v>45970</v>
      </c>
      <c r="V4498" s="125">
        <v>46035</v>
      </c>
      <c r="W4498" s="126"/>
      <c r="X4498" s="117"/>
      <c r="Y4498" s="118" t="s">
        <v>6553</v>
      </c>
      <c r="Z4498" s="117" t="s">
        <v>36</v>
      </c>
      <c r="AA4498" s="127" t="s">
        <v>10385</v>
      </c>
      <c r="AB4498" s="127" t="s">
        <v>10386</v>
      </c>
    </row>
    <row r="4499" spans="1:28" ht="15" customHeight="1">
      <c r="A4499" s="117" t="s">
        <v>9336</v>
      </c>
      <c r="B4499" s="117" t="s">
        <v>711</v>
      </c>
      <c r="C4499" s="118" t="s">
        <v>2850</v>
      </c>
      <c r="D4499" s="117" t="s">
        <v>99</v>
      </c>
      <c r="E4499" s="117" t="s">
        <v>626</v>
      </c>
      <c r="F4499" s="11" t="s">
        <v>2376</v>
      </c>
      <c r="G4499" s="197" t="s">
        <v>6278</v>
      </c>
      <c r="H4499" s="117" t="s">
        <v>6279</v>
      </c>
      <c r="I4499" s="119" t="s">
        <v>570</v>
      </c>
      <c r="J4499" s="121">
        <f>+Tabla1[[#This Row],[FECHA ENTRADA]]</f>
        <v>45970</v>
      </c>
      <c r="K4499" s="294">
        <v>46032</v>
      </c>
      <c r="L4499" s="129">
        <f>_xlfn.DAYS(Tabla1[[#This Row],[FECHA FIN ]],Tabla1[[#This Row],[FECHA INICIO]])</f>
        <v>62</v>
      </c>
      <c r="M4499" s="119"/>
      <c r="N4499" s="131"/>
      <c r="O4499" s="131">
        <f>(Tabla1[[#This Row],[COSTO FIJO ]]/30)*Tabla1[[#This Row],[TOTAL DIAS PROYECTO]]+(Tabla1[[#This Row],[COSTO TEMPORAL]])</f>
        <v>0</v>
      </c>
      <c r="P4499" s="119"/>
      <c r="Q4499" s="119">
        <f>+(Tabla1[[#This Row],[COSTO COCHE]]/30)*Tabla1[[#This Row],[TOTAL DIAS PROYECTO]]</f>
        <v>0</v>
      </c>
      <c r="R4499" s="119">
        <f>+Tabla1[[#This Row],[COSTO TOTAL ALOJAMIENTO]]+Tabla1[[#This Row],[COSTO TOTAL COCHE]]</f>
        <v>0</v>
      </c>
      <c r="S4499" s="117"/>
      <c r="T4499" s="124" t="s">
        <v>44</v>
      </c>
      <c r="U4499" s="124">
        <v>45970</v>
      </c>
      <c r="V4499" s="125">
        <v>46035</v>
      </c>
      <c r="W4499" s="126"/>
      <c r="X4499" s="117"/>
      <c r="Y4499" s="118" t="s">
        <v>6554</v>
      </c>
      <c r="Z4499" s="117" t="s">
        <v>36</v>
      </c>
      <c r="AA4499" s="127" t="s">
        <v>10385</v>
      </c>
      <c r="AB4499" s="127" t="s">
        <v>10386</v>
      </c>
    </row>
    <row r="4500" spans="1:28" ht="15" customHeight="1">
      <c r="A4500" s="2" t="s">
        <v>9936</v>
      </c>
      <c r="B4500" s="2" t="s">
        <v>978</v>
      </c>
      <c r="C4500" s="212" t="s">
        <v>5561</v>
      </c>
      <c r="D4500" s="2" t="s">
        <v>30</v>
      </c>
      <c r="E4500" s="2" t="s">
        <v>422</v>
      </c>
      <c r="F4500" s="11" t="s">
        <v>6555</v>
      </c>
      <c r="G4500" s="11" t="s">
        <v>5428</v>
      </c>
      <c r="H4500" s="2" t="s">
        <v>5429</v>
      </c>
      <c r="I4500" s="12" t="s">
        <v>5430</v>
      </c>
      <c r="J4500" s="22">
        <f>+Tabla1[[#This Row],[FECHA ENTRADA]]</f>
        <v>45886</v>
      </c>
      <c r="K4500" s="22">
        <v>45926</v>
      </c>
      <c r="L4500" s="23">
        <f>_xlfn.DAYS(Tabla1[[#This Row],[FECHA FIN ]],Tabla1[[#This Row],[FECHA INICIO]])</f>
        <v>40</v>
      </c>
      <c r="M4500" s="12"/>
      <c r="N4500" s="20">
        <v>300</v>
      </c>
      <c r="O4500" s="24">
        <f>(Tabla1[[#This Row],[COSTO FIJO ]]/30)*Tabla1[[#This Row],[TOTAL DIAS PROYECTO]]+(Tabla1[[#This Row],[COSTO TEMPORAL]])</f>
        <v>400</v>
      </c>
      <c r="P4500" s="12"/>
      <c r="Q4500" s="12">
        <f>+(Tabla1[[#This Row],[COSTO COCHE]]/30)*Tabla1[[#This Row],[TOTAL DIAS PROYECTO]]</f>
        <v>0</v>
      </c>
      <c r="R4500" s="12">
        <f>+Tabla1[[#This Row],[COSTO TOTAL ALOJAMIENTO]]+Tabla1[[#This Row],[COSTO TOTAL COCHE]]</f>
        <v>400</v>
      </c>
      <c r="S4500" s="2"/>
      <c r="T4500" s="14" t="s">
        <v>35</v>
      </c>
      <c r="U4500" s="14">
        <v>45886</v>
      </c>
      <c r="V4500" s="79"/>
      <c r="W4500" s="12">
        <v>300</v>
      </c>
      <c r="X4500" s="2">
        <v>15</v>
      </c>
      <c r="Y4500" s="11" t="s">
        <v>6556</v>
      </c>
      <c r="Z4500" s="2" t="s">
        <v>36</v>
      </c>
      <c r="AA4500" s="13">
        <v>-326.69799999999998</v>
      </c>
      <c r="AB4500" s="13" t="s">
        <v>10373</v>
      </c>
    </row>
    <row r="4501" spans="1:28" ht="15" customHeight="1">
      <c r="A4501" s="2" t="s">
        <v>9386</v>
      </c>
      <c r="B4501" s="2" t="s">
        <v>978</v>
      </c>
      <c r="C4501" s="212" t="s">
        <v>3009</v>
      </c>
      <c r="D4501" s="2" t="s">
        <v>30</v>
      </c>
      <c r="E4501" s="2" t="s">
        <v>422</v>
      </c>
      <c r="F4501" s="11" t="s">
        <v>6555</v>
      </c>
      <c r="G4501" s="11" t="s">
        <v>5428</v>
      </c>
      <c r="H4501" s="2" t="s">
        <v>4519</v>
      </c>
      <c r="I4501" s="12" t="s">
        <v>5430</v>
      </c>
      <c r="J4501" s="22">
        <f>+Tabla1[[#This Row],[FECHA ENTRADA]]</f>
        <v>45886</v>
      </c>
      <c r="K4501" s="22">
        <v>45926</v>
      </c>
      <c r="L4501" s="23">
        <f>_xlfn.DAYS(Tabla1[[#This Row],[FECHA FIN ]],Tabla1[[#This Row],[FECHA INICIO]])</f>
        <v>40</v>
      </c>
      <c r="M4501" s="12"/>
      <c r="N4501" s="20">
        <v>300</v>
      </c>
      <c r="O4501" s="24">
        <f>(Tabla1[[#This Row],[COSTO FIJO ]]/30)*Tabla1[[#This Row],[TOTAL DIAS PROYECTO]]+(Tabla1[[#This Row],[COSTO TEMPORAL]])</f>
        <v>400</v>
      </c>
      <c r="P4501" s="12"/>
      <c r="Q4501" s="12">
        <f>+(Tabla1[[#This Row],[COSTO COCHE]]/30)*Tabla1[[#This Row],[TOTAL DIAS PROYECTO]]</f>
        <v>0</v>
      </c>
      <c r="R4501" s="12">
        <f>+Tabla1[[#This Row],[COSTO TOTAL ALOJAMIENTO]]+Tabla1[[#This Row],[COSTO TOTAL COCHE]]</f>
        <v>400</v>
      </c>
      <c r="S4501" s="2"/>
      <c r="T4501" s="14" t="s">
        <v>35</v>
      </c>
      <c r="U4501" s="14">
        <v>45886</v>
      </c>
      <c r="V4501" s="79"/>
      <c r="W4501" s="12">
        <v>300</v>
      </c>
      <c r="X4501" s="2">
        <v>15</v>
      </c>
      <c r="Y4501" s="11" t="s">
        <v>6557</v>
      </c>
      <c r="Z4501" s="2" t="s">
        <v>36</v>
      </c>
      <c r="AA4501" s="13">
        <v>-326.69799999999998</v>
      </c>
      <c r="AB4501" s="13" t="s">
        <v>10373</v>
      </c>
    </row>
    <row r="4502" spans="1:28" ht="15" customHeight="1">
      <c r="A4502" s="2" t="s">
        <v>9928</v>
      </c>
      <c r="B4502" s="2" t="s">
        <v>978</v>
      </c>
      <c r="C4502" s="31" t="s">
        <v>5501</v>
      </c>
      <c r="D4502" s="2" t="s">
        <v>30</v>
      </c>
      <c r="E4502" s="2" t="s">
        <v>422</v>
      </c>
      <c r="F4502" s="11" t="s">
        <v>6555</v>
      </c>
      <c r="G4502" s="11" t="s">
        <v>5428</v>
      </c>
      <c r="H4502" s="2" t="s">
        <v>4519</v>
      </c>
      <c r="I4502" s="12" t="s">
        <v>5430</v>
      </c>
      <c r="J4502" s="22">
        <f>+Tabla1[[#This Row],[FECHA ENTRADA]]</f>
        <v>45886</v>
      </c>
      <c r="K4502" s="22">
        <v>45926</v>
      </c>
      <c r="L4502" s="23">
        <f>_xlfn.DAYS(Tabla1[[#This Row],[FECHA FIN ]],Tabla1[[#This Row],[FECHA INICIO]])</f>
        <v>40</v>
      </c>
      <c r="M4502" s="12"/>
      <c r="N4502" s="20">
        <v>450</v>
      </c>
      <c r="O4502" s="24">
        <f>(Tabla1[[#This Row],[COSTO FIJO ]]/30)*Tabla1[[#This Row],[TOTAL DIAS PROYECTO]]+(Tabla1[[#This Row],[COSTO TEMPORAL]])</f>
        <v>600</v>
      </c>
      <c r="P4502" s="12"/>
      <c r="Q4502" s="12">
        <f>+(Tabla1[[#This Row],[COSTO COCHE]]/30)*Tabla1[[#This Row],[TOTAL DIAS PROYECTO]]</f>
        <v>0</v>
      </c>
      <c r="R4502" s="12">
        <f>+Tabla1[[#This Row],[COSTO TOTAL ALOJAMIENTO]]+Tabla1[[#This Row],[COSTO TOTAL COCHE]]</f>
        <v>600</v>
      </c>
      <c r="S4502" s="2"/>
      <c r="T4502" s="14" t="s">
        <v>35</v>
      </c>
      <c r="U4502" s="14">
        <v>45886</v>
      </c>
      <c r="V4502" s="79"/>
      <c r="W4502" s="12">
        <v>450</v>
      </c>
      <c r="X4502" s="2">
        <v>15</v>
      </c>
      <c r="Y4502" s="11" t="s">
        <v>5563</v>
      </c>
      <c r="Z4502" s="2" t="s">
        <v>36</v>
      </c>
      <c r="AA4502" s="13">
        <v>-326.69799999999998</v>
      </c>
      <c r="AB4502" s="13" t="s">
        <v>10373</v>
      </c>
    </row>
    <row r="4503" spans="1:28" ht="15" customHeight="1">
      <c r="A4503" s="2" t="s">
        <v>9918</v>
      </c>
      <c r="B4503" s="2" t="s">
        <v>978</v>
      </c>
      <c r="C4503" s="31" t="s">
        <v>5434</v>
      </c>
      <c r="D4503" s="2" t="s">
        <v>30</v>
      </c>
      <c r="E4503" s="2" t="s">
        <v>422</v>
      </c>
      <c r="F4503" s="11" t="s">
        <v>6555</v>
      </c>
      <c r="G4503" s="11" t="s">
        <v>5428</v>
      </c>
      <c r="H4503" s="2" t="s">
        <v>2180</v>
      </c>
      <c r="I4503" s="12" t="s">
        <v>5430</v>
      </c>
      <c r="J4503" s="22">
        <f>+Tabla1[[#This Row],[FECHA ENTRADA]]</f>
        <v>45886</v>
      </c>
      <c r="K4503" s="22">
        <v>45926</v>
      </c>
      <c r="L4503" s="23">
        <f>_xlfn.DAYS(Tabla1[[#This Row],[FECHA FIN ]],Tabla1[[#This Row],[FECHA INICIO]])</f>
        <v>40</v>
      </c>
      <c r="M4503" s="12"/>
      <c r="N4503" s="20">
        <v>450</v>
      </c>
      <c r="O4503" s="24">
        <f>(Tabla1[[#This Row],[COSTO FIJO ]]/30)*Tabla1[[#This Row],[TOTAL DIAS PROYECTO]]+(Tabla1[[#This Row],[COSTO TEMPORAL]])</f>
        <v>600</v>
      </c>
      <c r="P4503" s="12"/>
      <c r="Q4503" s="12">
        <f>+(Tabla1[[#This Row],[COSTO COCHE]]/30)*Tabla1[[#This Row],[TOTAL DIAS PROYECTO]]</f>
        <v>0</v>
      </c>
      <c r="R4503" s="12">
        <f>+Tabla1[[#This Row],[COSTO TOTAL ALOJAMIENTO]]+Tabla1[[#This Row],[COSTO TOTAL COCHE]]</f>
        <v>600</v>
      </c>
      <c r="S4503" s="2"/>
      <c r="T4503" s="14" t="s">
        <v>35</v>
      </c>
      <c r="U4503" s="14">
        <v>45886</v>
      </c>
      <c r="V4503" s="79"/>
      <c r="W4503" s="12">
        <v>450</v>
      </c>
      <c r="X4503" s="2">
        <v>15</v>
      </c>
      <c r="Y4503" s="11" t="s">
        <v>5563</v>
      </c>
      <c r="Z4503" s="2" t="s">
        <v>36</v>
      </c>
      <c r="AA4503" s="13">
        <v>-326.69799999999998</v>
      </c>
      <c r="AB4503" s="13" t="s">
        <v>10373</v>
      </c>
    </row>
    <row r="4504" spans="1:28" ht="15" customHeight="1">
      <c r="A4504" s="2" t="s">
        <v>10129</v>
      </c>
      <c r="B4504" s="2" t="s">
        <v>28</v>
      </c>
      <c r="C4504" s="31" t="s">
        <v>6558</v>
      </c>
      <c r="D4504" s="2" t="s">
        <v>30</v>
      </c>
      <c r="E4504" s="2" t="s">
        <v>422</v>
      </c>
      <c r="F4504" s="11" t="s">
        <v>5502</v>
      </c>
      <c r="G4504" s="11" t="s">
        <v>5428</v>
      </c>
      <c r="H4504" s="2" t="s">
        <v>5579</v>
      </c>
      <c r="I4504" s="12" t="s">
        <v>4327</v>
      </c>
      <c r="J4504" s="22">
        <f>+Tabla1[[#This Row],[FECHA ENTRADA]]</f>
        <v>45886</v>
      </c>
      <c r="K4504" s="22">
        <v>45933</v>
      </c>
      <c r="L4504" s="23">
        <f>_xlfn.DAYS(Tabla1[[#This Row],[FECHA FIN ]],Tabla1[[#This Row],[FECHA INICIO]])</f>
        <v>47</v>
      </c>
      <c r="M4504" s="12"/>
      <c r="N4504" s="20">
        <v>300</v>
      </c>
      <c r="O4504" s="24">
        <f>(Tabla1[[#This Row],[COSTO FIJO ]]/30)*Tabla1[[#This Row],[TOTAL DIAS PROYECTO]]+(Tabla1[[#This Row],[COSTO TEMPORAL]])</f>
        <v>470</v>
      </c>
      <c r="P4504" s="12"/>
      <c r="Q4504" s="12">
        <f>+(Tabla1[[#This Row],[COSTO COCHE]]/30)*Tabla1[[#This Row],[TOTAL DIAS PROYECTO]]</f>
        <v>0</v>
      </c>
      <c r="R4504" s="12">
        <f>+Tabla1[[#This Row],[COSTO TOTAL ALOJAMIENTO]]+Tabla1[[#This Row],[COSTO TOTAL COCHE]]</f>
        <v>470</v>
      </c>
      <c r="S4504" s="2"/>
      <c r="T4504" s="14" t="s">
        <v>35</v>
      </c>
      <c r="U4504" s="14">
        <v>45886</v>
      </c>
      <c r="V4504" s="79"/>
      <c r="W4504" s="12">
        <v>300</v>
      </c>
      <c r="X4504" s="2">
        <v>1</v>
      </c>
      <c r="Y4504" s="11" t="s">
        <v>4839</v>
      </c>
      <c r="Z4504" s="2" t="s">
        <v>36</v>
      </c>
      <c r="AA4504" s="13">
        <v>-326.69799999999998</v>
      </c>
      <c r="AB4504" s="13" t="s">
        <v>10373</v>
      </c>
    </row>
    <row r="4505" spans="1:28" ht="15" customHeight="1">
      <c r="A4505" s="2" t="s">
        <v>9940</v>
      </c>
      <c r="B4505" s="2" t="s">
        <v>28</v>
      </c>
      <c r="C4505" s="31" t="s">
        <v>5578</v>
      </c>
      <c r="D4505" s="2" t="s">
        <v>30</v>
      </c>
      <c r="E4505" s="2" t="s">
        <v>422</v>
      </c>
      <c r="F4505" s="11" t="s">
        <v>5505</v>
      </c>
      <c r="G4505" s="11" t="s">
        <v>5428</v>
      </c>
      <c r="H4505" s="2" t="s">
        <v>5579</v>
      </c>
      <c r="I4505" s="12" t="s">
        <v>4327</v>
      </c>
      <c r="J4505" s="22">
        <f>+Tabla1[[#This Row],[FECHA ENTRADA]]</f>
        <v>45886</v>
      </c>
      <c r="K4505" s="22">
        <v>45933</v>
      </c>
      <c r="L4505" s="23">
        <f>_xlfn.DAYS(Tabla1[[#This Row],[FECHA FIN ]],Tabla1[[#This Row],[FECHA INICIO]])</f>
        <v>47</v>
      </c>
      <c r="M4505" s="12"/>
      <c r="N4505" s="20">
        <v>450</v>
      </c>
      <c r="O4505" s="24">
        <f>(Tabla1[[#This Row],[COSTO FIJO ]]/30)*Tabla1[[#This Row],[TOTAL DIAS PROYECTO]]+(Tabla1[[#This Row],[COSTO TEMPORAL]])</f>
        <v>705</v>
      </c>
      <c r="P4505" s="12"/>
      <c r="Q4505" s="12">
        <f>+(Tabla1[[#This Row],[COSTO COCHE]]/30)*Tabla1[[#This Row],[TOTAL DIAS PROYECTO]]</f>
        <v>0</v>
      </c>
      <c r="R4505" s="12">
        <f>+Tabla1[[#This Row],[COSTO TOTAL ALOJAMIENTO]]+Tabla1[[#This Row],[COSTO TOTAL COCHE]]</f>
        <v>705</v>
      </c>
      <c r="S4505" s="2"/>
      <c r="T4505" s="14" t="s">
        <v>35</v>
      </c>
      <c r="U4505" s="14">
        <v>45886</v>
      </c>
      <c r="V4505" s="79"/>
      <c r="W4505" s="12"/>
      <c r="X4505" s="2">
        <v>1</v>
      </c>
      <c r="Y4505" s="11" t="s">
        <v>6559</v>
      </c>
      <c r="Z4505" s="2" t="s">
        <v>36</v>
      </c>
      <c r="AA4505" s="13">
        <v>-326.69799999999998</v>
      </c>
      <c r="AB4505" s="13" t="s">
        <v>10373</v>
      </c>
    </row>
    <row r="4506" spans="1:28" ht="15" customHeight="1">
      <c r="A4506" s="2" t="s">
        <v>10130</v>
      </c>
      <c r="B4506" s="2" t="s">
        <v>978</v>
      </c>
      <c r="C4506" s="31" t="s">
        <v>6560</v>
      </c>
      <c r="D4506" s="2" t="s">
        <v>30</v>
      </c>
      <c r="E4506" s="2" t="s">
        <v>855</v>
      </c>
      <c r="F4506" s="11" t="s">
        <v>1662</v>
      </c>
      <c r="G4506" s="46" t="s">
        <v>1474</v>
      </c>
      <c r="H4506" s="2" t="s">
        <v>5576</v>
      </c>
      <c r="I4506" s="12" t="s">
        <v>4362</v>
      </c>
      <c r="J4506" s="41">
        <f>+Tabla1[[#This Row],[FECHA ENTRADA]]</f>
        <v>45943</v>
      </c>
      <c r="K4506" s="22">
        <v>46033</v>
      </c>
      <c r="L4506" s="42">
        <f>_xlfn.DAYS(Tabla1[[#This Row],[FECHA FIN ]],Tabla1[[#This Row],[FECHA INICIO]])</f>
        <v>90</v>
      </c>
      <c r="M4506" s="12">
        <v>166.66666666666666</v>
      </c>
      <c r="N4506" s="28"/>
      <c r="O4506" s="28">
        <f>(Tabla1[[#This Row],[COSTO FIJO ]]/30)*Tabla1[[#This Row],[TOTAL DIAS PROYECTO]]+(Tabla1[[#This Row],[COSTO TEMPORAL]])</f>
        <v>166.66666666666666</v>
      </c>
      <c r="P4506" s="12"/>
      <c r="Q4506" s="12">
        <f>+(Tabla1[[#This Row],[COSTO COCHE]]/30)*Tabla1[[#This Row],[TOTAL DIAS PROYECTO]]</f>
        <v>0</v>
      </c>
      <c r="R4506" s="12">
        <f>+Tabla1[[#This Row],[COSTO TOTAL ALOJAMIENTO]]+Tabla1[[#This Row],[COSTO TOTAL COCHE]]</f>
        <v>166.66666666666666</v>
      </c>
      <c r="S4506" s="2"/>
      <c r="T4506" s="14" t="s">
        <v>44</v>
      </c>
      <c r="U4506" s="14">
        <v>45943</v>
      </c>
      <c r="V4506" s="25">
        <v>46036</v>
      </c>
      <c r="W4506" s="71"/>
      <c r="X4506" s="2"/>
      <c r="Y4506" s="11" t="s">
        <v>6561</v>
      </c>
      <c r="Z4506" s="2" t="s">
        <v>36</v>
      </c>
      <c r="AA4506" s="13" t="s">
        <v>10401</v>
      </c>
      <c r="AB4506" s="13" t="s">
        <v>10402</v>
      </c>
    </row>
    <row r="4507" spans="1:28" ht="15" customHeight="1">
      <c r="A4507" s="2" t="s">
        <v>10051</v>
      </c>
      <c r="B4507" s="2" t="s">
        <v>978</v>
      </c>
      <c r="C4507" s="31" t="s">
        <v>6088</v>
      </c>
      <c r="D4507" s="2" t="s">
        <v>30</v>
      </c>
      <c r="E4507" s="2" t="s">
        <v>855</v>
      </c>
      <c r="F4507" s="11" t="s">
        <v>1662</v>
      </c>
      <c r="G4507" s="46" t="s">
        <v>1474</v>
      </c>
      <c r="H4507" s="2" t="s">
        <v>5576</v>
      </c>
      <c r="I4507" s="12" t="s">
        <v>4362</v>
      </c>
      <c r="J4507" s="41">
        <f>+Tabla1[[#This Row],[FECHA ENTRADA]]</f>
        <v>45943</v>
      </c>
      <c r="K4507" s="22">
        <v>46033</v>
      </c>
      <c r="L4507" s="42">
        <f>_xlfn.DAYS(Tabla1[[#This Row],[FECHA FIN ]],Tabla1[[#This Row],[FECHA INICIO]])</f>
        <v>90</v>
      </c>
      <c r="M4507" s="12">
        <v>166.66666666666666</v>
      </c>
      <c r="N4507" s="28"/>
      <c r="O4507" s="28">
        <f>(Tabla1[[#This Row],[COSTO FIJO ]]/30)*Tabla1[[#This Row],[TOTAL DIAS PROYECTO]]+(Tabla1[[#This Row],[COSTO TEMPORAL]])</f>
        <v>166.66666666666666</v>
      </c>
      <c r="P4507" s="12"/>
      <c r="Q4507" s="12">
        <f>+(Tabla1[[#This Row],[COSTO COCHE]]/30)*Tabla1[[#This Row],[TOTAL DIAS PROYECTO]]</f>
        <v>0</v>
      </c>
      <c r="R4507" s="12">
        <f>+Tabla1[[#This Row],[COSTO TOTAL ALOJAMIENTO]]+Tabla1[[#This Row],[COSTO TOTAL COCHE]]</f>
        <v>166.66666666666666</v>
      </c>
      <c r="S4507" s="2"/>
      <c r="T4507" s="14" t="s">
        <v>44</v>
      </c>
      <c r="U4507" s="14">
        <v>45943</v>
      </c>
      <c r="V4507" s="25">
        <v>46036</v>
      </c>
      <c r="W4507" s="71"/>
      <c r="X4507" s="2"/>
      <c r="Y4507" s="11" t="s">
        <v>6561</v>
      </c>
      <c r="Z4507" s="2" t="s">
        <v>36</v>
      </c>
      <c r="AA4507" s="13" t="s">
        <v>10401</v>
      </c>
      <c r="AB4507" s="13" t="s">
        <v>10402</v>
      </c>
    </row>
    <row r="4508" spans="1:28" ht="15" customHeight="1">
      <c r="A4508" s="2" t="s">
        <v>10131</v>
      </c>
      <c r="B4508" s="2" t="s">
        <v>978</v>
      </c>
      <c r="C4508" s="31" t="s">
        <v>6562</v>
      </c>
      <c r="D4508" s="2" t="s">
        <v>30</v>
      </c>
      <c r="E4508" s="2" t="s">
        <v>855</v>
      </c>
      <c r="F4508" s="11" t="s">
        <v>1662</v>
      </c>
      <c r="G4508" s="46" t="s">
        <v>1474</v>
      </c>
      <c r="H4508" s="2" t="s">
        <v>5576</v>
      </c>
      <c r="I4508" s="12" t="s">
        <v>4362</v>
      </c>
      <c r="J4508" s="41">
        <f>+Tabla1[[#This Row],[FECHA ENTRADA]]</f>
        <v>45943</v>
      </c>
      <c r="K4508" s="22">
        <v>46033</v>
      </c>
      <c r="L4508" s="42">
        <f>_xlfn.DAYS(Tabla1[[#This Row],[FECHA FIN ]],Tabla1[[#This Row],[FECHA INICIO]])</f>
        <v>90</v>
      </c>
      <c r="M4508" s="12">
        <v>166.66666666666666</v>
      </c>
      <c r="N4508" s="28"/>
      <c r="O4508" s="28">
        <f>(Tabla1[[#This Row],[COSTO FIJO ]]/30)*Tabla1[[#This Row],[TOTAL DIAS PROYECTO]]+(Tabla1[[#This Row],[COSTO TEMPORAL]])</f>
        <v>166.66666666666666</v>
      </c>
      <c r="P4508" s="12"/>
      <c r="Q4508" s="12">
        <f>+(Tabla1[[#This Row],[COSTO COCHE]]/30)*Tabla1[[#This Row],[TOTAL DIAS PROYECTO]]</f>
        <v>0</v>
      </c>
      <c r="R4508" s="12">
        <f>+Tabla1[[#This Row],[COSTO TOTAL ALOJAMIENTO]]+Tabla1[[#This Row],[COSTO TOTAL COCHE]]</f>
        <v>166.66666666666666</v>
      </c>
      <c r="S4508" s="2"/>
      <c r="T4508" s="14" t="s">
        <v>44</v>
      </c>
      <c r="U4508" s="14">
        <v>45943</v>
      </c>
      <c r="V4508" s="25">
        <v>46036</v>
      </c>
      <c r="W4508" s="71"/>
      <c r="X4508" s="2"/>
      <c r="Y4508" s="11" t="s">
        <v>6561</v>
      </c>
      <c r="Z4508" s="2" t="s">
        <v>36</v>
      </c>
      <c r="AA4508" s="13" t="s">
        <v>10401</v>
      </c>
      <c r="AB4508" s="13" t="s">
        <v>10402</v>
      </c>
    </row>
    <row r="4509" spans="1:28" ht="15" customHeight="1">
      <c r="A4509" s="2" t="s">
        <v>10132</v>
      </c>
      <c r="B4509" s="2" t="s">
        <v>978</v>
      </c>
      <c r="C4509" s="31" t="s">
        <v>6563</v>
      </c>
      <c r="D4509" s="2" t="s">
        <v>30</v>
      </c>
      <c r="E4509" s="2" t="s">
        <v>855</v>
      </c>
      <c r="F4509" s="11" t="s">
        <v>1662</v>
      </c>
      <c r="G4509" s="49" t="s">
        <v>1474</v>
      </c>
      <c r="H4509" s="2" t="s">
        <v>5946</v>
      </c>
      <c r="I4509" s="12" t="s">
        <v>4362</v>
      </c>
      <c r="J4509" s="22">
        <f>+Tabla1[[#This Row],[FECHA ENTRADA]]</f>
        <v>45965</v>
      </c>
      <c r="K4509" s="22">
        <v>46033</v>
      </c>
      <c r="L4509" s="23">
        <f>_xlfn.DAYS(Tabla1[[#This Row],[FECHA FIN ]],Tabla1[[#This Row],[FECHA INICIO]])</f>
        <v>68</v>
      </c>
      <c r="M4509" s="12">
        <v>166.66666666666666</v>
      </c>
      <c r="N4509" s="20"/>
      <c r="O4509" s="24">
        <f>(Tabla1[[#This Row],[COSTO FIJO ]]/30)*Tabla1[[#This Row],[TOTAL DIAS PROYECTO]]+(Tabla1[[#This Row],[COSTO TEMPORAL]])</f>
        <v>166.66666666666666</v>
      </c>
      <c r="P4509" s="12"/>
      <c r="Q4509" s="12">
        <f>+(Tabla1[[#This Row],[COSTO COCHE]]/30)*Tabla1[[#This Row],[TOTAL DIAS PROYECTO]]</f>
        <v>0</v>
      </c>
      <c r="R4509" s="12">
        <f>+Tabla1[[#This Row],[COSTO TOTAL ALOJAMIENTO]]+Tabla1[[#This Row],[COSTO TOTAL COCHE]]</f>
        <v>166.66666666666666</v>
      </c>
      <c r="S4509" s="2"/>
      <c r="T4509" s="14" t="s">
        <v>44</v>
      </c>
      <c r="U4509" s="14">
        <v>45965</v>
      </c>
      <c r="V4509" s="25">
        <v>46036</v>
      </c>
      <c r="W4509" s="71"/>
      <c r="X4509" s="2"/>
      <c r="Y4509" s="11" t="s">
        <v>6561</v>
      </c>
      <c r="Z4509" s="2" t="s">
        <v>36</v>
      </c>
      <c r="AA4509" s="13" t="s">
        <v>10401</v>
      </c>
      <c r="AB4509" s="13" t="s">
        <v>10402</v>
      </c>
    </row>
    <row r="4510" spans="1:28" ht="15" customHeight="1">
      <c r="A4510" s="2" t="s">
        <v>10133</v>
      </c>
      <c r="B4510" s="2" t="s">
        <v>4701</v>
      </c>
      <c r="C4510" s="31" t="s">
        <v>6564</v>
      </c>
      <c r="D4510" s="2" t="s">
        <v>30</v>
      </c>
      <c r="E4510" s="2" t="s">
        <v>1987</v>
      </c>
      <c r="F4510" s="11" t="s">
        <v>1106</v>
      </c>
      <c r="G4510" s="49"/>
      <c r="H4510" s="2" t="s">
        <v>6565</v>
      </c>
      <c r="I4510" s="12" t="s">
        <v>2228</v>
      </c>
      <c r="J4510" s="22">
        <f>+Tabla1[[#This Row],[FECHA ENTRADA]]</f>
        <v>45950</v>
      </c>
      <c r="K4510" s="22">
        <v>46034</v>
      </c>
      <c r="L4510" s="23">
        <f>_xlfn.DAYS(Tabla1[[#This Row],[FECHA FIN ]],Tabla1[[#This Row],[FECHA INICIO]])</f>
        <v>84</v>
      </c>
      <c r="M4510" s="12"/>
      <c r="N4510" s="24">
        <v>0</v>
      </c>
      <c r="O4510" s="24">
        <f>(Tabla1[[#This Row],[COSTO FIJO ]]/30)*Tabla1[[#This Row],[TOTAL DIAS PROYECTO]]+(Tabla1[[#This Row],[COSTO TEMPORAL]])</f>
        <v>0</v>
      </c>
      <c r="P4510" s="12"/>
      <c r="Q4510" s="12">
        <f>+(Tabla1[[#This Row],[COSTO COCHE]]/30)*Tabla1[[#This Row],[TOTAL DIAS PROYECTO]]</f>
        <v>0</v>
      </c>
      <c r="R4510" s="12">
        <f>+Tabla1[[#This Row],[COSTO TOTAL ALOJAMIENTO]]+Tabla1[[#This Row],[COSTO TOTAL COCHE]]</f>
        <v>0</v>
      </c>
      <c r="S4510" s="2"/>
      <c r="T4510" s="2" t="s">
        <v>8</v>
      </c>
      <c r="U4510" s="14">
        <v>45950</v>
      </c>
      <c r="V4510" s="25"/>
      <c r="W4510" s="71"/>
      <c r="X4510" s="2"/>
      <c r="Y4510" s="11" t="s">
        <v>6566</v>
      </c>
      <c r="Z4510" s="2" t="s">
        <v>36</v>
      </c>
      <c r="AA4510" s="13" t="s">
        <v>10435</v>
      </c>
      <c r="AB4510" s="13">
        <v>42.136150000000001</v>
      </c>
    </row>
    <row r="4511" spans="1:28" ht="15" customHeight="1">
      <c r="A4511" s="2" t="s">
        <v>10134</v>
      </c>
      <c r="B4511" s="2" t="s">
        <v>4701</v>
      </c>
      <c r="C4511" s="31" t="s">
        <v>6567</v>
      </c>
      <c r="D4511" s="2" t="s">
        <v>30</v>
      </c>
      <c r="E4511" s="2" t="s">
        <v>1987</v>
      </c>
      <c r="F4511" s="11" t="s">
        <v>1106</v>
      </c>
      <c r="G4511" s="49"/>
      <c r="H4511" s="2" t="s">
        <v>6565</v>
      </c>
      <c r="I4511" s="12" t="s">
        <v>2228</v>
      </c>
      <c r="J4511" s="22">
        <f>+Tabla1[[#This Row],[FECHA ENTRADA]]</f>
        <v>45950</v>
      </c>
      <c r="K4511" s="22">
        <v>46034</v>
      </c>
      <c r="L4511" s="23">
        <f>_xlfn.DAYS(Tabla1[[#This Row],[FECHA FIN ]],Tabla1[[#This Row],[FECHA INICIO]])</f>
        <v>84</v>
      </c>
      <c r="M4511" s="12"/>
      <c r="N4511" s="24">
        <v>0</v>
      </c>
      <c r="O4511" s="24">
        <f>(Tabla1[[#This Row],[COSTO FIJO ]]/30)*Tabla1[[#This Row],[TOTAL DIAS PROYECTO]]+(Tabla1[[#This Row],[COSTO TEMPORAL]])</f>
        <v>0</v>
      </c>
      <c r="P4511" s="12"/>
      <c r="Q4511" s="12">
        <f>+(Tabla1[[#This Row],[COSTO COCHE]]/30)*Tabla1[[#This Row],[TOTAL DIAS PROYECTO]]</f>
        <v>0</v>
      </c>
      <c r="R4511" s="12">
        <f>+Tabla1[[#This Row],[COSTO TOTAL ALOJAMIENTO]]+Tabla1[[#This Row],[COSTO TOTAL COCHE]]</f>
        <v>0</v>
      </c>
      <c r="S4511" s="2"/>
      <c r="T4511" s="2" t="s">
        <v>8</v>
      </c>
      <c r="U4511" s="14">
        <v>45950</v>
      </c>
      <c r="V4511" s="25"/>
      <c r="W4511" s="71"/>
      <c r="X4511" s="2"/>
      <c r="Y4511" s="11" t="s">
        <v>6566</v>
      </c>
      <c r="Z4511" s="2" t="s">
        <v>36</v>
      </c>
      <c r="AA4511" s="13" t="s">
        <v>10435</v>
      </c>
      <c r="AB4511" s="13">
        <v>42.136150000000001</v>
      </c>
    </row>
    <row r="4512" spans="1:28" ht="15" customHeight="1">
      <c r="A4512" s="2" t="s">
        <v>9985</v>
      </c>
      <c r="B4512" s="2" t="s">
        <v>606</v>
      </c>
      <c r="C4512" s="31" t="s">
        <v>5847</v>
      </c>
      <c r="D4512" s="2" t="s">
        <v>30</v>
      </c>
      <c r="E4512" s="2" t="s">
        <v>127</v>
      </c>
      <c r="F4512" s="11" t="s">
        <v>1106</v>
      </c>
      <c r="G4512" s="49"/>
      <c r="H4512" s="2" t="s">
        <v>6568</v>
      </c>
      <c r="I4512" s="12" t="s">
        <v>2228</v>
      </c>
      <c r="J4512" s="22">
        <f>+Tabla1[[#This Row],[FECHA ENTRADA]]</f>
        <v>45984</v>
      </c>
      <c r="K4512" s="22">
        <v>46034</v>
      </c>
      <c r="L4512" s="23">
        <f>_xlfn.DAYS(Tabla1[[#This Row],[FECHA FIN ]],Tabla1[[#This Row],[FECHA INICIO]])</f>
        <v>50</v>
      </c>
      <c r="M4512" s="12"/>
      <c r="N4512" s="24">
        <v>0</v>
      </c>
      <c r="O4512" s="24">
        <f>(Tabla1[[#This Row],[COSTO FIJO ]]/30)*Tabla1[[#This Row],[TOTAL DIAS PROYECTO]]+(Tabla1[[#This Row],[COSTO TEMPORAL]])</f>
        <v>0</v>
      </c>
      <c r="P4512" s="12"/>
      <c r="Q4512" s="12">
        <f>+(Tabla1[[#This Row],[COSTO COCHE]]/30)*Tabla1[[#This Row],[TOTAL DIAS PROYECTO]]</f>
        <v>0</v>
      </c>
      <c r="R4512" s="12">
        <f>+Tabla1[[#This Row],[COSTO TOTAL ALOJAMIENTO]]+Tabla1[[#This Row],[COSTO TOTAL COCHE]]</f>
        <v>0</v>
      </c>
      <c r="S4512" s="2"/>
      <c r="T4512" s="2" t="s">
        <v>8</v>
      </c>
      <c r="U4512" s="14">
        <v>45984</v>
      </c>
      <c r="V4512" s="25"/>
      <c r="W4512" s="71"/>
      <c r="X4512" s="2"/>
      <c r="Y4512" s="11" t="s">
        <v>6566</v>
      </c>
      <c r="Z4512" s="2" t="s">
        <v>36</v>
      </c>
      <c r="AA4512" s="13" t="s">
        <v>10342</v>
      </c>
      <c r="AB4512" s="13" t="s">
        <v>10343</v>
      </c>
    </row>
    <row r="4513" spans="1:28" ht="15" customHeight="1">
      <c r="A4513" s="2" t="s">
        <v>9809</v>
      </c>
      <c r="B4513" s="2" t="s">
        <v>606</v>
      </c>
      <c r="C4513" s="31" t="s">
        <v>4841</v>
      </c>
      <c r="D4513" s="2" t="s">
        <v>30</v>
      </c>
      <c r="E4513" s="2" t="s">
        <v>127</v>
      </c>
      <c r="F4513" s="11" t="s">
        <v>1106</v>
      </c>
      <c r="G4513" s="49"/>
      <c r="H4513" s="2" t="s">
        <v>6568</v>
      </c>
      <c r="I4513" s="12" t="s">
        <v>2228</v>
      </c>
      <c r="J4513" s="22">
        <f>+Tabla1[[#This Row],[FECHA ENTRADA]]</f>
        <v>45984</v>
      </c>
      <c r="K4513" s="22">
        <v>46034</v>
      </c>
      <c r="L4513" s="23">
        <f>_xlfn.DAYS(Tabla1[[#This Row],[FECHA FIN ]],Tabla1[[#This Row],[FECHA INICIO]])</f>
        <v>50</v>
      </c>
      <c r="M4513" s="12"/>
      <c r="N4513" s="24">
        <v>0</v>
      </c>
      <c r="O4513" s="24">
        <f>(Tabla1[[#This Row],[COSTO FIJO ]]/30)*Tabla1[[#This Row],[TOTAL DIAS PROYECTO]]+(Tabla1[[#This Row],[COSTO TEMPORAL]])</f>
        <v>0</v>
      </c>
      <c r="P4513" s="12"/>
      <c r="Q4513" s="12">
        <f>+(Tabla1[[#This Row],[COSTO COCHE]]/30)*Tabla1[[#This Row],[TOTAL DIAS PROYECTO]]</f>
        <v>0</v>
      </c>
      <c r="R4513" s="12">
        <f>+Tabla1[[#This Row],[COSTO TOTAL ALOJAMIENTO]]+Tabla1[[#This Row],[COSTO TOTAL COCHE]]</f>
        <v>0</v>
      </c>
      <c r="S4513" s="2"/>
      <c r="T4513" s="2" t="s">
        <v>8</v>
      </c>
      <c r="U4513" s="14">
        <v>45984</v>
      </c>
      <c r="V4513" s="25"/>
      <c r="W4513" s="71"/>
      <c r="X4513" s="2"/>
      <c r="Y4513" s="11" t="s">
        <v>6566</v>
      </c>
      <c r="Z4513" s="2" t="s">
        <v>36</v>
      </c>
      <c r="AA4513" s="13" t="s">
        <v>10342</v>
      </c>
      <c r="AB4513" s="13" t="s">
        <v>10343</v>
      </c>
    </row>
    <row r="4514" spans="1:28" ht="15" customHeight="1">
      <c r="A4514" s="2" t="s">
        <v>9987</v>
      </c>
      <c r="B4514" s="2" t="s">
        <v>606</v>
      </c>
      <c r="C4514" s="31" t="s">
        <v>5849</v>
      </c>
      <c r="D4514" s="2" t="s">
        <v>30</v>
      </c>
      <c r="E4514" s="2" t="s">
        <v>127</v>
      </c>
      <c r="F4514" s="11" t="s">
        <v>1106</v>
      </c>
      <c r="G4514" s="49"/>
      <c r="H4514" s="2" t="s">
        <v>6568</v>
      </c>
      <c r="I4514" s="12" t="s">
        <v>2228</v>
      </c>
      <c r="J4514" s="22">
        <f>+Tabla1[[#This Row],[FECHA ENTRADA]]</f>
        <v>45984</v>
      </c>
      <c r="K4514" s="22">
        <v>46034</v>
      </c>
      <c r="L4514" s="23">
        <f>_xlfn.DAYS(Tabla1[[#This Row],[FECHA FIN ]],Tabla1[[#This Row],[FECHA INICIO]])</f>
        <v>50</v>
      </c>
      <c r="M4514" s="12"/>
      <c r="N4514" s="24">
        <v>0</v>
      </c>
      <c r="O4514" s="24">
        <f>(Tabla1[[#This Row],[COSTO FIJO ]]/30)*Tabla1[[#This Row],[TOTAL DIAS PROYECTO]]+(Tabla1[[#This Row],[COSTO TEMPORAL]])</f>
        <v>0</v>
      </c>
      <c r="P4514" s="12"/>
      <c r="Q4514" s="12">
        <f>+(Tabla1[[#This Row],[COSTO COCHE]]/30)*Tabla1[[#This Row],[TOTAL DIAS PROYECTO]]</f>
        <v>0</v>
      </c>
      <c r="R4514" s="12">
        <f>+Tabla1[[#This Row],[COSTO TOTAL ALOJAMIENTO]]+Tabla1[[#This Row],[COSTO TOTAL COCHE]]</f>
        <v>0</v>
      </c>
      <c r="S4514" s="2"/>
      <c r="T4514" s="2" t="s">
        <v>8</v>
      </c>
      <c r="U4514" s="14">
        <v>45984</v>
      </c>
      <c r="V4514" s="25"/>
      <c r="W4514" s="71"/>
      <c r="X4514" s="2"/>
      <c r="Y4514" s="11" t="s">
        <v>6566</v>
      </c>
      <c r="Z4514" s="2" t="s">
        <v>36</v>
      </c>
      <c r="AA4514" s="13" t="s">
        <v>10342</v>
      </c>
      <c r="AB4514" s="13" t="s">
        <v>10343</v>
      </c>
    </row>
    <row r="4515" spans="1:28" ht="15" customHeight="1">
      <c r="A4515" s="2" t="s">
        <v>9864</v>
      </c>
      <c r="B4515" s="2" t="s">
        <v>978</v>
      </c>
      <c r="C4515" s="31" t="s">
        <v>5100</v>
      </c>
      <c r="D4515" s="2" t="s">
        <v>30</v>
      </c>
      <c r="E4515" s="2" t="s">
        <v>245</v>
      </c>
      <c r="F4515" s="11" t="s">
        <v>6206</v>
      </c>
      <c r="G4515" s="21" t="s">
        <v>6207</v>
      </c>
      <c r="H4515" s="2" t="s">
        <v>1468</v>
      </c>
      <c r="I4515" s="12" t="s">
        <v>5047</v>
      </c>
      <c r="J4515" s="41">
        <f>+Tabla1[[#This Row],[FECHA ENTRADA]]</f>
        <v>45932</v>
      </c>
      <c r="K4515" s="41">
        <v>45982</v>
      </c>
      <c r="L4515" s="42">
        <f>_xlfn.DAYS(Tabla1[[#This Row],[FECHA FIN ]],Tabla1[[#This Row],[FECHA INICIO]])</f>
        <v>50</v>
      </c>
      <c r="M4515" s="12">
        <v>500</v>
      </c>
      <c r="N4515" s="28"/>
      <c r="O4515" s="28">
        <f>(Tabla1[[#This Row],[COSTO FIJO ]]/30)*Tabla1[[#This Row],[TOTAL DIAS PROYECTO]]+(Tabla1[[#This Row],[COSTO TEMPORAL]])</f>
        <v>500</v>
      </c>
      <c r="P4515" s="12"/>
      <c r="Q4515" s="12">
        <f>+(Tabla1[[#This Row],[COSTO COCHE]]/30)*Tabla1[[#This Row],[TOTAL DIAS PROYECTO]]</f>
        <v>0</v>
      </c>
      <c r="R4515" s="12">
        <f>+Tabla1[[#This Row],[COSTO TOTAL ALOJAMIENTO]]+Tabla1[[#This Row],[COSTO TOTAL COCHE]]</f>
        <v>500</v>
      </c>
      <c r="S4515" s="2" t="s">
        <v>84</v>
      </c>
      <c r="T4515" s="14" t="s">
        <v>44</v>
      </c>
      <c r="U4515" s="14">
        <v>45932</v>
      </c>
      <c r="V4515" s="25">
        <v>45993</v>
      </c>
      <c r="W4515" s="71"/>
      <c r="X4515" s="2"/>
      <c r="Y4515" s="11" t="s">
        <v>6569</v>
      </c>
      <c r="Z4515" s="2" t="s">
        <v>36</v>
      </c>
      <c r="AA4515" s="13" t="s">
        <v>10355</v>
      </c>
      <c r="AB4515" s="13" t="s">
        <v>10356</v>
      </c>
    </row>
    <row r="4516" spans="1:28" ht="15" customHeight="1">
      <c r="A4516" s="2" t="s">
        <v>9539</v>
      </c>
      <c r="B4516" s="2" t="s">
        <v>978</v>
      </c>
      <c r="C4516" s="11" t="s">
        <v>3579</v>
      </c>
      <c r="D4516" s="2" t="s">
        <v>30</v>
      </c>
      <c r="E4516" s="2" t="s">
        <v>109</v>
      </c>
      <c r="F4516" s="11" t="s">
        <v>6245</v>
      </c>
      <c r="G4516" s="46" t="s">
        <v>6246</v>
      </c>
      <c r="H4516" s="2" t="s">
        <v>4680</v>
      </c>
      <c r="I4516" s="12" t="s">
        <v>4681</v>
      </c>
      <c r="J4516" s="41">
        <f>+Tabla1[[#This Row],[FECHA ENTRADA]]</f>
        <v>45870</v>
      </c>
      <c r="K4516" s="22">
        <v>45873</v>
      </c>
      <c r="L4516" s="42">
        <f>_xlfn.DAYS(Tabla1[[#This Row],[FECHA FIN ]],Tabla1[[#This Row],[FECHA INICIO]])</f>
        <v>3</v>
      </c>
      <c r="M4516" s="12"/>
      <c r="N4516" s="12"/>
      <c r="O4516" s="28">
        <f>(Tabla1[[#This Row],[COSTO FIJO ]]/30)*Tabla1[[#This Row],[TOTAL DIAS PROYECTO]]+(Tabla1[[#This Row],[COSTO TEMPORAL]])</f>
        <v>0</v>
      </c>
      <c r="P4516" s="12"/>
      <c r="Q4516" s="12">
        <f>+(Tabla1[[#This Row],[COSTO COCHE]]/30)*Tabla1[[#This Row],[TOTAL DIAS PROYECTO]]</f>
        <v>0</v>
      </c>
      <c r="R4516" s="12">
        <f>+Tabla1[[#This Row],[COSTO TOTAL ALOJAMIENTO]]+Tabla1[[#This Row],[COSTO TOTAL COCHE]]</f>
        <v>0</v>
      </c>
      <c r="S4516" s="2"/>
      <c r="T4516" s="14" t="s">
        <v>44</v>
      </c>
      <c r="U4516" s="79">
        <v>45870</v>
      </c>
      <c r="V4516" s="43">
        <v>45873</v>
      </c>
      <c r="W4516" s="12"/>
      <c r="X4516" s="2"/>
      <c r="Y4516" s="11" t="s">
        <v>6247</v>
      </c>
      <c r="Z4516" s="2" t="s">
        <v>36</v>
      </c>
      <c r="AA4516" s="13">
        <v>0.62217999999999996</v>
      </c>
      <c r="AB4516" s="13" t="s">
        <v>10339</v>
      </c>
    </row>
    <row r="4517" spans="1:28" ht="15" customHeight="1">
      <c r="A4517" s="2" t="s">
        <v>9868</v>
      </c>
      <c r="B4517" s="2" t="s">
        <v>711</v>
      </c>
      <c r="C4517" s="31" t="s">
        <v>5128</v>
      </c>
      <c r="D4517" s="2" t="s">
        <v>30</v>
      </c>
      <c r="E4517" s="2" t="s">
        <v>213</v>
      </c>
      <c r="F4517" s="11" t="s">
        <v>1971</v>
      </c>
      <c r="G4517" s="11" t="s">
        <v>1972</v>
      </c>
      <c r="H4517" s="2" t="s">
        <v>5130</v>
      </c>
      <c r="I4517" s="12" t="s">
        <v>4464</v>
      </c>
      <c r="J4517" s="22">
        <f>+Tabla1[[#This Row],[FECHA ENTRADA]]</f>
        <v>45909</v>
      </c>
      <c r="K4517" s="22">
        <v>45912</v>
      </c>
      <c r="L4517" s="23">
        <f>_xlfn.DAYS(Tabla1[[#This Row],[FECHA FIN ]],Tabla1[[#This Row],[FECHA INICIO]])</f>
        <v>3</v>
      </c>
      <c r="M4517" s="12"/>
      <c r="N4517" s="20">
        <v>480</v>
      </c>
      <c r="O4517" s="24">
        <f>(Tabla1[[#This Row],[COSTO FIJO ]]/30)*Tabla1[[#This Row],[TOTAL DIAS PROYECTO]]+(Tabla1[[#This Row],[COSTO TEMPORAL]])</f>
        <v>48</v>
      </c>
      <c r="P4517" s="12"/>
      <c r="Q4517" s="12">
        <f>+(Tabla1[[#This Row],[COSTO COCHE]]/30)*Tabla1[[#This Row],[TOTAL DIAS PROYECTO]]</f>
        <v>0</v>
      </c>
      <c r="R4517" s="12">
        <f>+Tabla1[[#This Row],[COSTO TOTAL ALOJAMIENTO]]+Tabla1[[#This Row],[COSTO TOTAL COCHE]]</f>
        <v>48</v>
      </c>
      <c r="S4517" s="2"/>
      <c r="T4517" s="14" t="s">
        <v>35</v>
      </c>
      <c r="U4517" s="14">
        <v>45909</v>
      </c>
      <c r="V4517" s="79"/>
      <c r="W4517" s="71"/>
      <c r="X4517" s="2">
        <v>29</v>
      </c>
      <c r="Y4517" s="30" t="s">
        <v>6570</v>
      </c>
      <c r="Z4517" s="2" t="s">
        <v>36</v>
      </c>
      <c r="AA4517" s="13" t="s">
        <v>10349</v>
      </c>
      <c r="AB4517" s="13" t="s">
        <v>10350</v>
      </c>
    </row>
    <row r="4518" spans="1:28" ht="15" customHeight="1">
      <c r="A4518" s="2" t="s">
        <v>9795</v>
      </c>
      <c r="B4518" s="2" t="s">
        <v>978</v>
      </c>
      <c r="C4518" s="11" t="s">
        <v>4770</v>
      </c>
      <c r="D4518" s="2" t="s">
        <v>30</v>
      </c>
      <c r="E4518" s="2" t="s">
        <v>476</v>
      </c>
      <c r="F4518" s="11" t="s">
        <v>5315</v>
      </c>
      <c r="G4518" s="21" t="s">
        <v>4712</v>
      </c>
      <c r="H4518" s="2" t="s">
        <v>4768</v>
      </c>
      <c r="I4518" s="12" t="s">
        <v>4714</v>
      </c>
      <c r="J4518" s="22">
        <f>+Tabla1[[#This Row],[FECHA ENTRADA]]</f>
        <v>46029</v>
      </c>
      <c r="K4518" s="22">
        <v>46035</v>
      </c>
      <c r="L4518" s="23">
        <f>_xlfn.DAYS(Tabla1[[#This Row],[FECHA FIN ]],Tabla1[[#This Row],[FECHA INICIO]])</f>
        <v>6</v>
      </c>
      <c r="M4518" s="12">
        <v>175</v>
      </c>
      <c r="N4518" s="20"/>
      <c r="O4518" s="24">
        <f>(Tabla1[[#This Row],[COSTO FIJO ]]/30)*Tabla1[[#This Row],[TOTAL DIAS PROYECTO]]+(Tabla1[[#This Row],[COSTO TEMPORAL]])</f>
        <v>175</v>
      </c>
      <c r="P4518" s="12"/>
      <c r="Q4518" s="12">
        <f>+(Tabla1[[#This Row],[COSTO COCHE]]/30)*Tabla1[[#This Row],[TOTAL DIAS PROYECTO]]</f>
        <v>0</v>
      </c>
      <c r="R4518" s="12">
        <f>+Tabla1[[#This Row],[COSTO TOTAL ALOJAMIENTO]]+Tabla1[[#This Row],[COSTO TOTAL COCHE]]</f>
        <v>175</v>
      </c>
      <c r="S4518" s="2"/>
      <c r="T4518" s="14" t="s">
        <v>44</v>
      </c>
      <c r="U4518" s="14">
        <v>46029</v>
      </c>
      <c r="V4518" s="79">
        <v>46035</v>
      </c>
      <c r="W4518" s="12"/>
      <c r="X4518" s="2"/>
      <c r="Y4518" s="11" t="s">
        <v>1361</v>
      </c>
      <c r="Z4518" s="2" t="s">
        <v>36</v>
      </c>
      <c r="AA4518" s="13">
        <v>-7.8640699999999999</v>
      </c>
      <c r="AB4518" s="13">
        <v>42.336689999999997</v>
      </c>
    </row>
    <row r="4519" spans="1:28" ht="15" customHeight="1">
      <c r="A4519" s="2" t="s">
        <v>9892</v>
      </c>
      <c r="B4519" s="2" t="s">
        <v>978</v>
      </c>
      <c r="C4519" s="31" t="s">
        <v>5238</v>
      </c>
      <c r="D4519" s="2" t="s">
        <v>30</v>
      </c>
      <c r="E4519" s="2" t="s">
        <v>245</v>
      </c>
      <c r="F4519" s="11" t="s">
        <v>6206</v>
      </c>
      <c r="G4519" s="21" t="s">
        <v>6207</v>
      </c>
      <c r="H4519" s="2" t="s">
        <v>1468</v>
      </c>
      <c r="I4519" s="12" t="s">
        <v>5047</v>
      </c>
      <c r="J4519" s="41">
        <f>+Tabla1[[#This Row],[FECHA ENTRADA]]</f>
        <v>45932</v>
      </c>
      <c r="K4519" s="41">
        <v>45982</v>
      </c>
      <c r="L4519" s="42">
        <f>_xlfn.DAYS(Tabla1[[#This Row],[FECHA FIN ]],Tabla1[[#This Row],[FECHA INICIO]])</f>
        <v>50</v>
      </c>
      <c r="M4519" s="12">
        <v>500</v>
      </c>
      <c r="N4519" s="28"/>
      <c r="O4519" s="28">
        <f>(Tabla1[[#This Row],[COSTO FIJO ]]/30)*Tabla1[[#This Row],[TOTAL DIAS PROYECTO]]+(Tabla1[[#This Row],[COSTO TEMPORAL]])</f>
        <v>500</v>
      </c>
      <c r="P4519" s="12"/>
      <c r="Q4519" s="12">
        <f>+(Tabla1[[#This Row],[COSTO COCHE]]/30)*Tabla1[[#This Row],[TOTAL DIAS PROYECTO]]</f>
        <v>0</v>
      </c>
      <c r="R4519" s="12">
        <f>+Tabla1[[#This Row],[COSTO TOTAL ALOJAMIENTO]]+Tabla1[[#This Row],[COSTO TOTAL COCHE]]</f>
        <v>500</v>
      </c>
      <c r="S4519" s="2" t="s">
        <v>84</v>
      </c>
      <c r="T4519" s="14" t="s">
        <v>44</v>
      </c>
      <c r="U4519" s="14">
        <v>45932</v>
      </c>
      <c r="V4519" s="25">
        <v>45993</v>
      </c>
      <c r="W4519" s="71"/>
      <c r="X4519" s="2"/>
      <c r="Y4519" s="11" t="s">
        <v>6569</v>
      </c>
      <c r="Z4519" s="2" t="s">
        <v>36</v>
      </c>
      <c r="AA4519" s="13" t="s">
        <v>10355</v>
      </c>
      <c r="AB4519" s="13" t="s">
        <v>10356</v>
      </c>
    </row>
    <row r="4520" spans="1:28" ht="15" customHeight="1">
      <c r="A4520" s="2" t="s">
        <v>9410</v>
      </c>
      <c r="B4520" s="2" t="s">
        <v>606</v>
      </c>
      <c r="C4520" s="31" t="s">
        <v>3092</v>
      </c>
      <c r="D4520" s="2" t="s">
        <v>99</v>
      </c>
      <c r="E4520" s="2" t="s">
        <v>31</v>
      </c>
      <c r="F4520" s="11" t="s">
        <v>6382</v>
      </c>
      <c r="G4520" s="21" t="s">
        <v>6372</v>
      </c>
      <c r="H4520" s="2" t="s">
        <v>6571</v>
      </c>
      <c r="I4520" s="12" t="s">
        <v>385</v>
      </c>
      <c r="J4520" s="22">
        <f>+Tabla1[[#This Row],[FECHA ENTRADA]]</f>
        <v>46029</v>
      </c>
      <c r="K4520" s="22">
        <v>46035</v>
      </c>
      <c r="L4520" s="23">
        <f>_xlfn.DAYS(Tabla1[[#This Row],[FECHA FIN ]],Tabla1[[#This Row],[FECHA INICIO]])</f>
        <v>6</v>
      </c>
      <c r="M4520" s="12">
        <v>330</v>
      </c>
      <c r="N4520" s="20"/>
      <c r="O4520" s="24">
        <f>(Tabla1[[#This Row],[COSTO FIJO ]]/30)*Tabla1[[#This Row],[TOTAL DIAS PROYECTO]]+(Tabla1[[#This Row],[COSTO TEMPORAL]])</f>
        <v>330</v>
      </c>
      <c r="P4520" s="12"/>
      <c r="Q4520" s="12">
        <f>+(Tabla1[[#This Row],[COSTO COCHE]]/30)*Tabla1[[#This Row],[TOTAL DIAS PROYECTO]]</f>
        <v>0</v>
      </c>
      <c r="R4520" s="12">
        <f>+Tabla1[[#This Row],[COSTO TOTAL ALOJAMIENTO]]+Tabla1[[#This Row],[COSTO TOTAL COCHE]]</f>
        <v>330</v>
      </c>
      <c r="S4520" s="2"/>
      <c r="T4520" s="14" t="s">
        <v>44</v>
      </c>
      <c r="U4520" s="14">
        <v>46029</v>
      </c>
      <c r="V4520" s="79">
        <v>46046</v>
      </c>
      <c r="W4520" s="12"/>
      <c r="X4520" s="2"/>
      <c r="Y4520" s="300" t="s">
        <v>6572</v>
      </c>
      <c r="Z4520" s="2" t="s">
        <v>36</v>
      </c>
      <c r="AA4520" s="13" t="s">
        <v>10323</v>
      </c>
      <c r="AB4520" s="13" t="s">
        <v>10324</v>
      </c>
    </row>
    <row r="4521" spans="1:28" ht="15" customHeight="1">
      <c r="A4521" s="2" t="s">
        <v>10120</v>
      </c>
      <c r="B4521" s="2" t="s">
        <v>28</v>
      </c>
      <c r="C4521" s="31" t="s">
        <v>6502</v>
      </c>
      <c r="D4521" s="2" t="s">
        <v>30</v>
      </c>
      <c r="E4521" s="2" t="s">
        <v>422</v>
      </c>
      <c r="F4521" s="11" t="s">
        <v>956</v>
      </c>
      <c r="G4521" s="11" t="s">
        <v>957</v>
      </c>
      <c r="H4521" s="2" t="s">
        <v>6253</v>
      </c>
      <c r="I4521" s="12" t="s">
        <v>4327</v>
      </c>
      <c r="J4521" s="22">
        <f>+Tabla1[[#This Row],[FECHA ENTRADA]]</f>
        <v>45886</v>
      </c>
      <c r="K4521" s="22">
        <v>45933</v>
      </c>
      <c r="L4521" s="23">
        <f>_xlfn.DAYS(Tabla1[[#This Row],[FECHA FIN ]],Tabla1[[#This Row],[FECHA INICIO]])</f>
        <v>47</v>
      </c>
      <c r="M4521" s="12"/>
      <c r="N4521" s="12"/>
      <c r="O4521" s="24">
        <f>(Tabla1[[#This Row],[COSTO FIJO ]]/30)*Tabla1[[#This Row],[TOTAL DIAS PROYECTO]]+(Tabla1[[#This Row],[COSTO TEMPORAL]])</f>
        <v>0</v>
      </c>
      <c r="P4521" s="12"/>
      <c r="Q4521" s="12">
        <f>+(Tabla1[[#This Row],[COSTO COCHE]]/30)*Tabla1[[#This Row],[TOTAL DIAS PROYECTO]]</f>
        <v>0</v>
      </c>
      <c r="R4521" s="12">
        <f>+Tabla1[[#This Row],[COSTO TOTAL ALOJAMIENTO]]+Tabla1[[#This Row],[COSTO TOTAL COCHE]]</f>
        <v>0</v>
      </c>
      <c r="S4521" s="2"/>
      <c r="T4521" s="14" t="s">
        <v>35</v>
      </c>
      <c r="U4521" s="14">
        <v>45886</v>
      </c>
      <c r="V4521" s="25"/>
      <c r="W4521" s="12"/>
      <c r="X4521" s="2">
        <v>5</v>
      </c>
      <c r="Y4521" s="11" t="s">
        <v>4839</v>
      </c>
      <c r="Z4521" s="2" t="s">
        <v>36</v>
      </c>
      <c r="AA4521" s="13">
        <v>-326.69799999999998</v>
      </c>
      <c r="AB4521" s="13" t="s">
        <v>10373</v>
      </c>
    </row>
    <row r="4522" spans="1:28" ht="15" customHeight="1">
      <c r="A4522" s="2" t="s">
        <v>9796</v>
      </c>
      <c r="B4522" s="2" t="s">
        <v>978</v>
      </c>
      <c r="C4522" s="69" t="s">
        <v>4773</v>
      </c>
      <c r="D4522" s="2" t="s">
        <v>30</v>
      </c>
      <c r="E4522" s="2" t="s">
        <v>1393</v>
      </c>
      <c r="F4522" s="11" t="s">
        <v>6573</v>
      </c>
      <c r="G4522" s="46"/>
      <c r="H4522" s="2" t="s">
        <v>5126</v>
      </c>
      <c r="I4522" s="12" t="s">
        <v>4255</v>
      </c>
      <c r="J4522" s="41">
        <f>+Tabla1[[#This Row],[FECHA ENTRADA]]</f>
        <v>45923</v>
      </c>
      <c r="K4522" s="41">
        <v>46036</v>
      </c>
      <c r="L4522" s="42">
        <f>_xlfn.DAYS(Tabla1[[#This Row],[FECHA FIN ]],Tabla1[[#This Row],[FECHA INICIO]])</f>
        <v>113</v>
      </c>
      <c r="M4522" s="12"/>
      <c r="N4522" s="28">
        <v>300</v>
      </c>
      <c r="O4522" s="28">
        <f>(Tabla1[[#This Row],[COSTO FIJO ]]/30)*Tabla1[[#This Row],[TOTAL DIAS PROYECTO]]+(Tabla1[[#This Row],[COSTO TEMPORAL]])</f>
        <v>1130</v>
      </c>
      <c r="P4522" s="12"/>
      <c r="Q4522" s="12">
        <f>+(Tabla1[[#This Row],[COSTO COCHE]]/30)*Tabla1[[#This Row],[TOTAL DIAS PROYECTO]]</f>
        <v>0</v>
      </c>
      <c r="R4522" s="12">
        <f>+Tabla1[[#This Row],[COSTO TOTAL ALOJAMIENTO]]+Tabla1[[#This Row],[COSTO TOTAL COCHE]]</f>
        <v>1130</v>
      </c>
      <c r="S4522" s="2"/>
      <c r="T4522" s="14" t="s">
        <v>58</v>
      </c>
      <c r="U4522" s="14">
        <v>45923</v>
      </c>
      <c r="V4522" s="43"/>
      <c r="W4522" s="71"/>
      <c r="X4522" s="2"/>
      <c r="Y4522" s="11" t="s">
        <v>6574</v>
      </c>
      <c r="Z4522" s="2" t="s">
        <v>36</v>
      </c>
      <c r="AA4522" s="13" t="s">
        <v>10416</v>
      </c>
      <c r="AB4522" s="13" t="s">
        <v>10417</v>
      </c>
    </row>
    <row r="4523" spans="1:28" ht="15" customHeight="1">
      <c r="A4523" s="2" t="s">
        <v>8638</v>
      </c>
      <c r="B4523" s="2" t="s">
        <v>978</v>
      </c>
      <c r="C4523" s="69" t="s">
        <v>2140</v>
      </c>
      <c r="D4523" s="2" t="s">
        <v>30</v>
      </c>
      <c r="E4523" s="2" t="s">
        <v>1393</v>
      </c>
      <c r="F4523" s="11" t="s">
        <v>5124</v>
      </c>
      <c r="G4523" s="46" t="s">
        <v>5125</v>
      </c>
      <c r="H4523" s="2" t="s">
        <v>3970</v>
      </c>
      <c r="I4523" s="12" t="s">
        <v>4255</v>
      </c>
      <c r="J4523" s="41">
        <f>+Tabla1[[#This Row],[FECHA ENTRADA]]</f>
        <v>45849</v>
      </c>
      <c r="K4523" s="41">
        <v>46036</v>
      </c>
      <c r="L4523" s="42">
        <f>_xlfn.DAYS(Tabla1[[#This Row],[FECHA FIN ]],Tabla1[[#This Row],[FECHA INICIO]])</f>
        <v>187</v>
      </c>
      <c r="M4523" s="12">
        <f>35*Tabla1[[#This Row],[TOTAL DIAS PROYECTO]]</f>
        <v>6545</v>
      </c>
      <c r="N4523" s="28"/>
      <c r="O4523" s="28">
        <f>(Tabla1[[#This Row],[COSTO FIJO ]]/30)*Tabla1[[#This Row],[TOTAL DIAS PROYECTO]]+(Tabla1[[#This Row],[COSTO TEMPORAL]])</f>
        <v>6545</v>
      </c>
      <c r="P4523" s="12"/>
      <c r="Q4523" s="12">
        <f>+(Tabla1[[#This Row],[COSTO COCHE]]/30)*Tabla1[[#This Row],[TOTAL DIAS PROYECTO]]</f>
        <v>0</v>
      </c>
      <c r="R4523" s="12">
        <f>+Tabla1[[#This Row],[COSTO TOTAL ALOJAMIENTO]]+Tabla1[[#This Row],[COSTO TOTAL COCHE]]</f>
        <v>6545</v>
      </c>
      <c r="S4523" s="2"/>
      <c r="T4523" s="14" t="s">
        <v>44</v>
      </c>
      <c r="U4523" s="14">
        <v>45849</v>
      </c>
      <c r="V4523" s="79">
        <v>46042</v>
      </c>
      <c r="W4523" s="12"/>
      <c r="X4523" s="2"/>
      <c r="Y4523" t="s">
        <v>6575</v>
      </c>
      <c r="Z4523" s="2" t="s">
        <v>36</v>
      </c>
      <c r="AA4523" s="13" t="s">
        <v>10416</v>
      </c>
      <c r="AB4523" s="13" t="s">
        <v>10417</v>
      </c>
    </row>
    <row r="4524" spans="1:28" ht="15" customHeight="1">
      <c r="A4524" s="2" t="s">
        <v>9740</v>
      </c>
      <c r="B4524" s="2" t="s">
        <v>368</v>
      </c>
      <c r="C4524" s="11" t="s">
        <v>4508</v>
      </c>
      <c r="D4524" s="2" t="s">
        <v>30</v>
      </c>
      <c r="E4524" s="2" t="s">
        <v>213</v>
      </c>
      <c r="F4524" s="11" t="s">
        <v>1733</v>
      </c>
      <c r="G4524" s="21" t="s">
        <v>1734</v>
      </c>
      <c r="H4524" s="2" t="s">
        <v>5149</v>
      </c>
      <c r="I4524" s="12" t="s">
        <v>1043</v>
      </c>
      <c r="J4524" s="22">
        <f>+Tabla1[[#This Row],[FECHA ENTRADA]]</f>
        <v>46020</v>
      </c>
      <c r="K4524" s="22">
        <v>46036</v>
      </c>
      <c r="L4524" s="23">
        <f>_xlfn.DAYS(Tabla1[[#This Row],[FECHA FIN ]],Tabla1[[#This Row],[FECHA INICIO]])</f>
        <v>16</v>
      </c>
      <c r="M4524" s="12"/>
      <c r="N4524" s="20"/>
      <c r="O4524" s="24">
        <f>(Tabla1[[#This Row],[COSTO FIJO ]]/30)*Tabla1[[#This Row],[TOTAL DIAS PROYECTO]]+(Tabla1[[#This Row],[COSTO TEMPORAL]])</f>
        <v>0</v>
      </c>
      <c r="P4524" s="12"/>
      <c r="Q4524" s="12">
        <f>+(Tabla1[[#This Row],[COSTO COCHE]]/30)*Tabla1[[#This Row],[TOTAL DIAS PROYECTO]]</f>
        <v>0</v>
      </c>
      <c r="R4524" s="12">
        <f>+Tabla1[[#This Row],[COSTO TOTAL ALOJAMIENTO]]+Tabla1[[#This Row],[COSTO TOTAL COCHE]]</f>
        <v>0</v>
      </c>
      <c r="S4524" s="2"/>
      <c r="T4524" s="14" t="s">
        <v>44</v>
      </c>
      <c r="U4524" s="14">
        <v>46020</v>
      </c>
      <c r="V4524" s="79">
        <v>46037</v>
      </c>
      <c r="W4524" s="12"/>
      <c r="X4524" s="2"/>
      <c r="Y4524" s="11" t="s">
        <v>6576</v>
      </c>
      <c r="Z4524" s="2" t="s">
        <v>36</v>
      </c>
      <c r="AA4524" s="13" t="s">
        <v>10349</v>
      </c>
      <c r="AB4524" s="13" t="s">
        <v>10350</v>
      </c>
    </row>
    <row r="4525" spans="1:28" ht="15" customHeight="1">
      <c r="A4525" s="2" t="s">
        <v>9871</v>
      </c>
      <c r="B4525" s="2" t="s">
        <v>368</v>
      </c>
      <c r="C4525" s="11" t="s">
        <v>5150</v>
      </c>
      <c r="D4525" s="2" t="s">
        <v>30</v>
      </c>
      <c r="E4525" s="2" t="s">
        <v>213</v>
      </c>
      <c r="F4525" s="11" t="s">
        <v>1733</v>
      </c>
      <c r="G4525" s="21" t="s">
        <v>1734</v>
      </c>
      <c r="H4525" s="2" t="s">
        <v>5151</v>
      </c>
      <c r="I4525" s="12" t="s">
        <v>1043</v>
      </c>
      <c r="J4525" s="22">
        <f>+Tabla1[[#This Row],[FECHA ENTRADA]]</f>
        <v>46020</v>
      </c>
      <c r="K4525" s="22">
        <v>46036</v>
      </c>
      <c r="L4525" s="23">
        <f>_xlfn.DAYS(Tabla1[[#This Row],[FECHA FIN ]],Tabla1[[#This Row],[FECHA INICIO]])</f>
        <v>16</v>
      </c>
      <c r="M4525" s="12"/>
      <c r="N4525" s="20"/>
      <c r="O4525" s="24">
        <f>(Tabla1[[#This Row],[COSTO FIJO ]]/30)*Tabla1[[#This Row],[TOTAL DIAS PROYECTO]]+(Tabla1[[#This Row],[COSTO TEMPORAL]])</f>
        <v>0</v>
      </c>
      <c r="P4525" s="12"/>
      <c r="Q4525" s="12">
        <f>+(Tabla1[[#This Row],[COSTO COCHE]]/30)*Tabla1[[#This Row],[TOTAL DIAS PROYECTO]]</f>
        <v>0</v>
      </c>
      <c r="R4525" s="12">
        <f>+Tabla1[[#This Row],[COSTO TOTAL ALOJAMIENTO]]+Tabla1[[#This Row],[COSTO TOTAL COCHE]]</f>
        <v>0</v>
      </c>
      <c r="S4525" s="2"/>
      <c r="T4525" s="14" t="s">
        <v>44</v>
      </c>
      <c r="U4525" s="14">
        <v>46020</v>
      </c>
      <c r="V4525" s="79">
        <v>46037</v>
      </c>
      <c r="W4525" s="12"/>
      <c r="X4525" s="2"/>
      <c r="Y4525" s="11" t="s">
        <v>6576</v>
      </c>
      <c r="Z4525" s="2" t="s">
        <v>36</v>
      </c>
      <c r="AA4525" s="13" t="s">
        <v>10349</v>
      </c>
      <c r="AB4525" s="13" t="s">
        <v>10350</v>
      </c>
    </row>
    <row r="4526" spans="1:28" ht="15" customHeight="1">
      <c r="A4526" s="2" t="s">
        <v>9028</v>
      </c>
      <c r="B4526" s="2" t="s">
        <v>28</v>
      </c>
      <c r="C4526" s="11" t="s">
        <v>1737</v>
      </c>
      <c r="D4526" s="2" t="s">
        <v>30</v>
      </c>
      <c r="E4526" s="2" t="s">
        <v>213</v>
      </c>
      <c r="F4526" s="11" t="s">
        <v>1733</v>
      </c>
      <c r="G4526" s="21" t="s">
        <v>1734</v>
      </c>
      <c r="H4526" s="2" t="s">
        <v>1738</v>
      </c>
      <c r="I4526" s="12" t="s">
        <v>1043</v>
      </c>
      <c r="J4526" s="22">
        <f>+Tabla1[[#This Row],[FECHA ENTRADA]]</f>
        <v>46020</v>
      </c>
      <c r="K4526" s="22">
        <v>46036</v>
      </c>
      <c r="L4526" s="23">
        <f>_xlfn.DAYS(Tabla1[[#This Row],[FECHA FIN ]],Tabla1[[#This Row],[FECHA INICIO]])</f>
        <v>16</v>
      </c>
      <c r="M4526" s="12"/>
      <c r="N4526" s="20"/>
      <c r="O4526" s="24">
        <f>(Tabla1[[#This Row],[COSTO FIJO ]]/30)*Tabla1[[#This Row],[TOTAL DIAS PROYECTO]]+(Tabla1[[#This Row],[COSTO TEMPORAL]])</f>
        <v>0</v>
      </c>
      <c r="P4526" s="12"/>
      <c r="Q4526" s="12">
        <f>+(Tabla1[[#This Row],[COSTO COCHE]]/30)*Tabla1[[#This Row],[TOTAL DIAS PROYECTO]]</f>
        <v>0</v>
      </c>
      <c r="R4526" s="12">
        <f>+Tabla1[[#This Row],[COSTO TOTAL ALOJAMIENTO]]+Tabla1[[#This Row],[COSTO TOTAL COCHE]]</f>
        <v>0</v>
      </c>
      <c r="S4526" s="2"/>
      <c r="T4526" s="14" t="s">
        <v>44</v>
      </c>
      <c r="U4526" s="14">
        <v>46020</v>
      </c>
      <c r="V4526" s="79">
        <v>46037</v>
      </c>
      <c r="W4526" s="12"/>
      <c r="X4526" s="2"/>
      <c r="Y4526" s="11" t="s">
        <v>6576</v>
      </c>
      <c r="Z4526" s="2" t="s">
        <v>36</v>
      </c>
      <c r="AA4526" s="13" t="s">
        <v>10349</v>
      </c>
      <c r="AB4526" s="13" t="s">
        <v>10350</v>
      </c>
    </row>
    <row r="4527" spans="1:28" ht="15" customHeight="1">
      <c r="A4527" s="2" t="s">
        <v>9027</v>
      </c>
      <c r="B4527" s="2" t="s">
        <v>28</v>
      </c>
      <c r="C4527" s="11" t="s">
        <v>1732</v>
      </c>
      <c r="D4527" s="2" t="s">
        <v>30</v>
      </c>
      <c r="E4527" s="2" t="s">
        <v>213</v>
      </c>
      <c r="F4527" s="11" t="s">
        <v>1733</v>
      </c>
      <c r="G4527" s="21" t="s">
        <v>1734</v>
      </c>
      <c r="H4527" s="2" t="s">
        <v>1735</v>
      </c>
      <c r="I4527" s="12" t="s">
        <v>1043</v>
      </c>
      <c r="J4527" s="22">
        <f>+Tabla1[[#This Row],[FECHA ENTRADA]]</f>
        <v>46020</v>
      </c>
      <c r="K4527" s="22">
        <v>46036</v>
      </c>
      <c r="L4527" s="23">
        <f>_xlfn.DAYS(Tabla1[[#This Row],[FECHA FIN ]],Tabla1[[#This Row],[FECHA INICIO]])</f>
        <v>16</v>
      </c>
      <c r="M4527" s="12"/>
      <c r="N4527" s="20"/>
      <c r="O4527" s="24">
        <f>(Tabla1[[#This Row],[COSTO FIJO ]]/30)*Tabla1[[#This Row],[TOTAL DIAS PROYECTO]]+(Tabla1[[#This Row],[COSTO TEMPORAL]])</f>
        <v>0</v>
      </c>
      <c r="P4527" s="12"/>
      <c r="Q4527" s="12">
        <f>+(Tabla1[[#This Row],[COSTO COCHE]]/30)*Tabla1[[#This Row],[TOTAL DIAS PROYECTO]]</f>
        <v>0</v>
      </c>
      <c r="R4527" s="12">
        <f>+Tabla1[[#This Row],[COSTO TOTAL ALOJAMIENTO]]+Tabla1[[#This Row],[COSTO TOTAL COCHE]]</f>
        <v>0</v>
      </c>
      <c r="S4527" s="2"/>
      <c r="T4527" s="14" t="s">
        <v>44</v>
      </c>
      <c r="U4527" s="14">
        <v>46020</v>
      </c>
      <c r="V4527" s="79">
        <v>46037</v>
      </c>
      <c r="W4527" s="12"/>
      <c r="X4527" s="2"/>
      <c r="Y4527" s="11" t="s">
        <v>6576</v>
      </c>
      <c r="Z4527" s="2" t="s">
        <v>36</v>
      </c>
      <c r="AA4527" s="13" t="s">
        <v>10349</v>
      </c>
      <c r="AB4527" s="13" t="s">
        <v>10350</v>
      </c>
    </row>
    <row r="4528" spans="1:28" ht="15" customHeight="1">
      <c r="A4528" s="2" t="s">
        <v>10119</v>
      </c>
      <c r="B4528" s="2" t="s">
        <v>606</v>
      </c>
      <c r="C4528" s="31" t="s">
        <v>6491</v>
      </c>
      <c r="D4528" s="2" t="s">
        <v>30</v>
      </c>
      <c r="E4528" s="2" t="s">
        <v>31</v>
      </c>
      <c r="F4528" s="11"/>
      <c r="G4528" s="21"/>
      <c r="H4528" s="2" t="s">
        <v>6577</v>
      </c>
      <c r="I4528" s="12" t="s">
        <v>34</v>
      </c>
      <c r="J4528" s="22">
        <f>+Tabla1[[#This Row],[FECHA ENTRADA]]</f>
        <v>46036</v>
      </c>
      <c r="K4528" s="22">
        <v>46036</v>
      </c>
      <c r="L4528" s="23">
        <f>_xlfn.DAYS(Tabla1[[#This Row],[FECHA FIN ]],Tabla1[[#This Row],[FECHA INICIO]])</f>
        <v>0</v>
      </c>
      <c r="M4528" s="12"/>
      <c r="N4528" s="24">
        <v>300</v>
      </c>
      <c r="O4528" s="24">
        <f>(Tabla1[[#This Row],[COSTO FIJO ]]/30)*Tabla1[[#This Row],[TOTAL DIAS PROYECTO]]+(Tabla1[[#This Row],[COSTO TEMPORAL]])</f>
        <v>0</v>
      </c>
      <c r="P4528" s="12"/>
      <c r="Q4528" s="12">
        <f>+(Tabla1[[#This Row],[COSTO COCHE]]/30)*Tabla1[[#This Row],[TOTAL DIAS PROYECTO]]</f>
        <v>0</v>
      </c>
      <c r="R4528" s="12">
        <f>+Tabla1[[#This Row],[COSTO TOTAL ALOJAMIENTO]]+Tabla1[[#This Row],[COSTO TOTAL COCHE]]</f>
        <v>0</v>
      </c>
      <c r="S4528" s="2"/>
      <c r="T4528" s="14" t="s">
        <v>58</v>
      </c>
      <c r="U4528" s="14">
        <v>46036</v>
      </c>
      <c r="V4528" s="79"/>
      <c r="W4528" s="12"/>
      <c r="X4528" s="2"/>
      <c r="Y4528" s="11" t="s">
        <v>6578</v>
      </c>
      <c r="Z4528" s="2" t="s">
        <v>36</v>
      </c>
      <c r="AA4528" s="13" t="s">
        <v>10323</v>
      </c>
      <c r="AB4528" s="13" t="s">
        <v>10324</v>
      </c>
    </row>
    <row r="4529" spans="1:28" ht="15" customHeight="1">
      <c r="A4529" s="2" t="s">
        <v>9500</v>
      </c>
      <c r="B4529" s="2" t="s">
        <v>606</v>
      </c>
      <c r="C4529" s="31" t="s">
        <v>3406</v>
      </c>
      <c r="D4529" s="2" t="s">
        <v>99</v>
      </c>
      <c r="E4529" s="2" t="s">
        <v>31</v>
      </c>
      <c r="F4529" s="11"/>
      <c r="G4529" s="21"/>
      <c r="H4529" s="2" t="s">
        <v>6577</v>
      </c>
      <c r="I4529" s="12" t="s">
        <v>34</v>
      </c>
      <c r="J4529" s="22">
        <f>+Tabla1[[#This Row],[FECHA ENTRADA]]</f>
        <v>46036</v>
      </c>
      <c r="K4529" s="22">
        <v>46036</v>
      </c>
      <c r="L4529" s="23">
        <f>_xlfn.DAYS(Tabla1[[#This Row],[FECHA FIN ]],Tabla1[[#This Row],[FECHA INICIO]])</f>
        <v>0</v>
      </c>
      <c r="M4529" s="12"/>
      <c r="N4529" s="24">
        <v>300</v>
      </c>
      <c r="O4529" s="24">
        <f>(Tabla1[[#This Row],[COSTO FIJO ]]/30)*Tabla1[[#This Row],[TOTAL DIAS PROYECTO]]+(Tabla1[[#This Row],[COSTO TEMPORAL]])</f>
        <v>0</v>
      </c>
      <c r="P4529" s="12"/>
      <c r="Q4529" s="12">
        <f>+(Tabla1[[#This Row],[COSTO COCHE]]/30)*Tabla1[[#This Row],[TOTAL DIAS PROYECTO]]</f>
        <v>0</v>
      </c>
      <c r="R4529" s="12">
        <f>+Tabla1[[#This Row],[COSTO TOTAL ALOJAMIENTO]]+Tabla1[[#This Row],[COSTO TOTAL COCHE]]</f>
        <v>0</v>
      </c>
      <c r="S4529" s="2"/>
      <c r="T4529" s="14" t="s">
        <v>58</v>
      </c>
      <c r="U4529" s="14">
        <v>46036</v>
      </c>
      <c r="V4529" s="79"/>
      <c r="W4529" s="12"/>
      <c r="X4529" s="2"/>
      <c r="Y4529" s="11" t="s">
        <v>6578</v>
      </c>
      <c r="Z4529" s="2" t="s">
        <v>36</v>
      </c>
      <c r="AA4529" s="13" t="s">
        <v>10323</v>
      </c>
      <c r="AB4529" s="13" t="s">
        <v>10324</v>
      </c>
    </row>
    <row r="4530" spans="1:28" ht="15" customHeight="1">
      <c r="A4530" s="2" t="s">
        <v>9649</v>
      </c>
      <c r="B4530" s="2" t="s">
        <v>711</v>
      </c>
      <c r="C4530" s="31" t="s">
        <v>4058</v>
      </c>
      <c r="D4530" s="2" t="s">
        <v>78</v>
      </c>
      <c r="E4530" s="2" t="s">
        <v>4055</v>
      </c>
      <c r="F4530" s="11" t="s">
        <v>5482</v>
      </c>
      <c r="G4530" s="49" t="s">
        <v>4515</v>
      </c>
      <c r="H4530" s="2" t="s">
        <v>1391</v>
      </c>
      <c r="I4530" s="12" t="s">
        <v>800</v>
      </c>
      <c r="J4530" s="22">
        <f>+Tabla1[[#This Row],[FECHA ENTRADA]]</f>
        <v>45887</v>
      </c>
      <c r="K4530" s="22">
        <v>46036</v>
      </c>
      <c r="L4530" s="23">
        <f>_xlfn.DAYS(Tabla1[[#This Row],[FECHA FIN ]],Tabla1[[#This Row],[FECHA INICIO]])</f>
        <v>149</v>
      </c>
      <c r="M4530" s="12">
        <f>8567.91/4</f>
        <v>2141.9775</v>
      </c>
      <c r="N4530" s="24"/>
      <c r="O4530" s="24">
        <f>(Tabla1[[#This Row],[COSTO FIJO ]]/30)*Tabla1[[#This Row],[TOTAL DIAS PROYECTO]]+(Tabla1[[#This Row],[COSTO TEMPORAL]])</f>
        <v>2141.9775</v>
      </c>
      <c r="P4530" s="12"/>
      <c r="Q4530" s="12">
        <f>+(Tabla1[[#This Row],[COSTO COCHE]]/30)*Tabla1[[#This Row],[TOTAL DIAS PROYECTO]]</f>
        <v>0</v>
      </c>
      <c r="R4530" s="12">
        <f>+Tabla1[[#This Row],[COSTO TOTAL ALOJAMIENTO]]+Tabla1[[#This Row],[COSTO TOTAL COCHE]]</f>
        <v>2141.9775</v>
      </c>
      <c r="S4530" s="2" t="s">
        <v>84</v>
      </c>
      <c r="T4530" s="14" t="s">
        <v>44</v>
      </c>
      <c r="U4530" s="14">
        <v>45887</v>
      </c>
      <c r="V4530" s="79">
        <v>46042</v>
      </c>
      <c r="W4530" s="12"/>
      <c r="X4530" s="2"/>
      <c r="Y4530" s="11" t="s">
        <v>6579</v>
      </c>
      <c r="Z4530" s="2" t="s">
        <v>36</v>
      </c>
      <c r="AA4530" s="13" t="e">
        <v>#N/A</v>
      </c>
      <c r="AB4530" s="13" t="e">
        <v>#N/A</v>
      </c>
    </row>
    <row r="4531" spans="1:28" ht="15" customHeight="1">
      <c r="A4531" s="2" t="s">
        <v>9803</v>
      </c>
      <c r="B4531" s="2" t="s">
        <v>711</v>
      </c>
      <c r="C4531" s="31" t="s">
        <v>4817</v>
      </c>
      <c r="D4531" s="2" t="s">
        <v>78</v>
      </c>
      <c r="E4531" s="2" t="s">
        <v>4055</v>
      </c>
      <c r="F4531" s="11" t="s">
        <v>5482</v>
      </c>
      <c r="G4531" s="49" t="s">
        <v>4515</v>
      </c>
      <c r="H4531" s="2" t="s">
        <v>4818</v>
      </c>
      <c r="I4531" s="12" t="s">
        <v>800</v>
      </c>
      <c r="J4531" s="22">
        <f>+Tabla1[[#This Row],[FECHA ENTRADA]]</f>
        <v>45887</v>
      </c>
      <c r="K4531" s="22">
        <v>46036</v>
      </c>
      <c r="L4531" s="23">
        <f>_xlfn.DAYS(Tabla1[[#This Row],[FECHA FIN ]],Tabla1[[#This Row],[FECHA INICIO]])</f>
        <v>149</v>
      </c>
      <c r="M4531" s="12">
        <f>8567.91/4</f>
        <v>2141.9775</v>
      </c>
      <c r="N4531" s="24"/>
      <c r="O4531" s="24">
        <f>(Tabla1[[#This Row],[COSTO FIJO ]]/30)*Tabla1[[#This Row],[TOTAL DIAS PROYECTO]]+(Tabla1[[#This Row],[COSTO TEMPORAL]])</f>
        <v>2141.9775</v>
      </c>
      <c r="P4531" s="12"/>
      <c r="Q4531" s="12">
        <f>+(Tabla1[[#This Row],[COSTO COCHE]]/30)*Tabla1[[#This Row],[TOTAL DIAS PROYECTO]]</f>
        <v>0</v>
      </c>
      <c r="R4531" s="12">
        <f>+Tabla1[[#This Row],[COSTO TOTAL ALOJAMIENTO]]+Tabla1[[#This Row],[COSTO TOTAL COCHE]]</f>
        <v>2141.9775</v>
      </c>
      <c r="S4531" s="2" t="s">
        <v>84</v>
      </c>
      <c r="T4531" s="14" t="s">
        <v>44</v>
      </c>
      <c r="U4531" s="14">
        <v>45887</v>
      </c>
      <c r="V4531" s="79">
        <v>46042</v>
      </c>
      <c r="W4531" s="12"/>
      <c r="X4531" s="2"/>
      <c r="Y4531" s="11" t="s">
        <v>6579</v>
      </c>
      <c r="Z4531" s="2" t="s">
        <v>36</v>
      </c>
      <c r="AA4531" s="13" t="e">
        <v>#N/A</v>
      </c>
      <c r="AB4531" s="13" t="e">
        <v>#N/A</v>
      </c>
    </row>
    <row r="4532" spans="1:28" ht="15" customHeight="1">
      <c r="A4532" s="2" t="s">
        <v>9811</v>
      </c>
      <c r="B4532" s="2" t="s">
        <v>606</v>
      </c>
      <c r="C4532" s="31" t="s">
        <v>4861</v>
      </c>
      <c r="D4532" s="2" t="s">
        <v>30</v>
      </c>
      <c r="E4532" s="2" t="s">
        <v>31</v>
      </c>
      <c r="F4532" s="11" t="s">
        <v>6382</v>
      </c>
      <c r="G4532" s="21" t="s">
        <v>6372</v>
      </c>
      <c r="H4532" s="2" t="s">
        <v>6580</v>
      </c>
      <c r="I4532" s="12" t="s">
        <v>385</v>
      </c>
      <c r="J4532" s="22">
        <f>+Tabla1[[#This Row],[FECHA ENTRADA]]</f>
        <v>46034</v>
      </c>
      <c r="K4532" s="22">
        <v>46036</v>
      </c>
      <c r="L4532" s="23">
        <f>_xlfn.DAYS(Tabla1[[#This Row],[FECHA FIN ]],Tabla1[[#This Row],[FECHA INICIO]])</f>
        <v>2</v>
      </c>
      <c r="M4532" s="12">
        <v>330</v>
      </c>
      <c r="N4532" s="20"/>
      <c r="O4532" s="24">
        <f>(Tabla1[[#This Row],[COSTO FIJO ]]/30)*Tabla1[[#This Row],[TOTAL DIAS PROYECTO]]+(Tabla1[[#This Row],[COSTO TEMPORAL]])</f>
        <v>330</v>
      </c>
      <c r="P4532" s="12"/>
      <c r="Q4532" s="12">
        <f>+(Tabla1[[#This Row],[COSTO COCHE]]/30)*Tabla1[[#This Row],[TOTAL DIAS PROYECTO]]</f>
        <v>0</v>
      </c>
      <c r="R4532" s="12">
        <f>+Tabla1[[#This Row],[COSTO TOTAL ALOJAMIENTO]]+Tabla1[[#This Row],[COSTO TOTAL COCHE]]</f>
        <v>330</v>
      </c>
      <c r="S4532" s="2"/>
      <c r="T4532" s="14" t="s">
        <v>44</v>
      </c>
      <c r="U4532" s="14">
        <v>46034</v>
      </c>
      <c r="V4532" s="79">
        <v>46046</v>
      </c>
      <c r="W4532" s="12"/>
      <c r="X4532" s="2"/>
      <c r="Y4532" s="11" t="s">
        <v>6581</v>
      </c>
      <c r="Z4532" s="2" t="s">
        <v>36</v>
      </c>
      <c r="AA4532" s="13" t="s">
        <v>10323</v>
      </c>
      <c r="AB4532" s="13" t="s">
        <v>10324</v>
      </c>
    </row>
    <row r="4533" spans="1:28" ht="15" customHeight="1">
      <c r="A4533" s="2" t="s">
        <v>8860</v>
      </c>
      <c r="B4533" s="2" t="s">
        <v>606</v>
      </c>
      <c r="C4533" s="97" t="s">
        <v>1054</v>
      </c>
      <c r="D4533" s="2" t="s">
        <v>30</v>
      </c>
      <c r="E4533" s="2" t="s">
        <v>31</v>
      </c>
      <c r="F4533" s="11"/>
      <c r="G4533" s="21"/>
      <c r="H4533" s="2" t="s">
        <v>6577</v>
      </c>
      <c r="I4533" s="12" t="s">
        <v>34</v>
      </c>
      <c r="J4533" s="22">
        <f>+Tabla1[[#This Row],[FECHA ENTRADA]]</f>
        <v>46036</v>
      </c>
      <c r="K4533" s="22">
        <v>46036</v>
      </c>
      <c r="L4533" s="23">
        <f>_xlfn.DAYS(Tabla1[[#This Row],[FECHA FIN ]],Tabla1[[#This Row],[FECHA INICIO]])</f>
        <v>0</v>
      </c>
      <c r="M4533" s="12"/>
      <c r="N4533" s="24">
        <v>300</v>
      </c>
      <c r="O4533" s="24">
        <f>(Tabla1[[#This Row],[COSTO FIJO ]]/30)*Tabla1[[#This Row],[TOTAL DIAS PROYECTO]]+(Tabla1[[#This Row],[COSTO TEMPORAL]])</f>
        <v>0</v>
      </c>
      <c r="P4533" s="12"/>
      <c r="Q4533" s="12">
        <f>+(Tabla1[[#This Row],[COSTO COCHE]]/30)*Tabla1[[#This Row],[TOTAL DIAS PROYECTO]]</f>
        <v>0</v>
      </c>
      <c r="R4533" s="12">
        <f>+Tabla1[[#This Row],[COSTO TOTAL ALOJAMIENTO]]+Tabla1[[#This Row],[COSTO TOTAL COCHE]]</f>
        <v>0</v>
      </c>
      <c r="S4533" s="2"/>
      <c r="T4533" s="14" t="s">
        <v>58</v>
      </c>
      <c r="U4533" s="14">
        <v>46036</v>
      </c>
      <c r="V4533" s="79"/>
      <c r="W4533" s="12"/>
      <c r="X4533" s="2"/>
      <c r="Y4533" s="11" t="s">
        <v>6578</v>
      </c>
      <c r="Z4533" s="2" t="s">
        <v>36</v>
      </c>
      <c r="AA4533" s="13" t="s">
        <v>10323</v>
      </c>
      <c r="AB4533" s="13" t="s">
        <v>10324</v>
      </c>
    </row>
    <row r="4534" spans="1:28" ht="15" customHeight="1">
      <c r="A4534" s="2" t="s">
        <v>10009</v>
      </c>
      <c r="B4534" s="2" t="s">
        <v>606</v>
      </c>
      <c r="C4534" s="31" t="s">
        <v>5938</v>
      </c>
      <c r="D4534" s="2" t="s">
        <v>99</v>
      </c>
      <c r="E4534" s="2" t="s">
        <v>31</v>
      </c>
      <c r="F4534" s="11" t="s">
        <v>451</v>
      </c>
      <c r="G4534" s="118" t="s">
        <v>452</v>
      </c>
      <c r="H4534" s="2" t="s">
        <v>6152</v>
      </c>
      <c r="I4534" s="12" t="s">
        <v>2391</v>
      </c>
      <c r="J4534" s="41">
        <f>+Tabla1[[#This Row],[FECHA ENTRADA]]</f>
        <v>45981</v>
      </c>
      <c r="K4534" s="41">
        <v>46037</v>
      </c>
      <c r="L4534" s="42">
        <f>_xlfn.DAYS(Tabla1[[#This Row],[FECHA FIN ]],Tabla1[[#This Row],[FECHA INICIO]])</f>
        <v>56</v>
      </c>
      <c r="M4534" s="12"/>
      <c r="N4534" s="12">
        <v>340</v>
      </c>
      <c r="O4534" s="28">
        <f>(Tabla1[[#This Row],[COSTO FIJO ]]/30)*Tabla1[[#This Row],[TOTAL DIAS PROYECTO]]+(Tabla1[[#This Row],[COSTO TEMPORAL]])</f>
        <v>634.66666666666674</v>
      </c>
      <c r="P4534" s="12"/>
      <c r="Q4534" s="12">
        <f>+(Tabla1[[#This Row],[COSTO COCHE]]/30)*Tabla1[[#This Row],[TOTAL DIAS PROYECTO]]</f>
        <v>0</v>
      </c>
      <c r="R4534" s="12">
        <f>+Tabla1[[#This Row],[COSTO TOTAL ALOJAMIENTO]]+Tabla1[[#This Row],[COSTO TOTAL COCHE]]</f>
        <v>634.66666666666674</v>
      </c>
      <c r="S4534" s="2"/>
      <c r="T4534" s="14" t="s">
        <v>35</v>
      </c>
      <c r="U4534" s="14">
        <v>45981</v>
      </c>
      <c r="V4534" s="43"/>
      <c r="W4534" s="12"/>
      <c r="X4534" s="2">
        <v>1</v>
      </c>
      <c r="Y4534" s="11" t="s">
        <v>6582</v>
      </c>
      <c r="Z4534" s="2" t="s">
        <v>36</v>
      </c>
      <c r="AA4534" s="13" t="s">
        <v>10323</v>
      </c>
      <c r="AB4534" s="13" t="s">
        <v>10324</v>
      </c>
    </row>
    <row r="4535" spans="1:28" ht="15" customHeight="1">
      <c r="A4535" s="2" t="s">
        <v>9979</v>
      </c>
      <c r="B4535" s="2" t="s">
        <v>978</v>
      </c>
      <c r="C4535" s="11" t="s">
        <v>5819</v>
      </c>
      <c r="D4535" s="2" t="s">
        <v>30</v>
      </c>
      <c r="E4535" s="2" t="s">
        <v>31</v>
      </c>
      <c r="F4535" s="11" t="s">
        <v>4577</v>
      </c>
      <c r="G4535" s="68" t="s">
        <v>4400</v>
      </c>
      <c r="H4535" s="2" t="s">
        <v>5789</v>
      </c>
      <c r="I4535" s="12" t="s">
        <v>5790</v>
      </c>
      <c r="J4535" s="22">
        <f>+Tabla1[[#This Row],[FECHA ENTRADA]]</f>
        <v>45956</v>
      </c>
      <c r="K4535" s="41">
        <v>46037</v>
      </c>
      <c r="L4535" s="23">
        <f>_xlfn.DAYS(Tabla1[[#This Row],[FECHA FIN ]],Tabla1[[#This Row],[FECHA INICIO]])</f>
        <v>81</v>
      </c>
      <c r="M4535" s="12"/>
      <c r="N4535" s="20">
        <v>395</v>
      </c>
      <c r="O4535" s="24">
        <f>(Tabla1[[#This Row],[COSTO FIJO ]]/30)*Tabla1[[#This Row],[TOTAL DIAS PROYECTO]]+(Tabla1[[#This Row],[COSTO TEMPORAL]])</f>
        <v>1066.5</v>
      </c>
      <c r="P4535" s="12"/>
      <c r="Q4535" s="12">
        <f>+(Tabla1[[#This Row],[COSTO COCHE]]/30)*Tabla1[[#This Row],[TOTAL DIAS PROYECTO]]</f>
        <v>0</v>
      </c>
      <c r="R4535" s="12">
        <f>+Tabla1[[#This Row],[COSTO TOTAL ALOJAMIENTO]]+Tabla1[[#This Row],[COSTO TOTAL COCHE]]</f>
        <v>1066.5</v>
      </c>
      <c r="S4535" s="2"/>
      <c r="T4535" s="14" t="s">
        <v>35</v>
      </c>
      <c r="U4535" s="14">
        <v>45956</v>
      </c>
      <c r="V4535" s="79"/>
      <c r="W4535" s="26">
        <v>500</v>
      </c>
      <c r="X4535" s="2">
        <v>1</v>
      </c>
      <c r="Y4535" s="11"/>
      <c r="Z4535" s="2" t="s">
        <v>36</v>
      </c>
      <c r="AA4535" s="13" t="s">
        <v>10323</v>
      </c>
      <c r="AB4535" s="13" t="s">
        <v>10324</v>
      </c>
    </row>
    <row r="4536" spans="1:28" ht="15" customHeight="1">
      <c r="A4536" s="2" t="s">
        <v>9452</v>
      </c>
      <c r="B4536" s="2" t="s">
        <v>606</v>
      </c>
      <c r="C4536" s="69" t="s">
        <v>3226</v>
      </c>
      <c r="D4536" s="2" t="s">
        <v>99</v>
      </c>
      <c r="E4536" s="2" t="s">
        <v>31</v>
      </c>
      <c r="F4536" s="11" t="s">
        <v>6583</v>
      </c>
      <c r="G4536" s="128" t="s">
        <v>6584</v>
      </c>
      <c r="H4536" s="2" t="s">
        <v>6571</v>
      </c>
      <c r="I4536" s="12" t="s">
        <v>385</v>
      </c>
      <c r="J4536" s="22">
        <f>+Tabla1[[#This Row],[FECHA ENTRADA]]</f>
        <v>46029</v>
      </c>
      <c r="K4536" s="22">
        <v>46037</v>
      </c>
      <c r="L4536" s="23">
        <f>_xlfn.DAYS(Tabla1[[#This Row],[FECHA FIN ]],Tabla1[[#This Row],[FECHA INICIO]])</f>
        <v>8</v>
      </c>
      <c r="M4536" s="12"/>
      <c r="N4536" s="20">
        <v>450</v>
      </c>
      <c r="O4536" s="24">
        <f>(Tabla1[[#This Row],[COSTO FIJO ]]/30)*Tabla1[[#This Row],[TOTAL DIAS PROYECTO]]+(Tabla1[[#This Row],[COSTO TEMPORAL]])</f>
        <v>120</v>
      </c>
      <c r="P4536" s="12"/>
      <c r="Q4536" s="12">
        <f>+(Tabla1[[#This Row],[COSTO COCHE]]/30)*Tabla1[[#This Row],[TOTAL DIAS PROYECTO]]</f>
        <v>0</v>
      </c>
      <c r="R4536" s="12">
        <f>+Tabla1[[#This Row],[COSTO TOTAL ALOJAMIENTO]]+Tabla1[[#This Row],[COSTO TOTAL COCHE]]</f>
        <v>120</v>
      </c>
      <c r="S4536" s="2"/>
      <c r="T4536" s="14" t="s">
        <v>35</v>
      </c>
      <c r="U4536" s="14">
        <v>46029</v>
      </c>
      <c r="V4536" s="79"/>
      <c r="W4536" s="12"/>
      <c r="X4536" s="2">
        <v>1</v>
      </c>
      <c r="Y4536" s="11" t="s">
        <v>6585</v>
      </c>
      <c r="Z4536" s="2" t="s">
        <v>36</v>
      </c>
      <c r="AA4536" s="13" t="s">
        <v>10323</v>
      </c>
      <c r="AB4536" s="13" t="s">
        <v>10324</v>
      </c>
    </row>
    <row r="4537" spans="1:28" ht="15" customHeight="1">
      <c r="A4537" s="2" t="s">
        <v>9147</v>
      </c>
      <c r="B4537" s="2" t="s">
        <v>711</v>
      </c>
      <c r="C4537" s="11" t="s">
        <v>2212</v>
      </c>
      <c r="D4537" s="2" t="s">
        <v>30</v>
      </c>
      <c r="E4537" s="2" t="s">
        <v>855</v>
      </c>
      <c r="F4537" s="11" t="s">
        <v>1662</v>
      </c>
      <c r="G4537" s="46" t="s">
        <v>1474</v>
      </c>
      <c r="H4537" s="2" t="s">
        <v>6380</v>
      </c>
      <c r="I4537" s="12" t="s">
        <v>1392</v>
      </c>
      <c r="J4537" s="41">
        <f>+Tabla1[[#This Row],[FECHA ENTRADA]]</f>
        <v>45942</v>
      </c>
      <c r="K4537" s="22">
        <v>46037</v>
      </c>
      <c r="L4537" s="42">
        <f>_xlfn.DAYS(Tabla1[[#This Row],[FECHA FIN ]],Tabla1[[#This Row],[FECHA INICIO]])</f>
        <v>95</v>
      </c>
      <c r="M4537" s="12">
        <f>(233.333333333333+291.3333)</f>
        <v>524.66663333333304</v>
      </c>
      <c r="N4537" s="28"/>
      <c r="O4537" s="28">
        <f>(Tabla1[[#This Row],[COSTO FIJO ]]/30)*Tabla1[[#This Row],[TOTAL DIAS PROYECTO]]+(Tabla1[[#This Row],[COSTO TEMPORAL]])</f>
        <v>524.66663333333304</v>
      </c>
      <c r="P4537" s="12"/>
      <c r="Q4537" s="12">
        <f>+(Tabla1[[#This Row],[COSTO COCHE]]/30)*Tabla1[[#This Row],[TOTAL DIAS PROYECTO]]</f>
        <v>0</v>
      </c>
      <c r="R4537" s="12">
        <f>+Tabla1[[#This Row],[COSTO TOTAL ALOJAMIENTO]]+Tabla1[[#This Row],[COSTO TOTAL COCHE]]</f>
        <v>524.66663333333304</v>
      </c>
      <c r="S4537" s="2"/>
      <c r="T4537" s="14" t="s">
        <v>44</v>
      </c>
      <c r="U4537" s="14">
        <v>45942</v>
      </c>
      <c r="V4537" s="79">
        <v>46036</v>
      </c>
      <c r="W4537" s="71"/>
      <c r="X4537" s="2"/>
      <c r="Y4537" s="11" t="s">
        <v>6586</v>
      </c>
      <c r="Z4537" s="2" t="s">
        <v>36</v>
      </c>
      <c r="AA4537" s="13" t="s">
        <v>10401</v>
      </c>
      <c r="AB4537" s="13" t="s">
        <v>10402</v>
      </c>
    </row>
    <row r="4538" spans="1:28" ht="15" customHeight="1">
      <c r="A4538" s="2" t="s">
        <v>9153</v>
      </c>
      <c r="B4538" s="2" t="s">
        <v>711</v>
      </c>
      <c r="C4538" s="11" t="s">
        <v>2245</v>
      </c>
      <c r="D4538" s="2" t="s">
        <v>30</v>
      </c>
      <c r="E4538" s="2" t="s">
        <v>855</v>
      </c>
      <c r="F4538" s="11" t="s">
        <v>1662</v>
      </c>
      <c r="G4538" s="49" t="s">
        <v>1474</v>
      </c>
      <c r="H4538" s="2" t="s">
        <v>6380</v>
      </c>
      <c r="I4538" s="12" t="s">
        <v>1392</v>
      </c>
      <c r="J4538" s="22">
        <f>+Tabla1[[#This Row],[FECHA ENTRADA]]</f>
        <v>45942</v>
      </c>
      <c r="K4538" s="22">
        <v>46037</v>
      </c>
      <c r="L4538" s="23">
        <f>_xlfn.DAYS(Tabla1[[#This Row],[FECHA FIN ]],Tabla1[[#This Row],[FECHA INICIO]])</f>
        <v>95</v>
      </c>
      <c r="M4538" s="12">
        <f>(233.333333333333+291.3333)</f>
        <v>524.66663333333304</v>
      </c>
      <c r="N4538" s="24"/>
      <c r="O4538" s="24">
        <f>(Tabla1[[#This Row],[COSTO FIJO ]]/30)*Tabla1[[#This Row],[TOTAL DIAS PROYECTO]]+(Tabla1[[#This Row],[COSTO TEMPORAL]])</f>
        <v>524.66663333333304</v>
      </c>
      <c r="P4538" s="12"/>
      <c r="Q4538" s="12">
        <f>+(Tabla1[[#This Row],[COSTO COCHE]]/30)*Tabla1[[#This Row],[TOTAL DIAS PROYECTO]]</f>
        <v>0</v>
      </c>
      <c r="R4538" s="12">
        <f>+Tabla1[[#This Row],[COSTO TOTAL ALOJAMIENTO]]+Tabla1[[#This Row],[COSTO TOTAL COCHE]]</f>
        <v>524.66663333333304</v>
      </c>
      <c r="S4538" s="2"/>
      <c r="T4538" s="14" t="s">
        <v>44</v>
      </c>
      <c r="U4538" s="14">
        <v>45942</v>
      </c>
      <c r="V4538" s="79">
        <v>46036</v>
      </c>
      <c r="W4538" s="71"/>
      <c r="X4538" s="2"/>
      <c r="Y4538" s="11" t="s">
        <v>6586</v>
      </c>
      <c r="Z4538" s="2" t="s">
        <v>36</v>
      </c>
      <c r="AA4538" s="13" t="s">
        <v>10401</v>
      </c>
      <c r="AB4538" s="13" t="s">
        <v>10402</v>
      </c>
    </row>
    <row r="4539" spans="1:28" ht="15" customHeight="1">
      <c r="A4539" s="2" t="s">
        <v>10135</v>
      </c>
      <c r="B4539" s="2" t="s">
        <v>711</v>
      </c>
      <c r="C4539" s="11" t="s">
        <v>6587</v>
      </c>
      <c r="D4539" s="2" t="s">
        <v>30</v>
      </c>
      <c r="E4539" s="2" t="s">
        <v>855</v>
      </c>
      <c r="F4539" s="11" t="s">
        <v>6331</v>
      </c>
      <c r="G4539" s="49" t="s">
        <v>1474</v>
      </c>
      <c r="H4539" s="2" t="s">
        <v>6332</v>
      </c>
      <c r="I4539" s="12" t="s">
        <v>1392</v>
      </c>
      <c r="J4539" s="22">
        <f>+Tabla1[[#This Row],[FECHA ENTRADA]]</f>
        <v>45950</v>
      </c>
      <c r="K4539" s="22">
        <v>46037</v>
      </c>
      <c r="L4539" s="23">
        <f>_xlfn.DAYS(Tabla1[[#This Row],[FECHA FIN ]],Tabla1[[#This Row],[FECHA INICIO]])</f>
        <v>87</v>
      </c>
      <c r="M4539" s="12">
        <v>233.33333333333334</v>
      </c>
      <c r="N4539" s="24"/>
      <c r="O4539" s="24">
        <f>(Tabla1[[#This Row],[COSTO FIJO ]]/30)*Tabla1[[#This Row],[TOTAL DIAS PROYECTO]]+(Tabla1[[#This Row],[COSTO TEMPORAL]])</f>
        <v>233.33333333333334</v>
      </c>
      <c r="P4539" s="12"/>
      <c r="Q4539" s="12">
        <f>+(Tabla1[[#This Row],[COSTO COCHE]]/30)*Tabla1[[#This Row],[TOTAL DIAS PROYECTO]]</f>
        <v>0</v>
      </c>
      <c r="R4539" s="12">
        <f>+Tabla1[[#This Row],[COSTO TOTAL ALOJAMIENTO]]+Tabla1[[#This Row],[COSTO TOTAL COCHE]]</f>
        <v>233.33333333333334</v>
      </c>
      <c r="S4539" s="2"/>
      <c r="T4539" s="14" t="s">
        <v>44</v>
      </c>
      <c r="U4539" s="14">
        <v>45950</v>
      </c>
      <c r="V4539" s="79">
        <v>46036</v>
      </c>
      <c r="W4539" s="71"/>
      <c r="X4539" s="2"/>
      <c r="Y4539" s="11" t="s">
        <v>6586</v>
      </c>
      <c r="Z4539" s="2" t="s">
        <v>36</v>
      </c>
      <c r="AA4539" s="13" t="s">
        <v>10401</v>
      </c>
      <c r="AB4539" s="13" t="s">
        <v>10402</v>
      </c>
    </row>
    <row r="4540" spans="1:28" ht="15" customHeight="1">
      <c r="A4540" s="2" t="s">
        <v>9003</v>
      </c>
      <c r="B4540" s="241" t="s">
        <v>606</v>
      </c>
      <c r="C4540" s="279" t="s">
        <v>1660</v>
      </c>
      <c r="D4540" s="2" t="s">
        <v>30</v>
      </c>
      <c r="E4540" s="2" t="s">
        <v>31</v>
      </c>
      <c r="F4540" s="11" t="s">
        <v>1450</v>
      </c>
      <c r="G4540" s="11" t="s">
        <v>1451</v>
      </c>
      <c r="H4540" s="157">
        <v>2023</v>
      </c>
      <c r="I4540" s="12" t="s">
        <v>34</v>
      </c>
      <c r="J4540" s="22">
        <f>+Tabla1[[#This Row],[FECHA ENTRADA]]</f>
        <v>45819</v>
      </c>
      <c r="K4540" s="22">
        <v>46038</v>
      </c>
      <c r="L4540" s="23">
        <f>_xlfn.DAYS(Tabla1[[#This Row],[FECHA FIN ]],Tabla1[[#This Row],[FECHA INICIO]])</f>
        <v>219</v>
      </c>
      <c r="M4540" s="12"/>
      <c r="N4540" s="20">
        <f>978.63/4</f>
        <v>244.6575</v>
      </c>
      <c r="O4540" s="24">
        <f>(Tabla1[[#This Row],[COSTO FIJO ]]/30)*Tabla1[[#This Row],[TOTAL DIAS PROYECTO]]+(Tabla1[[#This Row],[COSTO TEMPORAL]])</f>
        <v>1785.9997500000002</v>
      </c>
      <c r="P4540" s="12"/>
      <c r="Q4540" s="12">
        <f>+(Tabla1[[#This Row],[COSTO COCHE]]/30)*Tabla1[[#This Row],[TOTAL DIAS PROYECTO]]</f>
        <v>0</v>
      </c>
      <c r="R4540" s="12">
        <f>+Tabla1[[#This Row],[COSTO TOTAL ALOJAMIENTO]]+Tabla1[[#This Row],[COSTO TOTAL COCHE]]</f>
        <v>1785.9997500000002</v>
      </c>
      <c r="S4540" s="2"/>
      <c r="T4540" s="2" t="s">
        <v>35</v>
      </c>
      <c r="U4540" s="14">
        <v>45819</v>
      </c>
      <c r="V4540" s="25"/>
      <c r="W4540" s="2"/>
      <c r="X4540" s="2">
        <v>1</v>
      </c>
      <c r="Y4540" s="11" t="s">
        <v>6588</v>
      </c>
      <c r="Z4540" s="2" t="s">
        <v>36</v>
      </c>
      <c r="AA4540" s="13" t="s">
        <v>10323</v>
      </c>
      <c r="AB4540" s="13" t="s">
        <v>10324</v>
      </c>
    </row>
    <row r="4541" spans="1:28" ht="15" customHeight="1">
      <c r="A4541" s="2" t="s">
        <v>10136</v>
      </c>
      <c r="B4541" s="241" t="s">
        <v>606</v>
      </c>
      <c r="C4541" s="239" t="s">
        <v>6589</v>
      </c>
      <c r="D4541" s="2" t="s">
        <v>30</v>
      </c>
      <c r="E4541" s="2" t="s">
        <v>31</v>
      </c>
      <c r="F4541" s="11" t="s">
        <v>1450</v>
      </c>
      <c r="G4541" s="11" t="s">
        <v>1451</v>
      </c>
      <c r="H4541" s="2" t="s">
        <v>69</v>
      </c>
      <c r="I4541" s="12" t="s">
        <v>34</v>
      </c>
      <c r="J4541" s="8">
        <f>+Tabla1[[#This Row],[FECHA ENTRADA]]</f>
        <v>45354</v>
      </c>
      <c r="K4541" s="22">
        <v>46038</v>
      </c>
      <c r="L4541" s="13">
        <f>_xlfn.DAYS(Tabla1[[#This Row],[FECHA FIN ]],Tabla1[[#This Row],[FECHA INICIO]])</f>
        <v>684</v>
      </c>
      <c r="M4541" s="12"/>
      <c r="N4541" s="20">
        <f>978.63/4</f>
        <v>244.6575</v>
      </c>
      <c r="O4541" s="12">
        <f>(Tabla1[[#This Row],[COSTO FIJO ]]/30)*Tabla1[[#This Row],[TOTAL DIAS PROYECTO]]+(Tabla1[[#This Row],[COSTO TEMPORAL]])</f>
        <v>5578.1910000000007</v>
      </c>
      <c r="P4541" s="12"/>
      <c r="Q4541" s="12">
        <f>+(Tabla1[[#This Row],[COSTO COCHE]]/30)*Tabla1[[#This Row],[TOTAL DIAS PROYECTO]]</f>
        <v>0</v>
      </c>
      <c r="R4541" s="12">
        <f>+Tabla1[[#This Row],[COSTO TOTAL ALOJAMIENTO]]+Tabla1[[#This Row],[COSTO TOTAL COCHE]]</f>
        <v>5578.1910000000007</v>
      </c>
      <c r="S4541" s="2"/>
      <c r="T4541" s="2" t="s">
        <v>35</v>
      </c>
      <c r="U4541" s="14">
        <v>45354</v>
      </c>
      <c r="V4541" s="14"/>
      <c r="W4541" s="15"/>
      <c r="X4541" s="16">
        <v>1</v>
      </c>
      <c r="Y4541" s="11" t="s">
        <v>6590</v>
      </c>
      <c r="Z4541" s="2" t="s">
        <v>36</v>
      </c>
      <c r="AA4541" s="13" t="s">
        <v>10323</v>
      </c>
      <c r="AB4541" s="13" t="s">
        <v>10324</v>
      </c>
    </row>
    <row r="4542" spans="1:28" ht="15" customHeight="1">
      <c r="A4542" s="2" t="s">
        <v>10137</v>
      </c>
      <c r="B4542" s="241" t="s">
        <v>606</v>
      </c>
      <c r="C4542" s="31" t="s">
        <v>6591</v>
      </c>
      <c r="D4542" s="2" t="s">
        <v>30</v>
      </c>
      <c r="E4542" s="2" t="s">
        <v>31</v>
      </c>
      <c r="F4542" s="11" t="s">
        <v>1450</v>
      </c>
      <c r="G4542" s="11" t="s">
        <v>1451</v>
      </c>
      <c r="H4542" s="2" t="s">
        <v>6592</v>
      </c>
      <c r="I4542" s="12" t="s">
        <v>34</v>
      </c>
      <c r="J4542" s="8">
        <f>+Tabla1[[#This Row],[FECHA ENTRADA]]</f>
        <v>45322</v>
      </c>
      <c r="K4542" s="22">
        <v>46038</v>
      </c>
      <c r="L4542" s="13">
        <f>_xlfn.DAYS(Tabla1[[#This Row],[FECHA FIN ]],Tabla1[[#This Row],[FECHA INICIO]])</f>
        <v>716</v>
      </c>
      <c r="M4542" s="12"/>
      <c r="N4542" s="20">
        <f>978.63/4</f>
        <v>244.6575</v>
      </c>
      <c r="O4542" s="12">
        <f>(Tabla1[[#This Row],[COSTO FIJO ]]/30)*Tabla1[[#This Row],[TOTAL DIAS PROYECTO]]+(Tabla1[[#This Row],[COSTO TEMPORAL]])</f>
        <v>5839.1590000000006</v>
      </c>
      <c r="P4542" s="12"/>
      <c r="Q4542" s="12">
        <f>+(Tabla1[[#This Row],[COSTO COCHE]]/30)*Tabla1[[#This Row],[TOTAL DIAS PROYECTO]]</f>
        <v>0</v>
      </c>
      <c r="R4542" s="12">
        <f>+Tabla1[[#This Row],[COSTO TOTAL ALOJAMIENTO]]+Tabla1[[#This Row],[COSTO TOTAL COCHE]]</f>
        <v>5839.1590000000006</v>
      </c>
      <c r="S4542" s="2"/>
      <c r="T4542" s="2" t="s">
        <v>35</v>
      </c>
      <c r="U4542" s="14">
        <v>45322</v>
      </c>
      <c r="V4542" s="14"/>
      <c r="W4542" s="15"/>
      <c r="X4542" s="16">
        <v>1</v>
      </c>
      <c r="Y4542" s="11" t="s">
        <v>6593</v>
      </c>
      <c r="Z4542" s="2" t="s">
        <v>36</v>
      </c>
      <c r="AA4542" s="13" t="s">
        <v>10323</v>
      </c>
      <c r="AB4542" s="13" t="s">
        <v>10324</v>
      </c>
    </row>
    <row r="4543" spans="1:28" ht="15" customHeight="1">
      <c r="A4543" s="2" t="s">
        <v>8952</v>
      </c>
      <c r="B4543" s="184" t="s">
        <v>606</v>
      </c>
      <c r="C4543" s="11" t="s">
        <v>1442</v>
      </c>
      <c r="D4543" s="2" t="s">
        <v>30</v>
      </c>
      <c r="E4543" s="2" t="s">
        <v>415</v>
      </c>
      <c r="F4543" s="11" t="s">
        <v>487</v>
      </c>
      <c r="G4543" s="49" t="s">
        <v>488</v>
      </c>
      <c r="H4543" s="2" t="s">
        <v>6594</v>
      </c>
      <c r="I4543" s="12" t="s">
        <v>34</v>
      </c>
      <c r="J4543" s="22">
        <f>+Tabla1[[#This Row],[FECHA ENTRADA]]</f>
        <v>45991</v>
      </c>
      <c r="K4543" s="22">
        <v>46015</v>
      </c>
      <c r="L4543" s="23">
        <f>_xlfn.DAYS(Tabla1[[#This Row],[FECHA FIN ]],Tabla1[[#This Row],[FECHA INICIO]])</f>
        <v>24</v>
      </c>
      <c r="M4543" s="12"/>
      <c r="N4543" s="24">
        <v>255.55555555555554</v>
      </c>
      <c r="O4543" s="24">
        <f>(Tabla1[[#This Row],[COSTO FIJO ]]/30)*Tabla1[[#This Row],[TOTAL DIAS PROYECTO]]+(Tabla1[[#This Row],[COSTO TEMPORAL]])</f>
        <v>204.4444444444444</v>
      </c>
      <c r="P4543" s="12"/>
      <c r="Q4543" s="12">
        <f>+(Tabla1[[#This Row],[COSTO COCHE]]/30)*Tabla1[[#This Row],[TOTAL DIAS PROYECTO]]</f>
        <v>0</v>
      </c>
      <c r="R4543" s="12">
        <f>+Tabla1[[#This Row],[COSTO TOTAL ALOJAMIENTO]]+Tabla1[[#This Row],[COSTO TOTAL COCHE]]</f>
        <v>204.4444444444444</v>
      </c>
      <c r="S4543" s="2"/>
      <c r="T4543" s="14" t="s">
        <v>35</v>
      </c>
      <c r="U4543" s="14">
        <v>45991</v>
      </c>
      <c r="V4543" s="79"/>
      <c r="W4543" s="12"/>
      <c r="X4543" s="2">
        <v>1</v>
      </c>
      <c r="Y4543" s="11"/>
      <c r="Z4543" s="2" t="s">
        <v>36</v>
      </c>
      <c r="AA4543" s="13">
        <v>-0.37739</v>
      </c>
      <c r="AB4543" s="13" t="s">
        <v>10372</v>
      </c>
    </row>
    <row r="4544" spans="1:28" ht="15" customHeight="1">
      <c r="A4544" s="2" t="s">
        <v>9636</v>
      </c>
      <c r="B4544" s="2" t="s">
        <v>606</v>
      </c>
      <c r="C4544" s="31" t="s">
        <v>4018</v>
      </c>
      <c r="D4544" s="2" t="s">
        <v>30</v>
      </c>
      <c r="E4544" s="2" t="s">
        <v>415</v>
      </c>
      <c r="F4544" s="11" t="s">
        <v>5821</v>
      </c>
      <c r="G4544" s="128" t="s">
        <v>1413</v>
      </c>
      <c r="H4544" s="2" t="s">
        <v>5524</v>
      </c>
      <c r="I4544" s="12" t="s">
        <v>34</v>
      </c>
      <c r="J4544" s="22">
        <f>+Tabla1[[#This Row],[FECHA ENTRADA]]</f>
        <v>46015</v>
      </c>
      <c r="K4544" s="22">
        <v>46038</v>
      </c>
      <c r="L4544" s="23">
        <f>_xlfn.DAYS(Tabla1[[#This Row],[FECHA FIN ]],Tabla1[[#This Row],[FECHA INICIO]])</f>
        <v>23</v>
      </c>
      <c r="M4544" s="12"/>
      <c r="N4544" s="20">
        <v>450</v>
      </c>
      <c r="O4544" s="24">
        <f>(Tabla1[[#This Row],[COSTO FIJO ]]/30)*Tabla1[[#This Row],[TOTAL DIAS PROYECTO]]+(Tabla1[[#This Row],[COSTO TEMPORAL]])</f>
        <v>345</v>
      </c>
      <c r="P4544" s="12"/>
      <c r="Q4544" s="12">
        <f>+(Tabla1[[#This Row],[COSTO COCHE]]/30)*Tabla1[[#This Row],[TOTAL DIAS PROYECTO]]</f>
        <v>0</v>
      </c>
      <c r="R4544" s="12">
        <f>+Tabla1[[#This Row],[COSTO TOTAL ALOJAMIENTO]]+Tabla1[[#This Row],[COSTO TOTAL COCHE]]</f>
        <v>345</v>
      </c>
      <c r="S4544" s="2"/>
      <c r="T4544" s="14" t="s">
        <v>35</v>
      </c>
      <c r="U4544" s="14">
        <v>46015</v>
      </c>
      <c r="V4544" s="79"/>
      <c r="W4544" s="12"/>
      <c r="X4544" s="2">
        <v>1</v>
      </c>
      <c r="Y4544" s="11" t="s">
        <v>6595</v>
      </c>
      <c r="Z4544" s="2" t="s">
        <v>36</v>
      </c>
      <c r="AA4544" s="13">
        <v>-0.37739</v>
      </c>
      <c r="AB4544" s="13" t="s">
        <v>10372</v>
      </c>
    </row>
    <row r="4545" spans="1:28" ht="15" customHeight="1">
      <c r="A4545" s="2" t="s">
        <v>9136</v>
      </c>
      <c r="B4545" s="184" t="s">
        <v>606</v>
      </c>
      <c r="C4545" s="11" t="s">
        <v>2152</v>
      </c>
      <c r="D4545" s="2" t="s">
        <v>30</v>
      </c>
      <c r="E4545" s="2" t="s">
        <v>415</v>
      </c>
      <c r="F4545" s="11" t="s">
        <v>487</v>
      </c>
      <c r="G4545" s="49" t="s">
        <v>488</v>
      </c>
      <c r="H4545" s="2" t="s">
        <v>6594</v>
      </c>
      <c r="I4545" s="158" t="s">
        <v>34</v>
      </c>
      <c r="J4545" s="22">
        <f>+Tabla1[[#This Row],[FECHA ENTRADA]]</f>
        <v>45991</v>
      </c>
      <c r="K4545" s="22">
        <v>46015</v>
      </c>
      <c r="L4545" s="23">
        <f>_xlfn.DAYS(Tabla1[[#This Row],[FECHA FIN ]],Tabla1[[#This Row],[FECHA INICIO]])</f>
        <v>24</v>
      </c>
      <c r="M4545" s="12"/>
      <c r="N4545" s="24">
        <v>255.55555555555554</v>
      </c>
      <c r="O4545" s="24">
        <f>(Tabla1[[#This Row],[COSTO FIJO ]]/30)*Tabla1[[#This Row],[TOTAL DIAS PROYECTO]]+(Tabla1[[#This Row],[COSTO TEMPORAL]])</f>
        <v>204.4444444444444</v>
      </c>
      <c r="P4545" s="12"/>
      <c r="Q4545" s="12">
        <f>+(Tabla1[[#This Row],[COSTO COCHE]]/30)*Tabla1[[#This Row],[TOTAL DIAS PROYECTO]]</f>
        <v>0</v>
      </c>
      <c r="R4545" s="12">
        <f>+Tabla1[[#This Row],[COSTO TOTAL ALOJAMIENTO]]+Tabla1[[#This Row],[COSTO TOTAL COCHE]]</f>
        <v>204.4444444444444</v>
      </c>
      <c r="S4545" s="2"/>
      <c r="T4545" s="14" t="s">
        <v>35</v>
      </c>
      <c r="U4545" s="14">
        <v>45991</v>
      </c>
      <c r="V4545" s="79"/>
      <c r="W4545" s="12"/>
      <c r="X4545" s="2">
        <v>1</v>
      </c>
      <c r="Y4545" s="11"/>
      <c r="Z4545" s="2" t="s">
        <v>36</v>
      </c>
      <c r="AA4545" s="13">
        <v>-0.37739</v>
      </c>
      <c r="AB4545" s="13" t="s">
        <v>10372</v>
      </c>
    </row>
    <row r="4546" spans="1:28" ht="15" customHeight="1">
      <c r="A4546" s="2" t="s">
        <v>9355</v>
      </c>
      <c r="B4546" s="184" t="s">
        <v>606</v>
      </c>
      <c r="C4546" s="31" t="s">
        <v>2918</v>
      </c>
      <c r="D4546" s="2" t="s">
        <v>99</v>
      </c>
      <c r="E4546" s="2" t="s">
        <v>415</v>
      </c>
      <c r="F4546" s="11" t="s">
        <v>487</v>
      </c>
      <c r="G4546" s="49" t="s">
        <v>488</v>
      </c>
      <c r="H4546" s="2" t="s">
        <v>6083</v>
      </c>
      <c r="I4546" s="12" t="s">
        <v>34</v>
      </c>
      <c r="J4546" s="41">
        <f>+Tabla1[[#This Row],[FECHA ENTRADA]]</f>
        <v>45973</v>
      </c>
      <c r="K4546" s="22">
        <v>46038</v>
      </c>
      <c r="L4546" s="42">
        <f>_xlfn.DAYS(Tabla1[[#This Row],[FECHA FIN ]],Tabla1[[#This Row],[FECHA INICIO]])</f>
        <v>65</v>
      </c>
      <c r="M4546" s="12"/>
      <c r="N4546" s="24">
        <v>287.5</v>
      </c>
      <c r="O4546" s="28">
        <f>(Tabla1[[#This Row],[COSTO FIJO ]]/30)*Tabla1[[#This Row],[TOTAL DIAS PROYECTO]]+(Tabla1[[#This Row],[COSTO TEMPORAL]])</f>
        <v>622.91666666666674</v>
      </c>
      <c r="P4546" s="12"/>
      <c r="Q4546" s="12">
        <f>+(Tabla1[[#This Row],[COSTO COCHE]]/30)*Tabla1[[#This Row],[TOTAL DIAS PROYECTO]]</f>
        <v>0</v>
      </c>
      <c r="R4546" s="12">
        <f>+Tabla1[[#This Row],[COSTO TOTAL ALOJAMIENTO]]+Tabla1[[#This Row],[COSTO TOTAL COCHE]]</f>
        <v>622.91666666666674</v>
      </c>
      <c r="S4546" s="2"/>
      <c r="T4546" s="14" t="s">
        <v>35</v>
      </c>
      <c r="U4546" s="14">
        <v>45973</v>
      </c>
      <c r="V4546" s="43"/>
      <c r="W4546" s="71"/>
      <c r="X4546" s="2">
        <v>1</v>
      </c>
      <c r="Y4546" s="11" t="s">
        <v>6595</v>
      </c>
      <c r="Z4546" s="2" t="s">
        <v>36</v>
      </c>
      <c r="AA4546" s="13">
        <v>-0.37739</v>
      </c>
      <c r="AB4546" s="13" t="s">
        <v>10372</v>
      </c>
    </row>
    <row r="4547" spans="1:28" ht="15" customHeight="1">
      <c r="A4547" s="2" t="s">
        <v>9907</v>
      </c>
      <c r="B4547" s="2" t="s">
        <v>606</v>
      </c>
      <c r="C4547" s="97" t="s">
        <v>5335</v>
      </c>
      <c r="D4547" s="2" t="s">
        <v>30</v>
      </c>
      <c r="E4547" s="2" t="s">
        <v>415</v>
      </c>
      <c r="F4547" s="11" t="s">
        <v>487</v>
      </c>
      <c r="G4547" s="49" t="s">
        <v>488</v>
      </c>
      <c r="H4547" s="2" t="s">
        <v>5524</v>
      </c>
      <c r="I4547" s="12" t="s">
        <v>34</v>
      </c>
      <c r="J4547" s="22">
        <f>+Tabla1[[#This Row],[FECHA ENTRADA]]</f>
        <v>46039</v>
      </c>
      <c r="K4547" s="22">
        <v>46038</v>
      </c>
      <c r="L4547" s="23">
        <f>_xlfn.DAYS(Tabla1[[#This Row],[FECHA FIN ]],Tabla1[[#This Row],[FECHA INICIO]])</f>
        <v>-1</v>
      </c>
      <c r="M4547" s="12"/>
      <c r="N4547" s="24">
        <v>287.5</v>
      </c>
      <c r="O4547" s="24">
        <f>(Tabla1[[#This Row],[COSTO FIJO ]]/30)*Tabla1[[#This Row],[TOTAL DIAS PROYECTO]]+(Tabla1[[#This Row],[COSTO TEMPORAL]])</f>
        <v>-9.5833333333333339</v>
      </c>
      <c r="P4547" s="12"/>
      <c r="Q4547" s="12">
        <f>+(Tabla1[[#This Row],[COSTO COCHE]]/30)*Tabla1[[#This Row],[TOTAL DIAS PROYECTO]]</f>
        <v>0</v>
      </c>
      <c r="R4547" s="12">
        <f>+Tabla1[[#This Row],[COSTO TOTAL ALOJAMIENTO]]+Tabla1[[#This Row],[COSTO TOTAL COCHE]]</f>
        <v>-9.5833333333333339</v>
      </c>
      <c r="S4547" s="2"/>
      <c r="T4547" s="14" t="s">
        <v>35</v>
      </c>
      <c r="U4547" s="14">
        <v>46039</v>
      </c>
      <c r="V4547" s="79"/>
      <c r="W4547" s="12"/>
      <c r="X4547" s="2">
        <v>1</v>
      </c>
      <c r="Y4547" s="11" t="s">
        <v>6595</v>
      </c>
      <c r="Z4547" s="2" t="s">
        <v>36</v>
      </c>
      <c r="AA4547" s="13">
        <v>-0.37739</v>
      </c>
      <c r="AB4547" s="13" t="s">
        <v>10372</v>
      </c>
    </row>
    <row r="4548" spans="1:28" ht="15" customHeight="1">
      <c r="A4548" s="2" t="s">
        <v>9437</v>
      </c>
      <c r="B4548" s="2" t="s">
        <v>711</v>
      </c>
      <c r="C4548" s="11" t="s">
        <v>3176</v>
      </c>
      <c r="D4548" s="2" t="s">
        <v>99</v>
      </c>
      <c r="E4548" s="2" t="s">
        <v>31</v>
      </c>
      <c r="F4548" s="11" t="s">
        <v>758</v>
      </c>
      <c r="G4548" s="11" t="s">
        <v>759</v>
      </c>
      <c r="H4548" s="2" t="s">
        <v>6531</v>
      </c>
      <c r="I4548" s="2" t="s">
        <v>5085</v>
      </c>
      <c r="J4548" s="41">
        <f>+Tabla1[[#This Row],[FECHA ENTRADA]]</f>
        <v>45895</v>
      </c>
      <c r="K4548" s="22">
        <v>46196</v>
      </c>
      <c r="L4548" s="42">
        <f>_xlfn.DAYS(Tabla1[[#This Row],[FECHA FIN ]],Tabla1[[#This Row],[FECHA INICIO]])</f>
        <v>301</v>
      </c>
      <c r="M4548" s="12"/>
      <c r="N4548" s="20">
        <v>425</v>
      </c>
      <c r="O4548" s="28">
        <f>(Tabla1[[#This Row],[COSTO FIJO ]]/30)*Tabla1[[#This Row],[TOTAL DIAS PROYECTO]]+(Tabla1[[#This Row],[COSTO TEMPORAL]])</f>
        <v>4264.1666666666661</v>
      </c>
      <c r="P4548" s="12"/>
      <c r="Q4548" s="12">
        <f>+(Tabla1[[#This Row],[COSTO COCHE]]/30)*Tabla1[[#This Row],[TOTAL DIAS PROYECTO]]</f>
        <v>0</v>
      </c>
      <c r="R4548" s="12">
        <f>+Tabla1[[#This Row],[COSTO TOTAL ALOJAMIENTO]]+Tabla1[[#This Row],[COSTO TOTAL COCHE]]</f>
        <v>4264.1666666666661</v>
      </c>
      <c r="S4548" s="2"/>
      <c r="T4548" s="14" t="s">
        <v>35</v>
      </c>
      <c r="U4548" s="14">
        <v>45895</v>
      </c>
      <c r="V4548" s="43"/>
      <c r="W4548" s="12"/>
      <c r="X4548" s="2">
        <v>1</v>
      </c>
      <c r="Y4548" s="11" t="s">
        <v>6532</v>
      </c>
      <c r="Z4548" s="2" t="s">
        <v>36</v>
      </c>
      <c r="AA4548" s="13" t="s">
        <v>10323</v>
      </c>
      <c r="AB4548" s="13" t="s">
        <v>10324</v>
      </c>
    </row>
    <row r="4549" spans="1:28" ht="15" customHeight="1">
      <c r="A4549" s="2" t="s">
        <v>9386</v>
      </c>
      <c r="B4549" s="2" t="s">
        <v>711</v>
      </c>
      <c r="C4549" s="31" t="s">
        <v>3009</v>
      </c>
      <c r="D4549" s="2" t="s">
        <v>30</v>
      </c>
      <c r="E4549" s="2" t="s">
        <v>626</v>
      </c>
      <c r="F4549" s="11" t="s">
        <v>1037</v>
      </c>
      <c r="G4549" s="118" t="s">
        <v>1038</v>
      </c>
      <c r="H4549" s="2" t="s">
        <v>5549</v>
      </c>
      <c r="I4549" s="12" t="s">
        <v>570</v>
      </c>
      <c r="J4549" s="22">
        <f>+Tabla1[[#This Row],[FECHA ENTRADA]]</f>
        <v>45942</v>
      </c>
      <c r="K4549" s="22">
        <v>46038</v>
      </c>
      <c r="L4549" s="23">
        <f>_xlfn.DAYS(Tabla1[[#This Row],[FECHA FIN ]],Tabla1[[#This Row],[FECHA INICIO]])</f>
        <v>96</v>
      </c>
      <c r="M4549" s="12"/>
      <c r="N4549" s="20">
        <v>366.66666666666669</v>
      </c>
      <c r="O4549" s="24">
        <f>(Tabla1[[#This Row],[COSTO FIJO ]]/30)*Tabla1[[#This Row],[TOTAL DIAS PROYECTO]]+(Tabla1[[#This Row],[COSTO TEMPORAL]])</f>
        <v>1173.3333333333335</v>
      </c>
      <c r="P4549" s="12"/>
      <c r="Q4549" s="12">
        <f>+(Tabla1[[#This Row],[COSTO COCHE]]/30)*Tabla1[[#This Row],[TOTAL DIAS PROYECTO]]</f>
        <v>0</v>
      </c>
      <c r="R4549" s="12">
        <f>+Tabla1[[#This Row],[COSTO TOTAL ALOJAMIENTO]]+Tabla1[[#This Row],[COSTO TOTAL COCHE]]</f>
        <v>1173.3333333333335</v>
      </c>
      <c r="S4549" s="2"/>
      <c r="T4549" s="14" t="s">
        <v>35</v>
      </c>
      <c r="U4549" s="14">
        <v>45942</v>
      </c>
      <c r="V4549" s="79"/>
      <c r="W4549" s="71"/>
      <c r="X4549" s="2">
        <v>5</v>
      </c>
      <c r="Y4549" s="11" t="s">
        <v>6596</v>
      </c>
      <c r="Z4549" s="2" t="s">
        <v>36</v>
      </c>
      <c r="AA4549" s="13" t="s">
        <v>10385</v>
      </c>
      <c r="AB4549" s="13" t="s">
        <v>10386</v>
      </c>
    </row>
    <row r="4550" spans="1:28" ht="15" customHeight="1">
      <c r="A4550" s="2" t="s">
        <v>9909</v>
      </c>
      <c r="B4550" s="2" t="s">
        <v>711</v>
      </c>
      <c r="C4550" s="31" t="s">
        <v>5341</v>
      </c>
      <c r="D4550" s="2" t="s">
        <v>30</v>
      </c>
      <c r="E4550" s="2" t="s">
        <v>626</v>
      </c>
      <c r="F4550" s="11" t="s">
        <v>5547</v>
      </c>
      <c r="G4550" s="21" t="s">
        <v>5548</v>
      </c>
      <c r="H4550" s="2" t="s">
        <v>5549</v>
      </c>
      <c r="I4550" s="2" t="s">
        <v>570</v>
      </c>
      <c r="J4550" s="22">
        <f>+Tabla1[[#This Row],[FECHA ENTRADA]]</f>
        <v>45935</v>
      </c>
      <c r="K4550" s="41">
        <v>46038</v>
      </c>
      <c r="L4550" s="23">
        <f>_xlfn.DAYS(Tabla1[[#This Row],[FECHA FIN ]],Tabla1[[#This Row],[FECHA INICIO]])</f>
        <v>103</v>
      </c>
      <c r="M4550" s="12">
        <f>230+102.4+152</f>
        <v>484.4</v>
      </c>
      <c r="N4550" s="20"/>
      <c r="O4550" s="24">
        <f>(Tabla1[[#This Row],[COSTO FIJO ]]/30)*Tabla1[[#This Row],[TOTAL DIAS PROYECTO]]+(Tabla1[[#This Row],[COSTO TEMPORAL]])</f>
        <v>484.4</v>
      </c>
      <c r="P4550" s="12"/>
      <c r="Q4550" s="12">
        <f>+(Tabla1[[#This Row],[COSTO COCHE]]/30)*Tabla1[[#This Row],[TOTAL DIAS PROYECTO]]</f>
        <v>0</v>
      </c>
      <c r="R4550" s="12">
        <f>+Tabla1[[#This Row],[COSTO TOTAL ALOJAMIENTO]]+Tabla1[[#This Row],[COSTO TOTAL COCHE]]</f>
        <v>484.4</v>
      </c>
      <c r="S4550" s="2"/>
      <c r="T4550" s="14" t="s">
        <v>44</v>
      </c>
      <c r="U4550" s="14">
        <v>45935</v>
      </c>
      <c r="V4550" s="79">
        <v>46042</v>
      </c>
      <c r="W4550" s="71"/>
      <c r="X4550" s="2"/>
      <c r="Y4550" s="11" t="s">
        <v>6597</v>
      </c>
      <c r="Z4550" s="2" t="s">
        <v>36</v>
      </c>
      <c r="AA4550" s="13" t="s">
        <v>10385</v>
      </c>
      <c r="AB4550" s="13" t="s">
        <v>10386</v>
      </c>
    </row>
    <row r="4551" spans="1:28">
      <c r="A4551" s="2" t="s">
        <v>8793</v>
      </c>
      <c r="B4551" s="241" t="s">
        <v>606</v>
      </c>
      <c r="C4551" s="99" t="s">
        <v>788</v>
      </c>
      <c r="D4551" s="2" t="s">
        <v>30</v>
      </c>
      <c r="E4551" s="2" t="s">
        <v>31</v>
      </c>
      <c r="F4551" s="11" t="s">
        <v>344</v>
      </c>
      <c r="G4551" s="11" t="s">
        <v>345</v>
      </c>
      <c r="H4551" s="2" t="s">
        <v>6598</v>
      </c>
      <c r="I4551" s="12" t="s">
        <v>34</v>
      </c>
      <c r="J4551" s="41">
        <v>45585</v>
      </c>
      <c r="K4551" s="22">
        <v>46038</v>
      </c>
      <c r="L4551" s="42">
        <f>_xlfn.DAYS(Tabla1[[#This Row],[FECHA FIN ]],Tabla1[[#This Row],[FECHA INICIO]])</f>
        <v>453</v>
      </c>
      <c r="M4551" s="12"/>
      <c r="N4551" s="28">
        <f>1677.13/5</f>
        <v>335.42600000000004</v>
      </c>
      <c r="O4551" s="28">
        <f>(Tabla1[[#This Row],[COSTO FIJO ]]/30)*Tabla1[[#This Row],[TOTAL DIAS PROYECTO]]+(Tabla1[[#This Row],[COSTO TEMPORAL]])</f>
        <v>5064.932600000001</v>
      </c>
      <c r="P4551" s="12"/>
      <c r="Q4551" s="12">
        <f>+(Tabla1[[#This Row],[COSTO COCHE]]/30)*Tabla1[[#This Row],[TOTAL DIAS PROYECTO]]</f>
        <v>0</v>
      </c>
      <c r="R4551" s="12">
        <f>+Tabla1[[#This Row],[COSTO TOTAL ALOJAMIENTO]]+Tabla1[[#This Row],[COSTO TOTAL COCHE]]</f>
        <v>5064.932600000001</v>
      </c>
      <c r="S4551" s="2"/>
      <c r="T4551" s="2" t="s">
        <v>35</v>
      </c>
      <c r="U4551" s="14">
        <v>45585</v>
      </c>
      <c r="V4551" s="43"/>
      <c r="W4551" s="26"/>
      <c r="X4551" s="2"/>
      <c r="Y4551" s="11" t="s">
        <v>6578</v>
      </c>
      <c r="Z4551" s="2" t="s">
        <v>36</v>
      </c>
      <c r="AA4551" s="13" t="s">
        <v>10323</v>
      </c>
      <c r="AB4551" s="13" t="s">
        <v>10324</v>
      </c>
    </row>
    <row r="4552" spans="1:28" ht="15" customHeight="1">
      <c r="A4552" s="2" t="s">
        <v>10138</v>
      </c>
      <c r="B4552" s="2" t="s">
        <v>711</v>
      </c>
      <c r="C4552" s="31" t="s">
        <v>6599</v>
      </c>
      <c r="D4552" s="2" t="s">
        <v>99</v>
      </c>
      <c r="E4552" s="2" t="s">
        <v>626</v>
      </c>
      <c r="F4552" s="11" t="s">
        <v>5547</v>
      </c>
      <c r="G4552" s="21" t="s">
        <v>5548</v>
      </c>
      <c r="H4552" s="2" t="s">
        <v>6066</v>
      </c>
      <c r="I4552" s="12" t="s">
        <v>570</v>
      </c>
      <c r="J4552" s="41">
        <f>+Tabla1[[#This Row],[FECHA ENTRADA]]</f>
        <v>45970</v>
      </c>
      <c r="K4552" s="8">
        <v>46038</v>
      </c>
      <c r="L4552" s="42">
        <f>_xlfn.DAYS(Tabla1[[#This Row],[FECHA FIN ]],Tabla1[[#This Row],[FECHA INICIO]])</f>
        <v>68</v>
      </c>
      <c r="M4552" s="12"/>
      <c r="N4552" s="28"/>
      <c r="O4552" s="28">
        <f>(Tabla1[[#This Row],[COSTO FIJO ]]/30)*Tabla1[[#This Row],[TOTAL DIAS PROYECTO]]+(Tabla1[[#This Row],[COSTO TEMPORAL]])</f>
        <v>0</v>
      </c>
      <c r="P4552" s="12"/>
      <c r="Q4552" s="12">
        <f>+(Tabla1[[#This Row],[COSTO COCHE]]/30)*Tabla1[[#This Row],[TOTAL DIAS PROYECTO]]</f>
        <v>0</v>
      </c>
      <c r="R4552" s="12">
        <f>+Tabla1[[#This Row],[COSTO TOTAL ALOJAMIENTO]]+Tabla1[[#This Row],[COSTO TOTAL COCHE]]</f>
        <v>0</v>
      </c>
      <c r="S4552" s="2"/>
      <c r="T4552" s="14" t="s">
        <v>44</v>
      </c>
      <c r="U4552" s="14">
        <v>45970</v>
      </c>
      <c r="V4552" s="79">
        <v>46042</v>
      </c>
      <c r="W4552" s="71"/>
      <c r="X4552" s="2"/>
      <c r="Y4552" s="11" t="s">
        <v>6597</v>
      </c>
      <c r="Z4552" s="2" t="s">
        <v>36</v>
      </c>
      <c r="AA4552" s="13" t="s">
        <v>10385</v>
      </c>
      <c r="AB4552" s="13" t="s">
        <v>10386</v>
      </c>
    </row>
    <row r="4553" spans="1:28" ht="15" customHeight="1">
      <c r="A4553" s="2" t="s">
        <v>10088</v>
      </c>
      <c r="B4553" s="2" t="s">
        <v>28</v>
      </c>
      <c r="C4553" s="31" t="s">
        <v>6312</v>
      </c>
      <c r="D4553" s="2" t="s">
        <v>30</v>
      </c>
      <c r="E4553" s="2" t="s">
        <v>422</v>
      </c>
      <c r="F4553" s="11" t="s">
        <v>5502</v>
      </c>
      <c r="G4553" s="11" t="s">
        <v>5428</v>
      </c>
      <c r="H4553" s="2" t="s">
        <v>5579</v>
      </c>
      <c r="I4553" s="12" t="s">
        <v>4327</v>
      </c>
      <c r="J4553" s="22">
        <f>+Tabla1[[#This Row],[FECHA ENTRADA]]</f>
        <v>45886</v>
      </c>
      <c r="K4553" s="22">
        <v>45933</v>
      </c>
      <c r="L4553" s="23">
        <f>_xlfn.DAYS(Tabla1[[#This Row],[FECHA FIN ]],Tabla1[[#This Row],[FECHA INICIO]])</f>
        <v>47</v>
      </c>
      <c r="M4553" s="12"/>
      <c r="N4553" s="20">
        <v>450</v>
      </c>
      <c r="O4553" s="24">
        <f>(Tabla1[[#This Row],[COSTO FIJO ]]/30)*Tabla1[[#This Row],[TOTAL DIAS PROYECTO]]+(Tabla1[[#This Row],[COSTO TEMPORAL]])</f>
        <v>705</v>
      </c>
      <c r="P4553" s="12"/>
      <c r="Q4553" s="12">
        <f>+(Tabla1[[#This Row],[COSTO COCHE]]/30)*Tabla1[[#This Row],[TOTAL DIAS PROYECTO]]</f>
        <v>0</v>
      </c>
      <c r="R4553" s="12">
        <f>+Tabla1[[#This Row],[COSTO TOTAL ALOJAMIENTO]]+Tabla1[[#This Row],[COSTO TOTAL COCHE]]</f>
        <v>705</v>
      </c>
      <c r="S4553" s="2"/>
      <c r="T4553" s="14" t="s">
        <v>35</v>
      </c>
      <c r="U4553" s="14">
        <v>45886</v>
      </c>
      <c r="V4553" s="79"/>
      <c r="W4553" s="12">
        <v>450</v>
      </c>
      <c r="X4553" s="2">
        <v>15</v>
      </c>
      <c r="Y4553" s="11" t="s">
        <v>4839</v>
      </c>
      <c r="Z4553" s="2" t="s">
        <v>36</v>
      </c>
      <c r="AA4553" s="13">
        <v>-326.69799999999998</v>
      </c>
      <c r="AB4553" s="13" t="s">
        <v>10373</v>
      </c>
    </row>
    <row r="4554" spans="1:28" ht="15" customHeight="1">
      <c r="A4554" s="2" t="s">
        <v>10139</v>
      </c>
      <c r="B4554" s="2" t="s">
        <v>28</v>
      </c>
      <c r="C4554" s="11" t="s">
        <v>6600</v>
      </c>
      <c r="D4554" s="2" t="s">
        <v>749</v>
      </c>
      <c r="E4554" s="2" t="s">
        <v>288</v>
      </c>
      <c r="F4554" s="11" t="s">
        <v>6601</v>
      </c>
      <c r="G4554" s="70" t="s">
        <v>1142</v>
      </c>
      <c r="H4554" s="2" t="s">
        <v>6602</v>
      </c>
      <c r="I4554" s="12" t="s">
        <v>753</v>
      </c>
      <c r="J4554" s="22">
        <f>+Tabla1[[#This Row],[FECHA ENTRADA]]</f>
        <v>46000</v>
      </c>
      <c r="K4554" s="41">
        <f ca="1">TODAY()</f>
        <v>46260</v>
      </c>
      <c r="L4554" s="23">
        <f ca="1">_xlfn.DAYS(Tabla1[[#This Row],[FECHA FIN ]],Tabla1[[#This Row],[FECHA INICIO]])</f>
        <v>260</v>
      </c>
      <c r="M4554" s="12"/>
      <c r="N4554" s="20">
        <v>325.5</v>
      </c>
      <c r="O4554" s="24">
        <f ca="1">(Tabla1[[#This Row],[COSTO FIJO ]]/30)*Tabla1[[#This Row],[TOTAL DIAS PROYECTO]]+(Tabla1[[#This Row],[COSTO TEMPORAL]])</f>
        <v>2821</v>
      </c>
      <c r="P4554" s="12"/>
      <c r="Q4554" s="12">
        <f ca="1">+(Tabla1[[#This Row],[COSTO COCHE]]/30)*Tabla1[[#This Row],[TOTAL DIAS PROYECTO]]</f>
        <v>0</v>
      </c>
      <c r="R4554" s="12">
        <f ca="1">+Tabla1[[#This Row],[COSTO TOTAL ALOJAMIENTO]]+Tabla1[[#This Row],[COSTO TOTAL COCHE]]</f>
        <v>2821</v>
      </c>
      <c r="S4554" s="2"/>
      <c r="T4554" s="14" t="s">
        <v>35</v>
      </c>
      <c r="U4554" s="14">
        <v>46000</v>
      </c>
      <c r="V4554" s="79"/>
      <c r="W4554" s="12"/>
      <c r="X4554" s="2">
        <v>1</v>
      </c>
      <c r="Y4554" s="11"/>
      <c r="Z4554" s="2" t="s">
        <v>702</v>
      </c>
      <c r="AA4554" s="13" t="s">
        <v>10362</v>
      </c>
      <c r="AB4554" s="13" t="s">
        <v>10363</v>
      </c>
    </row>
    <row r="4555" spans="1:28" ht="15" customHeight="1">
      <c r="A4555" s="2" t="s">
        <v>10055</v>
      </c>
      <c r="B4555" s="2" t="s">
        <v>711</v>
      </c>
      <c r="C4555" s="11" t="s">
        <v>6110</v>
      </c>
      <c r="D4555" s="2" t="s">
        <v>99</v>
      </c>
      <c r="E4555" s="2" t="s">
        <v>87</v>
      </c>
      <c r="F4555" s="11" t="s">
        <v>1668</v>
      </c>
      <c r="G4555" s="128" t="s">
        <v>1669</v>
      </c>
      <c r="H4555" s="2" t="s">
        <v>6351</v>
      </c>
      <c r="I4555" s="12" t="s">
        <v>989</v>
      </c>
      <c r="J4555" s="22">
        <f>+Tabla1[[#This Row],[FECHA ENTRADA]]</f>
        <v>45995</v>
      </c>
      <c r="K4555" s="22">
        <v>46001</v>
      </c>
      <c r="L4555" s="23">
        <f>_xlfn.DAYS(Tabla1[[#This Row],[FECHA FIN ]],Tabla1[[#This Row],[FECHA INICIO]])</f>
        <v>6</v>
      </c>
      <c r="M4555" s="12"/>
      <c r="N4555" s="20">
        <v>340</v>
      </c>
      <c r="O4555" s="24">
        <f>(Tabla1[[#This Row],[COSTO FIJO ]]/30)*Tabla1[[#This Row],[TOTAL DIAS PROYECTO]]+(Tabla1[[#This Row],[COSTO TEMPORAL]])</f>
        <v>68</v>
      </c>
      <c r="P4555" s="12"/>
      <c r="Q4555" s="12">
        <f>+(Tabla1[[#This Row],[COSTO COCHE]]/30)*Tabla1[[#This Row],[TOTAL DIAS PROYECTO]]</f>
        <v>0</v>
      </c>
      <c r="R4555" s="12">
        <f>+Tabla1[[#This Row],[COSTO TOTAL ALOJAMIENTO]]+Tabla1[[#This Row],[COSTO TOTAL COCHE]]</f>
        <v>68</v>
      </c>
      <c r="S4555" s="2"/>
      <c r="T4555" s="14" t="s">
        <v>35</v>
      </c>
      <c r="U4555" s="14">
        <v>45995</v>
      </c>
      <c r="V4555" s="79">
        <v>46001</v>
      </c>
      <c r="W4555" s="12"/>
      <c r="X4555" s="2">
        <v>5</v>
      </c>
      <c r="Y4555" s="11" t="s">
        <v>6603</v>
      </c>
      <c r="Z4555" s="2" t="s">
        <v>36</v>
      </c>
      <c r="AA4555" s="13" t="s">
        <v>10335</v>
      </c>
      <c r="AB4555" s="13">
        <v>404.16500000000002</v>
      </c>
    </row>
    <row r="4556" spans="1:28" ht="15" customHeight="1">
      <c r="A4556" s="2" t="s">
        <v>10103</v>
      </c>
      <c r="B4556" s="2" t="s">
        <v>711</v>
      </c>
      <c r="C4556" s="11" t="s">
        <v>6401</v>
      </c>
      <c r="D4556" s="2" t="s">
        <v>30</v>
      </c>
      <c r="E4556" s="2" t="s">
        <v>87</v>
      </c>
      <c r="F4556" s="11" t="s">
        <v>1668</v>
      </c>
      <c r="G4556" s="128" t="s">
        <v>1669</v>
      </c>
      <c r="H4556" s="2" t="s">
        <v>6351</v>
      </c>
      <c r="I4556" s="12" t="s">
        <v>989</v>
      </c>
      <c r="J4556" s="22">
        <f>+Tabla1[[#This Row],[FECHA ENTRADA]]</f>
        <v>45995</v>
      </c>
      <c r="K4556" s="22">
        <v>46001</v>
      </c>
      <c r="L4556" s="23">
        <f>_xlfn.DAYS(Tabla1[[#This Row],[FECHA FIN ]],Tabla1[[#This Row],[FECHA INICIO]])</f>
        <v>6</v>
      </c>
      <c r="M4556" s="12"/>
      <c r="N4556" s="20">
        <v>340</v>
      </c>
      <c r="O4556" s="24">
        <f>(Tabla1[[#This Row],[COSTO FIJO ]]/30)*Tabla1[[#This Row],[TOTAL DIAS PROYECTO]]+(Tabla1[[#This Row],[COSTO TEMPORAL]])</f>
        <v>68</v>
      </c>
      <c r="P4556" s="12"/>
      <c r="Q4556" s="12">
        <f>+(Tabla1[[#This Row],[COSTO COCHE]]/30)*Tabla1[[#This Row],[TOTAL DIAS PROYECTO]]</f>
        <v>0</v>
      </c>
      <c r="R4556" s="12">
        <f>+Tabla1[[#This Row],[COSTO TOTAL ALOJAMIENTO]]+Tabla1[[#This Row],[COSTO TOTAL COCHE]]</f>
        <v>68</v>
      </c>
      <c r="S4556" s="2"/>
      <c r="T4556" s="14" t="s">
        <v>35</v>
      </c>
      <c r="U4556" s="14">
        <v>45995</v>
      </c>
      <c r="V4556" s="79">
        <v>46001</v>
      </c>
      <c r="W4556" s="12"/>
      <c r="X4556" s="2">
        <v>5</v>
      </c>
      <c r="Y4556" s="11" t="s">
        <v>6603</v>
      </c>
      <c r="Z4556" s="2" t="s">
        <v>36</v>
      </c>
      <c r="AA4556" s="13" t="s">
        <v>10335</v>
      </c>
      <c r="AB4556" s="13">
        <v>404.16500000000002</v>
      </c>
    </row>
    <row r="4557" spans="1:28" ht="15" customHeight="1">
      <c r="A4557" s="2" t="s">
        <v>10140</v>
      </c>
      <c r="B4557" s="2" t="s">
        <v>978</v>
      </c>
      <c r="C4557" s="31" t="s">
        <v>6604</v>
      </c>
      <c r="D4557" s="2" t="s">
        <v>99</v>
      </c>
      <c r="E4557" s="2" t="s">
        <v>1404</v>
      </c>
      <c r="F4557" s="11" t="s">
        <v>5626</v>
      </c>
      <c r="G4557" s="68" t="s">
        <v>5627</v>
      </c>
      <c r="H4557" s="2" t="s">
        <v>3763</v>
      </c>
      <c r="I4557" s="12" t="s">
        <v>5629</v>
      </c>
      <c r="J4557" s="41">
        <f>+Tabla1[[#This Row],[FECHA ENTRADA]]</f>
        <v>45818</v>
      </c>
      <c r="K4557" s="41">
        <v>46039</v>
      </c>
      <c r="L4557" s="42">
        <f>_xlfn.DAYS(Tabla1[[#This Row],[FECHA FIN ]],Tabla1[[#This Row],[FECHA INICIO]])</f>
        <v>221</v>
      </c>
      <c r="M4557" s="12"/>
      <c r="N4557" s="12">
        <f>2117.5/5</f>
        <v>423.5</v>
      </c>
      <c r="O4557" s="28">
        <f>(Tabla1[[#This Row],[COSTO FIJO ]]/30)*Tabla1[[#This Row],[TOTAL DIAS PROYECTO]]+(Tabla1[[#This Row],[COSTO TEMPORAL]])</f>
        <v>3119.7833333333333</v>
      </c>
      <c r="P4557" s="12"/>
      <c r="Q4557" s="12">
        <f>+(Tabla1[[#This Row],[COSTO COCHE]]/30)*Tabla1[[#This Row],[TOTAL DIAS PROYECTO]]</f>
        <v>0</v>
      </c>
      <c r="R4557" s="12">
        <f>+Tabla1[[#This Row],[COSTO TOTAL ALOJAMIENTO]]+Tabla1[[#This Row],[COSTO TOTAL COCHE]]</f>
        <v>3119.7833333333333</v>
      </c>
      <c r="S4557" s="2"/>
      <c r="T4557" s="14" t="s">
        <v>35</v>
      </c>
      <c r="U4557" s="14">
        <v>45818</v>
      </c>
      <c r="V4557" s="43">
        <v>45940</v>
      </c>
      <c r="W4557" s="12"/>
      <c r="X4557" s="2">
        <v>8</v>
      </c>
      <c r="Y4557" s="253" t="s">
        <v>6605</v>
      </c>
      <c r="Z4557" s="2" t="s">
        <v>36</v>
      </c>
      <c r="AA4557" s="13" t="s">
        <v>10418</v>
      </c>
      <c r="AB4557" s="13" t="s">
        <v>10419</v>
      </c>
    </row>
    <row r="4558" spans="1:28" ht="15" customHeight="1">
      <c r="A4558" s="2" t="s">
        <v>10055</v>
      </c>
      <c r="B4558" s="2" t="s">
        <v>711</v>
      </c>
      <c r="C4558" s="31" t="s">
        <v>6110</v>
      </c>
      <c r="D4558" s="2" t="s">
        <v>99</v>
      </c>
      <c r="E4558" s="2" t="s">
        <v>87</v>
      </c>
      <c r="F4558" s="11" t="s">
        <v>3134</v>
      </c>
      <c r="G4558" s="21" t="s">
        <v>3135</v>
      </c>
      <c r="H4558" s="2" t="s">
        <v>6351</v>
      </c>
      <c r="I4558" s="12" t="s">
        <v>989</v>
      </c>
      <c r="J4558" s="22">
        <f>+Tabla1[[#This Row],[FECHA ENTRADA]]</f>
        <v>46009</v>
      </c>
      <c r="K4558" s="22">
        <v>46039</v>
      </c>
      <c r="L4558" s="23">
        <f>_xlfn.DAYS(Tabla1[[#This Row],[FECHA FIN ]],Tabla1[[#This Row],[FECHA INICIO]])</f>
        <v>30</v>
      </c>
      <c r="M4558" s="12"/>
      <c r="N4558" s="20">
        <v>450</v>
      </c>
      <c r="O4558" s="24">
        <f>(Tabla1[[#This Row],[COSTO FIJO ]]/30)*Tabla1[[#This Row],[TOTAL DIAS PROYECTO]]+(Tabla1[[#This Row],[COSTO TEMPORAL]])</f>
        <v>450</v>
      </c>
      <c r="P4558" s="12"/>
      <c r="Q4558" s="12">
        <f>+(Tabla1[[#This Row],[COSTO COCHE]]/30)*Tabla1[[#This Row],[TOTAL DIAS PROYECTO]]</f>
        <v>0</v>
      </c>
      <c r="R4558" s="12">
        <f>+Tabla1[[#This Row],[COSTO TOTAL ALOJAMIENTO]]+Tabla1[[#This Row],[COSTO TOTAL COCHE]]</f>
        <v>450</v>
      </c>
      <c r="S4558" s="2"/>
      <c r="T4558" s="14" t="s">
        <v>35</v>
      </c>
      <c r="U4558" s="14">
        <v>46009</v>
      </c>
      <c r="V4558" s="79"/>
      <c r="W4558" s="12"/>
      <c r="X4558" s="2">
        <v>15</v>
      </c>
      <c r="Y4558" s="11" t="s">
        <v>6606</v>
      </c>
      <c r="Z4558" s="2" t="s">
        <v>36</v>
      </c>
      <c r="AA4558" s="13" t="s">
        <v>10335</v>
      </c>
      <c r="AB4558" s="13">
        <v>404.16500000000002</v>
      </c>
    </row>
    <row r="4559" spans="1:28" ht="15" customHeight="1">
      <c r="A4559" s="2" t="s">
        <v>10103</v>
      </c>
      <c r="B4559" s="2" t="s">
        <v>711</v>
      </c>
      <c r="C4559" s="31" t="s">
        <v>6401</v>
      </c>
      <c r="D4559" s="2" t="s">
        <v>30</v>
      </c>
      <c r="E4559" s="2" t="s">
        <v>87</v>
      </c>
      <c r="F4559" s="11" t="s">
        <v>3134</v>
      </c>
      <c r="G4559" s="21" t="s">
        <v>3135</v>
      </c>
      <c r="H4559" s="2" t="s">
        <v>6351</v>
      </c>
      <c r="I4559" s="12" t="s">
        <v>989</v>
      </c>
      <c r="J4559" s="22">
        <f>+Tabla1[[#This Row],[FECHA ENTRADA]]</f>
        <v>46009</v>
      </c>
      <c r="K4559" s="22">
        <v>46039</v>
      </c>
      <c r="L4559" s="23">
        <f>_xlfn.DAYS(Tabla1[[#This Row],[FECHA FIN ]],Tabla1[[#This Row],[FECHA INICIO]])</f>
        <v>30</v>
      </c>
      <c r="M4559" s="12"/>
      <c r="N4559" s="20">
        <v>450</v>
      </c>
      <c r="O4559" s="24">
        <f>(Tabla1[[#This Row],[COSTO FIJO ]]/30)*Tabla1[[#This Row],[TOTAL DIAS PROYECTO]]+(Tabla1[[#This Row],[COSTO TEMPORAL]])</f>
        <v>450</v>
      </c>
      <c r="P4559" s="12"/>
      <c r="Q4559" s="12">
        <f>+(Tabla1[[#This Row],[COSTO COCHE]]/30)*Tabla1[[#This Row],[TOTAL DIAS PROYECTO]]</f>
        <v>0</v>
      </c>
      <c r="R4559" s="12">
        <f>+Tabla1[[#This Row],[COSTO TOTAL ALOJAMIENTO]]+Tabla1[[#This Row],[COSTO TOTAL COCHE]]</f>
        <v>450</v>
      </c>
      <c r="S4559" s="2"/>
      <c r="T4559" s="14" t="s">
        <v>35</v>
      </c>
      <c r="U4559" s="14">
        <v>46009</v>
      </c>
      <c r="V4559" s="79"/>
      <c r="W4559" s="12"/>
      <c r="X4559" s="2">
        <v>15</v>
      </c>
      <c r="Y4559" s="11" t="s">
        <v>6606</v>
      </c>
      <c r="Z4559" s="2" t="s">
        <v>36</v>
      </c>
      <c r="AA4559" s="13" t="s">
        <v>10335</v>
      </c>
      <c r="AB4559" s="13">
        <v>404.16500000000002</v>
      </c>
    </row>
    <row r="4560" spans="1:28" ht="15" customHeight="1">
      <c r="A4560" s="2" t="s">
        <v>9907</v>
      </c>
      <c r="B4560" s="2" t="s">
        <v>606</v>
      </c>
      <c r="C4560" s="69" t="s">
        <v>5335</v>
      </c>
      <c r="D4560" s="2" t="s">
        <v>30</v>
      </c>
      <c r="E4560" s="2" t="s">
        <v>415</v>
      </c>
      <c r="F4560" s="11" t="s">
        <v>6089</v>
      </c>
      <c r="G4560" s="49" t="s">
        <v>1413</v>
      </c>
      <c r="H4560" s="2" t="s">
        <v>5524</v>
      </c>
      <c r="I4560" s="12" t="s">
        <v>34</v>
      </c>
      <c r="J4560" s="22">
        <f>+Tabla1[[#This Row],[FECHA ENTRADA]]</f>
        <v>46015</v>
      </c>
      <c r="K4560" s="22">
        <v>46039</v>
      </c>
      <c r="L4560" s="23">
        <f>_xlfn.DAYS(Tabla1[[#This Row],[FECHA FIN ]],Tabla1[[#This Row],[FECHA INICIO]])</f>
        <v>24</v>
      </c>
      <c r="M4560" s="12"/>
      <c r="N4560" s="20">
        <v>500</v>
      </c>
      <c r="O4560" s="24">
        <f>(Tabla1[[#This Row],[COSTO FIJO ]]/30)*Tabla1[[#This Row],[TOTAL DIAS PROYECTO]]+(Tabla1[[#This Row],[COSTO TEMPORAL]])</f>
        <v>400</v>
      </c>
      <c r="P4560" s="12"/>
      <c r="Q4560" s="12">
        <f>+(Tabla1[[#This Row],[COSTO COCHE]]/30)*Tabla1[[#This Row],[TOTAL DIAS PROYECTO]]</f>
        <v>0</v>
      </c>
      <c r="R4560" s="12">
        <f>+Tabla1[[#This Row],[COSTO TOTAL ALOJAMIENTO]]+Tabla1[[#This Row],[COSTO TOTAL COCHE]]</f>
        <v>400</v>
      </c>
      <c r="S4560" s="2"/>
      <c r="T4560" s="14" t="s">
        <v>35</v>
      </c>
      <c r="U4560" s="14">
        <v>46015</v>
      </c>
      <c r="V4560" s="79"/>
      <c r="W4560" s="12"/>
      <c r="X4560" s="2">
        <v>30</v>
      </c>
      <c r="Y4560" s="11" t="s">
        <v>6607</v>
      </c>
      <c r="Z4560" s="2" t="s">
        <v>36</v>
      </c>
      <c r="AA4560" s="13">
        <v>-0.37739</v>
      </c>
      <c r="AB4560" s="13" t="s">
        <v>10372</v>
      </c>
    </row>
    <row r="4561" spans="1:28" ht="15" customHeight="1">
      <c r="A4561" s="2" t="s">
        <v>9117</v>
      </c>
      <c r="B4561" s="2" t="s">
        <v>606</v>
      </c>
      <c r="C4561" s="69" t="s">
        <v>2068</v>
      </c>
      <c r="D4561" s="2" t="s">
        <v>30</v>
      </c>
      <c r="E4561" s="2" t="s">
        <v>415</v>
      </c>
      <c r="F4561" s="11" t="s">
        <v>6089</v>
      </c>
      <c r="G4561" s="49" t="s">
        <v>1413</v>
      </c>
      <c r="H4561" s="2" t="s">
        <v>6085</v>
      </c>
      <c r="I4561" s="12" t="s">
        <v>34</v>
      </c>
      <c r="J4561" s="22">
        <f>+Tabla1[[#This Row],[FECHA ENTRADA]]</f>
        <v>46015</v>
      </c>
      <c r="K4561" s="22">
        <v>46039</v>
      </c>
      <c r="L4561" s="23">
        <f>_xlfn.DAYS(Tabla1[[#This Row],[FECHA FIN ]],Tabla1[[#This Row],[FECHA INICIO]])</f>
        <v>24</v>
      </c>
      <c r="M4561" s="12"/>
      <c r="N4561" s="20">
        <v>500</v>
      </c>
      <c r="O4561" s="24">
        <f>(Tabla1[[#This Row],[COSTO FIJO ]]/30)*Tabla1[[#This Row],[TOTAL DIAS PROYECTO]]+(Tabla1[[#This Row],[COSTO TEMPORAL]])</f>
        <v>400</v>
      </c>
      <c r="P4561" s="12"/>
      <c r="Q4561" s="12">
        <f>+(Tabla1[[#This Row],[COSTO COCHE]]/30)*Tabla1[[#This Row],[TOTAL DIAS PROYECTO]]</f>
        <v>0</v>
      </c>
      <c r="R4561" s="12">
        <f>+Tabla1[[#This Row],[COSTO TOTAL ALOJAMIENTO]]+Tabla1[[#This Row],[COSTO TOTAL COCHE]]</f>
        <v>400</v>
      </c>
      <c r="S4561" s="2"/>
      <c r="T4561" s="14" t="s">
        <v>35</v>
      </c>
      <c r="U4561" s="14">
        <v>46015</v>
      </c>
      <c r="V4561" s="79"/>
      <c r="W4561" s="12"/>
      <c r="X4561" s="2">
        <v>30</v>
      </c>
      <c r="Y4561" s="11" t="s">
        <v>6607</v>
      </c>
      <c r="Z4561" s="2" t="s">
        <v>36</v>
      </c>
      <c r="AA4561" s="13">
        <v>-0.37739</v>
      </c>
      <c r="AB4561" s="13" t="s">
        <v>10372</v>
      </c>
    </row>
    <row r="4562" spans="1:28" ht="15" customHeight="1">
      <c r="A4562" s="2" t="s">
        <v>8952</v>
      </c>
      <c r="B4562" s="2" t="s">
        <v>606</v>
      </c>
      <c r="C4562" s="69" t="s">
        <v>1442</v>
      </c>
      <c r="D4562" s="2" t="s">
        <v>30</v>
      </c>
      <c r="E4562" s="2" t="s">
        <v>415</v>
      </c>
      <c r="F4562" s="11" t="s">
        <v>6089</v>
      </c>
      <c r="G4562" s="49" t="s">
        <v>1413</v>
      </c>
      <c r="H4562" s="2" t="s">
        <v>6594</v>
      </c>
      <c r="I4562" s="12" t="s">
        <v>34</v>
      </c>
      <c r="J4562" s="22">
        <f>+Tabla1[[#This Row],[FECHA ENTRADA]]</f>
        <v>46015</v>
      </c>
      <c r="K4562" s="22">
        <v>46039</v>
      </c>
      <c r="L4562" s="23">
        <f>_xlfn.DAYS(Tabla1[[#This Row],[FECHA FIN ]],Tabla1[[#This Row],[FECHA INICIO]])</f>
        <v>24</v>
      </c>
      <c r="M4562" s="12"/>
      <c r="N4562" s="20">
        <v>500</v>
      </c>
      <c r="O4562" s="24">
        <f>(Tabla1[[#This Row],[COSTO FIJO ]]/30)*Tabla1[[#This Row],[TOTAL DIAS PROYECTO]]+(Tabla1[[#This Row],[COSTO TEMPORAL]])</f>
        <v>400</v>
      </c>
      <c r="P4562" s="12"/>
      <c r="Q4562" s="12">
        <f>+(Tabla1[[#This Row],[COSTO COCHE]]/30)*Tabla1[[#This Row],[TOTAL DIAS PROYECTO]]</f>
        <v>0</v>
      </c>
      <c r="R4562" s="12">
        <f>+Tabla1[[#This Row],[COSTO TOTAL ALOJAMIENTO]]+Tabla1[[#This Row],[COSTO TOTAL COCHE]]</f>
        <v>400</v>
      </c>
      <c r="S4562" s="2"/>
      <c r="T4562" s="14" t="s">
        <v>35</v>
      </c>
      <c r="U4562" s="14">
        <v>46015</v>
      </c>
      <c r="V4562" s="79"/>
      <c r="W4562" s="12"/>
      <c r="X4562" s="2">
        <v>30</v>
      </c>
      <c r="Y4562" s="11" t="s">
        <v>6607</v>
      </c>
      <c r="Z4562" s="2" t="s">
        <v>36</v>
      </c>
      <c r="AA4562" s="13">
        <v>-0.37739</v>
      </c>
      <c r="AB4562" s="13" t="s">
        <v>10372</v>
      </c>
    </row>
    <row r="4563" spans="1:28" ht="15" customHeight="1">
      <c r="A4563" s="2" t="s">
        <v>9136</v>
      </c>
      <c r="B4563" s="2" t="s">
        <v>606</v>
      </c>
      <c r="C4563" s="69" t="s">
        <v>2152</v>
      </c>
      <c r="D4563" s="2" t="s">
        <v>30</v>
      </c>
      <c r="E4563" s="2" t="s">
        <v>415</v>
      </c>
      <c r="F4563" s="11" t="s">
        <v>6089</v>
      </c>
      <c r="G4563" s="49" t="s">
        <v>1413</v>
      </c>
      <c r="H4563" s="2" t="s">
        <v>6594</v>
      </c>
      <c r="I4563" s="12" t="s">
        <v>34</v>
      </c>
      <c r="J4563" s="22">
        <f>+Tabla1[[#This Row],[FECHA ENTRADA]]</f>
        <v>46015</v>
      </c>
      <c r="K4563" s="22">
        <v>46039</v>
      </c>
      <c r="L4563" s="23">
        <f>_xlfn.DAYS(Tabla1[[#This Row],[FECHA FIN ]],Tabla1[[#This Row],[FECHA INICIO]])</f>
        <v>24</v>
      </c>
      <c r="M4563" s="12"/>
      <c r="N4563" s="20">
        <v>500</v>
      </c>
      <c r="O4563" s="24">
        <f>(Tabla1[[#This Row],[COSTO FIJO ]]/30)*Tabla1[[#This Row],[TOTAL DIAS PROYECTO]]+(Tabla1[[#This Row],[COSTO TEMPORAL]])</f>
        <v>400</v>
      </c>
      <c r="P4563" s="12"/>
      <c r="Q4563" s="12">
        <f>+(Tabla1[[#This Row],[COSTO COCHE]]/30)*Tabla1[[#This Row],[TOTAL DIAS PROYECTO]]</f>
        <v>0</v>
      </c>
      <c r="R4563" s="12">
        <f>+Tabla1[[#This Row],[COSTO TOTAL ALOJAMIENTO]]+Tabla1[[#This Row],[COSTO TOTAL COCHE]]</f>
        <v>400</v>
      </c>
      <c r="S4563" s="2"/>
      <c r="T4563" s="14" t="s">
        <v>35</v>
      </c>
      <c r="U4563" s="14">
        <v>46015</v>
      </c>
      <c r="V4563" s="79"/>
      <c r="W4563" s="12">
        <v>2000</v>
      </c>
      <c r="X4563" s="2">
        <v>30</v>
      </c>
      <c r="Y4563" s="11" t="s">
        <v>6607</v>
      </c>
      <c r="Z4563" s="2" t="s">
        <v>36</v>
      </c>
      <c r="AA4563" s="13">
        <v>-0.37739</v>
      </c>
      <c r="AB4563" s="13" t="s">
        <v>10372</v>
      </c>
    </row>
    <row r="4564" spans="1:28" ht="15" customHeight="1">
      <c r="A4564" s="2" t="s">
        <v>10141</v>
      </c>
      <c r="B4564" s="2" t="s">
        <v>978</v>
      </c>
      <c r="C4564" s="69" t="s">
        <v>6608</v>
      </c>
      <c r="D4564" s="2" t="s">
        <v>99</v>
      </c>
      <c r="E4564" s="2" t="s">
        <v>31</v>
      </c>
      <c r="F4564" s="11" t="s">
        <v>451</v>
      </c>
      <c r="G4564" s="118" t="s">
        <v>452</v>
      </c>
      <c r="H4564" s="2" t="s">
        <v>4949</v>
      </c>
      <c r="I4564" s="12" t="s">
        <v>1540</v>
      </c>
      <c r="J4564" s="22">
        <f>+Tabla1[[#This Row],[FECHA ENTRADA]]</f>
        <v>45865</v>
      </c>
      <c r="K4564" s="22">
        <v>46040</v>
      </c>
      <c r="L4564" s="23">
        <f>_xlfn.DAYS(Tabla1[[#This Row],[FECHA FIN ]],Tabla1[[#This Row],[FECHA INICIO]])</f>
        <v>175</v>
      </c>
      <c r="M4564" s="12"/>
      <c r="N4564" s="12">
        <v>425</v>
      </c>
      <c r="O4564" s="24">
        <f>(Tabla1[[#This Row],[COSTO FIJO ]]/30)*Tabla1[[#This Row],[TOTAL DIAS PROYECTO]]+(Tabla1[[#This Row],[COSTO TEMPORAL]])</f>
        <v>2479.1666666666665</v>
      </c>
      <c r="P4564" s="12"/>
      <c r="Q4564" s="12">
        <f>+(Tabla1[[#This Row],[COSTO COCHE]]/30)*Tabla1[[#This Row],[TOTAL DIAS PROYECTO]]</f>
        <v>0</v>
      </c>
      <c r="R4564" s="12">
        <f>+Tabla1[[#This Row],[COSTO TOTAL ALOJAMIENTO]]+Tabla1[[#This Row],[COSTO TOTAL COCHE]]</f>
        <v>2479.1666666666665</v>
      </c>
      <c r="S4564" s="2"/>
      <c r="T4564" s="14" t="s">
        <v>35</v>
      </c>
      <c r="U4564" s="14">
        <v>45865</v>
      </c>
      <c r="V4564" s="25"/>
      <c r="W4564" s="12"/>
      <c r="X4564" s="2">
        <v>1</v>
      </c>
      <c r="Y4564" s="11" t="s">
        <v>6609</v>
      </c>
      <c r="Z4564" s="2" t="s">
        <v>36</v>
      </c>
      <c r="AA4564" s="13" t="s">
        <v>10323</v>
      </c>
      <c r="AB4564" s="13" t="s">
        <v>10324</v>
      </c>
    </row>
    <row r="4565" spans="1:28" ht="15" customHeight="1">
      <c r="A4565" s="2" t="s">
        <v>10038</v>
      </c>
      <c r="B4565" s="2" t="s">
        <v>606</v>
      </c>
      <c r="C4565" s="31" t="s">
        <v>6020</v>
      </c>
      <c r="D4565" s="2" t="s">
        <v>30</v>
      </c>
      <c r="E4565" s="2" t="s">
        <v>31</v>
      </c>
      <c r="F4565" s="11" t="s">
        <v>715</v>
      </c>
      <c r="G4565" s="11" t="s">
        <v>716</v>
      </c>
      <c r="H4565" s="2" t="s">
        <v>6519</v>
      </c>
      <c r="I4565" s="12" t="s">
        <v>2391</v>
      </c>
      <c r="J4565" s="22">
        <f>+Tabla1[[#This Row],[FECHA ENTRADA]]</f>
        <v>46040</v>
      </c>
      <c r="K4565" s="22">
        <v>46040</v>
      </c>
      <c r="L4565" s="23">
        <f>_xlfn.DAYS(Tabla1[[#This Row],[FECHA FIN ]],Tabla1[[#This Row],[FECHA INICIO]])</f>
        <v>0</v>
      </c>
      <c r="M4565" s="12"/>
      <c r="N4565" s="12">
        <v>160</v>
      </c>
      <c r="O4565" s="24">
        <f>(Tabla1[[#This Row],[COSTO FIJO ]]/30)*Tabla1[[#This Row],[TOTAL DIAS PROYECTO]]+(Tabla1[[#This Row],[COSTO TEMPORAL]])</f>
        <v>0</v>
      </c>
      <c r="P4565" s="12"/>
      <c r="Q4565" s="12">
        <f>+(Tabla1[[#This Row],[COSTO COCHE]]/30)*Tabla1[[#This Row],[TOTAL DIAS PROYECTO]]</f>
        <v>0</v>
      </c>
      <c r="R4565" s="12">
        <f>+Tabla1[[#This Row],[COSTO TOTAL ALOJAMIENTO]]+Tabla1[[#This Row],[COSTO TOTAL COCHE]]</f>
        <v>0</v>
      </c>
      <c r="S4565" s="2"/>
      <c r="T4565" s="14" t="s">
        <v>35</v>
      </c>
      <c r="U4565" s="14">
        <v>46040</v>
      </c>
      <c r="V4565" s="79"/>
      <c r="W4565" s="12"/>
      <c r="X4565" s="2">
        <v>1</v>
      </c>
      <c r="Y4565" s="11" t="s">
        <v>6610</v>
      </c>
      <c r="Z4565" s="2" t="s">
        <v>36</v>
      </c>
      <c r="AA4565" s="13" t="s">
        <v>10323</v>
      </c>
      <c r="AB4565" s="13" t="s">
        <v>10324</v>
      </c>
    </row>
    <row r="4566" spans="1:28" ht="15" customHeight="1">
      <c r="A4566" s="2" t="s">
        <v>9973</v>
      </c>
      <c r="B4566" s="10" t="s">
        <v>978</v>
      </c>
      <c r="C4566" s="69" t="s">
        <v>5792</v>
      </c>
      <c r="D4566" s="2" t="s">
        <v>30</v>
      </c>
      <c r="E4566" s="2" t="s">
        <v>608</v>
      </c>
      <c r="F4566" s="11" t="s">
        <v>6520</v>
      </c>
      <c r="G4566" s="197" t="s">
        <v>6521</v>
      </c>
      <c r="H4566" s="2" t="s">
        <v>6611</v>
      </c>
      <c r="I4566" s="12" t="s">
        <v>4255</v>
      </c>
      <c r="J4566" s="22">
        <f>+Tabla1[[#This Row],[FECHA ENTRADA]]</f>
        <v>45957</v>
      </c>
      <c r="K4566" s="22">
        <v>46040</v>
      </c>
      <c r="L4566" s="23">
        <f>_xlfn.DAYS(Tabla1[[#This Row],[FECHA FIN ]],Tabla1[[#This Row],[FECHA INICIO]])</f>
        <v>83</v>
      </c>
      <c r="M4566" s="12"/>
      <c r="N4566" s="20">
        <v>280.5</v>
      </c>
      <c r="O4566" s="24">
        <f>(Tabla1[[#This Row],[COSTO FIJO ]]/30)*Tabla1[[#This Row],[TOTAL DIAS PROYECTO]]+(Tabla1[[#This Row],[COSTO TEMPORAL]])</f>
        <v>776.05</v>
      </c>
      <c r="P4566" s="12"/>
      <c r="Q4566" s="12">
        <f>+(Tabla1[[#This Row],[COSTO COCHE]]/30)*Tabla1[[#This Row],[TOTAL DIAS PROYECTO]]</f>
        <v>0</v>
      </c>
      <c r="R4566" s="12">
        <f>+Tabla1[[#This Row],[COSTO TOTAL ALOJAMIENTO]]+Tabla1[[#This Row],[COSTO TOTAL COCHE]]</f>
        <v>776.05</v>
      </c>
      <c r="S4566" s="2"/>
      <c r="T4566" s="14" t="s">
        <v>35</v>
      </c>
      <c r="U4566" s="14">
        <v>45957</v>
      </c>
      <c r="V4566" s="79"/>
      <c r="W4566" s="71">
        <v>2200</v>
      </c>
      <c r="X4566" s="2">
        <v>1</v>
      </c>
      <c r="Y4566" s="11" t="s">
        <v>6612</v>
      </c>
      <c r="Z4566" s="2" t="s">
        <v>36</v>
      </c>
      <c r="AA4566" s="13" t="s">
        <v>10383</v>
      </c>
      <c r="AB4566" s="13" t="s">
        <v>10384</v>
      </c>
    </row>
    <row r="4567" spans="1:28">
      <c r="A4567" s="2" t="s">
        <v>9476</v>
      </c>
      <c r="B4567" s="10" t="s">
        <v>978</v>
      </c>
      <c r="C4567" s="69" t="s">
        <v>3330</v>
      </c>
      <c r="D4567" s="2" t="s">
        <v>30</v>
      </c>
      <c r="E4567" s="2" t="s">
        <v>608</v>
      </c>
      <c r="F4567" s="11" t="s">
        <v>6520</v>
      </c>
      <c r="G4567" s="197" t="s">
        <v>6521</v>
      </c>
      <c r="H4567" s="2" t="s">
        <v>6611</v>
      </c>
      <c r="I4567" s="12" t="s">
        <v>4255</v>
      </c>
      <c r="J4567" s="22">
        <f>+Tabla1[[#This Row],[FECHA ENTRADA]]</f>
        <v>45957</v>
      </c>
      <c r="K4567" s="22">
        <v>46040</v>
      </c>
      <c r="L4567" s="23">
        <f>_xlfn.DAYS(Tabla1[[#This Row],[FECHA FIN ]],Tabla1[[#This Row],[FECHA INICIO]])</f>
        <v>83</v>
      </c>
      <c r="M4567" s="12"/>
      <c r="N4567" s="20">
        <v>280.5</v>
      </c>
      <c r="O4567" s="24">
        <f>(Tabla1[[#This Row],[COSTO FIJO ]]/30)*Tabla1[[#This Row],[TOTAL DIAS PROYECTO]]+(Tabla1[[#This Row],[COSTO TEMPORAL]])</f>
        <v>776.05</v>
      </c>
      <c r="P4567" s="12"/>
      <c r="Q4567" s="12">
        <f>+(Tabla1[[#This Row],[COSTO COCHE]]/30)*Tabla1[[#This Row],[TOTAL DIAS PROYECTO]]</f>
        <v>0</v>
      </c>
      <c r="R4567" s="12">
        <f>+Tabla1[[#This Row],[COSTO TOTAL ALOJAMIENTO]]+Tabla1[[#This Row],[COSTO TOTAL COCHE]]</f>
        <v>776.05</v>
      </c>
      <c r="S4567" s="2"/>
      <c r="T4567" s="14" t="s">
        <v>35</v>
      </c>
      <c r="U4567" s="14">
        <v>45957</v>
      </c>
      <c r="V4567" s="79"/>
      <c r="W4567" s="71"/>
      <c r="X4567" s="2">
        <v>1</v>
      </c>
      <c r="Y4567" s="11" t="s">
        <v>6612</v>
      </c>
      <c r="Z4567" s="2" t="s">
        <v>36</v>
      </c>
      <c r="AA4567" s="13" t="s">
        <v>10383</v>
      </c>
      <c r="AB4567" s="13" t="s">
        <v>10384</v>
      </c>
    </row>
    <row r="4568" spans="1:28" ht="15" customHeight="1">
      <c r="A4568" s="2" t="s">
        <v>10142</v>
      </c>
      <c r="B4568" s="10" t="s">
        <v>978</v>
      </c>
      <c r="C4568" s="69" t="s">
        <v>6613</v>
      </c>
      <c r="D4568" s="2" t="s">
        <v>30</v>
      </c>
      <c r="E4568" s="2" t="s">
        <v>608</v>
      </c>
      <c r="F4568" s="11" t="s">
        <v>6520</v>
      </c>
      <c r="G4568" s="197" t="s">
        <v>6521</v>
      </c>
      <c r="H4568" s="2" t="s">
        <v>6522</v>
      </c>
      <c r="I4568" s="12" t="s">
        <v>4255</v>
      </c>
      <c r="J4568" s="22">
        <f>+Tabla1[[#This Row],[FECHA ENTRADA]]</f>
        <v>45970</v>
      </c>
      <c r="K4568" s="22">
        <v>46040</v>
      </c>
      <c r="L4568" s="23">
        <f>_xlfn.DAYS(Tabla1[[#This Row],[FECHA FIN ]],Tabla1[[#This Row],[FECHA INICIO]])</f>
        <v>70</v>
      </c>
      <c r="M4568" s="12"/>
      <c r="N4568" s="20">
        <v>280.5</v>
      </c>
      <c r="O4568" s="24">
        <f>(Tabla1[[#This Row],[COSTO FIJO ]]/30)*Tabla1[[#This Row],[TOTAL DIAS PROYECTO]]+(Tabla1[[#This Row],[COSTO TEMPORAL]])</f>
        <v>654.5</v>
      </c>
      <c r="P4568" s="12"/>
      <c r="Q4568" s="12">
        <f>+(Tabla1[[#This Row],[COSTO COCHE]]/30)*Tabla1[[#This Row],[TOTAL DIAS PROYECTO]]</f>
        <v>0</v>
      </c>
      <c r="R4568" s="12">
        <f>+Tabla1[[#This Row],[COSTO TOTAL ALOJAMIENTO]]+Tabla1[[#This Row],[COSTO TOTAL COCHE]]</f>
        <v>654.5</v>
      </c>
      <c r="S4568" s="2"/>
      <c r="T4568" s="14" t="s">
        <v>35</v>
      </c>
      <c r="U4568" s="14">
        <v>45970</v>
      </c>
      <c r="V4568" s="79"/>
      <c r="W4568" s="71"/>
      <c r="X4568" s="2">
        <v>1</v>
      </c>
      <c r="Y4568" s="11" t="s">
        <v>6612</v>
      </c>
      <c r="Z4568" s="2" t="s">
        <v>36</v>
      </c>
      <c r="AA4568" s="13" t="s">
        <v>10383</v>
      </c>
      <c r="AB4568" s="13" t="s">
        <v>10384</v>
      </c>
    </row>
    <row r="4569" spans="1:28" ht="15" customHeight="1">
      <c r="A4569" s="2" t="s">
        <v>10143</v>
      </c>
      <c r="B4569" s="2" t="s">
        <v>978</v>
      </c>
      <c r="C4569" s="31" t="s">
        <v>6614</v>
      </c>
      <c r="D4569" s="2" t="s">
        <v>30</v>
      </c>
      <c r="E4569" s="2" t="s">
        <v>380</v>
      </c>
      <c r="F4569" s="11" t="s">
        <v>1579</v>
      </c>
      <c r="G4569" s="118" t="s">
        <v>1580</v>
      </c>
      <c r="H4569" s="2" t="s">
        <v>6296</v>
      </c>
      <c r="I4569" s="12" t="s">
        <v>4681</v>
      </c>
      <c r="J4569" s="22">
        <f>+Tabla1[[#This Row],[FECHA ENTRADA]]</f>
        <v>45915</v>
      </c>
      <c r="K4569" s="22">
        <v>45994</v>
      </c>
      <c r="L4569" s="23">
        <f>_xlfn.DAYS(Tabla1[[#This Row],[FECHA FIN ]],Tabla1[[#This Row],[FECHA INICIO]])</f>
        <v>79</v>
      </c>
      <c r="M4569" s="12"/>
      <c r="N4569" s="12"/>
      <c r="O4569" s="24">
        <f>(Tabla1[[#This Row],[COSTO FIJO ]]/30)*Tabla1[[#This Row],[TOTAL DIAS PROYECTO]]+(Tabla1[[#This Row],[COSTO TEMPORAL]])</f>
        <v>0</v>
      </c>
      <c r="P4569" s="12"/>
      <c r="Q4569" s="12">
        <f>+(Tabla1[[#This Row],[COSTO COCHE]]/30)*Tabla1[[#This Row],[TOTAL DIAS PROYECTO]]</f>
        <v>0</v>
      </c>
      <c r="R4569" s="12">
        <f>+Tabla1[[#This Row],[COSTO TOTAL ALOJAMIENTO]]+Tabla1[[#This Row],[COSTO TOTAL COCHE]]</f>
        <v>0</v>
      </c>
      <c r="S4569" s="2"/>
      <c r="T4569" s="14" t="s">
        <v>35</v>
      </c>
      <c r="U4569" s="14">
        <v>45915</v>
      </c>
      <c r="V4569" s="25"/>
      <c r="W4569" s="71"/>
      <c r="X4569" s="2">
        <v>1</v>
      </c>
      <c r="Y4569" s="11" t="s">
        <v>6615</v>
      </c>
      <c r="Z4569" s="2" t="s">
        <v>36</v>
      </c>
      <c r="AA4569" s="13" t="s">
        <v>10370</v>
      </c>
      <c r="AB4569" s="13" t="s">
        <v>10371</v>
      </c>
    </row>
    <row r="4570" spans="1:28" ht="15" customHeight="1">
      <c r="A4570" s="2" t="s">
        <v>8896</v>
      </c>
      <c r="B4570" s="2" t="s">
        <v>978</v>
      </c>
      <c r="C4570" s="104" t="s">
        <v>1194</v>
      </c>
      <c r="D4570" s="2" t="s">
        <v>30</v>
      </c>
      <c r="E4570" s="2" t="s">
        <v>608</v>
      </c>
      <c r="F4570" s="11" t="s">
        <v>1106</v>
      </c>
      <c r="G4570" s="21"/>
      <c r="H4570" s="2" t="s">
        <v>6616</v>
      </c>
      <c r="I4570" s="12" t="s">
        <v>4255</v>
      </c>
      <c r="J4570" s="22">
        <f>+Tabla1[[#This Row],[FECHA ENTRADA]]</f>
        <v>45948</v>
      </c>
      <c r="K4570" s="22">
        <v>46040</v>
      </c>
      <c r="L4570" s="23">
        <f>_xlfn.DAYS(Tabla1[[#This Row],[FECHA FIN ]],Tabla1[[#This Row],[FECHA INICIO]])</f>
        <v>92</v>
      </c>
      <c r="M4570" s="12"/>
      <c r="N4570" s="20">
        <v>0</v>
      </c>
      <c r="O4570" s="24">
        <f>(Tabla1[[#This Row],[COSTO FIJO ]]/30)*Tabla1[[#This Row],[TOTAL DIAS PROYECTO]]+(Tabla1[[#This Row],[COSTO TEMPORAL]])</f>
        <v>0</v>
      </c>
      <c r="P4570" s="12"/>
      <c r="Q4570" s="12">
        <f>+(Tabla1[[#This Row],[COSTO COCHE]]/30)*Tabla1[[#This Row],[TOTAL DIAS PROYECTO]]</f>
        <v>0</v>
      </c>
      <c r="R4570" s="12">
        <f>+Tabla1[[#This Row],[COSTO TOTAL ALOJAMIENTO]]+Tabla1[[#This Row],[COSTO TOTAL COCHE]]</f>
        <v>0</v>
      </c>
      <c r="S4570" s="2"/>
      <c r="T4570" s="2" t="s">
        <v>8</v>
      </c>
      <c r="U4570" s="14">
        <v>45948</v>
      </c>
      <c r="V4570" s="79">
        <v>45961</v>
      </c>
      <c r="W4570" s="71"/>
      <c r="X4570" s="2"/>
      <c r="Y4570" s="136" t="s">
        <v>6617</v>
      </c>
      <c r="Z4570" s="2" t="s">
        <v>36</v>
      </c>
      <c r="AA4570" s="13" t="s">
        <v>10383</v>
      </c>
      <c r="AB4570" s="13" t="s">
        <v>10384</v>
      </c>
    </row>
    <row r="4571" spans="1:28" ht="15" customHeight="1">
      <c r="A4571" s="2" t="s">
        <v>8780</v>
      </c>
      <c r="B4571" s="2" t="s">
        <v>606</v>
      </c>
      <c r="C4571" s="31" t="s">
        <v>739</v>
      </c>
      <c r="D4571" s="2" t="s">
        <v>30</v>
      </c>
      <c r="E4571" s="2" t="s">
        <v>31</v>
      </c>
      <c r="F4571" s="11"/>
      <c r="G4571" s="21"/>
      <c r="H4571" s="2" t="s">
        <v>6618</v>
      </c>
      <c r="I4571" s="12" t="s">
        <v>34</v>
      </c>
      <c r="J4571" s="22">
        <f>+Tabla1[[#This Row],[FECHA ENTRADA]]</f>
        <v>46040</v>
      </c>
      <c r="K4571" s="22">
        <v>46040</v>
      </c>
      <c r="L4571" s="23">
        <f>_xlfn.DAYS(Tabla1[[#This Row],[FECHA FIN ]],Tabla1[[#This Row],[FECHA INICIO]])</f>
        <v>0</v>
      </c>
      <c r="M4571" s="12"/>
      <c r="N4571" s="24">
        <v>300</v>
      </c>
      <c r="O4571" s="24">
        <f>(Tabla1[[#This Row],[COSTO FIJO ]]/30)*Tabla1[[#This Row],[TOTAL DIAS PROYECTO]]+(Tabla1[[#This Row],[COSTO TEMPORAL]])</f>
        <v>0</v>
      </c>
      <c r="P4571" s="12"/>
      <c r="Q4571" s="12">
        <f>+(Tabla1[[#This Row],[COSTO COCHE]]/30)*Tabla1[[#This Row],[TOTAL DIAS PROYECTO]]</f>
        <v>0</v>
      </c>
      <c r="R4571" s="12">
        <f>+Tabla1[[#This Row],[COSTO TOTAL ALOJAMIENTO]]+Tabla1[[#This Row],[COSTO TOTAL COCHE]]</f>
        <v>0</v>
      </c>
      <c r="S4571" s="2"/>
      <c r="T4571" s="14" t="s">
        <v>58</v>
      </c>
      <c r="U4571" s="14">
        <v>46040</v>
      </c>
      <c r="V4571" s="79"/>
      <c r="W4571" s="12"/>
      <c r="X4571" s="2"/>
      <c r="Y4571" s="11" t="s">
        <v>6578</v>
      </c>
      <c r="Z4571" s="2" t="s">
        <v>36</v>
      </c>
      <c r="AA4571" s="13" t="s">
        <v>10323</v>
      </c>
      <c r="AB4571" s="13" t="s">
        <v>10324</v>
      </c>
    </row>
    <row r="4572" spans="1:28" ht="15" customHeight="1">
      <c r="A4572" s="2" t="s">
        <v>9833</v>
      </c>
      <c r="B4572" s="241" t="s">
        <v>606</v>
      </c>
      <c r="C4572" s="69" t="s">
        <v>4948</v>
      </c>
      <c r="D4572" s="2" t="s">
        <v>30</v>
      </c>
      <c r="E4572" s="2" t="s">
        <v>31</v>
      </c>
      <c r="F4572" s="11" t="s">
        <v>32</v>
      </c>
      <c r="G4572" s="11" t="s">
        <v>33</v>
      </c>
      <c r="H4572" s="2" t="s">
        <v>6619</v>
      </c>
      <c r="I4572" s="12" t="s">
        <v>6620</v>
      </c>
      <c r="J4572" s="22">
        <f>+Tabla1[[#This Row],[FECHA ENTRADA]]</f>
        <v>46040</v>
      </c>
      <c r="K4572" s="22">
        <v>46041</v>
      </c>
      <c r="L4572" s="23">
        <f>_xlfn.DAYS(Tabla1[[#This Row],[FECHA FIN ]],Tabla1[[#This Row],[FECHA INICIO]])</f>
        <v>1</v>
      </c>
      <c r="M4572" s="12"/>
      <c r="N4572" s="12">
        <f>875.5/5</f>
        <v>175.1</v>
      </c>
      <c r="O4572" s="24">
        <f>(Tabla1[[#This Row],[COSTO FIJO ]]/30)*Tabla1[[#This Row],[TOTAL DIAS PROYECTO]]+(Tabla1[[#This Row],[COSTO TEMPORAL]])</f>
        <v>5.8366666666666669</v>
      </c>
      <c r="P4572" s="12"/>
      <c r="Q4572" s="12">
        <f>+(Tabla1[[#This Row],[COSTO COCHE]]/30)*Tabla1[[#This Row],[TOTAL DIAS PROYECTO]]</f>
        <v>0</v>
      </c>
      <c r="R4572" s="12">
        <f>+Tabla1[[#This Row],[COSTO TOTAL ALOJAMIENTO]]+Tabla1[[#This Row],[COSTO TOTAL COCHE]]</f>
        <v>5.8366666666666669</v>
      </c>
      <c r="S4572" s="2"/>
      <c r="T4572" s="14" t="s">
        <v>35</v>
      </c>
      <c r="U4572" s="14">
        <v>46040</v>
      </c>
      <c r="V4572" s="79"/>
      <c r="W4572" s="12"/>
      <c r="X4572" s="2">
        <v>1</v>
      </c>
      <c r="Y4572" s="11" t="s">
        <v>6621</v>
      </c>
      <c r="Z4572" s="2" t="s">
        <v>36</v>
      </c>
      <c r="AA4572" s="13" t="s">
        <v>10323</v>
      </c>
      <c r="AB4572" s="13" t="s">
        <v>10324</v>
      </c>
    </row>
    <row r="4573" spans="1:28" ht="15" customHeight="1">
      <c r="A4573" s="2" t="s">
        <v>9950</v>
      </c>
      <c r="B4573" s="2" t="s">
        <v>711</v>
      </c>
      <c r="C4573" s="31" t="s">
        <v>5646</v>
      </c>
      <c r="D4573" s="2" t="s">
        <v>99</v>
      </c>
      <c r="E4573" s="2" t="s">
        <v>626</v>
      </c>
      <c r="F4573" s="11" t="s">
        <v>1037</v>
      </c>
      <c r="G4573" s="118" t="s">
        <v>1038</v>
      </c>
      <c r="H4573" s="157" t="s">
        <v>6279</v>
      </c>
      <c r="I4573" s="12" t="s">
        <v>570</v>
      </c>
      <c r="J4573" s="22">
        <f>+Tabla1[[#This Row],[FECHA ENTRADA]]</f>
        <v>46032</v>
      </c>
      <c r="K4573" s="22">
        <v>46062</v>
      </c>
      <c r="L4573" s="23">
        <f>_xlfn.DAYS(Tabla1[[#This Row],[FECHA FIN ]],Tabla1[[#This Row],[FECHA INICIO]])</f>
        <v>30</v>
      </c>
      <c r="M4573" s="12"/>
      <c r="N4573" s="12">
        <v>550</v>
      </c>
      <c r="O4573" s="24">
        <f>(Tabla1[[#This Row],[COSTO FIJO ]]/30)*Tabla1[[#This Row],[TOTAL DIAS PROYECTO]]+(Tabla1[[#This Row],[COSTO TEMPORAL]])</f>
        <v>550</v>
      </c>
      <c r="P4573" s="12"/>
      <c r="Q4573" s="12">
        <f>+(Tabla1[[#This Row],[COSTO COCHE]]/30)*Tabla1[[#This Row],[TOTAL DIAS PROYECTO]]</f>
        <v>0</v>
      </c>
      <c r="R4573" s="12">
        <f>+Tabla1[[#This Row],[COSTO TOTAL ALOJAMIENTO]]+Tabla1[[#This Row],[COSTO TOTAL COCHE]]</f>
        <v>550</v>
      </c>
      <c r="S4573" s="2"/>
      <c r="T4573" s="14" t="s">
        <v>35</v>
      </c>
      <c r="U4573" s="14">
        <v>46032</v>
      </c>
      <c r="V4573" s="79"/>
      <c r="W4573" s="12"/>
      <c r="X4573" s="2">
        <v>5</v>
      </c>
      <c r="Y4573" s="267" t="s">
        <v>6622</v>
      </c>
      <c r="Z4573" s="2" t="s">
        <v>36</v>
      </c>
      <c r="AA4573" s="13" t="s">
        <v>10385</v>
      </c>
      <c r="AB4573" s="13" t="s">
        <v>10386</v>
      </c>
    </row>
    <row r="4574" spans="1:28" ht="15" customHeight="1">
      <c r="A4574" s="2" t="s">
        <v>9519</v>
      </c>
      <c r="B4574" s="2" t="s">
        <v>711</v>
      </c>
      <c r="C4574" s="227" t="s">
        <v>3513</v>
      </c>
      <c r="D4574" s="2" t="s">
        <v>30</v>
      </c>
      <c r="E4574" s="2" t="s">
        <v>626</v>
      </c>
      <c r="F4574" s="11" t="s">
        <v>5547</v>
      </c>
      <c r="G4574" s="21" t="s">
        <v>5548</v>
      </c>
      <c r="H4574" s="2" t="s">
        <v>5810</v>
      </c>
      <c r="I4574" s="12" t="s">
        <v>570</v>
      </c>
      <c r="J4574" s="22">
        <f>+Tabla1[[#This Row],[FECHA ENTRADA]]</f>
        <v>45958</v>
      </c>
      <c r="K4574" s="22">
        <v>46041</v>
      </c>
      <c r="L4574" s="23">
        <f>_xlfn.DAYS(Tabla1[[#This Row],[FECHA FIN ]],Tabla1[[#This Row],[FECHA INICIO]])</f>
        <v>83</v>
      </c>
      <c r="M4574" s="12"/>
      <c r="N4574" s="24"/>
      <c r="O4574" s="24">
        <f>(Tabla1[[#This Row],[COSTO FIJO ]]/30)*Tabla1[[#This Row],[TOTAL DIAS PROYECTO]]+(Tabla1[[#This Row],[COSTO TEMPORAL]])</f>
        <v>0</v>
      </c>
      <c r="P4574" s="12"/>
      <c r="Q4574" s="12">
        <f>+(Tabla1[[#This Row],[COSTO COCHE]]/30)*Tabla1[[#This Row],[TOTAL DIAS PROYECTO]]</f>
        <v>0</v>
      </c>
      <c r="R4574" s="12">
        <f>+Tabla1[[#This Row],[COSTO TOTAL ALOJAMIENTO]]+Tabla1[[#This Row],[COSTO TOTAL COCHE]]</f>
        <v>0</v>
      </c>
      <c r="S4574" s="2"/>
      <c r="T4574" s="14" t="s">
        <v>44</v>
      </c>
      <c r="U4574" s="14">
        <v>45958</v>
      </c>
      <c r="V4574" s="79">
        <v>46042</v>
      </c>
      <c r="W4574" s="71"/>
      <c r="X4574" s="2"/>
      <c r="Y4574" s="11" t="s">
        <v>6280</v>
      </c>
      <c r="Z4574" s="2" t="s">
        <v>36</v>
      </c>
      <c r="AA4574" s="13" t="s">
        <v>10385</v>
      </c>
      <c r="AB4574" s="13" t="s">
        <v>10386</v>
      </c>
    </row>
    <row r="4575" spans="1:28" ht="15" customHeight="1">
      <c r="A4575" s="2" t="s">
        <v>9884</v>
      </c>
      <c r="B4575" s="2" t="s">
        <v>711</v>
      </c>
      <c r="C4575" s="11" t="s">
        <v>5213</v>
      </c>
      <c r="D4575" s="2" t="s">
        <v>30</v>
      </c>
      <c r="E4575" s="2" t="s">
        <v>626</v>
      </c>
      <c r="F4575" s="11" t="s">
        <v>5547</v>
      </c>
      <c r="G4575" s="21" t="s">
        <v>5548</v>
      </c>
      <c r="H4575" s="2" t="s">
        <v>5810</v>
      </c>
      <c r="I4575" s="12" t="s">
        <v>570</v>
      </c>
      <c r="J4575" s="22">
        <f>+Tabla1[[#This Row],[FECHA ENTRADA]]</f>
        <v>45958</v>
      </c>
      <c r="K4575" s="22">
        <v>46041</v>
      </c>
      <c r="L4575" s="23">
        <f>_xlfn.DAYS(Tabla1[[#This Row],[FECHA FIN ]],Tabla1[[#This Row],[FECHA INICIO]])</f>
        <v>83</v>
      </c>
      <c r="M4575" s="12"/>
      <c r="N4575" s="24"/>
      <c r="O4575" s="24">
        <f>(Tabla1[[#This Row],[COSTO FIJO ]]/30)*Tabla1[[#This Row],[TOTAL DIAS PROYECTO]]+(Tabla1[[#This Row],[COSTO TEMPORAL]])</f>
        <v>0</v>
      </c>
      <c r="P4575" s="12"/>
      <c r="Q4575" s="12">
        <f>+(Tabla1[[#This Row],[COSTO COCHE]]/30)*Tabla1[[#This Row],[TOTAL DIAS PROYECTO]]</f>
        <v>0</v>
      </c>
      <c r="R4575" s="12">
        <f>+Tabla1[[#This Row],[COSTO TOTAL ALOJAMIENTO]]+Tabla1[[#This Row],[COSTO TOTAL COCHE]]</f>
        <v>0</v>
      </c>
      <c r="S4575" s="2"/>
      <c r="T4575" s="14" t="s">
        <v>44</v>
      </c>
      <c r="U4575" s="14">
        <v>45958</v>
      </c>
      <c r="V4575" s="79">
        <v>46042</v>
      </c>
      <c r="W4575" s="71"/>
      <c r="X4575" s="2"/>
      <c r="Y4575" s="11" t="s">
        <v>6623</v>
      </c>
      <c r="Z4575" s="2" t="s">
        <v>36</v>
      </c>
      <c r="AA4575" s="13" t="s">
        <v>10385</v>
      </c>
      <c r="AB4575" s="13" t="s">
        <v>10386</v>
      </c>
    </row>
    <row r="4576" spans="1:28" ht="15" customHeight="1">
      <c r="A4576" s="2" t="s">
        <v>9928</v>
      </c>
      <c r="B4576" s="241" t="s">
        <v>606</v>
      </c>
      <c r="C4576" s="69" t="s">
        <v>5501</v>
      </c>
      <c r="D4576" s="2" t="s">
        <v>30</v>
      </c>
      <c r="E4576" s="2" t="s">
        <v>31</v>
      </c>
      <c r="F4576" s="11" t="s">
        <v>6473</v>
      </c>
      <c r="G4576" s="128" t="s">
        <v>6474</v>
      </c>
      <c r="H4576" s="2" t="s">
        <v>6619</v>
      </c>
      <c r="I4576" s="12" t="s">
        <v>6620</v>
      </c>
      <c r="J4576" s="22">
        <f>+Tabla1[[#This Row],[FECHA ENTRADA]]</f>
        <v>46040</v>
      </c>
      <c r="K4576" s="22">
        <v>46041</v>
      </c>
      <c r="L4576" s="23">
        <f>_xlfn.DAYS(Tabla1[[#This Row],[FECHA FIN ]],Tabla1[[#This Row],[FECHA INICIO]])</f>
        <v>1</v>
      </c>
      <c r="M4576" s="12">
        <v>500</v>
      </c>
      <c r="N4576" s="20"/>
      <c r="O4576" s="24">
        <f>(Tabla1[[#This Row],[COSTO FIJO ]]/30)*Tabla1[[#This Row],[TOTAL DIAS PROYECTO]]+(Tabla1[[#This Row],[COSTO TEMPORAL]])</f>
        <v>500</v>
      </c>
      <c r="P4576" s="12"/>
      <c r="Q4576" s="12">
        <f>+(Tabla1[[#This Row],[COSTO COCHE]]/30)*Tabla1[[#This Row],[TOTAL DIAS PROYECTO]]</f>
        <v>0</v>
      </c>
      <c r="R4576" s="12">
        <f>+Tabla1[[#This Row],[COSTO TOTAL ALOJAMIENTO]]+Tabla1[[#This Row],[COSTO TOTAL COCHE]]</f>
        <v>500</v>
      </c>
      <c r="S4576" s="2"/>
      <c r="T4576" s="14" t="s">
        <v>35</v>
      </c>
      <c r="U4576" s="14">
        <v>46040</v>
      </c>
      <c r="V4576" s="79"/>
      <c r="W4576" s="12"/>
      <c r="X4576" s="2">
        <v>28</v>
      </c>
      <c r="Y4576" s="11" t="s">
        <v>6624</v>
      </c>
      <c r="Z4576" s="2" t="s">
        <v>36</v>
      </c>
      <c r="AA4576" s="13" t="s">
        <v>10323</v>
      </c>
      <c r="AB4576" s="13" t="s">
        <v>10324</v>
      </c>
    </row>
    <row r="4577" spans="1:28" ht="15" customHeight="1">
      <c r="A4577" s="2" t="s">
        <v>10144</v>
      </c>
      <c r="B4577" s="2" t="s">
        <v>711</v>
      </c>
      <c r="C4577" s="11" t="s">
        <v>6625</v>
      </c>
      <c r="D4577" s="2" t="s">
        <v>30</v>
      </c>
      <c r="E4577" s="2" t="s">
        <v>626</v>
      </c>
      <c r="F4577" s="11" t="s">
        <v>5547</v>
      </c>
      <c r="G4577" s="21" t="s">
        <v>5548</v>
      </c>
      <c r="H4577" s="2" t="s">
        <v>5933</v>
      </c>
      <c r="I4577" s="12" t="s">
        <v>570</v>
      </c>
      <c r="J4577" s="22">
        <f>+Tabla1[[#This Row],[FECHA ENTRADA]]</f>
        <v>45950</v>
      </c>
      <c r="K4577" s="22">
        <v>46041</v>
      </c>
      <c r="L4577" s="23">
        <f>_xlfn.DAYS(Tabla1[[#This Row],[FECHA FIN ]],Tabla1[[#This Row],[FECHA INICIO]])</f>
        <v>91</v>
      </c>
      <c r="M4577" s="12">
        <v>152</v>
      </c>
      <c r="N4577" s="20"/>
      <c r="O4577" s="24">
        <f>(Tabla1[[#This Row],[COSTO FIJO ]]/30)*Tabla1[[#This Row],[TOTAL DIAS PROYECTO]]+(Tabla1[[#This Row],[COSTO TEMPORAL]])</f>
        <v>152</v>
      </c>
      <c r="P4577" s="12"/>
      <c r="Q4577" s="12">
        <f>+(Tabla1[[#This Row],[COSTO COCHE]]/30)*Tabla1[[#This Row],[TOTAL DIAS PROYECTO]]</f>
        <v>0</v>
      </c>
      <c r="R4577" s="12">
        <f>+Tabla1[[#This Row],[COSTO TOTAL ALOJAMIENTO]]+Tabla1[[#This Row],[COSTO TOTAL COCHE]]</f>
        <v>152</v>
      </c>
      <c r="S4577" s="2"/>
      <c r="T4577" s="14" t="s">
        <v>44</v>
      </c>
      <c r="U4577" s="14">
        <v>45950</v>
      </c>
      <c r="V4577" s="79">
        <v>46042</v>
      </c>
      <c r="W4577" s="71"/>
      <c r="X4577" s="2"/>
      <c r="Y4577" s="11" t="s">
        <v>6280</v>
      </c>
      <c r="Z4577" s="2" t="s">
        <v>36</v>
      </c>
      <c r="AA4577" s="13" t="s">
        <v>10385</v>
      </c>
      <c r="AB4577" s="13" t="s">
        <v>10386</v>
      </c>
    </row>
    <row r="4578" spans="1:28" ht="15" customHeight="1">
      <c r="A4578" s="2" t="s">
        <v>8737</v>
      </c>
      <c r="B4578" s="2" t="s">
        <v>711</v>
      </c>
      <c r="C4578" s="11" t="s">
        <v>510</v>
      </c>
      <c r="D4578" s="2" t="s">
        <v>30</v>
      </c>
      <c r="E4578" s="2" t="s">
        <v>2378</v>
      </c>
      <c r="F4578" s="11" t="s">
        <v>6626</v>
      </c>
      <c r="G4578" s="21" t="s">
        <v>6627</v>
      </c>
      <c r="H4578" s="2" t="s">
        <v>6628</v>
      </c>
      <c r="I4578" s="12" t="s">
        <v>1392</v>
      </c>
      <c r="J4578" s="22">
        <f>+Tabla1[[#This Row],[FECHA ENTRADA]]</f>
        <v>46029</v>
      </c>
      <c r="K4578" s="22">
        <v>46041</v>
      </c>
      <c r="L4578" s="23">
        <f>_xlfn.DAYS(Tabla1[[#This Row],[FECHA FIN ]],Tabla1[[#This Row],[FECHA INICIO]])</f>
        <v>12</v>
      </c>
      <c r="M4578" s="12">
        <f>(1493.36+192.7)/4</f>
        <v>421.51499999999999</v>
      </c>
      <c r="N4578" s="20"/>
      <c r="O4578" s="24">
        <f>(Tabla1[[#This Row],[COSTO FIJO ]]/30)*Tabla1[[#This Row],[TOTAL DIAS PROYECTO]]+(Tabla1[[#This Row],[COSTO TEMPORAL]])</f>
        <v>421.51499999999999</v>
      </c>
      <c r="P4578" s="12"/>
      <c r="Q4578" s="12">
        <f>+(Tabla1[[#This Row],[COSTO COCHE]]/30)*Tabla1[[#This Row],[TOTAL DIAS PROYECTO]]</f>
        <v>0</v>
      </c>
      <c r="R4578" s="12">
        <f>+Tabla1[[#This Row],[COSTO TOTAL ALOJAMIENTO]]+Tabla1[[#This Row],[COSTO TOTAL COCHE]]</f>
        <v>421.51499999999999</v>
      </c>
      <c r="S4578" s="2" t="s">
        <v>84</v>
      </c>
      <c r="T4578" s="14" t="s">
        <v>44</v>
      </c>
      <c r="U4578" s="14">
        <v>46029</v>
      </c>
      <c r="V4578" s="79">
        <v>46064</v>
      </c>
      <c r="W4578" s="12"/>
      <c r="X4578" s="2"/>
      <c r="Y4578" s="11" t="s">
        <v>6629</v>
      </c>
      <c r="Z4578" s="2" t="s">
        <v>36</v>
      </c>
      <c r="AA4578" s="13" t="e">
        <v>#N/A</v>
      </c>
      <c r="AB4578" s="13" t="e">
        <v>#N/A</v>
      </c>
    </row>
    <row r="4579" spans="1:28" ht="15" customHeight="1">
      <c r="A4579" s="2" t="s">
        <v>9942</v>
      </c>
      <c r="B4579" s="2" t="s">
        <v>28</v>
      </c>
      <c r="C4579" s="11" t="s">
        <v>5584</v>
      </c>
      <c r="D4579" s="2" t="s">
        <v>30</v>
      </c>
      <c r="E4579" s="2" t="s">
        <v>422</v>
      </c>
      <c r="F4579" s="11" t="s">
        <v>4786</v>
      </c>
      <c r="G4579" s="49" t="s">
        <v>4787</v>
      </c>
      <c r="H4579" s="2" t="s">
        <v>6253</v>
      </c>
      <c r="I4579" s="12" t="s">
        <v>4327</v>
      </c>
      <c r="J4579" s="22">
        <f>+Tabla1[[#This Row],[FECHA ENTRADA]]</f>
        <v>45886</v>
      </c>
      <c r="K4579" s="22">
        <v>45941</v>
      </c>
      <c r="L4579" s="23">
        <f>_xlfn.DAYS(Tabla1[[#This Row],[FECHA FIN ]],Tabla1[[#This Row],[FECHA INICIO]])</f>
        <v>55</v>
      </c>
      <c r="M4579" s="12"/>
      <c r="N4579" s="12"/>
      <c r="O4579" s="24">
        <f>(Tabla1[[#This Row],[COSTO FIJO ]]/30)*Tabla1[[#This Row],[TOTAL DIAS PROYECTO]]+(Tabla1[[#This Row],[COSTO TEMPORAL]])</f>
        <v>0</v>
      </c>
      <c r="P4579" s="12"/>
      <c r="Q4579" s="12">
        <f>+(Tabla1[[#This Row],[COSTO COCHE]]/30)*Tabla1[[#This Row],[TOTAL DIAS PROYECTO]]</f>
        <v>0</v>
      </c>
      <c r="R4579" s="12">
        <f>+Tabla1[[#This Row],[COSTO TOTAL ALOJAMIENTO]]+Tabla1[[#This Row],[COSTO TOTAL COCHE]]</f>
        <v>0</v>
      </c>
      <c r="S4579" s="2"/>
      <c r="T4579" s="14" t="s">
        <v>35</v>
      </c>
      <c r="U4579" s="14">
        <v>45886</v>
      </c>
      <c r="V4579" s="25"/>
      <c r="W4579" s="12">
        <v>2100</v>
      </c>
      <c r="X4579" s="2">
        <v>5</v>
      </c>
      <c r="Y4579" s="11"/>
      <c r="Z4579" s="2" t="s">
        <v>36</v>
      </c>
      <c r="AA4579" s="13">
        <v>-326.69799999999998</v>
      </c>
      <c r="AB4579" s="13" t="s">
        <v>10373</v>
      </c>
    </row>
    <row r="4580" spans="1:28" ht="15" customHeight="1">
      <c r="A4580" s="2" t="s">
        <v>9131</v>
      </c>
      <c r="B4580" s="2" t="s">
        <v>978</v>
      </c>
      <c r="C4580" s="31" t="s">
        <v>2131</v>
      </c>
      <c r="D4580" s="2" t="s">
        <v>30</v>
      </c>
      <c r="E4580" s="2" t="s">
        <v>422</v>
      </c>
      <c r="F4580" s="11" t="s">
        <v>6555</v>
      </c>
      <c r="G4580" s="11" t="s">
        <v>5428</v>
      </c>
      <c r="H4580" s="2" t="s">
        <v>5506</v>
      </c>
      <c r="I4580" s="12" t="s">
        <v>5430</v>
      </c>
      <c r="J4580" s="22">
        <f>+Tabla1[[#This Row],[FECHA ENTRADA]]</f>
        <v>45886</v>
      </c>
      <c r="K4580" s="22">
        <v>45947</v>
      </c>
      <c r="L4580" s="23">
        <f>_xlfn.DAYS(Tabla1[[#This Row],[FECHA FIN ]],Tabla1[[#This Row],[FECHA INICIO]])</f>
        <v>61</v>
      </c>
      <c r="M4580" s="12"/>
      <c r="N4580" s="20">
        <v>450</v>
      </c>
      <c r="O4580" s="24">
        <f>(Tabla1[[#This Row],[COSTO FIJO ]]/30)*Tabla1[[#This Row],[TOTAL DIAS PROYECTO]]+(Tabla1[[#This Row],[COSTO TEMPORAL]])</f>
        <v>915</v>
      </c>
      <c r="P4580" s="12"/>
      <c r="Q4580" s="12">
        <f>+(Tabla1[[#This Row],[COSTO COCHE]]/30)*Tabla1[[#This Row],[TOTAL DIAS PROYECTO]]</f>
        <v>0</v>
      </c>
      <c r="R4580" s="12">
        <f>+Tabla1[[#This Row],[COSTO TOTAL ALOJAMIENTO]]+Tabla1[[#This Row],[COSTO TOTAL COCHE]]</f>
        <v>915</v>
      </c>
      <c r="S4580" s="2"/>
      <c r="T4580" s="14" t="s">
        <v>35</v>
      </c>
      <c r="U4580" s="14">
        <v>45886</v>
      </c>
      <c r="V4580" s="79"/>
      <c r="W4580" s="12">
        <v>450</v>
      </c>
      <c r="X4580" s="2">
        <v>15</v>
      </c>
      <c r="Y4580" s="11" t="s">
        <v>6630</v>
      </c>
      <c r="Z4580" s="2" t="s">
        <v>36</v>
      </c>
      <c r="AA4580" s="13">
        <v>-326.69799999999998</v>
      </c>
      <c r="AB4580" s="13" t="s">
        <v>10373</v>
      </c>
    </row>
    <row r="4581" spans="1:28" ht="15" customHeight="1">
      <c r="A4581" s="2" t="s">
        <v>10145</v>
      </c>
      <c r="B4581" s="2" t="s">
        <v>28</v>
      </c>
      <c r="C4581" s="18" t="s">
        <v>6631</v>
      </c>
      <c r="D4581" s="2" t="s">
        <v>30</v>
      </c>
      <c r="E4581" s="2" t="s">
        <v>92</v>
      </c>
      <c r="F4581" s="11" t="s">
        <v>93</v>
      </c>
      <c r="G4581" s="11" t="s">
        <v>94</v>
      </c>
      <c r="H4581" s="2" t="s">
        <v>95</v>
      </c>
      <c r="I4581" s="12" t="s">
        <v>96</v>
      </c>
      <c r="J4581" s="8">
        <f>+Tabla1[[#This Row],[FECHA ENTRADA]]</f>
        <v>45363</v>
      </c>
      <c r="K4581" s="22">
        <v>45821</v>
      </c>
      <c r="L4581" s="13">
        <f>_xlfn.DAYS(Tabla1[[#This Row],[FECHA FIN ]],Tabla1[[#This Row],[FECHA INICIO]])</f>
        <v>458</v>
      </c>
      <c r="M4581" s="12"/>
      <c r="N4581" s="24"/>
      <c r="O4581" s="12">
        <f>(Tabla1[[#This Row],[COSTO FIJO ]]/30)*Tabla1[[#This Row],[TOTAL DIAS PROYECTO]]+(Tabla1[[#This Row],[COSTO TEMPORAL]])</f>
        <v>0</v>
      </c>
      <c r="P4581" s="12"/>
      <c r="Q4581" s="12">
        <f>+(Tabla1[[#This Row],[COSTO COCHE]]/30)*Tabla1[[#This Row],[TOTAL DIAS PROYECTO]]</f>
        <v>0</v>
      </c>
      <c r="R4581" s="12">
        <f>+Tabla1[[#This Row],[COSTO TOTAL ALOJAMIENTO]]+Tabla1[[#This Row],[COSTO TOTAL COCHE]]</f>
        <v>0</v>
      </c>
      <c r="S4581" s="2"/>
      <c r="T4581" s="2" t="s">
        <v>35</v>
      </c>
      <c r="U4581" s="14">
        <v>45363</v>
      </c>
      <c r="V4581" s="14"/>
      <c r="W4581" s="15"/>
      <c r="X4581" s="16">
        <v>11</v>
      </c>
      <c r="Y4581" s="31" t="s">
        <v>685</v>
      </c>
      <c r="Z4581" s="2" t="s">
        <v>36</v>
      </c>
      <c r="AA4581" s="13" t="s">
        <v>10336</v>
      </c>
      <c r="AB4581" s="13" t="s">
        <v>10337</v>
      </c>
    </row>
    <row r="4582" spans="1:28" ht="15" customHeight="1">
      <c r="A4582" s="2" t="s">
        <v>9400</v>
      </c>
      <c r="B4582" s="2" t="s">
        <v>606</v>
      </c>
      <c r="C4582" s="31" t="s">
        <v>3052</v>
      </c>
      <c r="D4582" s="2" t="s">
        <v>30</v>
      </c>
      <c r="E4582" s="2" t="s">
        <v>31</v>
      </c>
      <c r="F4582" s="11" t="s">
        <v>1206</v>
      </c>
      <c r="G4582" s="51" t="s">
        <v>1005</v>
      </c>
      <c r="H4582" s="2" t="s">
        <v>3053</v>
      </c>
      <c r="I4582" s="12" t="s">
        <v>3054</v>
      </c>
      <c r="J4582" s="41">
        <f>+Tabla1[[#This Row],[FECHA ENTRADA]]</f>
        <v>45717</v>
      </c>
      <c r="K4582" s="22">
        <v>46042</v>
      </c>
      <c r="L4582" s="42">
        <f>_xlfn.DAYS(Tabla1[[#This Row],[FECHA FIN ]],Tabla1[[#This Row],[FECHA INICIO]])</f>
        <v>325</v>
      </c>
      <c r="M4582" s="12"/>
      <c r="N4582" s="20">
        <v>357.14285714285717</v>
      </c>
      <c r="O4582" s="28">
        <f>(Tabla1[[#This Row],[COSTO FIJO ]]/30)*Tabla1[[#This Row],[TOTAL DIAS PROYECTO]]+(Tabla1[[#This Row],[COSTO TEMPORAL]])</f>
        <v>3869.0476190476193</v>
      </c>
      <c r="P4582" s="12">
        <v>85.714285714285708</v>
      </c>
      <c r="Q4582" s="12">
        <f>+(Tabla1[[#This Row],[COSTO COCHE]]/30)*Tabla1[[#This Row],[TOTAL DIAS PROYECTO]]</f>
        <v>928.57142857142844</v>
      </c>
      <c r="R4582" s="12">
        <f>+Tabla1[[#This Row],[COSTO TOTAL ALOJAMIENTO]]+Tabla1[[#This Row],[COSTO TOTAL COCHE]]</f>
        <v>4797.6190476190477</v>
      </c>
      <c r="S4582" s="2"/>
      <c r="T4582" s="2" t="s">
        <v>35</v>
      </c>
      <c r="U4582" s="14">
        <v>45717</v>
      </c>
      <c r="V4582" s="43"/>
      <c r="W4582" s="26"/>
      <c r="X4582" s="2">
        <v>27</v>
      </c>
      <c r="Y4582" s="202" t="s">
        <v>6632</v>
      </c>
      <c r="Z4582" s="2" t="s">
        <v>36</v>
      </c>
      <c r="AA4582" s="13" t="s">
        <v>10323</v>
      </c>
      <c r="AB4582" s="13" t="s">
        <v>10324</v>
      </c>
    </row>
    <row r="4583" spans="1:28" ht="15" customHeight="1">
      <c r="A4583" s="2" t="s">
        <v>10068</v>
      </c>
      <c r="B4583" s="2" t="s">
        <v>978</v>
      </c>
      <c r="C4583" s="31" t="s">
        <v>6188</v>
      </c>
      <c r="D4583" s="2" t="s">
        <v>30</v>
      </c>
      <c r="E4583" s="2" t="s">
        <v>31</v>
      </c>
      <c r="F4583" s="11" t="s">
        <v>6473</v>
      </c>
      <c r="G4583" s="128" t="s">
        <v>6474</v>
      </c>
      <c r="H4583" s="2" t="s">
        <v>6177</v>
      </c>
      <c r="I4583" s="12" t="s">
        <v>4902</v>
      </c>
      <c r="J4583" s="22">
        <f>+Tabla1[[#This Row],[FECHA ENTRADA]]</f>
        <v>46021</v>
      </c>
      <c r="K4583" s="22">
        <v>46042</v>
      </c>
      <c r="L4583" s="23">
        <f>_xlfn.DAYS(Tabla1[[#This Row],[FECHA FIN ]],Tabla1[[#This Row],[FECHA INICIO]])</f>
        <v>21</v>
      </c>
      <c r="M4583" s="12"/>
      <c r="N4583" s="20"/>
      <c r="O4583" s="24">
        <f>(Tabla1[[#This Row],[COSTO FIJO ]]/30)*Tabla1[[#This Row],[TOTAL DIAS PROYECTO]]+(Tabla1[[#This Row],[COSTO TEMPORAL]])</f>
        <v>0</v>
      </c>
      <c r="P4583" s="12"/>
      <c r="Q4583" s="12">
        <f>+(Tabla1[[#This Row],[COSTO COCHE]]/30)*Tabla1[[#This Row],[TOTAL DIAS PROYECTO]]</f>
        <v>0</v>
      </c>
      <c r="R4583" s="12">
        <f>+Tabla1[[#This Row],[COSTO TOTAL ALOJAMIENTO]]+Tabla1[[#This Row],[COSTO TOTAL COCHE]]</f>
        <v>0</v>
      </c>
      <c r="S4583" s="2"/>
      <c r="T4583" s="14" t="s">
        <v>35</v>
      </c>
      <c r="U4583" s="14">
        <v>46021</v>
      </c>
      <c r="V4583" s="79"/>
      <c r="W4583" s="12"/>
      <c r="X4583" s="2">
        <v>28</v>
      </c>
      <c r="Y4583" s="11" t="s">
        <v>6633</v>
      </c>
      <c r="Z4583" s="2" t="s">
        <v>36</v>
      </c>
      <c r="AA4583" s="13" t="s">
        <v>10323</v>
      </c>
      <c r="AB4583" s="13" t="s">
        <v>10324</v>
      </c>
    </row>
    <row r="4584" spans="1:28" ht="15" customHeight="1">
      <c r="A4584" s="2" t="s">
        <v>10111</v>
      </c>
      <c r="B4584" s="2" t="s">
        <v>978</v>
      </c>
      <c r="C4584" s="31" t="s">
        <v>6450</v>
      </c>
      <c r="D4584" s="2" t="s">
        <v>99</v>
      </c>
      <c r="E4584" s="2" t="s">
        <v>31</v>
      </c>
      <c r="F4584" s="11" t="s">
        <v>6473</v>
      </c>
      <c r="G4584" s="128" t="s">
        <v>6474</v>
      </c>
      <c r="H4584" s="2" t="s">
        <v>6257</v>
      </c>
      <c r="I4584" s="12" t="s">
        <v>4902</v>
      </c>
      <c r="J4584" s="22">
        <f>+Tabla1[[#This Row],[FECHA ENTRADA]]</f>
        <v>46021</v>
      </c>
      <c r="K4584" s="22">
        <v>46042</v>
      </c>
      <c r="L4584" s="23">
        <f>_xlfn.DAYS(Tabla1[[#This Row],[FECHA FIN ]],Tabla1[[#This Row],[FECHA INICIO]])</f>
        <v>21</v>
      </c>
      <c r="M4584" s="12"/>
      <c r="N4584" s="20"/>
      <c r="O4584" s="24">
        <f>(Tabla1[[#This Row],[COSTO FIJO ]]/30)*Tabla1[[#This Row],[TOTAL DIAS PROYECTO]]+(Tabla1[[#This Row],[COSTO TEMPORAL]])</f>
        <v>0</v>
      </c>
      <c r="P4584" s="12"/>
      <c r="Q4584" s="12">
        <f>+(Tabla1[[#This Row],[COSTO COCHE]]/30)*Tabla1[[#This Row],[TOTAL DIAS PROYECTO]]</f>
        <v>0</v>
      </c>
      <c r="R4584" s="12">
        <f>+Tabla1[[#This Row],[COSTO TOTAL ALOJAMIENTO]]+Tabla1[[#This Row],[COSTO TOTAL COCHE]]</f>
        <v>0</v>
      </c>
      <c r="S4584" s="2"/>
      <c r="T4584" s="14" t="s">
        <v>35</v>
      </c>
      <c r="U4584" s="14">
        <v>46021</v>
      </c>
      <c r="V4584" s="79"/>
      <c r="W4584" s="12"/>
      <c r="X4584" s="2">
        <v>28</v>
      </c>
      <c r="Y4584" s="11" t="s">
        <v>6634</v>
      </c>
      <c r="Z4584" s="2" t="s">
        <v>36</v>
      </c>
      <c r="AA4584" s="13" t="s">
        <v>10323</v>
      </c>
      <c r="AB4584" s="13" t="s">
        <v>10324</v>
      </c>
    </row>
    <row r="4585" spans="1:28" ht="15" customHeight="1">
      <c r="A4585" s="117" t="s">
        <v>10146</v>
      </c>
      <c r="B4585" s="117" t="s">
        <v>711</v>
      </c>
      <c r="C4585" s="101" t="s">
        <v>6635</v>
      </c>
      <c r="D4585" s="117" t="s">
        <v>99</v>
      </c>
      <c r="E4585" s="117" t="s">
        <v>1987</v>
      </c>
      <c r="F4585" s="11" t="s">
        <v>3766</v>
      </c>
      <c r="G4585" s="128" t="s">
        <v>3767</v>
      </c>
      <c r="H4585" s="117" t="s">
        <v>6636</v>
      </c>
      <c r="I4585" s="117" t="s">
        <v>3769</v>
      </c>
      <c r="J4585" s="120">
        <f>+Tabla1[[#This Row],[FECHA ENTRADA]]</f>
        <v>45924</v>
      </c>
      <c r="K4585" s="120">
        <v>46042</v>
      </c>
      <c r="L4585" s="122">
        <f>_xlfn.DAYS(Tabla1[[#This Row],[FECHA FIN ]],Tabla1[[#This Row],[FECHA INICIO]])</f>
        <v>118</v>
      </c>
      <c r="M4585" s="119">
        <v>420</v>
      </c>
      <c r="N4585" s="123"/>
      <c r="O4585" s="123">
        <f>(Tabla1[[#This Row],[COSTO FIJO ]]/30)*Tabla1[[#This Row],[TOTAL DIAS PROYECTO]]+(Tabla1[[#This Row],[COSTO TEMPORAL]])</f>
        <v>420</v>
      </c>
      <c r="P4585" s="119"/>
      <c r="Q4585" s="119">
        <f>+(Tabla1[[#This Row],[COSTO COCHE]]/30)*Tabla1[[#This Row],[TOTAL DIAS PROYECTO]]</f>
        <v>0</v>
      </c>
      <c r="R4585" s="119">
        <f>+Tabla1[[#This Row],[COSTO TOTAL ALOJAMIENTO]]+Tabla1[[#This Row],[COSTO TOTAL COCHE]]</f>
        <v>420</v>
      </c>
      <c r="S4585" s="117"/>
      <c r="T4585" s="124" t="s">
        <v>44</v>
      </c>
      <c r="U4585" s="124">
        <v>45924</v>
      </c>
      <c r="V4585" s="132">
        <v>46042</v>
      </c>
      <c r="W4585" s="126"/>
      <c r="X4585" s="117">
        <v>15</v>
      </c>
      <c r="Y4585" s="118" t="s">
        <v>6637</v>
      </c>
      <c r="Z4585" s="117" t="s">
        <v>36</v>
      </c>
      <c r="AA4585" s="127" t="s">
        <v>10435</v>
      </c>
      <c r="AB4585" s="127">
        <v>42.136150000000001</v>
      </c>
    </row>
    <row r="4586" spans="1:28" ht="15" customHeight="1">
      <c r="A4586" s="117" t="s">
        <v>9792</v>
      </c>
      <c r="B4586" s="117" t="s">
        <v>606</v>
      </c>
      <c r="C4586" s="118" t="s">
        <v>4750</v>
      </c>
      <c r="D4586" s="117" t="s">
        <v>99</v>
      </c>
      <c r="E4586" s="117" t="s">
        <v>87</v>
      </c>
      <c r="F4586" s="11" t="s">
        <v>6638</v>
      </c>
      <c r="G4586" s="128" t="s">
        <v>6639</v>
      </c>
      <c r="H4586" s="117" t="s">
        <v>6640</v>
      </c>
      <c r="I4586" s="119" t="s">
        <v>6641</v>
      </c>
      <c r="J4586" s="121">
        <f>+Tabla1[[#This Row],[FECHA ENTRADA]]</f>
        <v>46042</v>
      </c>
      <c r="K4586" s="121">
        <v>46046</v>
      </c>
      <c r="L4586" s="129">
        <f>_xlfn.DAYS(Tabla1[[#This Row],[FECHA FIN ]],Tabla1[[#This Row],[FECHA INICIO]])</f>
        <v>4</v>
      </c>
      <c r="M4586" s="119">
        <v>185</v>
      </c>
      <c r="N4586" s="130"/>
      <c r="O4586" s="131">
        <f>(Tabla1[[#This Row],[COSTO FIJO ]]/30)*Tabla1[[#This Row],[TOTAL DIAS PROYECTO]]+(Tabla1[[#This Row],[COSTO TEMPORAL]])</f>
        <v>185</v>
      </c>
      <c r="P4586" s="119"/>
      <c r="Q4586" s="119">
        <f>+(Tabla1[[#This Row],[COSTO COCHE]]/30)*Tabla1[[#This Row],[TOTAL DIAS PROYECTO]]</f>
        <v>0</v>
      </c>
      <c r="R4586" s="119">
        <f>+Tabla1[[#This Row],[COSTO TOTAL ALOJAMIENTO]]+Tabla1[[#This Row],[COSTO TOTAL COCHE]]</f>
        <v>185</v>
      </c>
      <c r="S4586" s="117"/>
      <c r="T4586" s="124" t="s">
        <v>44</v>
      </c>
      <c r="U4586" s="124">
        <v>46042</v>
      </c>
      <c r="V4586" s="132">
        <v>46047</v>
      </c>
      <c r="W4586" s="119"/>
      <c r="X4586" s="117"/>
      <c r="Y4586" s="297" t="s">
        <v>6642</v>
      </c>
      <c r="Z4586" s="117" t="s">
        <v>36</v>
      </c>
      <c r="AA4586" s="127" t="s">
        <v>10335</v>
      </c>
      <c r="AB4586" s="127">
        <v>404.16500000000002</v>
      </c>
    </row>
    <row r="4587" spans="1:28" ht="15" customHeight="1">
      <c r="A4587" s="2" t="s">
        <v>9803</v>
      </c>
      <c r="B4587" s="2" t="s">
        <v>606</v>
      </c>
      <c r="C4587" s="239" t="s">
        <v>4817</v>
      </c>
      <c r="D4587" s="2" t="s">
        <v>99</v>
      </c>
      <c r="E4587" s="2" t="s">
        <v>213</v>
      </c>
      <c r="F4587" s="11" t="s">
        <v>871</v>
      </c>
      <c r="G4587" s="11" t="s">
        <v>872</v>
      </c>
      <c r="H4587" s="2" t="s">
        <v>6643</v>
      </c>
      <c r="I4587" s="12" t="s">
        <v>2190</v>
      </c>
      <c r="J4587" s="22">
        <f>+Tabla1[[#This Row],[FECHA ENTRADA]]</f>
        <v>46042</v>
      </c>
      <c r="K4587" s="22">
        <v>46047</v>
      </c>
      <c r="L4587" s="23">
        <f>_xlfn.DAYS(Tabla1[[#This Row],[FECHA FIN ]],Tabla1[[#This Row],[FECHA INICIO]])</f>
        <v>5</v>
      </c>
      <c r="M4587" s="12"/>
      <c r="N4587" s="12">
        <f>903.2/3</f>
        <v>301.06666666666666</v>
      </c>
      <c r="O4587" s="24">
        <f>(Tabla1[[#This Row],[COSTO FIJO ]]/30)*Tabla1[[#This Row],[TOTAL DIAS PROYECTO]]+(Tabla1[[#This Row],[COSTO TEMPORAL]])</f>
        <v>50.177777777777777</v>
      </c>
      <c r="P4587" s="12"/>
      <c r="Q4587" s="12">
        <f>+(Tabla1[[#This Row],[COSTO COCHE]]/30)*Tabla1[[#This Row],[TOTAL DIAS PROYECTO]]</f>
        <v>0</v>
      </c>
      <c r="R4587" s="12">
        <f>+Tabla1[[#This Row],[COSTO TOTAL ALOJAMIENTO]]+Tabla1[[#This Row],[COSTO TOTAL COCHE]]</f>
        <v>50.177777777777777</v>
      </c>
      <c r="S4587" s="2"/>
      <c r="T4587" s="14" t="s">
        <v>35</v>
      </c>
      <c r="U4587" s="14">
        <v>46042</v>
      </c>
      <c r="V4587" s="79">
        <v>46047</v>
      </c>
      <c r="W4587" s="12"/>
      <c r="X4587" s="2">
        <v>4</v>
      </c>
      <c r="Y4587" s="11" t="s">
        <v>6644</v>
      </c>
      <c r="Z4587" s="2" t="s">
        <v>36</v>
      </c>
      <c r="AA4587" s="13" t="s">
        <v>10349</v>
      </c>
      <c r="AB4587" s="13" t="s">
        <v>10350</v>
      </c>
    </row>
    <row r="4588" spans="1:28" ht="15.75" customHeight="1">
      <c r="A4588" s="2" t="s">
        <v>9253</v>
      </c>
      <c r="B4588" s="2" t="s">
        <v>606</v>
      </c>
      <c r="C4588" s="11" t="s">
        <v>2606</v>
      </c>
      <c r="D4588" s="2" t="s">
        <v>99</v>
      </c>
      <c r="E4588" s="2" t="s">
        <v>213</v>
      </c>
      <c r="F4588" s="11" t="s">
        <v>871</v>
      </c>
      <c r="G4588" s="11" t="s">
        <v>872</v>
      </c>
      <c r="H4588" s="2" t="s">
        <v>6645</v>
      </c>
      <c r="I4588" s="12" t="s">
        <v>2190</v>
      </c>
      <c r="J4588" s="22">
        <f>+Tabla1[[#This Row],[FECHA ENTRADA]]</f>
        <v>46042</v>
      </c>
      <c r="K4588" s="22">
        <v>46047</v>
      </c>
      <c r="L4588" s="23">
        <f>_xlfn.DAYS(Tabla1[[#This Row],[FECHA FIN ]],Tabla1[[#This Row],[FECHA INICIO]])</f>
        <v>5</v>
      </c>
      <c r="M4588" s="12"/>
      <c r="N4588" s="12">
        <f>903.2/3</f>
        <v>301.06666666666666</v>
      </c>
      <c r="O4588" s="24">
        <f>(Tabla1[[#This Row],[COSTO FIJO ]]/30)*Tabla1[[#This Row],[TOTAL DIAS PROYECTO]]+(Tabla1[[#This Row],[COSTO TEMPORAL]])</f>
        <v>50.177777777777777</v>
      </c>
      <c r="P4588" s="12"/>
      <c r="Q4588" s="12">
        <f>+(Tabla1[[#This Row],[COSTO COCHE]]/30)*Tabla1[[#This Row],[TOTAL DIAS PROYECTO]]</f>
        <v>0</v>
      </c>
      <c r="R4588" s="12">
        <f>+Tabla1[[#This Row],[COSTO TOTAL ALOJAMIENTO]]+Tabla1[[#This Row],[COSTO TOTAL COCHE]]</f>
        <v>50.177777777777777</v>
      </c>
      <c r="S4588" s="2"/>
      <c r="T4588" s="14" t="s">
        <v>35</v>
      </c>
      <c r="U4588" s="14">
        <v>46042</v>
      </c>
      <c r="V4588" s="79">
        <v>46047</v>
      </c>
      <c r="W4588" s="12"/>
      <c r="X4588" s="2">
        <v>4</v>
      </c>
      <c r="Y4588" s="11" t="s">
        <v>6646</v>
      </c>
      <c r="Z4588" s="2" t="s">
        <v>36</v>
      </c>
      <c r="AA4588" s="13" t="s">
        <v>10349</v>
      </c>
      <c r="AB4588" s="13" t="s">
        <v>10350</v>
      </c>
    </row>
    <row r="4589" spans="1:28" ht="15" customHeight="1">
      <c r="A4589" s="2" t="s">
        <v>9681</v>
      </c>
      <c r="B4589" s="2" t="s">
        <v>978</v>
      </c>
      <c r="C4589" s="11" t="s">
        <v>4202</v>
      </c>
      <c r="D4589" s="2" t="s">
        <v>30</v>
      </c>
      <c r="E4589" s="2" t="s">
        <v>109</v>
      </c>
      <c r="F4589" s="11" t="s">
        <v>6245</v>
      </c>
      <c r="G4589" s="46" t="s">
        <v>6246</v>
      </c>
      <c r="H4589" s="2" t="s">
        <v>4704</v>
      </c>
      <c r="I4589" s="12" t="s">
        <v>4681</v>
      </c>
      <c r="J4589" s="41">
        <f>+Tabla1[[#This Row],[FECHA ENTRADA]]</f>
        <v>45870</v>
      </c>
      <c r="K4589" s="22">
        <v>45873</v>
      </c>
      <c r="L4589" s="42">
        <f>_xlfn.DAYS(Tabla1[[#This Row],[FECHA FIN ]],Tabla1[[#This Row],[FECHA INICIO]])</f>
        <v>3</v>
      </c>
      <c r="M4589" s="12"/>
      <c r="N4589" s="12"/>
      <c r="O4589" s="28">
        <f>(Tabla1[[#This Row],[COSTO FIJO ]]/30)*Tabla1[[#This Row],[TOTAL DIAS PROYECTO]]+(Tabla1[[#This Row],[COSTO TEMPORAL]])</f>
        <v>0</v>
      </c>
      <c r="P4589" s="12"/>
      <c r="Q4589" s="12">
        <f>+(Tabla1[[#This Row],[COSTO COCHE]]/30)*Tabla1[[#This Row],[TOTAL DIAS PROYECTO]]</f>
        <v>0</v>
      </c>
      <c r="R4589" s="12">
        <f>+Tabla1[[#This Row],[COSTO TOTAL ALOJAMIENTO]]+Tabla1[[#This Row],[COSTO TOTAL COCHE]]</f>
        <v>0</v>
      </c>
      <c r="S4589" s="2"/>
      <c r="T4589" s="14" t="s">
        <v>44</v>
      </c>
      <c r="U4589" s="79">
        <v>45870</v>
      </c>
      <c r="V4589" s="43">
        <v>45873</v>
      </c>
      <c r="W4589" s="12"/>
      <c r="X4589" s="2"/>
      <c r="Y4589" s="11" t="s">
        <v>6247</v>
      </c>
      <c r="Z4589" s="2" t="s">
        <v>36</v>
      </c>
      <c r="AA4589" s="13">
        <v>0.62217999999999996</v>
      </c>
      <c r="AB4589" s="13" t="s">
        <v>10339</v>
      </c>
    </row>
    <row r="4590" spans="1:28" ht="15" customHeight="1">
      <c r="A4590" s="2" t="s">
        <v>10104</v>
      </c>
      <c r="B4590" s="2" t="s">
        <v>711</v>
      </c>
      <c r="C4590" s="11" t="s">
        <v>6404</v>
      </c>
      <c r="D4590" s="2" t="s">
        <v>30</v>
      </c>
      <c r="E4590" s="2" t="s">
        <v>3335</v>
      </c>
      <c r="F4590" s="11" t="s">
        <v>6647</v>
      </c>
      <c r="G4590" s="21" t="s">
        <v>6648</v>
      </c>
      <c r="H4590" s="2" t="s">
        <v>6649</v>
      </c>
      <c r="I4590" s="12" t="s">
        <v>118</v>
      </c>
      <c r="J4590" s="22">
        <f>+Tabla1[[#This Row],[FECHA ENTRADA]]</f>
        <v>46047</v>
      </c>
      <c r="K4590" s="41">
        <v>46047</v>
      </c>
      <c r="L4590" s="23">
        <f>_xlfn.DAYS(Tabla1[[#This Row],[FECHA FIN ]],Tabla1[[#This Row],[FECHA INICIO]])</f>
        <v>0</v>
      </c>
      <c r="M4590" s="12">
        <v>547.79999999999995</v>
      </c>
      <c r="N4590" s="20"/>
      <c r="O4590" s="24">
        <f>(Tabla1[[#This Row],[COSTO FIJO ]]/30)*Tabla1[[#This Row],[TOTAL DIAS PROYECTO]]+(Tabla1[[#This Row],[COSTO TEMPORAL]])</f>
        <v>547.79999999999995</v>
      </c>
      <c r="P4590" s="12"/>
      <c r="Q4590" s="12">
        <f>+(Tabla1[[#This Row],[COSTO COCHE]]/30)*Tabla1[[#This Row],[TOTAL DIAS PROYECTO]]</f>
        <v>0</v>
      </c>
      <c r="R4590" s="12">
        <f>+Tabla1[[#This Row],[COSTO TOTAL ALOJAMIENTO]]+Tabla1[[#This Row],[COSTO TOTAL COCHE]]</f>
        <v>547.79999999999995</v>
      </c>
      <c r="S4590" s="2" t="s">
        <v>84</v>
      </c>
      <c r="T4590" s="14" t="s">
        <v>44</v>
      </c>
      <c r="U4590" s="14">
        <v>46047</v>
      </c>
      <c r="V4590" s="79">
        <v>46071</v>
      </c>
      <c r="W4590" s="12"/>
      <c r="X4590" s="2"/>
      <c r="Y4590" t="s">
        <v>6650</v>
      </c>
      <c r="Z4590" s="2" t="s">
        <v>36</v>
      </c>
      <c r="AA4590" s="13" t="e">
        <v>#N/A</v>
      </c>
      <c r="AB4590" s="13" t="e">
        <v>#N/A</v>
      </c>
    </row>
    <row r="4591" spans="1:28" ht="15" customHeight="1">
      <c r="A4591" s="2" t="s">
        <v>9357</v>
      </c>
      <c r="B4591" s="2" t="s">
        <v>711</v>
      </c>
      <c r="C4591" s="11" t="s">
        <v>2921</v>
      </c>
      <c r="D4591" s="2" t="s">
        <v>30</v>
      </c>
      <c r="E4591" s="2" t="s">
        <v>3335</v>
      </c>
      <c r="F4591" s="11" t="s">
        <v>6651</v>
      </c>
      <c r="G4591" s="21" t="s">
        <v>6652</v>
      </c>
      <c r="H4591" s="2" t="s">
        <v>6649</v>
      </c>
      <c r="I4591" s="12" t="s">
        <v>118</v>
      </c>
      <c r="J4591" s="22">
        <f>+Tabla1[[#This Row],[FECHA ENTRADA]]</f>
        <v>46047</v>
      </c>
      <c r="K4591" s="41">
        <v>46047</v>
      </c>
      <c r="L4591" s="23">
        <f>_xlfn.DAYS(Tabla1[[#This Row],[FECHA FIN ]],Tabla1[[#This Row],[FECHA INICIO]])</f>
        <v>0</v>
      </c>
      <c r="M4591" s="12">
        <v>778.5</v>
      </c>
      <c r="N4591" s="20"/>
      <c r="O4591" s="24">
        <f>(Tabla1[[#This Row],[COSTO FIJO ]]/30)*Tabla1[[#This Row],[TOTAL DIAS PROYECTO]]+(Tabla1[[#This Row],[COSTO TEMPORAL]])</f>
        <v>778.5</v>
      </c>
      <c r="P4591" s="12"/>
      <c r="Q4591" s="12">
        <f>+(Tabla1[[#This Row],[COSTO COCHE]]/30)*Tabla1[[#This Row],[TOTAL DIAS PROYECTO]]</f>
        <v>0</v>
      </c>
      <c r="R4591" s="12">
        <f>+Tabla1[[#This Row],[COSTO TOTAL ALOJAMIENTO]]+Tabla1[[#This Row],[COSTO TOTAL COCHE]]</f>
        <v>778.5</v>
      </c>
      <c r="S4591" s="2" t="s">
        <v>403</v>
      </c>
      <c r="T4591" s="14" t="s">
        <v>44</v>
      </c>
      <c r="U4591" s="14">
        <v>46047</v>
      </c>
      <c r="V4591" s="79">
        <v>46071</v>
      </c>
      <c r="W4591" s="12"/>
      <c r="X4591" s="2"/>
      <c r="Y4591" s="11" t="s">
        <v>6653</v>
      </c>
      <c r="Z4591" s="2" t="s">
        <v>36</v>
      </c>
      <c r="AA4591" s="13" t="e">
        <v>#N/A</v>
      </c>
      <c r="AB4591" s="13" t="e">
        <v>#N/A</v>
      </c>
    </row>
    <row r="4592" spans="1:28" ht="15" customHeight="1">
      <c r="A4592" s="2" t="s">
        <v>10054</v>
      </c>
      <c r="B4592" s="2" t="s">
        <v>711</v>
      </c>
      <c r="C4592" s="11" t="s">
        <v>6107</v>
      </c>
      <c r="D4592" s="2" t="s">
        <v>30</v>
      </c>
      <c r="E4592" s="2" t="s">
        <v>3335</v>
      </c>
      <c r="F4592" s="11" t="s">
        <v>6654</v>
      </c>
      <c r="G4592" s="21" t="s">
        <v>6655</v>
      </c>
      <c r="H4592" s="2" t="s">
        <v>6649</v>
      </c>
      <c r="I4592" s="12" t="s">
        <v>118</v>
      </c>
      <c r="J4592" s="22">
        <f>+Tabla1[[#This Row],[FECHA ENTRADA]]</f>
        <v>46047</v>
      </c>
      <c r="K4592" s="41">
        <v>46047</v>
      </c>
      <c r="L4592" s="23">
        <f>_xlfn.DAYS(Tabla1[[#This Row],[FECHA FIN ]],Tabla1[[#This Row],[FECHA INICIO]])</f>
        <v>0</v>
      </c>
      <c r="M4592" s="12">
        <f>1896.86/3</f>
        <v>632.28666666666663</v>
      </c>
      <c r="N4592" s="20"/>
      <c r="O4592" s="24">
        <f>(Tabla1[[#This Row],[COSTO FIJO ]]/30)*Tabla1[[#This Row],[TOTAL DIAS PROYECTO]]+(Tabla1[[#This Row],[COSTO TEMPORAL]])</f>
        <v>632.28666666666663</v>
      </c>
      <c r="P4592" s="12"/>
      <c r="Q4592" s="12">
        <f>+(Tabla1[[#This Row],[COSTO COCHE]]/30)*Tabla1[[#This Row],[TOTAL DIAS PROYECTO]]</f>
        <v>0</v>
      </c>
      <c r="R4592" s="12">
        <f>+Tabla1[[#This Row],[COSTO TOTAL ALOJAMIENTO]]+Tabla1[[#This Row],[COSTO TOTAL COCHE]]</f>
        <v>632.28666666666663</v>
      </c>
      <c r="S4592" s="2" t="s">
        <v>84</v>
      </c>
      <c r="T4592" s="14" t="s">
        <v>44</v>
      </c>
      <c r="U4592" s="14">
        <v>46047</v>
      </c>
      <c r="V4592" s="79">
        <v>46071</v>
      </c>
      <c r="W4592" s="12"/>
      <c r="X4592" s="2"/>
      <c r="Y4592" s="11" t="s">
        <v>6656</v>
      </c>
      <c r="Z4592" s="2" t="s">
        <v>36</v>
      </c>
      <c r="AA4592" s="13" t="e">
        <v>#N/A</v>
      </c>
      <c r="AB4592" s="13" t="e">
        <v>#N/A</v>
      </c>
    </row>
    <row r="4593" spans="1:28" ht="15" customHeight="1">
      <c r="A4593" s="2" t="s">
        <v>8642</v>
      </c>
      <c r="B4593" s="2" t="s">
        <v>978</v>
      </c>
      <c r="C4593" s="31" t="s">
        <v>6657</v>
      </c>
      <c r="D4593" s="2" t="s">
        <v>99</v>
      </c>
      <c r="E4593" s="2" t="s">
        <v>259</v>
      </c>
      <c r="F4593" s="11" t="s">
        <v>5662</v>
      </c>
      <c r="G4593" s="197" t="s">
        <v>4207</v>
      </c>
      <c r="H4593" s="2" t="s">
        <v>6045</v>
      </c>
      <c r="I4593" s="12" t="s">
        <v>3356</v>
      </c>
      <c r="J4593" s="41">
        <f>+Tabla1[[#This Row],[FECHA ENTRADA]]</f>
        <v>45970</v>
      </c>
      <c r="K4593" s="22">
        <v>46048</v>
      </c>
      <c r="L4593" s="42">
        <f>_xlfn.DAYS(Tabla1[[#This Row],[FECHA FIN ]],Tabla1[[#This Row],[FECHA INICIO]])</f>
        <v>78</v>
      </c>
      <c r="M4593" s="12"/>
      <c r="N4593" s="28">
        <v>300</v>
      </c>
      <c r="O4593" s="28">
        <f>(Tabla1[[#This Row],[COSTO FIJO ]]/30)*Tabla1[[#This Row],[TOTAL DIAS PROYECTO]]+(Tabla1[[#This Row],[COSTO TEMPORAL]])</f>
        <v>780</v>
      </c>
      <c r="P4593" s="12"/>
      <c r="Q4593" s="12">
        <f>+(Tabla1[[#This Row],[COSTO COCHE]]/30)*Tabla1[[#This Row],[TOTAL DIAS PROYECTO]]</f>
        <v>0</v>
      </c>
      <c r="R4593" s="12">
        <f>+Tabla1[[#This Row],[COSTO TOTAL ALOJAMIENTO]]+Tabla1[[#This Row],[COSTO TOTAL COCHE]]</f>
        <v>780</v>
      </c>
      <c r="S4593" s="2"/>
      <c r="T4593" s="14" t="s">
        <v>35</v>
      </c>
      <c r="U4593" s="14">
        <v>45970</v>
      </c>
      <c r="V4593" s="43"/>
      <c r="W4593" s="71"/>
      <c r="X4593" s="2">
        <v>5</v>
      </c>
      <c r="Y4593" s="11" t="s">
        <v>6658</v>
      </c>
      <c r="Z4593" s="2" t="s">
        <v>36</v>
      </c>
      <c r="AA4593" s="13">
        <v>-0.87734000000000001</v>
      </c>
      <c r="AB4593" s="13" t="s">
        <v>10359</v>
      </c>
    </row>
    <row r="4594" spans="1:28" ht="15" customHeight="1">
      <c r="A4594" s="2" t="s">
        <v>8737</v>
      </c>
      <c r="B4594" s="2" t="s">
        <v>711</v>
      </c>
      <c r="C4594" s="239" t="s">
        <v>510</v>
      </c>
      <c r="D4594" s="2" t="s">
        <v>30</v>
      </c>
      <c r="E4594" s="2" t="s">
        <v>87</v>
      </c>
      <c r="F4594" s="11" t="s">
        <v>3134</v>
      </c>
      <c r="G4594" s="21" t="s">
        <v>3135</v>
      </c>
      <c r="H4594" s="2" t="s">
        <v>6659</v>
      </c>
      <c r="I4594" s="12" t="s">
        <v>1392</v>
      </c>
      <c r="J4594" s="22">
        <f>+Tabla1[[#This Row],[FECHA ENTRADA]]</f>
        <v>46041</v>
      </c>
      <c r="K4594" s="41">
        <v>46048</v>
      </c>
      <c r="L4594" s="23">
        <f>_xlfn.DAYS(Tabla1[[#This Row],[FECHA FIN ]],Tabla1[[#This Row],[FECHA INICIO]])</f>
        <v>7</v>
      </c>
      <c r="M4594" s="12"/>
      <c r="N4594" s="20">
        <v>450</v>
      </c>
      <c r="O4594" s="24">
        <f>(Tabla1[[#This Row],[COSTO FIJO ]]/30)*Tabla1[[#This Row],[TOTAL DIAS PROYECTO]]+(Tabla1[[#This Row],[COSTO TEMPORAL]])</f>
        <v>105</v>
      </c>
      <c r="P4594" s="12"/>
      <c r="Q4594" s="12">
        <f>+(Tabla1[[#This Row],[COSTO COCHE]]/30)*Tabla1[[#This Row],[TOTAL DIAS PROYECTO]]</f>
        <v>0</v>
      </c>
      <c r="R4594" s="12">
        <f>+Tabla1[[#This Row],[COSTO TOTAL ALOJAMIENTO]]+Tabla1[[#This Row],[COSTO TOTAL COCHE]]</f>
        <v>105</v>
      </c>
      <c r="S4594" s="2"/>
      <c r="T4594" s="14" t="s">
        <v>35</v>
      </c>
      <c r="U4594" s="14">
        <v>46041</v>
      </c>
      <c r="V4594" s="79"/>
      <c r="W4594" s="12"/>
      <c r="X4594" s="2">
        <v>15</v>
      </c>
      <c r="Y4594" s="11" t="s">
        <v>6660</v>
      </c>
      <c r="Z4594" s="2" t="s">
        <v>36</v>
      </c>
      <c r="AA4594" s="13" t="s">
        <v>10335</v>
      </c>
      <c r="AB4594" s="13">
        <v>404.16500000000002</v>
      </c>
    </row>
    <row r="4595" spans="1:28" ht="15" customHeight="1">
      <c r="A4595" s="2" t="s">
        <v>8737</v>
      </c>
      <c r="B4595" s="2" t="s">
        <v>711</v>
      </c>
      <c r="C4595" s="11" t="s">
        <v>510</v>
      </c>
      <c r="D4595" s="2" t="s">
        <v>30</v>
      </c>
      <c r="E4595" s="2" t="s">
        <v>127</v>
      </c>
      <c r="F4595" s="11" t="s">
        <v>820</v>
      </c>
      <c r="G4595" s="21" t="s">
        <v>821</v>
      </c>
      <c r="H4595" s="2" t="s">
        <v>6659</v>
      </c>
      <c r="I4595" s="12" t="s">
        <v>1392</v>
      </c>
      <c r="J4595" s="22">
        <f>+Tabla1[[#This Row],[FECHA ENTRADA]]</f>
        <v>46047</v>
      </c>
      <c r="K4595" s="41">
        <v>46048</v>
      </c>
      <c r="L4595" s="23">
        <f>_xlfn.DAYS(Tabla1[[#This Row],[FECHA FIN ]],Tabla1[[#This Row],[FECHA INICIO]])</f>
        <v>1</v>
      </c>
      <c r="M4595" s="12"/>
      <c r="N4595" s="20"/>
      <c r="O4595" s="24">
        <f>(Tabla1[[#This Row],[COSTO FIJO ]]/30)*Tabla1[[#This Row],[TOTAL DIAS PROYECTO]]+(Tabla1[[#This Row],[COSTO TEMPORAL]])</f>
        <v>0</v>
      </c>
      <c r="P4595" s="12"/>
      <c r="Q4595" s="12">
        <f>+(Tabla1[[#This Row],[COSTO COCHE]]/30)*Tabla1[[#This Row],[TOTAL DIAS PROYECTO]]</f>
        <v>0</v>
      </c>
      <c r="R4595" s="12">
        <f>+Tabla1[[#This Row],[COSTO TOTAL ALOJAMIENTO]]+Tabla1[[#This Row],[COSTO TOTAL COCHE]]</f>
        <v>0</v>
      </c>
      <c r="S4595" s="2"/>
      <c r="T4595" s="14" t="s">
        <v>44</v>
      </c>
      <c r="U4595" s="14">
        <v>46047</v>
      </c>
      <c r="V4595" s="79">
        <v>46053</v>
      </c>
      <c r="W4595" s="12"/>
      <c r="X4595" s="2"/>
      <c r="Y4595" s="11" t="s">
        <v>6661</v>
      </c>
      <c r="Z4595" s="2" t="s">
        <v>36</v>
      </c>
      <c r="AA4595" s="13" t="s">
        <v>10342</v>
      </c>
      <c r="AB4595" s="13" t="s">
        <v>10343</v>
      </c>
    </row>
    <row r="4596" spans="1:28" ht="15" customHeight="1">
      <c r="A4596" s="2" t="s">
        <v>9147</v>
      </c>
      <c r="B4596" s="2" t="s">
        <v>711</v>
      </c>
      <c r="C4596" s="11" t="s">
        <v>2212</v>
      </c>
      <c r="D4596" s="2" t="s">
        <v>30</v>
      </c>
      <c r="E4596" s="2" t="s">
        <v>855</v>
      </c>
      <c r="F4596" s="11"/>
      <c r="G4596" s="21"/>
      <c r="H4596" s="2" t="s">
        <v>6380</v>
      </c>
      <c r="I4596" s="12" t="s">
        <v>1392</v>
      </c>
      <c r="J4596" s="22">
        <f>+Tabla1[[#This Row],[FECHA ENTRADA]]</f>
        <v>46037</v>
      </c>
      <c r="K4596" s="22">
        <v>46048</v>
      </c>
      <c r="L4596" s="23">
        <f>_xlfn.DAYS(Tabla1[[#This Row],[FECHA FIN ]],Tabla1[[#This Row],[FECHA INICIO]])</f>
        <v>11</v>
      </c>
      <c r="M4596" s="12"/>
      <c r="N4596" s="20">
        <v>300</v>
      </c>
      <c r="O4596" s="24">
        <f>(Tabla1[[#This Row],[COSTO FIJO ]]/30)*Tabla1[[#This Row],[TOTAL DIAS PROYECTO]]+(Tabla1[[#This Row],[COSTO TEMPORAL]])</f>
        <v>110</v>
      </c>
      <c r="P4596" s="12"/>
      <c r="Q4596" s="12">
        <f>+(Tabla1[[#This Row],[COSTO COCHE]]/30)*Tabla1[[#This Row],[TOTAL DIAS PROYECTO]]</f>
        <v>0</v>
      </c>
      <c r="R4596" s="12">
        <f>+Tabla1[[#This Row],[COSTO TOTAL ALOJAMIENTO]]+Tabla1[[#This Row],[COSTO TOTAL COCHE]]</f>
        <v>110</v>
      </c>
      <c r="S4596" s="2"/>
      <c r="T4596" s="14" t="s">
        <v>58</v>
      </c>
      <c r="U4596" s="14">
        <v>46037</v>
      </c>
      <c r="V4596" s="79"/>
      <c r="W4596" s="12"/>
      <c r="X4596" s="2"/>
      <c r="Y4596" s="11" t="s">
        <v>6662</v>
      </c>
      <c r="Z4596" s="2" t="s">
        <v>36</v>
      </c>
      <c r="AA4596" s="13" t="s">
        <v>10401</v>
      </c>
      <c r="AB4596" s="13" t="s">
        <v>10402</v>
      </c>
    </row>
    <row r="4597" spans="1:28" ht="15" customHeight="1">
      <c r="A4597" s="2" t="s">
        <v>9153</v>
      </c>
      <c r="B4597" s="2" t="s">
        <v>711</v>
      </c>
      <c r="C4597" s="11" t="s">
        <v>2245</v>
      </c>
      <c r="D4597" s="2" t="s">
        <v>30</v>
      </c>
      <c r="E4597" s="2" t="s">
        <v>855</v>
      </c>
      <c r="F4597" s="11"/>
      <c r="G4597" s="21"/>
      <c r="H4597" s="2" t="s">
        <v>6380</v>
      </c>
      <c r="I4597" s="12" t="s">
        <v>1392</v>
      </c>
      <c r="J4597" s="22">
        <f>+Tabla1[[#This Row],[FECHA ENTRADA]]</f>
        <v>46037</v>
      </c>
      <c r="K4597" s="22">
        <v>46048</v>
      </c>
      <c r="L4597" s="23">
        <f>_xlfn.DAYS(Tabla1[[#This Row],[FECHA FIN ]],Tabla1[[#This Row],[FECHA INICIO]])</f>
        <v>11</v>
      </c>
      <c r="M4597" s="12"/>
      <c r="N4597" s="20">
        <v>300</v>
      </c>
      <c r="O4597" s="24">
        <f>(Tabla1[[#This Row],[COSTO FIJO ]]/30)*Tabla1[[#This Row],[TOTAL DIAS PROYECTO]]+(Tabla1[[#This Row],[COSTO TEMPORAL]])</f>
        <v>110</v>
      </c>
      <c r="P4597" s="12"/>
      <c r="Q4597" s="12">
        <f>+(Tabla1[[#This Row],[COSTO COCHE]]/30)*Tabla1[[#This Row],[TOTAL DIAS PROYECTO]]</f>
        <v>0</v>
      </c>
      <c r="R4597" s="12">
        <f>+Tabla1[[#This Row],[COSTO TOTAL ALOJAMIENTO]]+Tabla1[[#This Row],[COSTO TOTAL COCHE]]</f>
        <v>110</v>
      </c>
      <c r="S4597" s="2"/>
      <c r="T4597" s="14" t="s">
        <v>58</v>
      </c>
      <c r="U4597" s="14">
        <v>46037</v>
      </c>
      <c r="V4597" s="79"/>
      <c r="W4597" s="12"/>
      <c r="X4597" s="2"/>
      <c r="Y4597" s="11" t="s">
        <v>6663</v>
      </c>
      <c r="Z4597" s="2" t="s">
        <v>36</v>
      </c>
      <c r="AA4597" s="13" t="s">
        <v>10401</v>
      </c>
      <c r="AB4597" s="13" t="s">
        <v>10402</v>
      </c>
    </row>
    <row r="4598" spans="1:28" ht="15" customHeight="1">
      <c r="A4598" s="2" t="s">
        <v>10135</v>
      </c>
      <c r="B4598" s="2" t="s">
        <v>711</v>
      </c>
      <c r="C4598" s="11" t="s">
        <v>6587</v>
      </c>
      <c r="D4598" s="2" t="s">
        <v>30</v>
      </c>
      <c r="E4598" s="2" t="s">
        <v>855</v>
      </c>
      <c r="F4598" s="11"/>
      <c r="G4598" s="21"/>
      <c r="H4598" s="2" t="s">
        <v>6332</v>
      </c>
      <c r="I4598" s="12" t="s">
        <v>1392</v>
      </c>
      <c r="J4598" s="22">
        <f>+Tabla1[[#This Row],[FECHA ENTRADA]]</f>
        <v>46037</v>
      </c>
      <c r="K4598" s="22">
        <v>46048</v>
      </c>
      <c r="L4598" s="23">
        <f>_xlfn.DAYS(Tabla1[[#This Row],[FECHA FIN ]],Tabla1[[#This Row],[FECHA INICIO]])</f>
        <v>11</v>
      </c>
      <c r="M4598" s="12"/>
      <c r="N4598" s="20">
        <v>300</v>
      </c>
      <c r="O4598" s="24">
        <f>(Tabla1[[#This Row],[COSTO FIJO ]]/30)*Tabla1[[#This Row],[TOTAL DIAS PROYECTO]]+(Tabla1[[#This Row],[COSTO TEMPORAL]])</f>
        <v>110</v>
      </c>
      <c r="P4598" s="12"/>
      <c r="Q4598" s="12">
        <f>+(Tabla1[[#This Row],[COSTO COCHE]]/30)*Tabla1[[#This Row],[TOTAL DIAS PROYECTO]]</f>
        <v>0</v>
      </c>
      <c r="R4598" s="12">
        <f>+Tabla1[[#This Row],[COSTO TOTAL ALOJAMIENTO]]+Tabla1[[#This Row],[COSTO TOTAL COCHE]]</f>
        <v>110</v>
      </c>
      <c r="S4598" s="2"/>
      <c r="T4598" s="14" t="s">
        <v>58</v>
      </c>
      <c r="U4598" s="14">
        <v>46037</v>
      </c>
      <c r="V4598" s="79"/>
      <c r="W4598" s="12"/>
      <c r="X4598" s="2"/>
      <c r="Y4598" s="11" t="s">
        <v>6663</v>
      </c>
      <c r="Z4598" s="2" t="s">
        <v>36</v>
      </c>
      <c r="AA4598" s="13" t="s">
        <v>10401</v>
      </c>
      <c r="AB4598" s="13" t="s">
        <v>10402</v>
      </c>
    </row>
    <row r="4599" spans="1:28" ht="15" customHeight="1">
      <c r="A4599" s="2" t="s">
        <v>9800</v>
      </c>
      <c r="B4599" s="2" t="s">
        <v>978</v>
      </c>
      <c r="C4599" s="11" t="s">
        <v>4803</v>
      </c>
      <c r="D4599" s="2" t="s">
        <v>30</v>
      </c>
      <c r="E4599" s="2" t="s">
        <v>855</v>
      </c>
      <c r="F4599" s="11" t="s">
        <v>6466</v>
      </c>
      <c r="G4599" s="49" t="s">
        <v>1474</v>
      </c>
      <c r="H4599" s="2" t="s">
        <v>5807</v>
      </c>
      <c r="I4599" s="12" t="s">
        <v>5808</v>
      </c>
      <c r="J4599" s="22">
        <f>+Tabla1[[#This Row],[FECHA ENTRADA]]</f>
        <v>45963</v>
      </c>
      <c r="K4599" s="22">
        <v>46049</v>
      </c>
      <c r="L4599" s="23">
        <f>_xlfn.DAYS(Tabla1[[#This Row],[FECHA FIN ]],Tabla1[[#This Row],[FECHA INICIO]])</f>
        <v>86</v>
      </c>
      <c r="M4599" s="12">
        <v>166.66666666666666</v>
      </c>
      <c r="N4599" s="20"/>
      <c r="O4599" s="24">
        <f>(Tabla1[[#This Row],[COSTO FIJO ]]/30)*Tabla1[[#This Row],[TOTAL DIAS PROYECTO]]+(Tabla1[[#This Row],[COSTO TEMPORAL]])</f>
        <v>166.66666666666666</v>
      </c>
      <c r="P4599" s="12"/>
      <c r="Q4599" s="12">
        <f>+(Tabla1[[#This Row],[COSTO COCHE]]/30)*Tabla1[[#This Row],[TOTAL DIAS PROYECTO]]</f>
        <v>0</v>
      </c>
      <c r="R4599" s="12">
        <f>+Tabla1[[#This Row],[COSTO TOTAL ALOJAMIENTO]]+Tabla1[[#This Row],[COSTO TOTAL COCHE]]</f>
        <v>166.66666666666666</v>
      </c>
      <c r="S4599" s="2"/>
      <c r="T4599" s="14" t="s">
        <v>44</v>
      </c>
      <c r="U4599" s="14">
        <v>45963</v>
      </c>
      <c r="V4599" s="79">
        <v>46051</v>
      </c>
      <c r="W4599" s="71"/>
      <c r="X4599" s="2"/>
      <c r="Y4599" s="11" t="s">
        <v>6664</v>
      </c>
      <c r="Z4599" s="2" t="s">
        <v>36</v>
      </c>
      <c r="AA4599" s="13" t="s">
        <v>10401</v>
      </c>
      <c r="AB4599" s="13" t="s">
        <v>10402</v>
      </c>
    </row>
    <row r="4600" spans="1:28" ht="15" customHeight="1">
      <c r="A4600" s="2" t="s">
        <v>9893</v>
      </c>
      <c r="B4600" s="2" t="s">
        <v>978</v>
      </c>
      <c r="C4600" s="31" t="s">
        <v>5239</v>
      </c>
      <c r="D4600" s="2" t="s">
        <v>30</v>
      </c>
      <c r="E4600" s="2" t="s">
        <v>245</v>
      </c>
      <c r="F4600" s="11" t="s">
        <v>6206</v>
      </c>
      <c r="G4600" s="21" t="s">
        <v>6207</v>
      </c>
      <c r="H4600" s="2" t="s">
        <v>1468</v>
      </c>
      <c r="I4600" s="12" t="s">
        <v>5047</v>
      </c>
      <c r="J4600" s="41">
        <f>+Tabla1[[#This Row],[FECHA ENTRADA]]</f>
        <v>45932</v>
      </c>
      <c r="K4600" s="41">
        <v>45982</v>
      </c>
      <c r="L4600" s="42">
        <f>_xlfn.DAYS(Tabla1[[#This Row],[FECHA FIN ]],Tabla1[[#This Row],[FECHA INICIO]])</f>
        <v>50</v>
      </c>
      <c r="M4600" s="12">
        <v>500</v>
      </c>
      <c r="N4600" s="28"/>
      <c r="O4600" s="28">
        <f>(Tabla1[[#This Row],[COSTO FIJO ]]/30)*Tabla1[[#This Row],[TOTAL DIAS PROYECTO]]+(Tabla1[[#This Row],[COSTO TEMPORAL]])</f>
        <v>500</v>
      </c>
      <c r="P4600" s="12"/>
      <c r="Q4600" s="12">
        <f>+(Tabla1[[#This Row],[COSTO COCHE]]/30)*Tabla1[[#This Row],[TOTAL DIAS PROYECTO]]</f>
        <v>0</v>
      </c>
      <c r="R4600" s="12">
        <f>+Tabla1[[#This Row],[COSTO TOTAL ALOJAMIENTO]]+Tabla1[[#This Row],[COSTO TOTAL COCHE]]</f>
        <v>500</v>
      </c>
      <c r="S4600" s="2" t="s">
        <v>84</v>
      </c>
      <c r="T4600" s="14" t="s">
        <v>44</v>
      </c>
      <c r="U4600" s="14">
        <v>45932</v>
      </c>
      <c r="V4600" s="25">
        <v>45993</v>
      </c>
      <c r="W4600" s="71"/>
      <c r="X4600" s="2"/>
      <c r="Y4600" s="11" t="s">
        <v>6569</v>
      </c>
      <c r="Z4600" s="2" t="s">
        <v>36</v>
      </c>
      <c r="AA4600" s="13" t="s">
        <v>10355</v>
      </c>
      <c r="AB4600" s="13" t="s">
        <v>10356</v>
      </c>
    </row>
    <row r="4601" spans="1:28" ht="15" customHeight="1">
      <c r="A4601" s="2" t="s">
        <v>8642</v>
      </c>
      <c r="B4601" s="2" t="s">
        <v>978</v>
      </c>
      <c r="C4601" s="31" t="s">
        <v>6665</v>
      </c>
      <c r="D4601" s="2" t="s">
        <v>30</v>
      </c>
      <c r="E4601" s="2" t="s">
        <v>380</v>
      </c>
      <c r="F4601" s="11" t="s">
        <v>1579</v>
      </c>
      <c r="G4601" s="118" t="s">
        <v>1580</v>
      </c>
      <c r="H4601" s="2" t="s">
        <v>6666</v>
      </c>
      <c r="I4601" s="12" t="s">
        <v>4681</v>
      </c>
      <c r="J4601" s="22">
        <f>+Tabla1[[#This Row],[FECHA ENTRADA]]</f>
        <v>45924</v>
      </c>
      <c r="K4601" s="22">
        <v>45994</v>
      </c>
      <c r="L4601" s="23">
        <f>_xlfn.DAYS(Tabla1[[#This Row],[FECHA FIN ]],Tabla1[[#This Row],[FECHA INICIO]])</f>
        <v>70</v>
      </c>
      <c r="M4601" s="12"/>
      <c r="N4601" s="12"/>
      <c r="O4601" s="24">
        <f>(Tabla1[[#This Row],[COSTO FIJO ]]/30)*Tabla1[[#This Row],[TOTAL DIAS PROYECTO]]+(Tabla1[[#This Row],[COSTO TEMPORAL]])</f>
        <v>0</v>
      </c>
      <c r="P4601" s="12"/>
      <c r="Q4601" s="12">
        <f>+(Tabla1[[#This Row],[COSTO COCHE]]/30)*Tabla1[[#This Row],[TOTAL DIAS PROYECTO]]</f>
        <v>0</v>
      </c>
      <c r="R4601" s="12">
        <f>+Tabla1[[#This Row],[COSTO TOTAL ALOJAMIENTO]]+Tabla1[[#This Row],[COSTO TOTAL COCHE]]</f>
        <v>0</v>
      </c>
      <c r="S4601" s="2"/>
      <c r="T4601" s="14" t="s">
        <v>35</v>
      </c>
      <c r="U4601" s="14">
        <v>45924</v>
      </c>
      <c r="V4601" s="79"/>
      <c r="W4601" s="71"/>
      <c r="X4601" s="2">
        <v>1</v>
      </c>
      <c r="Y4601" s="11" t="s">
        <v>6667</v>
      </c>
      <c r="Z4601" s="2" t="s">
        <v>36</v>
      </c>
      <c r="AA4601" s="13" t="s">
        <v>10370</v>
      </c>
      <c r="AB4601" s="13" t="s">
        <v>10371</v>
      </c>
    </row>
    <row r="4602" spans="1:28" ht="15" customHeight="1">
      <c r="A4602" s="2" t="s">
        <v>10147</v>
      </c>
      <c r="B4602" s="2" t="s">
        <v>978</v>
      </c>
      <c r="C4602" s="31" t="s">
        <v>6668</v>
      </c>
      <c r="D4602" s="2" t="s">
        <v>30</v>
      </c>
      <c r="E4602" s="2" t="s">
        <v>380</v>
      </c>
      <c r="F4602" s="11" t="s">
        <v>1579</v>
      </c>
      <c r="G4602" s="11" t="s">
        <v>1580</v>
      </c>
      <c r="H4602" s="2" t="s">
        <v>6296</v>
      </c>
      <c r="I4602" s="12" t="s">
        <v>4681</v>
      </c>
      <c r="J4602" s="22">
        <f>+Tabla1[[#This Row],[FECHA ENTRADA]]</f>
        <v>45915</v>
      </c>
      <c r="K4602" s="22">
        <v>46014</v>
      </c>
      <c r="L4602" s="23">
        <f>_xlfn.DAYS(Tabla1[[#This Row],[FECHA FIN ]],Tabla1[[#This Row],[FECHA INICIO]])</f>
        <v>99</v>
      </c>
      <c r="M4602" s="12"/>
      <c r="N4602" s="12">
        <v>600</v>
      </c>
      <c r="O4602" s="24">
        <f>(Tabla1[[#This Row],[COSTO FIJO ]]/30)*Tabla1[[#This Row],[TOTAL DIAS PROYECTO]]+(Tabla1[[#This Row],[COSTO TEMPORAL]])</f>
        <v>1980</v>
      </c>
      <c r="P4602" s="12"/>
      <c r="Q4602" s="12">
        <f>+(Tabla1[[#This Row],[COSTO COCHE]]/30)*Tabla1[[#This Row],[TOTAL DIAS PROYECTO]]</f>
        <v>0</v>
      </c>
      <c r="R4602" s="12">
        <f>+Tabla1[[#This Row],[COSTO TOTAL ALOJAMIENTO]]+Tabla1[[#This Row],[COSTO TOTAL COCHE]]</f>
        <v>1980</v>
      </c>
      <c r="S4602" s="2"/>
      <c r="T4602" s="14" t="s">
        <v>35</v>
      </c>
      <c r="U4602" s="14">
        <v>45915</v>
      </c>
      <c r="V4602" s="25"/>
      <c r="W4602" s="71">
        <v>1650</v>
      </c>
      <c r="X4602" s="2">
        <v>1</v>
      </c>
      <c r="Y4602" s="11" t="s">
        <v>6669</v>
      </c>
      <c r="Z4602" s="2" t="s">
        <v>36</v>
      </c>
      <c r="AA4602" s="13" t="s">
        <v>10370</v>
      </c>
      <c r="AB4602" s="13" t="s">
        <v>10371</v>
      </c>
    </row>
    <row r="4603" spans="1:28" ht="15" customHeight="1">
      <c r="A4603" s="2" t="s">
        <v>9823</v>
      </c>
      <c r="B4603" s="241" t="s">
        <v>606</v>
      </c>
      <c r="C4603" s="11" t="s">
        <v>4923</v>
      </c>
      <c r="D4603" s="2" t="s">
        <v>30</v>
      </c>
      <c r="E4603" s="2" t="s">
        <v>5074</v>
      </c>
      <c r="F4603" s="11" t="s">
        <v>5075</v>
      </c>
      <c r="G4603" s="21" t="s">
        <v>5076</v>
      </c>
      <c r="H4603" s="2" t="s">
        <v>6670</v>
      </c>
      <c r="I4603" s="301" t="s">
        <v>4504</v>
      </c>
      <c r="J4603" s="22">
        <f>+Tabla1[[#This Row],[FECHA ENTRADA]]</f>
        <v>46048</v>
      </c>
      <c r="K4603" s="22">
        <v>46049</v>
      </c>
      <c r="L4603" s="23">
        <f>_xlfn.DAYS(Tabla1[[#This Row],[FECHA FIN ]],Tabla1[[#This Row],[FECHA INICIO]])</f>
        <v>1</v>
      </c>
      <c r="M4603" s="12"/>
      <c r="N4603" s="20"/>
      <c r="O4603" s="24">
        <f>(Tabla1[[#This Row],[COSTO FIJO ]]/30)*Tabla1[[#This Row],[TOTAL DIAS PROYECTO]]+(Tabla1[[#This Row],[COSTO TEMPORAL]])</f>
        <v>0</v>
      </c>
      <c r="P4603" s="12"/>
      <c r="Q4603" s="12">
        <f>+(Tabla1[[#This Row],[COSTO COCHE]]/30)*Tabla1[[#This Row],[TOTAL DIAS PROYECTO]]</f>
        <v>0</v>
      </c>
      <c r="R4603" s="12">
        <f>+Tabla1[[#This Row],[COSTO TOTAL ALOJAMIENTO]]+Tabla1[[#This Row],[COSTO TOTAL COCHE]]</f>
        <v>0</v>
      </c>
      <c r="S4603" s="2"/>
      <c r="T4603" s="14" t="s">
        <v>44</v>
      </c>
      <c r="U4603" s="14">
        <v>46048</v>
      </c>
      <c r="V4603" s="79">
        <v>46055</v>
      </c>
      <c r="W4603" s="12"/>
      <c r="X4603" s="2"/>
      <c r="Y4603" s="11" t="s">
        <v>6671</v>
      </c>
      <c r="Z4603" s="2" t="s">
        <v>36</v>
      </c>
      <c r="AA4603" s="13" t="e">
        <v>#N/A</v>
      </c>
      <c r="AB4603" s="13" t="e">
        <v>#N/A</v>
      </c>
    </row>
    <row r="4604" spans="1:28" ht="15" customHeight="1">
      <c r="A4604" s="2" t="s">
        <v>9987</v>
      </c>
      <c r="B4604" s="11" t="s">
        <v>606</v>
      </c>
      <c r="C4604" s="11" t="s">
        <v>5849</v>
      </c>
      <c r="D4604" s="2" t="s">
        <v>30</v>
      </c>
      <c r="E4604" s="2" t="s">
        <v>5074</v>
      </c>
      <c r="F4604" s="11" t="s">
        <v>5075</v>
      </c>
      <c r="G4604" s="21" t="s">
        <v>5076</v>
      </c>
      <c r="H4604" s="2" t="s">
        <v>6670</v>
      </c>
      <c r="I4604" s="301" t="s">
        <v>4504</v>
      </c>
      <c r="J4604" s="22">
        <f>+Tabla1[[#This Row],[FECHA ENTRADA]]</f>
        <v>46048</v>
      </c>
      <c r="K4604" s="22">
        <v>46049</v>
      </c>
      <c r="L4604" s="23">
        <f>_xlfn.DAYS(Tabla1[[#This Row],[FECHA FIN ]],Tabla1[[#This Row],[FECHA INICIO]])</f>
        <v>1</v>
      </c>
      <c r="M4604" s="12"/>
      <c r="N4604" s="20"/>
      <c r="O4604" s="24">
        <f>(Tabla1[[#This Row],[COSTO FIJO ]]/30)*Tabla1[[#This Row],[TOTAL DIAS PROYECTO]]+(Tabla1[[#This Row],[COSTO TEMPORAL]])</f>
        <v>0</v>
      </c>
      <c r="P4604" s="12"/>
      <c r="Q4604" s="12">
        <f>+(Tabla1[[#This Row],[COSTO COCHE]]/30)*Tabla1[[#This Row],[TOTAL DIAS PROYECTO]]</f>
        <v>0</v>
      </c>
      <c r="R4604" s="12">
        <f>+Tabla1[[#This Row],[COSTO TOTAL ALOJAMIENTO]]+Tabla1[[#This Row],[COSTO TOTAL COCHE]]</f>
        <v>0</v>
      </c>
      <c r="S4604" s="2"/>
      <c r="T4604" s="14" t="s">
        <v>44</v>
      </c>
      <c r="U4604" s="14">
        <v>46048</v>
      </c>
      <c r="V4604" s="79">
        <v>46055</v>
      </c>
      <c r="W4604" s="12"/>
      <c r="X4604" s="2"/>
      <c r="Y4604" s="11" t="s">
        <v>6671</v>
      </c>
      <c r="Z4604" s="2" t="s">
        <v>36</v>
      </c>
      <c r="AA4604" s="13" t="e">
        <v>#N/A</v>
      </c>
      <c r="AB4604" s="13" t="e">
        <v>#N/A</v>
      </c>
    </row>
    <row r="4605" spans="1:28" ht="15" customHeight="1">
      <c r="A4605" s="2" t="s">
        <v>10148</v>
      </c>
      <c r="B4605" s="2" t="s">
        <v>28</v>
      </c>
      <c r="C4605" s="31" t="s">
        <v>6672</v>
      </c>
      <c r="D4605" s="2" t="s">
        <v>30</v>
      </c>
      <c r="E4605" s="2" t="s">
        <v>422</v>
      </c>
      <c r="F4605" s="11" t="s">
        <v>5502</v>
      </c>
      <c r="G4605" s="11" t="s">
        <v>5428</v>
      </c>
      <c r="H4605" s="2" t="s">
        <v>5579</v>
      </c>
      <c r="I4605" s="12" t="s">
        <v>4327</v>
      </c>
      <c r="J4605" s="22">
        <f>+Tabla1[[#This Row],[FECHA ENTRADA]]</f>
        <v>45886</v>
      </c>
      <c r="K4605" s="22">
        <v>45949</v>
      </c>
      <c r="L4605" s="23">
        <f>_xlfn.DAYS(Tabla1[[#This Row],[FECHA FIN ]],Tabla1[[#This Row],[FECHA INICIO]])</f>
        <v>63</v>
      </c>
      <c r="M4605" s="12"/>
      <c r="N4605" s="20">
        <v>300</v>
      </c>
      <c r="O4605" s="24">
        <f>(Tabla1[[#This Row],[COSTO FIJO ]]/30)*Tabla1[[#This Row],[TOTAL DIAS PROYECTO]]+(Tabla1[[#This Row],[COSTO TEMPORAL]])</f>
        <v>630</v>
      </c>
      <c r="P4605" s="12"/>
      <c r="Q4605" s="12">
        <f>+(Tabla1[[#This Row],[COSTO COCHE]]/30)*Tabla1[[#This Row],[TOTAL DIAS PROYECTO]]</f>
        <v>0</v>
      </c>
      <c r="R4605" s="12">
        <f>+Tabla1[[#This Row],[COSTO TOTAL ALOJAMIENTO]]+Tabla1[[#This Row],[COSTO TOTAL COCHE]]</f>
        <v>630</v>
      </c>
      <c r="S4605" s="2"/>
      <c r="T4605" s="14" t="s">
        <v>35</v>
      </c>
      <c r="U4605" s="14">
        <v>45886</v>
      </c>
      <c r="V4605" s="79"/>
      <c r="W4605" s="12">
        <v>300</v>
      </c>
      <c r="X4605" s="2">
        <v>1</v>
      </c>
      <c r="Y4605" s="11" t="s">
        <v>6673</v>
      </c>
      <c r="Z4605" s="2" t="s">
        <v>36</v>
      </c>
      <c r="AA4605" s="13">
        <v>-326.69799999999998</v>
      </c>
      <c r="AB4605" s="13" t="s">
        <v>10373</v>
      </c>
    </row>
    <row r="4606" spans="1:28" ht="15" customHeight="1">
      <c r="A4606" s="2" t="s">
        <v>9096</v>
      </c>
      <c r="B4606" s="2" t="s">
        <v>28</v>
      </c>
      <c r="C4606" s="11" t="s">
        <v>2011</v>
      </c>
      <c r="D4606" s="2" t="s">
        <v>99</v>
      </c>
      <c r="E4606" s="2" t="s">
        <v>31</v>
      </c>
      <c r="F4606" s="11" t="s">
        <v>1325</v>
      </c>
      <c r="G4606" s="49" t="s">
        <v>1326</v>
      </c>
      <c r="H4606" s="2" t="s">
        <v>3998</v>
      </c>
      <c r="I4606" s="10" t="s">
        <v>1101</v>
      </c>
      <c r="J4606" s="22">
        <f>+Tabla1[[#This Row],[FECHA ENTRADA]]</f>
        <v>45692</v>
      </c>
      <c r="K4606" s="22">
        <v>45693</v>
      </c>
      <c r="L4606" s="23">
        <f>_xlfn.DAYS(Tabla1[[#This Row],[FECHA FIN ]],Tabla1[[#This Row],[FECHA INICIO]])</f>
        <v>1</v>
      </c>
      <c r="M4606" s="12"/>
      <c r="N4606" s="12"/>
      <c r="O4606" s="24">
        <f>(Tabla1[[#This Row],[COSTO FIJO ]]/30)*Tabla1[[#This Row],[TOTAL DIAS PROYECTO]]+(Tabla1[[#This Row],[COSTO TEMPORAL]])</f>
        <v>0</v>
      </c>
      <c r="P4606" s="12"/>
      <c r="Q4606" s="12">
        <f>+(Tabla1[[#This Row],[COSTO COCHE]]/30)*Tabla1[[#This Row],[TOTAL DIAS PROYECTO]]</f>
        <v>0</v>
      </c>
      <c r="R4606" s="12">
        <f>+Tabla1[[#This Row],[COSTO TOTAL ALOJAMIENTO]]+Tabla1[[#This Row],[COSTO TOTAL COCHE]]</f>
        <v>0</v>
      </c>
      <c r="S4606" s="2"/>
      <c r="T4606" s="2" t="s">
        <v>613</v>
      </c>
      <c r="U4606" s="14">
        <v>45692</v>
      </c>
      <c r="V4606" s="25"/>
      <c r="W4606" s="26"/>
      <c r="X4606" s="2"/>
      <c r="Y4606" s="11"/>
      <c r="Z4606" s="2" t="s">
        <v>36</v>
      </c>
      <c r="AA4606" s="13" t="s">
        <v>10323</v>
      </c>
      <c r="AB4606" s="13" t="s">
        <v>10324</v>
      </c>
    </row>
    <row r="4607" spans="1:28" ht="15" customHeight="1">
      <c r="A4607" s="2" t="s">
        <v>9886</v>
      </c>
      <c r="B4607" s="2" t="s">
        <v>368</v>
      </c>
      <c r="C4607" s="69" t="s">
        <v>5223</v>
      </c>
      <c r="D4607" s="2" t="s">
        <v>99</v>
      </c>
      <c r="E4607" s="2" t="s">
        <v>245</v>
      </c>
      <c r="F4607" s="11" t="s">
        <v>6674</v>
      </c>
      <c r="G4607" s="21" t="s">
        <v>6675</v>
      </c>
      <c r="H4607" s="2" t="s">
        <v>5417</v>
      </c>
      <c r="I4607" s="12" t="s">
        <v>1019</v>
      </c>
      <c r="J4607" s="22">
        <f>+Tabla1[[#This Row],[FECHA ENTRADA]]</f>
        <v>46004</v>
      </c>
      <c r="K4607" s="22">
        <v>46035</v>
      </c>
      <c r="L4607" s="23">
        <f>_xlfn.DAYS(Tabla1[[#This Row],[FECHA FIN ]],Tabla1[[#This Row],[FECHA INICIO]])</f>
        <v>31</v>
      </c>
      <c r="M4607" s="12"/>
      <c r="N4607" s="20">
        <v>300</v>
      </c>
      <c r="O4607" s="24">
        <f>(Tabla1[[#This Row],[COSTO FIJO ]]/30)*Tabla1[[#This Row],[TOTAL DIAS PROYECTO]]+(Tabla1[[#This Row],[COSTO TEMPORAL]])</f>
        <v>310</v>
      </c>
      <c r="P4607" s="12"/>
      <c r="Q4607" s="12">
        <f>+(Tabla1[[#This Row],[COSTO COCHE]]/30)*Tabla1[[#This Row],[TOTAL DIAS PROYECTO]]</f>
        <v>0</v>
      </c>
      <c r="R4607" s="12">
        <f>+Tabla1[[#This Row],[COSTO TOTAL ALOJAMIENTO]]+Tabla1[[#This Row],[COSTO TOTAL COCHE]]</f>
        <v>310</v>
      </c>
      <c r="S4607" s="2"/>
      <c r="T4607" s="14" t="s">
        <v>35</v>
      </c>
      <c r="U4607" s="14">
        <v>46004</v>
      </c>
      <c r="V4607" s="79"/>
      <c r="W4607" s="12">
        <v>100</v>
      </c>
      <c r="X4607" s="2">
        <v>10</v>
      </c>
      <c r="Y4607" s="11" t="s">
        <v>6676</v>
      </c>
      <c r="Z4607" s="2" t="s">
        <v>36</v>
      </c>
      <c r="AA4607" s="13" t="s">
        <v>10355</v>
      </c>
      <c r="AB4607" s="13" t="s">
        <v>10356</v>
      </c>
    </row>
    <row r="4608" spans="1:28" ht="15" customHeight="1">
      <c r="A4608" s="117" t="s">
        <v>10063</v>
      </c>
      <c r="B4608" s="117" t="s">
        <v>711</v>
      </c>
      <c r="C4608" s="118" t="s">
        <v>6174</v>
      </c>
      <c r="D4608" s="117" t="s">
        <v>30</v>
      </c>
      <c r="E4608" s="117" t="s">
        <v>87</v>
      </c>
      <c r="F4608" s="11" t="s">
        <v>6677</v>
      </c>
      <c r="G4608" s="128" t="s">
        <v>6678</v>
      </c>
      <c r="H4608" s="117" t="s">
        <v>6175</v>
      </c>
      <c r="I4608" s="119" t="s">
        <v>1392</v>
      </c>
      <c r="J4608" s="121">
        <f>+Tabla1[[#This Row],[FECHA ENTRADA]]</f>
        <v>45981</v>
      </c>
      <c r="K4608" s="121">
        <v>46050</v>
      </c>
      <c r="L4608" s="129">
        <f>_xlfn.DAYS(Tabla1[[#This Row],[FECHA FIN ]],Tabla1[[#This Row],[FECHA INICIO]])</f>
        <v>69</v>
      </c>
      <c r="M4608" s="119">
        <v>582</v>
      </c>
      <c r="N4608" s="130"/>
      <c r="O4608" s="131">
        <f>(Tabla1[[#This Row],[COSTO FIJO ]]/30)*Tabla1[[#This Row],[TOTAL DIAS PROYECTO]]+(Tabla1[[#This Row],[COSTO TEMPORAL]])</f>
        <v>582</v>
      </c>
      <c r="P4608" s="119"/>
      <c r="Q4608" s="119">
        <f>+(Tabla1[[#This Row],[COSTO COCHE]]/30)*Tabla1[[#This Row],[TOTAL DIAS PROYECTO]]</f>
        <v>0</v>
      </c>
      <c r="R4608" s="119">
        <f>+Tabla1[[#This Row],[COSTO TOTAL ALOJAMIENTO]]+Tabla1[[#This Row],[COSTO TOTAL COCHE]]</f>
        <v>582</v>
      </c>
      <c r="S4608" s="117" t="s">
        <v>84</v>
      </c>
      <c r="T4608" s="124" t="s">
        <v>44</v>
      </c>
      <c r="U4608" s="124">
        <v>45981</v>
      </c>
      <c r="V4608" s="132">
        <v>46051</v>
      </c>
      <c r="W4608" s="126"/>
      <c r="X4608" s="117"/>
      <c r="Y4608" s="118" t="s">
        <v>6679</v>
      </c>
      <c r="Z4608" s="117" t="s">
        <v>36</v>
      </c>
      <c r="AA4608" s="127" t="s">
        <v>10335</v>
      </c>
      <c r="AB4608" s="127">
        <v>404.16500000000002</v>
      </c>
    </row>
    <row r="4609" spans="1:28" ht="15" customHeight="1">
      <c r="A4609" s="2" t="s">
        <v>9911</v>
      </c>
      <c r="B4609" s="2" t="s">
        <v>711</v>
      </c>
      <c r="C4609" s="31" t="s">
        <v>5373</v>
      </c>
      <c r="D4609" s="2" t="s">
        <v>30</v>
      </c>
      <c r="E4609" s="2" t="s">
        <v>2378</v>
      </c>
      <c r="F4609" s="11" t="s">
        <v>6626</v>
      </c>
      <c r="G4609" s="21" t="s">
        <v>6627</v>
      </c>
      <c r="H4609" s="2" t="s">
        <v>6680</v>
      </c>
      <c r="I4609" s="12" t="s">
        <v>6681</v>
      </c>
      <c r="J4609" s="22">
        <f>+Tabla1[[#This Row],[FECHA ENTRADA]]</f>
        <v>46047</v>
      </c>
      <c r="K4609" s="22">
        <v>46050</v>
      </c>
      <c r="L4609" s="23">
        <f>_xlfn.DAYS(Tabla1[[#This Row],[FECHA FIN ]],Tabla1[[#This Row],[FECHA INICIO]])</f>
        <v>3</v>
      </c>
      <c r="M4609" s="12">
        <f>(1493.36+192.7)/4</f>
        <v>421.51499999999999</v>
      </c>
      <c r="N4609" s="20"/>
      <c r="O4609" s="24">
        <f>(Tabla1[[#This Row],[COSTO FIJO ]]/30)*Tabla1[[#This Row],[TOTAL DIAS PROYECTO]]+(Tabla1[[#This Row],[COSTO TEMPORAL]])</f>
        <v>421.51499999999999</v>
      </c>
      <c r="P4609" s="12"/>
      <c r="Q4609" s="12">
        <f>+(Tabla1[[#This Row],[COSTO COCHE]]/30)*Tabla1[[#This Row],[TOTAL DIAS PROYECTO]]</f>
        <v>0</v>
      </c>
      <c r="R4609" s="12">
        <f>+Tabla1[[#This Row],[COSTO TOTAL ALOJAMIENTO]]+Tabla1[[#This Row],[COSTO TOTAL COCHE]]</f>
        <v>421.51499999999999</v>
      </c>
      <c r="S4609" s="2" t="s">
        <v>84</v>
      </c>
      <c r="T4609" s="14" t="s">
        <v>44</v>
      </c>
      <c r="U4609" s="14">
        <v>46047</v>
      </c>
      <c r="V4609" s="79">
        <v>46064</v>
      </c>
      <c r="W4609" s="12"/>
      <c r="X4609" s="2"/>
      <c r="Y4609" s="11" t="s">
        <v>6682</v>
      </c>
      <c r="Z4609" s="2" t="s">
        <v>36</v>
      </c>
      <c r="AA4609" s="13" t="e">
        <v>#N/A</v>
      </c>
      <c r="AB4609" s="13" t="e">
        <v>#N/A</v>
      </c>
    </row>
    <row r="4610" spans="1:28" ht="15" customHeight="1">
      <c r="A4610" s="2" t="s">
        <v>9452</v>
      </c>
      <c r="B4610" s="2" t="s">
        <v>606</v>
      </c>
      <c r="C4610" s="31" t="s">
        <v>3226</v>
      </c>
      <c r="D4610" s="2" t="s">
        <v>99</v>
      </c>
      <c r="E4610" s="2" t="s">
        <v>31</v>
      </c>
      <c r="F4610" s="11" t="s">
        <v>6382</v>
      </c>
      <c r="G4610" s="128" t="s">
        <v>6372</v>
      </c>
      <c r="H4610" s="2" t="s">
        <v>6571</v>
      </c>
      <c r="I4610" s="12" t="s">
        <v>385</v>
      </c>
      <c r="J4610" s="22">
        <f>+Tabla1[[#This Row],[FECHA ENTRADA]]</f>
        <v>46037</v>
      </c>
      <c r="K4610" s="22">
        <v>46050</v>
      </c>
      <c r="L4610" s="23">
        <f>_xlfn.DAYS(Tabla1[[#This Row],[FECHA FIN ]],Tabla1[[#This Row],[FECHA INICIO]])</f>
        <v>13</v>
      </c>
      <c r="M4610" s="12">
        <v>293.33333333333331</v>
      </c>
      <c r="N4610" s="20"/>
      <c r="O4610" s="24">
        <f>(Tabla1[[#This Row],[COSTO FIJO ]]/30)*Tabla1[[#This Row],[TOTAL DIAS PROYECTO]]+(Tabla1[[#This Row],[COSTO TEMPORAL]])</f>
        <v>293.33333333333331</v>
      </c>
      <c r="P4610" s="12"/>
      <c r="Q4610" s="12">
        <f>+(Tabla1[[#This Row],[COSTO COCHE]]/30)*Tabla1[[#This Row],[TOTAL DIAS PROYECTO]]</f>
        <v>0</v>
      </c>
      <c r="R4610" s="12">
        <f>+Tabla1[[#This Row],[COSTO TOTAL ALOJAMIENTO]]+Tabla1[[#This Row],[COSTO TOTAL COCHE]]</f>
        <v>293.33333333333331</v>
      </c>
      <c r="S4610" s="2"/>
      <c r="T4610" s="14" t="s">
        <v>44</v>
      </c>
      <c r="U4610" s="14">
        <v>46037</v>
      </c>
      <c r="V4610" s="79">
        <v>46072</v>
      </c>
      <c r="W4610" s="12"/>
      <c r="X4610" s="2"/>
      <c r="Y4610" s="11" t="s">
        <v>6683</v>
      </c>
      <c r="Z4610" s="2" t="s">
        <v>36</v>
      </c>
      <c r="AA4610" s="13" t="s">
        <v>10323</v>
      </c>
      <c r="AB4610" s="13" t="s">
        <v>10324</v>
      </c>
    </row>
    <row r="4611" spans="1:28" ht="15" customHeight="1">
      <c r="A4611" s="2" t="s">
        <v>9823</v>
      </c>
      <c r="B4611" s="2" t="s">
        <v>606</v>
      </c>
      <c r="C4611" s="11" t="s">
        <v>4923</v>
      </c>
      <c r="D4611" s="2" t="s">
        <v>30</v>
      </c>
      <c r="E4611" s="2" t="s">
        <v>5690</v>
      </c>
      <c r="F4611" s="11" t="s">
        <v>6684</v>
      </c>
      <c r="G4611" s="21" t="s">
        <v>6685</v>
      </c>
      <c r="H4611" s="2" t="s">
        <v>6670</v>
      </c>
      <c r="I4611" s="12" t="s">
        <v>4504</v>
      </c>
      <c r="J4611" s="22">
        <f>+Tabla1[[#This Row],[FECHA ENTRADA]]</f>
        <v>46049</v>
      </c>
      <c r="K4611" s="22">
        <v>46051</v>
      </c>
      <c r="L4611" s="23">
        <f>_xlfn.DAYS(Tabla1[[#This Row],[FECHA FIN ]],Tabla1[[#This Row],[FECHA INICIO]])</f>
        <v>2</v>
      </c>
      <c r="M4611" s="12">
        <v>84</v>
      </c>
      <c r="N4611" s="24"/>
      <c r="O4611" s="24">
        <f>(Tabla1[[#This Row],[COSTO FIJO ]]/30)*Tabla1[[#This Row],[TOTAL DIAS PROYECTO]]+(Tabla1[[#This Row],[COSTO TEMPORAL]])</f>
        <v>84</v>
      </c>
      <c r="P4611" s="12"/>
      <c r="Q4611" s="12">
        <f>+(Tabla1[[#This Row],[COSTO COCHE]]/30)*Tabla1[[#This Row],[TOTAL DIAS PROYECTO]]</f>
        <v>0</v>
      </c>
      <c r="R4611" s="12">
        <f>+Tabla1[[#This Row],[COSTO TOTAL ALOJAMIENTO]]+Tabla1[[#This Row],[COSTO TOTAL COCHE]]</f>
        <v>84</v>
      </c>
      <c r="S4611" s="2" t="s">
        <v>403</v>
      </c>
      <c r="T4611" s="14" t="s">
        <v>44</v>
      </c>
      <c r="U4611" s="14">
        <v>46049</v>
      </c>
      <c r="V4611" s="25">
        <v>46052</v>
      </c>
      <c r="W4611" s="12"/>
      <c r="X4611" s="2"/>
      <c r="Y4611" s="11" t="s">
        <v>1361</v>
      </c>
      <c r="Z4611" s="2" t="s">
        <v>36</v>
      </c>
      <c r="AA4611" s="13" t="e">
        <v>#N/A</v>
      </c>
      <c r="AB4611" s="13" t="e">
        <v>#N/A</v>
      </c>
    </row>
    <row r="4612" spans="1:28" ht="15" customHeight="1">
      <c r="A4612" s="2" t="s">
        <v>9987</v>
      </c>
      <c r="B4612" s="2" t="s">
        <v>606</v>
      </c>
      <c r="C4612" s="11" t="s">
        <v>5849</v>
      </c>
      <c r="D4612" s="2" t="s">
        <v>30</v>
      </c>
      <c r="E4612" s="2" t="s">
        <v>5690</v>
      </c>
      <c r="F4612" s="11" t="s">
        <v>6684</v>
      </c>
      <c r="G4612" s="21" t="s">
        <v>6685</v>
      </c>
      <c r="H4612" s="2" t="s">
        <v>6670</v>
      </c>
      <c r="I4612" s="12" t="s">
        <v>4504</v>
      </c>
      <c r="J4612" s="22">
        <f>+Tabla1[[#This Row],[FECHA ENTRADA]]</f>
        <v>46049</v>
      </c>
      <c r="K4612" s="22">
        <v>46051</v>
      </c>
      <c r="L4612" s="23">
        <f>_xlfn.DAYS(Tabla1[[#This Row],[FECHA FIN ]],Tabla1[[#This Row],[FECHA INICIO]])</f>
        <v>2</v>
      </c>
      <c r="M4612" s="12">
        <v>84</v>
      </c>
      <c r="N4612" s="24"/>
      <c r="O4612" s="24">
        <f>(Tabla1[[#This Row],[COSTO FIJO ]]/30)*Tabla1[[#This Row],[TOTAL DIAS PROYECTO]]+(Tabla1[[#This Row],[COSTO TEMPORAL]])</f>
        <v>84</v>
      </c>
      <c r="P4612" s="12"/>
      <c r="Q4612" s="12">
        <f>+(Tabla1[[#This Row],[COSTO COCHE]]/30)*Tabla1[[#This Row],[TOTAL DIAS PROYECTO]]</f>
        <v>0</v>
      </c>
      <c r="R4612" s="12">
        <f>+Tabla1[[#This Row],[COSTO TOTAL ALOJAMIENTO]]+Tabla1[[#This Row],[COSTO TOTAL COCHE]]</f>
        <v>84</v>
      </c>
      <c r="S4612" s="2" t="s">
        <v>403</v>
      </c>
      <c r="T4612" s="14" t="s">
        <v>44</v>
      </c>
      <c r="U4612" s="14">
        <v>46049</v>
      </c>
      <c r="V4612" s="25">
        <v>46052</v>
      </c>
      <c r="W4612" s="12"/>
      <c r="X4612" s="2"/>
      <c r="Y4612" s="11" t="s">
        <v>1361</v>
      </c>
      <c r="Z4612" s="2" t="s">
        <v>36</v>
      </c>
      <c r="AA4612" s="13" t="e">
        <v>#N/A</v>
      </c>
      <c r="AB4612" s="13" t="e">
        <v>#N/A</v>
      </c>
    </row>
    <row r="4613" spans="1:28" ht="15" customHeight="1">
      <c r="A4613" s="117" t="s">
        <v>10094</v>
      </c>
      <c r="B4613" s="117" t="s">
        <v>606</v>
      </c>
      <c r="C4613" s="118" t="s">
        <v>6330</v>
      </c>
      <c r="D4613" s="117" t="s">
        <v>30</v>
      </c>
      <c r="E4613" s="117" t="s">
        <v>855</v>
      </c>
      <c r="F4613" s="11" t="s">
        <v>3272</v>
      </c>
      <c r="G4613" s="68" t="s">
        <v>1474</v>
      </c>
      <c r="H4613" s="117" t="s">
        <v>6686</v>
      </c>
      <c r="I4613" s="119" t="s">
        <v>3274</v>
      </c>
      <c r="J4613" s="120">
        <f>+Tabla1[[#This Row],[FECHA ENTRADA]]</f>
        <v>46061</v>
      </c>
      <c r="K4613" s="121">
        <v>46187</v>
      </c>
      <c r="L4613" s="122">
        <f>_xlfn.DAYS(Tabla1[[#This Row],[FECHA FIN ]],Tabla1[[#This Row],[FECHA INICIO]])</f>
        <v>126</v>
      </c>
      <c r="M4613" s="119">
        <v>605</v>
      </c>
      <c r="N4613" s="123"/>
      <c r="O4613" s="123">
        <f>(Tabla1[[#This Row],[COSTO FIJO ]]/30)*Tabla1[[#This Row],[TOTAL DIAS PROYECTO]]+(Tabla1[[#This Row],[COSTO TEMPORAL]])</f>
        <v>605</v>
      </c>
      <c r="P4613" s="119"/>
      <c r="Q4613" s="119">
        <f>+(Tabla1[[#This Row],[COSTO COCHE]]/30)*Tabla1[[#This Row],[TOTAL DIAS PROYECTO]]</f>
        <v>0</v>
      </c>
      <c r="R4613" s="119">
        <v>605</v>
      </c>
      <c r="S4613" s="117"/>
      <c r="T4613" s="124" t="s">
        <v>44</v>
      </c>
      <c r="U4613" s="124">
        <v>46061</v>
      </c>
      <c r="V4613" s="132">
        <v>46188</v>
      </c>
      <c r="W4613" s="119"/>
      <c r="X4613" s="117"/>
      <c r="Y4613" s="118" t="s">
        <v>3275</v>
      </c>
      <c r="Z4613" s="117" t="s">
        <v>36</v>
      </c>
      <c r="AA4613" s="127" t="s">
        <v>10401</v>
      </c>
      <c r="AB4613" s="127" t="s">
        <v>10402</v>
      </c>
    </row>
    <row r="4614" spans="1:28" ht="15" customHeight="1">
      <c r="A4614" s="2" t="s">
        <v>10149</v>
      </c>
      <c r="B4614" s="2" t="s">
        <v>28</v>
      </c>
      <c r="C4614" s="31" t="s">
        <v>6687</v>
      </c>
      <c r="D4614" s="2" t="s">
        <v>30</v>
      </c>
      <c r="E4614" s="2" t="s">
        <v>31</v>
      </c>
      <c r="F4614" s="11" t="s">
        <v>451</v>
      </c>
      <c r="G4614" s="118" t="s">
        <v>452</v>
      </c>
      <c r="H4614" s="2" t="s">
        <v>526</v>
      </c>
      <c r="I4614" s="12" t="s">
        <v>527</v>
      </c>
      <c r="J4614" s="8">
        <f>+Tabla1[[#This Row],[FECHA ENTRADA]]</f>
        <v>45502</v>
      </c>
      <c r="K4614" s="22">
        <v>46052</v>
      </c>
      <c r="L4614" s="13">
        <f>_xlfn.DAYS(Tabla1[[#This Row],[FECHA FIN ]],Tabla1[[#This Row],[FECHA INICIO]])</f>
        <v>550</v>
      </c>
      <c r="M4614" s="12"/>
      <c r="N4614" s="12">
        <v>283.33333333333331</v>
      </c>
      <c r="O4614" s="47">
        <f>(Tabla1[[#This Row],[COSTO FIJO ]]/30)*Tabla1[[#This Row],[TOTAL DIAS PROYECTO]]+(Tabla1[[#This Row],[COSTO TEMPORAL]])</f>
        <v>5194.4444444444443</v>
      </c>
      <c r="P4614" s="12">
        <f>542.69/3</f>
        <v>180.89666666666668</v>
      </c>
      <c r="Q4614" s="47">
        <f>+(Tabla1[[#This Row],[COSTO COCHE]]/30)*Tabla1[[#This Row],[TOTAL DIAS PROYECTO]]</f>
        <v>3316.4388888888893</v>
      </c>
      <c r="R4614" s="47">
        <f>+Tabla1[[#This Row],[COSTO TOTAL ALOJAMIENTO]]+Tabla1[[#This Row],[COSTO TOTAL COCHE]]</f>
        <v>8510.8833333333332</v>
      </c>
      <c r="S4614" s="2"/>
      <c r="T4614" s="2" t="s">
        <v>35</v>
      </c>
      <c r="U4614" s="14">
        <v>45502</v>
      </c>
      <c r="V4614" s="14"/>
      <c r="W4614" s="26">
        <v>1700</v>
      </c>
      <c r="X4614" s="2">
        <v>1</v>
      </c>
      <c r="Y4614" s="11" t="s">
        <v>6688</v>
      </c>
      <c r="Z4614" s="2" t="s">
        <v>36</v>
      </c>
      <c r="AA4614" s="13" t="s">
        <v>10323</v>
      </c>
      <c r="AB4614" s="13" t="s">
        <v>10324</v>
      </c>
    </row>
    <row r="4615" spans="1:28" ht="15" customHeight="1">
      <c r="A4615" s="2" t="s">
        <v>9748</v>
      </c>
      <c r="B4615" s="2" t="s">
        <v>711</v>
      </c>
      <c r="C4615" s="31" t="s">
        <v>4548</v>
      </c>
      <c r="D4615" s="2" t="s">
        <v>30</v>
      </c>
      <c r="E4615" s="2" t="s">
        <v>31</v>
      </c>
      <c r="F4615" s="11" t="s">
        <v>715</v>
      </c>
      <c r="G4615" s="11" t="s">
        <v>716</v>
      </c>
      <c r="H4615" s="2" t="s">
        <v>6550</v>
      </c>
      <c r="I4615" s="12" t="s">
        <v>5085</v>
      </c>
      <c r="J4615" s="22">
        <f>+Tabla1[[#This Row],[FECHA ENTRADA]]</f>
        <v>45942</v>
      </c>
      <c r="K4615" s="22">
        <v>46052</v>
      </c>
      <c r="L4615" s="23">
        <f>_xlfn.DAYS(Tabla1[[#This Row],[FECHA FIN ]],Tabla1[[#This Row],[FECHA INICIO]])</f>
        <v>110</v>
      </c>
      <c r="M4615" s="12"/>
      <c r="N4615" s="12">
        <v>160</v>
      </c>
      <c r="O4615" s="24">
        <f>(Tabla1[[#This Row],[COSTO FIJO ]]/30)*Tabla1[[#This Row],[TOTAL DIAS PROYECTO]]+(Tabla1[[#This Row],[COSTO TEMPORAL]])</f>
        <v>586.66666666666663</v>
      </c>
      <c r="P4615" s="12"/>
      <c r="Q4615" s="12">
        <f>+(Tabla1[[#This Row],[COSTO COCHE]]/30)*Tabla1[[#This Row],[TOTAL DIAS PROYECTO]]</f>
        <v>0</v>
      </c>
      <c r="R4615" s="12">
        <f>+Tabla1[[#This Row],[COSTO TOTAL ALOJAMIENTO]]+Tabla1[[#This Row],[COSTO TOTAL COCHE]]</f>
        <v>586.66666666666663</v>
      </c>
      <c r="S4615" s="2"/>
      <c r="T4615" s="14" t="s">
        <v>35</v>
      </c>
      <c r="U4615" s="14">
        <v>45942</v>
      </c>
      <c r="V4615" s="25"/>
      <c r="W4615" s="71"/>
      <c r="X4615" s="2">
        <v>1</v>
      </c>
      <c r="Y4615" s="11" t="s">
        <v>6689</v>
      </c>
      <c r="Z4615" s="2" t="s">
        <v>36</v>
      </c>
      <c r="AA4615" s="13" t="s">
        <v>10323</v>
      </c>
      <c r="AB4615" s="13" t="s">
        <v>10324</v>
      </c>
    </row>
    <row r="4616" spans="1:28" ht="15" customHeight="1">
      <c r="A4616" s="2" t="s">
        <v>9798</v>
      </c>
      <c r="B4616" s="2" t="s">
        <v>711</v>
      </c>
      <c r="C4616" s="31" t="s">
        <v>4800</v>
      </c>
      <c r="D4616" s="2" t="s">
        <v>749</v>
      </c>
      <c r="E4616" s="2" t="s">
        <v>6544</v>
      </c>
      <c r="F4616" s="11" t="s">
        <v>6545</v>
      </c>
      <c r="G4616" s="46"/>
      <c r="H4616" s="2" t="s">
        <v>6546</v>
      </c>
      <c r="I4616" s="12" t="s">
        <v>2862</v>
      </c>
      <c r="J4616" s="41">
        <f>+Tabla1[[#This Row],[FECHA ENTRADA]]</f>
        <v>45973</v>
      </c>
      <c r="K4616" s="22">
        <v>46029</v>
      </c>
      <c r="L4616" s="42">
        <f>_xlfn.DAYS(Tabla1[[#This Row],[FECHA FIN ]],Tabla1[[#This Row],[FECHA INICIO]])</f>
        <v>56</v>
      </c>
      <c r="M4616" s="12"/>
      <c r="N4616" s="28"/>
      <c r="O4616" s="28">
        <f>(Tabla1[[#This Row],[COSTO FIJO ]]/30)*Tabla1[[#This Row],[TOTAL DIAS PROYECTO]]+(Tabla1[[#This Row],[COSTO TEMPORAL]])</f>
        <v>0</v>
      </c>
      <c r="P4616" s="12"/>
      <c r="Q4616" s="12">
        <f>+(Tabla1[[#This Row],[COSTO COCHE]]/30)*Tabla1[[#This Row],[TOTAL DIAS PROYECTO]]</f>
        <v>0</v>
      </c>
      <c r="R4616" s="12">
        <f>+Tabla1[[#This Row],[COSTO TOTAL ALOJAMIENTO]]+Tabla1[[#This Row],[COSTO TOTAL COCHE]]</f>
        <v>0</v>
      </c>
      <c r="S4616" s="2"/>
      <c r="T4616" s="14" t="s">
        <v>35</v>
      </c>
      <c r="U4616" s="14">
        <v>45973</v>
      </c>
      <c r="V4616" s="43"/>
      <c r="W4616" s="71"/>
      <c r="X4616" s="2"/>
      <c r="Y4616" s="11" t="s">
        <v>6547</v>
      </c>
      <c r="Z4616" s="2" t="s">
        <v>36</v>
      </c>
      <c r="AA4616" s="13" t="e">
        <v>#N/A</v>
      </c>
      <c r="AB4616" s="13" t="e">
        <v>#N/A</v>
      </c>
    </row>
    <row r="4617" spans="1:28" ht="15" customHeight="1">
      <c r="A4617" s="2" t="s">
        <v>10150</v>
      </c>
      <c r="B4617" s="2" t="s">
        <v>606</v>
      </c>
      <c r="C4617" s="31" t="s">
        <v>6690</v>
      </c>
      <c r="D4617" s="2" t="s">
        <v>30</v>
      </c>
      <c r="E4617" s="2" t="s">
        <v>31</v>
      </c>
      <c r="F4617" s="11" t="s">
        <v>530</v>
      </c>
      <c r="G4617" s="197" t="s">
        <v>531</v>
      </c>
      <c r="H4617" s="2" t="s">
        <v>6691</v>
      </c>
      <c r="I4617" s="12" t="s">
        <v>1480</v>
      </c>
      <c r="J4617" s="41">
        <f>+Tabla1[[#This Row],[FECHA ENTRADA]]</f>
        <v>45712</v>
      </c>
      <c r="K4617" s="8">
        <v>46053</v>
      </c>
      <c r="L4617" s="42">
        <f>_xlfn.DAYS(Tabla1[[#This Row],[FECHA FIN ]],Tabla1[[#This Row],[FECHA INICIO]])</f>
        <v>341</v>
      </c>
      <c r="M4617" s="12"/>
      <c r="N4617" s="12">
        <v>453.75</v>
      </c>
      <c r="O4617" s="28">
        <f>(Tabla1[[#This Row],[COSTO FIJO ]]/30)*Tabla1[[#This Row],[TOTAL DIAS PROYECTO]]+(Tabla1[[#This Row],[COSTO TEMPORAL]])</f>
        <v>5157.625</v>
      </c>
      <c r="P4617" s="12">
        <v>200</v>
      </c>
      <c r="Q4617" s="12">
        <f>+(Tabla1[[#This Row],[COSTO COCHE]]/30)*Tabla1[[#This Row],[TOTAL DIAS PROYECTO]]</f>
        <v>2273.3333333333335</v>
      </c>
      <c r="R4617" s="12">
        <f>+Tabla1[[#This Row],[COSTO TOTAL ALOJAMIENTO]]+Tabla1[[#This Row],[COSTO TOTAL COCHE]]</f>
        <v>7430.9583333333339</v>
      </c>
      <c r="S4617" s="2"/>
      <c r="T4617" s="2" t="s">
        <v>35</v>
      </c>
      <c r="U4617" s="14">
        <v>45712</v>
      </c>
      <c r="V4617" s="43"/>
      <c r="W4617" s="26"/>
      <c r="X4617" s="2">
        <v>1</v>
      </c>
      <c r="Y4617" s="11" t="s">
        <v>6692</v>
      </c>
      <c r="Z4617" s="2" t="s">
        <v>36</v>
      </c>
      <c r="AA4617" s="13" t="s">
        <v>10323</v>
      </c>
      <c r="AB4617" s="13" t="s">
        <v>10324</v>
      </c>
    </row>
    <row r="4618" spans="1:28" ht="15" customHeight="1">
      <c r="A4618" s="2" t="s">
        <v>9491</v>
      </c>
      <c r="B4618" s="2" t="s">
        <v>28</v>
      </c>
      <c r="C4618" s="11" t="s">
        <v>3370</v>
      </c>
      <c r="D4618" s="2" t="s">
        <v>99</v>
      </c>
      <c r="E4618" s="2" t="s">
        <v>31</v>
      </c>
      <c r="F4618" s="11" t="s">
        <v>4399</v>
      </c>
      <c r="G4618" s="128" t="s">
        <v>4400</v>
      </c>
      <c r="H4618" s="2" t="s">
        <v>3371</v>
      </c>
      <c r="I4618" s="12" t="s">
        <v>385</v>
      </c>
      <c r="J4618" s="22">
        <f>+Tabla1[[#This Row],[FECHA ENTRADA]]</f>
        <v>45793</v>
      </c>
      <c r="K4618" s="22">
        <v>46053</v>
      </c>
      <c r="L4618" s="42">
        <f>_xlfn.DAYS(Tabla1[[#This Row],[FECHA FIN ]],Tabla1[[#This Row],[FECHA INICIO]])</f>
        <v>260</v>
      </c>
      <c r="M4618" s="12"/>
      <c r="N4618" s="12">
        <v>455</v>
      </c>
      <c r="O4618" s="28">
        <f>(Tabla1[[#This Row],[COSTO FIJO ]]/30)*Tabla1[[#This Row],[TOTAL DIAS PROYECTO]]+(Tabla1[[#This Row],[COSTO TEMPORAL]])</f>
        <v>3943.333333333333</v>
      </c>
      <c r="P4618" s="12"/>
      <c r="Q4618" s="12">
        <f>+(Tabla1[[#This Row],[COSTO COCHE]]/30)*Tabla1[[#This Row],[TOTAL DIAS PROYECTO]]</f>
        <v>0</v>
      </c>
      <c r="R4618" s="12">
        <f>+Tabla1[[#This Row],[COSTO TOTAL ALOJAMIENTO]]+Tabla1[[#This Row],[COSTO TOTAL COCHE]]</f>
        <v>3943.333333333333</v>
      </c>
      <c r="S4618" s="2" t="s">
        <v>3706</v>
      </c>
      <c r="T4618" s="2" t="s">
        <v>35</v>
      </c>
      <c r="U4618" s="14">
        <v>45793</v>
      </c>
      <c r="V4618" s="43"/>
      <c r="W4618" s="26">
        <v>500</v>
      </c>
      <c r="X4618" s="2">
        <v>1</v>
      </c>
      <c r="Y4618" s="67"/>
      <c r="Z4618" s="2" t="s">
        <v>36</v>
      </c>
      <c r="AA4618" s="13" t="s">
        <v>10323</v>
      </c>
      <c r="AB4618" s="13" t="s">
        <v>10324</v>
      </c>
    </row>
    <row r="4619" spans="1:28" ht="15" customHeight="1">
      <c r="A4619" s="2" t="s">
        <v>9810</v>
      </c>
      <c r="B4619" s="2" t="s">
        <v>711</v>
      </c>
      <c r="C4619" s="31" t="s">
        <v>4854</v>
      </c>
      <c r="D4619" s="2" t="s">
        <v>99</v>
      </c>
      <c r="E4619" s="2" t="s">
        <v>626</v>
      </c>
      <c r="F4619" s="11"/>
      <c r="G4619" s="49"/>
      <c r="H4619" s="2" t="s">
        <v>4855</v>
      </c>
      <c r="I4619" s="12" t="s">
        <v>570</v>
      </c>
      <c r="J4619" s="22">
        <f>+Tabla1[[#This Row],[FECHA ENTRADA]]</f>
        <v>45888</v>
      </c>
      <c r="K4619" s="22">
        <v>46053</v>
      </c>
      <c r="L4619" s="23">
        <f>_xlfn.DAYS(Tabla1[[#This Row],[FECHA FIN ]],Tabla1[[#This Row],[FECHA INICIO]])</f>
        <v>165</v>
      </c>
      <c r="M4619" s="12"/>
      <c r="N4619" s="28">
        <v>300</v>
      </c>
      <c r="O4619" s="24">
        <f>(Tabla1[[#This Row],[COSTO FIJO ]]/30)*Tabla1[[#This Row],[TOTAL DIAS PROYECTO]]+(Tabla1[[#This Row],[COSTO TEMPORAL]])</f>
        <v>1650</v>
      </c>
      <c r="P4619" s="12"/>
      <c r="Q4619" s="12">
        <f>+(Tabla1[[#This Row],[COSTO COCHE]]/30)*Tabla1[[#This Row],[TOTAL DIAS PROYECTO]]</f>
        <v>0</v>
      </c>
      <c r="R4619" s="12">
        <f>+Tabla1[[#This Row],[COSTO TOTAL ALOJAMIENTO]]+Tabla1[[#This Row],[COSTO TOTAL COCHE]]</f>
        <v>1650</v>
      </c>
      <c r="S4619" s="2"/>
      <c r="T4619" s="14" t="s">
        <v>58</v>
      </c>
      <c r="U4619" s="14">
        <v>45888</v>
      </c>
      <c r="V4619" s="25"/>
      <c r="W4619" s="12"/>
      <c r="X4619" s="2"/>
      <c r="Y4619" s="136" t="s">
        <v>6693</v>
      </c>
      <c r="Z4619" s="2" t="s">
        <v>36</v>
      </c>
      <c r="AA4619" s="13" t="s">
        <v>10385</v>
      </c>
      <c r="AB4619" s="13" t="s">
        <v>10386</v>
      </c>
    </row>
    <row r="4620" spans="1:28" ht="15" customHeight="1">
      <c r="A4620" s="2" t="s">
        <v>9838</v>
      </c>
      <c r="B4620" s="2" t="s">
        <v>606</v>
      </c>
      <c r="C4620" s="11" t="s">
        <v>4975</v>
      </c>
      <c r="D4620" s="2" t="s">
        <v>30</v>
      </c>
      <c r="E4620" s="2" t="s">
        <v>55</v>
      </c>
      <c r="F4620" s="11" t="s">
        <v>6694</v>
      </c>
      <c r="G4620" s="291" t="s">
        <v>106</v>
      </c>
      <c r="H4620" s="2" t="s">
        <v>5930</v>
      </c>
      <c r="I4620" s="10" t="s">
        <v>3364</v>
      </c>
      <c r="J4620" s="22">
        <f>+Tabla1[[#This Row],[FECHA ENTRADA]]</f>
        <v>45964</v>
      </c>
      <c r="K4620" s="22">
        <v>46053</v>
      </c>
      <c r="L4620" s="23">
        <f>_xlfn.DAYS(Tabla1[[#This Row],[FECHA FIN ]],Tabla1[[#This Row],[FECHA INICIO]])</f>
        <v>89</v>
      </c>
      <c r="M4620" s="12"/>
      <c r="N4620" s="24">
        <v>750</v>
      </c>
      <c r="O4620" s="24">
        <f>(Tabla1[[#This Row],[COSTO FIJO ]]/30)*Tabla1[[#This Row],[TOTAL DIAS PROYECTO]]+(Tabla1[[#This Row],[COSTO TEMPORAL]])</f>
        <v>2225</v>
      </c>
      <c r="P4620" s="12"/>
      <c r="Q4620" s="12">
        <f>+(Tabla1[[#This Row],[COSTO COCHE]]/30)*Tabla1[[#This Row],[TOTAL DIAS PROYECTO]]</f>
        <v>0</v>
      </c>
      <c r="R4620" s="12">
        <f>+Tabla1[[#This Row],[COSTO TOTAL ALOJAMIENTO]]+Tabla1[[#This Row],[COSTO TOTAL COCHE]]</f>
        <v>2225</v>
      </c>
      <c r="S4620" s="2"/>
      <c r="T4620" s="14" t="s">
        <v>35</v>
      </c>
      <c r="U4620" s="14">
        <v>45964</v>
      </c>
      <c r="V4620" s="25"/>
      <c r="W4620" s="71"/>
      <c r="X4620" s="2">
        <v>1</v>
      </c>
      <c r="Y4620" s="11" t="s">
        <v>6695</v>
      </c>
      <c r="Z4620" s="2" t="s">
        <v>36</v>
      </c>
      <c r="AA4620" s="13" t="s">
        <v>10327</v>
      </c>
      <c r="AB4620" s="13" t="s">
        <v>10328</v>
      </c>
    </row>
    <row r="4621" spans="1:28" ht="15" customHeight="1">
      <c r="A4621" s="2" t="s">
        <v>10151</v>
      </c>
      <c r="B4621" s="2" t="s">
        <v>606</v>
      </c>
      <c r="C4621" s="11" t="s">
        <v>6696</v>
      </c>
      <c r="D4621" s="2" t="s">
        <v>30</v>
      </c>
      <c r="E4621" s="2" t="s">
        <v>31</v>
      </c>
      <c r="F4621" s="11" t="s">
        <v>5421</v>
      </c>
      <c r="G4621" s="70" t="s">
        <v>5422</v>
      </c>
      <c r="H4621" s="2" t="s">
        <v>6697</v>
      </c>
      <c r="I4621" s="158" t="s">
        <v>2062</v>
      </c>
      <c r="J4621" s="22">
        <f>+Tabla1[[#This Row],[FECHA ENTRADA]]</f>
        <v>46033</v>
      </c>
      <c r="K4621" s="22">
        <v>46053</v>
      </c>
      <c r="L4621" s="23">
        <f>_xlfn.DAYS(Tabla1[[#This Row],[FECHA FIN ]],Tabla1[[#This Row],[FECHA INICIO]])</f>
        <v>20</v>
      </c>
      <c r="M4621" s="12"/>
      <c r="N4621" s="12">
        <v>325</v>
      </c>
      <c r="O4621" s="24">
        <f>(Tabla1[[#This Row],[COSTO FIJO ]]/30)*Tabla1[[#This Row],[TOTAL DIAS PROYECTO]]+(Tabla1[[#This Row],[COSTO TEMPORAL]])</f>
        <v>216.66666666666669</v>
      </c>
      <c r="P4621" s="12"/>
      <c r="Q4621" s="12">
        <f>+(Tabla1[[#This Row],[COSTO COCHE]]/30)*Tabla1[[#This Row],[TOTAL DIAS PROYECTO]]</f>
        <v>0</v>
      </c>
      <c r="R4621" s="12">
        <f>+Tabla1[[#This Row],[COSTO TOTAL ALOJAMIENTO]]+Tabla1[[#This Row],[COSTO TOTAL COCHE]]</f>
        <v>216.66666666666669</v>
      </c>
      <c r="S4621" s="2"/>
      <c r="T4621" s="14" t="s">
        <v>35</v>
      </c>
      <c r="U4621" s="14">
        <v>46033</v>
      </c>
      <c r="V4621" s="79"/>
      <c r="W4621" s="12"/>
      <c r="X4621" s="2">
        <v>1</v>
      </c>
      <c r="Y4621" s="11" t="s">
        <v>6698</v>
      </c>
      <c r="Z4621" s="2" t="s">
        <v>36</v>
      </c>
      <c r="AA4621" s="13" t="s">
        <v>10323</v>
      </c>
      <c r="AB4621" s="13" t="s">
        <v>10324</v>
      </c>
    </row>
    <row r="4622" spans="1:28" ht="15" customHeight="1">
      <c r="A4622" s="2" t="s">
        <v>9507</v>
      </c>
      <c r="B4622" s="2" t="s">
        <v>28</v>
      </c>
      <c r="C4622" s="69" t="s">
        <v>3457</v>
      </c>
      <c r="D4622" s="2" t="s">
        <v>30</v>
      </c>
      <c r="E4622" s="2" t="s">
        <v>626</v>
      </c>
      <c r="F4622" s="11" t="s">
        <v>1964</v>
      </c>
      <c r="G4622" s="285" t="s">
        <v>1409</v>
      </c>
      <c r="H4622" s="2" t="s">
        <v>3458</v>
      </c>
      <c r="I4622" s="158" t="s">
        <v>570</v>
      </c>
      <c r="J4622" s="22">
        <f>+Tabla1[[#This Row],[FECHA ENTRADA]]</f>
        <v>45802</v>
      </c>
      <c r="K4622" s="22">
        <v>46053</v>
      </c>
      <c r="L4622" s="23">
        <f>_xlfn.DAYS(Tabla1[[#This Row],[FECHA FIN ]],Tabla1[[#This Row],[FECHA INICIO]])</f>
        <v>251</v>
      </c>
      <c r="M4622" s="12"/>
      <c r="N4622" s="12">
        <v>400</v>
      </c>
      <c r="O4622" s="24">
        <f>(Tabla1[[#This Row],[COSTO FIJO ]]/30)*Tabla1[[#This Row],[TOTAL DIAS PROYECTO]]+(Tabla1[[#This Row],[COSTO TEMPORAL]])</f>
        <v>3346.666666666667</v>
      </c>
      <c r="P4622" s="12"/>
      <c r="Q4622" s="12">
        <f>+(Tabla1[[#This Row],[COSTO COCHE]]/30)*Tabla1[[#This Row],[TOTAL DIAS PROYECTO]]</f>
        <v>0</v>
      </c>
      <c r="R4622" s="12">
        <f>+Tabla1[[#This Row],[COSTO TOTAL ALOJAMIENTO]]+Tabla1[[#This Row],[COSTO TOTAL COCHE]]</f>
        <v>3346.666666666667</v>
      </c>
      <c r="S4622" s="2"/>
      <c r="T4622" s="2" t="s">
        <v>35</v>
      </c>
      <c r="U4622" s="14">
        <v>45802</v>
      </c>
      <c r="V4622" s="25"/>
      <c r="W4622" s="26">
        <v>500</v>
      </c>
      <c r="X4622" s="2">
        <v>5</v>
      </c>
      <c r="Y4622" s="11" t="s">
        <v>6699</v>
      </c>
      <c r="Z4622" s="2" t="s">
        <v>36</v>
      </c>
      <c r="AA4622" s="13" t="s">
        <v>10385</v>
      </c>
      <c r="AB4622" s="13" t="s">
        <v>10386</v>
      </c>
    </row>
    <row r="4623" spans="1:28" ht="15" customHeight="1">
      <c r="A4623" s="2" t="s">
        <v>9782</v>
      </c>
      <c r="B4623" s="2" t="s">
        <v>711</v>
      </c>
      <c r="C4623" s="69" t="s">
        <v>4725</v>
      </c>
      <c r="D4623" s="2" t="s">
        <v>99</v>
      </c>
      <c r="E4623" s="2" t="s">
        <v>626</v>
      </c>
      <c r="F4623" s="11" t="s">
        <v>1408</v>
      </c>
      <c r="G4623" s="285" t="s">
        <v>1409</v>
      </c>
      <c r="H4623" s="2" t="s">
        <v>4728</v>
      </c>
      <c r="I4623" s="12" t="s">
        <v>570</v>
      </c>
      <c r="J4623" s="22">
        <f>+Tabla1[[#This Row],[FECHA ENTRADA]]</f>
        <v>45876</v>
      </c>
      <c r="K4623" s="22">
        <v>46053</v>
      </c>
      <c r="L4623" s="23">
        <f>_xlfn.DAYS(Tabla1[[#This Row],[FECHA FIN ]],Tabla1[[#This Row],[FECHA INICIO]])</f>
        <v>177</v>
      </c>
      <c r="M4623" s="12"/>
      <c r="N4623" s="24">
        <v>450</v>
      </c>
      <c r="O4623" s="24">
        <f>(Tabla1[[#This Row],[COSTO FIJO ]]/30)*Tabla1[[#This Row],[TOTAL DIAS PROYECTO]]+(Tabla1[[#This Row],[COSTO TEMPORAL]])</f>
        <v>2655</v>
      </c>
      <c r="P4623" s="12"/>
      <c r="Q4623" s="12">
        <f>+(Tabla1[[#This Row],[COSTO COCHE]]/30)*Tabla1[[#This Row],[TOTAL DIAS PROYECTO]]</f>
        <v>0</v>
      </c>
      <c r="R4623" s="12">
        <f>+Tabla1[[#This Row],[COSTO TOTAL ALOJAMIENTO]]+Tabla1[[#This Row],[COSTO TOTAL COCHE]]</f>
        <v>2655</v>
      </c>
      <c r="S4623" s="2"/>
      <c r="T4623" s="14" t="s">
        <v>35</v>
      </c>
      <c r="U4623" s="14">
        <v>45876</v>
      </c>
      <c r="V4623" s="25"/>
      <c r="W4623" s="12">
        <v>500</v>
      </c>
      <c r="X4623" s="2">
        <v>5</v>
      </c>
      <c r="Y4623" s="11" t="s">
        <v>6699</v>
      </c>
      <c r="Z4623" s="2" t="s">
        <v>36</v>
      </c>
      <c r="AA4623" s="13" t="s">
        <v>10385</v>
      </c>
      <c r="AB4623" s="13" t="s">
        <v>10386</v>
      </c>
    </row>
    <row r="4624" spans="1:28" ht="15" customHeight="1">
      <c r="A4624" s="2" t="s">
        <v>9770</v>
      </c>
      <c r="B4624" s="2" t="s">
        <v>711</v>
      </c>
      <c r="C4624" s="11" t="s">
        <v>4661</v>
      </c>
      <c r="D4624" s="2" t="s">
        <v>99</v>
      </c>
      <c r="E4624" s="2" t="s">
        <v>626</v>
      </c>
      <c r="F4624" s="11" t="s">
        <v>1408</v>
      </c>
      <c r="G4624" s="285" t="s">
        <v>1409</v>
      </c>
      <c r="H4624" s="2" t="s">
        <v>4728</v>
      </c>
      <c r="I4624" s="12" t="s">
        <v>570</v>
      </c>
      <c r="J4624" s="22">
        <f>+Tabla1[[#This Row],[FECHA ENTRADA]]</f>
        <v>45876</v>
      </c>
      <c r="K4624" s="22">
        <v>46053</v>
      </c>
      <c r="L4624" s="23">
        <f>_xlfn.DAYS(Tabla1[[#This Row],[FECHA FIN ]],Tabla1[[#This Row],[FECHA INICIO]])</f>
        <v>177</v>
      </c>
      <c r="M4624" s="12"/>
      <c r="N4624" s="24">
        <v>450</v>
      </c>
      <c r="O4624" s="24">
        <f>(Tabla1[[#This Row],[COSTO FIJO ]]/30)*Tabla1[[#This Row],[TOTAL DIAS PROYECTO]]+(Tabla1[[#This Row],[COSTO TEMPORAL]])</f>
        <v>2655</v>
      </c>
      <c r="P4624" s="12"/>
      <c r="Q4624" s="12">
        <f>+(Tabla1[[#This Row],[COSTO COCHE]]/30)*Tabla1[[#This Row],[TOTAL DIAS PROYECTO]]</f>
        <v>0</v>
      </c>
      <c r="R4624" s="12">
        <f>+Tabla1[[#This Row],[COSTO TOTAL ALOJAMIENTO]]+Tabla1[[#This Row],[COSTO TOTAL COCHE]]</f>
        <v>2655</v>
      </c>
      <c r="S4624" s="2"/>
      <c r="T4624" s="14" t="s">
        <v>35</v>
      </c>
      <c r="U4624" s="14">
        <v>45876</v>
      </c>
      <c r="V4624" s="25"/>
      <c r="W4624" s="12"/>
      <c r="X4624" s="2">
        <v>5</v>
      </c>
      <c r="Y4624" s="11" t="s">
        <v>6699</v>
      </c>
      <c r="Z4624" s="2" t="s">
        <v>36</v>
      </c>
      <c r="AA4624" s="13" t="s">
        <v>10385</v>
      </c>
      <c r="AB4624" s="13" t="s">
        <v>10386</v>
      </c>
    </row>
    <row r="4625" spans="1:28" ht="15" customHeight="1">
      <c r="A4625" s="2" t="s">
        <v>8691</v>
      </c>
      <c r="B4625" s="2" t="s">
        <v>711</v>
      </c>
      <c r="C4625" s="11" t="s">
        <v>307</v>
      </c>
      <c r="D4625" s="2" t="s">
        <v>99</v>
      </c>
      <c r="E4625" s="2" t="s">
        <v>626</v>
      </c>
      <c r="F4625" s="11" t="s">
        <v>1408</v>
      </c>
      <c r="G4625" s="285" t="s">
        <v>1409</v>
      </c>
      <c r="H4625" s="2" t="s">
        <v>4731</v>
      </c>
      <c r="I4625" s="12" t="s">
        <v>570</v>
      </c>
      <c r="J4625" s="41">
        <f>+Tabla1[[#This Row],[FECHA ENTRADA]]</f>
        <v>45888</v>
      </c>
      <c r="K4625" s="22">
        <v>46053</v>
      </c>
      <c r="L4625" s="42">
        <f>_xlfn.DAYS(Tabla1[[#This Row],[FECHA FIN ]],Tabla1[[#This Row],[FECHA INICIO]])</f>
        <v>165</v>
      </c>
      <c r="M4625" s="12"/>
      <c r="N4625" s="28">
        <v>450</v>
      </c>
      <c r="O4625" s="28">
        <f>(Tabla1[[#This Row],[COSTO FIJO ]]/30)*Tabla1[[#This Row],[TOTAL DIAS PROYECTO]]+(Tabla1[[#This Row],[COSTO TEMPORAL]])</f>
        <v>2475</v>
      </c>
      <c r="P4625" s="12"/>
      <c r="Q4625" s="12">
        <f>+(Tabla1[[#This Row],[COSTO COCHE]]/30)*Tabla1[[#This Row],[TOTAL DIAS PROYECTO]]</f>
        <v>0</v>
      </c>
      <c r="R4625" s="12">
        <f>+Tabla1[[#This Row],[COSTO TOTAL ALOJAMIENTO]]+Tabla1[[#This Row],[COSTO TOTAL COCHE]]</f>
        <v>2475</v>
      </c>
      <c r="S4625" s="2"/>
      <c r="T4625" s="14" t="s">
        <v>35</v>
      </c>
      <c r="U4625" s="14">
        <v>45888</v>
      </c>
      <c r="V4625" s="43"/>
      <c r="W4625" s="12"/>
      <c r="X4625" s="2">
        <v>5</v>
      </c>
      <c r="Y4625" s="11" t="s">
        <v>6699</v>
      </c>
      <c r="Z4625" s="2" t="s">
        <v>36</v>
      </c>
      <c r="AA4625" s="13" t="s">
        <v>10385</v>
      </c>
      <c r="AB4625" s="13" t="s">
        <v>10386</v>
      </c>
    </row>
    <row r="4626" spans="1:28" ht="15" customHeight="1">
      <c r="A4626" s="2" t="s">
        <v>9812</v>
      </c>
      <c r="B4626" s="2" t="s">
        <v>711</v>
      </c>
      <c r="C4626" s="11" t="s">
        <v>4866</v>
      </c>
      <c r="D4626" s="2" t="s">
        <v>99</v>
      </c>
      <c r="E4626" s="2" t="s">
        <v>626</v>
      </c>
      <c r="F4626" s="11" t="s">
        <v>1964</v>
      </c>
      <c r="G4626" s="285" t="s">
        <v>1409</v>
      </c>
      <c r="H4626" s="2" t="s">
        <v>4731</v>
      </c>
      <c r="I4626" s="12" t="s">
        <v>570</v>
      </c>
      <c r="J4626" s="41">
        <f>+Tabla1[[#This Row],[FECHA ENTRADA]]</f>
        <v>45888</v>
      </c>
      <c r="K4626" s="22">
        <v>46053</v>
      </c>
      <c r="L4626" s="42">
        <f>_xlfn.DAYS(Tabla1[[#This Row],[FECHA FIN ]],Tabla1[[#This Row],[FECHA INICIO]])</f>
        <v>165</v>
      </c>
      <c r="M4626" s="12"/>
      <c r="N4626" s="28">
        <v>400</v>
      </c>
      <c r="O4626" s="28">
        <f>(Tabla1[[#This Row],[COSTO FIJO ]]/30)*Tabla1[[#This Row],[TOTAL DIAS PROYECTO]]+(Tabla1[[#This Row],[COSTO TEMPORAL]])</f>
        <v>2200</v>
      </c>
      <c r="P4626" s="12"/>
      <c r="Q4626" s="12">
        <f>+(Tabla1[[#This Row],[COSTO COCHE]]/30)*Tabla1[[#This Row],[TOTAL DIAS PROYECTO]]</f>
        <v>0</v>
      </c>
      <c r="R4626" s="12">
        <f>+Tabla1[[#This Row],[COSTO TOTAL ALOJAMIENTO]]+Tabla1[[#This Row],[COSTO TOTAL COCHE]]</f>
        <v>2200</v>
      </c>
      <c r="S4626" s="2"/>
      <c r="T4626" s="14" t="s">
        <v>35</v>
      </c>
      <c r="U4626" s="14">
        <v>45888</v>
      </c>
      <c r="V4626" s="43"/>
      <c r="W4626" s="12"/>
      <c r="X4626" s="2">
        <v>5</v>
      </c>
      <c r="Y4626" s="11" t="s">
        <v>6699</v>
      </c>
      <c r="Z4626" s="2" t="s">
        <v>36</v>
      </c>
      <c r="AA4626" s="13" t="s">
        <v>10385</v>
      </c>
      <c r="AB4626" s="13" t="s">
        <v>10386</v>
      </c>
    </row>
    <row r="4627" spans="1:28" ht="15" customHeight="1">
      <c r="A4627" s="2" t="s">
        <v>9890</v>
      </c>
      <c r="B4627" s="2" t="s">
        <v>711</v>
      </c>
      <c r="C4627" s="11" t="s">
        <v>5231</v>
      </c>
      <c r="D4627" s="2" t="s">
        <v>99</v>
      </c>
      <c r="E4627" s="2" t="s">
        <v>626</v>
      </c>
      <c r="F4627" s="11" t="s">
        <v>1964</v>
      </c>
      <c r="G4627" s="285" t="s">
        <v>1409</v>
      </c>
      <c r="H4627" s="2" t="s">
        <v>4855</v>
      </c>
      <c r="I4627" s="158" t="s">
        <v>570</v>
      </c>
      <c r="J4627" s="22">
        <f>+Tabla1[[#This Row],[FECHA ENTRADA]]</f>
        <v>45917</v>
      </c>
      <c r="K4627" s="22">
        <v>46053</v>
      </c>
      <c r="L4627" s="23">
        <f>_xlfn.DAYS(Tabla1[[#This Row],[FECHA FIN ]],Tabla1[[#This Row],[FECHA INICIO]])</f>
        <v>136</v>
      </c>
      <c r="M4627" s="12"/>
      <c r="N4627" s="20">
        <v>400</v>
      </c>
      <c r="O4627" s="24">
        <f>(Tabla1[[#This Row],[COSTO FIJO ]]/30)*Tabla1[[#This Row],[TOTAL DIAS PROYECTO]]+(Tabla1[[#This Row],[COSTO TEMPORAL]])</f>
        <v>1813.3333333333335</v>
      </c>
      <c r="P4627" s="12"/>
      <c r="Q4627" s="12">
        <f>+(Tabla1[[#This Row],[COSTO COCHE]]/30)*Tabla1[[#This Row],[TOTAL DIAS PROYECTO]]</f>
        <v>0</v>
      </c>
      <c r="R4627" s="12">
        <f>+Tabla1[[#This Row],[COSTO TOTAL ALOJAMIENTO]]+Tabla1[[#This Row],[COSTO TOTAL COCHE]]</f>
        <v>1813.3333333333335</v>
      </c>
      <c r="S4627" s="2"/>
      <c r="T4627" s="14" t="s">
        <v>35</v>
      </c>
      <c r="U4627" s="14">
        <v>45917</v>
      </c>
      <c r="V4627" s="79"/>
      <c r="W4627" s="71"/>
      <c r="X4627" s="2">
        <v>5</v>
      </c>
      <c r="Y4627" s="11" t="s">
        <v>6699</v>
      </c>
      <c r="Z4627" s="2" t="s">
        <v>36</v>
      </c>
      <c r="AA4627" s="13" t="s">
        <v>10385</v>
      </c>
      <c r="AB4627" s="13" t="s">
        <v>10386</v>
      </c>
    </row>
    <row r="4628" spans="1:28" ht="15" customHeight="1">
      <c r="A4628" s="2" t="s">
        <v>9130</v>
      </c>
      <c r="B4628" s="2" t="s">
        <v>711</v>
      </c>
      <c r="C4628" s="104" t="s">
        <v>2126</v>
      </c>
      <c r="D4628" s="2" t="s">
        <v>30</v>
      </c>
      <c r="E4628" s="2" t="s">
        <v>626</v>
      </c>
      <c r="F4628" s="11" t="s">
        <v>1964</v>
      </c>
      <c r="G4628" s="285" t="s">
        <v>1409</v>
      </c>
      <c r="H4628" s="2" t="s">
        <v>6700</v>
      </c>
      <c r="I4628" s="12" t="s">
        <v>570</v>
      </c>
      <c r="J4628" s="22">
        <f>+Tabla1[[#This Row],[FECHA ENTRADA]]</f>
        <v>45978</v>
      </c>
      <c r="K4628" s="22">
        <v>46053</v>
      </c>
      <c r="L4628" s="23">
        <f>_xlfn.DAYS(Tabla1[[#This Row],[FECHA FIN ]],Tabla1[[#This Row],[FECHA INICIO]])</f>
        <v>75</v>
      </c>
      <c r="M4628" s="12"/>
      <c r="N4628" s="24">
        <v>400</v>
      </c>
      <c r="O4628" s="24">
        <f>(Tabla1[[#This Row],[COSTO FIJO ]]/30)*Tabla1[[#This Row],[TOTAL DIAS PROYECTO]]+(Tabla1[[#This Row],[COSTO TEMPORAL]])</f>
        <v>1000</v>
      </c>
      <c r="P4628" s="12"/>
      <c r="Q4628" s="12">
        <f>+(Tabla1[[#This Row],[COSTO COCHE]]/30)*Tabla1[[#This Row],[TOTAL DIAS PROYECTO]]</f>
        <v>0</v>
      </c>
      <c r="R4628" s="12">
        <f>+Tabla1[[#This Row],[COSTO TOTAL ALOJAMIENTO]]+Tabla1[[#This Row],[COSTO TOTAL COCHE]]</f>
        <v>1000</v>
      </c>
      <c r="S4628" s="2"/>
      <c r="T4628" s="14" t="s">
        <v>35</v>
      </c>
      <c r="U4628" s="14">
        <v>45978</v>
      </c>
      <c r="V4628" s="25"/>
      <c r="W4628" s="71"/>
      <c r="X4628" s="2">
        <v>5</v>
      </c>
      <c r="Y4628" s="11" t="s">
        <v>6699</v>
      </c>
      <c r="Z4628" s="2" t="s">
        <v>36</v>
      </c>
      <c r="AA4628" s="13" t="s">
        <v>10385</v>
      </c>
      <c r="AB4628" s="13" t="s">
        <v>10386</v>
      </c>
    </row>
    <row r="4629" spans="1:28" ht="15" customHeight="1">
      <c r="A4629" s="2" t="s">
        <v>9336</v>
      </c>
      <c r="B4629" s="2" t="s">
        <v>711</v>
      </c>
      <c r="C4629" s="11" t="s">
        <v>2850</v>
      </c>
      <c r="D4629" s="2" t="s">
        <v>99</v>
      </c>
      <c r="E4629" s="2" t="s">
        <v>626</v>
      </c>
      <c r="F4629" s="11" t="s">
        <v>1964</v>
      </c>
      <c r="G4629" s="285" t="s">
        <v>1409</v>
      </c>
      <c r="H4629" s="2" t="s">
        <v>6279</v>
      </c>
      <c r="I4629" s="12" t="s">
        <v>570</v>
      </c>
      <c r="J4629" s="22">
        <f>+Tabla1[[#This Row],[FECHA ENTRADA]]</f>
        <v>46032</v>
      </c>
      <c r="K4629" s="22">
        <v>46053</v>
      </c>
      <c r="L4629" s="23">
        <f>_xlfn.DAYS(Tabla1[[#This Row],[FECHA FIN ]],Tabla1[[#This Row],[FECHA INICIO]])</f>
        <v>21</v>
      </c>
      <c r="M4629" s="12"/>
      <c r="N4629" s="20">
        <v>400</v>
      </c>
      <c r="O4629" s="24">
        <f>(Tabla1[[#This Row],[COSTO FIJO ]]/30)*Tabla1[[#This Row],[TOTAL DIAS PROYECTO]]+(Tabla1[[#This Row],[COSTO TEMPORAL]])</f>
        <v>280</v>
      </c>
      <c r="P4629" s="12"/>
      <c r="Q4629" s="12">
        <f>+(Tabla1[[#This Row],[COSTO COCHE]]/30)*Tabla1[[#This Row],[TOTAL DIAS PROYECTO]]</f>
        <v>0</v>
      </c>
      <c r="R4629" s="12">
        <f>+Tabla1[[#This Row],[COSTO TOTAL ALOJAMIENTO]]+Tabla1[[#This Row],[COSTO TOTAL COCHE]]</f>
        <v>280</v>
      </c>
      <c r="S4629" s="2"/>
      <c r="T4629" s="14" t="s">
        <v>35</v>
      </c>
      <c r="U4629" s="14">
        <v>46032</v>
      </c>
      <c r="V4629" s="79"/>
      <c r="W4629" s="12"/>
      <c r="X4629" s="2">
        <v>5</v>
      </c>
      <c r="Y4629" s="11" t="s">
        <v>6699</v>
      </c>
      <c r="Z4629" s="2" t="s">
        <v>36</v>
      </c>
      <c r="AA4629" s="13" t="s">
        <v>10385</v>
      </c>
      <c r="AB4629" s="13" t="s">
        <v>10386</v>
      </c>
    </row>
    <row r="4630" spans="1:28" ht="15" customHeight="1">
      <c r="A4630" s="2" t="s">
        <v>10152</v>
      </c>
      <c r="B4630" s="2" t="s">
        <v>978</v>
      </c>
      <c r="C4630" s="11" t="s">
        <v>6701</v>
      </c>
      <c r="D4630" s="2" t="s">
        <v>99</v>
      </c>
      <c r="E4630" s="2" t="s">
        <v>109</v>
      </c>
      <c r="F4630" s="11" t="s">
        <v>1980</v>
      </c>
      <c r="G4630" s="68" t="s">
        <v>1981</v>
      </c>
      <c r="H4630" s="2" t="s">
        <v>3998</v>
      </c>
      <c r="I4630" s="12" t="s">
        <v>4420</v>
      </c>
      <c r="J4630" s="41">
        <f>+Tabla1[[#This Row],[FECHA ENTRADA]]</f>
        <v>45841</v>
      </c>
      <c r="K4630" s="22">
        <f ca="1">TODAY()</f>
        <v>46260</v>
      </c>
      <c r="L4630" s="42">
        <f ca="1">_xlfn.DAYS(Tabla1[[#This Row],[FECHA FIN ]],Tabla1[[#This Row],[FECHA INICIO]])</f>
        <v>419</v>
      </c>
      <c r="M4630" s="12"/>
      <c r="N4630" s="28">
        <v>375</v>
      </c>
      <c r="O4630" s="28">
        <f ca="1">(Tabla1[[#This Row],[COSTO FIJO ]]/30)*Tabla1[[#This Row],[TOTAL DIAS PROYECTO]]+(Tabla1[[#This Row],[COSTO TEMPORAL]])</f>
        <v>5237.5</v>
      </c>
      <c r="P4630" s="12"/>
      <c r="Q4630" s="12">
        <f ca="1">+(Tabla1[[#This Row],[COSTO COCHE]]/30)*Tabla1[[#This Row],[TOTAL DIAS PROYECTO]]</f>
        <v>0</v>
      </c>
      <c r="R4630" s="12">
        <f ca="1">+Tabla1[[#This Row],[COSTO TOTAL ALOJAMIENTO]]+Tabla1[[#This Row],[COSTO TOTAL COCHE]]</f>
        <v>5237.5</v>
      </c>
      <c r="S4630" s="2"/>
      <c r="T4630" s="14" t="s">
        <v>35</v>
      </c>
      <c r="U4630" s="14">
        <v>45841</v>
      </c>
      <c r="V4630" s="43">
        <v>45872</v>
      </c>
      <c r="W4630" s="12"/>
      <c r="X4630" s="2">
        <v>1</v>
      </c>
      <c r="Y4630" s="240" t="s">
        <v>4706</v>
      </c>
      <c r="Z4630" s="2" t="s">
        <v>702</v>
      </c>
      <c r="AA4630" s="13">
        <v>0.62217999999999996</v>
      </c>
      <c r="AB4630" s="13" t="s">
        <v>10339</v>
      </c>
    </row>
    <row r="4631" spans="1:28" ht="15" customHeight="1">
      <c r="A4631" s="2" t="s">
        <v>9774</v>
      </c>
      <c r="B4631" s="2" t="s">
        <v>606</v>
      </c>
      <c r="C4631" s="31" t="s">
        <v>4676</v>
      </c>
      <c r="D4631" s="2" t="s">
        <v>30</v>
      </c>
      <c r="E4631" s="2" t="s">
        <v>31</v>
      </c>
      <c r="F4631" s="11" t="s">
        <v>5761</v>
      </c>
      <c r="G4631" s="245" t="s">
        <v>5762</v>
      </c>
      <c r="H4631" s="2" t="s">
        <v>6133</v>
      </c>
      <c r="I4631" s="10" t="s">
        <v>3364</v>
      </c>
      <c r="J4631" s="22">
        <f>+Tabla1[[#This Row],[FECHA ENTRADA]]</f>
        <v>46013</v>
      </c>
      <c r="K4631" s="22">
        <v>46053</v>
      </c>
      <c r="L4631" s="23">
        <f>_xlfn.DAYS(Tabla1[[#This Row],[FECHA FIN ]],Tabla1[[#This Row],[FECHA INICIO]])</f>
        <v>40</v>
      </c>
      <c r="M4631" s="12"/>
      <c r="N4631" s="20">
        <v>450</v>
      </c>
      <c r="O4631" s="24">
        <f>(Tabla1[[#This Row],[COSTO FIJO ]]/30)*Tabla1[[#This Row],[TOTAL DIAS PROYECTO]]+(Tabla1[[#This Row],[COSTO TEMPORAL]])</f>
        <v>600</v>
      </c>
      <c r="P4631" s="12"/>
      <c r="Q4631" s="12">
        <f>+(Tabla1[[#This Row],[COSTO COCHE]]/30)*Tabla1[[#This Row],[TOTAL DIAS PROYECTO]]</f>
        <v>0</v>
      </c>
      <c r="R4631" s="12">
        <f>+Tabla1[[#This Row],[COSTO TOTAL ALOJAMIENTO]]+Tabla1[[#This Row],[COSTO TOTAL COCHE]]</f>
        <v>600</v>
      </c>
      <c r="S4631" s="2"/>
      <c r="T4631" s="14" t="s">
        <v>35</v>
      </c>
      <c r="U4631" s="14">
        <v>46013</v>
      </c>
      <c r="V4631" s="79"/>
      <c r="W4631" s="12"/>
      <c r="X4631" s="2">
        <v>30</v>
      </c>
      <c r="Y4631" s="11" t="s">
        <v>6702</v>
      </c>
      <c r="Z4631" s="2" t="s">
        <v>36</v>
      </c>
      <c r="AA4631" s="13" t="s">
        <v>10323</v>
      </c>
      <c r="AB4631" s="13" t="s">
        <v>10324</v>
      </c>
    </row>
    <row r="4632" spans="1:28" ht="15" customHeight="1">
      <c r="A4632" s="117" t="s">
        <v>9519</v>
      </c>
      <c r="B4632" s="117" t="s">
        <v>711</v>
      </c>
      <c r="C4632" s="118" t="s">
        <v>3513</v>
      </c>
      <c r="D4632" s="117" t="s">
        <v>30</v>
      </c>
      <c r="E4632" s="117" t="s">
        <v>626</v>
      </c>
      <c r="F4632" s="11" t="s">
        <v>2376</v>
      </c>
      <c r="G4632" s="197" t="s">
        <v>6278</v>
      </c>
      <c r="H4632" s="117" t="s">
        <v>5810</v>
      </c>
      <c r="I4632" s="119" t="s">
        <v>570</v>
      </c>
      <c r="J4632" s="121">
        <f>+Tabla1[[#This Row],[FECHA ENTRADA]]</f>
        <v>46041</v>
      </c>
      <c r="K4632" s="121">
        <v>46053</v>
      </c>
      <c r="L4632" s="129">
        <f>_xlfn.DAYS(Tabla1[[#This Row],[FECHA FIN ]],Tabla1[[#This Row],[FECHA INICIO]])</f>
        <v>12</v>
      </c>
      <c r="M4632" s="119"/>
      <c r="N4632" s="130"/>
      <c r="O4632" s="131">
        <f>(Tabla1[[#This Row],[COSTO FIJO ]]/30)*Tabla1[[#This Row],[TOTAL DIAS PROYECTO]]+(Tabla1[[#This Row],[COSTO TEMPORAL]])</f>
        <v>0</v>
      </c>
      <c r="P4632" s="119"/>
      <c r="Q4632" s="119">
        <f>+(Tabla1[[#This Row],[COSTO COCHE]]/30)*Tabla1[[#This Row],[TOTAL DIAS PROYECTO]]</f>
        <v>0</v>
      </c>
      <c r="R4632" s="119">
        <f>+Tabla1[[#This Row],[COSTO TOTAL ALOJAMIENTO]]+Tabla1[[#This Row],[COSTO TOTAL COCHE]]</f>
        <v>0</v>
      </c>
      <c r="S4632" s="117"/>
      <c r="T4632" s="124" t="s">
        <v>44</v>
      </c>
      <c r="U4632" s="124">
        <v>46041</v>
      </c>
      <c r="V4632" s="132">
        <v>46053</v>
      </c>
      <c r="W4632" s="119"/>
      <c r="X4632" s="117"/>
      <c r="Y4632" s="118" t="s">
        <v>6703</v>
      </c>
      <c r="Z4632" s="117" t="s">
        <v>36</v>
      </c>
      <c r="AA4632" s="127" t="s">
        <v>10385</v>
      </c>
      <c r="AB4632" s="127" t="s">
        <v>10386</v>
      </c>
    </row>
    <row r="4633" spans="1:28" ht="15" customHeight="1">
      <c r="A4633" s="117" t="s">
        <v>9884</v>
      </c>
      <c r="B4633" s="117" t="s">
        <v>711</v>
      </c>
      <c r="C4633" s="118" t="s">
        <v>5213</v>
      </c>
      <c r="D4633" s="117" t="s">
        <v>30</v>
      </c>
      <c r="E4633" s="117" t="s">
        <v>626</v>
      </c>
      <c r="F4633" s="11" t="s">
        <v>2376</v>
      </c>
      <c r="G4633" s="197" t="s">
        <v>6278</v>
      </c>
      <c r="H4633" s="117" t="s">
        <v>5810</v>
      </c>
      <c r="I4633" s="119" t="s">
        <v>570</v>
      </c>
      <c r="J4633" s="121">
        <f>+Tabla1[[#This Row],[FECHA ENTRADA]]</f>
        <v>46041</v>
      </c>
      <c r="K4633" s="121">
        <v>46053</v>
      </c>
      <c r="L4633" s="129">
        <f>_xlfn.DAYS(Tabla1[[#This Row],[FECHA FIN ]],Tabla1[[#This Row],[FECHA INICIO]])</f>
        <v>12</v>
      </c>
      <c r="M4633" s="119"/>
      <c r="N4633" s="130"/>
      <c r="O4633" s="131">
        <f>(Tabla1[[#This Row],[COSTO FIJO ]]/30)*Tabla1[[#This Row],[TOTAL DIAS PROYECTO]]+(Tabla1[[#This Row],[COSTO TEMPORAL]])</f>
        <v>0</v>
      </c>
      <c r="P4633" s="119"/>
      <c r="Q4633" s="119">
        <f>+(Tabla1[[#This Row],[COSTO COCHE]]/30)*Tabla1[[#This Row],[TOTAL DIAS PROYECTO]]</f>
        <v>0</v>
      </c>
      <c r="R4633" s="119">
        <f>+Tabla1[[#This Row],[COSTO TOTAL ALOJAMIENTO]]+Tabla1[[#This Row],[COSTO TOTAL COCHE]]</f>
        <v>0</v>
      </c>
      <c r="S4633" s="117"/>
      <c r="T4633" s="124" t="s">
        <v>44</v>
      </c>
      <c r="U4633" s="124">
        <v>46041</v>
      </c>
      <c r="V4633" s="132">
        <v>46053</v>
      </c>
      <c r="W4633" s="119"/>
      <c r="X4633" s="117"/>
      <c r="Y4633" s="118" t="s">
        <v>6703</v>
      </c>
      <c r="Z4633" s="117" t="s">
        <v>36</v>
      </c>
      <c r="AA4633" s="127" t="s">
        <v>10385</v>
      </c>
      <c r="AB4633" s="127" t="s">
        <v>10386</v>
      </c>
    </row>
    <row r="4634" spans="1:28" ht="15" customHeight="1">
      <c r="A4634" s="2" t="s">
        <v>9671</v>
      </c>
      <c r="B4634" s="2" t="s">
        <v>606</v>
      </c>
      <c r="C4634" s="31" t="s">
        <v>4166</v>
      </c>
      <c r="D4634" s="2" t="s">
        <v>30</v>
      </c>
      <c r="E4634" s="2" t="s">
        <v>4161</v>
      </c>
      <c r="F4634" s="11" t="s">
        <v>4391</v>
      </c>
      <c r="G4634" s="46" t="s">
        <v>4392</v>
      </c>
      <c r="H4634" s="2" t="s">
        <v>4164</v>
      </c>
      <c r="I4634" s="29" t="s">
        <v>4165</v>
      </c>
      <c r="J4634" s="41">
        <f>+Tabla1[[#This Row],[FECHA ENTRADA]]</f>
        <v>45839</v>
      </c>
      <c r="K4634" s="22">
        <v>46053</v>
      </c>
      <c r="L4634" s="42">
        <f>_xlfn.DAYS(Tabla1[[#This Row],[FECHA FIN ]],Tabla1[[#This Row],[FECHA INICIO]])</f>
        <v>214</v>
      </c>
      <c r="M4634" s="12"/>
      <c r="N4634" s="28">
        <v>300</v>
      </c>
      <c r="O4634" s="28">
        <f>(Tabla1[[#This Row],[COSTO FIJO ]]/30)*Tabla1[[#This Row],[TOTAL DIAS PROYECTO]]+(Tabla1[[#This Row],[COSTO TEMPORAL]])</f>
        <v>2140</v>
      </c>
      <c r="P4634" s="12"/>
      <c r="Q4634" s="12">
        <f>+(Tabla1[[#This Row],[COSTO COCHE]]/30)*Tabla1[[#This Row],[TOTAL DIAS PROYECTO]]</f>
        <v>0</v>
      </c>
      <c r="R4634" s="12">
        <f>+Tabla1[[#This Row],[COSTO TOTAL ALOJAMIENTO]]+Tabla1[[#This Row],[COSTO TOTAL COCHE]]</f>
        <v>2140</v>
      </c>
      <c r="S4634" s="2"/>
      <c r="T4634" s="14" t="s">
        <v>35</v>
      </c>
      <c r="U4634" s="14">
        <v>45839</v>
      </c>
      <c r="V4634" s="43"/>
      <c r="W4634" s="2"/>
      <c r="X4634" s="2"/>
      <c r="Y4634" s="11" t="s">
        <v>6704</v>
      </c>
      <c r="Z4634" s="2" t="s">
        <v>36</v>
      </c>
      <c r="AA4634" s="13" t="e">
        <v>#N/A</v>
      </c>
      <c r="AB4634" s="13" t="e">
        <v>#N/A</v>
      </c>
    </row>
    <row r="4635" spans="1:28" ht="15" customHeight="1">
      <c r="A4635" s="2" t="s">
        <v>8737</v>
      </c>
      <c r="B4635" s="2" t="s">
        <v>711</v>
      </c>
      <c r="C4635" s="31" t="s">
        <v>510</v>
      </c>
      <c r="D4635" s="2" t="s">
        <v>30</v>
      </c>
      <c r="E4635" s="2" t="s">
        <v>127</v>
      </c>
      <c r="F4635" s="11" t="s">
        <v>1106</v>
      </c>
      <c r="G4635" s="49"/>
      <c r="H4635" s="2" t="s">
        <v>6659</v>
      </c>
      <c r="I4635" s="12" t="s">
        <v>1392</v>
      </c>
      <c r="J4635" s="22">
        <f>+Tabla1[[#This Row],[FECHA ENTRADA]]</f>
        <v>46048</v>
      </c>
      <c r="K4635" s="22">
        <v>46053</v>
      </c>
      <c r="L4635" s="23">
        <f>_xlfn.DAYS(Tabla1[[#This Row],[FECHA FIN ]],Tabla1[[#This Row],[FECHA INICIO]])</f>
        <v>5</v>
      </c>
      <c r="M4635" s="12"/>
      <c r="N4635" s="24"/>
      <c r="O4635" s="24">
        <f>(Tabla1[[#This Row],[COSTO FIJO ]]/30)*Tabla1[[#This Row],[TOTAL DIAS PROYECTO]]+(Tabla1[[#This Row],[COSTO TEMPORAL]])</f>
        <v>0</v>
      </c>
      <c r="P4635" s="12"/>
      <c r="Q4635" s="12">
        <f>+(Tabla1[[#This Row],[COSTO COCHE]]/30)*Tabla1[[#This Row],[TOTAL DIAS PROYECTO]]</f>
        <v>0</v>
      </c>
      <c r="R4635" s="12">
        <f>+Tabla1[[#This Row],[COSTO TOTAL ALOJAMIENTO]]+Tabla1[[#This Row],[COSTO TOTAL COCHE]]</f>
        <v>0</v>
      </c>
      <c r="S4635" s="2"/>
      <c r="T4635" s="2" t="s">
        <v>8</v>
      </c>
      <c r="U4635" s="14">
        <v>46048</v>
      </c>
      <c r="V4635" s="25"/>
      <c r="W4635" s="12"/>
      <c r="X4635" s="2"/>
      <c r="Y4635" s="11" t="s">
        <v>6705</v>
      </c>
      <c r="Z4635" s="2" t="s">
        <v>36</v>
      </c>
      <c r="AA4635" s="13" t="s">
        <v>10342</v>
      </c>
      <c r="AB4635" s="13" t="s">
        <v>10343</v>
      </c>
    </row>
    <row r="4636" spans="1:28" ht="15" customHeight="1">
      <c r="A4636" s="2" t="s">
        <v>8995</v>
      </c>
      <c r="B4636" s="2" t="s">
        <v>978</v>
      </c>
      <c r="C4636" s="11" t="s">
        <v>1621</v>
      </c>
      <c r="D4636" s="2" t="s">
        <v>30</v>
      </c>
      <c r="E4636" s="2" t="s">
        <v>109</v>
      </c>
      <c r="F4636" s="11" t="s">
        <v>2161</v>
      </c>
      <c r="G4636" s="46" t="s">
        <v>2162</v>
      </c>
      <c r="H4636" s="2" t="s">
        <v>4680</v>
      </c>
      <c r="I4636" s="12" t="s">
        <v>4681</v>
      </c>
      <c r="J4636" s="41">
        <f>+Tabla1[[#This Row],[FECHA ENTRADA]]</f>
        <v>45873</v>
      </c>
      <c r="K4636" s="22">
        <v>45951</v>
      </c>
      <c r="L4636" s="42">
        <f>_xlfn.DAYS(Tabla1[[#This Row],[FECHA FIN ]],Tabla1[[#This Row],[FECHA INICIO]])</f>
        <v>78</v>
      </c>
      <c r="M4636" s="12"/>
      <c r="N4636" s="28">
        <v>280</v>
      </c>
      <c r="O4636" s="28">
        <f>(Tabla1[[#This Row],[COSTO FIJO ]]/30)*Tabla1[[#This Row],[TOTAL DIAS PROYECTO]]+(Tabla1[[#This Row],[COSTO TEMPORAL]])</f>
        <v>728</v>
      </c>
      <c r="P4636" s="12"/>
      <c r="Q4636" s="12">
        <f>+(Tabla1[[#This Row],[COSTO COCHE]]/30)*Tabla1[[#This Row],[TOTAL DIAS PROYECTO]]</f>
        <v>0</v>
      </c>
      <c r="R4636" s="12">
        <f>+Tabla1[[#This Row],[COSTO TOTAL ALOJAMIENTO]]+Tabla1[[#This Row],[COSTO TOTAL COCHE]]</f>
        <v>728</v>
      </c>
      <c r="S4636" s="2"/>
      <c r="T4636" s="14" t="s">
        <v>35</v>
      </c>
      <c r="U4636" s="14">
        <v>45873</v>
      </c>
      <c r="V4636" s="43"/>
      <c r="W4636" s="12"/>
      <c r="X4636" s="2">
        <v>10</v>
      </c>
      <c r="Y4636" s="11"/>
      <c r="Z4636" s="2" t="s">
        <v>36</v>
      </c>
      <c r="AA4636" s="13">
        <v>0.62217999999999996</v>
      </c>
      <c r="AB4636" s="13" t="s">
        <v>10339</v>
      </c>
    </row>
    <row r="4637" spans="1:28" ht="15" customHeight="1">
      <c r="A4637" s="2" t="s">
        <v>9319</v>
      </c>
      <c r="B4637" s="2" t="s">
        <v>368</v>
      </c>
      <c r="C4637" s="31" t="s">
        <v>2812</v>
      </c>
      <c r="D4637" s="2" t="s">
        <v>99</v>
      </c>
      <c r="E4637" s="2" t="s">
        <v>415</v>
      </c>
      <c r="F4637" s="11" t="s">
        <v>1290</v>
      </c>
      <c r="G4637" s="70" t="s">
        <v>1291</v>
      </c>
      <c r="H4637" s="2" t="s">
        <v>6706</v>
      </c>
      <c r="I4637" s="29" t="s">
        <v>4165</v>
      </c>
      <c r="J4637" s="22">
        <f>+Tabla1[[#This Row],[FECHA ENTRADA]]</f>
        <v>45860</v>
      </c>
      <c r="K4637" s="22">
        <v>46054</v>
      </c>
      <c r="L4637" s="23">
        <f>_xlfn.DAYS(Tabla1[[#This Row],[FECHA FIN ]],Tabla1[[#This Row],[FECHA INICIO]])</f>
        <v>194</v>
      </c>
      <c r="M4637" s="12"/>
      <c r="N4637" s="12">
        <v>290</v>
      </c>
      <c r="O4637" s="24">
        <f>(Tabla1[[#This Row],[COSTO FIJO ]]/30)*Tabla1[[#This Row],[TOTAL DIAS PROYECTO]]+(Tabla1[[#This Row],[COSTO TEMPORAL]])</f>
        <v>1875.3333333333333</v>
      </c>
      <c r="P4637" s="12"/>
      <c r="Q4637" s="12">
        <f>+(Tabla1[[#This Row],[COSTO COCHE]]/30)*Tabla1[[#This Row],[TOTAL DIAS PROYECTO]]</f>
        <v>0</v>
      </c>
      <c r="R4637" s="12">
        <f>+Tabla1[[#This Row],[COSTO TOTAL ALOJAMIENTO]]+Tabla1[[#This Row],[COSTO TOTAL COCHE]]</f>
        <v>1875.3333333333333</v>
      </c>
      <c r="S4637" s="2"/>
      <c r="T4637" s="14" t="s">
        <v>35</v>
      </c>
      <c r="U4637" s="14">
        <v>45860</v>
      </c>
      <c r="V4637" s="79"/>
      <c r="W4637" s="12"/>
      <c r="X4637" s="2">
        <v>1</v>
      </c>
      <c r="Y4637" s="11" t="s">
        <v>6707</v>
      </c>
      <c r="Z4637" s="2" t="s">
        <v>36</v>
      </c>
      <c r="AA4637" s="13">
        <v>-0.37739</v>
      </c>
      <c r="AB4637" s="13" t="s">
        <v>10372</v>
      </c>
    </row>
    <row r="4638" spans="1:28" ht="15" customHeight="1">
      <c r="A4638" s="2" t="s">
        <v>9470</v>
      </c>
      <c r="B4638" s="2" t="s">
        <v>28</v>
      </c>
      <c r="C4638" s="11" t="s">
        <v>3297</v>
      </c>
      <c r="D4638" s="2" t="s">
        <v>30</v>
      </c>
      <c r="E4638" s="2" t="s">
        <v>127</v>
      </c>
      <c r="F4638" s="11" t="s">
        <v>820</v>
      </c>
      <c r="G4638" s="21" t="s">
        <v>1234</v>
      </c>
      <c r="H4638" s="2" t="s">
        <v>6708</v>
      </c>
      <c r="I4638" s="12" t="s">
        <v>96</v>
      </c>
      <c r="J4638" s="41">
        <f>+Tabla1[[#This Row],[FECHA ENTRADA]]</f>
        <v>45713</v>
      </c>
      <c r="K4638" s="22">
        <v>45821</v>
      </c>
      <c r="L4638" s="42">
        <f>_xlfn.DAYS(Tabla1[[#This Row],[FECHA FIN ]],Tabla1[[#This Row],[FECHA INICIO]])</f>
        <v>108</v>
      </c>
      <c r="M4638" s="12"/>
      <c r="N4638" s="20"/>
      <c r="O4638" s="28">
        <f>(Tabla1[[#This Row],[COSTO FIJO ]]/30)*Tabla1[[#This Row],[TOTAL DIAS PROYECTO]]+(Tabla1[[#This Row],[COSTO TEMPORAL]])</f>
        <v>0</v>
      </c>
      <c r="P4638" s="12"/>
      <c r="Q4638" s="12">
        <f>+(Tabla1[[#This Row],[COSTO COCHE]]/30)*Tabla1[[#This Row],[TOTAL DIAS PROYECTO]]</f>
        <v>0</v>
      </c>
      <c r="R4638" s="12">
        <f>+Tabla1[[#This Row],[COSTO TOTAL ALOJAMIENTO]]+Tabla1[[#This Row],[COSTO TOTAL COCHE]]</f>
        <v>0</v>
      </c>
      <c r="S4638" s="2"/>
      <c r="T4638" s="2" t="s">
        <v>44</v>
      </c>
      <c r="U4638" s="14">
        <v>45713</v>
      </c>
      <c r="V4638" s="25">
        <v>45798</v>
      </c>
      <c r="W4638" s="26"/>
      <c r="X4638" s="2"/>
      <c r="Y4638" s="11"/>
      <c r="Z4638" s="2" t="s">
        <v>36</v>
      </c>
      <c r="AA4638" s="13" t="s">
        <v>10342</v>
      </c>
      <c r="AB4638" s="13" t="s">
        <v>10343</v>
      </c>
    </row>
    <row r="4639" spans="1:28" ht="15" customHeight="1">
      <c r="A4639" s="2" t="s">
        <v>9801</v>
      </c>
      <c r="B4639" s="2" t="s">
        <v>606</v>
      </c>
      <c r="C4639" s="69" t="s">
        <v>4809</v>
      </c>
      <c r="D4639" s="2" t="s">
        <v>99</v>
      </c>
      <c r="E4639" s="2" t="s">
        <v>259</v>
      </c>
      <c r="F4639" s="11" t="s">
        <v>5657</v>
      </c>
      <c r="G4639" s="197" t="s">
        <v>4207</v>
      </c>
      <c r="H4639" s="2" t="s">
        <v>4957</v>
      </c>
      <c r="I4639" s="12" t="s">
        <v>57</v>
      </c>
      <c r="J4639" s="22">
        <f>+Tabla1[[#This Row],[FECHA ENTRADA]]</f>
        <v>45895</v>
      </c>
      <c r="K4639" s="22">
        <v>46054</v>
      </c>
      <c r="L4639" s="23">
        <f>_xlfn.DAYS(Tabla1[[#This Row],[FECHA FIN ]],Tabla1[[#This Row],[FECHA INICIO]])</f>
        <v>159</v>
      </c>
      <c r="M4639" s="12"/>
      <c r="N4639" s="12">
        <v>466.66666666666669</v>
      </c>
      <c r="O4639" s="24">
        <f>(Tabla1[[#This Row],[COSTO FIJO ]]/30)*Tabla1[[#This Row],[TOTAL DIAS PROYECTO]]+(Tabla1[[#This Row],[COSTO TEMPORAL]])</f>
        <v>2473.3333333333335</v>
      </c>
      <c r="P4639" s="12"/>
      <c r="Q4639" s="12">
        <f>+(Tabla1[[#This Row],[COSTO COCHE]]/30)*Tabla1[[#This Row],[TOTAL DIAS PROYECTO]]</f>
        <v>0</v>
      </c>
      <c r="R4639" s="12">
        <f>+Tabla1[[#This Row],[COSTO TOTAL ALOJAMIENTO]]+Tabla1[[#This Row],[COSTO TOTAL COCHE]]</f>
        <v>2473.3333333333335</v>
      </c>
      <c r="S4639" s="2"/>
      <c r="T4639" s="14" t="s">
        <v>35</v>
      </c>
      <c r="U4639" s="14">
        <v>45895</v>
      </c>
      <c r="V4639" s="79"/>
      <c r="W4639" s="12"/>
      <c r="X4639" s="2">
        <v>1</v>
      </c>
      <c r="Y4639" s="11" t="s">
        <v>5463</v>
      </c>
      <c r="Z4639" s="2" t="s">
        <v>36</v>
      </c>
      <c r="AA4639" s="13">
        <v>-0.87734000000000001</v>
      </c>
      <c r="AB4639" s="13" t="s">
        <v>10359</v>
      </c>
    </row>
    <row r="4640" spans="1:28" ht="15" customHeight="1">
      <c r="A4640" s="2" t="s">
        <v>9349</v>
      </c>
      <c r="B4640" s="2" t="s">
        <v>368</v>
      </c>
      <c r="C4640" s="239" t="s">
        <v>2900</v>
      </c>
      <c r="D4640" s="2" t="s">
        <v>99</v>
      </c>
      <c r="E4640" s="2" t="s">
        <v>415</v>
      </c>
      <c r="F4640" s="11" t="s">
        <v>1290</v>
      </c>
      <c r="G4640" t="s">
        <v>1291</v>
      </c>
      <c r="H4640" s="2" t="s">
        <v>6709</v>
      </c>
      <c r="I4640" s="10" t="s">
        <v>4165</v>
      </c>
      <c r="J4640" s="41">
        <f>+Tabla1[[#This Row],[FECHA ENTRADA]]</f>
        <v>45851</v>
      </c>
      <c r="K4640" s="8">
        <v>46064</v>
      </c>
      <c r="L4640" s="42">
        <f>_xlfn.DAYS(Tabla1[[#This Row],[FECHA FIN ]],Tabla1[[#This Row],[FECHA INICIO]])</f>
        <v>213</v>
      </c>
      <c r="M4640" s="12"/>
      <c r="N4640" s="12">
        <v>290</v>
      </c>
      <c r="O4640" s="28">
        <f>(Tabla1[[#This Row],[COSTO FIJO ]]/30)*Tabla1[[#This Row],[TOTAL DIAS PROYECTO]]+(Tabla1[[#This Row],[COSTO TEMPORAL]])</f>
        <v>2059</v>
      </c>
      <c r="P4640" s="12"/>
      <c r="Q4640" s="12">
        <f>+(Tabla1[[#This Row],[COSTO COCHE]]/30)*Tabla1[[#This Row],[TOTAL DIAS PROYECTO]]</f>
        <v>0</v>
      </c>
      <c r="R4640" s="12">
        <f>+Tabla1[[#This Row],[COSTO TOTAL ALOJAMIENTO]]+Tabla1[[#This Row],[COSTO TOTAL COCHE]]</f>
        <v>2059</v>
      </c>
      <c r="S4640" s="2"/>
      <c r="T4640" s="14" t="s">
        <v>35</v>
      </c>
      <c r="U4640" s="14">
        <v>45851</v>
      </c>
      <c r="V4640" s="43"/>
      <c r="W4640" s="12">
        <v>580</v>
      </c>
      <c r="X4640" s="2">
        <v>1</v>
      </c>
      <c r="Y4640" s="11" t="s">
        <v>6710</v>
      </c>
      <c r="Z4640" s="2" t="s">
        <v>36</v>
      </c>
      <c r="AA4640" s="13">
        <v>-0.37739</v>
      </c>
      <c r="AB4640" s="13" t="s">
        <v>10372</v>
      </c>
    </row>
    <row r="4641" spans="1:28" ht="15" customHeight="1">
      <c r="A4641" s="2" t="s">
        <v>9545</v>
      </c>
      <c r="B4641" s="2" t="s">
        <v>711</v>
      </c>
      <c r="C4641" s="11" t="s">
        <v>3589</v>
      </c>
      <c r="D4641" s="2" t="s">
        <v>99</v>
      </c>
      <c r="E4641" s="2" t="s">
        <v>626</v>
      </c>
      <c r="F4641" s="11" t="s">
        <v>1408</v>
      </c>
      <c r="G4641" s="285" t="s">
        <v>1409</v>
      </c>
      <c r="H4641" s="2" t="s">
        <v>4728</v>
      </c>
      <c r="I4641" s="12" t="s">
        <v>570</v>
      </c>
      <c r="J4641" s="22">
        <f>+Tabla1[[#This Row],[FECHA ENTRADA]]</f>
        <v>45876</v>
      </c>
      <c r="K4641" s="22">
        <v>46054</v>
      </c>
      <c r="L4641" s="23">
        <f>_xlfn.DAYS(Tabla1[[#This Row],[FECHA FIN ]],Tabla1[[#This Row],[FECHA INICIO]])</f>
        <v>178</v>
      </c>
      <c r="M4641" s="12"/>
      <c r="N4641" s="24">
        <v>450</v>
      </c>
      <c r="O4641" s="24">
        <f>(Tabla1[[#This Row],[COSTO FIJO ]]/30)*Tabla1[[#This Row],[TOTAL DIAS PROYECTO]]+(Tabla1[[#This Row],[COSTO TEMPORAL]])</f>
        <v>2670</v>
      </c>
      <c r="P4641" s="12"/>
      <c r="Q4641" s="12">
        <f>+(Tabla1[[#This Row],[COSTO COCHE]]/30)*Tabla1[[#This Row],[TOTAL DIAS PROYECTO]]</f>
        <v>0</v>
      </c>
      <c r="R4641" s="12">
        <f>+Tabla1[[#This Row],[COSTO TOTAL ALOJAMIENTO]]+Tabla1[[#This Row],[COSTO TOTAL COCHE]]</f>
        <v>2670</v>
      </c>
      <c r="S4641" s="2"/>
      <c r="T4641" s="14" t="s">
        <v>35</v>
      </c>
      <c r="U4641" s="14">
        <v>45876</v>
      </c>
      <c r="V4641" s="25"/>
      <c r="W4641" s="12"/>
      <c r="X4641" s="2">
        <v>5</v>
      </c>
      <c r="Y4641" s="11" t="s">
        <v>6711</v>
      </c>
      <c r="Z4641" s="2" t="s">
        <v>36</v>
      </c>
      <c r="AA4641" s="13" t="s">
        <v>10385</v>
      </c>
      <c r="AB4641" s="13" t="s">
        <v>10386</v>
      </c>
    </row>
    <row r="4642" spans="1:28" ht="15" customHeight="1">
      <c r="A4642" s="2" t="s">
        <v>8869</v>
      </c>
      <c r="B4642" s="2" t="s">
        <v>711</v>
      </c>
      <c r="C4642" s="31" t="s">
        <v>1097</v>
      </c>
      <c r="D4642" s="2" t="s">
        <v>78</v>
      </c>
      <c r="E4642" s="2" t="s">
        <v>4055</v>
      </c>
      <c r="F4642" s="11" t="s">
        <v>5482</v>
      </c>
      <c r="G4642" s="49" t="s">
        <v>4515</v>
      </c>
      <c r="H4642" s="2" t="s">
        <v>1391</v>
      </c>
      <c r="I4642" s="158" t="s">
        <v>800</v>
      </c>
      <c r="J4642" s="22">
        <f>+Tabla1[[#This Row],[FECHA ENTRADA]]</f>
        <v>45887</v>
      </c>
      <c r="K4642" s="22">
        <v>46054</v>
      </c>
      <c r="L4642" s="23">
        <f>_xlfn.DAYS(Tabla1[[#This Row],[FECHA FIN ]],Tabla1[[#This Row],[FECHA INICIO]])</f>
        <v>167</v>
      </c>
      <c r="M4642" s="12">
        <f>8567.91/4</f>
        <v>2141.9775</v>
      </c>
      <c r="N4642" s="24"/>
      <c r="O4642" s="24">
        <f>(Tabla1[[#This Row],[COSTO FIJO ]]/30)*Tabla1[[#This Row],[TOTAL DIAS PROYECTO]]+(Tabla1[[#This Row],[COSTO TEMPORAL]])</f>
        <v>2141.9775</v>
      </c>
      <c r="P4642" s="12"/>
      <c r="Q4642" s="12">
        <f>+(Tabla1[[#This Row],[COSTO COCHE]]/30)*Tabla1[[#This Row],[TOTAL DIAS PROYECTO]]</f>
        <v>0</v>
      </c>
      <c r="R4642" s="12">
        <f>+Tabla1[[#This Row],[COSTO TOTAL ALOJAMIENTO]]+Tabla1[[#This Row],[COSTO TOTAL COCHE]]</f>
        <v>2141.9775</v>
      </c>
      <c r="S4642" s="2" t="s">
        <v>84</v>
      </c>
      <c r="T4642" s="14" t="s">
        <v>44</v>
      </c>
      <c r="U4642" s="14">
        <v>45887</v>
      </c>
      <c r="V4642" s="79">
        <v>46060</v>
      </c>
      <c r="W4642" s="12"/>
      <c r="X4642" s="2"/>
      <c r="Y4642" s="11" t="s">
        <v>6712</v>
      </c>
      <c r="Z4642" s="2" t="s">
        <v>36</v>
      </c>
      <c r="AA4642" s="13" t="e">
        <v>#N/A</v>
      </c>
      <c r="AB4642" s="13" t="e">
        <v>#N/A</v>
      </c>
    </row>
    <row r="4643" spans="1:28" ht="15" customHeight="1">
      <c r="A4643" s="2" t="s">
        <v>9802</v>
      </c>
      <c r="B4643" s="2" t="s">
        <v>711</v>
      </c>
      <c r="C4643" s="31" t="s">
        <v>4815</v>
      </c>
      <c r="D4643" s="2" t="s">
        <v>78</v>
      </c>
      <c r="E4643" s="2" t="s">
        <v>4055</v>
      </c>
      <c r="F4643" s="11" t="s">
        <v>5482</v>
      </c>
      <c r="G4643" s="49" t="s">
        <v>4515</v>
      </c>
      <c r="H4643" s="2" t="s">
        <v>4816</v>
      </c>
      <c r="I4643" s="158" t="s">
        <v>800</v>
      </c>
      <c r="J4643" s="22">
        <f>+Tabla1[[#This Row],[FECHA ENTRADA]]</f>
        <v>45887</v>
      </c>
      <c r="K4643" s="22">
        <v>46054</v>
      </c>
      <c r="L4643" s="23">
        <f>_xlfn.DAYS(Tabla1[[#This Row],[FECHA FIN ]],Tabla1[[#This Row],[FECHA INICIO]])</f>
        <v>167</v>
      </c>
      <c r="M4643" s="12">
        <f>8567.91/4</f>
        <v>2141.9775</v>
      </c>
      <c r="N4643" s="24"/>
      <c r="O4643" s="24">
        <f>(Tabla1[[#This Row],[COSTO FIJO ]]/30)*Tabla1[[#This Row],[TOTAL DIAS PROYECTO]]+(Tabla1[[#This Row],[COSTO TEMPORAL]])</f>
        <v>2141.9775</v>
      </c>
      <c r="P4643" s="12"/>
      <c r="Q4643" s="12">
        <f>+(Tabla1[[#This Row],[COSTO COCHE]]/30)*Tabla1[[#This Row],[TOTAL DIAS PROYECTO]]</f>
        <v>0</v>
      </c>
      <c r="R4643" s="12">
        <f>+Tabla1[[#This Row],[COSTO TOTAL ALOJAMIENTO]]+Tabla1[[#This Row],[COSTO TOTAL COCHE]]</f>
        <v>2141.9775</v>
      </c>
      <c r="S4643" s="2" t="s">
        <v>84</v>
      </c>
      <c r="T4643" s="14" t="s">
        <v>44</v>
      </c>
      <c r="U4643" s="14">
        <v>45887</v>
      </c>
      <c r="V4643" s="79">
        <v>46060</v>
      </c>
      <c r="W4643" s="12"/>
      <c r="X4643" s="2"/>
      <c r="Y4643" s="11" t="s">
        <v>6712</v>
      </c>
      <c r="Z4643" s="2" t="s">
        <v>36</v>
      </c>
      <c r="AA4643" s="13" t="e">
        <v>#N/A</v>
      </c>
      <c r="AB4643" s="13" t="e">
        <v>#N/A</v>
      </c>
    </row>
    <row r="4644" spans="1:28" ht="15" customHeight="1">
      <c r="A4644" s="2" t="s">
        <v>9775</v>
      </c>
      <c r="B4644" s="2" t="s">
        <v>978</v>
      </c>
      <c r="C4644" s="31" t="s">
        <v>4677</v>
      </c>
      <c r="D4644" s="2" t="s">
        <v>99</v>
      </c>
      <c r="E4644" s="2" t="s">
        <v>31</v>
      </c>
      <c r="F4644" s="11" t="s">
        <v>451</v>
      </c>
      <c r="G4644" s="118" t="s">
        <v>452</v>
      </c>
      <c r="H4644" s="2" t="s">
        <v>4949</v>
      </c>
      <c r="I4644" s="158" t="s">
        <v>1540</v>
      </c>
      <c r="J4644" s="22">
        <f>+Tabla1[[#This Row],[FECHA ENTRADA]]</f>
        <v>45865</v>
      </c>
      <c r="K4644" s="22">
        <v>46055</v>
      </c>
      <c r="L4644" s="23">
        <f>_xlfn.DAYS(Tabla1[[#This Row],[FECHA FIN ]],Tabla1[[#This Row],[FECHA INICIO]])</f>
        <v>190</v>
      </c>
      <c r="M4644" s="12"/>
      <c r="N4644" s="12">
        <v>283.33333333333331</v>
      </c>
      <c r="O4644" s="24">
        <f>(Tabla1[[#This Row],[COSTO FIJO ]]/30)*Tabla1[[#This Row],[TOTAL DIAS PROYECTO]]+(Tabla1[[#This Row],[COSTO TEMPORAL]])</f>
        <v>1794.4444444444446</v>
      </c>
      <c r="P4644" s="12"/>
      <c r="Q4644" s="12">
        <f>+(Tabla1[[#This Row],[COSTO COCHE]]/30)*Tabla1[[#This Row],[TOTAL DIAS PROYECTO]]</f>
        <v>0</v>
      </c>
      <c r="R4644" s="12">
        <f>+Tabla1[[#This Row],[COSTO TOTAL ALOJAMIENTO]]+Tabla1[[#This Row],[COSTO TOTAL COCHE]]</f>
        <v>1794.4444444444446</v>
      </c>
      <c r="S4644" s="2"/>
      <c r="T4644" s="14" t="s">
        <v>35</v>
      </c>
      <c r="U4644" s="14">
        <v>45865</v>
      </c>
      <c r="V4644" s="25"/>
      <c r="W4644" s="12" t="s">
        <v>6713</v>
      </c>
      <c r="X4644" s="2">
        <v>1</v>
      </c>
      <c r="Y4644" s="11" t="s">
        <v>6714</v>
      </c>
      <c r="Z4644" s="2" t="s">
        <v>36</v>
      </c>
      <c r="AA4644" s="13" t="s">
        <v>10323</v>
      </c>
      <c r="AB4644" s="13" t="s">
        <v>10324</v>
      </c>
    </row>
    <row r="4645" spans="1:28" ht="15" customHeight="1">
      <c r="A4645" s="2" t="s">
        <v>9977</v>
      </c>
      <c r="B4645" s="2" t="s">
        <v>711</v>
      </c>
      <c r="C4645" s="31" t="s">
        <v>5803</v>
      </c>
      <c r="D4645" s="2" t="s">
        <v>99</v>
      </c>
      <c r="E4645" s="2" t="s">
        <v>31</v>
      </c>
      <c r="F4645" s="11" t="s">
        <v>6715</v>
      </c>
      <c r="G4645" s="21" t="s">
        <v>6474</v>
      </c>
      <c r="H4645" s="2" t="s">
        <v>5795</v>
      </c>
      <c r="I4645" s="158" t="s">
        <v>5085</v>
      </c>
      <c r="J4645" s="22">
        <f>+Tabla1[[#This Row],[FECHA ENTRADA]]</f>
        <v>46021</v>
      </c>
      <c r="K4645" s="22">
        <v>46055</v>
      </c>
      <c r="L4645" s="23">
        <f>_xlfn.DAYS(Tabla1[[#This Row],[FECHA FIN ]],Tabla1[[#This Row],[FECHA INICIO]])</f>
        <v>34</v>
      </c>
      <c r="M4645" s="12"/>
      <c r="N4645" s="20"/>
      <c r="O4645" s="24">
        <f>(Tabla1[[#This Row],[COSTO FIJO ]]/30)*Tabla1[[#This Row],[TOTAL DIAS PROYECTO]]+(Tabla1[[#This Row],[COSTO TEMPORAL]])</f>
        <v>0</v>
      </c>
      <c r="P4645" s="12"/>
      <c r="Q4645" s="12">
        <f>+(Tabla1[[#This Row],[COSTO COCHE]]/30)*Tabla1[[#This Row],[TOTAL DIAS PROYECTO]]</f>
        <v>0</v>
      </c>
      <c r="R4645" s="12">
        <f>+Tabla1[[#This Row],[COSTO TOTAL ALOJAMIENTO]]+Tabla1[[#This Row],[COSTO TOTAL COCHE]]</f>
        <v>0</v>
      </c>
      <c r="S4645" s="2"/>
      <c r="T4645" s="14" t="s">
        <v>35</v>
      </c>
      <c r="U4645" s="14">
        <v>46021</v>
      </c>
      <c r="V4645" s="79"/>
      <c r="W4645" s="12"/>
      <c r="X4645" s="2">
        <v>28</v>
      </c>
      <c r="Y4645" s="11" t="s">
        <v>6716</v>
      </c>
      <c r="Z4645" s="2" t="s">
        <v>36</v>
      </c>
      <c r="AA4645" s="13" t="s">
        <v>10323</v>
      </c>
      <c r="AB4645" s="13" t="s">
        <v>10324</v>
      </c>
    </row>
    <row r="4646" spans="1:28" ht="15" customHeight="1">
      <c r="A4646" s="2" t="s">
        <v>9158</v>
      </c>
      <c r="B4646" s="2" t="s">
        <v>606</v>
      </c>
      <c r="C4646" s="11" t="s">
        <v>2269</v>
      </c>
      <c r="D4646" s="2" t="s">
        <v>30</v>
      </c>
      <c r="E4646" s="2" t="s">
        <v>259</v>
      </c>
      <c r="F4646" s="11" t="s">
        <v>260</v>
      </c>
      <c r="G4646" s="11" t="s">
        <v>261</v>
      </c>
      <c r="H4646" s="2" t="s">
        <v>4002</v>
      </c>
      <c r="I4646" s="12" t="s">
        <v>4003</v>
      </c>
      <c r="J4646" s="22">
        <f>+Tabla1[[#This Row],[FECHA ENTRADA]]</f>
        <v>45811</v>
      </c>
      <c r="K4646" s="22">
        <v>46055</v>
      </c>
      <c r="L4646" s="23">
        <f>_xlfn.DAYS(Tabla1[[#This Row],[FECHA FIN ]],Tabla1[[#This Row],[FECHA INICIO]])</f>
        <v>244</v>
      </c>
      <c r="M4646" s="12"/>
      <c r="N4646" s="20">
        <v>450</v>
      </c>
      <c r="O4646" s="24">
        <f>(Tabla1[[#This Row],[COSTO FIJO ]]/30)*Tabla1[[#This Row],[TOTAL DIAS PROYECTO]]+(Tabla1[[#This Row],[COSTO TEMPORAL]])</f>
        <v>3660</v>
      </c>
      <c r="P4646" s="12"/>
      <c r="Q4646" s="12">
        <f>+(Tabla1[[#This Row],[COSTO COCHE]]/30)*Tabla1[[#This Row],[TOTAL DIAS PROYECTO]]</f>
        <v>0</v>
      </c>
      <c r="R4646" s="12">
        <f>+Tabla1[[#This Row],[COSTO TOTAL ALOJAMIENTO]]+Tabla1[[#This Row],[COSTO TOTAL COCHE]]</f>
        <v>3660</v>
      </c>
      <c r="S4646" s="2"/>
      <c r="T4646" s="14" t="s">
        <v>613</v>
      </c>
      <c r="U4646" s="14">
        <v>45811</v>
      </c>
      <c r="V4646" s="180"/>
      <c r="W4646" s="2"/>
      <c r="X4646" s="2"/>
      <c r="Y4646" s="11" t="s">
        <v>6717</v>
      </c>
      <c r="Z4646" s="2" t="s">
        <v>36</v>
      </c>
      <c r="AA4646" s="13">
        <v>-0.87734000000000001</v>
      </c>
      <c r="AB4646" s="13" t="s">
        <v>10359</v>
      </c>
    </row>
    <row r="4647" spans="1:28" ht="15" customHeight="1">
      <c r="A4647" s="2" t="s">
        <v>8984</v>
      </c>
      <c r="B4647" s="2" t="s">
        <v>606</v>
      </c>
      <c r="C4647" s="11" t="s">
        <v>1594</v>
      </c>
      <c r="D4647" s="2" t="s">
        <v>30</v>
      </c>
      <c r="E4647" s="2" t="s">
        <v>259</v>
      </c>
      <c r="F4647" s="11" t="s">
        <v>260</v>
      </c>
      <c r="G4647" s="11" t="s">
        <v>261</v>
      </c>
      <c r="H4647" s="2" t="s">
        <v>4967</v>
      </c>
      <c r="I4647" s="12" t="s">
        <v>4003</v>
      </c>
      <c r="J4647" s="41">
        <f>+Tabla1[[#This Row],[FECHA ENTRADA]]</f>
        <v>45830</v>
      </c>
      <c r="K4647" s="41">
        <v>46055</v>
      </c>
      <c r="L4647" s="42">
        <f>_xlfn.DAYS(Tabla1[[#This Row],[FECHA FIN ]],Tabla1[[#This Row],[FECHA INICIO]])</f>
        <v>225</v>
      </c>
      <c r="M4647" s="12"/>
      <c r="N4647" s="28">
        <v>450</v>
      </c>
      <c r="O4647" s="28">
        <f>(Tabla1[[#This Row],[COSTO FIJO ]]/30)*Tabla1[[#This Row],[TOTAL DIAS PROYECTO]]+(Tabla1[[#This Row],[COSTO TEMPORAL]])</f>
        <v>3375</v>
      </c>
      <c r="P4647" s="12"/>
      <c r="Q4647" s="12">
        <f>+(Tabla1[[#This Row],[COSTO COCHE]]/30)*Tabla1[[#This Row],[TOTAL DIAS PROYECTO]]</f>
        <v>0</v>
      </c>
      <c r="R4647" s="12">
        <f>+Tabla1[[#This Row],[COSTO TOTAL ALOJAMIENTO]]+Tabla1[[#This Row],[COSTO TOTAL COCHE]]</f>
        <v>3375</v>
      </c>
      <c r="S4647" s="2"/>
      <c r="T4647" s="14" t="s">
        <v>613</v>
      </c>
      <c r="U4647" s="14">
        <v>45830</v>
      </c>
      <c r="V4647" s="43"/>
      <c r="W4647" s="2"/>
      <c r="X4647" s="2"/>
      <c r="Y4647" s="11" t="s">
        <v>6717</v>
      </c>
      <c r="Z4647" s="2" t="s">
        <v>36</v>
      </c>
      <c r="AA4647" s="13">
        <v>-0.87734000000000001</v>
      </c>
      <c r="AB4647" s="13" t="s">
        <v>10359</v>
      </c>
    </row>
    <row r="4648" spans="1:28" ht="15" customHeight="1">
      <c r="A4648" s="2" t="s">
        <v>9367</v>
      </c>
      <c r="B4648" s="10" t="s">
        <v>978</v>
      </c>
      <c r="C4648" s="99" t="s">
        <v>2946</v>
      </c>
      <c r="D4648" s="2" t="s">
        <v>30</v>
      </c>
      <c r="E4648" s="2" t="s">
        <v>877</v>
      </c>
      <c r="F4648" s="11" t="s">
        <v>3689</v>
      </c>
      <c r="G4648" s="49" t="s">
        <v>3690</v>
      </c>
      <c r="H4648" s="2" t="s">
        <v>6718</v>
      </c>
      <c r="I4648" s="57" t="s">
        <v>6719</v>
      </c>
      <c r="J4648" s="22">
        <f>+Tabla1[[#This Row],[FECHA ENTRADA]]</f>
        <v>45616</v>
      </c>
      <c r="K4648" s="22">
        <v>46056</v>
      </c>
      <c r="L4648" s="23">
        <f>_xlfn.DAYS(Tabla1[[#This Row],[FECHA FIN ]],Tabla1[[#This Row],[FECHA INICIO]])</f>
        <v>440</v>
      </c>
      <c r="M4648" s="12"/>
      <c r="N4648" s="24">
        <v>450</v>
      </c>
      <c r="O4648" s="24">
        <f>(Tabla1[[#This Row],[COSTO FIJO ]]/30)*Tabla1[[#This Row],[TOTAL DIAS PROYECTO]]+(Tabla1[[#This Row],[COSTO TEMPORAL]])</f>
        <v>6600</v>
      </c>
      <c r="P4648" s="12"/>
      <c r="Q4648" s="12">
        <f>+(Tabla1[[#This Row],[COSTO COCHE]]/30)*Tabla1[[#This Row],[TOTAL DIAS PROYECTO]]</f>
        <v>0</v>
      </c>
      <c r="R4648" s="12">
        <f>+Tabla1[[#This Row],[COSTO TOTAL ALOJAMIENTO]]+Tabla1[[#This Row],[COSTO TOTAL COCHE]]</f>
        <v>6600</v>
      </c>
      <c r="S4648" s="2"/>
      <c r="T4648" s="2" t="s">
        <v>35</v>
      </c>
      <c r="U4648" s="14">
        <v>45616</v>
      </c>
      <c r="V4648" s="79"/>
      <c r="W4648" s="26"/>
      <c r="X4648" s="2">
        <v>10</v>
      </c>
      <c r="Y4648" s="11" t="s">
        <v>6720</v>
      </c>
      <c r="Z4648" s="2" t="s">
        <v>36</v>
      </c>
      <c r="AA4648" s="13" t="s">
        <v>10403</v>
      </c>
      <c r="AB4648" s="13" t="s">
        <v>10404</v>
      </c>
    </row>
    <row r="4649" spans="1:28" ht="15" customHeight="1">
      <c r="A4649" s="2" t="s">
        <v>9752</v>
      </c>
      <c r="B4649" s="2" t="s">
        <v>711</v>
      </c>
      <c r="C4649" s="31" t="s">
        <v>4565</v>
      </c>
      <c r="D4649" s="2" t="s">
        <v>30</v>
      </c>
      <c r="E4649" s="2" t="s">
        <v>31</v>
      </c>
      <c r="F4649" s="11" t="s">
        <v>715</v>
      </c>
      <c r="G4649" s="11" t="s">
        <v>716</v>
      </c>
      <c r="H4649" s="2" t="s">
        <v>6356</v>
      </c>
      <c r="I4649" s="12" t="s">
        <v>5873</v>
      </c>
      <c r="J4649" s="22">
        <f>+Tabla1[[#This Row],[FECHA ENTRADA]]</f>
        <v>45946</v>
      </c>
      <c r="K4649" s="22">
        <v>46057</v>
      </c>
      <c r="L4649" s="23">
        <f>_xlfn.DAYS(Tabla1[[#This Row],[FECHA FIN ]],Tabla1[[#This Row],[FECHA INICIO]])</f>
        <v>111</v>
      </c>
      <c r="M4649" s="12"/>
      <c r="N4649" s="12">
        <v>160</v>
      </c>
      <c r="O4649" s="24">
        <f>(Tabla1[[#This Row],[COSTO FIJO ]]/30)*Tabla1[[#This Row],[TOTAL DIAS PROYECTO]]+(Tabla1[[#This Row],[COSTO TEMPORAL]])</f>
        <v>592</v>
      </c>
      <c r="P4649" s="12"/>
      <c r="Q4649" s="12">
        <f>+(Tabla1[[#This Row],[COSTO COCHE]]/30)*Tabla1[[#This Row],[TOTAL DIAS PROYECTO]]</f>
        <v>0</v>
      </c>
      <c r="R4649" s="12">
        <f>+Tabla1[[#This Row],[COSTO TOTAL ALOJAMIENTO]]+Tabla1[[#This Row],[COSTO TOTAL COCHE]]</f>
        <v>592</v>
      </c>
      <c r="S4649" s="2"/>
      <c r="T4649" s="14" t="s">
        <v>35</v>
      </c>
      <c r="U4649" s="14">
        <v>45946</v>
      </c>
      <c r="V4649" s="79"/>
      <c r="W4649" s="71"/>
      <c r="X4649" s="2">
        <v>1</v>
      </c>
      <c r="Y4649" s="11" t="s">
        <v>6721</v>
      </c>
      <c r="Z4649" s="2" t="s">
        <v>36</v>
      </c>
      <c r="AA4649" s="13" t="s">
        <v>10323</v>
      </c>
      <c r="AB4649" s="13" t="s">
        <v>10324</v>
      </c>
    </row>
    <row r="4650" spans="1:28" ht="15" customHeight="1">
      <c r="A4650" s="2" t="s">
        <v>9977</v>
      </c>
      <c r="B4650" s="2" t="s">
        <v>606</v>
      </c>
      <c r="C4650" s="31" t="s">
        <v>5803</v>
      </c>
      <c r="D4650" s="2" t="s">
        <v>99</v>
      </c>
      <c r="E4650" s="2" t="s">
        <v>31</v>
      </c>
      <c r="F4650" s="11" t="s">
        <v>344</v>
      </c>
      <c r="G4650" s="11" t="s">
        <v>345</v>
      </c>
      <c r="H4650" s="2" t="s">
        <v>6722</v>
      </c>
      <c r="I4650" s="12" t="s">
        <v>6723</v>
      </c>
      <c r="J4650" s="41">
        <f>+Tabla1[[#This Row],[FECHA ENTRADA]]</f>
        <v>46055</v>
      </c>
      <c r="K4650" s="22">
        <v>46057</v>
      </c>
      <c r="L4650" s="42">
        <f>_xlfn.DAYS(Tabla1[[#This Row],[FECHA FIN ]],Tabla1[[#This Row],[FECHA INICIO]])</f>
        <v>2</v>
      </c>
      <c r="M4650" s="12"/>
      <c r="N4650" s="24">
        <f>1677.13/5</f>
        <v>335.42600000000004</v>
      </c>
      <c r="O4650" s="28">
        <f>(Tabla1[[#This Row],[COSTO FIJO ]]/30)*Tabla1[[#This Row],[TOTAL DIAS PROYECTO]]+(Tabla1[[#This Row],[COSTO TEMPORAL]])</f>
        <v>22.361733333333337</v>
      </c>
      <c r="P4650" s="12"/>
      <c r="Q4650" s="12">
        <f>+(Tabla1[[#This Row],[COSTO COCHE]]/30)*Tabla1[[#This Row],[TOTAL DIAS PROYECTO]]</f>
        <v>0</v>
      </c>
      <c r="R4650" s="12">
        <f>+Tabla1[[#This Row],[COSTO TOTAL ALOJAMIENTO]]+Tabla1[[#This Row],[COSTO TOTAL COCHE]]</f>
        <v>22.361733333333337</v>
      </c>
      <c r="S4650" s="2"/>
      <c r="T4650" s="14" t="s">
        <v>35</v>
      </c>
      <c r="U4650" s="14">
        <v>46055</v>
      </c>
      <c r="V4650" s="43"/>
      <c r="W4650" s="12"/>
      <c r="X4650" s="2"/>
      <c r="Y4650" s="11" t="s">
        <v>6724</v>
      </c>
      <c r="Z4650" s="2" t="s">
        <v>36</v>
      </c>
      <c r="AA4650" s="13" t="s">
        <v>10323</v>
      </c>
      <c r="AB4650" s="13" t="s">
        <v>10324</v>
      </c>
    </row>
    <row r="4651" spans="1:28" ht="15" customHeight="1">
      <c r="A4651" s="2" t="s">
        <v>10063</v>
      </c>
      <c r="B4651" s="2" t="s">
        <v>711</v>
      </c>
      <c r="C4651" s="104" t="s">
        <v>6174</v>
      </c>
      <c r="D4651" s="2" t="s">
        <v>30</v>
      </c>
      <c r="E4651" s="2" t="s">
        <v>87</v>
      </c>
      <c r="F4651" s="11" t="s">
        <v>3134</v>
      </c>
      <c r="G4651" s="21" t="s">
        <v>3135</v>
      </c>
      <c r="H4651" s="2" t="s">
        <v>6175</v>
      </c>
      <c r="I4651" s="158" t="s">
        <v>1392</v>
      </c>
      <c r="J4651" s="22">
        <f>+Tabla1[[#This Row],[FECHA ENTRADA]]</f>
        <v>46050</v>
      </c>
      <c r="K4651" s="41">
        <v>46058</v>
      </c>
      <c r="L4651" s="23">
        <f>_xlfn.DAYS(Tabla1[[#This Row],[FECHA FIN ]],Tabla1[[#This Row],[FECHA INICIO]])</f>
        <v>8</v>
      </c>
      <c r="M4651" s="12"/>
      <c r="N4651" s="20">
        <v>450</v>
      </c>
      <c r="O4651" s="24">
        <f>(Tabla1[[#This Row],[COSTO FIJO ]]/30)*Tabla1[[#This Row],[TOTAL DIAS PROYECTO]]+(Tabla1[[#This Row],[COSTO TEMPORAL]])</f>
        <v>120</v>
      </c>
      <c r="P4651" s="12"/>
      <c r="Q4651" s="12">
        <f>+(Tabla1[[#This Row],[COSTO COCHE]]/30)*Tabla1[[#This Row],[TOTAL DIAS PROYECTO]]</f>
        <v>0</v>
      </c>
      <c r="R4651" s="12">
        <f>+Tabla1[[#This Row],[COSTO TOTAL ALOJAMIENTO]]+Tabla1[[#This Row],[COSTO TOTAL COCHE]]</f>
        <v>120</v>
      </c>
      <c r="S4651" s="2"/>
      <c r="T4651" s="14" t="s">
        <v>35</v>
      </c>
      <c r="U4651" s="14">
        <v>46050</v>
      </c>
      <c r="V4651" s="79"/>
      <c r="W4651" s="12"/>
      <c r="X4651" s="2">
        <v>15</v>
      </c>
      <c r="Y4651" s="11" t="s">
        <v>1166</v>
      </c>
      <c r="Z4651" s="2" t="s">
        <v>36</v>
      </c>
      <c r="AA4651" s="13" t="s">
        <v>10335</v>
      </c>
      <c r="AB4651" s="13">
        <v>404.16500000000002</v>
      </c>
    </row>
    <row r="4652" spans="1:28" ht="15" customHeight="1">
      <c r="A4652" s="2" t="s">
        <v>9976</v>
      </c>
      <c r="B4652" s="2" t="s">
        <v>711</v>
      </c>
      <c r="C4652" s="97" t="s">
        <v>5801</v>
      </c>
      <c r="D4652" s="2" t="s">
        <v>99</v>
      </c>
      <c r="E4652" s="2" t="s">
        <v>626</v>
      </c>
      <c r="F4652" s="11"/>
      <c r="G4652" s="21"/>
      <c r="H4652" s="2" t="s">
        <v>6279</v>
      </c>
      <c r="I4652" s="12" t="s">
        <v>570</v>
      </c>
      <c r="J4652" s="22">
        <f>+Tabla1[[#This Row],[FECHA ENTRADA]]</f>
        <v>46000</v>
      </c>
      <c r="K4652" s="8">
        <v>46059</v>
      </c>
      <c r="L4652" s="23">
        <f>_xlfn.DAYS(Tabla1[[#This Row],[FECHA FIN ]],Tabla1[[#This Row],[FECHA INICIO]])</f>
        <v>59</v>
      </c>
      <c r="M4652" s="12"/>
      <c r="N4652" s="20">
        <v>300</v>
      </c>
      <c r="O4652" s="24">
        <f>(Tabla1[[#This Row],[COSTO FIJO ]]/30)*Tabla1[[#This Row],[TOTAL DIAS PROYECTO]]+(Tabla1[[#This Row],[COSTO TEMPORAL]])</f>
        <v>590</v>
      </c>
      <c r="P4652" s="12"/>
      <c r="Q4652" s="12">
        <f>+(Tabla1[[#This Row],[COSTO COCHE]]/30)*Tabla1[[#This Row],[TOTAL DIAS PROYECTO]]</f>
        <v>0</v>
      </c>
      <c r="R4652" s="12">
        <f>+Tabla1[[#This Row],[COSTO TOTAL ALOJAMIENTO]]+Tabla1[[#This Row],[COSTO TOTAL COCHE]]</f>
        <v>590</v>
      </c>
      <c r="S4652" s="2"/>
      <c r="T4652" s="14" t="s">
        <v>58</v>
      </c>
      <c r="U4652" s="14">
        <v>46000</v>
      </c>
      <c r="V4652" s="79"/>
      <c r="W4652" s="12"/>
      <c r="X4652" s="2"/>
      <c r="Y4652" s="11" t="s">
        <v>6725</v>
      </c>
      <c r="Z4652" s="2" t="s">
        <v>36</v>
      </c>
      <c r="AA4652" s="13" t="s">
        <v>10385</v>
      </c>
      <c r="AB4652" s="13" t="s">
        <v>10386</v>
      </c>
    </row>
    <row r="4653" spans="1:28" ht="15" customHeight="1">
      <c r="A4653" s="2" t="s">
        <v>10153</v>
      </c>
      <c r="B4653" s="2" t="s">
        <v>711</v>
      </c>
      <c r="C4653" s="97" t="s">
        <v>6726</v>
      </c>
      <c r="D4653" s="2" t="s">
        <v>30</v>
      </c>
      <c r="E4653" s="2" t="s">
        <v>87</v>
      </c>
      <c r="F4653" s="11" t="s">
        <v>1106</v>
      </c>
      <c r="G4653" s="46"/>
      <c r="H4653" s="2" t="s">
        <v>6727</v>
      </c>
      <c r="I4653" s="12" t="s">
        <v>2321</v>
      </c>
      <c r="J4653" s="41">
        <f>+Tabla1[[#This Row],[FECHA ENTRADA]]</f>
        <v>45964</v>
      </c>
      <c r="K4653" s="41">
        <v>46059</v>
      </c>
      <c r="L4653" s="42">
        <f>_xlfn.DAYS(Tabla1[[#This Row],[FECHA FIN ]],Tabla1[[#This Row],[FECHA INICIO]])</f>
        <v>95</v>
      </c>
      <c r="M4653" s="158"/>
      <c r="N4653" s="28">
        <v>0</v>
      </c>
      <c r="O4653" s="28">
        <f>(Tabla1[[#This Row],[COSTO FIJO ]]/30)*Tabla1[[#This Row],[TOTAL DIAS PROYECTO]]+(Tabla1[[#This Row],[COSTO TEMPORAL]])</f>
        <v>0</v>
      </c>
      <c r="P4653" s="12"/>
      <c r="Q4653" s="12">
        <f>+(Tabla1[[#This Row],[COSTO COCHE]]/30)*Tabla1[[#This Row],[TOTAL DIAS PROYECTO]]</f>
        <v>0</v>
      </c>
      <c r="R4653" s="12">
        <f>+Tabla1[[#This Row],[COSTO TOTAL ALOJAMIENTO]]+Tabla1[[#This Row],[COSTO TOTAL COCHE]]</f>
        <v>0</v>
      </c>
      <c r="S4653" s="2"/>
      <c r="T4653" s="2" t="s">
        <v>8</v>
      </c>
      <c r="U4653" s="14">
        <v>45964</v>
      </c>
      <c r="V4653" s="43"/>
      <c r="W4653" s="71"/>
      <c r="X4653" s="2"/>
      <c r="Y4653" s="11" t="s">
        <v>6728</v>
      </c>
      <c r="Z4653" s="2" t="s">
        <v>36</v>
      </c>
      <c r="AA4653" s="13" t="s">
        <v>10335</v>
      </c>
      <c r="AB4653" s="13">
        <v>404.16500000000002</v>
      </c>
    </row>
    <row r="4654" spans="1:28" ht="15" customHeight="1">
      <c r="A4654" s="2" t="s">
        <v>10154</v>
      </c>
      <c r="B4654" s="2" t="s">
        <v>711</v>
      </c>
      <c r="C4654" s="11" t="s">
        <v>6729</v>
      </c>
      <c r="D4654" s="2" t="s">
        <v>30</v>
      </c>
      <c r="E4654" s="2" t="s">
        <v>213</v>
      </c>
      <c r="F4654" s="11" t="s">
        <v>6730</v>
      </c>
      <c r="G4654" s="46" t="s">
        <v>6731</v>
      </c>
      <c r="H4654" s="2" t="s">
        <v>6732</v>
      </c>
      <c r="I4654" s="12" t="s">
        <v>4464</v>
      </c>
      <c r="J4654" s="41">
        <f>+Tabla1[[#This Row],[FECHA ENTRADA]]</f>
        <v>45951</v>
      </c>
      <c r="K4654" s="22">
        <v>45953</v>
      </c>
      <c r="L4654" s="42">
        <f>_xlfn.DAYS(Tabla1[[#This Row],[FECHA FIN ]],Tabla1[[#This Row],[FECHA INICIO]])</f>
        <v>2</v>
      </c>
      <c r="M4654" s="12">
        <v>92.5</v>
      </c>
      <c r="N4654" s="28"/>
      <c r="O4654" s="28">
        <f>(Tabla1[[#This Row],[COSTO FIJO ]]/30)*Tabla1[[#This Row],[TOTAL DIAS PROYECTO]]+(Tabla1[[#This Row],[COSTO TEMPORAL]])</f>
        <v>92.5</v>
      </c>
      <c r="P4654" s="12"/>
      <c r="Q4654" s="12">
        <f>+(Tabla1[[#This Row],[COSTO COCHE]]/30)*Tabla1[[#This Row],[TOTAL DIAS PROYECTO]]</f>
        <v>0</v>
      </c>
      <c r="R4654" s="12">
        <f>+Tabla1[[#This Row],[COSTO TOTAL ALOJAMIENTO]]+Tabla1[[#This Row],[COSTO TOTAL COCHE]]</f>
        <v>92.5</v>
      </c>
      <c r="S4654" s="2" t="s">
        <v>403</v>
      </c>
      <c r="T4654" s="14" t="s">
        <v>44</v>
      </c>
      <c r="U4654" s="14">
        <v>45951</v>
      </c>
      <c r="V4654" s="43">
        <v>45954</v>
      </c>
      <c r="W4654" s="71"/>
      <c r="X4654" s="2"/>
      <c r="Y4654" s="11" t="s">
        <v>6733</v>
      </c>
      <c r="Z4654" s="2" t="s">
        <v>36</v>
      </c>
      <c r="AA4654" s="13" t="s">
        <v>10349</v>
      </c>
      <c r="AB4654" s="13" t="s">
        <v>10350</v>
      </c>
    </row>
    <row r="4655" spans="1:28" ht="15" customHeight="1">
      <c r="A4655" s="2" t="s">
        <v>9879</v>
      </c>
      <c r="B4655" s="2" t="s">
        <v>711</v>
      </c>
      <c r="C4655" s="31" t="s">
        <v>5202</v>
      </c>
      <c r="D4655" s="2" t="s">
        <v>99</v>
      </c>
      <c r="E4655" s="2" t="s">
        <v>720</v>
      </c>
      <c r="F4655" s="11" t="s">
        <v>6112</v>
      </c>
      <c r="G4655" s="251" t="s">
        <v>4584</v>
      </c>
      <c r="H4655" s="2" t="s">
        <v>5201</v>
      </c>
      <c r="I4655" s="12" t="s">
        <v>2176</v>
      </c>
      <c r="J4655" s="22">
        <f>+Tabla1[[#This Row],[FECHA ENTRADA]]</f>
        <v>46006</v>
      </c>
      <c r="K4655" s="22">
        <v>46060</v>
      </c>
      <c r="L4655" s="23">
        <f>_xlfn.DAYS(Tabla1[[#This Row],[FECHA FIN ]],Tabla1[[#This Row],[FECHA INICIO]])</f>
        <v>54</v>
      </c>
      <c r="M4655" s="12"/>
      <c r="N4655" s="20">
        <v>175</v>
      </c>
      <c r="O4655" s="24">
        <f>(Tabla1[[#This Row],[COSTO FIJO ]]/30)*Tabla1[[#This Row],[TOTAL DIAS PROYECTO]]+(Tabla1[[#This Row],[COSTO TEMPORAL]])</f>
        <v>315</v>
      </c>
      <c r="P4655" s="12"/>
      <c r="Q4655" s="12">
        <f>+(Tabla1[[#This Row],[COSTO COCHE]]/30)*Tabla1[[#This Row],[TOTAL DIAS PROYECTO]]</f>
        <v>0</v>
      </c>
      <c r="R4655" s="12">
        <f>+Tabla1[[#This Row],[COSTO TOTAL ALOJAMIENTO]]+Tabla1[[#This Row],[COSTO TOTAL COCHE]]</f>
        <v>315</v>
      </c>
      <c r="S4655" s="2"/>
      <c r="T4655" s="14" t="s">
        <v>35</v>
      </c>
      <c r="U4655" s="14">
        <v>46006</v>
      </c>
      <c r="V4655" s="79"/>
      <c r="W4655" s="12">
        <v>175</v>
      </c>
      <c r="X4655" s="2">
        <v>1</v>
      </c>
      <c r="Y4655" s="11" t="s">
        <v>6734</v>
      </c>
      <c r="Z4655" s="2" t="s">
        <v>36</v>
      </c>
      <c r="AA4655" s="13" t="s">
        <v>10394</v>
      </c>
      <c r="AB4655" s="13" t="s">
        <v>10395</v>
      </c>
    </row>
    <row r="4656" spans="1:28" ht="15" customHeight="1">
      <c r="A4656" s="2" t="s">
        <v>9757</v>
      </c>
      <c r="B4656" s="2" t="s">
        <v>711</v>
      </c>
      <c r="C4656" s="31" t="s">
        <v>4575</v>
      </c>
      <c r="D4656" s="2" t="s">
        <v>99</v>
      </c>
      <c r="E4656" s="2" t="s">
        <v>720</v>
      </c>
      <c r="F4656" s="11" t="s">
        <v>5647</v>
      </c>
      <c r="G4656" t="s">
        <v>5648</v>
      </c>
      <c r="H4656" s="2" t="s">
        <v>5649</v>
      </c>
      <c r="I4656" s="12" t="s">
        <v>2176</v>
      </c>
      <c r="J4656" s="22">
        <f>+Tabla1[[#This Row],[FECHA ENTRADA]]</f>
        <v>45867</v>
      </c>
      <c r="K4656" s="22">
        <v>46060</v>
      </c>
      <c r="L4656" s="23">
        <f>_xlfn.DAYS(Tabla1[[#This Row],[FECHA FIN ]],Tabla1[[#This Row],[FECHA INICIO]])</f>
        <v>193</v>
      </c>
      <c r="M4656" s="12"/>
      <c r="N4656" s="24">
        <v>225</v>
      </c>
      <c r="O4656" s="24">
        <f>(Tabla1[[#This Row],[COSTO FIJO ]]/30)*Tabla1[[#This Row],[TOTAL DIAS PROYECTO]]+(Tabla1[[#This Row],[COSTO TEMPORAL]])</f>
        <v>1447.5</v>
      </c>
      <c r="P4656" s="12"/>
      <c r="Q4656" s="12">
        <f>+(Tabla1[[#This Row],[COSTO COCHE]]/30)*Tabla1[[#This Row],[TOTAL DIAS PROYECTO]]</f>
        <v>0</v>
      </c>
      <c r="R4656" s="12">
        <f>+Tabla1[[#This Row],[COSTO TOTAL ALOJAMIENTO]]+Tabla1[[#This Row],[COSTO TOTAL COCHE]]</f>
        <v>1447.5</v>
      </c>
      <c r="S4656" s="2"/>
      <c r="T4656" s="14" t="s">
        <v>35</v>
      </c>
      <c r="U4656" s="14">
        <v>45867</v>
      </c>
      <c r="V4656" s="25"/>
      <c r="W4656" s="12"/>
      <c r="X4656" s="2">
        <v>26</v>
      </c>
      <c r="Y4656" s="11" t="s">
        <v>6734</v>
      </c>
      <c r="Z4656" s="2" t="s">
        <v>36</v>
      </c>
      <c r="AA4656" s="13" t="s">
        <v>10394</v>
      </c>
      <c r="AB4656" s="13" t="s">
        <v>10395</v>
      </c>
    </row>
    <row r="4657" spans="1:28" ht="15" customHeight="1">
      <c r="A4657" s="2" t="s">
        <v>10155</v>
      </c>
      <c r="B4657" s="2" t="s">
        <v>711</v>
      </c>
      <c r="C4657" s="31" t="s">
        <v>6735</v>
      </c>
      <c r="D4657" s="2" t="s">
        <v>30</v>
      </c>
      <c r="E4657" s="2" t="s">
        <v>720</v>
      </c>
      <c r="F4657" s="11" t="s">
        <v>5647</v>
      </c>
      <c r="G4657" t="s">
        <v>5648</v>
      </c>
      <c r="H4657" s="2" t="s">
        <v>6736</v>
      </c>
      <c r="I4657" s="12" t="s">
        <v>2176</v>
      </c>
      <c r="J4657" s="22">
        <f>+Tabla1[[#This Row],[FECHA ENTRADA]]</f>
        <v>45956</v>
      </c>
      <c r="K4657" s="22">
        <v>46060</v>
      </c>
      <c r="L4657" s="23">
        <f>_xlfn.DAYS(Tabla1[[#This Row],[FECHA FIN ]],Tabla1[[#This Row],[FECHA INICIO]])</f>
        <v>104</v>
      </c>
      <c r="M4657" s="12"/>
      <c r="N4657" s="24">
        <v>225</v>
      </c>
      <c r="O4657" s="24">
        <f>(Tabla1[[#This Row],[COSTO FIJO ]]/30)*Tabla1[[#This Row],[TOTAL DIAS PROYECTO]]+(Tabla1[[#This Row],[COSTO TEMPORAL]])</f>
        <v>780</v>
      </c>
      <c r="P4657" s="12"/>
      <c r="Q4657" s="12">
        <f>+(Tabla1[[#This Row],[COSTO COCHE]]/30)*Tabla1[[#This Row],[TOTAL DIAS PROYECTO]]</f>
        <v>0</v>
      </c>
      <c r="R4657" s="12">
        <f>+Tabla1[[#This Row],[COSTO TOTAL ALOJAMIENTO]]+Tabla1[[#This Row],[COSTO TOTAL COCHE]]</f>
        <v>780</v>
      </c>
      <c r="S4657" s="2"/>
      <c r="T4657" s="14" t="s">
        <v>35</v>
      </c>
      <c r="U4657" s="14">
        <v>45956</v>
      </c>
      <c r="V4657" s="79"/>
      <c r="W4657" s="12">
        <v>450</v>
      </c>
      <c r="X4657" s="2">
        <v>26</v>
      </c>
      <c r="Y4657" s="11" t="s">
        <v>6737</v>
      </c>
      <c r="Z4657" s="2" t="s">
        <v>36</v>
      </c>
      <c r="AA4657" s="13" t="s">
        <v>10394</v>
      </c>
      <c r="AB4657" s="13" t="s">
        <v>10395</v>
      </c>
    </row>
    <row r="4658" spans="1:28" ht="15" customHeight="1">
      <c r="A4658" s="2" t="s">
        <v>10067</v>
      </c>
      <c r="B4658" s="2" t="s">
        <v>606</v>
      </c>
      <c r="C4658" s="31" t="s">
        <v>6186</v>
      </c>
      <c r="D4658" s="2" t="s">
        <v>99</v>
      </c>
      <c r="E4658" s="2" t="s">
        <v>259</v>
      </c>
      <c r="F4658" s="11" t="s">
        <v>6517</v>
      </c>
      <c r="G4658" s="21"/>
      <c r="H4658" s="2" t="s">
        <v>6263</v>
      </c>
      <c r="I4658" s="12" t="s">
        <v>57</v>
      </c>
      <c r="J4658" s="22">
        <f>+Tabla1[[#This Row],[FECHA ENTRADA]]</f>
        <v>46023</v>
      </c>
      <c r="K4658" s="22">
        <v>46061</v>
      </c>
      <c r="L4658" s="23">
        <f>_xlfn.DAYS(Tabla1[[#This Row],[FECHA FIN ]],Tabla1[[#This Row],[FECHA INICIO]])</f>
        <v>38</v>
      </c>
      <c r="M4658" s="12"/>
      <c r="N4658" s="20">
        <v>300</v>
      </c>
      <c r="O4658" s="24">
        <f>(Tabla1[[#This Row],[COSTO FIJO ]]/30)*Tabla1[[#This Row],[TOTAL DIAS PROYECTO]]+(Tabla1[[#This Row],[COSTO TEMPORAL]])</f>
        <v>380</v>
      </c>
      <c r="P4658" s="12"/>
      <c r="Q4658" s="12">
        <f>+(Tabla1[[#This Row],[COSTO COCHE]]/30)*Tabla1[[#This Row],[TOTAL DIAS PROYECTO]]</f>
        <v>0</v>
      </c>
      <c r="R4658" s="12">
        <f>+Tabla1[[#This Row],[COSTO TOTAL ALOJAMIENTO]]+Tabla1[[#This Row],[COSTO TOTAL COCHE]]</f>
        <v>380</v>
      </c>
      <c r="S4658" s="2"/>
      <c r="T4658" s="14" t="s">
        <v>58</v>
      </c>
      <c r="U4658" s="14">
        <v>46023</v>
      </c>
      <c r="V4658" s="79"/>
      <c r="W4658" s="12"/>
      <c r="X4658" s="2"/>
      <c r="Y4658" s="11" t="s">
        <v>6738</v>
      </c>
      <c r="Z4658" s="2" t="s">
        <v>36</v>
      </c>
      <c r="AA4658" s="13">
        <v>-0.87734000000000001</v>
      </c>
      <c r="AB4658" s="13" t="s">
        <v>10359</v>
      </c>
    </row>
    <row r="4659" spans="1:28" ht="15" customHeight="1">
      <c r="A4659" s="2" t="s">
        <v>9066</v>
      </c>
      <c r="B4659" s="2" t="s">
        <v>28</v>
      </c>
      <c r="C4659" s="31" t="s">
        <v>1852</v>
      </c>
      <c r="D4659" s="2" t="s">
        <v>99</v>
      </c>
      <c r="E4659" s="2" t="s">
        <v>31</v>
      </c>
      <c r="F4659" s="11" t="s">
        <v>5421</v>
      </c>
      <c r="G4659" s="128" t="s">
        <v>5422</v>
      </c>
      <c r="H4659" s="2" t="s">
        <v>2405</v>
      </c>
      <c r="I4659" s="12" t="s">
        <v>347</v>
      </c>
      <c r="J4659" s="22">
        <f>+Tabla1[[#This Row],[FECHA ENTRADA]]</f>
        <v>45806</v>
      </c>
      <c r="K4659" s="8">
        <v>46062</v>
      </c>
      <c r="L4659" s="23">
        <f>_xlfn.DAYS(Tabla1[[#This Row],[FECHA FIN ]],Tabla1[[#This Row],[FECHA INICIO]])</f>
        <v>256</v>
      </c>
      <c r="M4659" s="12"/>
      <c r="N4659" s="12">
        <v>433.33333333333331</v>
      </c>
      <c r="O4659" s="24">
        <f>(Tabla1[[#This Row],[COSTO FIJO ]]/30)*Tabla1[[#This Row],[TOTAL DIAS PROYECTO]]+(Tabla1[[#This Row],[COSTO TEMPORAL]])</f>
        <v>3697.7777777777778</v>
      </c>
      <c r="P4659" s="12"/>
      <c r="Q4659" s="12">
        <f>+(Tabla1[[#This Row],[COSTO COCHE]]/30)*Tabla1[[#This Row],[TOTAL DIAS PROYECTO]]</f>
        <v>0</v>
      </c>
      <c r="R4659" s="12">
        <f>+Tabla1[[#This Row],[COSTO TOTAL ALOJAMIENTO]]+Tabla1[[#This Row],[COSTO TOTAL COCHE]]</f>
        <v>3697.7777777777778</v>
      </c>
      <c r="S4659" s="2"/>
      <c r="T4659" s="2" t="s">
        <v>35</v>
      </c>
      <c r="U4659" s="14">
        <v>45806</v>
      </c>
      <c r="V4659" s="180"/>
      <c r="W4659" s="71">
        <v>1300</v>
      </c>
      <c r="X4659" s="2">
        <v>1</v>
      </c>
      <c r="Y4659" s="11" t="s">
        <v>6739</v>
      </c>
      <c r="Z4659" s="2" t="s">
        <v>36</v>
      </c>
      <c r="AA4659" s="13" t="s">
        <v>10323</v>
      </c>
      <c r="AB4659" s="13" t="s">
        <v>10324</v>
      </c>
    </row>
    <row r="4660" spans="1:28" ht="15" customHeight="1">
      <c r="A4660" s="2" t="s">
        <v>9905</v>
      </c>
      <c r="B4660" s="2" t="s">
        <v>711</v>
      </c>
      <c r="C4660" s="31" t="s">
        <v>5322</v>
      </c>
      <c r="D4660" s="2" t="s">
        <v>99</v>
      </c>
      <c r="E4660" s="2" t="s">
        <v>31</v>
      </c>
      <c r="F4660" s="11" t="s">
        <v>451</v>
      </c>
      <c r="G4660" s="118" t="s">
        <v>452</v>
      </c>
      <c r="H4660" s="2" t="s">
        <v>6152</v>
      </c>
      <c r="I4660" s="12" t="s">
        <v>2391</v>
      </c>
      <c r="J4660" s="41">
        <f>+Tabla1[[#This Row],[FECHA ENTRADA]]</f>
        <v>45981</v>
      </c>
      <c r="K4660" s="41">
        <v>46062</v>
      </c>
      <c r="L4660" s="42">
        <f>_xlfn.DAYS(Tabla1[[#This Row],[FECHA FIN ]],Tabla1[[#This Row],[FECHA INICIO]])</f>
        <v>81</v>
      </c>
      <c r="M4660" s="12"/>
      <c r="N4660" s="12">
        <v>283.33333333333331</v>
      </c>
      <c r="O4660" s="28">
        <f>(Tabla1[[#This Row],[COSTO FIJO ]]/30)*Tabla1[[#This Row],[TOTAL DIAS PROYECTO]]+(Tabla1[[#This Row],[COSTO TEMPORAL]])</f>
        <v>765</v>
      </c>
      <c r="P4660" s="12"/>
      <c r="Q4660" s="12">
        <f>+(Tabla1[[#This Row],[COSTO COCHE]]/30)*Tabla1[[#This Row],[TOTAL DIAS PROYECTO]]</f>
        <v>0</v>
      </c>
      <c r="R4660" s="12">
        <f>+Tabla1[[#This Row],[COSTO TOTAL ALOJAMIENTO]]+Tabla1[[#This Row],[COSTO TOTAL COCHE]]</f>
        <v>765</v>
      </c>
      <c r="S4660" s="2"/>
      <c r="T4660" s="14" t="s">
        <v>35</v>
      </c>
      <c r="U4660" s="14">
        <v>45981</v>
      </c>
      <c r="V4660" s="43"/>
      <c r="W4660" s="12"/>
      <c r="X4660" s="2">
        <v>1</v>
      </c>
      <c r="Y4660" s="11" t="s">
        <v>6740</v>
      </c>
      <c r="Z4660" s="2" t="s">
        <v>36</v>
      </c>
      <c r="AA4660" s="13" t="s">
        <v>10323</v>
      </c>
      <c r="AB4660" s="13" t="s">
        <v>10324</v>
      </c>
    </row>
    <row r="4661" spans="1:28" ht="15" customHeight="1">
      <c r="A4661" s="2" t="s">
        <v>10156</v>
      </c>
      <c r="B4661" s="2" t="s">
        <v>978</v>
      </c>
      <c r="C4661" s="31" t="s">
        <v>6741</v>
      </c>
      <c r="D4661" s="2" t="s">
        <v>30</v>
      </c>
      <c r="E4661" s="2" t="s">
        <v>31</v>
      </c>
      <c r="F4661" s="11" t="s">
        <v>451</v>
      </c>
      <c r="G4661" s="118" t="s">
        <v>452</v>
      </c>
      <c r="H4661" s="2" t="s">
        <v>6742</v>
      </c>
      <c r="I4661" s="12" t="s">
        <v>2391</v>
      </c>
      <c r="J4661" s="41">
        <f>+Tabla1[[#This Row],[FECHA ENTRADA]]</f>
        <v>46057</v>
      </c>
      <c r="K4661" s="22">
        <v>46062</v>
      </c>
      <c r="L4661" s="42">
        <f>_xlfn.DAYS(Tabla1[[#This Row],[FECHA FIN ]],Tabla1[[#This Row],[FECHA INICIO]])</f>
        <v>5</v>
      </c>
      <c r="M4661" s="12"/>
      <c r="N4661" s="12">
        <v>283.33333333333331</v>
      </c>
      <c r="O4661" s="28">
        <f>(Tabla1[[#This Row],[COSTO FIJO ]]/30)*Tabla1[[#This Row],[TOTAL DIAS PROYECTO]]+(Tabla1[[#This Row],[COSTO TEMPORAL]])</f>
        <v>47.222222222222221</v>
      </c>
      <c r="P4661" s="12"/>
      <c r="Q4661" s="12">
        <f>+(Tabla1[[#This Row],[COSTO COCHE]]/30)*Tabla1[[#This Row],[TOTAL DIAS PROYECTO]]</f>
        <v>0</v>
      </c>
      <c r="R4661" s="12">
        <f>+Tabla1[[#This Row],[COSTO TOTAL ALOJAMIENTO]]+Tabla1[[#This Row],[COSTO TOTAL COCHE]]</f>
        <v>47.222222222222221</v>
      </c>
      <c r="S4661" s="2"/>
      <c r="T4661" s="14" t="s">
        <v>35</v>
      </c>
      <c r="U4661" s="14">
        <v>46057</v>
      </c>
      <c r="V4661" s="43"/>
      <c r="W4661" s="12"/>
      <c r="X4661" s="2">
        <v>1</v>
      </c>
      <c r="Y4661" s="11" t="s">
        <v>6743</v>
      </c>
      <c r="Z4661" s="2" t="s">
        <v>36</v>
      </c>
      <c r="AA4661" s="13" t="s">
        <v>10323</v>
      </c>
      <c r="AB4661" s="13" t="s">
        <v>10324</v>
      </c>
    </row>
    <row r="4662" spans="1:28" ht="15" customHeight="1">
      <c r="A4662" s="2" t="s">
        <v>9770</v>
      </c>
      <c r="B4662" s="2" t="s">
        <v>711</v>
      </c>
      <c r="C4662" s="31" t="s">
        <v>4661</v>
      </c>
      <c r="D4662" s="2" t="s">
        <v>99</v>
      </c>
      <c r="E4662" s="2" t="s">
        <v>626</v>
      </c>
      <c r="F4662" s="11" t="s">
        <v>6744</v>
      </c>
      <c r="G4662" s="128" t="s">
        <v>6745</v>
      </c>
      <c r="H4662" s="2" t="s">
        <v>4728</v>
      </c>
      <c r="I4662" s="12" t="s">
        <v>570</v>
      </c>
      <c r="J4662" s="22">
        <f>+Tabla1[[#This Row],[FECHA ENTRADA]]</f>
        <v>46053</v>
      </c>
      <c r="K4662" s="22">
        <v>46062</v>
      </c>
      <c r="L4662" s="23">
        <f>_xlfn.DAYS(Tabla1[[#This Row],[FECHA FIN ]],Tabla1[[#This Row],[FECHA INICIO]])</f>
        <v>9</v>
      </c>
      <c r="M4662" s="12"/>
      <c r="N4662" s="20">
        <v>433.33333333333331</v>
      </c>
      <c r="O4662" s="24">
        <f>(Tabla1[[#This Row],[COSTO FIJO ]]/30)*Tabla1[[#This Row],[TOTAL DIAS PROYECTO]]+(Tabla1[[#This Row],[COSTO TEMPORAL]])</f>
        <v>130</v>
      </c>
      <c r="P4662" s="12"/>
      <c r="Q4662" s="12">
        <f>+(Tabla1[[#This Row],[COSTO COCHE]]/30)*Tabla1[[#This Row],[TOTAL DIAS PROYECTO]]</f>
        <v>0</v>
      </c>
      <c r="R4662" s="12">
        <f>+Tabla1[[#This Row],[COSTO TOTAL ALOJAMIENTO]]+Tabla1[[#This Row],[COSTO TOTAL COCHE]]</f>
        <v>130</v>
      </c>
      <c r="S4662" s="2"/>
      <c r="T4662" s="14" t="s">
        <v>35</v>
      </c>
      <c r="U4662" s="14">
        <v>46053</v>
      </c>
      <c r="V4662" s="79"/>
      <c r="W4662" s="12"/>
      <c r="X4662" s="2">
        <v>1</v>
      </c>
      <c r="Y4662" s="302" t="s">
        <v>6746</v>
      </c>
      <c r="Z4662" s="2" t="s">
        <v>36</v>
      </c>
      <c r="AA4662" s="13" t="s">
        <v>10385</v>
      </c>
      <c r="AB4662" s="13" t="s">
        <v>10386</v>
      </c>
    </row>
    <row r="4663" spans="1:28" ht="15" customHeight="1">
      <c r="A4663" s="2" t="s">
        <v>9130</v>
      </c>
      <c r="B4663" s="2" t="s">
        <v>711</v>
      </c>
      <c r="C4663" s="31" t="s">
        <v>2126</v>
      </c>
      <c r="D4663" s="2" t="s">
        <v>30</v>
      </c>
      <c r="E4663" s="2" t="s">
        <v>626</v>
      </c>
      <c r="F4663" s="11" t="s">
        <v>6744</v>
      </c>
      <c r="G4663" s="128" t="s">
        <v>6745</v>
      </c>
      <c r="H4663" s="2" t="s">
        <v>6700</v>
      </c>
      <c r="I4663" s="12" t="s">
        <v>570</v>
      </c>
      <c r="J4663" s="22">
        <f>+Tabla1[[#This Row],[FECHA ENTRADA]]</f>
        <v>46053</v>
      </c>
      <c r="K4663" s="22">
        <v>46062</v>
      </c>
      <c r="L4663" s="23">
        <f>_xlfn.DAYS(Tabla1[[#This Row],[FECHA FIN ]],Tabla1[[#This Row],[FECHA INICIO]])</f>
        <v>9</v>
      </c>
      <c r="M4663" s="12"/>
      <c r="N4663" s="20">
        <v>433.33333333333331</v>
      </c>
      <c r="O4663" s="24">
        <f>(Tabla1[[#This Row],[COSTO FIJO ]]/30)*Tabla1[[#This Row],[TOTAL DIAS PROYECTO]]+(Tabla1[[#This Row],[COSTO TEMPORAL]])</f>
        <v>130</v>
      </c>
      <c r="P4663" s="12"/>
      <c r="Q4663" s="12">
        <f>+(Tabla1[[#This Row],[COSTO COCHE]]/30)*Tabla1[[#This Row],[TOTAL DIAS PROYECTO]]</f>
        <v>0</v>
      </c>
      <c r="R4663" s="12">
        <f>+Tabla1[[#This Row],[COSTO TOTAL ALOJAMIENTO]]+Tabla1[[#This Row],[COSTO TOTAL COCHE]]</f>
        <v>130</v>
      </c>
      <c r="S4663" s="2"/>
      <c r="T4663" s="14" t="s">
        <v>35</v>
      </c>
      <c r="U4663" s="14">
        <v>46053</v>
      </c>
      <c r="V4663" s="79"/>
      <c r="W4663" s="12"/>
      <c r="X4663" s="2">
        <v>1</v>
      </c>
      <c r="Y4663" s="302" t="s">
        <v>6747</v>
      </c>
      <c r="Z4663" s="2" t="s">
        <v>36</v>
      </c>
      <c r="AA4663" s="13" t="s">
        <v>10385</v>
      </c>
      <c r="AB4663" s="13" t="s">
        <v>10386</v>
      </c>
    </row>
    <row r="4664" spans="1:28" ht="15" customHeight="1">
      <c r="A4664" s="2" t="s">
        <v>9747</v>
      </c>
      <c r="B4664" s="2" t="s">
        <v>711</v>
      </c>
      <c r="C4664" s="31" t="s">
        <v>4547</v>
      </c>
      <c r="D4664" s="2" t="s">
        <v>30</v>
      </c>
      <c r="E4664" s="2" t="s">
        <v>31</v>
      </c>
      <c r="F4664" s="11" t="s">
        <v>451</v>
      </c>
      <c r="G4664" s="289" t="s">
        <v>452</v>
      </c>
      <c r="H4664" s="2" t="s">
        <v>6550</v>
      </c>
      <c r="I4664" s="12" t="s">
        <v>5085</v>
      </c>
      <c r="J4664" s="22">
        <f>+Tabla1[[#This Row],[FECHA ENTRADA]]</f>
        <v>45942</v>
      </c>
      <c r="K4664" s="22">
        <v>46062</v>
      </c>
      <c r="L4664" s="23">
        <f>_xlfn.DAYS(Tabla1[[#This Row],[FECHA FIN ]],Tabla1[[#This Row],[FECHA INICIO]])</f>
        <v>120</v>
      </c>
      <c r="M4664" s="12"/>
      <c r="N4664" s="12">
        <v>283.33333333333331</v>
      </c>
      <c r="O4664" s="24">
        <f>(Tabla1[[#This Row],[COSTO FIJO ]]/30)*Tabla1[[#This Row],[TOTAL DIAS PROYECTO]]+(Tabla1[[#This Row],[COSTO TEMPORAL]])</f>
        <v>1133.3333333333333</v>
      </c>
      <c r="P4664" s="12"/>
      <c r="Q4664" s="12">
        <f>+(Tabla1[[#This Row],[COSTO COCHE]]/30)*Tabla1[[#This Row],[TOTAL DIAS PROYECTO]]</f>
        <v>0</v>
      </c>
      <c r="R4664" s="12">
        <f>+Tabla1[[#This Row],[COSTO TOTAL ALOJAMIENTO]]+Tabla1[[#This Row],[COSTO TOTAL COCHE]]</f>
        <v>1133.3333333333333</v>
      </c>
      <c r="S4664" s="2"/>
      <c r="T4664" s="14" t="s">
        <v>35</v>
      </c>
      <c r="U4664" s="14">
        <v>45942</v>
      </c>
      <c r="V4664" s="25"/>
      <c r="W4664" s="71"/>
      <c r="X4664" s="2">
        <v>1</v>
      </c>
      <c r="Y4664" s="11" t="s">
        <v>6748</v>
      </c>
      <c r="Z4664" s="2" t="s">
        <v>36</v>
      </c>
      <c r="AA4664" s="13" t="s">
        <v>10323</v>
      </c>
      <c r="AB4664" s="13" t="s">
        <v>10324</v>
      </c>
    </row>
    <row r="4665" spans="1:28" ht="15" customHeight="1">
      <c r="A4665" s="2" t="s">
        <v>9519</v>
      </c>
      <c r="B4665" s="2" t="s">
        <v>711</v>
      </c>
      <c r="C4665" s="31" t="s">
        <v>3513</v>
      </c>
      <c r="D4665" s="2" t="s">
        <v>30</v>
      </c>
      <c r="E4665" s="2" t="s">
        <v>626</v>
      </c>
      <c r="F4665" s="11" t="s">
        <v>6749</v>
      </c>
      <c r="G4665" s="128" t="s">
        <v>6745</v>
      </c>
      <c r="H4665" s="2" t="s">
        <v>5810</v>
      </c>
      <c r="I4665" s="12" t="s">
        <v>570</v>
      </c>
      <c r="J4665" s="22">
        <f>+Tabla1[[#This Row],[FECHA ENTRADA]]</f>
        <v>46053</v>
      </c>
      <c r="K4665" s="22">
        <v>46062</v>
      </c>
      <c r="L4665" s="23">
        <f>_xlfn.DAYS(Tabla1[[#This Row],[FECHA FIN ]],Tabla1[[#This Row],[FECHA INICIO]])</f>
        <v>9</v>
      </c>
      <c r="M4665" s="12"/>
      <c r="N4665" s="20">
        <v>250</v>
      </c>
      <c r="O4665" s="24">
        <f>(Tabla1[[#This Row],[COSTO FIJO ]]/30)*Tabla1[[#This Row],[TOTAL DIAS PROYECTO]]+(Tabla1[[#This Row],[COSTO TEMPORAL]])</f>
        <v>75</v>
      </c>
      <c r="P4665" s="12"/>
      <c r="Q4665" s="12">
        <f>+(Tabla1[[#This Row],[COSTO COCHE]]/30)*Tabla1[[#This Row],[TOTAL DIAS PROYECTO]]</f>
        <v>0</v>
      </c>
      <c r="R4665" s="12">
        <f>+Tabla1[[#This Row],[COSTO TOTAL ALOJAMIENTO]]+Tabla1[[#This Row],[COSTO TOTAL COCHE]]</f>
        <v>75</v>
      </c>
      <c r="S4665" s="2"/>
      <c r="T4665" s="14" t="s">
        <v>35</v>
      </c>
      <c r="U4665" s="14">
        <v>46053</v>
      </c>
      <c r="V4665" s="79"/>
      <c r="W4665" s="12">
        <v>500</v>
      </c>
      <c r="X4665" s="2">
        <v>1</v>
      </c>
      <c r="Y4665" s="267" t="s">
        <v>6622</v>
      </c>
      <c r="Z4665" s="2" t="s">
        <v>36</v>
      </c>
      <c r="AA4665" s="13" t="s">
        <v>10385</v>
      </c>
      <c r="AB4665" s="13" t="s">
        <v>10386</v>
      </c>
    </row>
    <row r="4666" spans="1:28" ht="15" customHeight="1">
      <c r="A4666" s="2" t="s">
        <v>10144</v>
      </c>
      <c r="B4666" s="2" t="s">
        <v>711</v>
      </c>
      <c r="C4666" s="69" t="s">
        <v>6625</v>
      </c>
      <c r="D4666" s="2" t="s">
        <v>30</v>
      </c>
      <c r="E4666" s="2" t="s">
        <v>626</v>
      </c>
      <c r="F4666" s="11" t="s">
        <v>1037</v>
      </c>
      <c r="G4666" s="118" t="s">
        <v>1038</v>
      </c>
      <c r="H4666" s="2" t="s">
        <v>5933</v>
      </c>
      <c r="I4666" s="12" t="s">
        <v>570</v>
      </c>
      <c r="J4666" s="22">
        <f>+Tabla1[[#This Row],[FECHA ENTRADA]]</f>
        <v>46041</v>
      </c>
      <c r="K4666" s="22">
        <v>46041</v>
      </c>
      <c r="L4666" s="23">
        <f>_xlfn.DAYS(Tabla1[[#This Row],[FECHA FIN ]],Tabla1[[#This Row],[FECHA INICIO]])</f>
        <v>0</v>
      </c>
      <c r="M4666" s="12"/>
      <c r="N4666" s="20">
        <v>366.66666666666669</v>
      </c>
      <c r="O4666" s="24">
        <f>(Tabla1[[#This Row],[COSTO FIJO ]]/30)*Tabla1[[#This Row],[TOTAL DIAS PROYECTO]]+(Tabla1[[#This Row],[COSTO TEMPORAL]])</f>
        <v>0</v>
      </c>
      <c r="P4666" s="12"/>
      <c r="Q4666" s="12">
        <f>+(Tabla1[[#This Row],[COSTO COCHE]]/30)*Tabla1[[#This Row],[TOTAL DIAS PROYECTO]]</f>
        <v>0</v>
      </c>
      <c r="R4666" s="12">
        <f>+Tabla1[[#This Row],[COSTO TOTAL ALOJAMIENTO]]+Tabla1[[#This Row],[COSTO TOTAL COCHE]]</f>
        <v>0</v>
      </c>
      <c r="S4666" s="2"/>
      <c r="T4666" s="14" t="s">
        <v>35</v>
      </c>
      <c r="U4666" s="14">
        <v>46041</v>
      </c>
      <c r="V4666" s="79"/>
      <c r="W4666" s="12"/>
      <c r="X4666" s="2">
        <v>5</v>
      </c>
      <c r="Y4666" s="11" t="s">
        <v>6750</v>
      </c>
      <c r="Z4666" s="2" t="s">
        <v>36</v>
      </c>
      <c r="AA4666" s="13" t="s">
        <v>10385</v>
      </c>
      <c r="AB4666" s="13" t="s">
        <v>10386</v>
      </c>
    </row>
    <row r="4667" spans="1:28" ht="15" customHeight="1">
      <c r="A4667" s="2" t="s">
        <v>9765</v>
      </c>
      <c r="B4667" s="2" t="s">
        <v>711</v>
      </c>
      <c r="C4667" s="31" t="s">
        <v>4648</v>
      </c>
      <c r="D4667" s="2" t="s">
        <v>30</v>
      </c>
      <c r="E4667" s="2" t="s">
        <v>31</v>
      </c>
      <c r="F4667" s="11" t="s">
        <v>6715</v>
      </c>
      <c r="G4667" s="21" t="s">
        <v>6474</v>
      </c>
      <c r="H4667" s="2" t="s">
        <v>6452</v>
      </c>
      <c r="I4667" s="12" t="s">
        <v>5531</v>
      </c>
      <c r="J4667" s="22">
        <f>+Tabla1[[#This Row],[FECHA ENTRADA]]</f>
        <v>46021</v>
      </c>
      <c r="K4667" s="22">
        <v>46062</v>
      </c>
      <c r="L4667" s="23">
        <f>_xlfn.DAYS(Tabla1[[#This Row],[FECHA FIN ]],Tabla1[[#This Row],[FECHA INICIO]])</f>
        <v>41</v>
      </c>
      <c r="M4667" s="12"/>
      <c r="N4667" s="20"/>
      <c r="O4667" s="24">
        <f>(Tabla1[[#This Row],[COSTO FIJO ]]/30)*Tabla1[[#This Row],[TOTAL DIAS PROYECTO]]+(Tabla1[[#This Row],[COSTO TEMPORAL]])</f>
        <v>0</v>
      </c>
      <c r="P4667" s="12"/>
      <c r="Q4667" s="12">
        <f>+(Tabla1[[#This Row],[COSTO COCHE]]/30)*Tabla1[[#This Row],[TOTAL DIAS PROYECTO]]</f>
        <v>0</v>
      </c>
      <c r="R4667" s="12">
        <f>+Tabla1[[#This Row],[COSTO TOTAL ALOJAMIENTO]]+Tabla1[[#This Row],[COSTO TOTAL COCHE]]</f>
        <v>0</v>
      </c>
      <c r="S4667" s="2"/>
      <c r="T4667" s="14" t="s">
        <v>35</v>
      </c>
      <c r="U4667" s="14">
        <v>46021</v>
      </c>
      <c r="V4667" s="79"/>
      <c r="W4667" s="12"/>
      <c r="X4667" s="2">
        <v>28</v>
      </c>
      <c r="Y4667" s="202" t="s">
        <v>6751</v>
      </c>
      <c r="Z4667" s="2" t="s">
        <v>36</v>
      </c>
      <c r="AA4667" s="13" t="s">
        <v>10323</v>
      </c>
      <c r="AB4667" s="13" t="s">
        <v>10324</v>
      </c>
    </row>
    <row r="4668" spans="1:28" ht="15" customHeight="1">
      <c r="A4668" s="2" t="s">
        <v>10045</v>
      </c>
      <c r="B4668" s="2" t="s">
        <v>978</v>
      </c>
      <c r="C4668" s="31" t="s">
        <v>6042</v>
      </c>
      <c r="D4668" s="2" t="s">
        <v>99</v>
      </c>
      <c r="E4668" s="2" t="s">
        <v>259</v>
      </c>
      <c r="F4668" s="11" t="s">
        <v>5662</v>
      </c>
      <c r="G4668" s="197" t="s">
        <v>4207</v>
      </c>
      <c r="H4668" s="2" t="s">
        <v>5436</v>
      </c>
      <c r="I4668" s="12" t="s">
        <v>3356</v>
      </c>
      <c r="J4668" s="41">
        <f>+Tabla1[[#This Row],[FECHA ENTRADA]]</f>
        <v>45970</v>
      </c>
      <c r="K4668" s="22">
        <v>46063</v>
      </c>
      <c r="L4668" s="42">
        <f>_xlfn.DAYS(Tabla1[[#This Row],[FECHA FIN ]],Tabla1[[#This Row],[FECHA INICIO]])</f>
        <v>93</v>
      </c>
      <c r="M4668" s="12"/>
      <c r="N4668" s="28">
        <v>400</v>
      </c>
      <c r="O4668" s="28">
        <f>(Tabla1[[#This Row],[COSTO FIJO ]]/30)*Tabla1[[#This Row],[TOTAL DIAS PROYECTO]]+(Tabla1[[#This Row],[COSTO TEMPORAL]])</f>
        <v>1240</v>
      </c>
      <c r="P4668" s="12"/>
      <c r="Q4668" s="12">
        <f>+(Tabla1[[#This Row],[COSTO COCHE]]/30)*Tabla1[[#This Row],[TOTAL DIAS PROYECTO]]</f>
        <v>0</v>
      </c>
      <c r="R4668" s="12">
        <f>+Tabla1[[#This Row],[COSTO TOTAL ALOJAMIENTO]]+Tabla1[[#This Row],[COSTO TOTAL COCHE]]</f>
        <v>1240</v>
      </c>
      <c r="S4668" s="2"/>
      <c r="T4668" s="14" t="s">
        <v>35</v>
      </c>
      <c r="U4668" s="14">
        <v>45970</v>
      </c>
      <c r="V4668" s="43"/>
      <c r="W4668" s="71"/>
      <c r="X4668" s="2">
        <v>5</v>
      </c>
      <c r="Y4668" s="11" t="s">
        <v>6752</v>
      </c>
      <c r="Z4668" s="2" t="s">
        <v>36</v>
      </c>
      <c r="AA4668" s="13">
        <v>-0.87734000000000001</v>
      </c>
      <c r="AB4668" s="13" t="s">
        <v>10359</v>
      </c>
    </row>
    <row r="4669" spans="1:28" ht="15" customHeight="1">
      <c r="A4669" s="2" t="s">
        <v>9796</v>
      </c>
      <c r="B4669" s="2" t="s">
        <v>978</v>
      </c>
      <c r="C4669" s="11" t="s">
        <v>4773</v>
      </c>
      <c r="D4669" s="2" t="s">
        <v>30</v>
      </c>
      <c r="E4669" s="2" t="s">
        <v>127</v>
      </c>
      <c r="F4669" s="11" t="s">
        <v>1106</v>
      </c>
      <c r="G4669" s="21"/>
      <c r="H4669" s="2" t="s">
        <v>6753</v>
      </c>
      <c r="I4669" s="12" t="s">
        <v>4255</v>
      </c>
      <c r="J4669" s="22">
        <f>+Tabla1[[#This Row],[FECHA ENTRADA]]</f>
        <v>46036</v>
      </c>
      <c r="K4669" s="22">
        <v>46063</v>
      </c>
      <c r="L4669" s="23">
        <f>_xlfn.DAYS(Tabla1[[#This Row],[FECHA FIN ]],Tabla1[[#This Row],[FECHA INICIO]])</f>
        <v>27</v>
      </c>
      <c r="M4669" s="12"/>
      <c r="N4669" s="20"/>
      <c r="O4669" s="24">
        <f>(Tabla1[[#This Row],[COSTO FIJO ]]/30)*Tabla1[[#This Row],[TOTAL DIAS PROYECTO]]+(Tabla1[[#This Row],[COSTO TEMPORAL]])</f>
        <v>0</v>
      </c>
      <c r="P4669" s="12"/>
      <c r="Q4669" s="12">
        <f>+(Tabla1[[#This Row],[COSTO COCHE]]/30)*Tabla1[[#This Row],[TOTAL DIAS PROYECTO]]</f>
        <v>0</v>
      </c>
      <c r="R4669" s="12">
        <f>+Tabla1[[#This Row],[COSTO TOTAL ALOJAMIENTO]]+Tabla1[[#This Row],[COSTO TOTAL COCHE]]</f>
        <v>0</v>
      </c>
      <c r="S4669" s="2"/>
      <c r="T4669" s="2" t="s">
        <v>8</v>
      </c>
      <c r="U4669" s="14">
        <v>46036</v>
      </c>
      <c r="V4669" s="79">
        <v>46059</v>
      </c>
      <c r="W4669" s="12"/>
      <c r="X4669" s="2"/>
      <c r="Y4669" s="11" t="s">
        <v>6754</v>
      </c>
      <c r="Z4669" s="2" t="s">
        <v>36</v>
      </c>
      <c r="AA4669" s="13" t="s">
        <v>10342</v>
      </c>
      <c r="AB4669" s="13" t="s">
        <v>10343</v>
      </c>
    </row>
    <row r="4670" spans="1:28" ht="15" customHeight="1">
      <c r="A4670" s="2" t="s">
        <v>10032</v>
      </c>
      <c r="B4670" s="2" t="s">
        <v>711</v>
      </c>
      <c r="C4670" s="11" t="s">
        <v>6001</v>
      </c>
      <c r="D4670" s="2" t="s">
        <v>30</v>
      </c>
      <c r="E4670" s="2" t="s">
        <v>2378</v>
      </c>
      <c r="F4670" s="11" t="s">
        <v>6626</v>
      </c>
      <c r="G4670" s="21" t="s">
        <v>6627</v>
      </c>
      <c r="H4670" s="2" t="s">
        <v>6755</v>
      </c>
      <c r="I4670" s="12" t="s">
        <v>1392</v>
      </c>
      <c r="J4670" s="22">
        <f>+Tabla1[[#This Row],[FECHA ENTRADA]]</f>
        <v>46029</v>
      </c>
      <c r="K4670" s="22">
        <v>46063</v>
      </c>
      <c r="L4670" s="23">
        <f>_xlfn.DAYS(Tabla1[[#This Row],[FECHA FIN ]],Tabla1[[#This Row],[FECHA INICIO]])</f>
        <v>34</v>
      </c>
      <c r="M4670" s="12">
        <f>(1493.36+192.7)/4</f>
        <v>421.51499999999999</v>
      </c>
      <c r="N4670" s="20"/>
      <c r="O4670" s="24">
        <f>(Tabla1[[#This Row],[COSTO FIJO ]]/30)*Tabla1[[#This Row],[TOTAL DIAS PROYECTO]]+(Tabla1[[#This Row],[COSTO TEMPORAL]])</f>
        <v>421.51499999999999</v>
      </c>
      <c r="P4670" s="12"/>
      <c r="Q4670" s="12">
        <f>+(Tabla1[[#This Row],[COSTO COCHE]]/30)*Tabla1[[#This Row],[TOTAL DIAS PROYECTO]]</f>
        <v>0</v>
      </c>
      <c r="R4670" s="12">
        <f>+Tabla1[[#This Row],[COSTO TOTAL ALOJAMIENTO]]+Tabla1[[#This Row],[COSTO TOTAL COCHE]]</f>
        <v>421.51499999999999</v>
      </c>
      <c r="S4670" s="2" t="s">
        <v>84</v>
      </c>
      <c r="T4670" s="14" t="s">
        <v>44</v>
      </c>
      <c r="U4670" s="14">
        <v>46029</v>
      </c>
      <c r="V4670" s="79">
        <v>46064</v>
      </c>
      <c r="W4670" s="12"/>
      <c r="X4670" s="2"/>
      <c r="Y4670" s="11" t="s">
        <v>6756</v>
      </c>
      <c r="Z4670" s="2" t="s">
        <v>36</v>
      </c>
      <c r="AA4670" s="13" t="e">
        <v>#N/A</v>
      </c>
      <c r="AB4670" s="13" t="e">
        <v>#N/A</v>
      </c>
    </row>
    <row r="4671" spans="1:28" ht="15" customHeight="1">
      <c r="A4671" s="2" t="s">
        <v>10134</v>
      </c>
      <c r="B4671" s="2" t="s">
        <v>711</v>
      </c>
      <c r="C4671" s="11" t="s">
        <v>6567</v>
      </c>
      <c r="D4671" s="2" t="s">
        <v>30</v>
      </c>
      <c r="E4671" s="2" t="s">
        <v>2378</v>
      </c>
      <c r="F4671" s="11" t="s">
        <v>6626</v>
      </c>
      <c r="G4671" s="21" t="s">
        <v>6627</v>
      </c>
      <c r="H4671" s="2" t="s">
        <v>6757</v>
      </c>
      <c r="I4671" s="12" t="s">
        <v>1392</v>
      </c>
      <c r="J4671" s="22">
        <f>+Tabla1[[#This Row],[FECHA ENTRADA]]</f>
        <v>46040</v>
      </c>
      <c r="K4671" s="22">
        <v>46063</v>
      </c>
      <c r="L4671" s="23">
        <f>_xlfn.DAYS(Tabla1[[#This Row],[FECHA FIN ]],Tabla1[[#This Row],[FECHA INICIO]])</f>
        <v>23</v>
      </c>
      <c r="M4671" s="12">
        <f>(1493.36+192.7)/4</f>
        <v>421.51499999999999</v>
      </c>
      <c r="N4671" s="20"/>
      <c r="O4671" s="24">
        <f>(Tabla1[[#This Row],[COSTO FIJO ]]/30)*Tabla1[[#This Row],[TOTAL DIAS PROYECTO]]+(Tabla1[[#This Row],[COSTO TEMPORAL]])</f>
        <v>421.51499999999999</v>
      </c>
      <c r="P4671" s="12"/>
      <c r="Q4671" s="12">
        <f>+(Tabla1[[#This Row],[COSTO COCHE]]/30)*Tabla1[[#This Row],[TOTAL DIAS PROYECTO]]</f>
        <v>0</v>
      </c>
      <c r="R4671" s="12">
        <f>+Tabla1[[#This Row],[COSTO TOTAL ALOJAMIENTO]]+Tabla1[[#This Row],[COSTO TOTAL COCHE]]</f>
        <v>421.51499999999999</v>
      </c>
      <c r="S4671" s="2" t="s">
        <v>84</v>
      </c>
      <c r="T4671" s="14" t="s">
        <v>44</v>
      </c>
      <c r="U4671" s="14">
        <v>46040</v>
      </c>
      <c r="V4671" s="79">
        <v>46064</v>
      </c>
      <c r="W4671" s="12"/>
      <c r="X4671" s="2"/>
      <c r="Y4671" s="11" t="s">
        <v>6756</v>
      </c>
      <c r="Z4671" s="2" t="s">
        <v>36</v>
      </c>
      <c r="AA4671" s="13" t="e">
        <v>#N/A</v>
      </c>
      <c r="AB4671" s="13" t="e">
        <v>#N/A</v>
      </c>
    </row>
    <row r="4672" spans="1:28" ht="15" customHeight="1">
      <c r="A4672" s="2" t="s">
        <v>9244</v>
      </c>
      <c r="B4672" s="2" t="s">
        <v>711</v>
      </c>
      <c r="C4672" s="11" t="s">
        <v>2566</v>
      </c>
      <c r="D4672" s="2" t="s">
        <v>30</v>
      </c>
      <c r="E4672" s="2" t="s">
        <v>2378</v>
      </c>
      <c r="F4672" s="11" t="s">
        <v>6626</v>
      </c>
      <c r="G4672" s="21" t="s">
        <v>6627</v>
      </c>
      <c r="H4672" s="2" t="s">
        <v>6757</v>
      </c>
      <c r="I4672" s="12" t="s">
        <v>1392</v>
      </c>
      <c r="J4672" s="22">
        <f>+Tabla1[[#This Row],[FECHA ENTRADA]]</f>
        <v>46040</v>
      </c>
      <c r="K4672" s="22">
        <v>46063</v>
      </c>
      <c r="L4672" s="23">
        <f>_xlfn.DAYS(Tabla1[[#This Row],[FECHA FIN ]],Tabla1[[#This Row],[FECHA INICIO]])</f>
        <v>23</v>
      </c>
      <c r="M4672" s="12">
        <f>(1493.36+192.7)/4</f>
        <v>421.51499999999999</v>
      </c>
      <c r="N4672" s="20"/>
      <c r="O4672" s="24">
        <f>(Tabla1[[#This Row],[COSTO FIJO ]]/30)*Tabla1[[#This Row],[TOTAL DIAS PROYECTO]]+(Tabla1[[#This Row],[COSTO TEMPORAL]])</f>
        <v>421.51499999999999</v>
      </c>
      <c r="P4672" s="12"/>
      <c r="Q4672" s="12">
        <f>+(Tabla1[[#This Row],[COSTO COCHE]]/30)*Tabla1[[#This Row],[TOTAL DIAS PROYECTO]]</f>
        <v>0</v>
      </c>
      <c r="R4672" s="12">
        <f>+Tabla1[[#This Row],[COSTO TOTAL ALOJAMIENTO]]+Tabla1[[#This Row],[COSTO TOTAL COCHE]]</f>
        <v>421.51499999999999</v>
      </c>
      <c r="S4672" s="2" t="s">
        <v>84</v>
      </c>
      <c r="T4672" s="14" t="s">
        <v>44</v>
      </c>
      <c r="U4672" s="14">
        <v>46040</v>
      </c>
      <c r="V4672" s="79">
        <v>46064</v>
      </c>
      <c r="W4672" s="12"/>
      <c r="X4672" s="2"/>
      <c r="Y4672" s="11" t="s">
        <v>6756</v>
      </c>
      <c r="Z4672" s="2" t="s">
        <v>36</v>
      </c>
      <c r="AA4672" s="13" t="e">
        <v>#N/A</v>
      </c>
      <c r="AB4672" s="13" t="e">
        <v>#N/A</v>
      </c>
    </row>
    <row r="4673" spans="1:28" ht="15" customHeight="1">
      <c r="A4673" s="2" t="s">
        <v>9746</v>
      </c>
      <c r="B4673" s="2" t="s">
        <v>606</v>
      </c>
      <c r="C4673" s="31" t="s">
        <v>4546</v>
      </c>
      <c r="D4673" s="2" t="s">
        <v>99</v>
      </c>
      <c r="E4673" s="2" t="s">
        <v>31</v>
      </c>
      <c r="F4673" s="11" t="s">
        <v>1450</v>
      </c>
      <c r="G4673" s="11" t="s">
        <v>1451</v>
      </c>
      <c r="H4673" s="2" t="s">
        <v>6464</v>
      </c>
      <c r="I4673" s="12" t="s">
        <v>2062</v>
      </c>
      <c r="J4673" s="41">
        <f>+Tabla1[[#This Row],[FECHA ENTRADA]]</f>
        <v>46057</v>
      </c>
      <c r="K4673" s="22">
        <v>46065</v>
      </c>
      <c r="L4673" s="42">
        <f>_xlfn.DAYS(Tabla1[[#This Row],[FECHA FIN ]],Tabla1[[#This Row],[FECHA INICIO]])</f>
        <v>8</v>
      </c>
      <c r="M4673" s="12"/>
      <c r="N4673" s="20">
        <f>978.63/4</f>
        <v>244.6575</v>
      </c>
      <c r="O4673" s="28">
        <f>(Tabla1[[#This Row],[COSTO FIJO ]]/30)*Tabla1[[#This Row],[TOTAL DIAS PROYECTO]]+(Tabla1[[#This Row],[COSTO TEMPORAL]])</f>
        <v>65.242000000000004</v>
      </c>
      <c r="P4673" s="12"/>
      <c r="Q4673" s="12">
        <f>+(Tabla1[[#This Row],[COSTO COCHE]]/30)*Tabla1[[#This Row],[TOTAL DIAS PROYECTO]]</f>
        <v>0</v>
      </c>
      <c r="R4673" s="12">
        <f>+Tabla1[[#This Row],[COSTO TOTAL ALOJAMIENTO]]+Tabla1[[#This Row],[COSTO TOTAL COCHE]]</f>
        <v>65.242000000000004</v>
      </c>
      <c r="S4673" s="2"/>
      <c r="T4673" s="14" t="s">
        <v>35</v>
      </c>
      <c r="U4673" s="14">
        <v>46057</v>
      </c>
      <c r="V4673" s="43"/>
      <c r="W4673" s="12"/>
      <c r="X4673" s="2">
        <v>1</v>
      </c>
      <c r="Y4673" s="11" t="s">
        <v>6758</v>
      </c>
      <c r="Z4673" s="2" t="s">
        <v>36</v>
      </c>
      <c r="AA4673" s="13" t="s">
        <v>10323</v>
      </c>
      <c r="AB4673" s="13" t="s">
        <v>10324</v>
      </c>
    </row>
    <row r="4674" spans="1:28" ht="15" customHeight="1">
      <c r="A4674" s="2" t="s">
        <v>9681</v>
      </c>
      <c r="B4674" s="2" t="s">
        <v>978</v>
      </c>
      <c r="C4674" s="31" t="s">
        <v>4202</v>
      </c>
      <c r="D4674" s="2" t="s">
        <v>30</v>
      </c>
      <c r="E4674" s="2" t="s">
        <v>109</v>
      </c>
      <c r="F4674" s="11" t="s">
        <v>2161</v>
      </c>
      <c r="G4674" s="46" t="s">
        <v>2162</v>
      </c>
      <c r="H4674" s="2" t="s">
        <v>4704</v>
      </c>
      <c r="I4674" s="12" t="s">
        <v>4681</v>
      </c>
      <c r="J4674" s="41">
        <f>+Tabla1[[#This Row],[FECHA ENTRADA]]</f>
        <v>45873</v>
      </c>
      <c r="K4674" s="22">
        <v>45960</v>
      </c>
      <c r="L4674" s="42">
        <f>_xlfn.DAYS(Tabla1[[#This Row],[FECHA FIN ]],Tabla1[[#This Row],[FECHA INICIO]])</f>
        <v>87</v>
      </c>
      <c r="M4674" s="12"/>
      <c r="N4674" s="12"/>
      <c r="O4674" s="28">
        <f>(Tabla1[[#This Row],[COSTO FIJO ]]/30)*Tabla1[[#This Row],[TOTAL DIAS PROYECTO]]+(Tabla1[[#This Row],[COSTO TEMPORAL]])</f>
        <v>0</v>
      </c>
      <c r="P4674" s="12"/>
      <c r="Q4674" s="12">
        <f>+(Tabla1[[#This Row],[COSTO COCHE]]/30)*Tabla1[[#This Row],[TOTAL DIAS PROYECTO]]</f>
        <v>0</v>
      </c>
      <c r="R4674" s="12">
        <f>+Tabla1[[#This Row],[COSTO TOTAL ALOJAMIENTO]]+Tabla1[[#This Row],[COSTO TOTAL COCHE]]</f>
        <v>0</v>
      </c>
      <c r="S4674" s="2"/>
      <c r="T4674" s="14" t="s">
        <v>35</v>
      </c>
      <c r="U4674" s="14">
        <v>45873</v>
      </c>
      <c r="V4674" s="43"/>
      <c r="W4674" s="12"/>
      <c r="X4674" s="2">
        <v>10</v>
      </c>
      <c r="Y4674" s="11" t="s">
        <v>6759</v>
      </c>
      <c r="Z4674" s="2" t="s">
        <v>36</v>
      </c>
      <c r="AA4674" s="13">
        <v>0.62217999999999996</v>
      </c>
      <c r="AB4674" s="13" t="s">
        <v>10339</v>
      </c>
    </row>
    <row r="4675" spans="1:28" ht="15" customHeight="1">
      <c r="A4675" s="2" t="s">
        <v>9539</v>
      </c>
      <c r="B4675" s="2" t="s">
        <v>978</v>
      </c>
      <c r="C4675" s="69" t="s">
        <v>3579</v>
      </c>
      <c r="D4675" s="2" t="s">
        <v>30</v>
      </c>
      <c r="E4675" s="2" t="s">
        <v>109</v>
      </c>
      <c r="F4675" s="11" t="s">
        <v>2161</v>
      </c>
      <c r="G4675" s="46" t="s">
        <v>2162</v>
      </c>
      <c r="H4675" s="2" t="s">
        <v>4680</v>
      </c>
      <c r="I4675" s="12" t="s">
        <v>4681</v>
      </c>
      <c r="J4675" s="41">
        <f>+Tabla1[[#This Row],[FECHA ENTRADA]]</f>
        <v>45873</v>
      </c>
      <c r="K4675" s="22">
        <v>46065</v>
      </c>
      <c r="L4675" s="42">
        <f>_xlfn.DAYS(Tabla1[[#This Row],[FECHA FIN ]],Tabla1[[#This Row],[FECHA INICIO]])</f>
        <v>192</v>
      </c>
      <c r="M4675" s="12"/>
      <c r="N4675" s="28">
        <v>280</v>
      </c>
      <c r="O4675" s="28">
        <f>(Tabla1[[#This Row],[COSTO FIJO ]]/30)*Tabla1[[#This Row],[TOTAL DIAS PROYECTO]]+(Tabla1[[#This Row],[COSTO TEMPORAL]])</f>
        <v>1792</v>
      </c>
      <c r="P4675" s="12"/>
      <c r="Q4675" s="12">
        <f>+(Tabla1[[#This Row],[COSTO COCHE]]/30)*Tabla1[[#This Row],[TOTAL DIAS PROYECTO]]</f>
        <v>0</v>
      </c>
      <c r="R4675" s="12">
        <f>+Tabla1[[#This Row],[COSTO TOTAL ALOJAMIENTO]]+Tabla1[[#This Row],[COSTO TOTAL COCHE]]</f>
        <v>1792</v>
      </c>
      <c r="S4675" s="2"/>
      <c r="T4675" s="14" t="s">
        <v>35</v>
      </c>
      <c r="U4675" s="14">
        <v>45873</v>
      </c>
      <c r="V4675" s="43"/>
      <c r="W4675" s="12"/>
      <c r="X4675" s="2">
        <v>10</v>
      </c>
      <c r="Y4675" s="11" t="s">
        <v>6760</v>
      </c>
      <c r="Z4675" s="2" t="s">
        <v>36</v>
      </c>
      <c r="AA4675" s="13">
        <v>0.62217999999999996</v>
      </c>
      <c r="AB4675" s="13" t="s">
        <v>10339</v>
      </c>
    </row>
    <row r="4676" spans="1:28">
      <c r="A4676" s="2" t="s">
        <v>8994</v>
      </c>
      <c r="B4676" s="2" t="s">
        <v>978</v>
      </c>
      <c r="C4676" s="69" t="s">
        <v>1617</v>
      </c>
      <c r="D4676" s="2" t="s">
        <v>30</v>
      </c>
      <c r="E4676" s="2" t="s">
        <v>109</v>
      </c>
      <c r="F4676" s="11" t="s">
        <v>2161</v>
      </c>
      <c r="G4676" s="46" t="s">
        <v>2162</v>
      </c>
      <c r="H4676" s="2" t="s">
        <v>4680</v>
      </c>
      <c r="I4676" s="12" t="s">
        <v>4681</v>
      </c>
      <c r="J4676" s="41">
        <f>+Tabla1[[#This Row],[FECHA ENTRADA]]</f>
        <v>45873</v>
      </c>
      <c r="K4676" s="22">
        <v>46065</v>
      </c>
      <c r="L4676" s="42">
        <f>_xlfn.DAYS(Tabla1[[#This Row],[FECHA FIN ]],Tabla1[[#This Row],[FECHA INICIO]])</f>
        <v>192</v>
      </c>
      <c r="M4676" s="12"/>
      <c r="N4676" s="28">
        <v>280</v>
      </c>
      <c r="O4676" s="28">
        <f>(Tabla1[[#This Row],[COSTO FIJO ]]/30)*Tabla1[[#This Row],[TOTAL DIAS PROYECTO]]+(Tabla1[[#This Row],[COSTO TEMPORAL]])</f>
        <v>1792</v>
      </c>
      <c r="P4676" s="12"/>
      <c r="Q4676" s="12">
        <f>+(Tabla1[[#This Row],[COSTO COCHE]]/30)*Tabla1[[#This Row],[TOTAL DIAS PROYECTO]]</f>
        <v>0</v>
      </c>
      <c r="R4676" s="12">
        <f>+Tabla1[[#This Row],[COSTO TOTAL ALOJAMIENTO]]+Tabla1[[#This Row],[COSTO TOTAL COCHE]]</f>
        <v>1792</v>
      </c>
      <c r="S4676" s="2"/>
      <c r="T4676" s="14" t="s">
        <v>35</v>
      </c>
      <c r="U4676" s="14">
        <v>45873</v>
      </c>
      <c r="V4676" s="43"/>
      <c r="W4676" s="12"/>
      <c r="X4676" s="2">
        <v>10</v>
      </c>
      <c r="Y4676" s="11" t="s">
        <v>6761</v>
      </c>
      <c r="Z4676" s="2" t="s">
        <v>36</v>
      </c>
      <c r="AA4676" s="13">
        <v>0.62217999999999996</v>
      </c>
      <c r="AB4676" s="13" t="s">
        <v>10339</v>
      </c>
    </row>
    <row r="4677" spans="1:28" ht="15" customHeight="1">
      <c r="A4677" s="2" t="s">
        <v>10157</v>
      </c>
      <c r="B4677" s="2" t="s">
        <v>978</v>
      </c>
      <c r="C4677" s="273" t="s">
        <v>6762</v>
      </c>
      <c r="D4677" s="2" t="s">
        <v>30</v>
      </c>
      <c r="E4677" s="2" t="s">
        <v>109</v>
      </c>
      <c r="F4677" s="11" t="s">
        <v>2161</v>
      </c>
      <c r="G4677" s="49" t="s">
        <v>2162</v>
      </c>
      <c r="H4677" s="2" t="s">
        <v>6763</v>
      </c>
      <c r="I4677" s="12" t="s">
        <v>4681</v>
      </c>
      <c r="J4677" s="41">
        <f>+Tabla1[[#This Row],[FECHA ENTRADA]]</f>
        <v>45874</v>
      </c>
      <c r="K4677" s="22">
        <v>46065</v>
      </c>
      <c r="L4677" s="42">
        <f>_xlfn.DAYS(Tabla1[[#This Row],[FECHA FIN ]],Tabla1[[#This Row],[FECHA INICIO]])</f>
        <v>191</v>
      </c>
      <c r="M4677" s="12"/>
      <c r="N4677" s="28">
        <v>280</v>
      </c>
      <c r="O4677" s="28">
        <f>(Tabla1[[#This Row],[COSTO FIJO ]]/30)*Tabla1[[#This Row],[TOTAL DIAS PROYECTO]]+(Tabla1[[#This Row],[COSTO TEMPORAL]])</f>
        <v>1782.6666666666667</v>
      </c>
      <c r="P4677" s="12"/>
      <c r="Q4677" s="12">
        <f>+(Tabla1[[#This Row],[COSTO COCHE]]/30)*Tabla1[[#This Row],[TOTAL DIAS PROYECTO]]</f>
        <v>0</v>
      </c>
      <c r="R4677" s="12">
        <f>+Tabla1[[#This Row],[COSTO TOTAL ALOJAMIENTO]]+Tabla1[[#This Row],[COSTO TOTAL COCHE]]</f>
        <v>1782.6666666666667</v>
      </c>
      <c r="S4677" s="2"/>
      <c r="T4677" s="14" t="s">
        <v>35</v>
      </c>
      <c r="U4677" s="14">
        <v>45874</v>
      </c>
      <c r="V4677" s="25"/>
      <c r="W4677" s="12"/>
      <c r="X4677" s="2">
        <v>10</v>
      </c>
      <c r="Y4677" s="11" t="s">
        <v>6760</v>
      </c>
      <c r="Z4677" s="2" t="s">
        <v>36</v>
      </c>
      <c r="AA4677" s="13">
        <v>0.62217999999999996</v>
      </c>
      <c r="AB4677" s="13" t="s">
        <v>10339</v>
      </c>
    </row>
    <row r="4678" spans="1:28" ht="15" customHeight="1">
      <c r="A4678" s="2" t="s">
        <v>9294</v>
      </c>
      <c r="B4678" s="2" t="s">
        <v>978</v>
      </c>
      <c r="C4678" s="11" t="s">
        <v>2731</v>
      </c>
      <c r="D4678" s="2" t="s">
        <v>30</v>
      </c>
      <c r="E4678" s="2" t="s">
        <v>109</v>
      </c>
      <c r="F4678" s="11" t="s">
        <v>4434</v>
      </c>
      <c r="G4678" s="21">
        <v>973266788</v>
      </c>
      <c r="H4678" s="2" t="s">
        <v>5355</v>
      </c>
      <c r="I4678" s="12" t="s">
        <v>5356</v>
      </c>
      <c r="J4678" s="41">
        <f>+Tabla1[[#This Row],[FECHA ENTRADA]]</f>
        <v>45875</v>
      </c>
      <c r="K4678" s="41">
        <v>45894</v>
      </c>
      <c r="L4678" s="42">
        <f>_xlfn.DAYS(Tabla1[[#This Row],[FECHA FIN ]],Tabla1[[#This Row],[FECHA INICIO]])</f>
        <v>19</v>
      </c>
      <c r="M4678" s="12"/>
      <c r="N4678" s="12"/>
      <c r="O4678" s="28">
        <f>(Tabla1[[#This Row],[COSTO FIJO ]]/30)*Tabla1[[#This Row],[TOTAL DIAS PROYECTO]]+(Tabla1[[#This Row],[COSTO TEMPORAL]])</f>
        <v>0</v>
      </c>
      <c r="P4678" s="12"/>
      <c r="Q4678" s="12">
        <f>+(Tabla1[[#This Row],[COSTO COCHE]]/30)*Tabla1[[#This Row],[TOTAL DIAS PROYECTO]]</f>
        <v>0</v>
      </c>
      <c r="R4678" s="12">
        <f>+Tabla1[[#This Row],[COSTO TOTAL ALOJAMIENTO]]+Tabla1[[#This Row],[COSTO TOTAL COCHE]]</f>
        <v>0</v>
      </c>
      <c r="S4678" s="2"/>
      <c r="T4678" s="14" t="s">
        <v>44</v>
      </c>
      <c r="U4678" s="14">
        <v>45875</v>
      </c>
      <c r="V4678" s="43">
        <v>45894</v>
      </c>
      <c r="W4678" s="12"/>
      <c r="X4678" s="2"/>
      <c r="Y4678" s="11" t="s">
        <v>6764</v>
      </c>
      <c r="Z4678" s="2" t="s">
        <v>36</v>
      </c>
      <c r="AA4678" s="13">
        <v>0.62217999999999996</v>
      </c>
      <c r="AB4678" s="13" t="s">
        <v>10339</v>
      </c>
    </row>
    <row r="4679" spans="1:28" ht="15" customHeight="1">
      <c r="A4679" s="117" t="s">
        <v>9912</v>
      </c>
      <c r="B4679" s="117" t="s">
        <v>711</v>
      </c>
      <c r="C4679" s="118" t="s">
        <v>5377</v>
      </c>
      <c r="D4679" s="117" t="s">
        <v>30</v>
      </c>
      <c r="E4679" s="117" t="s">
        <v>608</v>
      </c>
      <c r="F4679" s="11" t="s">
        <v>6765</v>
      </c>
      <c r="G4679" s="128" t="s">
        <v>6766</v>
      </c>
      <c r="H4679" s="117" t="s">
        <v>5380</v>
      </c>
      <c r="I4679" s="119" t="s">
        <v>5381</v>
      </c>
      <c r="J4679" s="120">
        <f>+Tabla1[[#This Row],[FECHA ENTRADA]]</f>
        <v>45930</v>
      </c>
      <c r="K4679" s="121">
        <v>46065</v>
      </c>
      <c r="L4679" s="122">
        <f>_xlfn.DAYS(Tabla1[[#This Row],[FECHA FIN ]],Tabla1[[#This Row],[FECHA INICIO]])</f>
        <v>135</v>
      </c>
      <c r="M4679" s="119">
        <f>1095.67/2</f>
        <v>547.83500000000004</v>
      </c>
      <c r="N4679" s="123"/>
      <c r="O4679" s="123">
        <f>(Tabla1[[#This Row],[COSTO FIJO ]]/30)*Tabla1[[#This Row],[TOTAL DIAS PROYECTO]]+(Tabla1[[#This Row],[COSTO TEMPORAL]])</f>
        <v>547.83500000000004</v>
      </c>
      <c r="P4679" s="119"/>
      <c r="Q4679" s="119">
        <f>+(Tabla1[[#This Row],[COSTO COCHE]]/30)*Tabla1[[#This Row],[TOTAL DIAS PROYECTO]]</f>
        <v>0</v>
      </c>
      <c r="R4679" s="119">
        <f>+Tabla1[[#This Row],[COSTO TOTAL ALOJAMIENTO]]+Tabla1[[#This Row],[COSTO TOTAL COCHE]]</f>
        <v>547.83500000000004</v>
      </c>
      <c r="S4679" s="117"/>
      <c r="T4679" s="124" t="s">
        <v>44</v>
      </c>
      <c r="U4679" s="124">
        <v>45930</v>
      </c>
      <c r="V4679" s="79">
        <v>46066</v>
      </c>
      <c r="W4679" s="126"/>
      <c r="X4679" s="117"/>
      <c r="Y4679" s="118" t="s">
        <v>6767</v>
      </c>
      <c r="Z4679" s="117" t="s">
        <v>36</v>
      </c>
      <c r="AA4679" s="127" t="s">
        <v>10383</v>
      </c>
      <c r="AB4679" s="127" t="s">
        <v>10384</v>
      </c>
    </row>
    <row r="4680" spans="1:28" ht="15" customHeight="1">
      <c r="A4680" s="117" t="s">
        <v>9101</v>
      </c>
      <c r="B4680" s="117" t="s">
        <v>711</v>
      </c>
      <c r="C4680" s="118" t="s">
        <v>2027</v>
      </c>
      <c r="D4680" s="117" t="s">
        <v>30</v>
      </c>
      <c r="E4680" s="117" t="s">
        <v>608</v>
      </c>
      <c r="F4680" s="11" t="s">
        <v>6765</v>
      </c>
      <c r="G4680" s="128" t="s">
        <v>6766</v>
      </c>
      <c r="H4680" s="117" t="s">
        <v>5380</v>
      </c>
      <c r="I4680" s="119" t="s">
        <v>5381</v>
      </c>
      <c r="J4680" s="120">
        <f>+Tabla1[[#This Row],[FECHA ENTRADA]]</f>
        <v>45930</v>
      </c>
      <c r="K4680" s="121">
        <v>46065</v>
      </c>
      <c r="L4680" s="122">
        <f>_xlfn.DAYS(Tabla1[[#This Row],[FECHA FIN ]],Tabla1[[#This Row],[FECHA INICIO]])</f>
        <v>135</v>
      </c>
      <c r="M4680" s="119">
        <f>1095.67/2</f>
        <v>547.83500000000004</v>
      </c>
      <c r="N4680" s="123"/>
      <c r="O4680" s="123">
        <f>(Tabla1[[#This Row],[COSTO FIJO ]]/30)*Tabla1[[#This Row],[TOTAL DIAS PROYECTO]]+(Tabla1[[#This Row],[COSTO TEMPORAL]])</f>
        <v>547.83500000000004</v>
      </c>
      <c r="P4680" s="119"/>
      <c r="Q4680" s="119">
        <f>+(Tabla1[[#This Row],[COSTO COCHE]]/30)*Tabla1[[#This Row],[TOTAL DIAS PROYECTO]]</f>
        <v>0</v>
      </c>
      <c r="R4680" s="119">
        <f>+Tabla1[[#This Row],[COSTO TOTAL ALOJAMIENTO]]+Tabla1[[#This Row],[COSTO TOTAL COCHE]]</f>
        <v>547.83500000000004</v>
      </c>
      <c r="S4680" s="117"/>
      <c r="T4680" s="124" t="s">
        <v>44</v>
      </c>
      <c r="U4680" s="124">
        <v>45930</v>
      </c>
      <c r="V4680" s="79">
        <v>46066</v>
      </c>
      <c r="W4680" s="126"/>
      <c r="X4680" s="117"/>
      <c r="Y4680" s="118" t="s">
        <v>6768</v>
      </c>
      <c r="Z4680" s="117" t="s">
        <v>36</v>
      </c>
      <c r="AA4680" s="127" t="s">
        <v>10383</v>
      </c>
      <c r="AB4680" s="127" t="s">
        <v>10384</v>
      </c>
    </row>
    <row r="4681" spans="1:28" ht="15" customHeight="1">
      <c r="A4681" s="2" t="s">
        <v>9470</v>
      </c>
      <c r="B4681" s="2" t="s">
        <v>28</v>
      </c>
      <c r="C4681" s="11" t="s">
        <v>3297</v>
      </c>
      <c r="D4681" s="2" t="s">
        <v>30</v>
      </c>
      <c r="E4681" s="2" t="s">
        <v>127</v>
      </c>
      <c r="F4681" s="11" t="s">
        <v>820</v>
      </c>
      <c r="G4681" s="21" t="s">
        <v>1234</v>
      </c>
      <c r="H4681" s="2" t="s">
        <v>6708</v>
      </c>
      <c r="I4681" s="12" t="s">
        <v>96</v>
      </c>
      <c r="J4681" s="22">
        <f>+Tabla1[[#This Row],[FECHA ENTRADA]]</f>
        <v>45798</v>
      </c>
      <c r="K4681" s="8">
        <v>45917</v>
      </c>
      <c r="L4681" s="23">
        <f>_xlfn.DAYS(Tabla1[[#This Row],[FECHA FIN ]],Tabla1[[#This Row],[FECHA INICIO]])</f>
        <v>119</v>
      </c>
      <c r="M4681" s="12"/>
      <c r="N4681" s="12"/>
      <c r="O4681" s="24">
        <f>(Tabla1[[#This Row],[COSTO FIJO ]]/30)*Tabla1[[#This Row],[TOTAL DIAS PROYECTO]]+(Tabla1[[#This Row],[COSTO TEMPORAL]])</f>
        <v>0</v>
      </c>
      <c r="P4681" s="12"/>
      <c r="Q4681" s="12">
        <f>+(Tabla1[[#This Row],[COSTO COCHE]]/30)*Tabla1[[#This Row],[TOTAL DIAS PROYECTO]]</f>
        <v>0</v>
      </c>
      <c r="R4681" s="12">
        <f>+Tabla1[[#This Row],[COSTO TOTAL ALOJAMIENTO]]+Tabla1[[#This Row],[COSTO TOTAL COCHE]]</f>
        <v>0</v>
      </c>
      <c r="S4681" s="2"/>
      <c r="T4681" s="2" t="s">
        <v>44</v>
      </c>
      <c r="U4681" s="14">
        <v>45798</v>
      </c>
      <c r="V4681" s="25">
        <v>45918</v>
      </c>
      <c r="W4681" s="26"/>
      <c r="X4681" s="2"/>
      <c r="Y4681" s="11" t="s">
        <v>6769</v>
      </c>
      <c r="Z4681" s="2" t="s">
        <v>36</v>
      </c>
      <c r="AA4681" s="13" t="s">
        <v>10342</v>
      </c>
      <c r="AB4681" s="13" t="s">
        <v>10343</v>
      </c>
    </row>
    <row r="4682" spans="1:28" ht="15" customHeight="1">
      <c r="A4682" s="117" t="s">
        <v>9795</v>
      </c>
      <c r="B4682" s="117" t="s">
        <v>978</v>
      </c>
      <c r="C4682" s="118" t="s">
        <v>4770</v>
      </c>
      <c r="D4682" s="117" t="s">
        <v>30</v>
      </c>
      <c r="E4682" s="117" t="s">
        <v>476</v>
      </c>
      <c r="F4682" s="11" t="s">
        <v>6770</v>
      </c>
      <c r="G4682" s="128" t="s">
        <v>6771</v>
      </c>
      <c r="H4682" s="117" t="s">
        <v>4768</v>
      </c>
      <c r="I4682" s="119" t="s">
        <v>4714</v>
      </c>
      <c r="J4682" s="121">
        <f>+Tabla1[[#This Row],[FECHA ENTRADA]]</f>
        <v>46035</v>
      </c>
      <c r="K4682" s="121">
        <v>46066</v>
      </c>
      <c r="L4682" s="129">
        <f>_xlfn.DAYS(Tabla1[[#This Row],[FECHA FIN ]],Tabla1[[#This Row],[FECHA INICIO]])</f>
        <v>31</v>
      </c>
      <c r="M4682" s="119">
        <v>550</v>
      </c>
      <c r="N4682" s="130"/>
      <c r="O4682" s="131">
        <f>(Tabla1[[#This Row],[COSTO FIJO ]]/30)*Tabla1[[#This Row],[TOTAL DIAS PROYECTO]]+(Tabla1[[#This Row],[COSTO TEMPORAL]])</f>
        <v>550</v>
      </c>
      <c r="P4682" s="119"/>
      <c r="Q4682" s="119">
        <f>+(Tabla1[[#This Row],[COSTO COCHE]]/30)*Tabla1[[#This Row],[TOTAL DIAS PROYECTO]]</f>
        <v>0</v>
      </c>
      <c r="R4682" s="119">
        <f>+Tabla1[[#This Row],[COSTO TOTAL ALOJAMIENTO]]+Tabla1[[#This Row],[COSTO TOTAL COCHE]]</f>
        <v>550</v>
      </c>
      <c r="S4682" s="117"/>
      <c r="T4682" s="124" t="s">
        <v>44</v>
      </c>
      <c r="U4682" s="124">
        <v>46035</v>
      </c>
      <c r="V4682" s="79">
        <v>46066</v>
      </c>
      <c r="W4682" s="119"/>
      <c r="X4682" s="117">
        <v>10</v>
      </c>
      <c r="Y4682" s="118" t="s">
        <v>6772</v>
      </c>
      <c r="Z4682" s="117" t="s">
        <v>36</v>
      </c>
      <c r="AA4682" s="127">
        <v>-7.8640699999999999</v>
      </c>
      <c r="AB4682" s="127">
        <v>42.336689999999997</v>
      </c>
    </row>
    <row r="4683" spans="1:28" ht="15" customHeight="1">
      <c r="A4683" s="117" t="s">
        <v>8737</v>
      </c>
      <c r="B4683" s="117" t="s">
        <v>711</v>
      </c>
      <c r="C4683" s="118" t="s">
        <v>510</v>
      </c>
      <c r="D4683" s="117" t="s">
        <v>30</v>
      </c>
      <c r="E4683" s="117" t="s">
        <v>1514</v>
      </c>
      <c r="F4683" s="11" t="s">
        <v>6773</v>
      </c>
      <c r="G4683" s="70" t="s">
        <v>6774</v>
      </c>
      <c r="H4683" s="117" t="s">
        <v>6775</v>
      </c>
      <c r="I4683" s="119" t="s">
        <v>118</v>
      </c>
      <c r="J4683" s="121">
        <f>+Tabla1[[#This Row],[FECHA ENTRADA]]</f>
        <v>46064</v>
      </c>
      <c r="K4683" s="121">
        <v>46066</v>
      </c>
      <c r="L4683" s="129">
        <f>_xlfn.DAYS(Tabla1[[#This Row],[FECHA FIN ]],Tabla1[[#This Row],[FECHA INICIO]])</f>
        <v>2</v>
      </c>
      <c r="M4683" s="119">
        <v>46</v>
      </c>
      <c r="N4683" s="131"/>
      <c r="O4683" s="131">
        <f>(Tabla1[[#This Row],[COSTO FIJO ]]/30)*Tabla1[[#This Row],[TOTAL DIAS PROYECTO]]+(Tabla1[[#This Row],[COSTO TEMPORAL]])</f>
        <v>46</v>
      </c>
      <c r="P4683" s="119"/>
      <c r="Q4683" s="119">
        <f>+(Tabla1[[#This Row],[COSTO COCHE]]/30)*Tabla1[[#This Row],[TOTAL DIAS PROYECTO]]</f>
        <v>0</v>
      </c>
      <c r="R4683" s="119">
        <f>+Tabla1[[#This Row],[COSTO TOTAL ALOJAMIENTO]]+Tabla1[[#This Row],[COSTO TOTAL COCHE]]</f>
        <v>46</v>
      </c>
      <c r="S4683" s="117"/>
      <c r="T4683" s="124" t="s">
        <v>44</v>
      </c>
      <c r="U4683" s="124">
        <v>46064</v>
      </c>
      <c r="V4683" s="125">
        <v>46067</v>
      </c>
      <c r="W4683" s="119"/>
      <c r="X4683" s="117"/>
      <c r="Y4683" s="70" t="s">
        <v>6776</v>
      </c>
      <c r="Z4683" s="117" t="s">
        <v>36</v>
      </c>
      <c r="AA4683" s="127" t="s">
        <v>10424</v>
      </c>
      <c r="AB4683" s="127">
        <v>398581</v>
      </c>
    </row>
    <row r="4684" spans="1:28" ht="15" customHeight="1">
      <c r="A4684" s="117" t="s">
        <v>9049</v>
      </c>
      <c r="B4684" s="117" t="s">
        <v>711</v>
      </c>
      <c r="C4684" s="118" t="s">
        <v>1808</v>
      </c>
      <c r="D4684" s="117" t="s">
        <v>30</v>
      </c>
      <c r="E4684" s="117" t="s">
        <v>1514</v>
      </c>
      <c r="F4684" s="11" t="s">
        <v>6773</v>
      </c>
      <c r="G4684" s="70" t="s">
        <v>6774</v>
      </c>
      <c r="H4684" s="117" t="s">
        <v>6775</v>
      </c>
      <c r="I4684" s="119" t="s">
        <v>118</v>
      </c>
      <c r="J4684" s="121">
        <f>+Tabla1[[#This Row],[FECHA ENTRADA]]</f>
        <v>46064</v>
      </c>
      <c r="K4684" s="121">
        <v>46066</v>
      </c>
      <c r="L4684" s="129">
        <f>_xlfn.DAYS(Tabla1[[#This Row],[FECHA FIN ]],Tabla1[[#This Row],[FECHA INICIO]])</f>
        <v>2</v>
      </c>
      <c r="M4684" s="119">
        <v>46</v>
      </c>
      <c r="N4684" s="131"/>
      <c r="O4684" s="131">
        <f>(Tabla1[[#This Row],[COSTO FIJO ]]/30)*Tabla1[[#This Row],[TOTAL DIAS PROYECTO]]+(Tabla1[[#This Row],[COSTO TEMPORAL]])</f>
        <v>46</v>
      </c>
      <c r="P4684" s="119"/>
      <c r="Q4684" s="119">
        <f>+(Tabla1[[#This Row],[COSTO COCHE]]/30)*Tabla1[[#This Row],[TOTAL DIAS PROYECTO]]</f>
        <v>0</v>
      </c>
      <c r="R4684" s="119">
        <f>+Tabla1[[#This Row],[COSTO TOTAL ALOJAMIENTO]]+Tabla1[[#This Row],[COSTO TOTAL COCHE]]</f>
        <v>46</v>
      </c>
      <c r="S4684" s="117"/>
      <c r="T4684" s="124" t="s">
        <v>44</v>
      </c>
      <c r="U4684" s="124">
        <v>46064</v>
      </c>
      <c r="V4684" s="125">
        <v>46067</v>
      </c>
      <c r="W4684" s="119"/>
      <c r="X4684" s="117"/>
      <c r="Y4684" s="70" t="s">
        <v>6776</v>
      </c>
      <c r="Z4684" s="117" t="s">
        <v>36</v>
      </c>
      <c r="AA4684" s="127" t="s">
        <v>10424</v>
      </c>
      <c r="AB4684" s="127">
        <v>398581</v>
      </c>
    </row>
    <row r="4685" spans="1:28" ht="15" customHeight="1">
      <c r="A4685" s="117" t="s">
        <v>10158</v>
      </c>
      <c r="B4685" s="117" t="s">
        <v>711</v>
      </c>
      <c r="C4685" s="224" t="s">
        <v>6777</v>
      </c>
      <c r="D4685" s="117" t="s">
        <v>30</v>
      </c>
      <c r="E4685" s="117" t="s">
        <v>1514</v>
      </c>
      <c r="F4685" s="11" t="s">
        <v>6773</v>
      </c>
      <c r="G4685" s="70" t="s">
        <v>6774</v>
      </c>
      <c r="H4685" s="117" t="s">
        <v>6775</v>
      </c>
      <c r="I4685" s="119" t="s">
        <v>118</v>
      </c>
      <c r="J4685" s="121">
        <f>+Tabla1[[#This Row],[FECHA ENTRADA]]</f>
        <v>46064</v>
      </c>
      <c r="K4685" s="121">
        <v>46066</v>
      </c>
      <c r="L4685" s="129">
        <f>_xlfn.DAYS(Tabla1[[#This Row],[FECHA FIN ]],Tabla1[[#This Row],[FECHA INICIO]])</f>
        <v>2</v>
      </c>
      <c r="M4685" s="119">
        <v>46</v>
      </c>
      <c r="N4685" s="131"/>
      <c r="O4685" s="131">
        <f>(Tabla1[[#This Row],[COSTO FIJO ]]/30)*Tabla1[[#This Row],[TOTAL DIAS PROYECTO]]+(Tabla1[[#This Row],[COSTO TEMPORAL]])</f>
        <v>46</v>
      </c>
      <c r="P4685" s="119"/>
      <c r="Q4685" s="119">
        <f>+(Tabla1[[#This Row],[COSTO COCHE]]/30)*Tabla1[[#This Row],[TOTAL DIAS PROYECTO]]</f>
        <v>0</v>
      </c>
      <c r="R4685" s="119">
        <f>+Tabla1[[#This Row],[COSTO TOTAL ALOJAMIENTO]]+Tabla1[[#This Row],[COSTO TOTAL COCHE]]</f>
        <v>46</v>
      </c>
      <c r="S4685" s="117"/>
      <c r="T4685" s="124" t="s">
        <v>44</v>
      </c>
      <c r="U4685" s="124">
        <v>46064</v>
      </c>
      <c r="V4685" s="125">
        <v>46067</v>
      </c>
      <c r="W4685" s="119"/>
      <c r="X4685" s="117"/>
      <c r="Y4685" s="70" t="s">
        <v>6776</v>
      </c>
      <c r="Z4685" s="117" t="s">
        <v>36</v>
      </c>
      <c r="AA4685" s="127" t="s">
        <v>10424</v>
      </c>
      <c r="AB4685" s="127">
        <v>398581</v>
      </c>
    </row>
    <row r="4686" spans="1:28" ht="15" customHeight="1">
      <c r="A4686" s="117" t="s">
        <v>9349</v>
      </c>
      <c r="B4686" s="117" t="s">
        <v>711</v>
      </c>
      <c r="C4686" s="224" t="s">
        <v>2900</v>
      </c>
      <c r="D4686" s="117" t="s">
        <v>30</v>
      </c>
      <c r="E4686" s="117" t="s">
        <v>1514</v>
      </c>
      <c r="F4686" s="11" t="s">
        <v>6773</v>
      </c>
      <c r="G4686" s="70" t="s">
        <v>6774</v>
      </c>
      <c r="H4686" s="117" t="s">
        <v>6775</v>
      </c>
      <c r="I4686" s="119" t="s">
        <v>118</v>
      </c>
      <c r="J4686" s="121">
        <f>+Tabla1[[#This Row],[FECHA ENTRADA]]</f>
        <v>46064</v>
      </c>
      <c r="K4686" s="121">
        <v>46066</v>
      </c>
      <c r="L4686" s="129">
        <f>_xlfn.DAYS(Tabla1[[#This Row],[FECHA FIN ]],Tabla1[[#This Row],[FECHA INICIO]])</f>
        <v>2</v>
      </c>
      <c r="M4686" s="119">
        <v>46</v>
      </c>
      <c r="N4686" s="131"/>
      <c r="O4686" s="131">
        <f>(Tabla1[[#This Row],[COSTO FIJO ]]/30)*Tabla1[[#This Row],[TOTAL DIAS PROYECTO]]+(Tabla1[[#This Row],[COSTO TEMPORAL]])</f>
        <v>46</v>
      </c>
      <c r="P4686" s="119"/>
      <c r="Q4686" s="119">
        <f>+(Tabla1[[#This Row],[COSTO COCHE]]/30)*Tabla1[[#This Row],[TOTAL DIAS PROYECTO]]</f>
        <v>0</v>
      </c>
      <c r="R4686" s="119">
        <f>+Tabla1[[#This Row],[COSTO TOTAL ALOJAMIENTO]]+Tabla1[[#This Row],[COSTO TOTAL COCHE]]</f>
        <v>46</v>
      </c>
      <c r="S4686" s="117"/>
      <c r="T4686" s="124" t="s">
        <v>44</v>
      </c>
      <c r="U4686" s="124">
        <v>46064</v>
      </c>
      <c r="V4686" s="125">
        <v>46067</v>
      </c>
      <c r="W4686" s="119"/>
      <c r="X4686" s="117"/>
      <c r="Y4686" s="70" t="s">
        <v>6776</v>
      </c>
      <c r="Z4686" s="117" t="s">
        <v>36</v>
      </c>
      <c r="AA4686" s="127" t="s">
        <v>10424</v>
      </c>
      <c r="AB4686" s="127">
        <v>398581</v>
      </c>
    </row>
    <row r="4687" spans="1:28" ht="15" customHeight="1">
      <c r="A4687" s="117" t="s">
        <v>10158</v>
      </c>
      <c r="B4687" s="117" t="s">
        <v>711</v>
      </c>
      <c r="C4687" s="265" t="s">
        <v>6777</v>
      </c>
      <c r="D4687" s="117" t="s">
        <v>30</v>
      </c>
      <c r="E4687" s="117" t="s">
        <v>1514</v>
      </c>
      <c r="F4687" s="11" t="s">
        <v>6778</v>
      </c>
      <c r="G4687" s="197" t="s">
        <v>6779</v>
      </c>
      <c r="H4687" s="117" t="s">
        <v>6775</v>
      </c>
      <c r="I4687" s="119" t="s">
        <v>118</v>
      </c>
      <c r="J4687" s="121">
        <f>+Tabla1[[#This Row],[FECHA ENTRADA]]</f>
        <v>46066</v>
      </c>
      <c r="K4687" s="121">
        <v>46066</v>
      </c>
      <c r="L4687" s="129">
        <f>_xlfn.DAYS(Tabla1[[#This Row],[FECHA FIN ]],Tabla1[[#This Row],[FECHA INICIO]])</f>
        <v>0</v>
      </c>
      <c r="M4687" s="119">
        <v>62</v>
      </c>
      <c r="N4687" s="131"/>
      <c r="O4687" s="131">
        <f>(Tabla1[[#This Row],[COSTO FIJO ]]/30)*Tabla1[[#This Row],[TOTAL DIAS PROYECTO]]+(Tabla1[[#This Row],[COSTO TEMPORAL]])</f>
        <v>62</v>
      </c>
      <c r="P4687" s="119"/>
      <c r="Q4687" s="119">
        <f>+(Tabla1[[#This Row],[COSTO COCHE]]/30)*Tabla1[[#This Row],[TOTAL DIAS PROYECTO]]</f>
        <v>0</v>
      </c>
      <c r="R4687" s="119">
        <f>+Tabla1[[#This Row],[COSTO TOTAL ALOJAMIENTO]]+Tabla1[[#This Row],[COSTO TOTAL COCHE]]</f>
        <v>62</v>
      </c>
      <c r="S4687" s="117" t="s">
        <v>403</v>
      </c>
      <c r="T4687" s="124" t="s">
        <v>44</v>
      </c>
      <c r="U4687" s="124">
        <v>46066</v>
      </c>
      <c r="V4687" s="125">
        <v>46068</v>
      </c>
      <c r="W4687" s="119"/>
      <c r="X4687" s="117"/>
      <c r="Y4687" s="118" t="s">
        <v>6780</v>
      </c>
      <c r="Z4687" s="117" t="s">
        <v>36</v>
      </c>
      <c r="AA4687" s="127" t="s">
        <v>10424</v>
      </c>
      <c r="AB4687" s="127">
        <v>398581</v>
      </c>
    </row>
    <row r="4688" spans="1:28" ht="15" customHeight="1">
      <c r="A4688" s="2" t="s">
        <v>9148</v>
      </c>
      <c r="B4688" s="2" t="s">
        <v>711</v>
      </c>
      <c r="C4688" s="31" t="s">
        <v>2218</v>
      </c>
      <c r="D4688" s="2" t="s">
        <v>30</v>
      </c>
      <c r="E4688" s="2" t="s">
        <v>3335</v>
      </c>
      <c r="F4688" s="11" t="s">
        <v>6781</v>
      </c>
      <c r="G4688" s="11" t="s">
        <v>6782</v>
      </c>
      <c r="H4688" s="2" t="s">
        <v>6649</v>
      </c>
      <c r="I4688" s="12" t="s">
        <v>118</v>
      </c>
      <c r="J4688" s="22">
        <f>+Tabla1[[#This Row],[FECHA ENTRADA]]</f>
        <v>46047</v>
      </c>
      <c r="K4688" s="41">
        <v>46066</v>
      </c>
      <c r="L4688" s="23">
        <f>_xlfn.DAYS(Tabla1[[#This Row],[FECHA FIN ]],Tabla1[[#This Row],[FECHA INICIO]])</f>
        <v>19</v>
      </c>
      <c r="M4688" s="12">
        <v>587.5</v>
      </c>
      <c r="N4688" s="20"/>
      <c r="O4688" s="24">
        <f>(Tabla1[[#This Row],[COSTO FIJO ]]/30)*Tabla1[[#This Row],[TOTAL DIAS PROYECTO]]+(Tabla1[[#This Row],[COSTO TEMPORAL]])</f>
        <v>587.5</v>
      </c>
      <c r="P4688" s="12"/>
      <c r="Q4688" s="12">
        <f>+(Tabla1[[#This Row],[COSTO COCHE]]/30)*Tabla1[[#This Row],[TOTAL DIAS PROYECTO]]</f>
        <v>0</v>
      </c>
      <c r="R4688" s="12">
        <f>+Tabla1[[#This Row],[COSTO TOTAL ALOJAMIENTO]]+Tabla1[[#This Row],[COSTO TOTAL COCHE]]</f>
        <v>587.5</v>
      </c>
      <c r="S4688" s="2" t="s">
        <v>403</v>
      </c>
      <c r="T4688" s="14" t="s">
        <v>44</v>
      </c>
      <c r="U4688" s="14">
        <v>46047</v>
      </c>
      <c r="V4688" s="79">
        <v>46086</v>
      </c>
      <c r="W4688" s="12"/>
      <c r="X4688" s="2"/>
      <c r="Y4688" s="11" t="s">
        <v>6783</v>
      </c>
      <c r="Z4688" s="2" t="s">
        <v>36</v>
      </c>
      <c r="AA4688" s="13" t="e">
        <v>#N/A</v>
      </c>
      <c r="AB4688" s="13" t="e">
        <v>#N/A</v>
      </c>
    </row>
    <row r="4689" spans="1:28" ht="15" customHeight="1">
      <c r="A4689" s="2" t="s">
        <v>10159</v>
      </c>
      <c r="B4689" s="2" t="s">
        <v>978</v>
      </c>
      <c r="C4689" s="31" t="s">
        <v>6784</v>
      </c>
      <c r="D4689" s="2" t="s">
        <v>30</v>
      </c>
      <c r="E4689" s="2" t="s">
        <v>127</v>
      </c>
      <c r="F4689" s="11" t="s">
        <v>1106</v>
      </c>
      <c r="G4689" s="21"/>
      <c r="H4689" s="2" t="s">
        <v>6753</v>
      </c>
      <c r="I4689" s="12" t="s">
        <v>4255</v>
      </c>
      <c r="J4689" s="22">
        <f>+Tabla1[[#This Row],[FECHA ENTRADA]]</f>
        <v>46036</v>
      </c>
      <c r="K4689" s="22">
        <v>46066</v>
      </c>
      <c r="L4689" s="23">
        <f>_xlfn.DAYS(Tabla1[[#This Row],[FECHA FIN ]],Tabla1[[#This Row],[FECHA INICIO]])</f>
        <v>30</v>
      </c>
      <c r="M4689" s="12"/>
      <c r="N4689" s="20"/>
      <c r="O4689" s="24">
        <f>(Tabla1[[#This Row],[COSTO FIJO ]]/30)*Tabla1[[#This Row],[TOTAL DIAS PROYECTO]]+(Tabla1[[#This Row],[COSTO TEMPORAL]])</f>
        <v>0</v>
      </c>
      <c r="P4689" s="12"/>
      <c r="Q4689" s="12">
        <f>+(Tabla1[[#This Row],[COSTO COCHE]]/30)*Tabla1[[#This Row],[TOTAL DIAS PROYECTO]]</f>
        <v>0</v>
      </c>
      <c r="R4689" s="12">
        <f>+Tabla1[[#This Row],[COSTO TOTAL ALOJAMIENTO]]+Tabla1[[#This Row],[COSTO TOTAL COCHE]]</f>
        <v>0</v>
      </c>
      <c r="S4689" s="2"/>
      <c r="T4689" s="2" t="s">
        <v>8</v>
      </c>
      <c r="U4689" s="14">
        <v>46036</v>
      </c>
      <c r="V4689" s="79">
        <v>46059</v>
      </c>
      <c r="W4689" s="12"/>
      <c r="X4689" s="2"/>
      <c r="Y4689" s="136" t="s">
        <v>6785</v>
      </c>
      <c r="Z4689" s="2" t="s">
        <v>36</v>
      </c>
      <c r="AA4689" s="13" t="s">
        <v>10342</v>
      </c>
      <c r="AB4689" s="13" t="s">
        <v>10343</v>
      </c>
    </row>
    <row r="4690" spans="1:28" ht="15" customHeight="1">
      <c r="A4690" s="2" t="s">
        <v>9867</v>
      </c>
      <c r="B4690" s="2" t="s">
        <v>606</v>
      </c>
      <c r="C4690" s="69" t="s">
        <v>5109</v>
      </c>
      <c r="D4690" s="2" t="s">
        <v>30</v>
      </c>
      <c r="E4690" s="2" t="s">
        <v>31</v>
      </c>
      <c r="F4690" s="11" t="s">
        <v>5421</v>
      </c>
      <c r="G4690" t="s">
        <v>5422</v>
      </c>
      <c r="H4690" s="2" t="s">
        <v>6697</v>
      </c>
      <c r="I4690" s="12" t="s">
        <v>2062</v>
      </c>
      <c r="J4690" s="22">
        <f>+Tabla1[[#This Row],[FECHA ENTRADA]]</f>
        <v>46033</v>
      </c>
      <c r="K4690" s="22">
        <v>46067</v>
      </c>
      <c r="L4690" s="23">
        <f>_xlfn.DAYS(Tabla1[[#This Row],[FECHA FIN ]],Tabla1[[#This Row],[FECHA INICIO]])</f>
        <v>34</v>
      </c>
      <c r="M4690" s="12"/>
      <c r="N4690" s="12">
        <v>433.33333333333331</v>
      </c>
      <c r="O4690" s="24">
        <f>(Tabla1[[#This Row],[COSTO FIJO ]]/30)*Tabla1[[#This Row],[TOTAL DIAS PROYECTO]]+(Tabla1[[#This Row],[COSTO TEMPORAL]])</f>
        <v>491.11111111111114</v>
      </c>
      <c r="P4690" s="12"/>
      <c r="Q4690" s="12">
        <f>+(Tabla1[[#This Row],[COSTO COCHE]]/30)*Tabla1[[#This Row],[TOTAL DIAS PROYECTO]]</f>
        <v>0</v>
      </c>
      <c r="R4690" s="12">
        <f>+Tabla1[[#This Row],[COSTO TOTAL ALOJAMIENTO]]+Tabla1[[#This Row],[COSTO TOTAL COCHE]]</f>
        <v>491.11111111111114</v>
      </c>
      <c r="S4690" s="2"/>
      <c r="T4690" s="14" t="s">
        <v>35</v>
      </c>
      <c r="U4690" s="14">
        <v>46033</v>
      </c>
      <c r="V4690" s="79"/>
      <c r="W4690" s="12">
        <v>1300</v>
      </c>
      <c r="X4690" s="2">
        <v>1</v>
      </c>
      <c r="Y4690" s="11" t="s">
        <v>6786</v>
      </c>
      <c r="Z4690" s="2" t="s">
        <v>36</v>
      </c>
      <c r="AA4690" s="13" t="s">
        <v>10323</v>
      </c>
      <c r="AB4690" s="13" t="s">
        <v>10324</v>
      </c>
    </row>
    <row r="4691" spans="1:28" ht="15" customHeight="1">
      <c r="A4691" s="2" t="s">
        <v>9014</v>
      </c>
      <c r="B4691" s="2" t="s">
        <v>606</v>
      </c>
      <c r="C4691" s="11" t="s">
        <v>1701</v>
      </c>
      <c r="D4691" s="2" t="s">
        <v>30</v>
      </c>
      <c r="E4691" s="2" t="s">
        <v>31</v>
      </c>
      <c r="F4691" s="11" t="s">
        <v>5421</v>
      </c>
      <c r="G4691" s="70" t="s">
        <v>5422</v>
      </c>
      <c r="H4691" s="2" t="s">
        <v>6697</v>
      </c>
      <c r="I4691" s="12" t="s">
        <v>2062</v>
      </c>
      <c r="J4691" s="22">
        <f>+Tabla1[[#This Row],[FECHA ENTRADA]]</f>
        <v>46033</v>
      </c>
      <c r="K4691" s="22">
        <v>46067</v>
      </c>
      <c r="L4691" s="23">
        <f>_xlfn.DAYS(Tabla1[[#This Row],[FECHA FIN ]],Tabla1[[#This Row],[FECHA INICIO]])</f>
        <v>34</v>
      </c>
      <c r="M4691" s="12"/>
      <c r="N4691" s="12">
        <v>433.33333333333331</v>
      </c>
      <c r="O4691" s="24">
        <f>(Tabla1[[#This Row],[COSTO FIJO ]]/30)*Tabla1[[#This Row],[TOTAL DIAS PROYECTO]]+(Tabla1[[#This Row],[COSTO TEMPORAL]])</f>
        <v>491.11111111111114</v>
      </c>
      <c r="P4691" s="12"/>
      <c r="Q4691" s="12">
        <f>+(Tabla1[[#This Row],[COSTO COCHE]]/30)*Tabla1[[#This Row],[TOTAL DIAS PROYECTO]]</f>
        <v>0</v>
      </c>
      <c r="R4691" s="12">
        <f>+Tabla1[[#This Row],[COSTO TOTAL ALOJAMIENTO]]+Tabla1[[#This Row],[COSTO TOTAL COCHE]]</f>
        <v>491.11111111111114</v>
      </c>
      <c r="S4691" s="2"/>
      <c r="T4691" s="14" t="s">
        <v>35</v>
      </c>
      <c r="U4691" s="14">
        <v>46033</v>
      </c>
      <c r="V4691" s="79"/>
      <c r="W4691" s="12"/>
      <c r="X4691" s="2">
        <v>1</v>
      </c>
      <c r="Y4691" s="11" t="s">
        <v>6787</v>
      </c>
      <c r="Z4691" s="2" t="s">
        <v>36</v>
      </c>
      <c r="AA4691" s="13" t="s">
        <v>10323</v>
      </c>
      <c r="AB4691" s="13" t="s">
        <v>10324</v>
      </c>
    </row>
    <row r="4692" spans="1:28" ht="15" customHeight="1">
      <c r="A4692" s="2" t="s">
        <v>9838</v>
      </c>
      <c r="B4692" s="2" t="s">
        <v>606</v>
      </c>
      <c r="C4692" s="118" t="s">
        <v>4975</v>
      </c>
      <c r="D4692" s="2" t="s">
        <v>30</v>
      </c>
      <c r="E4692" s="2" t="s">
        <v>213</v>
      </c>
      <c r="F4692" s="11" t="s">
        <v>1733</v>
      </c>
      <c r="G4692" s="21" t="s">
        <v>1734</v>
      </c>
      <c r="H4692" s="2" t="s">
        <v>6788</v>
      </c>
      <c r="I4692" s="10" t="s">
        <v>3364</v>
      </c>
      <c r="J4692" s="22">
        <f>+Tabla1[[#This Row],[FECHA ENTRADA]]</f>
        <v>46117</v>
      </c>
      <c r="K4692" s="22">
        <v>46244</v>
      </c>
      <c r="L4692" s="23">
        <f>_xlfn.DAYS(Tabla1[[#This Row],[FECHA FIN ]],Tabla1[[#This Row],[FECHA INICIO]])</f>
        <v>127</v>
      </c>
      <c r="M4692" s="12">
        <v>379.5</v>
      </c>
      <c r="N4692" s="20"/>
      <c r="O4692" s="24">
        <f>(Tabla1[[#This Row],[COSTO FIJO ]]/30)*Tabla1[[#This Row],[TOTAL DIAS PROYECTO]]+(Tabla1[[#This Row],[COSTO TEMPORAL]])</f>
        <v>379.5</v>
      </c>
      <c r="P4692" s="12"/>
      <c r="Q4692" s="12">
        <f>+(Tabla1[[#This Row],[COSTO COCHE]]/30)*Tabla1[[#This Row],[TOTAL DIAS PROYECTO]]</f>
        <v>0</v>
      </c>
      <c r="R4692" s="12">
        <f>+Tabla1[[#This Row],[COSTO TOTAL ALOJAMIENTO]]+Tabla1[[#This Row],[COSTO TOTAL COCHE]]</f>
        <v>379.5</v>
      </c>
      <c r="S4692" s="2"/>
      <c r="T4692" s="14" t="s">
        <v>35</v>
      </c>
      <c r="U4692" s="14">
        <v>46117</v>
      </c>
      <c r="V4692" s="79">
        <v>46234</v>
      </c>
      <c r="W4692" s="12"/>
      <c r="X4692" s="2">
        <v>1</v>
      </c>
      <c r="Y4692" s="11" t="s">
        <v>6789</v>
      </c>
      <c r="Z4692" s="2" t="s">
        <v>36</v>
      </c>
      <c r="AA4692" s="13" t="s">
        <v>10349</v>
      </c>
      <c r="AB4692" s="13" t="s">
        <v>10350</v>
      </c>
    </row>
    <row r="4693" spans="1:28" ht="15" customHeight="1">
      <c r="A4693" s="2" t="s">
        <v>9128</v>
      </c>
      <c r="B4693" s="2" t="s">
        <v>978</v>
      </c>
      <c r="C4693" s="31" t="s">
        <v>2116</v>
      </c>
      <c r="D4693" s="2" t="s">
        <v>30</v>
      </c>
      <c r="E4693" s="2" t="s">
        <v>380</v>
      </c>
      <c r="F4693" s="11" t="s">
        <v>6790</v>
      </c>
      <c r="G4693" s="21" t="s">
        <v>6791</v>
      </c>
      <c r="H4693" s="2" t="s">
        <v>6296</v>
      </c>
      <c r="I4693" s="12" t="s">
        <v>4681</v>
      </c>
      <c r="J4693" s="22">
        <f>+Tabla1[[#This Row],[FECHA ENTRADA]]</f>
        <v>45923</v>
      </c>
      <c r="K4693" s="22">
        <v>45973</v>
      </c>
      <c r="L4693" s="23">
        <f>_xlfn.DAYS(Tabla1[[#This Row],[FECHA FIN ]],Tabla1[[#This Row],[FECHA INICIO]])</f>
        <v>50</v>
      </c>
      <c r="M4693" s="12"/>
      <c r="N4693" s="20">
        <v>295</v>
      </c>
      <c r="O4693" s="24">
        <f>(Tabla1[[#This Row],[COSTO FIJO ]]/30)*Tabla1[[#This Row],[TOTAL DIAS PROYECTO]]+(Tabla1[[#This Row],[COSTO TEMPORAL]])</f>
        <v>491.66666666666669</v>
      </c>
      <c r="P4693" s="12"/>
      <c r="Q4693" s="12">
        <f>+(Tabla1[[#This Row],[COSTO COCHE]]/30)*Tabla1[[#This Row],[TOTAL DIAS PROYECTO]]</f>
        <v>0</v>
      </c>
      <c r="R4693" s="12">
        <f>+Tabla1[[#This Row],[COSTO TOTAL ALOJAMIENTO]]+Tabla1[[#This Row],[COSTO TOTAL COCHE]]</f>
        <v>491.66666666666669</v>
      </c>
      <c r="S4693" s="2"/>
      <c r="T4693" s="14" t="s">
        <v>35</v>
      </c>
      <c r="U4693" s="14">
        <v>45923</v>
      </c>
      <c r="V4693" s="79"/>
      <c r="W4693" s="71">
        <v>350</v>
      </c>
      <c r="X4693" s="2">
        <v>20</v>
      </c>
      <c r="Y4693" s="11" t="s">
        <v>6792</v>
      </c>
      <c r="Z4693" s="2" t="s">
        <v>36</v>
      </c>
      <c r="AA4693" s="13" t="s">
        <v>10370</v>
      </c>
      <c r="AB4693" s="13" t="s">
        <v>10371</v>
      </c>
    </row>
    <row r="4694" spans="1:28" ht="15" customHeight="1">
      <c r="A4694" s="2" t="s">
        <v>10160</v>
      </c>
      <c r="B4694" s="2" t="s">
        <v>711</v>
      </c>
      <c r="C4694" s="11" t="s">
        <v>6793</v>
      </c>
      <c r="D4694" s="2" t="s">
        <v>30</v>
      </c>
      <c r="E4694" s="2" t="s">
        <v>213</v>
      </c>
      <c r="F4694" s="11" t="s">
        <v>6730</v>
      </c>
      <c r="G4694" s="46" t="s">
        <v>6731</v>
      </c>
      <c r="H4694" s="2" t="s">
        <v>6732</v>
      </c>
      <c r="I4694" s="12" t="s">
        <v>4464</v>
      </c>
      <c r="J4694" s="41">
        <f>+Tabla1[[#This Row],[FECHA ENTRADA]]</f>
        <v>45951</v>
      </c>
      <c r="K4694" s="22">
        <v>45953</v>
      </c>
      <c r="L4694" s="42">
        <f>_xlfn.DAYS(Tabla1[[#This Row],[FECHA FIN ]],Tabla1[[#This Row],[FECHA INICIO]])</f>
        <v>2</v>
      </c>
      <c r="M4694" s="12">
        <v>92.5</v>
      </c>
      <c r="N4694" s="28"/>
      <c r="O4694" s="28">
        <f>(Tabla1[[#This Row],[COSTO FIJO ]]/30)*Tabla1[[#This Row],[TOTAL DIAS PROYECTO]]+(Tabla1[[#This Row],[COSTO TEMPORAL]])</f>
        <v>92.5</v>
      </c>
      <c r="P4694" s="12"/>
      <c r="Q4694" s="12">
        <f>+(Tabla1[[#This Row],[COSTO COCHE]]/30)*Tabla1[[#This Row],[TOTAL DIAS PROYECTO]]</f>
        <v>0</v>
      </c>
      <c r="R4694" s="12">
        <f>+Tabla1[[#This Row],[COSTO TOTAL ALOJAMIENTO]]+Tabla1[[#This Row],[COSTO TOTAL COCHE]]</f>
        <v>92.5</v>
      </c>
      <c r="S4694" s="2" t="s">
        <v>403</v>
      </c>
      <c r="T4694" s="14" t="s">
        <v>44</v>
      </c>
      <c r="U4694" s="14">
        <v>45951</v>
      </c>
      <c r="V4694" s="43">
        <v>45954</v>
      </c>
      <c r="W4694" s="71"/>
      <c r="X4694" s="2"/>
      <c r="Y4694" s="11" t="s">
        <v>6733</v>
      </c>
      <c r="Z4694" s="2" t="s">
        <v>36</v>
      </c>
      <c r="AA4694" s="13" t="s">
        <v>10349</v>
      </c>
      <c r="AB4694" s="13" t="s">
        <v>10350</v>
      </c>
    </row>
    <row r="4695" spans="1:28" ht="15" customHeight="1">
      <c r="A4695" s="117" t="s">
        <v>9827</v>
      </c>
      <c r="B4695" s="117" t="s">
        <v>606</v>
      </c>
      <c r="C4695" s="118" t="s">
        <v>4929</v>
      </c>
      <c r="D4695" s="117" t="s">
        <v>30</v>
      </c>
      <c r="E4695" s="117" t="s">
        <v>6794</v>
      </c>
      <c r="F4695" s="11" t="s">
        <v>6795</v>
      </c>
      <c r="G4695" s="128" t="s">
        <v>6796</v>
      </c>
      <c r="H4695" s="117" t="s">
        <v>6797</v>
      </c>
      <c r="I4695" s="119" t="s">
        <v>5443</v>
      </c>
      <c r="J4695" s="121">
        <f>+Tabla1[[#This Row],[FECHA ENTRADA]]</f>
        <v>46042</v>
      </c>
      <c r="K4695" s="121">
        <v>46068</v>
      </c>
      <c r="L4695" s="129">
        <f>_xlfn.DAYS(Tabla1[[#This Row],[FECHA FIN ]],Tabla1[[#This Row],[FECHA INICIO]])</f>
        <v>26</v>
      </c>
      <c r="M4695" s="119">
        <f>35*Tabla1[[#This Row],[TOTAL DIAS PROYECTO]]</f>
        <v>910</v>
      </c>
      <c r="N4695" s="130"/>
      <c r="O4695" s="131">
        <f>(Tabla1[[#This Row],[COSTO FIJO ]]/30)*Tabla1[[#This Row],[TOTAL DIAS PROYECTO]]+(Tabla1[[#This Row],[COSTO TEMPORAL]])</f>
        <v>910</v>
      </c>
      <c r="P4695" s="119"/>
      <c r="Q4695" s="119">
        <f>+(Tabla1[[#This Row],[COSTO COCHE]]/30)*Tabla1[[#This Row],[TOTAL DIAS PROYECTO]]</f>
        <v>0</v>
      </c>
      <c r="R4695" s="119">
        <f>+Tabla1[[#This Row],[COSTO TOTAL ALOJAMIENTO]]+Tabla1[[#This Row],[COSTO TOTAL COCHE]]</f>
        <v>910</v>
      </c>
      <c r="S4695" s="117"/>
      <c r="T4695" s="124" t="s">
        <v>44</v>
      </c>
      <c r="U4695" s="124">
        <v>46042</v>
      </c>
      <c r="V4695" s="132">
        <v>46068</v>
      </c>
      <c r="W4695" s="119"/>
      <c r="X4695" s="117"/>
      <c r="Y4695" s="118" t="s">
        <v>6798</v>
      </c>
      <c r="Z4695" s="117" t="s">
        <v>36</v>
      </c>
      <c r="AA4695" s="127">
        <v>-6.0884499999999999</v>
      </c>
      <c r="AB4695" s="127">
        <v>40.03116</v>
      </c>
    </row>
    <row r="4696" spans="1:28" ht="15" customHeight="1">
      <c r="A4696" s="117" t="s">
        <v>8737</v>
      </c>
      <c r="B4696" s="117" t="s">
        <v>711</v>
      </c>
      <c r="C4696" s="118" t="s">
        <v>510</v>
      </c>
      <c r="D4696" s="117" t="s">
        <v>30</v>
      </c>
      <c r="E4696" s="117" t="s">
        <v>1514</v>
      </c>
      <c r="F4696" s="11" t="s">
        <v>6778</v>
      </c>
      <c r="G4696" s="197" t="s">
        <v>6779</v>
      </c>
      <c r="H4696" s="117" t="s">
        <v>6775</v>
      </c>
      <c r="I4696" s="119" t="s">
        <v>118</v>
      </c>
      <c r="J4696" s="121">
        <f>+Tabla1[[#This Row],[FECHA ENTRADA]]</f>
        <v>46066</v>
      </c>
      <c r="K4696" s="121">
        <v>46068</v>
      </c>
      <c r="L4696" s="129">
        <f>_xlfn.DAYS(Tabla1[[#This Row],[FECHA FIN ]],Tabla1[[#This Row],[FECHA INICIO]])</f>
        <v>2</v>
      </c>
      <c r="M4696" s="119">
        <v>62</v>
      </c>
      <c r="N4696" s="131"/>
      <c r="O4696" s="131">
        <f>(Tabla1[[#This Row],[COSTO FIJO ]]/30)*Tabla1[[#This Row],[TOTAL DIAS PROYECTO]]+(Tabla1[[#This Row],[COSTO TEMPORAL]])</f>
        <v>62</v>
      </c>
      <c r="P4696" s="119"/>
      <c r="Q4696" s="119">
        <f>+(Tabla1[[#This Row],[COSTO COCHE]]/30)*Tabla1[[#This Row],[TOTAL DIAS PROYECTO]]</f>
        <v>0</v>
      </c>
      <c r="R4696" s="119">
        <f>+Tabla1[[#This Row],[COSTO TOTAL ALOJAMIENTO]]+Tabla1[[#This Row],[COSTO TOTAL COCHE]]</f>
        <v>62</v>
      </c>
      <c r="S4696" s="117" t="s">
        <v>403</v>
      </c>
      <c r="T4696" s="124" t="s">
        <v>44</v>
      </c>
      <c r="U4696" s="124">
        <v>46066</v>
      </c>
      <c r="V4696" s="125">
        <v>46068</v>
      </c>
      <c r="W4696" s="119"/>
      <c r="X4696" s="117"/>
      <c r="Y4696" s="118" t="s">
        <v>6799</v>
      </c>
      <c r="Z4696" s="117" t="s">
        <v>36</v>
      </c>
      <c r="AA4696" s="127" t="s">
        <v>10424</v>
      </c>
      <c r="AB4696" s="127">
        <v>398581</v>
      </c>
    </row>
    <row r="4697" spans="1:28" ht="15" customHeight="1">
      <c r="A4697" s="117" t="s">
        <v>9049</v>
      </c>
      <c r="B4697" s="117" t="s">
        <v>711</v>
      </c>
      <c r="C4697" s="118" t="s">
        <v>1808</v>
      </c>
      <c r="D4697" s="117" t="s">
        <v>30</v>
      </c>
      <c r="E4697" s="117" t="s">
        <v>1514</v>
      </c>
      <c r="F4697" s="11" t="s">
        <v>6778</v>
      </c>
      <c r="G4697" s="197" t="s">
        <v>6779</v>
      </c>
      <c r="H4697" s="117" t="s">
        <v>6775</v>
      </c>
      <c r="I4697" s="119" t="s">
        <v>118</v>
      </c>
      <c r="J4697" s="121">
        <f>+Tabla1[[#This Row],[FECHA ENTRADA]]</f>
        <v>46066</v>
      </c>
      <c r="K4697" s="121">
        <v>46068</v>
      </c>
      <c r="L4697" s="129">
        <f>_xlfn.DAYS(Tabla1[[#This Row],[FECHA FIN ]],Tabla1[[#This Row],[FECHA INICIO]])</f>
        <v>2</v>
      </c>
      <c r="M4697" s="119">
        <v>62</v>
      </c>
      <c r="N4697" s="131"/>
      <c r="O4697" s="131">
        <f>(Tabla1[[#This Row],[COSTO FIJO ]]/30)*Tabla1[[#This Row],[TOTAL DIAS PROYECTO]]+(Tabla1[[#This Row],[COSTO TEMPORAL]])</f>
        <v>62</v>
      </c>
      <c r="P4697" s="119"/>
      <c r="Q4697" s="119">
        <f>+(Tabla1[[#This Row],[COSTO COCHE]]/30)*Tabla1[[#This Row],[TOTAL DIAS PROYECTO]]</f>
        <v>0</v>
      </c>
      <c r="R4697" s="119">
        <f>+Tabla1[[#This Row],[COSTO TOTAL ALOJAMIENTO]]+Tabla1[[#This Row],[COSTO TOTAL COCHE]]</f>
        <v>62</v>
      </c>
      <c r="S4697" s="117" t="s">
        <v>403</v>
      </c>
      <c r="T4697" s="124" t="s">
        <v>44</v>
      </c>
      <c r="U4697" s="124">
        <v>46066</v>
      </c>
      <c r="V4697" s="125">
        <v>46068</v>
      </c>
      <c r="W4697" s="119"/>
      <c r="X4697" s="117"/>
      <c r="Y4697" s="118" t="s">
        <v>6799</v>
      </c>
      <c r="Z4697" s="117" t="s">
        <v>36</v>
      </c>
      <c r="AA4697" s="127" t="s">
        <v>10424</v>
      </c>
      <c r="AB4697" s="127">
        <v>398581</v>
      </c>
    </row>
    <row r="4698" spans="1:28" ht="15" customHeight="1">
      <c r="A4698" s="117" t="s">
        <v>9349</v>
      </c>
      <c r="B4698" s="117" t="s">
        <v>711</v>
      </c>
      <c r="C4698" s="118" t="s">
        <v>2900</v>
      </c>
      <c r="D4698" s="117" t="s">
        <v>30</v>
      </c>
      <c r="E4698" s="117" t="s">
        <v>1514</v>
      </c>
      <c r="F4698" s="11" t="s">
        <v>6778</v>
      </c>
      <c r="G4698" s="197" t="s">
        <v>6779</v>
      </c>
      <c r="H4698" s="117" t="s">
        <v>6775</v>
      </c>
      <c r="I4698" s="119" t="s">
        <v>118</v>
      </c>
      <c r="J4698" s="121">
        <f>+Tabla1[[#This Row],[FECHA ENTRADA]]</f>
        <v>46066</v>
      </c>
      <c r="K4698" s="121">
        <v>46068</v>
      </c>
      <c r="L4698" s="129">
        <f>_xlfn.DAYS(Tabla1[[#This Row],[FECHA FIN ]],Tabla1[[#This Row],[FECHA INICIO]])</f>
        <v>2</v>
      </c>
      <c r="M4698" s="119">
        <v>62</v>
      </c>
      <c r="N4698" s="131"/>
      <c r="O4698" s="131">
        <f>(Tabla1[[#This Row],[COSTO FIJO ]]/30)*Tabla1[[#This Row],[TOTAL DIAS PROYECTO]]+(Tabla1[[#This Row],[COSTO TEMPORAL]])</f>
        <v>62</v>
      </c>
      <c r="P4698" s="119"/>
      <c r="Q4698" s="119">
        <f>+(Tabla1[[#This Row],[COSTO COCHE]]/30)*Tabla1[[#This Row],[TOTAL DIAS PROYECTO]]</f>
        <v>0</v>
      </c>
      <c r="R4698" s="119">
        <f>+Tabla1[[#This Row],[COSTO TOTAL ALOJAMIENTO]]+Tabla1[[#This Row],[COSTO TOTAL COCHE]]</f>
        <v>62</v>
      </c>
      <c r="S4698" s="117" t="s">
        <v>403</v>
      </c>
      <c r="T4698" s="124" t="s">
        <v>44</v>
      </c>
      <c r="U4698" s="124">
        <v>46066</v>
      </c>
      <c r="V4698" s="125">
        <v>46068</v>
      </c>
      <c r="W4698" s="119"/>
      <c r="X4698" s="117"/>
      <c r="Y4698" s="118" t="s">
        <v>6799</v>
      </c>
      <c r="Z4698" s="117" t="s">
        <v>36</v>
      </c>
      <c r="AA4698" s="127" t="s">
        <v>10424</v>
      </c>
      <c r="AB4698" s="127">
        <v>398581</v>
      </c>
    </row>
    <row r="4699" spans="1:28" ht="15" customHeight="1">
      <c r="A4699" s="117" t="s">
        <v>8944</v>
      </c>
      <c r="B4699" s="117" t="s">
        <v>711</v>
      </c>
      <c r="C4699" s="118" t="s">
        <v>1382</v>
      </c>
      <c r="D4699" s="117" t="s">
        <v>99</v>
      </c>
      <c r="E4699" s="117" t="s">
        <v>1514</v>
      </c>
      <c r="F4699" s="11" t="s">
        <v>6778</v>
      </c>
      <c r="G4699" s="197" t="s">
        <v>6779</v>
      </c>
      <c r="H4699" s="117" t="s">
        <v>6800</v>
      </c>
      <c r="I4699" s="119" t="s">
        <v>118</v>
      </c>
      <c r="J4699" s="121">
        <f>+Tabla1[[#This Row],[FECHA ENTRADA]]</f>
        <v>46066</v>
      </c>
      <c r="K4699" s="121">
        <v>46068</v>
      </c>
      <c r="L4699" s="129">
        <f>_xlfn.DAYS(Tabla1[[#This Row],[FECHA FIN ]],Tabla1[[#This Row],[FECHA INICIO]])</f>
        <v>2</v>
      </c>
      <c r="M4699" s="119">
        <v>45</v>
      </c>
      <c r="N4699" s="130"/>
      <c r="O4699" s="131">
        <f>(Tabla1[[#This Row],[COSTO FIJO ]]/30)*Tabla1[[#This Row],[TOTAL DIAS PROYECTO]]+(Tabla1[[#This Row],[COSTO TEMPORAL]])</f>
        <v>45</v>
      </c>
      <c r="P4699" s="119"/>
      <c r="Q4699" s="119">
        <f>+(Tabla1[[#This Row],[COSTO COCHE]]/30)*Tabla1[[#This Row],[TOTAL DIAS PROYECTO]]</f>
        <v>0</v>
      </c>
      <c r="R4699" s="119">
        <f>+Tabla1[[#This Row],[COSTO TOTAL ALOJAMIENTO]]+Tabla1[[#This Row],[COSTO TOTAL COCHE]]</f>
        <v>45</v>
      </c>
      <c r="S4699" s="117"/>
      <c r="T4699" s="124" t="s">
        <v>44</v>
      </c>
      <c r="U4699" s="124">
        <v>46066</v>
      </c>
      <c r="V4699" s="125">
        <v>46068</v>
      </c>
      <c r="W4699" s="119"/>
      <c r="X4699" s="117"/>
      <c r="Y4699" s="118" t="s">
        <v>6799</v>
      </c>
      <c r="Z4699" s="117" t="s">
        <v>36</v>
      </c>
      <c r="AA4699" s="127" t="s">
        <v>10424</v>
      </c>
      <c r="AB4699" s="127">
        <v>398581</v>
      </c>
    </row>
    <row r="4700" spans="1:28" ht="15" customHeight="1">
      <c r="A4700" s="117" t="s">
        <v>10117</v>
      </c>
      <c r="B4700" s="117" t="s">
        <v>711</v>
      </c>
      <c r="C4700" s="118" t="s">
        <v>6481</v>
      </c>
      <c r="D4700" s="117" t="s">
        <v>30</v>
      </c>
      <c r="E4700" s="117" t="s">
        <v>1514</v>
      </c>
      <c r="F4700" s="11" t="s">
        <v>6778</v>
      </c>
      <c r="G4700" s="197" t="s">
        <v>6779</v>
      </c>
      <c r="H4700" s="117" t="s">
        <v>6800</v>
      </c>
      <c r="I4700" s="119" t="s">
        <v>118</v>
      </c>
      <c r="J4700" s="121">
        <f>+Tabla1[[#This Row],[FECHA ENTRADA]]</f>
        <v>46066</v>
      </c>
      <c r="K4700" s="121">
        <v>46068</v>
      </c>
      <c r="L4700" s="129">
        <f>_xlfn.DAYS(Tabla1[[#This Row],[FECHA FIN ]],Tabla1[[#This Row],[FECHA INICIO]])</f>
        <v>2</v>
      </c>
      <c r="M4700" s="119">
        <v>45</v>
      </c>
      <c r="N4700" s="130"/>
      <c r="O4700" s="131">
        <f>(Tabla1[[#This Row],[COSTO FIJO ]]/30)*Tabla1[[#This Row],[TOTAL DIAS PROYECTO]]+(Tabla1[[#This Row],[COSTO TEMPORAL]])</f>
        <v>45</v>
      </c>
      <c r="P4700" s="119"/>
      <c r="Q4700" s="119">
        <f>+(Tabla1[[#This Row],[COSTO COCHE]]/30)*Tabla1[[#This Row],[TOTAL DIAS PROYECTO]]</f>
        <v>0</v>
      </c>
      <c r="R4700" s="119">
        <f>+Tabla1[[#This Row],[COSTO TOTAL ALOJAMIENTO]]+Tabla1[[#This Row],[COSTO TOTAL COCHE]]</f>
        <v>45</v>
      </c>
      <c r="S4700" s="117"/>
      <c r="T4700" s="124" t="s">
        <v>44</v>
      </c>
      <c r="U4700" s="124">
        <v>46066</v>
      </c>
      <c r="V4700" s="125">
        <v>46068</v>
      </c>
      <c r="W4700" s="119"/>
      <c r="X4700" s="117"/>
      <c r="Y4700" s="118" t="s">
        <v>6799</v>
      </c>
      <c r="Z4700" s="117" t="s">
        <v>36</v>
      </c>
      <c r="AA4700" s="127" t="s">
        <v>10424</v>
      </c>
      <c r="AB4700" s="127">
        <v>398581</v>
      </c>
    </row>
    <row r="4701" spans="1:28" ht="15" customHeight="1">
      <c r="A4701" s="2" t="s">
        <v>9800</v>
      </c>
      <c r="B4701" s="2" t="s">
        <v>978</v>
      </c>
      <c r="C4701" s="11" t="s">
        <v>4803</v>
      </c>
      <c r="D4701" s="2" t="s">
        <v>30</v>
      </c>
      <c r="E4701" s="2" t="s">
        <v>855</v>
      </c>
      <c r="F4701" s="11" t="s">
        <v>5772</v>
      </c>
      <c r="G4701" s="49" t="s">
        <v>1474</v>
      </c>
      <c r="H4701" s="2" t="s">
        <v>5807</v>
      </c>
      <c r="I4701" s="12" t="s">
        <v>5808</v>
      </c>
      <c r="J4701" s="41">
        <f>+Tabla1[[#This Row],[FECHA ENTRADA]]</f>
        <v>46049</v>
      </c>
      <c r="K4701" s="22">
        <v>46068</v>
      </c>
      <c r="L4701" s="42">
        <f>_xlfn.DAYS(Tabla1[[#This Row],[FECHA FIN ]],Tabla1[[#This Row],[FECHA INICIO]])</f>
        <v>19</v>
      </c>
      <c r="M4701" s="12">
        <v>282.33333333333331</v>
      </c>
      <c r="N4701" s="28"/>
      <c r="O4701" s="28">
        <f>(Tabla1[[#This Row],[COSTO FIJO ]]/30)*Tabla1[[#This Row],[TOTAL DIAS PROYECTO]]+(Tabla1[[#This Row],[COSTO TEMPORAL]])</f>
        <v>282.33333333333331</v>
      </c>
      <c r="P4701" s="12"/>
      <c r="Q4701" s="12">
        <f>+(Tabla1[[#This Row],[COSTO COCHE]]/30)*Tabla1[[#This Row],[TOTAL DIAS PROYECTO]]</f>
        <v>0</v>
      </c>
      <c r="R4701" s="12">
        <f>+Tabla1[[#This Row],[COSTO TOTAL ALOJAMIENTO]]+Tabla1[[#This Row],[COSTO TOTAL COCHE]]</f>
        <v>282.33333333333331</v>
      </c>
      <c r="S4701" s="2"/>
      <c r="T4701" s="14" t="s">
        <v>44</v>
      </c>
      <c r="U4701" s="14">
        <v>46049</v>
      </c>
      <c r="V4701" s="79">
        <v>46082</v>
      </c>
      <c r="W4701" s="12"/>
      <c r="X4701" s="2"/>
      <c r="Y4701" s="11" t="s">
        <v>4769</v>
      </c>
      <c r="Z4701" s="2" t="s">
        <v>36</v>
      </c>
      <c r="AA4701" s="13" t="s">
        <v>10401</v>
      </c>
      <c r="AB4701" s="13" t="s">
        <v>10402</v>
      </c>
    </row>
    <row r="4702" spans="1:28" ht="15" customHeight="1">
      <c r="A4702" s="2" t="s">
        <v>10161</v>
      </c>
      <c r="B4702" s="2" t="s">
        <v>28</v>
      </c>
      <c r="C4702" s="31" t="s">
        <v>6801</v>
      </c>
      <c r="D4702" s="2" t="s">
        <v>30</v>
      </c>
      <c r="E4702" s="2" t="s">
        <v>648</v>
      </c>
      <c r="F4702" s="11" t="s">
        <v>2482</v>
      </c>
      <c r="G4702" s="11" t="s">
        <v>1545</v>
      </c>
      <c r="H4702" s="2" t="s">
        <v>1363</v>
      </c>
      <c r="I4702" s="12" t="s">
        <v>96</v>
      </c>
      <c r="J4702" s="41">
        <f>+Tabla1[[#This Row],[FECHA ENTRADA]]</f>
        <v>45683</v>
      </c>
      <c r="K4702" s="22">
        <v>45944</v>
      </c>
      <c r="L4702" s="42">
        <f>_xlfn.DAYS(Tabla1[[#This Row],[FECHA FIN ]],Tabla1[[#This Row],[FECHA INICIO]])</f>
        <v>261</v>
      </c>
      <c r="M4702" s="12"/>
      <c r="N4702" s="12">
        <v>300</v>
      </c>
      <c r="O4702" s="28">
        <f>(Tabla1[[#This Row],[COSTO FIJO ]]/30)*Tabla1[[#This Row],[TOTAL DIAS PROYECTO]]+(Tabla1[[#This Row],[COSTO TEMPORAL]])</f>
        <v>2610</v>
      </c>
      <c r="P4702" s="12"/>
      <c r="Q4702" s="12">
        <f>+(Tabla1[[#This Row],[COSTO COCHE]]/30)*Tabla1[[#This Row],[TOTAL DIAS PROYECTO]]</f>
        <v>0</v>
      </c>
      <c r="R4702" s="12">
        <f>+Tabla1[[#This Row],[COSTO TOTAL ALOJAMIENTO]]+Tabla1[[#This Row],[COSTO TOTAL COCHE]]</f>
        <v>2610</v>
      </c>
      <c r="S4702" s="2"/>
      <c r="T4702" s="2" t="s">
        <v>35</v>
      </c>
      <c r="U4702" s="14">
        <v>45683</v>
      </c>
      <c r="V4702" s="43"/>
      <c r="W4702" s="26"/>
      <c r="X4702" s="2">
        <v>1</v>
      </c>
      <c r="Y4702" s="11" t="s">
        <v>6802</v>
      </c>
      <c r="Z4702" s="2" t="s">
        <v>36</v>
      </c>
      <c r="AA4702" s="13" t="s">
        <v>10387</v>
      </c>
      <c r="AB4702" s="13" t="s">
        <v>10388</v>
      </c>
    </row>
    <row r="4703" spans="1:28" ht="15" customHeight="1">
      <c r="A4703" s="2" t="s">
        <v>9239</v>
      </c>
      <c r="B4703" s="2" t="s">
        <v>28</v>
      </c>
      <c r="C4703" s="11" t="s">
        <v>2553</v>
      </c>
      <c r="D4703" s="2" t="s">
        <v>30</v>
      </c>
      <c r="E4703" s="2" t="s">
        <v>359</v>
      </c>
      <c r="F4703" s="11" t="s">
        <v>3347</v>
      </c>
      <c r="G4703" s="46" t="s">
        <v>3348</v>
      </c>
      <c r="H4703" s="2" t="s">
        <v>4338</v>
      </c>
      <c r="I4703" s="12" t="s">
        <v>96</v>
      </c>
      <c r="J4703" s="41">
        <f>+Tabla1[[#This Row],[FECHA ENTRADA]]</f>
        <v>45710</v>
      </c>
      <c r="K4703" s="8">
        <v>45800</v>
      </c>
      <c r="L4703" s="42">
        <f>_xlfn.DAYS(Tabla1[[#This Row],[FECHA FIN ]],Tabla1[[#This Row],[FECHA INICIO]])</f>
        <v>90</v>
      </c>
      <c r="M4703" s="12"/>
      <c r="N4703" s="24"/>
      <c r="O4703" s="28">
        <f>(Tabla1[[#This Row],[COSTO FIJO ]]/30)*Tabla1[[#This Row],[TOTAL DIAS PROYECTO]]+(Tabla1[[#This Row],[COSTO TEMPORAL]])</f>
        <v>0</v>
      </c>
      <c r="P4703" s="12"/>
      <c r="Q4703" s="12">
        <f>+(Tabla1[[#This Row],[COSTO COCHE]]/30)*Tabla1[[#This Row],[TOTAL DIAS PROYECTO]]</f>
        <v>0</v>
      </c>
      <c r="R4703" s="12">
        <f>+Tabla1[[#This Row],[COSTO TOTAL ALOJAMIENTO]]+Tabla1[[#This Row],[COSTO TOTAL COCHE]]</f>
        <v>0</v>
      </c>
      <c r="S4703" s="2" t="s">
        <v>84</v>
      </c>
      <c r="T4703" s="2" t="s">
        <v>44</v>
      </c>
      <c r="U4703" s="14">
        <v>45710</v>
      </c>
      <c r="V4703" s="25">
        <v>45854</v>
      </c>
      <c r="W4703" s="26"/>
      <c r="X4703" s="2"/>
      <c r="Y4703" s="11"/>
      <c r="Z4703" s="2" t="s">
        <v>36</v>
      </c>
      <c r="AA4703" s="13" t="s">
        <v>10367</v>
      </c>
      <c r="AB4703" s="13">
        <v>3899424</v>
      </c>
    </row>
    <row r="4704" spans="1:28" ht="15" customHeight="1">
      <c r="A4704" s="2" t="s">
        <v>9239</v>
      </c>
      <c r="B4704" s="2" t="s">
        <v>28</v>
      </c>
      <c r="C4704" s="18" t="s">
        <v>2553</v>
      </c>
      <c r="D4704" s="2" t="s">
        <v>30</v>
      </c>
      <c r="E4704" s="2" t="s">
        <v>359</v>
      </c>
      <c r="F4704" s="11" t="s">
        <v>6803</v>
      </c>
      <c r="G4704" s="21" t="s">
        <v>6804</v>
      </c>
      <c r="H4704" s="2" t="s">
        <v>4338</v>
      </c>
      <c r="I4704" s="12" t="s">
        <v>96</v>
      </c>
      <c r="J4704" s="22">
        <f>+Tabla1[[#This Row],[FECHA ENTRADA]]</f>
        <v>45685</v>
      </c>
      <c r="K4704" s="22">
        <v>45821</v>
      </c>
      <c r="L4704" s="23">
        <f>_xlfn.DAYS(Tabla1[[#This Row],[FECHA FIN ]],Tabla1[[#This Row],[FECHA INICIO]])</f>
        <v>136</v>
      </c>
      <c r="M4704" s="12"/>
      <c r="N4704" s="24"/>
      <c r="O4704" s="24">
        <f>(Tabla1[[#This Row],[COSTO FIJO ]]/30)*Tabla1[[#This Row],[TOTAL DIAS PROYECTO]]+(Tabla1[[#This Row],[COSTO TEMPORAL]])</f>
        <v>0</v>
      </c>
      <c r="P4704" s="12"/>
      <c r="Q4704" s="12">
        <f>+(Tabla1[[#This Row],[COSTO COCHE]]/30)*Tabla1[[#This Row],[TOTAL DIAS PROYECTO]]</f>
        <v>0</v>
      </c>
      <c r="R4704" s="12">
        <f>+Tabla1[[#This Row],[COSTO TOTAL ALOJAMIENTO]]+Tabla1[[#This Row],[COSTO TOTAL COCHE]]</f>
        <v>0</v>
      </c>
      <c r="S4704" s="2"/>
      <c r="T4704" s="2" t="s">
        <v>44</v>
      </c>
      <c r="U4704" s="14">
        <v>45685</v>
      </c>
      <c r="V4704" s="25">
        <v>45690</v>
      </c>
      <c r="W4704" s="26"/>
      <c r="X4704" s="2"/>
      <c r="Y4704" s="11"/>
      <c r="Z4704" s="2" t="s">
        <v>36</v>
      </c>
      <c r="AA4704" s="13" t="s">
        <v>10367</v>
      </c>
      <c r="AB4704" s="13">
        <v>3899424</v>
      </c>
    </row>
    <row r="4705" spans="1:28" ht="15" customHeight="1">
      <c r="A4705" s="2" t="s">
        <v>9843</v>
      </c>
      <c r="B4705" s="2" t="s">
        <v>606</v>
      </c>
      <c r="C4705" s="31" t="s">
        <v>5021</v>
      </c>
      <c r="D4705" s="2" t="s">
        <v>99</v>
      </c>
      <c r="E4705" s="2" t="s">
        <v>31</v>
      </c>
      <c r="F4705" s="11" t="s">
        <v>451</v>
      </c>
      <c r="G4705" s="118" t="s">
        <v>452</v>
      </c>
      <c r="H4705" s="2" t="s">
        <v>6805</v>
      </c>
      <c r="I4705" s="12" t="s">
        <v>6458</v>
      </c>
      <c r="J4705" s="22">
        <f>+Tabla1[[#This Row],[FECHA ENTRADA]]</f>
        <v>46076</v>
      </c>
      <c r="K4705" s="22">
        <v>46076</v>
      </c>
      <c r="L4705" s="23">
        <f>_xlfn.DAYS(Tabla1[[#This Row],[FECHA FIN ]],Tabla1[[#This Row],[FECHA INICIO]])</f>
        <v>0</v>
      </c>
      <c r="M4705" s="12"/>
      <c r="N4705" s="20">
        <v>340</v>
      </c>
      <c r="O4705" s="24">
        <f>(Tabla1[[#This Row],[COSTO FIJO ]]/30)*Tabla1[[#This Row],[TOTAL DIAS PROYECTO]]+(Tabla1[[#This Row],[COSTO TEMPORAL]])</f>
        <v>0</v>
      </c>
      <c r="P4705" s="12"/>
      <c r="Q4705" s="12">
        <f>+(Tabla1[[#This Row],[COSTO COCHE]]/30)*Tabla1[[#This Row],[TOTAL DIAS PROYECTO]]</f>
        <v>0</v>
      </c>
      <c r="R4705" s="12">
        <f>+Tabla1[[#This Row],[COSTO TOTAL ALOJAMIENTO]]+Tabla1[[#This Row],[COSTO TOTAL COCHE]]</f>
        <v>0</v>
      </c>
      <c r="S4705" s="2"/>
      <c r="T4705" s="14" t="s">
        <v>35</v>
      </c>
      <c r="U4705" s="14">
        <v>46076</v>
      </c>
      <c r="V4705" s="79"/>
      <c r="W4705" s="12"/>
      <c r="X4705" s="2">
        <v>1</v>
      </c>
      <c r="Y4705" s="11" t="s">
        <v>6806</v>
      </c>
      <c r="Z4705" s="2" t="s">
        <v>36</v>
      </c>
      <c r="AA4705" s="13" t="s">
        <v>10323</v>
      </c>
      <c r="AB4705" s="13" t="s">
        <v>10324</v>
      </c>
    </row>
    <row r="4706" spans="1:28" ht="15" customHeight="1">
      <c r="A4706" s="117" t="s">
        <v>9827</v>
      </c>
      <c r="B4706" s="117" t="s">
        <v>606</v>
      </c>
      <c r="C4706" s="118" t="s">
        <v>4929</v>
      </c>
      <c r="D4706" s="117" t="s">
        <v>30</v>
      </c>
      <c r="E4706" s="117" t="s">
        <v>6794</v>
      </c>
      <c r="F4706" s="11" t="s">
        <v>6807</v>
      </c>
      <c r="G4706" s="128" t="s">
        <v>6808</v>
      </c>
      <c r="H4706" s="117" t="s">
        <v>6797</v>
      </c>
      <c r="I4706" s="119" t="s">
        <v>5443</v>
      </c>
      <c r="J4706" s="121">
        <f>+Tabla1[[#This Row],[FECHA ENTRADA]]</f>
        <v>46068</v>
      </c>
      <c r="K4706" s="121">
        <v>46069</v>
      </c>
      <c r="L4706" s="129">
        <f>_xlfn.DAYS(Tabla1[[#This Row],[FECHA FIN ]],Tabla1[[#This Row],[FECHA INICIO]])</f>
        <v>1</v>
      </c>
      <c r="M4706" s="119">
        <v>60</v>
      </c>
      <c r="N4706" s="130"/>
      <c r="O4706" s="131">
        <f>(Tabla1[[#This Row],[COSTO FIJO ]]/30)*Tabla1[[#This Row],[TOTAL DIAS PROYECTO]]+(Tabla1[[#This Row],[COSTO TEMPORAL]])</f>
        <v>60</v>
      </c>
      <c r="P4706" s="119"/>
      <c r="Q4706" s="119">
        <f>+(Tabla1[[#This Row],[COSTO COCHE]]/30)*Tabla1[[#This Row],[TOTAL DIAS PROYECTO]]</f>
        <v>0</v>
      </c>
      <c r="R4706" s="119">
        <f>+Tabla1[[#This Row],[COSTO TOTAL ALOJAMIENTO]]+Tabla1[[#This Row],[COSTO TOTAL COCHE]]</f>
        <v>60</v>
      </c>
      <c r="S4706" s="117"/>
      <c r="T4706" s="124" t="s">
        <v>44</v>
      </c>
      <c r="U4706" s="124">
        <v>46068</v>
      </c>
      <c r="V4706" s="132">
        <v>46069</v>
      </c>
      <c r="W4706" s="119"/>
      <c r="X4706" s="117"/>
      <c r="Y4706" s="118" t="s">
        <v>1120</v>
      </c>
      <c r="Z4706" s="117" t="s">
        <v>36</v>
      </c>
      <c r="AA4706" s="127">
        <v>-6.0884499999999999</v>
      </c>
      <c r="AB4706" s="127">
        <v>40.03116</v>
      </c>
    </row>
    <row r="4707" spans="1:28" ht="15" customHeight="1">
      <c r="A4707" s="2" t="s">
        <v>9697</v>
      </c>
      <c r="B4707" s="2" t="s">
        <v>711</v>
      </c>
      <c r="C4707" s="303" t="s">
        <v>4281</v>
      </c>
      <c r="D4707" s="2" t="s">
        <v>30</v>
      </c>
      <c r="E4707" s="2" t="s">
        <v>3335</v>
      </c>
      <c r="F4707" s="11" t="s">
        <v>6809</v>
      </c>
      <c r="G4707" s="21" t="s">
        <v>6810</v>
      </c>
      <c r="H4707" s="2" t="s">
        <v>6649</v>
      </c>
      <c r="I4707" s="12" t="s">
        <v>118</v>
      </c>
      <c r="J4707" s="22">
        <f>+Tabla1[[#This Row],[FECHA ENTRADA]]</f>
        <v>46047</v>
      </c>
      <c r="K4707" s="41">
        <v>46069</v>
      </c>
      <c r="L4707" s="23">
        <f>_xlfn.DAYS(Tabla1[[#This Row],[FECHA FIN ]],Tabla1[[#This Row],[FECHA INICIO]])</f>
        <v>22</v>
      </c>
      <c r="M4707" s="12">
        <f>1926.31/3</f>
        <v>642.10333333333335</v>
      </c>
      <c r="N4707" s="20"/>
      <c r="O4707" s="24">
        <f>(Tabla1[[#This Row],[COSTO FIJO ]]/30)*Tabla1[[#This Row],[TOTAL DIAS PROYECTO]]+(Tabla1[[#This Row],[COSTO TEMPORAL]])</f>
        <v>642.10333333333335</v>
      </c>
      <c r="P4707" s="12"/>
      <c r="Q4707" s="12">
        <f>+(Tabla1[[#This Row],[COSTO COCHE]]/30)*Tabla1[[#This Row],[TOTAL DIAS PROYECTO]]</f>
        <v>0</v>
      </c>
      <c r="R4707" s="12">
        <f>+Tabla1[[#This Row],[COSTO TOTAL ALOJAMIENTO]]+Tabla1[[#This Row],[COSTO TOTAL COCHE]]</f>
        <v>642.10333333333335</v>
      </c>
      <c r="S4707" s="2" t="s">
        <v>84</v>
      </c>
      <c r="T4707" s="14" t="s">
        <v>44</v>
      </c>
      <c r="U4707" s="14">
        <v>46047</v>
      </c>
      <c r="V4707" s="79">
        <v>46071</v>
      </c>
      <c r="W4707" s="12"/>
      <c r="X4707" s="2"/>
      <c r="Y4707" s="11" t="s">
        <v>6811</v>
      </c>
      <c r="Z4707" s="2" t="s">
        <v>36</v>
      </c>
      <c r="AA4707" s="13" t="e">
        <v>#N/A</v>
      </c>
      <c r="AB4707" s="13" t="e">
        <v>#N/A</v>
      </c>
    </row>
    <row r="4708" spans="1:28" ht="15" customHeight="1">
      <c r="A4708" s="2" t="s">
        <v>10162</v>
      </c>
      <c r="B4708" s="2" t="s">
        <v>606</v>
      </c>
      <c r="C4708" s="31" t="s">
        <v>6812</v>
      </c>
      <c r="D4708" s="2" t="s">
        <v>30</v>
      </c>
      <c r="E4708" s="2" t="s">
        <v>1514</v>
      </c>
      <c r="F4708" s="11" t="s">
        <v>6813</v>
      </c>
      <c r="G4708" s="49" t="s">
        <v>6814</v>
      </c>
      <c r="H4708" s="2" t="s">
        <v>6815</v>
      </c>
      <c r="I4708" s="12" t="s">
        <v>118</v>
      </c>
      <c r="J4708" s="41">
        <f>+Tabla1[[#This Row],[FECHA ENTRADA]]</f>
        <v>46069</v>
      </c>
      <c r="K4708" s="22">
        <v>46069</v>
      </c>
      <c r="L4708" s="42">
        <f>_xlfn.DAYS(Tabla1[[#This Row],[FECHA FIN ]],Tabla1[[#This Row],[FECHA INICIO]])</f>
        <v>0</v>
      </c>
      <c r="M4708" s="12">
        <v>110</v>
      </c>
      <c r="N4708" s="28"/>
      <c r="O4708" s="28">
        <f>(Tabla1[[#This Row],[COSTO FIJO ]]/30)*Tabla1[[#This Row],[TOTAL DIAS PROYECTO]]+(Tabla1[[#This Row],[COSTO TEMPORAL]])</f>
        <v>110</v>
      </c>
      <c r="P4708" s="12"/>
      <c r="Q4708" s="12">
        <f>+(Tabla1[[#This Row],[COSTO COCHE]]/30)*Tabla1[[#This Row],[TOTAL DIAS PROYECTO]]</f>
        <v>0</v>
      </c>
      <c r="R4708" s="12">
        <f>+Tabla1[[#This Row],[COSTO TOTAL ALOJAMIENTO]]+Tabla1[[#This Row],[COSTO TOTAL COCHE]]</f>
        <v>110</v>
      </c>
      <c r="S4708" s="2"/>
      <c r="T4708" s="14" t="s">
        <v>44</v>
      </c>
      <c r="U4708" s="14">
        <v>46069</v>
      </c>
      <c r="V4708" s="79">
        <v>46074</v>
      </c>
      <c r="W4708" s="12"/>
      <c r="X4708" s="2"/>
      <c r="Y4708" s="11" t="s">
        <v>6816</v>
      </c>
      <c r="Z4708" s="2" t="s">
        <v>36</v>
      </c>
      <c r="AA4708" s="13" t="s">
        <v>10424</v>
      </c>
      <c r="AB4708" s="13">
        <v>398581</v>
      </c>
    </row>
    <row r="4709" spans="1:28" ht="15" customHeight="1">
      <c r="A4709" s="2" t="s">
        <v>10163</v>
      </c>
      <c r="B4709" s="2" t="s">
        <v>368</v>
      </c>
      <c r="C4709" s="239" t="s">
        <v>6817</v>
      </c>
      <c r="D4709" s="2" t="s">
        <v>30</v>
      </c>
      <c r="E4709" s="2" t="s">
        <v>31</v>
      </c>
      <c r="F4709" s="11" t="s">
        <v>6818</v>
      </c>
      <c r="G4709" s="304" t="s">
        <v>4400</v>
      </c>
      <c r="H4709" s="2" t="s">
        <v>6819</v>
      </c>
      <c r="I4709" s="65" t="s">
        <v>2287</v>
      </c>
      <c r="J4709" s="66">
        <f>+Tabla1[[#This Row],[FECHA ENTRADA]]</f>
        <v>45627</v>
      </c>
      <c r="K4709" s="305">
        <v>46070</v>
      </c>
      <c r="L4709" s="306">
        <f>_xlfn.DAYS(Tabla1[[#This Row],[FECHA FIN ]],Tabla1[[#This Row],[FECHA INICIO]])</f>
        <v>443</v>
      </c>
      <c r="M4709" s="12"/>
      <c r="N4709" s="12">
        <f>340+50</f>
        <v>390</v>
      </c>
      <c r="O4709" s="72">
        <f>(Tabla1[[#This Row],[COSTO FIJO ]]/30)*Tabla1[[#This Row],[TOTAL DIAS PROYECTO]]+(Tabla1[[#This Row],[COSTO TEMPORAL]])</f>
        <v>5759</v>
      </c>
      <c r="P4709" s="12"/>
      <c r="Q4709" s="12">
        <f>+(Tabla1[[#This Row],[COSTO COCHE]]/30)*Tabla1[[#This Row],[TOTAL DIAS PROYECTO]]</f>
        <v>0</v>
      </c>
      <c r="R4709" s="12">
        <f>+Tabla1[[#This Row],[COSTO TOTAL ALOJAMIENTO]]+Tabla1[[#This Row],[COSTO TOTAL COCHE]]</f>
        <v>5759</v>
      </c>
      <c r="S4709" s="2" t="s">
        <v>3706</v>
      </c>
      <c r="T4709" s="2" t="s">
        <v>35</v>
      </c>
      <c r="U4709" s="14">
        <v>45627</v>
      </c>
      <c r="V4709" s="307"/>
      <c r="W4709" s="26">
        <v>500</v>
      </c>
      <c r="X4709" s="2">
        <v>1</v>
      </c>
      <c r="Y4709" s="11" t="s">
        <v>6820</v>
      </c>
      <c r="Z4709" s="2" t="s">
        <v>36</v>
      </c>
      <c r="AA4709" s="13" t="s">
        <v>10323</v>
      </c>
      <c r="AB4709" s="13" t="s">
        <v>10324</v>
      </c>
    </row>
    <row r="4710" spans="1:28" ht="15" customHeight="1">
      <c r="A4710" s="2" t="s">
        <v>9336</v>
      </c>
      <c r="B4710" s="2" t="s">
        <v>711</v>
      </c>
      <c r="C4710" s="11" t="s">
        <v>2850</v>
      </c>
      <c r="D4710" s="2" t="s">
        <v>99</v>
      </c>
      <c r="E4710" s="2" t="s">
        <v>626</v>
      </c>
      <c r="F4710" s="11" t="s">
        <v>6749</v>
      </c>
      <c r="G4710" s="128" t="s">
        <v>6745</v>
      </c>
      <c r="H4710" s="2" t="s">
        <v>6279</v>
      </c>
      <c r="I4710" s="12" t="s">
        <v>570</v>
      </c>
      <c r="J4710" s="22">
        <f>+Tabla1[[#This Row],[FECHA ENTRADA]]</f>
        <v>46053</v>
      </c>
      <c r="K4710" s="22">
        <v>46070</v>
      </c>
      <c r="L4710" s="23">
        <f>_xlfn.DAYS(Tabla1[[#This Row],[FECHA FIN ]],Tabla1[[#This Row],[FECHA INICIO]])</f>
        <v>17</v>
      </c>
      <c r="M4710" s="12"/>
      <c r="N4710" s="20">
        <v>250</v>
      </c>
      <c r="O4710" s="24">
        <f>(Tabla1[[#This Row],[COSTO FIJO ]]/30)*Tabla1[[#This Row],[TOTAL DIAS PROYECTO]]+(Tabla1[[#This Row],[COSTO TEMPORAL]])</f>
        <v>141.66666666666669</v>
      </c>
      <c r="P4710" s="12"/>
      <c r="Q4710" s="12">
        <f>+(Tabla1[[#This Row],[COSTO COCHE]]/30)*Tabla1[[#This Row],[TOTAL DIAS PROYECTO]]</f>
        <v>0</v>
      </c>
      <c r="R4710" s="12">
        <f>+Tabla1[[#This Row],[COSTO TOTAL ALOJAMIENTO]]+Tabla1[[#This Row],[COSTO TOTAL COCHE]]</f>
        <v>141.66666666666669</v>
      </c>
      <c r="S4710" s="2"/>
      <c r="T4710" s="14" t="s">
        <v>35</v>
      </c>
      <c r="U4710" s="14">
        <v>46053</v>
      </c>
      <c r="V4710" s="79"/>
      <c r="W4710" s="12"/>
      <c r="X4710" s="2">
        <v>1</v>
      </c>
      <c r="Y4710" s="11" t="s">
        <v>1361</v>
      </c>
      <c r="Z4710" s="2" t="s">
        <v>36</v>
      </c>
      <c r="AA4710" s="13" t="s">
        <v>10385</v>
      </c>
      <c r="AB4710" s="13" t="s">
        <v>10386</v>
      </c>
    </row>
    <row r="4711" spans="1:28" ht="15" customHeight="1">
      <c r="A4711" s="2" t="s">
        <v>9884</v>
      </c>
      <c r="B4711" s="2" t="s">
        <v>711</v>
      </c>
      <c r="C4711" s="104" t="s">
        <v>5213</v>
      </c>
      <c r="D4711" s="2" t="s">
        <v>30</v>
      </c>
      <c r="E4711" s="2" t="s">
        <v>626</v>
      </c>
      <c r="F4711" s="11" t="s">
        <v>6749</v>
      </c>
      <c r="G4711" s="128" t="s">
        <v>6745</v>
      </c>
      <c r="H4711" s="2" t="s">
        <v>5810</v>
      </c>
      <c r="I4711" s="12" t="s">
        <v>570</v>
      </c>
      <c r="J4711" s="22">
        <f>+Tabla1[[#This Row],[FECHA ENTRADA]]</f>
        <v>46053</v>
      </c>
      <c r="K4711" s="22">
        <v>46070</v>
      </c>
      <c r="L4711" s="23">
        <f>_xlfn.DAYS(Tabla1[[#This Row],[FECHA FIN ]],Tabla1[[#This Row],[FECHA INICIO]])</f>
        <v>17</v>
      </c>
      <c r="M4711" s="12"/>
      <c r="N4711" s="20">
        <v>250</v>
      </c>
      <c r="O4711" s="24">
        <f>(Tabla1[[#This Row],[COSTO FIJO ]]/30)*Tabla1[[#This Row],[TOTAL DIAS PROYECTO]]+(Tabla1[[#This Row],[COSTO TEMPORAL]])</f>
        <v>141.66666666666669</v>
      </c>
      <c r="P4711" s="12"/>
      <c r="Q4711" s="12">
        <f>+(Tabla1[[#This Row],[COSTO COCHE]]/30)*Tabla1[[#This Row],[TOTAL DIAS PROYECTO]]</f>
        <v>0</v>
      </c>
      <c r="R4711" s="12">
        <f>+Tabla1[[#This Row],[COSTO TOTAL ALOJAMIENTO]]+Tabla1[[#This Row],[COSTO TOTAL COCHE]]</f>
        <v>141.66666666666669</v>
      </c>
      <c r="S4711" s="2"/>
      <c r="T4711" s="14" t="s">
        <v>35</v>
      </c>
      <c r="U4711" s="14">
        <v>46053</v>
      </c>
      <c r="V4711" s="79"/>
      <c r="W4711" s="12">
        <v>500</v>
      </c>
      <c r="X4711" s="2">
        <v>1</v>
      </c>
      <c r="Y4711" s="11" t="s">
        <v>1361</v>
      </c>
      <c r="Z4711" s="2" t="s">
        <v>36</v>
      </c>
      <c r="AA4711" s="13" t="s">
        <v>10385</v>
      </c>
      <c r="AB4711" s="13" t="s">
        <v>10386</v>
      </c>
    </row>
    <row r="4712" spans="1:28">
      <c r="A4712" s="2" t="s">
        <v>9239</v>
      </c>
      <c r="B4712" s="2" t="s">
        <v>28</v>
      </c>
      <c r="C4712" s="11" t="s">
        <v>2553</v>
      </c>
      <c r="D4712" s="2" t="s">
        <v>30</v>
      </c>
      <c r="E4712" s="2" t="s">
        <v>359</v>
      </c>
      <c r="F4712" s="11" t="s">
        <v>6821</v>
      </c>
      <c r="G4712" s="46" t="s">
        <v>3326</v>
      </c>
      <c r="H4712" s="2" t="s">
        <v>4338</v>
      </c>
      <c r="I4712" s="12" t="s">
        <v>96</v>
      </c>
      <c r="J4712" s="41">
        <f>+Tabla1[[#This Row],[FECHA ENTRADA]]</f>
        <v>45690</v>
      </c>
      <c r="K4712" s="22">
        <v>45821</v>
      </c>
      <c r="L4712" s="42">
        <f>_xlfn.DAYS(Tabla1[[#This Row],[FECHA FIN ]],Tabla1[[#This Row],[FECHA INICIO]])</f>
        <v>131</v>
      </c>
      <c r="M4712" s="12"/>
      <c r="N4712" s="12">
        <v>330</v>
      </c>
      <c r="O4712" s="28">
        <f>(Tabla1[[#This Row],[COSTO FIJO ]]/30)*Tabla1[[#This Row],[TOTAL DIAS PROYECTO]]+(Tabla1[[#This Row],[COSTO TEMPORAL]])</f>
        <v>1441</v>
      </c>
      <c r="P4712" s="12"/>
      <c r="Q4712" s="12">
        <f>+(Tabla1[[#This Row],[COSTO COCHE]]/30)*Tabla1[[#This Row],[TOTAL DIAS PROYECTO]]</f>
        <v>0</v>
      </c>
      <c r="R4712" s="12">
        <f>+Tabla1[[#This Row],[COSTO TOTAL ALOJAMIENTO]]+Tabla1[[#This Row],[COSTO TOTAL COCHE]]</f>
        <v>1441</v>
      </c>
      <c r="S4712" s="2"/>
      <c r="T4712" s="2" t="s">
        <v>44</v>
      </c>
      <c r="U4712" s="14">
        <v>45690</v>
      </c>
      <c r="V4712" s="43">
        <v>45710</v>
      </c>
      <c r="W4712" s="26"/>
      <c r="X4712" s="2">
        <v>1</v>
      </c>
      <c r="Y4712" s="11" t="s">
        <v>1120</v>
      </c>
      <c r="Z4712" s="2" t="s">
        <v>36</v>
      </c>
      <c r="AA4712" s="13" t="s">
        <v>10367</v>
      </c>
      <c r="AB4712" s="13">
        <v>3899424</v>
      </c>
    </row>
    <row r="4713" spans="1:28" ht="15" customHeight="1">
      <c r="A4713" s="2" t="s">
        <v>8642</v>
      </c>
      <c r="B4713" s="2" t="s">
        <v>978</v>
      </c>
      <c r="C4713" s="11" t="s">
        <v>4525</v>
      </c>
      <c r="D4713" s="2" t="s">
        <v>30</v>
      </c>
      <c r="E4713" s="2" t="s">
        <v>109</v>
      </c>
      <c r="F4713" s="11" t="s">
        <v>4434</v>
      </c>
      <c r="G4713" s="21">
        <v>973266788</v>
      </c>
      <c r="H4713" s="2" t="s">
        <v>5355</v>
      </c>
      <c r="I4713" s="12" t="s">
        <v>5356</v>
      </c>
      <c r="J4713" s="41">
        <f>+Tabla1[[#This Row],[FECHA ENTRADA]]</f>
        <v>45875</v>
      </c>
      <c r="K4713" s="41">
        <v>45894</v>
      </c>
      <c r="L4713" s="42">
        <f>_xlfn.DAYS(Tabla1[[#This Row],[FECHA FIN ]],Tabla1[[#This Row],[FECHA INICIO]])</f>
        <v>19</v>
      </c>
      <c r="M4713" s="12"/>
      <c r="N4713" s="12"/>
      <c r="O4713" s="28">
        <f>(Tabla1[[#This Row],[COSTO FIJO ]]/30)*Tabla1[[#This Row],[TOTAL DIAS PROYECTO]]+(Tabla1[[#This Row],[COSTO TEMPORAL]])</f>
        <v>0</v>
      </c>
      <c r="P4713" s="12"/>
      <c r="Q4713" s="12">
        <f>+(Tabla1[[#This Row],[COSTO COCHE]]/30)*Tabla1[[#This Row],[TOTAL DIAS PROYECTO]]</f>
        <v>0</v>
      </c>
      <c r="R4713" s="12">
        <f>+Tabla1[[#This Row],[COSTO TOTAL ALOJAMIENTO]]+Tabla1[[#This Row],[COSTO TOTAL COCHE]]</f>
        <v>0</v>
      </c>
      <c r="S4713" s="2"/>
      <c r="T4713" s="14" t="s">
        <v>44</v>
      </c>
      <c r="U4713" s="14">
        <v>45875</v>
      </c>
      <c r="V4713" s="43">
        <v>45894</v>
      </c>
      <c r="W4713" s="12"/>
      <c r="X4713" s="2"/>
      <c r="Y4713" s="11" t="s">
        <v>6764</v>
      </c>
      <c r="Z4713" s="2" t="s">
        <v>36</v>
      </c>
      <c r="AA4713" s="13">
        <v>0.62217999999999996</v>
      </c>
      <c r="AB4713" s="13" t="s">
        <v>10339</v>
      </c>
    </row>
    <row r="4714" spans="1:28" ht="15" customHeight="1">
      <c r="A4714" s="117" t="s">
        <v>9431</v>
      </c>
      <c r="B4714" s="117" t="s">
        <v>606</v>
      </c>
      <c r="C4714" s="118" t="s">
        <v>3165</v>
      </c>
      <c r="D4714" s="117" t="s">
        <v>30</v>
      </c>
      <c r="E4714" s="117" t="s">
        <v>648</v>
      </c>
      <c r="F4714" s="11" t="s">
        <v>1698</v>
      </c>
      <c r="G4714" s="128" t="s">
        <v>1699</v>
      </c>
      <c r="H4714" s="117" t="s">
        <v>6822</v>
      </c>
      <c r="I4714" s="119" t="s">
        <v>4663</v>
      </c>
      <c r="J4714" s="120">
        <f>+Tabla1[[#This Row],[FECHA ENTRADA]]</f>
        <v>46051</v>
      </c>
      <c r="K4714" s="121">
        <v>46070</v>
      </c>
      <c r="L4714" s="122">
        <f>_xlfn.DAYS(Tabla1[[#This Row],[FECHA FIN ]],Tabla1[[#This Row],[FECHA INICIO]])</f>
        <v>19</v>
      </c>
      <c r="M4714" s="119">
        <v>250</v>
      </c>
      <c r="N4714" s="123"/>
      <c r="O4714" s="123">
        <f>(Tabla1[[#This Row],[COSTO FIJO ]]/30)*Tabla1[[#This Row],[TOTAL DIAS PROYECTO]]+(Tabla1[[#This Row],[COSTO TEMPORAL]])</f>
        <v>250</v>
      </c>
      <c r="P4714" s="119"/>
      <c r="Q4714" s="119">
        <f>+(Tabla1[[#This Row],[COSTO COCHE]]/30)*Tabla1[[#This Row],[TOTAL DIAS PROYECTO]]</f>
        <v>0</v>
      </c>
      <c r="R4714" s="119">
        <f>+Tabla1[[#This Row],[COSTO TOTAL ALOJAMIENTO]]+Tabla1[[#This Row],[COSTO TOTAL COCHE]]</f>
        <v>250</v>
      </c>
      <c r="S4714" s="117"/>
      <c r="T4714" s="124" t="s">
        <v>44</v>
      </c>
      <c r="U4714" s="124">
        <v>46051</v>
      </c>
      <c r="V4714" s="132">
        <v>46070</v>
      </c>
      <c r="W4714" s="119"/>
      <c r="X4714" s="117"/>
      <c r="Y4714" s="118" t="s">
        <v>6823</v>
      </c>
      <c r="Z4714" s="117" t="s">
        <v>36</v>
      </c>
      <c r="AA4714" s="127" t="s">
        <v>10387</v>
      </c>
      <c r="AB4714" s="127" t="s">
        <v>10388</v>
      </c>
    </row>
    <row r="4715" spans="1:28" ht="15" customHeight="1">
      <c r="A4715" s="117" t="s">
        <v>8885</v>
      </c>
      <c r="B4715" s="117" t="s">
        <v>606</v>
      </c>
      <c r="C4715" s="118" t="s">
        <v>1167</v>
      </c>
      <c r="D4715" s="117" t="s">
        <v>30</v>
      </c>
      <c r="E4715" s="117" t="s">
        <v>648</v>
      </c>
      <c r="F4715" s="11" t="s">
        <v>1698</v>
      </c>
      <c r="G4715" s="118" t="s">
        <v>1699</v>
      </c>
      <c r="H4715" s="117" t="s">
        <v>6822</v>
      </c>
      <c r="I4715" s="119" t="s">
        <v>4663</v>
      </c>
      <c r="J4715" s="120">
        <f>+Tabla1[[#This Row],[FECHA ENTRADA]]</f>
        <v>46051</v>
      </c>
      <c r="K4715" s="121">
        <v>46070</v>
      </c>
      <c r="L4715" s="122">
        <f>_xlfn.DAYS(Tabla1[[#This Row],[FECHA FIN ]],Tabla1[[#This Row],[FECHA INICIO]])</f>
        <v>19</v>
      </c>
      <c r="M4715" s="119">
        <v>250</v>
      </c>
      <c r="N4715" s="123"/>
      <c r="O4715" s="123">
        <f>(Tabla1[[#This Row],[COSTO FIJO ]]/30)*Tabla1[[#This Row],[TOTAL DIAS PROYECTO]]+(Tabla1[[#This Row],[COSTO TEMPORAL]])</f>
        <v>250</v>
      </c>
      <c r="P4715" s="119"/>
      <c r="Q4715" s="119">
        <f>+(Tabla1[[#This Row],[COSTO COCHE]]/30)*Tabla1[[#This Row],[TOTAL DIAS PROYECTO]]</f>
        <v>0</v>
      </c>
      <c r="R4715" s="119">
        <f>+Tabla1[[#This Row],[COSTO TOTAL ALOJAMIENTO]]+Tabla1[[#This Row],[COSTO TOTAL COCHE]]</f>
        <v>250</v>
      </c>
      <c r="S4715" s="117"/>
      <c r="T4715" s="124" t="s">
        <v>44</v>
      </c>
      <c r="U4715" s="124">
        <v>46051</v>
      </c>
      <c r="V4715" s="132">
        <v>46070</v>
      </c>
      <c r="W4715" s="119"/>
      <c r="X4715" s="117"/>
      <c r="Y4715" s="118" t="s">
        <v>6823</v>
      </c>
      <c r="Z4715" s="117" t="s">
        <v>36</v>
      </c>
      <c r="AA4715" s="127" t="s">
        <v>10387</v>
      </c>
      <c r="AB4715" s="127" t="s">
        <v>10388</v>
      </c>
    </row>
    <row r="4716" spans="1:28" ht="15" customHeight="1">
      <c r="A4716" s="2" t="s">
        <v>9972</v>
      </c>
      <c r="B4716" s="2" t="s">
        <v>711</v>
      </c>
      <c r="C4716" s="11" t="s">
        <v>5788</v>
      </c>
      <c r="D4716" s="2" t="s">
        <v>30</v>
      </c>
      <c r="E4716" s="2" t="s">
        <v>1719</v>
      </c>
      <c r="F4716" s="11" t="s">
        <v>6824</v>
      </c>
      <c r="G4716" s="21" t="s">
        <v>6825</v>
      </c>
      <c r="H4716" s="2" t="s">
        <v>6308</v>
      </c>
      <c r="I4716" s="12" t="s">
        <v>1392</v>
      </c>
      <c r="J4716" s="22">
        <f>+Tabla1[[#This Row],[FECHA ENTRADA]]</f>
        <v>45995</v>
      </c>
      <c r="K4716" s="22">
        <v>46070</v>
      </c>
      <c r="L4716" s="23">
        <f>_xlfn.DAYS(Tabla1[[#This Row],[FECHA FIN ]],Tabla1[[#This Row],[FECHA INICIO]])</f>
        <v>75</v>
      </c>
      <c r="M4716" s="12">
        <f>3237.97/5</f>
        <v>647.59399999999994</v>
      </c>
      <c r="N4716" s="20"/>
      <c r="O4716" s="24">
        <f>(Tabla1[[#This Row],[COSTO FIJO ]]/30)*Tabla1[[#This Row],[TOTAL DIAS PROYECTO]]+(Tabla1[[#This Row],[COSTO TEMPORAL]])</f>
        <v>647.59399999999994</v>
      </c>
      <c r="P4716" s="12"/>
      <c r="Q4716" s="12">
        <f>+(Tabla1[[#This Row],[COSTO COCHE]]/30)*Tabla1[[#This Row],[TOTAL DIAS PROYECTO]]</f>
        <v>0</v>
      </c>
      <c r="R4716" s="12">
        <f>+Tabla1[[#This Row],[COSTO TOTAL ALOJAMIENTO]]+Tabla1[[#This Row],[COSTO TOTAL COCHE]]</f>
        <v>647.59399999999994</v>
      </c>
      <c r="S4716" s="2" t="s">
        <v>84</v>
      </c>
      <c r="T4716" s="14" t="s">
        <v>44</v>
      </c>
      <c r="U4716" s="14">
        <v>45995</v>
      </c>
      <c r="V4716" s="79">
        <v>46071</v>
      </c>
      <c r="W4716" s="12"/>
      <c r="X4716" s="2"/>
      <c r="Y4716" s="11" t="s">
        <v>6826</v>
      </c>
      <c r="Z4716" s="2" t="s">
        <v>36</v>
      </c>
      <c r="AA4716" s="13" t="s">
        <v>10427</v>
      </c>
      <c r="AB4716" s="13">
        <v>4260003</v>
      </c>
    </row>
    <row r="4717" spans="1:28" ht="15" customHeight="1">
      <c r="A4717" s="2" t="s">
        <v>10001</v>
      </c>
      <c r="B4717" s="2" t="s">
        <v>711</v>
      </c>
      <c r="C4717" s="11" t="s">
        <v>5886</v>
      </c>
      <c r="D4717" s="2" t="s">
        <v>30</v>
      </c>
      <c r="E4717" s="2" t="s">
        <v>3335</v>
      </c>
      <c r="F4717" s="11" t="s">
        <v>6647</v>
      </c>
      <c r="G4717" s="21" t="s">
        <v>6648</v>
      </c>
      <c r="H4717" s="2" t="s">
        <v>6649</v>
      </c>
      <c r="I4717" s="12" t="s">
        <v>118</v>
      </c>
      <c r="J4717" s="22">
        <f>+Tabla1[[#This Row],[FECHA ENTRADA]]</f>
        <v>46047</v>
      </c>
      <c r="K4717" s="41">
        <v>46070</v>
      </c>
      <c r="L4717" s="23">
        <f>_xlfn.DAYS(Tabla1[[#This Row],[FECHA FIN ]],Tabla1[[#This Row],[FECHA INICIO]])</f>
        <v>23</v>
      </c>
      <c r="M4717" s="12">
        <v>547.79999999999995</v>
      </c>
      <c r="N4717" s="20"/>
      <c r="O4717" s="24">
        <f>(Tabla1[[#This Row],[COSTO FIJO ]]/30)*Tabla1[[#This Row],[TOTAL DIAS PROYECTO]]+(Tabla1[[#This Row],[COSTO TEMPORAL]])</f>
        <v>547.79999999999995</v>
      </c>
      <c r="P4717" s="12"/>
      <c r="Q4717" s="12">
        <f>+(Tabla1[[#This Row],[COSTO COCHE]]/30)*Tabla1[[#This Row],[TOTAL DIAS PROYECTO]]</f>
        <v>0</v>
      </c>
      <c r="R4717" s="12">
        <f>+Tabla1[[#This Row],[COSTO TOTAL ALOJAMIENTO]]+Tabla1[[#This Row],[COSTO TOTAL COCHE]]</f>
        <v>547.79999999999995</v>
      </c>
      <c r="S4717" s="2" t="s">
        <v>84</v>
      </c>
      <c r="T4717" s="14" t="s">
        <v>44</v>
      </c>
      <c r="U4717" s="14">
        <v>46047</v>
      </c>
      <c r="V4717" s="79">
        <v>46071</v>
      </c>
      <c r="W4717" s="12"/>
      <c r="X4717" s="2"/>
      <c r="Y4717" s="11" t="s">
        <v>1361</v>
      </c>
      <c r="Z4717" s="2" t="s">
        <v>36</v>
      </c>
      <c r="AA4717" s="13" t="e">
        <v>#N/A</v>
      </c>
      <c r="AB4717" s="13" t="e">
        <v>#N/A</v>
      </c>
    </row>
    <row r="4718" spans="1:28" ht="15" customHeight="1">
      <c r="A4718" s="2" t="s">
        <v>10075</v>
      </c>
      <c r="B4718" s="2" t="s">
        <v>711</v>
      </c>
      <c r="C4718" s="11" t="s">
        <v>6221</v>
      </c>
      <c r="D4718" s="2" t="s">
        <v>30</v>
      </c>
      <c r="E4718" s="2" t="s">
        <v>3335</v>
      </c>
      <c r="F4718" s="11" t="s">
        <v>6647</v>
      </c>
      <c r="G4718" s="21" t="s">
        <v>6648</v>
      </c>
      <c r="H4718" s="2" t="s">
        <v>6649</v>
      </c>
      <c r="I4718" s="12" t="s">
        <v>118</v>
      </c>
      <c r="J4718" s="22">
        <f>+Tabla1[[#This Row],[FECHA ENTRADA]]</f>
        <v>46047</v>
      </c>
      <c r="K4718" s="41">
        <v>46070</v>
      </c>
      <c r="L4718" s="23">
        <f>_xlfn.DAYS(Tabla1[[#This Row],[FECHA FIN ]],Tabla1[[#This Row],[FECHA INICIO]])</f>
        <v>23</v>
      </c>
      <c r="M4718" s="12">
        <v>547.79999999999995</v>
      </c>
      <c r="N4718" s="20"/>
      <c r="O4718" s="24">
        <f>(Tabla1[[#This Row],[COSTO FIJO ]]/30)*Tabla1[[#This Row],[TOTAL DIAS PROYECTO]]+(Tabla1[[#This Row],[COSTO TEMPORAL]])</f>
        <v>547.79999999999995</v>
      </c>
      <c r="P4718" s="12"/>
      <c r="Q4718" s="12">
        <f>+(Tabla1[[#This Row],[COSTO COCHE]]/30)*Tabla1[[#This Row],[TOTAL DIAS PROYECTO]]</f>
        <v>0</v>
      </c>
      <c r="R4718" s="12">
        <f>+Tabla1[[#This Row],[COSTO TOTAL ALOJAMIENTO]]+Tabla1[[#This Row],[COSTO TOTAL COCHE]]</f>
        <v>547.79999999999995</v>
      </c>
      <c r="S4718" s="2" t="s">
        <v>84</v>
      </c>
      <c r="T4718" s="14" t="s">
        <v>44</v>
      </c>
      <c r="U4718" s="14">
        <v>46047</v>
      </c>
      <c r="V4718" s="79">
        <v>46071</v>
      </c>
      <c r="W4718" s="12"/>
      <c r="X4718" s="2"/>
      <c r="Y4718" s="11" t="s">
        <v>1361</v>
      </c>
      <c r="Z4718" s="2" t="s">
        <v>36</v>
      </c>
      <c r="AA4718" s="13" t="e">
        <v>#N/A</v>
      </c>
      <c r="AB4718" s="13" t="e">
        <v>#N/A</v>
      </c>
    </row>
    <row r="4719" spans="1:28" ht="15" customHeight="1">
      <c r="A4719" s="2" t="s">
        <v>9722</v>
      </c>
      <c r="B4719" s="2" t="s">
        <v>711</v>
      </c>
      <c r="C4719" s="11" t="s">
        <v>4406</v>
      </c>
      <c r="D4719" s="2" t="s">
        <v>30</v>
      </c>
      <c r="E4719" s="2" t="s">
        <v>3335</v>
      </c>
      <c r="F4719" s="11" t="s">
        <v>6647</v>
      </c>
      <c r="G4719" s="21" t="s">
        <v>6648</v>
      </c>
      <c r="H4719" s="2" t="s">
        <v>6649</v>
      </c>
      <c r="I4719" s="12" t="s">
        <v>118</v>
      </c>
      <c r="J4719" s="22">
        <f>+Tabla1[[#This Row],[FECHA ENTRADA]]</f>
        <v>46047</v>
      </c>
      <c r="K4719" s="41">
        <v>46070</v>
      </c>
      <c r="L4719" s="23">
        <f>_xlfn.DAYS(Tabla1[[#This Row],[FECHA FIN ]],Tabla1[[#This Row],[FECHA INICIO]])</f>
        <v>23</v>
      </c>
      <c r="M4719" s="12">
        <v>547.79999999999995</v>
      </c>
      <c r="N4719" s="20"/>
      <c r="O4719" s="24">
        <f>(Tabla1[[#This Row],[COSTO FIJO ]]/30)*Tabla1[[#This Row],[TOTAL DIAS PROYECTO]]+(Tabla1[[#This Row],[COSTO TEMPORAL]])</f>
        <v>547.79999999999995</v>
      </c>
      <c r="P4719" s="12"/>
      <c r="Q4719" s="12">
        <f>+(Tabla1[[#This Row],[COSTO COCHE]]/30)*Tabla1[[#This Row],[TOTAL DIAS PROYECTO]]</f>
        <v>0</v>
      </c>
      <c r="R4719" s="12">
        <f>+Tabla1[[#This Row],[COSTO TOTAL ALOJAMIENTO]]+Tabla1[[#This Row],[COSTO TOTAL COCHE]]</f>
        <v>547.79999999999995</v>
      </c>
      <c r="S4719" s="2" t="s">
        <v>84</v>
      </c>
      <c r="T4719" s="14" t="s">
        <v>44</v>
      </c>
      <c r="U4719" s="14">
        <v>46047</v>
      </c>
      <c r="V4719" s="79">
        <v>46071</v>
      </c>
      <c r="W4719" s="12"/>
      <c r="X4719" s="2"/>
      <c r="Y4719" s="11" t="s">
        <v>1361</v>
      </c>
      <c r="Z4719" s="2" t="s">
        <v>36</v>
      </c>
      <c r="AA4719" s="13" t="e">
        <v>#N/A</v>
      </c>
      <c r="AB4719" s="13" t="e">
        <v>#N/A</v>
      </c>
    </row>
    <row r="4720" spans="1:28" ht="15" customHeight="1">
      <c r="A4720" s="2" t="s">
        <v>10087</v>
      </c>
      <c r="B4720" s="2" t="s">
        <v>711</v>
      </c>
      <c r="C4720" s="11" t="s">
        <v>6311</v>
      </c>
      <c r="D4720" s="2" t="s">
        <v>30</v>
      </c>
      <c r="E4720" s="2" t="s">
        <v>1719</v>
      </c>
      <c r="F4720" s="11" t="s">
        <v>6824</v>
      </c>
      <c r="G4720" s="21" t="s">
        <v>6825</v>
      </c>
      <c r="H4720" s="2" t="s">
        <v>6308</v>
      </c>
      <c r="I4720" s="12" t="s">
        <v>1392</v>
      </c>
      <c r="J4720" s="22">
        <f>+Tabla1[[#This Row],[FECHA ENTRADA]]</f>
        <v>45995</v>
      </c>
      <c r="K4720" s="22">
        <v>46070</v>
      </c>
      <c r="L4720" s="23">
        <f>_xlfn.DAYS(Tabla1[[#This Row],[FECHA FIN ]],Tabla1[[#This Row],[FECHA INICIO]])</f>
        <v>75</v>
      </c>
      <c r="M4720" s="12">
        <f>3237.97/5</f>
        <v>647.59399999999994</v>
      </c>
      <c r="N4720" s="20"/>
      <c r="O4720" s="24">
        <f>(Tabla1[[#This Row],[COSTO FIJO ]]/30)*Tabla1[[#This Row],[TOTAL DIAS PROYECTO]]+(Tabla1[[#This Row],[COSTO TEMPORAL]])</f>
        <v>647.59399999999994</v>
      </c>
      <c r="P4720" s="12"/>
      <c r="Q4720" s="12">
        <f>+(Tabla1[[#This Row],[COSTO COCHE]]/30)*Tabla1[[#This Row],[TOTAL DIAS PROYECTO]]</f>
        <v>0</v>
      </c>
      <c r="R4720" s="12">
        <f>+Tabla1[[#This Row],[COSTO TOTAL ALOJAMIENTO]]+Tabla1[[#This Row],[COSTO TOTAL COCHE]]</f>
        <v>647.59399999999994</v>
      </c>
      <c r="S4720" s="2" t="s">
        <v>84</v>
      </c>
      <c r="T4720" s="14" t="s">
        <v>44</v>
      </c>
      <c r="U4720" s="14">
        <v>45995</v>
      </c>
      <c r="V4720" s="79">
        <v>46071</v>
      </c>
      <c r="W4720" s="12"/>
      <c r="X4720" s="2"/>
      <c r="Y4720" s="11" t="s">
        <v>6826</v>
      </c>
      <c r="Z4720" s="2" t="s">
        <v>36</v>
      </c>
      <c r="AA4720" s="13" t="s">
        <v>10427</v>
      </c>
      <c r="AB4720" s="13">
        <v>4260003</v>
      </c>
    </row>
    <row r="4721" spans="1:28" ht="15" customHeight="1">
      <c r="A4721" s="2" t="s">
        <v>10088</v>
      </c>
      <c r="B4721" s="2" t="s">
        <v>711</v>
      </c>
      <c r="C4721" s="11" t="s">
        <v>6312</v>
      </c>
      <c r="D4721" s="2" t="s">
        <v>30</v>
      </c>
      <c r="E4721" s="2" t="s">
        <v>1719</v>
      </c>
      <c r="F4721" s="11" t="s">
        <v>6824</v>
      </c>
      <c r="G4721" s="21" t="s">
        <v>6825</v>
      </c>
      <c r="H4721" s="2" t="s">
        <v>6308</v>
      </c>
      <c r="I4721" s="12" t="s">
        <v>1392</v>
      </c>
      <c r="J4721" s="22">
        <f>+Tabla1[[#This Row],[FECHA ENTRADA]]</f>
        <v>45995</v>
      </c>
      <c r="K4721" s="22">
        <v>46070</v>
      </c>
      <c r="L4721" s="23">
        <f>_xlfn.DAYS(Tabla1[[#This Row],[FECHA FIN ]],Tabla1[[#This Row],[FECHA INICIO]])</f>
        <v>75</v>
      </c>
      <c r="M4721" s="12">
        <f>3237.97/5</f>
        <v>647.59399999999994</v>
      </c>
      <c r="N4721" s="20"/>
      <c r="O4721" s="24">
        <f>(Tabla1[[#This Row],[COSTO FIJO ]]/30)*Tabla1[[#This Row],[TOTAL DIAS PROYECTO]]+(Tabla1[[#This Row],[COSTO TEMPORAL]])</f>
        <v>647.59399999999994</v>
      </c>
      <c r="P4721" s="12"/>
      <c r="Q4721" s="12">
        <f>+(Tabla1[[#This Row],[COSTO COCHE]]/30)*Tabla1[[#This Row],[TOTAL DIAS PROYECTO]]</f>
        <v>0</v>
      </c>
      <c r="R4721" s="12">
        <f>+Tabla1[[#This Row],[COSTO TOTAL ALOJAMIENTO]]+Tabla1[[#This Row],[COSTO TOTAL COCHE]]</f>
        <v>647.59399999999994</v>
      </c>
      <c r="S4721" s="2" t="s">
        <v>84</v>
      </c>
      <c r="T4721" s="14" t="s">
        <v>44</v>
      </c>
      <c r="U4721" s="14">
        <v>45995</v>
      </c>
      <c r="V4721" s="79">
        <v>46071</v>
      </c>
      <c r="W4721" s="12"/>
      <c r="X4721" s="2"/>
      <c r="Y4721" s="11" t="s">
        <v>6826</v>
      </c>
      <c r="Z4721" s="2" t="s">
        <v>36</v>
      </c>
      <c r="AA4721" s="13" t="s">
        <v>10427</v>
      </c>
      <c r="AB4721" s="13">
        <v>4260003</v>
      </c>
    </row>
    <row r="4722" spans="1:28" ht="15" customHeight="1">
      <c r="A4722" s="2" t="s">
        <v>10085</v>
      </c>
      <c r="B4722" s="2" t="s">
        <v>711</v>
      </c>
      <c r="C4722" s="11" t="s">
        <v>6305</v>
      </c>
      <c r="D4722" s="2" t="s">
        <v>30</v>
      </c>
      <c r="E4722" s="2" t="s">
        <v>1719</v>
      </c>
      <c r="F4722" s="11" t="s">
        <v>6824</v>
      </c>
      <c r="G4722" s="21" t="s">
        <v>6825</v>
      </c>
      <c r="H4722" s="2" t="s">
        <v>6308</v>
      </c>
      <c r="I4722" s="12" t="s">
        <v>1392</v>
      </c>
      <c r="J4722" s="22">
        <f>+Tabla1[[#This Row],[FECHA ENTRADA]]</f>
        <v>45995</v>
      </c>
      <c r="K4722" s="22">
        <v>46070</v>
      </c>
      <c r="L4722" s="23">
        <f>_xlfn.DAYS(Tabla1[[#This Row],[FECHA FIN ]],Tabla1[[#This Row],[FECHA INICIO]])</f>
        <v>75</v>
      </c>
      <c r="M4722" s="12">
        <f>3237.97/5</f>
        <v>647.59399999999994</v>
      </c>
      <c r="N4722" s="20"/>
      <c r="O4722" s="24">
        <f>(Tabla1[[#This Row],[COSTO FIJO ]]/30)*Tabla1[[#This Row],[TOTAL DIAS PROYECTO]]+(Tabla1[[#This Row],[COSTO TEMPORAL]])</f>
        <v>647.59399999999994</v>
      </c>
      <c r="P4722" s="12"/>
      <c r="Q4722" s="12">
        <f>+(Tabla1[[#This Row],[COSTO COCHE]]/30)*Tabla1[[#This Row],[TOTAL DIAS PROYECTO]]</f>
        <v>0</v>
      </c>
      <c r="R4722" s="12">
        <f>+Tabla1[[#This Row],[COSTO TOTAL ALOJAMIENTO]]+Tabla1[[#This Row],[COSTO TOTAL COCHE]]</f>
        <v>647.59399999999994</v>
      </c>
      <c r="S4722" s="2" t="s">
        <v>84</v>
      </c>
      <c r="T4722" s="14" t="s">
        <v>44</v>
      </c>
      <c r="U4722" s="14">
        <v>45995</v>
      </c>
      <c r="V4722" s="79">
        <v>46071</v>
      </c>
      <c r="W4722" s="12"/>
      <c r="X4722" s="2"/>
      <c r="Y4722" s="11" t="s">
        <v>6826</v>
      </c>
      <c r="Z4722" s="2" t="s">
        <v>36</v>
      </c>
      <c r="AA4722" s="13" t="s">
        <v>10427</v>
      </c>
      <c r="AB4722" s="13">
        <v>4260003</v>
      </c>
    </row>
    <row r="4723" spans="1:28" ht="15" customHeight="1">
      <c r="A4723" s="2" t="s">
        <v>9985</v>
      </c>
      <c r="B4723" s="2" t="s">
        <v>711</v>
      </c>
      <c r="C4723" s="308" t="s">
        <v>5847</v>
      </c>
      <c r="D4723" s="2" t="s">
        <v>30</v>
      </c>
      <c r="E4723" s="2" t="s">
        <v>3335</v>
      </c>
      <c r="F4723" s="11" t="s">
        <v>6827</v>
      </c>
      <c r="G4723" s="21" t="s">
        <v>6828</v>
      </c>
      <c r="H4723" s="2" t="s">
        <v>6649</v>
      </c>
      <c r="I4723" s="12" t="s">
        <v>118</v>
      </c>
      <c r="J4723" s="22">
        <f>+Tabla1[[#This Row],[FECHA ENTRADA]]</f>
        <v>46047</v>
      </c>
      <c r="K4723" s="41">
        <v>46070</v>
      </c>
      <c r="L4723" s="23">
        <f>_xlfn.DAYS(Tabla1[[#This Row],[FECHA FIN ]],Tabla1[[#This Row],[FECHA INICIO]])</f>
        <v>23</v>
      </c>
      <c r="M4723" s="12">
        <f>1966.4/3</f>
        <v>655.4666666666667</v>
      </c>
      <c r="N4723" s="20"/>
      <c r="O4723" s="24">
        <f>(Tabla1[[#This Row],[COSTO FIJO ]]/30)*Tabla1[[#This Row],[TOTAL DIAS PROYECTO]]+(Tabla1[[#This Row],[COSTO TEMPORAL]])</f>
        <v>655.4666666666667</v>
      </c>
      <c r="P4723" s="12"/>
      <c r="Q4723" s="12">
        <f>+(Tabla1[[#This Row],[COSTO COCHE]]/30)*Tabla1[[#This Row],[TOTAL DIAS PROYECTO]]</f>
        <v>0</v>
      </c>
      <c r="R4723" s="12">
        <f>+Tabla1[[#This Row],[COSTO TOTAL ALOJAMIENTO]]+Tabla1[[#This Row],[COSTO TOTAL COCHE]]</f>
        <v>655.4666666666667</v>
      </c>
      <c r="S4723" s="2" t="s">
        <v>403</v>
      </c>
      <c r="T4723" s="14" t="s">
        <v>44</v>
      </c>
      <c r="U4723" s="14">
        <v>46047</v>
      </c>
      <c r="V4723" s="79">
        <v>46071</v>
      </c>
      <c r="W4723" s="12"/>
      <c r="X4723" s="2"/>
      <c r="Y4723" s="11" t="s">
        <v>1361</v>
      </c>
      <c r="Z4723" s="2" t="s">
        <v>36</v>
      </c>
      <c r="AA4723" s="13" t="e">
        <v>#N/A</v>
      </c>
      <c r="AB4723" s="13" t="e">
        <v>#N/A</v>
      </c>
    </row>
    <row r="4724" spans="1:28" ht="15" customHeight="1">
      <c r="A4724" s="2" t="s">
        <v>9768</v>
      </c>
      <c r="B4724" s="2" t="s">
        <v>711</v>
      </c>
      <c r="C4724" s="308" t="s">
        <v>4654</v>
      </c>
      <c r="D4724" s="2" t="s">
        <v>30</v>
      </c>
      <c r="E4724" s="2" t="s">
        <v>3335</v>
      </c>
      <c r="F4724" s="11" t="s">
        <v>6827</v>
      </c>
      <c r="G4724" s="21" t="s">
        <v>6828</v>
      </c>
      <c r="H4724" s="2" t="s">
        <v>6649</v>
      </c>
      <c r="I4724" s="12" t="s">
        <v>118</v>
      </c>
      <c r="J4724" s="22">
        <f>+Tabla1[[#This Row],[FECHA ENTRADA]]</f>
        <v>46047</v>
      </c>
      <c r="K4724" s="41">
        <v>46070</v>
      </c>
      <c r="L4724" s="23">
        <f>_xlfn.DAYS(Tabla1[[#This Row],[FECHA FIN ]],Tabla1[[#This Row],[FECHA INICIO]])</f>
        <v>23</v>
      </c>
      <c r="M4724" s="12">
        <f>1966.4/3</f>
        <v>655.4666666666667</v>
      </c>
      <c r="N4724" s="20"/>
      <c r="O4724" s="24">
        <f>(Tabla1[[#This Row],[COSTO FIJO ]]/30)*Tabla1[[#This Row],[TOTAL DIAS PROYECTO]]+(Tabla1[[#This Row],[COSTO TEMPORAL]])</f>
        <v>655.4666666666667</v>
      </c>
      <c r="P4724" s="12"/>
      <c r="Q4724" s="12">
        <f>+(Tabla1[[#This Row],[COSTO COCHE]]/30)*Tabla1[[#This Row],[TOTAL DIAS PROYECTO]]</f>
        <v>0</v>
      </c>
      <c r="R4724" s="12">
        <f>+Tabla1[[#This Row],[COSTO TOTAL ALOJAMIENTO]]+Tabla1[[#This Row],[COSTO TOTAL COCHE]]</f>
        <v>655.4666666666667</v>
      </c>
      <c r="S4724" s="2" t="s">
        <v>403</v>
      </c>
      <c r="T4724" s="14" t="s">
        <v>44</v>
      </c>
      <c r="U4724" s="14">
        <v>46047</v>
      </c>
      <c r="V4724" s="79">
        <v>46071</v>
      </c>
      <c r="W4724" s="12"/>
      <c r="X4724" s="2"/>
      <c r="Y4724" s="11" t="s">
        <v>1361</v>
      </c>
      <c r="Z4724" s="2" t="s">
        <v>36</v>
      </c>
      <c r="AA4724" s="13" t="e">
        <v>#N/A</v>
      </c>
      <c r="AB4724" s="13" t="e">
        <v>#N/A</v>
      </c>
    </row>
    <row r="4725" spans="1:28" ht="15" customHeight="1">
      <c r="A4725" s="2" t="s">
        <v>10014</v>
      </c>
      <c r="B4725" s="2" t="s">
        <v>711</v>
      </c>
      <c r="C4725" s="308" t="s">
        <v>5967</v>
      </c>
      <c r="D4725" s="2" t="s">
        <v>30</v>
      </c>
      <c r="E4725" s="2" t="s">
        <v>3335</v>
      </c>
      <c r="F4725" s="11" t="s">
        <v>6827</v>
      </c>
      <c r="G4725" s="21" t="s">
        <v>6828</v>
      </c>
      <c r="H4725" s="2" t="s">
        <v>6649</v>
      </c>
      <c r="I4725" s="12" t="s">
        <v>118</v>
      </c>
      <c r="J4725" s="22">
        <f>+Tabla1[[#This Row],[FECHA ENTRADA]]</f>
        <v>46047</v>
      </c>
      <c r="K4725" s="41">
        <v>46070</v>
      </c>
      <c r="L4725" s="23">
        <f>_xlfn.DAYS(Tabla1[[#This Row],[FECHA FIN ]],Tabla1[[#This Row],[FECHA INICIO]])</f>
        <v>23</v>
      </c>
      <c r="M4725" s="12">
        <f>1966.4/3</f>
        <v>655.4666666666667</v>
      </c>
      <c r="N4725" s="20"/>
      <c r="O4725" s="24">
        <f>(Tabla1[[#This Row],[COSTO FIJO ]]/30)*Tabla1[[#This Row],[TOTAL DIAS PROYECTO]]+(Tabla1[[#This Row],[COSTO TEMPORAL]])</f>
        <v>655.4666666666667</v>
      </c>
      <c r="P4725" s="12"/>
      <c r="Q4725" s="12">
        <f>+(Tabla1[[#This Row],[COSTO COCHE]]/30)*Tabla1[[#This Row],[TOTAL DIAS PROYECTO]]</f>
        <v>0</v>
      </c>
      <c r="R4725" s="12">
        <f>+Tabla1[[#This Row],[COSTO TOTAL ALOJAMIENTO]]+Tabla1[[#This Row],[COSTO TOTAL COCHE]]</f>
        <v>655.4666666666667</v>
      </c>
      <c r="S4725" s="2" t="s">
        <v>403</v>
      </c>
      <c r="T4725" s="14" t="s">
        <v>44</v>
      </c>
      <c r="U4725" s="14">
        <v>46047</v>
      </c>
      <c r="V4725" s="79">
        <v>46071</v>
      </c>
      <c r="W4725" s="12"/>
      <c r="X4725" s="2"/>
      <c r="Y4725" s="11" t="s">
        <v>1361</v>
      </c>
      <c r="Z4725" s="2" t="s">
        <v>36</v>
      </c>
      <c r="AA4725" s="13" t="e">
        <v>#N/A</v>
      </c>
      <c r="AB4725" s="13" t="e">
        <v>#N/A</v>
      </c>
    </row>
    <row r="4726" spans="1:28" ht="15" customHeight="1">
      <c r="A4726" s="2" t="s">
        <v>10086</v>
      </c>
      <c r="B4726" s="2" t="s">
        <v>711</v>
      </c>
      <c r="C4726" s="11" t="s">
        <v>6310</v>
      </c>
      <c r="D4726" s="2" t="s">
        <v>30</v>
      </c>
      <c r="E4726" s="2" t="s">
        <v>1719</v>
      </c>
      <c r="F4726" s="11" t="s">
        <v>6824</v>
      </c>
      <c r="G4726" s="21" t="s">
        <v>6825</v>
      </c>
      <c r="H4726" s="157" t="s">
        <v>6308</v>
      </c>
      <c r="I4726" s="12" t="s">
        <v>1392</v>
      </c>
      <c r="J4726" s="22">
        <f>+Tabla1[[#This Row],[FECHA ENTRADA]]</f>
        <v>45995</v>
      </c>
      <c r="K4726" s="22">
        <v>46070</v>
      </c>
      <c r="L4726" s="23">
        <f>_xlfn.DAYS(Tabla1[[#This Row],[FECHA FIN ]],Tabla1[[#This Row],[FECHA INICIO]])</f>
        <v>75</v>
      </c>
      <c r="M4726" s="12">
        <f>3237.97/5</f>
        <v>647.59399999999994</v>
      </c>
      <c r="N4726" s="20"/>
      <c r="O4726" s="24">
        <f>(Tabla1[[#This Row],[COSTO FIJO ]]/30)*Tabla1[[#This Row],[TOTAL DIAS PROYECTO]]+(Tabla1[[#This Row],[COSTO TEMPORAL]])</f>
        <v>647.59399999999994</v>
      </c>
      <c r="P4726" s="12"/>
      <c r="Q4726" s="12">
        <f>+(Tabla1[[#This Row],[COSTO COCHE]]/30)*Tabla1[[#This Row],[TOTAL DIAS PROYECTO]]</f>
        <v>0</v>
      </c>
      <c r="R4726" s="12">
        <f>+Tabla1[[#This Row],[COSTO TOTAL ALOJAMIENTO]]+Tabla1[[#This Row],[COSTO TOTAL COCHE]]</f>
        <v>647.59399999999994</v>
      </c>
      <c r="S4726" s="2" t="s">
        <v>84</v>
      </c>
      <c r="T4726" s="14" t="s">
        <v>44</v>
      </c>
      <c r="U4726" s="14">
        <v>45995</v>
      </c>
      <c r="V4726" s="79">
        <v>46071</v>
      </c>
      <c r="W4726" s="12"/>
      <c r="X4726" s="2"/>
      <c r="Y4726" s="11" t="s">
        <v>6826</v>
      </c>
      <c r="Z4726" s="2" t="s">
        <v>36</v>
      </c>
      <c r="AA4726" s="13" t="s">
        <v>10427</v>
      </c>
      <c r="AB4726" s="13">
        <v>4260003</v>
      </c>
    </row>
    <row r="4727" spans="1:28" ht="15" customHeight="1">
      <c r="A4727" s="117" t="s">
        <v>9827</v>
      </c>
      <c r="B4727" s="117" t="s">
        <v>606</v>
      </c>
      <c r="C4727" s="118" t="s">
        <v>4929</v>
      </c>
      <c r="D4727" s="117" t="s">
        <v>30</v>
      </c>
      <c r="E4727" s="117" t="s">
        <v>6794</v>
      </c>
      <c r="F4727" s="11" t="s">
        <v>6795</v>
      </c>
      <c r="G4727" s="128" t="s">
        <v>6796</v>
      </c>
      <c r="H4727" s="117" t="s">
        <v>6797</v>
      </c>
      <c r="I4727" s="119" t="s">
        <v>5443</v>
      </c>
      <c r="J4727" s="121">
        <f>+Tabla1[[#This Row],[FECHA ENTRADA]]</f>
        <v>46069</v>
      </c>
      <c r="K4727" s="121">
        <v>46070</v>
      </c>
      <c r="L4727" s="129">
        <f>_xlfn.DAYS(Tabla1[[#This Row],[FECHA FIN ]],Tabla1[[#This Row],[FECHA INICIO]])</f>
        <v>1</v>
      </c>
      <c r="M4727" s="119"/>
      <c r="N4727" s="130"/>
      <c r="O4727" s="131">
        <f>(Tabla1[[#This Row],[COSTO FIJO ]]/30)*Tabla1[[#This Row],[TOTAL DIAS PROYECTO]]+(Tabla1[[#This Row],[COSTO TEMPORAL]])</f>
        <v>0</v>
      </c>
      <c r="P4727" s="119"/>
      <c r="Q4727" s="119">
        <f>+(Tabla1[[#This Row],[COSTO COCHE]]/30)*Tabla1[[#This Row],[TOTAL DIAS PROYECTO]]</f>
        <v>0</v>
      </c>
      <c r="R4727" s="119">
        <f>+Tabla1[[#This Row],[COSTO TOTAL ALOJAMIENTO]]+Tabla1[[#This Row],[COSTO TOTAL COCHE]]</f>
        <v>0</v>
      </c>
      <c r="S4727" s="117"/>
      <c r="T4727" s="124" t="s">
        <v>44</v>
      </c>
      <c r="U4727" s="124">
        <v>46069</v>
      </c>
      <c r="V4727" s="132">
        <v>46071</v>
      </c>
      <c r="W4727" s="119"/>
      <c r="X4727" s="117"/>
      <c r="Y4727" s="118" t="s">
        <v>4769</v>
      </c>
      <c r="Z4727" s="117" t="s">
        <v>36</v>
      </c>
      <c r="AA4727" s="127">
        <v>-6.0884499999999999</v>
      </c>
      <c r="AB4727" s="127">
        <v>40.03116</v>
      </c>
    </row>
    <row r="4728" spans="1:28" ht="15" customHeight="1">
      <c r="A4728" s="2" t="s">
        <v>9809</v>
      </c>
      <c r="B4728" s="2" t="s">
        <v>711</v>
      </c>
      <c r="C4728" s="11" t="s">
        <v>4841</v>
      </c>
      <c r="D4728" s="2" t="s">
        <v>30</v>
      </c>
      <c r="E4728" s="2" t="s">
        <v>3335</v>
      </c>
      <c r="F4728" s="11" t="s">
        <v>6647</v>
      </c>
      <c r="G4728" s="21" t="s">
        <v>6648</v>
      </c>
      <c r="H4728" s="2" t="s">
        <v>6649</v>
      </c>
      <c r="I4728" s="12" t="s">
        <v>118</v>
      </c>
      <c r="J4728" s="22">
        <f>+Tabla1[[#This Row],[FECHA ENTRADA]]</f>
        <v>46047</v>
      </c>
      <c r="K4728" s="41">
        <v>46070</v>
      </c>
      <c r="L4728" s="23">
        <f>_xlfn.DAYS(Tabla1[[#This Row],[FECHA FIN ]],Tabla1[[#This Row],[FECHA INICIO]])</f>
        <v>23</v>
      </c>
      <c r="M4728" s="12">
        <v>547.79999999999995</v>
      </c>
      <c r="N4728" s="20"/>
      <c r="O4728" s="24">
        <f>(Tabla1[[#This Row],[COSTO FIJO ]]/30)*Tabla1[[#This Row],[TOTAL DIAS PROYECTO]]+(Tabla1[[#This Row],[COSTO TEMPORAL]])</f>
        <v>547.79999999999995</v>
      </c>
      <c r="P4728" s="12"/>
      <c r="Q4728" s="12">
        <f>+(Tabla1[[#This Row],[COSTO COCHE]]/30)*Tabla1[[#This Row],[TOTAL DIAS PROYECTO]]</f>
        <v>0</v>
      </c>
      <c r="R4728" s="12">
        <f>+Tabla1[[#This Row],[COSTO TOTAL ALOJAMIENTO]]+Tabla1[[#This Row],[COSTO TOTAL COCHE]]</f>
        <v>547.79999999999995</v>
      </c>
      <c r="S4728" s="2" t="s">
        <v>84</v>
      </c>
      <c r="T4728" s="14" t="s">
        <v>44</v>
      </c>
      <c r="U4728" s="14">
        <v>46047</v>
      </c>
      <c r="V4728" s="79">
        <v>46071</v>
      </c>
      <c r="W4728" s="12"/>
      <c r="X4728" s="2"/>
      <c r="Y4728" s="11" t="s">
        <v>1361</v>
      </c>
      <c r="Z4728" s="2" t="s">
        <v>36</v>
      </c>
      <c r="AA4728" s="13" t="e">
        <v>#N/A</v>
      </c>
      <c r="AB4728" s="13" t="e">
        <v>#N/A</v>
      </c>
    </row>
    <row r="4729" spans="1:28" ht="15" customHeight="1">
      <c r="A4729" s="2" t="s">
        <v>10164</v>
      </c>
      <c r="B4729" s="2" t="s">
        <v>28</v>
      </c>
      <c r="C4729" s="31" t="s">
        <v>6829</v>
      </c>
      <c r="D4729" s="2" t="s">
        <v>30</v>
      </c>
      <c r="E4729" s="2" t="s">
        <v>127</v>
      </c>
      <c r="F4729" s="11" t="s">
        <v>820</v>
      </c>
      <c r="G4729" s="21" t="s">
        <v>1234</v>
      </c>
      <c r="H4729" s="2" t="s">
        <v>1509</v>
      </c>
      <c r="I4729" s="12" t="s">
        <v>96</v>
      </c>
      <c r="J4729" s="22">
        <f>+Tabla1[[#This Row],[FECHA ENTRADA]]</f>
        <v>45700</v>
      </c>
      <c r="K4729" s="22">
        <v>45821</v>
      </c>
      <c r="L4729" s="23">
        <f>_xlfn.DAYS(Tabla1[[#This Row],[FECHA FIN ]],Tabla1[[#This Row],[FECHA INICIO]])</f>
        <v>121</v>
      </c>
      <c r="M4729" s="12"/>
      <c r="N4729" s="24"/>
      <c r="O4729" s="24">
        <f>(Tabla1[[#This Row],[COSTO FIJO ]]/30)*Tabla1[[#This Row],[TOTAL DIAS PROYECTO]]+(Tabla1[[#This Row],[COSTO TEMPORAL]])</f>
        <v>0</v>
      </c>
      <c r="P4729" s="12"/>
      <c r="Q4729" s="12">
        <f>+(Tabla1[[#This Row],[COSTO COCHE]]/30)*Tabla1[[#This Row],[TOTAL DIAS PROYECTO]]</f>
        <v>0</v>
      </c>
      <c r="R4729" s="12">
        <f>+Tabla1[[#This Row],[COSTO TOTAL ALOJAMIENTO]]+Tabla1[[#This Row],[COSTO TOTAL COCHE]]</f>
        <v>0</v>
      </c>
      <c r="S4729" s="2"/>
      <c r="T4729" s="2" t="s">
        <v>44</v>
      </c>
      <c r="U4729" s="14">
        <v>45700</v>
      </c>
      <c r="V4729" s="79">
        <v>45708</v>
      </c>
      <c r="W4729" s="26"/>
      <c r="X4729" s="2"/>
      <c r="Y4729" s="11"/>
      <c r="Z4729" s="2" t="s">
        <v>36</v>
      </c>
      <c r="AA4729" s="13" t="s">
        <v>10342</v>
      </c>
      <c r="AB4729" s="13" t="s">
        <v>10343</v>
      </c>
    </row>
    <row r="4730" spans="1:28" ht="15" customHeight="1">
      <c r="A4730" s="117" t="s">
        <v>8642</v>
      </c>
      <c r="B4730" s="117" t="s">
        <v>711</v>
      </c>
      <c r="C4730" s="118" t="s">
        <v>6830</v>
      </c>
      <c r="D4730" s="117" t="s">
        <v>30</v>
      </c>
      <c r="E4730" s="117" t="s">
        <v>1514</v>
      </c>
      <c r="F4730" s="11" t="s">
        <v>6773</v>
      </c>
      <c r="G4730" s="197" t="s">
        <v>6774</v>
      </c>
      <c r="H4730" s="117" t="s">
        <v>6775</v>
      </c>
      <c r="I4730" s="119" t="s">
        <v>118</v>
      </c>
      <c r="J4730" s="121">
        <f>+Tabla1[[#This Row],[FECHA ENTRADA]]</f>
        <v>46070</v>
      </c>
      <c r="K4730" s="121">
        <v>46071</v>
      </c>
      <c r="L4730" s="129">
        <f>_xlfn.DAYS(Tabla1[[#This Row],[FECHA FIN ]],Tabla1[[#This Row],[FECHA INICIO]])</f>
        <v>1</v>
      </c>
      <c r="M4730" s="119">
        <v>69</v>
      </c>
      <c r="N4730" s="130"/>
      <c r="O4730" s="131">
        <f>(Tabla1[[#This Row],[COSTO FIJO ]]/30)*Tabla1[[#This Row],[TOTAL DIAS PROYECTO]]+(Tabla1[[#This Row],[COSTO TEMPORAL]])</f>
        <v>69</v>
      </c>
      <c r="P4730" s="119"/>
      <c r="Q4730" s="119">
        <f>+(Tabla1[[#This Row],[COSTO COCHE]]/30)*Tabla1[[#This Row],[TOTAL DIAS PROYECTO]]</f>
        <v>0</v>
      </c>
      <c r="R4730" s="119">
        <f>+Tabla1[[#This Row],[COSTO TOTAL ALOJAMIENTO]]+Tabla1[[#This Row],[COSTO TOTAL COCHE]]</f>
        <v>69</v>
      </c>
      <c r="S4730" s="117"/>
      <c r="T4730" s="124" t="s">
        <v>44</v>
      </c>
      <c r="U4730" s="124">
        <v>46070</v>
      </c>
      <c r="V4730" s="132">
        <v>46074</v>
      </c>
      <c r="W4730" s="119"/>
      <c r="X4730" s="117"/>
      <c r="Y4730" s="118" t="s">
        <v>1361</v>
      </c>
      <c r="Z4730" s="117" t="s">
        <v>36</v>
      </c>
      <c r="AA4730" s="127" t="s">
        <v>10424</v>
      </c>
      <c r="AB4730" s="127">
        <v>398581</v>
      </c>
    </row>
    <row r="4731" spans="1:28" ht="15" customHeight="1">
      <c r="A4731" s="2" t="s">
        <v>10142</v>
      </c>
      <c r="B4731" s="2" t="s">
        <v>978</v>
      </c>
      <c r="C4731" s="31" t="s">
        <v>6613</v>
      </c>
      <c r="D4731" s="2" t="s">
        <v>30</v>
      </c>
      <c r="E4731" s="2" t="s">
        <v>259</v>
      </c>
      <c r="F4731" s="11" t="s">
        <v>1106</v>
      </c>
      <c r="G4731" s="21"/>
      <c r="H4731" s="2" t="s">
        <v>6522</v>
      </c>
      <c r="I4731" s="12" t="s">
        <v>4255</v>
      </c>
      <c r="J4731" s="22">
        <f>+Tabla1[[#This Row],[FECHA ENTRADA]]</f>
        <v>46040</v>
      </c>
      <c r="K4731" s="22">
        <v>46072</v>
      </c>
      <c r="L4731" s="23">
        <f>_xlfn.DAYS(Tabla1[[#This Row],[FECHA FIN ]],Tabla1[[#This Row],[FECHA INICIO]])</f>
        <v>32</v>
      </c>
      <c r="M4731" s="12"/>
      <c r="N4731" s="20"/>
      <c r="O4731" s="24">
        <f>(Tabla1[[#This Row],[COSTO FIJO ]]/30)*Tabla1[[#This Row],[TOTAL DIAS PROYECTO]]+(Tabla1[[#This Row],[COSTO TEMPORAL]])</f>
        <v>0</v>
      </c>
      <c r="P4731" s="12"/>
      <c r="Q4731" s="12">
        <f>+(Tabla1[[#This Row],[COSTO COCHE]]/30)*Tabla1[[#This Row],[TOTAL DIAS PROYECTO]]</f>
        <v>0</v>
      </c>
      <c r="R4731" s="12">
        <f>+Tabla1[[#This Row],[COSTO TOTAL ALOJAMIENTO]]+Tabla1[[#This Row],[COSTO TOTAL COCHE]]</f>
        <v>0</v>
      </c>
      <c r="S4731" s="2"/>
      <c r="T4731" s="2" t="s">
        <v>8</v>
      </c>
      <c r="U4731" s="14">
        <v>46040</v>
      </c>
      <c r="V4731" s="79">
        <v>46063</v>
      </c>
      <c r="W4731" s="12"/>
      <c r="X4731" s="2"/>
      <c r="Y4731" s="136" t="s">
        <v>6831</v>
      </c>
      <c r="Z4731" s="2" t="s">
        <v>36</v>
      </c>
      <c r="AA4731" s="13">
        <v>-0.87734000000000001</v>
      </c>
      <c r="AB4731" s="13" t="s">
        <v>10359</v>
      </c>
    </row>
    <row r="4732" spans="1:28" ht="15" customHeight="1">
      <c r="A4732" s="2" t="s">
        <v>10012</v>
      </c>
      <c r="B4732" s="2" t="s">
        <v>978</v>
      </c>
      <c r="C4732" s="11" t="s">
        <v>5954</v>
      </c>
      <c r="D4732" s="2" t="s">
        <v>30</v>
      </c>
      <c r="E4732" s="2" t="s">
        <v>109</v>
      </c>
      <c r="F4732" s="11" t="s">
        <v>4434</v>
      </c>
      <c r="G4732" s="21">
        <v>973266788</v>
      </c>
      <c r="H4732" s="2" t="s">
        <v>5355</v>
      </c>
      <c r="I4732" s="12" t="s">
        <v>5356</v>
      </c>
      <c r="J4732" s="41">
        <f>+Tabla1[[#This Row],[FECHA ENTRADA]]</f>
        <v>45875</v>
      </c>
      <c r="K4732" s="41">
        <v>45894</v>
      </c>
      <c r="L4732" s="42">
        <f>_xlfn.DAYS(Tabla1[[#This Row],[FECHA FIN ]],Tabla1[[#This Row],[FECHA INICIO]])</f>
        <v>19</v>
      </c>
      <c r="M4732" s="12"/>
      <c r="N4732" s="12"/>
      <c r="O4732" s="28">
        <f>(Tabla1[[#This Row],[COSTO FIJO ]]/30)*Tabla1[[#This Row],[TOTAL DIAS PROYECTO]]+(Tabla1[[#This Row],[COSTO TEMPORAL]])</f>
        <v>0</v>
      </c>
      <c r="P4732" s="12"/>
      <c r="Q4732" s="12">
        <f>+(Tabla1[[#This Row],[COSTO COCHE]]/30)*Tabla1[[#This Row],[TOTAL DIAS PROYECTO]]</f>
        <v>0</v>
      </c>
      <c r="R4732" s="12">
        <f>+Tabla1[[#This Row],[COSTO TOTAL ALOJAMIENTO]]+Tabla1[[#This Row],[COSTO TOTAL COCHE]]</f>
        <v>0</v>
      </c>
      <c r="S4732" s="2"/>
      <c r="T4732" s="14" t="s">
        <v>44</v>
      </c>
      <c r="U4732" s="14">
        <v>45875</v>
      </c>
      <c r="V4732" s="43">
        <v>45894</v>
      </c>
      <c r="W4732" s="12"/>
      <c r="X4732" s="2"/>
      <c r="Y4732" s="11" t="s">
        <v>6764</v>
      </c>
      <c r="Z4732" s="2" t="s">
        <v>36</v>
      </c>
      <c r="AA4732" s="13">
        <v>0.62217999999999996</v>
      </c>
      <c r="AB4732" s="13" t="s">
        <v>10339</v>
      </c>
    </row>
    <row r="4733" spans="1:28" ht="15" customHeight="1">
      <c r="A4733" s="2" t="s">
        <v>9737</v>
      </c>
      <c r="B4733" s="2" t="s">
        <v>978</v>
      </c>
      <c r="C4733" s="11" t="s">
        <v>4500</v>
      </c>
      <c r="D4733" s="2" t="s">
        <v>30</v>
      </c>
      <c r="E4733" s="2" t="s">
        <v>109</v>
      </c>
      <c r="F4733" s="11" t="s">
        <v>4434</v>
      </c>
      <c r="G4733" s="21">
        <v>973266788</v>
      </c>
      <c r="H4733" s="2" t="s">
        <v>5355</v>
      </c>
      <c r="I4733" s="12" t="s">
        <v>5356</v>
      </c>
      <c r="J4733" s="41">
        <f>+Tabla1[[#This Row],[FECHA ENTRADA]]</f>
        <v>45875</v>
      </c>
      <c r="K4733" s="41">
        <v>45894</v>
      </c>
      <c r="L4733" s="42">
        <f>_xlfn.DAYS(Tabla1[[#This Row],[FECHA FIN ]],Tabla1[[#This Row],[FECHA INICIO]])</f>
        <v>19</v>
      </c>
      <c r="M4733" s="12"/>
      <c r="N4733" s="12"/>
      <c r="O4733" s="28">
        <f>(Tabla1[[#This Row],[COSTO FIJO ]]/30)*Tabla1[[#This Row],[TOTAL DIAS PROYECTO]]+(Tabla1[[#This Row],[COSTO TEMPORAL]])</f>
        <v>0</v>
      </c>
      <c r="P4733" s="12"/>
      <c r="Q4733" s="12">
        <f>+(Tabla1[[#This Row],[COSTO COCHE]]/30)*Tabla1[[#This Row],[TOTAL DIAS PROYECTO]]</f>
        <v>0</v>
      </c>
      <c r="R4733" s="12">
        <f>+Tabla1[[#This Row],[COSTO TOTAL ALOJAMIENTO]]+Tabla1[[#This Row],[COSTO TOTAL COCHE]]</f>
        <v>0</v>
      </c>
      <c r="S4733" s="2"/>
      <c r="T4733" s="14" t="s">
        <v>44</v>
      </c>
      <c r="U4733" s="14">
        <v>45875</v>
      </c>
      <c r="V4733" s="43">
        <v>45894</v>
      </c>
      <c r="W4733" s="12"/>
      <c r="X4733" s="2"/>
      <c r="Y4733" s="11" t="s">
        <v>6832</v>
      </c>
      <c r="Z4733" s="2" t="s">
        <v>36</v>
      </c>
      <c r="AA4733" s="13">
        <v>0.62217999999999996</v>
      </c>
      <c r="AB4733" s="13" t="s">
        <v>10339</v>
      </c>
    </row>
    <row r="4734" spans="1:28" ht="15" customHeight="1">
      <c r="A4734" s="2" t="s">
        <v>9210</v>
      </c>
      <c r="B4734" s="2" t="s">
        <v>978</v>
      </c>
      <c r="C4734" s="11" t="s">
        <v>2447</v>
      </c>
      <c r="D4734" s="2" t="s">
        <v>30</v>
      </c>
      <c r="E4734" s="2" t="s">
        <v>109</v>
      </c>
      <c r="F4734" s="11" t="s">
        <v>4434</v>
      </c>
      <c r="G4734" s="21">
        <v>973266788</v>
      </c>
      <c r="H4734" s="2" t="s">
        <v>5355</v>
      </c>
      <c r="I4734" s="12" t="s">
        <v>5356</v>
      </c>
      <c r="J4734" s="41">
        <f>+Tabla1[[#This Row],[FECHA ENTRADA]]</f>
        <v>45875</v>
      </c>
      <c r="K4734" s="41">
        <v>45894</v>
      </c>
      <c r="L4734" s="42">
        <f>_xlfn.DAYS(Tabla1[[#This Row],[FECHA FIN ]],Tabla1[[#This Row],[FECHA INICIO]])</f>
        <v>19</v>
      </c>
      <c r="M4734" s="12"/>
      <c r="N4734" s="12"/>
      <c r="O4734" s="28">
        <f>(Tabla1[[#This Row],[COSTO FIJO ]]/30)*Tabla1[[#This Row],[TOTAL DIAS PROYECTO]]+(Tabla1[[#This Row],[COSTO TEMPORAL]])</f>
        <v>0</v>
      </c>
      <c r="P4734" s="12"/>
      <c r="Q4734" s="12">
        <f>+(Tabla1[[#This Row],[COSTO COCHE]]/30)*Tabla1[[#This Row],[TOTAL DIAS PROYECTO]]</f>
        <v>0</v>
      </c>
      <c r="R4734" s="12">
        <f>+Tabla1[[#This Row],[COSTO TOTAL ALOJAMIENTO]]+Tabla1[[#This Row],[COSTO TOTAL COCHE]]</f>
        <v>0</v>
      </c>
      <c r="S4734" s="2"/>
      <c r="T4734" s="14" t="s">
        <v>44</v>
      </c>
      <c r="U4734" s="14">
        <v>45875</v>
      </c>
      <c r="V4734" s="25">
        <v>45894</v>
      </c>
      <c r="W4734" s="12"/>
      <c r="X4734" s="2"/>
      <c r="Y4734" s="11" t="s">
        <v>6832</v>
      </c>
      <c r="Z4734" s="2" t="s">
        <v>36</v>
      </c>
      <c r="AA4734" s="13">
        <v>0.62217999999999996</v>
      </c>
      <c r="AB4734" s="13" t="s">
        <v>10339</v>
      </c>
    </row>
    <row r="4735" spans="1:28" ht="15" customHeight="1">
      <c r="A4735" s="2" t="s">
        <v>9860</v>
      </c>
      <c r="B4735" s="2" t="s">
        <v>978</v>
      </c>
      <c r="C4735" s="11" t="s">
        <v>5079</v>
      </c>
      <c r="D4735" s="2" t="s">
        <v>30</v>
      </c>
      <c r="E4735" s="2" t="s">
        <v>109</v>
      </c>
      <c r="F4735" s="11" t="s">
        <v>4434</v>
      </c>
      <c r="G4735" s="21">
        <v>973266788</v>
      </c>
      <c r="H4735" s="2" t="s">
        <v>5355</v>
      </c>
      <c r="I4735" s="12" t="s">
        <v>5356</v>
      </c>
      <c r="J4735" s="41">
        <f>+Tabla1[[#This Row],[FECHA ENTRADA]]</f>
        <v>45875</v>
      </c>
      <c r="K4735" s="41">
        <v>45894</v>
      </c>
      <c r="L4735" s="42">
        <f>_xlfn.DAYS(Tabla1[[#This Row],[FECHA FIN ]],Tabla1[[#This Row],[FECHA INICIO]])</f>
        <v>19</v>
      </c>
      <c r="M4735" s="12"/>
      <c r="N4735" s="12"/>
      <c r="O4735" s="28">
        <f>(Tabla1[[#This Row],[COSTO FIJO ]]/30)*Tabla1[[#This Row],[TOTAL DIAS PROYECTO]]+(Tabla1[[#This Row],[COSTO TEMPORAL]])</f>
        <v>0</v>
      </c>
      <c r="P4735" s="12"/>
      <c r="Q4735" s="12">
        <f>+(Tabla1[[#This Row],[COSTO COCHE]]/30)*Tabla1[[#This Row],[TOTAL DIAS PROYECTO]]</f>
        <v>0</v>
      </c>
      <c r="R4735" s="12">
        <f>+Tabla1[[#This Row],[COSTO TOTAL ALOJAMIENTO]]+Tabla1[[#This Row],[COSTO TOTAL COCHE]]</f>
        <v>0</v>
      </c>
      <c r="S4735" s="2"/>
      <c r="T4735" s="14" t="s">
        <v>44</v>
      </c>
      <c r="U4735" s="14">
        <v>45875</v>
      </c>
      <c r="V4735" s="43">
        <v>45894</v>
      </c>
      <c r="W4735" s="12"/>
      <c r="X4735" s="2"/>
      <c r="Y4735" s="11" t="s">
        <v>6832</v>
      </c>
      <c r="Z4735" s="2" t="s">
        <v>36</v>
      </c>
      <c r="AA4735" s="13">
        <v>0.62217999999999996</v>
      </c>
      <c r="AB4735" s="13" t="s">
        <v>10339</v>
      </c>
    </row>
    <row r="4736" spans="1:28" ht="15" customHeight="1">
      <c r="A4736" s="2" t="s">
        <v>9488</v>
      </c>
      <c r="B4736" s="2" t="s">
        <v>606</v>
      </c>
      <c r="C4736" s="31" t="s">
        <v>3358</v>
      </c>
      <c r="D4736" s="2" t="s">
        <v>30</v>
      </c>
      <c r="E4736" s="2" t="s">
        <v>608</v>
      </c>
      <c r="F4736" s="11" t="s">
        <v>6520</v>
      </c>
      <c r="G4736" s="251" t="s">
        <v>6833</v>
      </c>
      <c r="H4736" s="2" t="s">
        <v>6834</v>
      </c>
      <c r="I4736" s="12" t="s">
        <v>6835</v>
      </c>
      <c r="J4736" s="22">
        <f>+Tabla1[[#This Row],[FECHA ENTRADA]]</f>
        <v>46048</v>
      </c>
      <c r="K4736" s="22">
        <v>46217</v>
      </c>
      <c r="L4736" s="23">
        <f>_xlfn.DAYS(Tabla1[[#This Row],[FECHA FIN ]],Tabla1[[#This Row],[FECHA INICIO]])</f>
        <v>169</v>
      </c>
      <c r="M4736" s="12"/>
      <c r="N4736" s="20">
        <v>280.5</v>
      </c>
      <c r="O4736" s="24">
        <f>(Tabla1[[#This Row],[COSTO FIJO ]]/30)*Tabla1[[#This Row],[TOTAL DIAS PROYECTO]]+(Tabla1[[#This Row],[COSTO TEMPORAL]])</f>
        <v>1580.1499999999999</v>
      </c>
      <c r="P4736" s="12"/>
      <c r="Q4736" s="12">
        <f>+(Tabla1[[#This Row],[COSTO COCHE]]/30)*Tabla1[[#This Row],[TOTAL DIAS PROYECTO]]</f>
        <v>0</v>
      </c>
      <c r="R4736" s="12">
        <f>+Tabla1[[#This Row],[COSTO TOTAL ALOJAMIENTO]]+Tabla1[[#This Row],[COSTO TOTAL COCHE]]</f>
        <v>1580.1499999999999</v>
      </c>
      <c r="S4736" s="2"/>
      <c r="T4736" s="14" t="s">
        <v>35</v>
      </c>
      <c r="U4736" s="14">
        <v>46048</v>
      </c>
      <c r="V4736" s="79"/>
      <c r="W4736" s="12">
        <v>2200</v>
      </c>
      <c r="X4736" s="2">
        <v>1</v>
      </c>
      <c r="Y4736" s="11" t="s">
        <v>6836</v>
      </c>
      <c r="Z4736" s="2" t="s">
        <v>36</v>
      </c>
      <c r="AA4736" s="13" t="s">
        <v>10383</v>
      </c>
      <c r="AB4736" s="13" t="s">
        <v>10384</v>
      </c>
    </row>
    <row r="4737" spans="1:28" ht="15" customHeight="1">
      <c r="A4737" s="2" t="s">
        <v>10131</v>
      </c>
      <c r="B4737" s="117" t="s">
        <v>606</v>
      </c>
      <c r="C4737" s="101" t="s">
        <v>6562</v>
      </c>
      <c r="D4737" s="117" t="s">
        <v>30</v>
      </c>
      <c r="E4737" s="117" t="s">
        <v>87</v>
      </c>
      <c r="F4737" s="11" t="s">
        <v>6837</v>
      </c>
      <c r="G4737" s="68" t="s">
        <v>6838</v>
      </c>
      <c r="H4737" s="117" t="s">
        <v>2106</v>
      </c>
      <c r="I4737" s="119" t="s">
        <v>4169</v>
      </c>
      <c r="J4737" s="120">
        <f>+Tabla1[[#This Row],[FECHA ENTRADA]]</f>
        <v>46071</v>
      </c>
      <c r="K4737" s="121">
        <v>46072</v>
      </c>
      <c r="L4737" s="122">
        <f>_xlfn.DAYS(Tabla1[[#This Row],[FECHA FIN ]],Tabla1[[#This Row],[FECHA INICIO]])</f>
        <v>1</v>
      </c>
      <c r="M4737" s="119">
        <v>175</v>
      </c>
      <c r="N4737" s="123"/>
      <c r="O4737" s="123">
        <f>(Tabla1[[#This Row],[COSTO FIJO ]]/30)*Tabla1[[#This Row],[TOTAL DIAS PROYECTO]]+(Tabla1[[#This Row],[COSTO TEMPORAL]])</f>
        <v>175</v>
      </c>
      <c r="P4737" s="119"/>
      <c r="Q4737" s="119">
        <f>+(Tabla1[[#This Row],[COSTO COCHE]]/30)*Tabla1[[#This Row],[TOTAL DIAS PROYECTO]]</f>
        <v>0</v>
      </c>
      <c r="R4737" s="119">
        <f>+Tabla1[[#This Row],[COSTO TOTAL ALOJAMIENTO]]+Tabla1[[#This Row],[COSTO TOTAL COCHE]]</f>
        <v>175</v>
      </c>
      <c r="S4737" s="117"/>
      <c r="T4737" s="124" t="s">
        <v>44</v>
      </c>
      <c r="U4737" s="124">
        <v>46071</v>
      </c>
      <c r="V4737" s="159">
        <v>46087</v>
      </c>
      <c r="W4737" s="119"/>
      <c r="X4737" s="117"/>
      <c r="Y4737" s="118" t="s">
        <v>6839</v>
      </c>
      <c r="Z4737" s="117" t="s">
        <v>36</v>
      </c>
      <c r="AA4737" s="127" t="s">
        <v>10335</v>
      </c>
      <c r="AB4737" s="127">
        <v>404.16500000000002</v>
      </c>
    </row>
    <row r="4738" spans="1:28" ht="15.75" customHeight="1">
      <c r="A4738" s="2" t="s">
        <v>9796</v>
      </c>
      <c r="B4738" s="2" t="s">
        <v>978</v>
      </c>
      <c r="C4738" s="279" t="s">
        <v>4773</v>
      </c>
      <c r="D4738" s="2" t="s">
        <v>30</v>
      </c>
      <c r="E4738" s="2" t="s">
        <v>608</v>
      </c>
      <c r="F4738" s="11" t="s">
        <v>1106</v>
      </c>
      <c r="G4738" s="21"/>
      <c r="H4738" s="2" t="s">
        <v>6753</v>
      </c>
      <c r="I4738" s="12" t="s">
        <v>4255</v>
      </c>
      <c r="J4738" s="41">
        <f>+Tabla1[[#This Row],[FECHA ENTRADA]]</f>
        <v>46063</v>
      </c>
      <c r="K4738" s="22">
        <v>46072</v>
      </c>
      <c r="L4738" s="42">
        <f>_xlfn.DAYS(Tabla1[[#This Row],[FECHA FIN ]],Tabla1[[#This Row],[FECHA INICIO]])</f>
        <v>9</v>
      </c>
      <c r="M4738" s="12"/>
      <c r="N4738" s="28"/>
      <c r="O4738" s="28">
        <f>(Tabla1[[#This Row],[COSTO FIJO ]]/30)*Tabla1[[#This Row],[TOTAL DIAS PROYECTO]]+(Tabla1[[#This Row],[COSTO TEMPORAL]])</f>
        <v>0</v>
      </c>
      <c r="P4738" s="12"/>
      <c r="Q4738" s="12">
        <f>+(Tabla1[[#This Row],[COSTO COCHE]]/30)*Tabla1[[#This Row],[TOTAL DIAS PROYECTO]]</f>
        <v>0</v>
      </c>
      <c r="R4738" s="12">
        <f>+Tabla1[[#This Row],[COSTO TOTAL ALOJAMIENTO]]+Tabla1[[#This Row],[COSTO TOTAL COCHE]]</f>
        <v>0</v>
      </c>
      <c r="S4738" s="2"/>
      <c r="T4738" s="2" t="s">
        <v>8</v>
      </c>
      <c r="U4738" s="14">
        <v>46063</v>
      </c>
      <c r="V4738" s="43"/>
      <c r="W4738" s="12"/>
      <c r="X4738" s="2"/>
      <c r="Y4738" s="11" t="s">
        <v>6840</v>
      </c>
      <c r="Z4738" s="2" t="s">
        <v>36</v>
      </c>
      <c r="AA4738" s="13" t="s">
        <v>10383</v>
      </c>
      <c r="AB4738" s="13" t="s">
        <v>10384</v>
      </c>
    </row>
    <row r="4739" spans="1:28" ht="15" customHeight="1">
      <c r="A4739" s="2" t="s">
        <v>10118</v>
      </c>
      <c r="B4739" s="2" t="s">
        <v>606</v>
      </c>
      <c r="C4739" s="31" t="s">
        <v>6484</v>
      </c>
      <c r="D4739" s="2" t="s">
        <v>99</v>
      </c>
      <c r="E4739" s="2" t="s">
        <v>31</v>
      </c>
      <c r="F4739" s="11" t="s">
        <v>6473</v>
      </c>
      <c r="G4739" s="21" t="s">
        <v>6474</v>
      </c>
      <c r="H4739" s="2" t="s">
        <v>6482</v>
      </c>
      <c r="I4739" s="12" t="s">
        <v>347</v>
      </c>
      <c r="J4739" s="22">
        <f>+Tabla1[[#This Row],[FECHA ENTRADA]]</f>
        <v>46021</v>
      </c>
      <c r="K4739" s="22">
        <v>46073</v>
      </c>
      <c r="L4739" s="23">
        <f>_xlfn.DAYS(Tabla1[[#This Row],[FECHA FIN ]],Tabla1[[#This Row],[FECHA INICIO]])</f>
        <v>52</v>
      </c>
      <c r="M4739" s="12">
        <v>500</v>
      </c>
      <c r="N4739" s="20"/>
      <c r="O4739" s="24">
        <f>(Tabla1[[#This Row],[COSTO FIJO ]]/30)*Tabla1[[#This Row],[TOTAL DIAS PROYECTO]]+(Tabla1[[#This Row],[COSTO TEMPORAL]])</f>
        <v>500</v>
      </c>
      <c r="P4739" s="12"/>
      <c r="Q4739" s="12">
        <f>+(Tabla1[[#This Row],[COSTO COCHE]]/30)*Tabla1[[#This Row],[TOTAL DIAS PROYECTO]]</f>
        <v>0</v>
      </c>
      <c r="R4739" s="12">
        <f>+Tabla1[[#This Row],[COSTO TOTAL ALOJAMIENTO]]+Tabla1[[#This Row],[COSTO TOTAL COCHE]]</f>
        <v>500</v>
      </c>
      <c r="S4739" s="2"/>
      <c r="T4739" s="14" t="s">
        <v>35</v>
      </c>
      <c r="U4739" s="14">
        <v>46021</v>
      </c>
      <c r="V4739" s="79"/>
      <c r="W4739" s="12"/>
      <c r="X4739" s="2">
        <v>28</v>
      </c>
      <c r="Y4739" s="11" t="s">
        <v>6841</v>
      </c>
      <c r="Z4739" s="2" t="s">
        <v>36</v>
      </c>
      <c r="AA4739" s="13" t="s">
        <v>10323</v>
      </c>
      <c r="AB4739" s="13" t="s">
        <v>10324</v>
      </c>
    </row>
    <row r="4740" spans="1:28" ht="15" customHeight="1">
      <c r="A4740" s="2" t="s">
        <v>9383</v>
      </c>
      <c r="B4740" s="2" t="s">
        <v>28</v>
      </c>
      <c r="C4740" s="11" t="s">
        <v>3000</v>
      </c>
      <c r="D4740" s="2" t="s">
        <v>99</v>
      </c>
      <c r="E4740" s="2" t="s">
        <v>127</v>
      </c>
      <c r="F4740" s="11" t="s">
        <v>820</v>
      </c>
      <c r="G4740" s="21" t="s">
        <v>1234</v>
      </c>
      <c r="H4740" s="2" t="s">
        <v>6708</v>
      </c>
      <c r="I4740" s="12" t="s">
        <v>96</v>
      </c>
      <c r="J4740" s="41">
        <f>+Tabla1[[#This Row],[FECHA ENTRADA]]</f>
        <v>45713</v>
      </c>
      <c r="K4740" s="22">
        <v>45821</v>
      </c>
      <c r="L4740" s="42">
        <f>_xlfn.DAYS(Tabla1[[#This Row],[FECHA FIN ]],Tabla1[[#This Row],[FECHA INICIO]])</f>
        <v>108</v>
      </c>
      <c r="M4740" s="12"/>
      <c r="N4740" s="20"/>
      <c r="O4740" s="28">
        <f>(Tabla1[[#This Row],[COSTO FIJO ]]/30)*Tabla1[[#This Row],[TOTAL DIAS PROYECTO]]+(Tabla1[[#This Row],[COSTO TEMPORAL]])</f>
        <v>0</v>
      </c>
      <c r="P4740" s="12"/>
      <c r="Q4740" s="12">
        <f>+(Tabla1[[#This Row],[COSTO COCHE]]/30)*Tabla1[[#This Row],[TOTAL DIAS PROYECTO]]</f>
        <v>0</v>
      </c>
      <c r="R4740" s="12">
        <f>+Tabla1[[#This Row],[COSTO TOTAL ALOJAMIENTO]]+Tabla1[[#This Row],[COSTO TOTAL COCHE]]</f>
        <v>0</v>
      </c>
      <c r="S4740" s="2"/>
      <c r="T4740" s="2" t="s">
        <v>44</v>
      </c>
      <c r="U4740" s="14">
        <v>45713</v>
      </c>
      <c r="V4740" s="25">
        <v>45798</v>
      </c>
      <c r="W4740" s="26"/>
      <c r="X4740" s="2"/>
      <c r="Y4740" s="11"/>
      <c r="Z4740" s="2" t="s">
        <v>36</v>
      </c>
      <c r="AA4740" s="13" t="s">
        <v>10342</v>
      </c>
      <c r="AB4740" s="13" t="s">
        <v>10343</v>
      </c>
    </row>
    <row r="4741" spans="1:28" ht="15" customHeight="1">
      <c r="A4741" s="117" t="s">
        <v>8737</v>
      </c>
      <c r="B4741" s="117" t="s">
        <v>711</v>
      </c>
      <c r="C4741" s="118" t="s">
        <v>510</v>
      </c>
      <c r="D4741" s="117" t="s">
        <v>30</v>
      </c>
      <c r="E4741" s="117" t="s">
        <v>1514</v>
      </c>
      <c r="F4741" s="11" t="s">
        <v>6773</v>
      </c>
      <c r="G4741" s="197" t="s">
        <v>6774</v>
      </c>
      <c r="H4741" s="117" t="s">
        <v>6775</v>
      </c>
      <c r="I4741" s="119" t="s">
        <v>118</v>
      </c>
      <c r="J4741" s="121">
        <f>+Tabla1[[#This Row],[FECHA ENTRADA]]</f>
        <v>46068</v>
      </c>
      <c r="K4741" s="121">
        <v>46074</v>
      </c>
      <c r="L4741" s="129">
        <f>_xlfn.DAYS(Tabla1[[#This Row],[FECHA FIN ]],Tabla1[[#This Row],[FECHA INICIO]])</f>
        <v>6</v>
      </c>
      <c r="M4741" s="119">
        <v>161</v>
      </c>
      <c r="N4741" s="131"/>
      <c r="O4741" s="131">
        <f>(Tabla1[[#This Row],[COSTO FIJO ]]/30)*Tabla1[[#This Row],[TOTAL DIAS PROYECTO]]+(Tabla1[[#This Row],[COSTO TEMPORAL]])</f>
        <v>161</v>
      </c>
      <c r="P4741" s="119"/>
      <c r="Q4741" s="119">
        <f>+(Tabla1[[#This Row],[COSTO COCHE]]/30)*Tabla1[[#This Row],[TOTAL DIAS PROYECTO]]</f>
        <v>0</v>
      </c>
      <c r="R4741" s="119">
        <f>+Tabla1[[#This Row],[COSTO TOTAL ALOJAMIENTO]]+Tabla1[[#This Row],[COSTO TOTAL COCHE]]</f>
        <v>161</v>
      </c>
      <c r="S4741" s="117"/>
      <c r="T4741" s="124" t="s">
        <v>44</v>
      </c>
      <c r="U4741" s="124">
        <v>46068</v>
      </c>
      <c r="V4741" s="132">
        <v>46075</v>
      </c>
      <c r="W4741" s="119"/>
      <c r="X4741" s="117"/>
      <c r="Y4741" s="118" t="s">
        <v>6842</v>
      </c>
      <c r="Z4741" s="117" t="s">
        <v>36</v>
      </c>
      <c r="AA4741" s="127" t="s">
        <v>10424</v>
      </c>
      <c r="AB4741" s="127">
        <v>398581</v>
      </c>
    </row>
    <row r="4742" spans="1:28" ht="15" customHeight="1">
      <c r="A4742" s="117" t="s">
        <v>8642</v>
      </c>
      <c r="B4742" s="117" t="s">
        <v>711</v>
      </c>
      <c r="C4742" s="309" t="s">
        <v>6830</v>
      </c>
      <c r="D4742" s="117" t="s">
        <v>30</v>
      </c>
      <c r="E4742" s="117" t="s">
        <v>1514</v>
      </c>
      <c r="F4742" s="11" t="s">
        <v>6813</v>
      </c>
      <c r="G4742" s="197" t="s">
        <v>6814</v>
      </c>
      <c r="H4742" s="117" t="s">
        <v>6775</v>
      </c>
      <c r="I4742" s="119" t="s">
        <v>118</v>
      </c>
      <c r="J4742" s="120">
        <f>+Tabla1[[#This Row],[FECHA ENTRADA]]</f>
        <v>46071</v>
      </c>
      <c r="K4742" s="121">
        <v>46074</v>
      </c>
      <c r="L4742" s="122">
        <f>_xlfn.DAYS(Tabla1[[#This Row],[FECHA FIN ]],Tabla1[[#This Row],[FECHA INICIO]])</f>
        <v>3</v>
      </c>
      <c r="M4742" s="119">
        <v>66</v>
      </c>
      <c r="N4742" s="123"/>
      <c r="O4742" s="123">
        <f>(Tabla1[[#This Row],[COSTO FIJO ]]/30)*Tabla1[[#This Row],[TOTAL DIAS PROYECTO]]+(Tabla1[[#This Row],[COSTO TEMPORAL]])</f>
        <v>66</v>
      </c>
      <c r="P4742" s="119"/>
      <c r="Q4742" s="119">
        <f>+(Tabla1[[#This Row],[COSTO COCHE]]/30)*Tabla1[[#This Row],[TOTAL DIAS PROYECTO]]</f>
        <v>0</v>
      </c>
      <c r="R4742" s="119">
        <f>+Tabla1[[#This Row],[COSTO TOTAL ALOJAMIENTO]]+Tabla1[[#This Row],[COSTO TOTAL COCHE]]</f>
        <v>66</v>
      </c>
      <c r="S4742" s="117"/>
      <c r="T4742" s="124" t="s">
        <v>44</v>
      </c>
      <c r="U4742" s="124">
        <v>46071</v>
      </c>
      <c r="V4742" s="132">
        <v>46075</v>
      </c>
      <c r="W4742" s="119"/>
      <c r="X4742" s="117"/>
      <c r="Y4742" s="118" t="s">
        <v>6842</v>
      </c>
      <c r="Z4742" s="117" t="s">
        <v>36</v>
      </c>
      <c r="AA4742" s="127" t="s">
        <v>10424</v>
      </c>
      <c r="AB4742" s="127">
        <v>398581</v>
      </c>
    </row>
    <row r="4743" spans="1:28" ht="15" customHeight="1">
      <c r="A4743" s="2" t="s">
        <v>10148</v>
      </c>
      <c r="B4743" s="11" t="s">
        <v>3133</v>
      </c>
      <c r="C4743" s="31" t="s">
        <v>6672</v>
      </c>
      <c r="D4743" s="2" t="s">
        <v>30</v>
      </c>
      <c r="E4743" s="2" t="s">
        <v>826</v>
      </c>
      <c r="F4743" s="11" t="s">
        <v>6843</v>
      </c>
      <c r="G4743" s="21" t="s">
        <v>6844</v>
      </c>
      <c r="H4743" s="2" t="s">
        <v>6845</v>
      </c>
      <c r="I4743" s="12" t="s">
        <v>1994</v>
      </c>
      <c r="J4743" s="22">
        <f>+Tabla1[[#This Row],[FECHA ENTRADA]]</f>
        <v>46061</v>
      </c>
      <c r="K4743" s="41">
        <v>46074</v>
      </c>
      <c r="L4743" s="23">
        <f>_xlfn.DAYS(Tabla1[[#This Row],[FECHA FIN ]],Tabla1[[#This Row],[FECHA INICIO]])</f>
        <v>13</v>
      </c>
      <c r="M4743" s="12">
        <v>250</v>
      </c>
      <c r="N4743" s="20"/>
      <c r="O4743" s="24">
        <f>(Tabla1[[#This Row],[COSTO FIJO ]]/30)*Tabla1[[#This Row],[TOTAL DIAS PROYECTO]]+(Tabla1[[#This Row],[COSTO TEMPORAL]])</f>
        <v>250</v>
      </c>
      <c r="P4743" s="12"/>
      <c r="Q4743" s="12">
        <f>+(Tabla1[[#This Row],[COSTO COCHE]]/30)*Tabla1[[#This Row],[TOTAL DIAS PROYECTO]]</f>
        <v>0</v>
      </c>
      <c r="R4743" s="12">
        <f>+Tabla1[[#This Row],[COSTO TOTAL ALOJAMIENTO]]+Tabla1[[#This Row],[COSTO TOTAL COCHE]]</f>
        <v>250</v>
      </c>
      <c r="S4743" s="2"/>
      <c r="T4743" s="14" t="s">
        <v>44</v>
      </c>
      <c r="U4743" s="14">
        <v>46061</v>
      </c>
      <c r="V4743" s="79">
        <v>46076</v>
      </c>
      <c r="W4743" s="12"/>
      <c r="X4743" s="2"/>
      <c r="Y4743" s="310" t="s">
        <v>6846</v>
      </c>
      <c r="Z4743" s="2" t="s">
        <v>36</v>
      </c>
      <c r="AA4743" s="13" t="s">
        <v>10399</v>
      </c>
      <c r="AB4743" s="13" t="s">
        <v>10400</v>
      </c>
    </row>
    <row r="4744" spans="1:28" ht="15" customHeight="1">
      <c r="A4744" s="2" t="s">
        <v>9809</v>
      </c>
      <c r="B4744" s="2" t="s">
        <v>711</v>
      </c>
      <c r="C4744" s="31" t="s">
        <v>4841</v>
      </c>
      <c r="D4744" s="2" t="s">
        <v>30</v>
      </c>
      <c r="E4744" s="2" t="s">
        <v>3335</v>
      </c>
      <c r="F4744" s="11" t="s">
        <v>6847</v>
      </c>
      <c r="G4744" s="21" t="s">
        <v>6848</v>
      </c>
      <c r="H4744" s="2" t="s">
        <v>6649</v>
      </c>
      <c r="I4744" s="12" t="s">
        <v>118</v>
      </c>
      <c r="J4744" s="22">
        <f>+Tabla1[[#This Row],[FECHA ENTRADA]]</f>
        <v>46070</v>
      </c>
      <c r="K4744" s="41">
        <v>46074</v>
      </c>
      <c r="L4744" s="23">
        <f>_xlfn.DAYS(Tabla1[[#This Row],[FECHA FIN ]],Tabla1[[#This Row],[FECHA INICIO]])</f>
        <v>4</v>
      </c>
      <c r="M4744" s="12">
        <v>296.75</v>
      </c>
      <c r="N4744" s="20"/>
      <c r="O4744" s="24">
        <f>(Tabla1[[#This Row],[COSTO FIJO ]]/30)*Tabla1[[#This Row],[TOTAL DIAS PROYECTO]]+(Tabla1[[#This Row],[COSTO TEMPORAL]])</f>
        <v>296.75</v>
      </c>
      <c r="P4744" s="12"/>
      <c r="Q4744" s="12">
        <f>+(Tabla1[[#This Row],[COSTO COCHE]]/30)*Tabla1[[#This Row],[TOTAL DIAS PROYECTO]]</f>
        <v>0</v>
      </c>
      <c r="R4744" s="12">
        <f>+Tabla1[[#This Row],[COSTO TOTAL ALOJAMIENTO]]+Tabla1[[#This Row],[COSTO TOTAL COCHE]]</f>
        <v>296.75</v>
      </c>
      <c r="S4744" s="2" t="s">
        <v>403</v>
      </c>
      <c r="T4744" s="14" t="s">
        <v>44</v>
      </c>
      <c r="U4744" s="14">
        <v>46070</v>
      </c>
      <c r="V4744" s="79">
        <v>46086</v>
      </c>
      <c r="W4744" s="12"/>
      <c r="X4744" s="2"/>
      <c r="Y4744" s="11" t="s">
        <v>6849</v>
      </c>
      <c r="Z4744" s="2" t="s">
        <v>36</v>
      </c>
      <c r="AA4744" s="13" t="e">
        <v>#N/A</v>
      </c>
      <c r="AB4744" s="13" t="e">
        <v>#N/A</v>
      </c>
    </row>
    <row r="4745" spans="1:28" ht="15" customHeight="1">
      <c r="A4745" s="117" t="s">
        <v>9085</v>
      </c>
      <c r="B4745" s="117" t="s">
        <v>711</v>
      </c>
      <c r="C4745" s="311" t="s">
        <v>1954</v>
      </c>
      <c r="D4745" s="117" t="s">
        <v>30</v>
      </c>
      <c r="E4745" s="117" t="s">
        <v>1514</v>
      </c>
      <c r="F4745" s="11" t="s">
        <v>6850</v>
      </c>
      <c r="G4745" s="197" t="s">
        <v>6851</v>
      </c>
      <c r="H4745" s="117" t="s">
        <v>6775</v>
      </c>
      <c r="I4745" s="119" t="s">
        <v>118</v>
      </c>
      <c r="J4745" s="121">
        <f>+Tabla1[[#This Row],[FECHA ENTRADA]]</f>
        <v>46064</v>
      </c>
      <c r="K4745" s="121">
        <v>46075</v>
      </c>
      <c r="L4745" s="129">
        <f>_xlfn.DAYS(Tabla1[[#This Row],[FECHA FIN ]],Tabla1[[#This Row],[FECHA INICIO]])</f>
        <v>11</v>
      </c>
      <c r="M4745" s="119">
        <f>947.24/4</f>
        <v>236.81</v>
      </c>
      <c r="N4745" s="131"/>
      <c r="O4745" s="131">
        <f>(Tabla1[[#This Row],[COSTO FIJO ]]/30)*Tabla1[[#This Row],[TOTAL DIAS PROYECTO]]+(Tabla1[[#This Row],[COSTO TEMPORAL]])</f>
        <v>236.81</v>
      </c>
      <c r="P4745" s="119"/>
      <c r="Q4745" s="119">
        <f>+(Tabla1[[#This Row],[COSTO COCHE]]/30)*Tabla1[[#This Row],[TOTAL DIAS PROYECTO]]</f>
        <v>0</v>
      </c>
      <c r="R4745" s="119">
        <f>+Tabla1[[#This Row],[COSTO TOTAL ALOJAMIENTO]]+Tabla1[[#This Row],[COSTO TOTAL COCHE]]</f>
        <v>236.81</v>
      </c>
      <c r="S4745" s="117" t="s">
        <v>403</v>
      </c>
      <c r="T4745" s="124" t="s">
        <v>44</v>
      </c>
      <c r="U4745" s="124">
        <v>46064</v>
      </c>
      <c r="V4745" s="132">
        <v>46074</v>
      </c>
      <c r="W4745" s="119"/>
      <c r="X4745" s="117"/>
      <c r="Y4745" s="118" t="s">
        <v>6852</v>
      </c>
      <c r="Z4745" s="117" t="s">
        <v>36</v>
      </c>
      <c r="AA4745" s="127" t="s">
        <v>10424</v>
      </c>
      <c r="AB4745" s="127">
        <v>398581</v>
      </c>
    </row>
    <row r="4746" spans="1:28" ht="15" customHeight="1">
      <c r="A4746" s="117" t="s">
        <v>9960</v>
      </c>
      <c r="B4746" s="117" t="s">
        <v>711</v>
      </c>
      <c r="C4746" s="118" t="s">
        <v>5735</v>
      </c>
      <c r="D4746" s="117" t="s">
        <v>30</v>
      </c>
      <c r="E4746" s="117" t="s">
        <v>1514</v>
      </c>
      <c r="F4746" s="11" t="s">
        <v>6850</v>
      </c>
      <c r="G4746" s="197" t="s">
        <v>6851</v>
      </c>
      <c r="H4746" s="117" t="s">
        <v>6775</v>
      </c>
      <c r="I4746" s="119" t="s">
        <v>118</v>
      </c>
      <c r="J4746" s="121">
        <f>+Tabla1[[#This Row],[FECHA ENTRADA]]</f>
        <v>46064</v>
      </c>
      <c r="K4746" s="121">
        <v>46075</v>
      </c>
      <c r="L4746" s="129">
        <f>_xlfn.DAYS(Tabla1[[#This Row],[FECHA FIN ]],Tabla1[[#This Row],[FECHA INICIO]])</f>
        <v>11</v>
      </c>
      <c r="M4746" s="119">
        <f>947.24/4</f>
        <v>236.81</v>
      </c>
      <c r="N4746" s="131"/>
      <c r="O4746" s="131">
        <f>(Tabla1[[#This Row],[COSTO FIJO ]]/30)*Tabla1[[#This Row],[TOTAL DIAS PROYECTO]]+(Tabla1[[#This Row],[COSTO TEMPORAL]])</f>
        <v>236.81</v>
      </c>
      <c r="P4746" s="119"/>
      <c r="Q4746" s="119">
        <f>+(Tabla1[[#This Row],[COSTO COCHE]]/30)*Tabla1[[#This Row],[TOTAL DIAS PROYECTO]]</f>
        <v>0</v>
      </c>
      <c r="R4746" s="119">
        <f>+Tabla1[[#This Row],[COSTO TOTAL ALOJAMIENTO]]+Tabla1[[#This Row],[COSTO TOTAL COCHE]]</f>
        <v>236.81</v>
      </c>
      <c r="S4746" s="117" t="s">
        <v>403</v>
      </c>
      <c r="T4746" s="124" t="s">
        <v>44</v>
      </c>
      <c r="U4746" s="124">
        <v>46064</v>
      </c>
      <c r="V4746" s="132">
        <v>46074</v>
      </c>
      <c r="W4746" s="119"/>
      <c r="X4746" s="117"/>
      <c r="Y4746" s="118" t="s">
        <v>6853</v>
      </c>
      <c r="Z4746" s="117" t="s">
        <v>36</v>
      </c>
      <c r="AA4746" s="127" t="s">
        <v>10424</v>
      </c>
      <c r="AB4746" s="127">
        <v>398581</v>
      </c>
    </row>
    <row r="4747" spans="1:28" ht="15" customHeight="1">
      <c r="A4747" s="117" t="s">
        <v>9319</v>
      </c>
      <c r="B4747" s="117" t="s">
        <v>711</v>
      </c>
      <c r="C4747" s="118" t="s">
        <v>2812</v>
      </c>
      <c r="D4747" s="117" t="s">
        <v>30</v>
      </c>
      <c r="E4747" s="117" t="s">
        <v>1514</v>
      </c>
      <c r="F4747" s="11" t="s">
        <v>6850</v>
      </c>
      <c r="G4747" s="197" t="s">
        <v>6851</v>
      </c>
      <c r="H4747" s="117" t="s">
        <v>6775</v>
      </c>
      <c r="I4747" s="119" t="s">
        <v>118</v>
      </c>
      <c r="J4747" s="121">
        <f>+Tabla1[[#This Row],[FECHA ENTRADA]]</f>
        <v>46064</v>
      </c>
      <c r="K4747" s="121">
        <v>46075</v>
      </c>
      <c r="L4747" s="129">
        <f>_xlfn.DAYS(Tabla1[[#This Row],[FECHA FIN ]],Tabla1[[#This Row],[FECHA INICIO]])</f>
        <v>11</v>
      </c>
      <c r="M4747" s="119">
        <f>947.24/4</f>
        <v>236.81</v>
      </c>
      <c r="N4747" s="131"/>
      <c r="O4747" s="131">
        <f>(Tabla1[[#This Row],[COSTO FIJO ]]/30)*Tabla1[[#This Row],[TOTAL DIAS PROYECTO]]+(Tabla1[[#This Row],[COSTO TEMPORAL]])</f>
        <v>236.81</v>
      </c>
      <c r="P4747" s="119"/>
      <c r="Q4747" s="119">
        <f>+(Tabla1[[#This Row],[COSTO COCHE]]/30)*Tabla1[[#This Row],[TOTAL DIAS PROYECTO]]</f>
        <v>0</v>
      </c>
      <c r="R4747" s="119">
        <f>+Tabla1[[#This Row],[COSTO TOTAL ALOJAMIENTO]]+Tabla1[[#This Row],[COSTO TOTAL COCHE]]</f>
        <v>236.81</v>
      </c>
      <c r="S4747" s="117" t="s">
        <v>403</v>
      </c>
      <c r="T4747" s="124" t="s">
        <v>44</v>
      </c>
      <c r="U4747" s="124">
        <v>46064</v>
      </c>
      <c r="V4747" s="132">
        <v>46074</v>
      </c>
      <c r="W4747" s="119"/>
      <c r="X4747" s="117"/>
      <c r="Y4747" s="118" t="s">
        <v>6853</v>
      </c>
      <c r="Z4747" s="117" t="s">
        <v>36</v>
      </c>
      <c r="AA4747" s="127" t="s">
        <v>10424</v>
      </c>
      <c r="AB4747" s="127">
        <v>398581</v>
      </c>
    </row>
    <row r="4748" spans="1:28" ht="15" customHeight="1">
      <c r="A4748" s="117" t="s">
        <v>9036</v>
      </c>
      <c r="B4748" s="117" t="s">
        <v>711</v>
      </c>
      <c r="C4748" s="118" t="s">
        <v>1765</v>
      </c>
      <c r="D4748" s="117" t="s">
        <v>30</v>
      </c>
      <c r="E4748" s="117" t="s">
        <v>1514</v>
      </c>
      <c r="F4748" s="11" t="s">
        <v>6850</v>
      </c>
      <c r="G4748" s="197" t="s">
        <v>6851</v>
      </c>
      <c r="H4748" s="117" t="s">
        <v>6775</v>
      </c>
      <c r="I4748" s="119" t="s">
        <v>118</v>
      </c>
      <c r="J4748" s="121">
        <f>+Tabla1[[#This Row],[FECHA ENTRADA]]</f>
        <v>46064</v>
      </c>
      <c r="K4748" s="121">
        <v>46075</v>
      </c>
      <c r="L4748" s="129">
        <f>_xlfn.DAYS(Tabla1[[#This Row],[FECHA FIN ]],Tabla1[[#This Row],[FECHA INICIO]])</f>
        <v>11</v>
      </c>
      <c r="M4748" s="119">
        <f>947.24/4</f>
        <v>236.81</v>
      </c>
      <c r="N4748" s="131"/>
      <c r="O4748" s="131">
        <f>(Tabla1[[#This Row],[COSTO FIJO ]]/30)*Tabla1[[#This Row],[TOTAL DIAS PROYECTO]]+(Tabla1[[#This Row],[COSTO TEMPORAL]])</f>
        <v>236.81</v>
      </c>
      <c r="P4748" s="119"/>
      <c r="Q4748" s="119">
        <f>+(Tabla1[[#This Row],[COSTO COCHE]]/30)*Tabla1[[#This Row],[TOTAL DIAS PROYECTO]]</f>
        <v>0</v>
      </c>
      <c r="R4748" s="119">
        <f>+Tabla1[[#This Row],[COSTO TOTAL ALOJAMIENTO]]+Tabla1[[#This Row],[COSTO TOTAL COCHE]]</f>
        <v>236.81</v>
      </c>
      <c r="S4748" s="117" t="s">
        <v>403</v>
      </c>
      <c r="T4748" s="124" t="s">
        <v>44</v>
      </c>
      <c r="U4748" s="124">
        <v>46064</v>
      </c>
      <c r="V4748" s="132">
        <v>46074</v>
      </c>
      <c r="W4748" s="119"/>
      <c r="X4748" s="117"/>
      <c r="Y4748" s="118" t="s">
        <v>1361</v>
      </c>
      <c r="Z4748" s="117" t="s">
        <v>36</v>
      </c>
      <c r="AA4748" s="127" t="s">
        <v>10424</v>
      </c>
      <c r="AB4748" s="127">
        <v>398581</v>
      </c>
    </row>
    <row r="4749" spans="1:28" ht="15" customHeight="1">
      <c r="A4749" s="117" t="s">
        <v>9049</v>
      </c>
      <c r="B4749" s="117" t="s">
        <v>711</v>
      </c>
      <c r="C4749" s="309" t="s">
        <v>1808</v>
      </c>
      <c r="D4749" s="117" t="s">
        <v>30</v>
      </c>
      <c r="E4749" s="117" t="s">
        <v>1514</v>
      </c>
      <c r="F4749" s="11" t="s">
        <v>6773</v>
      </c>
      <c r="G4749" s="197" t="s">
        <v>6774</v>
      </c>
      <c r="H4749" s="117" t="s">
        <v>6775</v>
      </c>
      <c r="I4749" s="119" t="s">
        <v>118</v>
      </c>
      <c r="J4749" s="121">
        <f>+Tabla1[[#This Row],[FECHA ENTRADA]]</f>
        <v>46068</v>
      </c>
      <c r="K4749" s="121">
        <v>46075</v>
      </c>
      <c r="L4749" s="129">
        <f>_xlfn.DAYS(Tabla1[[#This Row],[FECHA FIN ]],Tabla1[[#This Row],[FECHA INICIO]])</f>
        <v>7</v>
      </c>
      <c r="M4749" s="119">
        <v>161</v>
      </c>
      <c r="N4749" s="131"/>
      <c r="O4749" s="131">
        <f>(Tabla1[[#This Row],[COSTO FIJO ]]/30)*Tabla1[[#This Row],[TOTAL DIAS PROYECTO]]+(Tabla1[[#This Row],[COSTO TEMPORAL]])</f>
        <v>161</v>
      </c>
      <c r="P4749" s="119"/>
      <c r="Q4749" s="119">
        <f>+(Tabla1[[#This Row],[COSTO COCHE]]/30)*Tabla1[[#This Row],[TOTAL DIAS PROYECTO]]</f>
        <v>0</v>
      </c>
      <c r="R4749" s="119">
        <f>+Tabla1[[#This Row],[COSTO TOTAL ALOJAMIENTO]]+Tabla1[[#This Row],[COSTO TOTAL COCHE]]</f>
        <v>161</v>
      </c>
      <c r="S4749" s="117"/>
      <c r="T4749" s="124" t="s">
        <v>44</v>
      </c>
      <c r="U4749" s="124">
        <v>46068</v>
      </c>
      <c r="V4749" s="132">
        <v>46074</v>
      </c>
      <c r="W4749" s="119"/>
      <c r="X4749" s="117"/>
      <c r="Y4749" s="118" t="s">
        <v>1361</v>
      </c>
      <c r="Z4749" s="117" t="s">
        <v>36</v>
      </c>
      <c r="AA4749" s="127" t="s">
        <v>10424</v>
      </c>
      <c r="AB4749" s="127">
        <v>398581</v>
      </c>
    </row>
    <row r="4750" spans="1:28" ht="15" customHeight="1">
      <c r="A4750" s="117" t="s">
        <v>9349</v>
      </c>
      <c r="B4750" s="117" t="s">
        <v>711</v>
      </c>
      <c r="C4750" s="309" t="s">
        <v>2900</v>
      </c>
      <c r="D4750" s="117" t="s">
        <v>30</v>
      </c>
      <c r="E4750" s="117" t="s">
        <v>1514</v>
      </c>
      <c r="F4750" s="11" t="s">
        <v>6773</v>
      </c>
      <c r="G4750" s="197" t="s">
        <v>6774</v>
      </c>
      <c r="H4750" s="117" t="s">
        <v>6775</v>
      </c>
      <c r="I4750" s="119" t="s">
        <v>118</v>
      </c>
      <c r="J4750" s="121">
        <f>+Tabla1[[#This Row],[FECHA ENTRADA]]</f>
        <v>46068</v>
      </c>
      <c r="K4750" s="121">
        <v>46074</v>
      </c>
      <c r="L4750" s="129">
        <f>_xlfn.DAYS(Tabla1[[#This Row],[FECHA FIN ]],Tabla1[[#This Row],[FECHA INICIO]])</f>
        <v>6</v>
      </c>
      <c r="M4750" s="119">
        <v>161</v>
      </c>
      <c r="N4750" s="131"/>
      <c r="O4750" s="131">
        <f>(Tabla1[[#This Row],[COSTO FIJO ]]/30)*Tabla1[[#This Row],[TOTAL DIAS PROYECTO]]+(Tabla1[[#This Row],[COSTO TEMPORAL]])</f>
        <v>161</v>
      </c>
      <c r="P4750" s="119"/>
      <c r="Q4750" s="119">
        <f>+(Tabla1[[#This Row],[COSTO COCHE]]/30)*Tabla1[[#This Row],[TOTAL DIAS PROYECTO]]</f>
        <v>0</v>
      </c>
      <c r="R4750" s="119">
        <f>+Tabla1[[#This Row],[COSTO TOTAL ALOJAMIENTO]]+Tabla1[[#This Row],[COSTO TOTAL COCHE]]</f>
        <v>161</v>
      </c>
      <c r="S4750" s="117"/>
      <c r="T4750" s="124" t="s">
        <v>44</v>
      </c>
      <c r="U4750" s="124">
        <v>46068</v>
      </c>
      <c r="V4750" s="132">
        <v>46074</v>
      </c>
      <c r="W4750" s="119"/>
      <c r="X4750" s="117"/>
      <c r="Y4750" s="118" t="s">
        <v>1361</v>
      </c>
      <c r="Z4750" s="117" t="s">
        <v>36</v>
      </c>
      <c r="AA4750" s="127" t="s">
        <v>10424</v>
      </c>
      <c r="AB4750" s="127">
        <v>398581</v>
      </c>
    </row>
    <row r="4751" spans="1:28" ht="15" customHeight="1">
      <c r="A4751" s="117" t="s">
        <v>8944</v>
      </c>
      <c r="B4751" s="117" t="s">
        <v>711</v>
      </c>
      <c r="C4751" s="118" t="s">
        <v>1382</v>
      </c>
      <c r="D4751" s="117" t="s">
        <v>99</v>
      </c>
      <c r="E4751" s="117" t="s">
        <v>1514</v>
      </c>
      <c r="F4751" s="11" t="s">
        <v>6813</v>
      </c>
      <c r="G4751" s="197" t="s">
        <v>6814</v>
      </c>
      <c r="H4751" s="117" t="s">
        <v>6800</v>
      </c>
      <c r="I4751" s="119" t="s">
        <v>118</v>
      </c>
      <c r="J4751" s="121">
        <f>+Tabla1[[#This Row],[FECHA ENTRADA]]</f>
        <v>46068</v>
      </c>
      <c r="K4751" s="121">
        <v>46075</v>
      </c>
      <c r="L4751" s="129">
        <f>_xlfn.DAYS(Tabla1[[#This Row],[FECHA FIN ]],Tabla1[[#This Row],[FECHA INICIO]])</f>
        <v>7</v>
      </c>
      <c r="M4751" s="119">
        <v>132</v>
      </c>
      <c r="N4751" s="130"/>
      <c r="O4751" s="131">
        <f>(Tabla1[[#This Row],[COSTO FIJO ]]/30)*Tabla1[[#This Row],[TOTAL DIAS PROYECTO]]+(Tabla1[[#This Row],[COSTO TEMPORAL]])</f>
        <v>132</v>
      </c>
      <c r="P4751" s="119"/>
      <c r="Q4751" s="119">
        <f>+(Tabla1[[#This Row],[COSTO COCHE]]/30)*Tabla1[[#This Row],[TOTAL DIAS PROYECTO]]</f>
        <v>0</v>
      </c>
      <c r="R4751" s="119">
        <f>+Tabla1[[#This Row],[COSTO TOTAL ALOJAMIENTO]]+Tabla1[[#This Row],[COSTO TOTAL COCHE]]</f>
        <v>132</v>
      </c>
      <c r="S4751" s="117"/>
      <c r="T4751" s="124" t="s">
        <v>44</v>
      </c>
      <c r="U4751" s="124">
        <v>46068</v>
      </c>
      <c r="V4751" s="132">
        <v>46074</v>
      </c>
      <c r="W4751" s="119"/>
      <c r="X4751" s="117"/>
      <c r="Y4751" s="118" t="s">
        <v>6854</v>
      </c>
      <c r="Z4751" s="117" t="s">
        <v>36</v>
      </c>
      <c r="AA4751" s="127" t="s">
        <v>10424</v>
      </c>
      <c r="AB4751" s="127">
        <v>398581</v>
      </c>
    </row>
    <row r="4752" spans="1:28" ht="15.75" customHeight="1">
      <c r="A4752" s="117" t="s">
        <v>10117</v>
      </c>
      <c r="B4752" s="117" t="s">
        <v>711</v>
      </c>
      <c r="C4752" s="118" t="s">
        <v>6481</v>
      </c>
      <c r="D4752" s="117" t="s">
        <v>30</v>
      </c>
      <c r="E4752" s="117" t="s">
        <v>1514</v>
      </c>
      <c r="F4752" s="11" t="s">
        <v>6773</v>
      </c>
      <c r="G4752" s="197" t="s">
        <v>6774</v>
      </c>
      <c r="H4752" s="117" t="s">
        <v>6800</v>
      </c>
      <c r="I4752" s="119" t="s">
        <v>118</v>
      </c>
      <c r="J4752" s="121">
        <f>+Tabla1[[#This Row],[FECHA ENTRADA]]</f>
        <v>46068</v>
      </c>
      <c r="K4752" s="121">
        <v>46075</v>
      </c>
      <c r="L4752" s="129">
        <f>_xlfn.DAYS(Tabla1[[#This Row],[FECHA FIN ]],Tabla1[[#This Row],[FECHA INICIO]])</f>
        <v>7</v>
      </c>
      <c r="M4752" s="119">
        <v>69</v>
      </c>
      <c r="N4752" s="130"/>
      <c r="O4752" s="131">
        <f>(Tabla1[[#This Row],[COSTO FIJO ]]/30)*Tabla1[[#This Row],[TOTAL DIAS PROYECTO]]+(Tabla1[[#This Row],[COSTO TEMPORAL]])</f>
        <v>69</v>
      </c>
      <c r="P4752" s="119"/>
      <c r="Q4752" s="119">
        <f>+(Tabla1[[#This Row],[COSTO COCHE]]/30)*Tabla1[[#This Row],[TOTAL DIAS PROYECTO]]</f>
        <v>0</v>
      </c>
      <c r="R4752" s="119">
        <f>+Tabla1[[#This Row],[COSTO TOTAL ALOJAMIENTO]]+Tabla1[[#This Row],[COSTO TOTAL COCHE]]</f>
        <v>69</v>
      </c>
      <c r="S4752" s="117"/>
      <c r="T4752" s="124" t="s">
        <v>44</v>
      </c>
      <c r="U4752" s="124">
        <v>46068</v>
      </c>
      <c r="V4752" s="132">
        <v>46074</v>
      </c>
      <c r="W4752" s="119"/>
      <c r="X4752" s="117"/>
      <c r="Y4752" s="118" t="s">
        <v>6855</v>
      </c>
      <c r="Z4752" s="117" t="s">
        <v>36</v>
      </c>
      <c r="AA4752" s="127" t="s">
        <v>10424</v>
      </c>
      <c r="AB4752" s="127">
        <v>398581</v>
      </c>
    </row>
    <row r="4753" spans="1:28" ht="15.75" customHeight="1">
      <c r="A4753" s="2" t="s">
        <v>9086</v>
      </c>
      <c r="B4753" s="2" t="s">
        <v>711</v>
      </c>
      <c r="C4753" s="11" t="s">
        <v>1960</v>
      </c>
      <c r="D4753" s="2" t="s">
        <v>72</v>
      </c>
      <c r="E4753" s="2" t="s">
        <v>1955</v>
      </c>
      <c r="F4753" s="11" t="s">
        <v>3627</v>
      </c>
      <c r="G4753" s="46" t="s">
        <v>6444</v>
      </c>
      <c r="H4753" s="2" t="s">
        <v>1958</v>
      </c>
      <c r="I4753" s="12" t="s">
        <v>1959</v>
      </c>
      <c r="J4753" s="41">
        <f>+Tabla1[[#This Row],[FECHA ENTRADA]]</f>
        <v>45891</v>
      </c>
      <c r="K4753" s="41">
        <v>46075</v>
      </c>
      <c r="L4753" s="42">
        <f>_xlfn.DAYS(Tabla1[[#This Row],[FECHA FIN ]],Tabla1[[#This Row],[FECHA INICIO]])</f>
        <v>184</v>
      </c>
      <c r="M4753" s="12">
        <f>8411.19/2</f>
        <v>4205.5950000000003</v>
      </c>
      <c r="N4753" s="28"/>
      <c r="O4753" s="28">
        <f>(Tabla1[[#This Row],[COSTO FIJO ]]/30)*Tabla1[[#This Row],[TOTAL DIAS PROYECTO]]+(Tabla1[[#This Row],[COSTO TEMPORAL]])</f>
        <v>4205.5950000000003</v>
      </c>
      <c r="P4753" s="12"/>
      <c r="Q4753" s="12">
        <f>+(Tabla1[[#This Row],[COSTO COCHE]]/30)*Tabla1[[#This Row],[TOTAL DIAS PROYECTO]]</f>
        <v>0</v>
      </c>
      <c r="R4753" s="12">
        <f>+Tabla1[[#This Row],[COSTO TOTAL ALOJAMIENTO]]+Tabla1[[#This Row],[COSTO TOTAL COCHE]]</f>
        <v>4205.5950000000003</v>
      </c>
      <c r="S4753" s="2" t="s">
        <v>84</v>
      </c>
      <c r="T4753" s="2" t="s">
        <v>528</v>
      </c>
      <c r="U4753" s="14">
        <v>45891</v>
      </c>
      <c r="V4753" s="79">
        <v>46075</v>
      </c>
      <c r="W4753" s="12"/>
      <c r="X4753" s="2"/>
      <c r="Y4753" s="11" t="s">
        <v>6856</v>
      </c>
      <c r="Z4753" s="2" t="s">
        <v>36</v>
      </c>
      <c r="AA4753" s="13" t="s">
        <v>10433</v>
      </c>
      <c r="AB4753" s="13" t="s">
        <v>10434</v>
      </c>
    </row>
    <row r="4754" spans="1:28" ht="15.75" customHeight="1">
      <c r="A4754" s="2" t="s">
        <v>9891</v>
      </c>
      <c r="B4754" s="2" t="s">
        <v>606</v>
      </c>
      <c r="C4754" s="97" t="s">
        <v>5232</v>
      </c>
      <c r="D4754" s="2" t="s">
        <v>99</v>
      </c>
      <c r="E4754" s="2" t="s">
        <v>55</v>
      </c>
      <c r="F4754" s="11" t="s">
        <v>6694</v>
      </c>
      <c r="G4754" s="291" t="s">
        <v>106</v>
      </c>
      <c r="H4754" s="2" t="s">
        <v>6857</v>
      </c>
      <c r="I4754" s="12" t="s">
        <v>4120</v>
      </c>
      <c r="J4754" s="22">
        <f>+Tabla1[[#This Row],[FECHA ENTRADA]]</f>
        <v>46057</v>
      </c>
      <c r="K4754" s="22">
        <v>46076</v>
      </c>
      <c r="L4754" s="23">
        <f>_xlfn.DAYS(Tabla1[[#This Row],[FECHA FIN ]],Tabla1[[#This Row],[FECHA INICIO]])</f>
        <v>19</v>
      </c>
      <c r="M4754" s="12"/>
      <c r="N4754" s="24">
        <v>500</v>
      </c>
      <c r="O4754" s="24">
        <f>(Tabla1[[#This Row],[COSTO FIJO ]]/30)*Tabla1[[#This Row],[TOTAL DIAS PROYECTO]]+(Tabla1[[#This Row],[COSTO TEMPORAL]])</f>
        <v>316.66666666666669</v>
      </c>
      <c r="P4754" s="12"/>
      <c r="Q4754" s="12">
        <f>+(Tabla1[[#This Row],[COSTO COCHE]]/30)*Tabla1[[#This Row],[TOTAL DIAS PROYECTO]]</f>
        <v>0</v>
      </c>
      <c r="R4754" s="12">
        <f>+Tabla1[[#This Row],[COSTO TOTAL ALOJAMIENTO]]+Tabla1[[#This Row],[COSTO TOTAL COCHE]]</f>
        <v>316.66666666666669</v>
      </c>
      <c r="S4754" s="2"/>
      <c r="T4754" s="14" t="s">
        <v>35</v>
      </c>
      <c r="U4754" s="14">
        <v>46057</v>
      </c>
      <c r="V4754" s="25"/>
      <c r="W4754" s="12"/>
      <c r="X4754" s="2">
        <v>1</v>
      </c>
      <c r="Y4754" s="178" t="s">
        <v>6858</v>
      </c>
      <c r="Z4754" s="2" t="s">
        <v>36</v>
      </c>
      <c r="AA4754" s="13" t="s">
        <v>10327</v>
      </c>
      <c r="AB4754" s="13" t="s">
        <v>10328</v>
      </c>
    </row>
    <row r="4755" spans="1:28" ht="15" customHeight="1">
      <c r="A4755" s="2" t="s">
        <v>9973</v>
      </c>
      <c r="B4755" s="2" t="s">
        <v>978</v>
      </c>
      <c r="C4755" s="11" t="s">
        <v>5792</v>
      </c>
      <c r="D4755" s="2" t="s">
        <v>30</v>
      </c>
      <c r="E4755" s="2" t="s">
        <v>259</v>
      </c>
      <c r="F4755" s="11" t="s">
        <v>1106</v>
      </c>
      <c r="G4755" s="21"/>
      <c r="H4755" s="2" t="s">
        <v>6611</v>
      </c>
      <c r="I4755" s="12" t="s">
        <v>4255</v>
      </c>
      <c r="J4755" s="22">
        <f>+Tabla1[[#This Row],[FECHA ENTRADA]]</f>
        <v>46040</v>
      </c>
      <c r="K4755" s="22">
        <v>46076</v>
      </c>
      <c r="L4755" s="23">
        <f>_xlfn.DAYS(Tabla1[[#This Row],[FECHA FIN ]],Tabla1[[#This Row],[FECHA INICIO]])</f>
        <v>36</v>
      </c>
      <c r="M4755" s="12"/>
      <c r="N4755" s="20"/>
      <c r="O4755" s="24">
        <f>(Tabla1[[#This Row],[COSTO FIJO ]]/30)*Tabla1[[#This Row],[TOTAL DIAS PROYECTO]]+(Tabla1[[#This Row],[COSTO TEMPORAL]])</f>
        <v>0</v>
      </c>
      <c r="P4755" s="12"/>
      <c r="Q4755" s="12">
        <f>+(Tabla1[[#This Row],[COSTO COCHE]]/30)*Tabla1[[#This Row],[TOTAL DIAS PROYECTO]]</f>
        <v>0</v>
      </c>
      <c r="R4755" s="12">
        <f>+Tabla1[[#This Row],[COSTO TOTAL ALOJAMIENTO]]+Tabla1[[#This Row],[COSTO TOTAL COCHE]]</f>
        <v>0</v>
      </c>
      <c r="S4755" s="2"/>
      <c r="T4755" s="2" t="s">
        <v>8</v>
      </c>
      <c r="U4755" s="14">
        <v>46040</v>
      </c>
      <c r="V4755" s="79">
        <v>46063</v>
      </c>
      <c r="W4755" s="12"/>
      <c r="X4755" s="2"/>
      <c r="Y4755" s="11" t="s">
        <v>6859</v>
      </c>
      <c r="Z4755" s="2" t="s">
        <v>36</v>
      </c>
      <c r="AA4755" s="13">
        <v>-0.87734000000000001</v>
      </c>
      <c r="AB4755" s="13" t="s">
        <v>10359</v>
      </c>
    </row>
    <row r="4756" spans="1:28" ht="15" customHeight="1">
      <c r="A4756" s="2" t="s">
        <v>9476</v>
      </c>
      <c r="B4756" s="2" t="s">
        <v>978</v>
      </c>
      <c r="C4756" s="11" t="s">
        <v>3330</v>
      </c>
      <c r="D4756" s="2" t="s">
        <v>30</v>
      </c>
      <c r="E4756" s="2" t="s">
        <v>259</v>
      </c>
      <c r="F4756" s="11" t="s">
        <v>1106</v>
      </c>
      <c r="G4756" s="21"/>
      <c r="H4756" s="2" t="s">
        <v>6611</v>
      </c>
      <c r="I4756" s="12" t="s">
        <v>4255</v>
      </c>
      <c r="J4756" s="22">
        <f>+Tabla1[[#This Row],[FECHA ENTRADA]]</f>
        <v>46040</v>
      </c>
      <c r="K4756" s="22">
        <v>46076</v>
      </c>
      <c r="L4756" s="23">
        <f>_xlfn.DAYS(Tabla1[[#This Row],[FECHA FIN ]],Tabla1[[#This Row],[FECHA INICIO]])</f>
        <v>36</v>
      </c>
      <c r="M4756" s="12"/>
      <c r="N4756" s="20"/>
      <c r="O4756" s="24">
        <f>(Tabla1[[#This Row],[COSTO FIJO ]]/30)*Tabla1[[#This Row],[TOTAL DIAS PROYECTO]]+(Tabla1[[#This Row],[COSTO TEMPORAL]])</f>
        <v>0</v>
      </c>
      <c r="P4756" s="12"/>
      <c r="Q4756" s="12">
        <f>+(Tabla1[[#This Row],[COSTO COCHE]]/30)*Tabla1[[#This Row],[TOTAL DIAS PROYECTO]]</f>
        <v>0</v>
      </c>
      <c r="R4756" s="12">
        <f>+Tabla1[[#This Row],[COSTO TOTAL ALOJAMIENTO]]+Tabla1[[#This Row],[COSTO TOTAL COCHE]]</f>
        <v>0</v>
      </c>
      <c r="S4756" s="2"/>
      <c r="T4756" s="2" t="s">
        <v>8</v>
      </c>
      <c r="U4756" s="14">
        <v>46040</v>
      </c>
      <c r="V4756" s="79">
        <v>46063</v>
      </c>
      <c r="W4756" s="12"/>
      <c r="X4756" s="2"/>
      <c r="Y4756" s="11" t="s">
        <v>6859</v>
      </c>
      <c r="Z4756" s="2" t="s">
        <v>36</v>
      </c>
      <c r="AA4756" s="13">
        <v>-0.87734000000000001</v>
      </c>
      <c r="AB4756" s="13" t="s">
        <v>10359</v>
      </c>
    </row>
    <row r="4757" spans="1:28" ht="15" customHeight="1">
      <c r="A4757" s="2" t="s">
        <v>9308</v>
      </c>
      <c r="B4757" s="2" t="s">
        <v>28</v>
      </c>
      <c r="C4757" s="31" t="s">
        <v>2777</v>
      </c>
      <c r="D4757" s="2" t="s">
        <v>30</v>
      </c>
      <c r="E4757" s="2" t="s">
        <v>422</v>
      </c>
      <c r="F4757" s="11" t="s">
        <v>956</v>
      </c>
      <c r="G4757" s="11" t="s">
        <v>957</v>
      </c>
      <c r="H4757" s="2" t="s">
        <v>6253</v>
      </c>
      <c r="I4757" s="12" t="s">
        <v>4327</v>
      </c>
      <c r="J4757" s="22">
        <f>+Tabla1[[#This Row],[FECHA ENTRADA]]</f>
        <v>45886</v>
      </c>
      <c r="K4757" s="22">
        <v>45992</v>
      </c>
      <c r="L4757" s="23">
        <f>_xlfn.DAYS(Tabla1[[#This Row],[FECHA FIN ]],Tabla1[[#This Row],[FECHA INICIO]])</f>
        <v>106</v>
      </c>
      <c r="M4757" s="12"/>
      <c r="N4757" s="28">
        <v>275</v>
      </c>
      <c r="O4757" s="24">
        <f>(Tabla1[[#This Row],[COSTO FIJO ]]/30)*Tabla1[[#This Row],[TOTAL DIAS PROYECTO]]+(Tabla1[[#This Row],[COSTO TEMPORAL]])</f>
        <v>971.66666666666663</v>
      </c>
      <c r="P4757" s="12"/>
      <c r="Q4757" s="12">
        <f>+(Tabla1[[#This Row],[COSTO COCHE]]/30)*Tabla1[[#This Row],[TOTAL DIAS PROYECTO]]</f>
        <v>0</v>
      </c>
      <c r="R4757" s="12">
        <f>+Tabla1[[#This Row],[COSTO TOTAL ALOJAMIENTO]]+Tabla1[[#This Row],[COSTO TOTAL COCHE]]</f>
        <v>971.66666666666663</v>
      </c>
      <c r="S4757" s="2"/>
      <c r="T4757" s="14" t="s">
        <v>35</v>
      </c>
      <c r="U4757" s="14">
        <v>45886</v>
      </c>
      <c r="V4757" s="25"/>
      <c r="W4757" s="12"/>
      <c r="X4757" s="2">
        <v>5</v>
      </c>
      <c r="Y4757" s="11" t="s">
        <v>6860</v>
      </c>
      <c r="Z4757" s="2" t="s">
        <v>36</v>
      </c>
      <c r="AA4757" s="13">
        <v>-326.69799999999998</v>
      </c>
      <c r="AB4757" s="13" t="s">
        <v>10373</v>
      </c>
    </row>
    <row r="4758" spans="1:28" ht="15" customHeight="1">
      <c r="A4758" s="2" t="s">
        <v>10116</v>
      </c>
      <c r="B4758" s="2" t="s">
        <v>606</v>
      </c>
      <c r="C4758" s="31" t="s">
        <v>6472</v>
      </c>
      <c r="D4758" s="2" t="s">
        <v>99</v>
      </c>
      <c r="E4758" s="2" t="s">
        <v>31</v>
      </c>
      <c r="F4758" s="11" t="s">
        <v>451</v>
      </c>
      <c r="G4758" s="118" t="s">
        <v>452</v>
      </c>
      <c r="H4758" s="2" t="s">
        <v>6619</v>
      </c>
      <c r="I4758" s="12" t="s">
        <v>6620</v>
      </c>
      <c r="J4758" s="22">
        <f>+Tabla1[[#This Row],[FECHA ENTRADA]]</f>
        <v>46040</v>
      </c>
      <c r="K4758" s="22">
        <v>46133</v>
      </c>
      <c r="L4758" s="23">
        <f>_xlfn.DAYS(Tabla1[[#This Row],[FECHA FIN ]],Tabla1[[#This Row],[FECHA INICIO]])</f>
        <v>93</v>
      </c>
      <c r="M4758" s="12"/>
      <c r="N4758" s="12">
        <v>283.33333333333331</v>
      </c>
      <c r="O4758" s="24">
        <f>(Tabla1[[#This Row],[COSTO FIJO ]]/30)*Tabla1[[#This Row],[TOTAL DIAS PROYECTO]]+(Tabla1[[#This Row],[COSTO TEMPORAL]])</f>
        <v>878.33333333333337</v>
      </c>
      <c r="P4758" s="12"/>
      <c r="Q4758" s="12">
        <f>+(Tabla1[[#This Row],[COSTO COCHE]]/30)*Tabla1[[#This Row],[TOTAL DIAS PROYECTO]]</f>
        <v>0</v>
      </c>
      <c r="R4758" s="12">
        <f>+Tabla1[[#This Row],[COSTO TOTAL ALOJAMIENTO]]+Tabla1[[#This Row],[COSTO TOTAL COCHE]]</f>
        <v>878.33333333333337</v>
      </c>
      <c r="S4758" s="2"/>
      <c r="T4758" s="14" t="s">
        <v>35</v>
      </c>
      <c r="U4758" s="14">
        <v>46040</v>
      </c>
      <c r="V4758" s="79"/>
      <c r="W4758" s="12">
        <v>1700</v>
      </c>
      <c r="X4758" s="2">
        <v>1</v>
      </c>
      <c r="Y4758" s="11" t="s">
        <v>6861</v>
      </c>
      <c r="Z4758" s="2" t="s">
        <v>36</v>
      </c>
      <c r="AA4758" s="13" t="s">
        <v>10323</v>
      </c>
      <c r="AB4758" s="13" t="s">
        <v>10324</v>
      </c>
    </row>
    <row r="4759" spans="1:28" ht="15" customHeight="1">
      <c r="A4759" s="2" t="s">
        <v>8896</v>
      </c>
      <c r="B4759" s="2" t="s">
        <v>978</v>
      </c>
      <c r="C4759" s="11" t="s">
        <v>1194</v>
      </c>
      <c r="D4759" s="2" t="s">
        <v>30</v>
      </c>
      <c r="E4759" s="2" t="s">
        <v>259</v>
      </c>
      <c r="F4759" s="11" t="s">
        <v>1106</v>
      </c>
      <c r="G4759" s="21"/>
      <c r="H4759" s="2" t="s">
        <v>6616</v>
      </c>
      <c r="I4759" s="12" t="s">
        <v>4255</v>
      </c>
      <c r="J4759" s="22">
        <f>+Tabla1[[#This Row],[FECHA ENTRADA]]</f>
        <v>46040</v>
      </c>
      <c r="K4759" s="22">
        <v>46076</v>
      </c>
      <c r="L4759" s="23">
        <f>_xlfn.DAYS(Tabla1[[#This Row],[FECHA FIN ]],Tabla1[[#This Row],[FECHA INICIO]])</f>
        <v>36</v>
      </c>
      <c r="M4759" s="12"/>
      <c r="N4759" s="20"/>
      <c r="O4759" s="24">
        <f>(Tabla1[[#This Row],[COSTO FIJO ]]/30)*Tabla1[[#This Row],[TOTAL DIAS PROYECTO]]+(Tabla1[[#This Row],[COSTO TEMPORAL]])</f>
        <v>0</v>
      </c>
      <c r="P4759" s="12"/>
      <c r="Q4759" s="12">
        <f>+(Tabla1[[#This Row],[COSTO COCHE]]/30)*Tabla1[[#This Row],[TOTAL DIAS PROYECTO]]</f>
        <v>0</v>
      </c>
      <c r="R4759" s="12">
        <f>+Tabla1[[#This Row],[COSTO TOTAL ALOJAMIENTO]]+Tabla1[[#This Row],[COSTO TOTAL COCHE]]</f>
        <v>0</v>
      </c>
      <c r="S4759" s="2"/>
      <c r="T4759" s="2" t="s">
        <v>8</v>
      </c>
      <c r="U4759" s="14">
        <v>46040</v>
      </c>
      <c r="V4759" s="79">
        <v>46063</v>
      </c>
      <c r="W4759" s="12"/>
      <c r="X4759" s="2"/>
      <c r="Y4759" s="11" t="s">
        <v>6859</v>
      </c>
      <c r="Z4759" s="2" t="s">
        <v>36</v>
      </c>
      <c r="AA4759" s="13">
        <v>-0.87734000000000001</v>
      </c>
      <c r="AB4759" s="13" t="s">
        <v>10359</v>
      </c>
    </row>
    <row r="4760" spans="1:28" ht="15" customHeight="1">
      <c r="A4760" s="2" t="s">
        <v>10165</v>
      </c>
      <c r="B4760" s="2" t="s">
        <v>606</v>
      </c>
      <c r="C4760" s="69" t="s">
        <v>6862</v>
      </c>
      <c r="D4760" s="2" t="s">
        <v>30</v>
      </c>
      <c r="E4760" s="2" t="s">
        <v>6863</v>
      </c>
      <c r="F4760" s="11" t="s">
        <v>1733</v>
      </c>
      <c r="G4760" s="21" t="s">
        <v>1734</v>
      </c>
      <c r="H4760" s="2" t="s">
        <v>5151</v>
      </c>
      <c r="I4760" s="12" t="s">
        <v>1043</v>
      </c>
      <c r="J4760" s="22">
        <f>+Tabla1[[#This Row],[FECHA ENTRADA]]</f>
        <v>45720</v>
      </c>
      <c r="K4760" s="22">
        <v>46076</v>
      </c>
      <c r="L4760" s="23">
        <f>_xlfn.DAYS(Tabla1[[#This Row],[FECHA FIN ]],Tabla1[[#This Row],[FECHA INICIO]])</f>
        <v>356</v>
      </c>
      <c r="M4760" s="12"/>
      <c r="N4760" s="12">
        <f>1461.19/3</f>
        <v>487.06333333333333</v>
      </c>
      <c r="O4760" s="24">
        <f>(Tabla1[[#This Row],[COSTO FIJO ]]/30)*Tabla1[[#This Row],[TOTAL DIAS PROYECTO]]+(Tabla1[[#This Row],[COSTO TEMPORAL]])</f>
        <v>5779.8182222222222</v>
      </c>
      <c r="P4760" s="12"/>
      <c r="Q4760" s="12">
        <f>+(Tabla1[[#This Row],[COSTO COCHE]]/30)*Tabla1[[#This Row],[TOTAL DIAS PROYECTO]]</f>
        <v>0</v>
      </c>
      <c r="R4760" s="12">
        <f>+Tabla1[[#This Row],[COSTO TOTAL ALOJAMIENTO]]+Tabla1[[#This Row],[COSTO TOTAL COCHE]]</f>
        <v>5779.8182222222222</v>
      </c>
      <c r="S4760" s="2"/>
      <c r="T4760" s="2" t="s">
        <v>35</v>
      </c>
      <c r="U4760" s="14">
        <v>45720</v>
      </c>
      <c r="V4760" s="25"/>
      <c r="W4760" s="26">
        <v>200</v>
      </c>
      <c r="X4760" s="2">
        <v>20</v>
      </c>
      <c r="Y4760" s="11"/>
      <c r="Z4760" s="2" t="s">
        <v>36</v>
      </c>
      <c r="AA4760" s="13" t="e">
        <v>#N/A</v>
      </c>
      <c r="AB4760" s="13" t="e">
        <v>#N/A</v>
      </c>
    </row>
    <row r="4761" spans="1:28" ht="15" customHeight="1">
      <c r="A4761" s="2" t="s">
        <v>10166</v>
      </c>
      <c r="B4761" s="2" t="s">
        <v>606</v>
      </c>
      <c r="C4761" s="31" t="s">
        <v>6864</v>
      </c>
      <c r="D4761" s="2" t="s">
        <v>99</v>
      </c>
      <c r="E4761" s="2" t="s">
        <v>31</v>
      </c>
      <c r="F4761" s="11" t="s">
        <v>5279</v>
      </c>
      <c r="G4761" s="49" t="s">
        <v>5280</v>
      </c>
      <c r="H4761" s="2" t="s">
        <v>6865</v>
      </c>
      <c r="I4761" s="12" t="s">
        <v>6866</v>
      </c>
      <c r="J4761" s="22">
        <f>+Tabla1[[#This Row],[FECHA ENTRADA]]</f>
        <v>46047</v>
      </c>
      <c r="K4761" s="41">
        <v>46076</v>
      </c>
      <c r="L4761" s="23">
        <f>_xlfn.DAYS(Tabla1[[#This Row],[FECHA FIN ]],Tabla1[[#This Row],[FECHA INICIO]])</f>
        <v>29</v>
      </c>
      <c r="M4761" s="12"/>
      <c r="N4761" s="20">
        <v>370</v>
      </c>
      <c r="O4761" s="24">
        <f>(Tabla1[[#This Row],[COSTO FIJO ]]/30)*Tabla1[[#This Row],[TOTAL DIAS PROYECTO]]+(Tabla1[[#This Row],[COSTO TEMPORAL]])</f>
        <v>357.66666666666669</v>
      </c>
      <c r="P4761" s="12"/>
      <c r="Q4761" s="12">
        <f>+(Tabla1[[#This Row],[COSTO COCHE]]/30)*Tabla1[[#This Row],[TOTAL DIAS PROYECTO]]</f>
        <v>0</v>
      </c>
      <c r="R4761" s="12">
        <f>+Tabla1[[#This Row],[COSTO TOTAL ALOJAMIENTO]]+Tabla1[[#This Row],[COSTO TOTAL COCHE]]</f>
        <v>357.66666666666669</v>
      </c>
      <c r="S4761" s="2"/>
      <c r="T4761" s="14" t="s">
        <v>35</v>
      </c>
      <c r="U4761" s="14">
        <v>46047</v>
      </c>
      <c r="V4761" s="79"/>
      <c r="W4761" s="12"/>
      <c r="X4761" s="2">
        <v>18</v>
      </c>
      <c r="Y4761" s="11" t="s">
        <v>6867</v>
      </c>
      <c r="Z4761" s="2" t="s">
        <v>36</v>
      </c>
      <c r="AA4761" s="13" t="s">
        <v>10323</v>
      </c>
      <c r="AB4761" s="13" t="s">
        <v>10324</v>
      </c>
    </row>
    <row r="4762" spans="1:28" ht="15" customHeight="1">
      <c r="A4762" s="2" t="s">
        <v>10167</v>
      </c>
      <c r="B4762" s="2" t="s">
        <v>606</v>
      </c>
      <c r="C4762" s="31" t="s">
        <v>6868</v>
      </c>
      <c r="D4762" s="2" t="s">
        <v>99</v>
      </c>
      <c r="E4762" s="2" t="s">
        <v>31</v>
      </c>
      <c r="F4762" s="11" t="s">
        <v>1450</v>
      </c>
      <c r="G4762" s="11" t="s">
        <v>1451</v>
      </c>
      <c r="H4762" s="2" t="s">
        <v>6464</v>
      </c>
      <c r="I4762" s="12" t="s">
        <v>2062</v>
      </c>
      <c r="J4762" s="41">
        <f>+Tabla1[[#This Row],[FECHA ENTRADA]]</f>
        <v>46057</v>
      </c>
      <c r="K4762" s="22">
        <v>46077</v>
      </c>
      <c r="L4762" s="42">
        <f>_xlfn.DAYS(Tabla1[[#This Row],[FECHA FIN ]],Tabla1[[#This Row],[FECHA INICIO]])</f>
        <v>20</v>
      </c>
      <c r="M4762" s="12"/>
      <c r="N4762" s="20">
        <f>978.63/4</f>
        <v>244.6575</v>
      </c>
      <c r="O4762" s="28">
        <f>(Tabla1[[#This Row],[COSTO FIJO ]]/30)*Tabla1[[#This Row],[TOTAL DIAS PROYECTO]]+(Tabla1[[#This Row],[COSTO TEMPORAL]])</f>
        <v>163.10500000000002</v>
      </c>
      <c r="P4762" s="12"/>
      <c r="Q4762" s="12">
        <f>+(Tabla1[[#This Row],[COSTO COCHE]]/30)*Tabla1[[#This Row],[TOTAL DIAS PROYECTO]]</f>
        <v>0</v>
      </c>
      <c r="R4762" s="12">
        <f>+Tabla1[[#This Row],[COSTO TOTAL ALOJAMIENTO]]+Tabla1[[#This Row],[COSTO TOTAL COCHE]]</f>
        <v>163.10500000000002</v>
      </c>
      <c r="S4762" s="2"/>
      <c r="T4762" s="14" t="s">
        <v>35</v>
      </c>
      <c r="U4762" s="14">
        <v>46057</v>
      </c>
      <c r="V4762" s="43"/>
      <c r="W4762" s="12"/>
      <c r="X4762" s="2">
        <v>1</v>
      </c>
      <c r="Y4762" s="202" t="s">
        <v>6869</v>
      </c>
      <c r="Z4762" s="2" t="s">
        <v>36</v>
      </c>
      <c r="AA4762" s="13" t="s">
        <v>10323</v>
      </c>
      <c r="AB4762" s="13" t="s">
        <v>10324</v>
      </c>
    </row>
    <row r="4763" spans="1:28" ht="15" customHeight="1">
      <c r="A4763" s="2" t="s">
        <v>10168</v>
      </c>
      <c r="B4763" s="2" t="s">
        <v>606</v>
      </c>
      <c r="C4763" s="31" t="s">
        <v>6870</v>
      </c>
      <c r="D4763" s="2" t="s">
        <v>99</v>
      </c>
      <c r="E4763" s="2" t="s">
        <v>31</v>
      </c>
      <c r="F4763" s="11" t="s">
        <v>1450</v>
      </c>
      <c r="G4763" s="11" t="s">
        <v>1451</v>
      </c>
      <c r="H4763" s="2" t="s">
        <v>6464</v>
      </c>
      <c r="I4763" s="12" t="s">
        <v>2062</v>
      </c>
      <c r="J4763" s="41">
        <f>+Tabla1[[#This Row],[FECHA ENTRADA]]</f>
        <v>46057</v>
      </c>
      <c r="K4763" s="22">
        <v>46077</v>
      </c>
      <c r="L4763" s="42">
        <f>_xlfn.DAYS(Tabla1[[#This Row],[FECHA FIN ]],Tabla1[[#This Row],[FECHA INICIO]])</f>
        <v>20</v>
      </c>
      <c r="M4763" s="12"/>
      <c r="N4763" s="20">
        <f>978.63/4</f>
        <v>244.6575</v>
      </c>
      <c r="O4763" s="28">
        <f>(Tabla1[[#This Row],[COSTO FIJO ]]/30)*Tabla1[[#This Row],[TOTAL DIAS PROYECTO]]+(Tabla1[[#This Row],[COSTO TEMPORAL]])</f>
        <v>163.10500000000002</v>
      </c>
      <c r="P4763" s="12"/>
      <c r="Q4763" s="12">
        <f>+(Tabla1[[#This Row],[COSTO COCHE]]/30)*Tabla1[[#This Row],[TOTAL DIAS PROYECTO]]</f>
        <v>0</v>
      </c>
      <c r="R4763" s="12">
        <f>+Tabla1[[#This Row],[COSTO TOTAL ALOJAMIENTO]]+Tabla1[[#This Row],[COSTO TOTAL COCHE]]</f>
        <v>163.10500000000002</v>
      </c>
      <c r="S4763" s="2"/>
      <c r="T4763" s="14" t="s">
        <v>35</v>
      </c>
      <c r="U4763" s="14">
        <v>46057</v>
      </c>
      <c r="V4763" s="43"/>
      <c r="W4763" s="12"/>
      <c r="X4763" s="2">
        <v>1</v>
      </c>
      <c r="Y4763" s="202" t="s">
        <v>6869</v>
      </c>
      <c r="Z4763" s="2" t="s">
        <v>36</v>
      </c>
      <c r="AA4763" s="13" t="s">
        <v>10323</v>
      </c>
      <c r="AB4763" s="13" t="s">
        <v>10324</v>
      </c>
    </row>
    <row r="4764" spans="1:28" ht="15" customHeight="1">
      <c r="A4764" s="2" t="s">
        <v>9825</v>
      </c>
      <c r="B4764" s="2" t="s">
        <v>606</v>
      </c>
      <c r="C4764" s="31" t="s">
        <v>4925</v>
      </c>
      <c r="D4764" s="2" t="s">
        <v>30</v>
      </c>
      <c r="E4764" s="2" t="s">
        <v>31</v>
      </c>
      <c r="F4764" s="11" t="s">
        <v>32</v>
      </c>
      <c r="G4764" s="11" t="s">
        <v>33</v>
      </c>
      <c r="H4764" s="2" t="s">
        <v>4926</v>
      </c>
      <c r="I4764" s="12" t="s">
        <v>412</v>
      </c>
      <c r="J4764" s="41">
        <f>+Tabla1[[#This Row],[FECHA ENTRADA]]</f>
        <v>46112</v>
      </c>
      <c r="K4764" s="22">
        <v>46117</v>
      </c>
      <c r="L4764" s="42">
        <f>_xlfn.DAYS(Tabla1[[#This Row],[FECHA FIN ]],Tabla1[[#This Row],[FECHA INICIO]])</f>
        <v>5</v>
      </c>
      <c r="M4764" s="12"/>
      <c r="N4764" s="12">
        <f>875.5/4</f>
        <v>218.875</v>
      </c>
      <c r="O4764" s="28">
        <f>(Tabla1[[#This Row],[COSTO FIJO ]]/30)*Tabla1[[#This Row],[TOTAL DIAS PROYECTO]]+(Tabla1[[#This Row],[COSTO TEMPORAL]])</f>
        <v>36.479166666666664</v>
      </c>
      <c r="P4764" s="12"/>
      <c r="Q4764" s="12">
        <f>+(Tabla1[[#This Row],[COSTO COCHE]]/30)*Tabla1[[#This Row],[TOTAL DIAS PROYECTO]]</f>
        <v>0</v>
      </c>
      <c r="R4764" s="12">
        <f>+Tabla1[[#This Row],[COSTO TOTAL ALOJAMIENTO]]+Tabla1[[#This Row],[COSTO TOTAL COCHE]]</f>
        <v>36.479166666666664</v>
      </c>
      <c r="S4764" s="2"/>
      <c r="T4764" s="14" t="s">
        <v>35</v>
      </c>
      <c r="U4764" s="14">
        <v>46112</v>
      </c>
      <c r="V4764" s="43"/>
      <c r="W4764" s="12"/>
      <c r="X4764" s="2">
        <v>1</v>
      </c>
      <c r="Y4764" s="11" t="s">
        <v>6871</v>
      </c>
      <c r="Z4764" s="2" t="s">
        <v>36</v>
      </c>
      <c r="AA4764" s="13" t="s">
        <v>10323</v>
      </c>
      <c r="AB4764" s="13" t="s">
        <v>10324</v>
      </c>
    </row>
    <row r="4765" spans="1:28" ht="15" customHeight="1">
      <c r="A4765" s="2" t="s">
        <v>9247</v>
      </c>
      <c r="B4765" s="2" t="s">
        <v>606</v>
      </c>
      <c r="C4765" s="11" t="s">
        <v>2579</v>
      </c>
      <c r="D4765" s="2" t="s">
        <v>99</v>
      </c>
      <c r="E4765" s="2" t="s">
        <v>31</v>
      </c>
      <c r="F4765" s="11" t="s">
        <v>344</v>
      </c>
      <c r="G4765" s="11" t="s">
        <v>345</v>
      </c>
      <c r="H4765" s="2" t="s">
        <v>6464</v>
      </c>
      <c r="I4765" s="12" t="s">
        <v>2062</v>
      </c>
      <c r="J4765" s="41">
        <f>+Tabla1[[#This Row],[FECHA ENTRADA]]</f>
        <v>46057</v>
      </c>
      <c r="K4765" s="22">
        <v>46077</v>
      </c>
      <c r="L4765" s="42">
        <f>_xlfn.DAYS(Tabla1[[#This Row],[FECHA FIN ]],Tabla1[[#This Row],[FECHA INICIO]])</f>
        <v>20</v>
      </c>
      <c r="M4765" s="12"/>
      <c r="N4765" s="24">
        <f>1677.13/5</f>
        <v>335.42600000000004</v>
      </c>
      <c r="O4765" s="28">
        <f>(Tabla1[[#This Row],[COSTO FIJO ]]/30)*Tabla1[[#This Row],[TOTAL DIAS PROYECTO]]+(Tabla1[[#This Row],[COSTO TEMPORAL]])</f>
        <v>223.61733333333336</v>
      </c>
      <c r="P4765" s="12"/>
      <c r="Q4765" s="12">
        <f>+(Tabla1[[#This Row],[COSTO COCHE]]/30)*Tabla1[[#This Row],[TOTAL DIAS PROYECTO]]</f>
        <v>0</v>
      </c>
      <c r="R4765" s="12">
        <f>+Tabla1[[#This Row],[COSTO TOTAL ALOJAMIENTO]]+Tabla1[[#This Row],[COSTO TOTAL COCHE]]</f>
        <v>223.61733333333336</v>
      </c>
      <c r="S4765" s="2"/>
      <c r="T4765" s="14" t="s">
        <v>35</v>
      </c>
      <c r="U4765" s="14">
        <v>46057</v>
      </c>
      <c r="V4765" s="43"/>
      <c r="W4765" s="12"/>
      <c r="X4765" s="2"/>
      <c r="Y4765" s="202" t="s">
        <v>6869</v>
      </c>
      <c r="Z4765" s="2" t="s">
        <v>36</v>
      </c>
      <c r="AA4765" s="13" t="s">
        <v>10323</v>
      </c>
      <c r="AB4765" s="13" t="s">
        <v>10324</v>
      </c>
    </row>
    <row r="4766" spans="1:28" ht="15.75">
      <c r="A4766" s="2" t="s">
        <v>9911</v>
      </c>
      <c r="B4766" s="2" t="s">
        <v>606</v>
      </c>
      <c r="C4766" s="31" t="s">
        <v>5373</v>
      </c>
      <c r="D4766" s="2" t="s">
        <v>99</v>
      </c>
      <c r="E4766" s="2" t="s">
        <v>31</v>
      </c>
      <c r="F4766" s="11" t="s">
        <v>344</v>
      </c>
      <c r="G4766" s="11" t="s">
        <v>345</v>
      </c>
      <c r="H4766" s="2" t="s">
        <v>6464</v>
      </c>
      <c r="I4766" s="12" t="s">
        <v>2062</v>
      </c>
      <c r="J4766" s="41">
        <f>+Tabla1[[#This Row],[FECHA ENTRADA]]</f>
        <v>46057</v>
      </c>
      <c r="K4766" s="22">
        <v>46077</v>
      </c>
      <c r="L4766" s="42">
        <f>_xlfn.DAYS(Tabla1[[#This Row],[FECHA FIN ]],Tabla1[[#This Row],[FECHA INICIO]])</f>
        <v>20</v>
      </c>
      <c r="M4766" s="12"/>
      <c r="N4766" s="24">
        <f>1677.13/5</f>
        <v>335.42600000000004</v>
      </c>
      <c r="O4766" s="28">
        <f>(Tabla1[[#This Row],[COSTO FIJO ]]/30)*Tabla1[[#This Row],[TOTAL DIAS PROYECTO]]+(Tabla1[[#This Row],[COSTO TEMPORAL]])</f>
        <v>223.61733333333336</v>
      </c>
      <c r="P4766" s="12"/>
      <c r="Q4766" s="12">
        <f>+(Tabla1[[#This Row],[COSTO COCHE]]/30)*Tabla1[[#This Row],[TOTAL DIAS PROYECTO]]</f>
        <v>0</v>
      </c>
      <c r="R4766" s="12">
        <f>+Tabla1[[#This Row],[COSTO TOTAL ALOJAMIENTO]]+Tabla1[[#This Row],[COSTO TOTAL COCHE]]</f>
        <v>223.61733333333336</v>
      </c>
      <c r="S4766" s="2"/>
      <c r="T4766" s="14" t="s">
        <v>35</v>
      </c>
      <c r="U4766" s="14">
        <v>46057</v>
      </c>
      <c r="V4766" s="43"/>
      <c r="W4766" s="12"/>
      <c r="X4766" s="2"/>
      <c r="Y4766" s="202" t="s">
        <v>6869</v>
      </c>
      <c r="Z4766" s="2" t="s">
        <v>36</v>
      </c>
      <c r="AA4766" s="13" t="s">
        <v>10323</v>
      </c>
      <c r="AB4766" s="13" t="s">
        <v>10324</v>
      </c>
    </row>
    <row r="4767" spans="1:28" ht="15" customHeight="1">
      <c r="A4767" s="2" t="s">
        <v>9867</v>
      </c>
      <c r="B4767" s="2" t="s">
        <v>606</v>
      </c>
      <c r="C4767" s="212" t="s">
        <v>5109</v>
      </c>
      <c r="D4767" s="2" t="s">
        <v>30</v>
      </c>
      <c r="E4767" s="2" t="s">
        <v>31</v>
      </c>
      <c r="F4767" s="11" t="s">
        <v>715</v>
      </c>
      <c r="G4767" s="11" t="s">
        <v>716</v>
      </c>
      <c r="H4767" s="2" t="s">
        <v>6697</v>
      </c>
      <c r="I4767" s="12" t="s">
        <v>2062</v>
      </c>
      <c r="J4767" s="41">
        <f>+Tabla1[[#This Row],[FECHA ENTRADA]]</f>
        <v>46067</v>
      </c>
      <c r="K4767" s="22">
        <v>46077</v>
      </c>
      <c r="L4767" s="42">
        <f>_xlfn.DAYS(Tabla1[[#This Row],[FECHA FIN ]],Tabla1[[#This Row],[FECHA INICIO]])</f>
        <v>10</v>
      </c>
      <c r="M4767" s="12"/>
      <c r="N4767" s="12">
        <v>160</v>
      </c>
      <c r="O4767" s="28">
        <f>(Tabla1[[#This Row],[COSTO FIJO ]]/30)*Tabla1[[#This Row],[TOTAL DIAS PROYECTO]]+(Tabla1[[#This Row],[COSTO TEMPORAL]])</f>
        <v>53.333333333333329</v>
      </c>
      <c r="P4767" s="12"/>
      <c r="Q4767" s="12">
        <f>+(Tabla1[[#This Row],[COSTO COCHE]]/30)*Tabla1[[#This Row],[TOTAL DIAS PROYECTO]]</f>
        <v>0</v>
      </c>
      <c r="R4767" s="12">
        <f>+Tabla1[[#This Row],[COSTO TOTAL ALOJAMIENTO]]+Tabla1[[#This Row],[COSTO TOTAL COCHE]]</f>
        <v>53.333333333333329</v>
      </c>
      <c r="S4767" s="2"/>
      <c r="T4767" s="14" t="s">
        <v>35</v>
      </c>
      <c r="U4767" s="14">
        <v>46067</v>
      </c>
      <c r="V4767" s="43"/>
      <c r="W4767" s="12"/>
      <c r="X4767" s="2">
        <v>1</v>
      </c>
      <c r="Y4767" s="202" t="s">
        <v>6465</v>
      </c>
      <c r="Z4767" s="2" t="s">
        <v>36</v>
      </c>
      <c r="AA4767" s="13" t="s">
        <v>10323</v>
      </c>
      <c r="AB4767" s="13" t="s">
        <v>10324</v>
      </c>
    </row>
    <row r="4768" spans="1:28" ht="15" customHeight="1">
      <c r="A4768" s="2" t="s">
        <v>10169</v>
      </c>
      <c r="B4768" s="11" t="s">
        <v>3133</v>
      </c>
      <c r="C4768" s="69" t="s">
        <v>6872</v>
      </c>
      <c r="D4768" s="2" t="s">
        <v>30</v>
      </c>
      <c r="E4768" s="2" t="s">
        <v>1514</v>
      </c>
      <c r="F4768" s="11" t="s">
        <v>6873</v>
      </c>
      <c r="G4768" s="46" t="s">
        <v>6874</v>
      </c>
      <c r="H4768" s="2" t="s">
        <v>6875</v>
      </c>
      <c r="I4768" s="12" t="s">
        <v>6876</v>
      </c>
      <c r="J4768" s="41">
        <f>+Tabla1[[#This Row],[FECHA ENTRADA]]</f>
        <v>46072</v>
      </c>
      <c r="K4768" s="22">
        <v>46079</v>
      </c>
      <c r="L4768" s="42">
        <f>_xlfn.DAYS(Tabla1[[#This Row],[FECHA FIN ]],Tabla1[[#This Row],[FECHA INICIO]])</f>
        <v>7</v>
      </c>
      <c r="M4768" s="12">
        <v>243.24</v>
      </c>
      <c r="N4768" s="28"/>
      <c r="O4768" s="28">
        <f>(Tabla1[[#This Row],[COSTO FIJO ]]/30)*Tabla1[[#This Row],[TOTAL DIAS PROYECTO]]+(Tabla1[[#This Row],[COSTO TEMPORAL]])</f>
        <v>243.24</v>
      </c>
      <c r="P4768" s="12"/>
      <c r="Q4768" s="12">
        <f>+(Tabla1[[#This Row],[COSTO COCHE]]/30)*Tabla1[[#This Row],[TOTAL DIAS PROYECTO]]</f>
        <v>0</v>
      </c>
      <c r="R4768" s="12">
        <f>+Tabla1[[#This Row],[COSTO TOTAL ALOJAMIENTO]]+Tabla1[[#This Row],[COSTO TOTAL COCHE]]</f>
        <v>243.24</v>
      </c>
      <c r="S4768" s="2" t="s">
        <v>84</v>
      </c>
      <c r="T4768" s="14" t="s">
        <v>44</v>
      </c>
      <c r="U4768" s="14">
        <v>46072</v>
      </c>
      <c r="V4768" s="43">
        <v>46079</v>
      </c>
      <c r="W4768" s="12"/>
      <c r="X4768" s="2"/>
      <c r="Y4768" s="11" t="s">
        <v>6877</v>
      </c>
      <c r="Z4768" s="2" t="s">
        <v>36</v>
      </c>
      <c r="AA4768" s="13" t="s">
        <v>10424</v>
      </c>
      <c r="AB4768" s="13">
        <v>398581</v>
      </c>
    </row>
    <row r="4769" spans="1:28" ht="15" customHeight="1">
      <c r="A4769" s="2" t="s">
        <v>8971</v>
      </c>
      <c r="B4769" s="2" t="s">
        <v>606</v>
      </c>
      <c r="C4769" s="69" t="s">
        <v>1548</v>
      </c>
      <c r="D4769" s="2" t="s">
        <v>30</v>
      </c>
      <c r="E4769" s="2" t="s">
        <v>31</v>
      </c>
      <c r="F4769" s="11" t="s">
        <v>6878</v>
      </c>
      <c r="G4769" s="107" t="s">
        <v>4400</v>
      </c>
      <c r="H4769" s="2" t="s">
        <v>1551</v>
      </c>
      <c r="I4769" s="12" t="s">
        <v>1552</v>
      </c>
      <c r="J4769" s="22">
        <f>+Tabla1[[#This Row],[FECHA ENTRADA]]</f>
        <v>45696</v>
      </c>
      <c r="K4769" s="22">
        <v>46138</v>
      </c>
      <c r="L4769" s="23">
        <f>_xlfn.DAYS(Tabla1[[#This Row],[FECHA FIN ]],Tabla1[[#This Row],[FECHA INICIO]])</f>
        <v>442</v>
      </c>
      <c r="M4769" s="12"/>
      <c r="N4769" s="12">
        <v>410</v>
      </c>
      <c r="O4769" s="24">
        <f>(Tabla1[[#This Row],[COSTO FIJO ]]/30)*Tabla1[[#This Row],[TOTAL DIAS PROYECTO]]+(Tabla1[[#This Row],[COSTO TEMPORAL]])</f>
        <v>6040.6666666666661</v>
      </c>
      <c r="P4769" s="12"/>
      <c r="Q4769" s="12">
        <f>+(Tabla1[[#This Row],[COSTO COCHE]]/30)*Tabla1[[#This Row],[TOTAL DIAS PROYECTO]]</f>
        <v>0</v>
      </c>
      <c r="R4769" s="12">
        <f>+Tabla1[[#This Row],[COSTO TOTAL ALOJAMIENTO]]+Tabla1[[#This Row],[COSTO TOTAL COCHE]]</f>
        <v>6040.6666666666661</v>
      </c>
      <c r="S4769" s="2" t="s">
        <v>3706</v>
      </c>
      <c r="T4769" s="2" t="s">
        <v>35</v>
      </c>
      <c r="U4769" s="14">
        <v>45696</v>
      </c>
      <c r="V4769" s="25"/>
      <c r="W4769" s="12">
        <v>500</v>
      </c>
      <c r="X4769" s="2">
        <v>1</v>
      </c>
      <c r="Y4769" s="11" t="s">
        <v>6879</v>
      </c>
      <c r="Z4769" s="2" t="s">
        <v>36</v>
      </c>
      <c r="AA4769" s="13" t="s">
        <v>10323</v>
      </c>
      <c r="AB4769" s="13" t="s">
        <v>10324</v>
      </c>
    </row>
    <row r="4770" spans="1:28" ht="15" customHeight="1">
      <c r="A4770" s="2" t="s">
        <v>10170</v>
      </c>
      <c r="B4770" s="2" t="s">
        <v>28</v>
      </c>
      <c r="C4770" s="212" t="s">
        <v>6880</v>
      </c>
      <c r="D4770" s="2" t="s">
        <v>749</v>
      </c>
      <c r="E4770" s="2" t="s">
        <v>288</v>
      </c>
      <c r="F4770" s="11" t="s">
        <v>4751</v>
      </c>
      <c r="G4770" s="21" t="s">
        <v>4752</v>
      </c>
      <c r="H4770" s="2" t="s">
        <v>6881</v>
      </c>
      <c r="I4770" s="12" t="s">
        <v>753</v>
      </c>
      <c r="J4770" s="22">
        <f>+Tabla1[[#This Row],[FECHA ENTRADA]]</f>
        <v>45977</v>
      </c>
      <c r="K4770" s="22">
        <v>45978</v>
      </c>
      <c r="L4770" s="23">
        <f>_xlfn.DAYS(Tabla1[[#This Row],[FECHA FIN ]],Tabla1[[#This Row],[FECHA INICIO]])</f>
        <v>1</v>
      </c>
      <c r="M4770" s="12">
        <v>500</v>
      </c>
      <c r="N4770" s="20"/>
      <c r="O4770" s="24">
        <f>(Tabla1[[#This Row],[COSTO FIJO ]]/30)*Tabla1[[#This Row],[TOTAL DIAS PROYECTO]]+(Tabla1[[#This Row],[COSTO TEMPORAL]])</f>
        <v>500</v>
      </c>
      <c r="P4770" s="12"/>
      <c r="Q4770" s="12">
        <f>+(Tabla1[[#This Row],[COSTO COCHE]]/30)*Tabla1[[#This Row],[TOTAL DIAS PROYECTO]]</f>
        <v>0</v>
      </c>
      <c r="R4770" s="12">
        <f>+Tabla1[[#This Row],[COSTO TOTAL ALOJAMIENTO]]+Tabla1[[#This Row],[COSTO TOTAL COCHE]]</f>
        <v>500</v>
      </c>
      <c r="S4770" s="2"/>
      <c r="T4770" s="14" t="s">
        <v>44</v>
      </c>
      <c r="U4770" s="14">
        <v>45977</v>
      </c>
      <c r="V4770" s="25">
        <v>45992</v>
      </c>
      <c r="W4770" s="71"/>
      <c r="X4770" s="2"/>
      <c r="Y4770" s="11" t="s">
        <v>6882</v>
      </c>
      <c r="Z4770" s="2" t="s">
        <v>36</v>
      </c>
      <c r="AA4770" s="13" t="s">
        <v>10362</v>
      </c>
      <c r="AB4770" s="13" t="s">
        <v>10363</v>
      </c>
    </row>
    <row r="4771" spans="1:28" ht="15" customHeight="1">
      <c r="A4771" s="2" t="s">
        <v>9085</v>
      </c>
      <c r="B4771" s="2" t="s">
        <v>711</v>
      </c>
      <c r="C4771" s="11" t="s">
        <v>1954</v>
      </c>
      <c r="D4771" s="2" t="s">
        <v>30</v>
      </c>
      <c r="E4771" s="2" t="s">
        <v>1514</v>
      </c>
      <c r="F4771" s="11" t="s">
        <v>6883</v>
      </c>
      <c r="G4771" s="21" t="s">
        <v>6774</v>
      </c>
      <c r="H4771" s="2" t="s">
        <v>6775</v>
      </c>
      <c r="I4771" s="12" t="s">
        <v>118</v>
      </c>
      <c r="J4771" s="22">
        <f>+Tabla1[[#This Row],[FECHA ENTRADA]]</f>
        <v>46075</v>
      </c>
      <c r="K4771" s="22">
        <v>46079</v>
      </c>
      <c r="L4771" s="23">
        <f>_xlfn.DAYS(Tabla1[[#This Row],[FECHA FIN ]],Tabla1[[#This Row],[FECHA INICIO]])</f>
        <v>4</v>
      </c>
      <c r="M4771" s="12">
        <v>92</v>
      </c>
      <c r="N4771" s="20"/>
      <c r="O4771" s="24">
        <f>(Tabla1[[#This Row],[COSTO FIJO ]]/30)*Tabla1[[#This Row],[TOTAL DIAS PROYECTO]]+(Tabla1[[#This Row],[COSTO TEMPORAL]])</f>
        <v>92</v>
      </c>
      <c r="P4771" s="12"/>
      <c r="Q4771" s="12">
        <f>+(Tabla1[[#This Row],[COSTO COCHE]]/30)*Tabla1[[#This Row],[TOTAL DIAS PROYECTO]]</f>
        <v>0</v>
      </c>
      <c r="R4771" s="12">
        <f>+Tabla1[[#This Row],[COSTO TOTAL ALOJAMIENTO]]+Tabla1[[#This Row],[COSTO TOTAL COCHE]]</f>
        <v>92</v>
      </c>
      <c r="S4771" s="2"/>
      <c r="T4771" s="14" t="s">
        <v>44</v>
      </c>
      <c r="U4771" s="14">
        <v>46075</v>
      </c>
      <c r="V4771" s="79">
        <v>46079</v>
      </c>
      <c r="W4771" s="12"/>
      <c r="X4771" s="2"/>
      <c r="Y4771" s="11" t="s">
        <v>6884</v>
      </c>
      <c r="Z4771" s="2" t="s">
        <v>36</v>
      </c>
      <c r="AA4771" s="13" t="s">
        <v>10424</v>
      </c>
      <c r="AB4771" s="13">
        <v>398581</v>
      </c>
    </row>
    <row r="4772" spans="1:28" ht="15" customHeight="1">
      <c r="A4772" s="2" t="s">
        <v>9960</v>
      </c>
      <c r="B4772" s="2" t="s">
        <v>711</v>
      </c>
      <c r="C4772" s="11" t="s">
        <v>5735</v>
      </c>
      <c r="D4772" s="2" t="s">
        <v>30</v>
      </c>
      <c r="E4772" s="2" t="s">
        <v>1514</v>
      </c>
      <c r="F4772" s="11" t="s">
        <v>6883</v>
      </c>
      <c r="G4772" s="21" t="s">
        <v>6774</v>
      </c>
      <c r="H4772" s="2" t="s">
        <v>6775</v>
      </c>
      <c r="I4772" s="12" t="s">
        <v>118</v>
      </c>
      <c r="J4772" s="22">
        <f>+Tabla1[[#This Row],[FECHA ENTRADA]]</f>
        <v>46075</v>
      </c>
      <c r="K4772" s="22">
        <v>46079</v>
      </c>
      <c r="L4772" s="23">
        <f>_xlfn.DAYS(Tabla1[[#This Row],[FECHA FIN ]],Tabla1[[#This Row],[FECHA INICIO]])</f>
        <v>4</v>
      </c>
      <c r="M4772" s="12">
        <v>92</v>
      </c>
      <c r="N4772" s="20"/>
      <c r="O4772" s="24">
        <f>(Tabla1[[#This Row],[COSTO FIJO ]]/30)*Tabla1[[#This Row],[TOTAL DIAS PROYECTO]]+(Tabla1[[#This Row],[COSTO TEMPORAL]])</f>
        <v>92</v>
      </c>
      <c r="P4772" s="12"/>
      <c r="Q4772" s="12">
        <f>+(Tabla1[[#This Row],[COSTO COCHE]]/30)*Tabla1[[#This Row],[TOTAL DIAS PROYECTO]]</f>
        <v>0</v>
      </c>
      <c r="R4772" s="12">
        <f>+Tabla1[[#This Row],[COSTO TOTAL ALOJAMIENTO]]+Tabla1[[#This Row],[COSTO TOTAL COCHE]]</f>
        <v>92</v>
      </c>
      <c r="S4772" s="2"/>
      <c r="T4772" s="14" t="s">
        <v>44</v>
      </c>
      <c r="U4772" s="14">
        <v>46075</v>
      </c>
      <c r="V4772" s="79">
        <v>46079</v>
      </c>
      <c r="W4772" s="12"/>
      <c r="X4772" s="2"/>
      <c r="Y4772" s="11" t="s">
        <v>6884</v>
      </c>
      <c r="Z4772" s="2" t="s">
        <v>36</v>
      </c>
      <c r="AA4772" s="13" t="s">
        <v>10424</v>
      </c>
      <c r="AB4772" s="13">
        <v>398581</v>
      </c>
    </row>
    <row r="4773" spans="1:28" ht="15" customHeight="1">
      <c r="A4773" s="2" t="s">
        <v>9319</v>
      </c>
      <c r="B4773" s="2" t="s">
        <v>711</v>
      </c>
      <c r="C4773" s="11" t="s">
        <v>2812</v>
      </c>
      <c r="D4773" s="2" t="s">
        <v>30</v>
      </c>
      <c r="E4773" s="2" t="s">
        <v>1514</v>
      </c>
      <c r="F4773" s="11" t="s">
        <v>6883</v>
      </c>
      <c r="G4773" s="21" t="s">
        <v>6774</v>
      </c>
      <c r="H4773" s="2" t="s">
        <v>6775</v>
      </c>
      <c r="I4773" s="12" t="s">
        <v>118</v>
      </c>
      <c r="J4773" s="22">
        <f>+Tabla1[[#This Row],[FECHA ENTRADA]]</f>
        <v>46075</v>
      </c>
      <c r="K4773" s="22">
        <v>46079</v>
      </c>
      <c r="L4773" s="23">
        <f>_xlfn.DAYS(Tabla1[[#This Row],[FECHA FIN ]],Tabla1[[#This Row],[FECHA INICIO]])</f>
        <v>4</v>
      </c>
      <c r="M4773" s="12">
        <v>92</v>
      </c>
      <c r="N4773" s="20"/>
      <c r="O4773" s="24">
        <f>(Tabla1[[#This Row],[COSTO FIJO ]]/30)*Tabla1[[#This Row],[TOTAL DIAS PROYECTO]]+(Tabla1[[#This Row],[COSTO TEMPORAL]])</f>
        <v>92</v>
      </c>
      <c r="P4773" s="12"/>
      <c r="Q4773" s="12">
        <f>+(Tabla1[[#This Row],[COSTO COCHE]]/30)*Tabla1[[#This Row],[TOTAL DIAS PROYECTO]]</f>
        <v>0</v>
      </c>
      <c r="R4773" s="12">
        <f>+Tabla1[[#This Row],[COSTO TOTAL ALOJAMIENTO]]+Tabla1[[#This Row],[COSTO TOTAL COCHE]]</f>
        <v>92</v>
      </c>
      <c r="S4773" s="2"/>
      <c r="T4773" s="14" t="s">
        <v>44</v>
      </c>
      <c r="U4773" s="14">
        <v>46075</v>
      </c>
      <c r="V4773" s="79">
        <v>46079</v>
      </c>
      <c r="W4773" s="12"/>
      <c r="X4773" s="2"/>
      <c r="Y4773" s="11" t="s">
        <v>6884</v>
      </c>
      <c r="Z4773" s="2" t="s">
        <v>36</v>
      </c>
      <c r="AA4773" s="13" t="s">
        <v>10424</v>
      </c>
      <c r="AB4773" s="13">
        <v>398581</v>
      </c>
    </row>
    <row r="4774" spans="1:28" ht="15" customHeight="1">
      <c r="A4774" s="2" t="s">
        <v>10171</v>
      </c>
      <c r="B4774" s="2" t="s">
        <v>606</v>
      </c>
      <c r="C4774" s="31" t="s">
        <v>6885</v>
      </c>
      <c r="D4774" s="2" t="s">
        <v>30</v>
      </c>
      <c r="E4774" s="2" t="s">
        <v>31</v>
      </c>
      <c r="F4774" s="11" t="s">
        <v>451</v>
      </c>
      <c r="G4774" s="118" t="s">
        <v>452</v>
      </c>
      <c r="H4774" s="2" t="s">
        <v>6886</v>
      </c>
      <c r="I4774" s="12" t="s">
        <v>2391</v>
      </c>
      <c r="J4774" s="41">
        <f>+Tabla1[[#This Row],[FECHA ENTRADA]]</f>
        <v>46062</v>
      </c>
      <c r="K4774" s="22">
        <v>46166</v>
      </c>
      <c r="L4774" s="42">
        <f>_xlfn.DAYS(Tabla1[[#This Row],[FECHA FIN ]],Tabla1[[#This Row],[FECHA INICIO]])</f>
        <v>104</v>
      </c>
      <c r="M4774" s="12"/>
      <c r="N4774" s="12">
        <v>340</v>
      </c>
      <c r="O4774" s="28">
        <f>(Tabla1[[#This Row],[COSTO FIJO ]]/30)*Tabla1[[#This Row],[TOTAL DIAS PROYECTO]]+(Tabla1[[#This Row],[COSTO TEMPORAL]])</f>
        <v>1178.6666666666667</v>
      </c>
      <c r="P4774" s="12"/>
      <c r="Q4774" s="12">
        <f>+(Tabla1[[#This Row],[COSTO COCHE]]/30)*Tabla1[[#This Row],[TOTAL DIAS PROYECTO]]</f>
        <v>0</v>
      </c>
      <c r="R4774" s="12">
        <f>+Tabla1[[#This Row],[COSTO TOTAL ALOJAMIENTO]]+Tabla1[[#This Row],[COSTO TOTAL COCHE]]</f>
        <v>1178.6666666666667</v>
      </c>
      <c r="S4774" s="2"/>
      <c r="T4774" s="14" t="s">
        <v>35</v>
      </c>
      <c r="U4774" s="14">
        <v>46062</v>
      </c>
      <c r="V4774" s="43"/>
      <c r="W4774" s="12"/>
      <c r="X4774" s="2">
        <v>1</v>
      </c>
      <c r="Y4774" s="11" t="s">
        <v>4411</v>
      </c>
      <c r="Z4774" s="2" t="s">
        <v>36</v>
      </c>
      <c r="AA4774" s="13" t="s">
        <v>10323</v>
      </c>
      <c r="AB4774" s="13" t="s">
        <v>10324</v>
      </c>
    </row>
    <row r="4775" spans="1:28" ht="15" customHeight="1">
      <c r="A4775" s="2" t="s">
        <v>10172</v>
      </c>
      <c r="B4775" s="2" t="s">
        <v>606</v>
      </c>
      <c r="C4775" s="11" t="s">
        <v>6887</v>
      </c>
      <c r="D4775" s="2" t="s">
        <v>30</v>
      </c>
      <c r="E4775" s="2" t="s">
        <v>608</v>
      </c>
      <c r="F4775" s="11" t="s">
        <v>6520</v>
      </c>
      <c r="G4775" s="251" t="s">
        <v>6833</v>
      </c>
      <c r="H4775" s="2" t="s">
        <v>6834</v>
      </c>
      <c r="I4775" s="12" t="s">
        <v>6835</v>
      </c>
      <c r="J4775" s="22">
        <f>+Tabla1[[#This Row],[FECHA ENTRADA]]</f>
        <v>46048</v>
      </c>
      <c r="K4775" s="22">
        <v>46234</v>
      </c>
      <c r="L4775" s="23">
        <f>_xlfn.DAYS(Tabla1[[#This Row],[FECHA FIN ]],Tabla1[[#This Row],[FECHA INICIO]])</f>
        <v>186</v>
      </c>
      <c r="M4775" s="12"/>
      <c r="N4775" s="20">
        <v>280.5</v>
      </c>
      <c r="O4775" s="24">
        <f>(Tabla1[[#This Row],[COSTO FIJO ]]/30)*Tabla1[[#This Row],[TOTAL DIAS PROYECTO]]+(Tabla1[[#This Row],[COSTO TEMPORAL]])</f>
        <v>1739.1</v>
      </c>
      <c r="P4775" s="12"/>
      <c r="Q4775" s="12">
        <f>+(Tabla1[[#This Row],[COSTO COCHE]]/30)*Tabla1[[#This Row],[TOTAL DIAS PROYECTO]]</f>
        <v>0</v>
      </c>
      <c r="R4775" s="12">
        <f>+Tabla1[[#This Row],[COSTO TOTAL ALOJAMIENTO]]+Tabla1[[#This Row],[COSTO TOTAL COCHE]]</f>
        <v>1739.1</v>
      </c>
      <c r="S4775" s="2"/>
      <c r="T4775" s="14" t="s">
        <v>35</v>
      </c>
      <c r="U4775" s="14">
        <v>46048</v>
      </c>
      <c r="V4775" s="79"/>
      <c r="W4775" s="12"/>
      <c r="X4775" s="2">
        <v>1</v>
      </c>
      <c r="Y4775" s="11" t="s">
        <v>6888</v>
      </c>
      <c r="Z4775" s="2" t="s">
        <v>36</v>
      </c>
      <c r="AA4775" s="13" t="s">
        <v>10383</v>
      </c>
      <c r="AB4775" s="13" t="s">
        <v>10384</v>
      </c>
    </row>
    <row r="4776" spans="1:28" ht="15" customHeight="1">
      <c r="A4776" s="2" t="s">
        <v>9027</v>
      </c>
      <c r="B4776" s="2" t="s">
        <v>606</v>
      </c>
      <c r="C4776" s="118" t="s">
        <v>1732</v>
      </c>
      <c r="D4776" s="2" t="s">
        <v>30</v>
      </c>
      <c r="E4776" s="2" t="s">
        <v>213</v>
      </c>
      <c r="F4776" s="11" t="s">
        <v>1733</v>
      </c>
      <c r="G4776" s="21" t="s">
        <v>1734</v>
      </c>
      <c r="H4776" s="2" t="s">
        <v>1735</v>
      </c>
      <c r="I4776" s="12" t="s">
        <v>1043</v>
      </c>
      <c r="J4776" s="22">
        <f>+Tabla1[[#This Row],[FECHA ENTRADA]]</f>
        <v>46133</v>
      </c>
      <c r="K4776" s="22">
        <v>46244</v>
      </c>
      <c r="L4776" s="23">
        <f>_xlfn.DAYS(Tabla1[[#This Row],[FECHA FIN ]],Tabla1[[#This Row],[FECHA INICIO]])</f>
        <v>111</v>
      </c>
      <c r="M4776" s="12">
        <v>379.5</v>
      </c>
      <c r="N4776" s="24"/>
      <c r="O4776" s="24">
        <f>(Tabla1[[#This Row],[COSTO FIJO ]]/30)*Tabla1[[#This Row],[TOTAL DIAS PROYECTO]]+(Tabla1[[#This Row],[COSTO TEMPORAL]])</f>
        <v>379.5</v>
      </c>
      <c r="P4776" s="12"/>
      <c r="Q4776" s="12">
        <f>+(Tabla1[[#This Row],[COSTO COCHE]]/30)*Tabla1[[#This Row],[TOTAL DIAS PROYECTO]]</f>
        <v>0</v>
      </c>
      <c r="R4776" s="12">
        <f>+Tabla1[[#This Row],[COSTO TOTAL ALOJAMIENTO]]+Tabla1[[#This Row],[COSTO TOTAL COCHE]]</f>
        <v>379.5</v>
      </c>
      <c r="S4776" s="2"/>
      <c r="T4776" s="14" t="s">
        <v>35</v>
      </c>
      <c r="U4776" s="14">
        <v>46133</v>
      </c>
      <c r="V4776" s="79">
        <v>46234</v>
      </c>
      <c r="W4776" s="12"/>
      <c r="X4776" s="2">
        <v>1</v>
      </c>
      <c r="Y4776" s="11" t="s">
        <v>6789</v>
      </c>
      <c r="Z4776" s="2" t="s">
        <v>36</v>
      </c>
      <c r="AA4776" s="13" t="s">
        <v>10349</v>
      </c>
      <c r="AB4776" s="13" t="s">
        <v>10350</v>
      </c>
    </row>
    <row r="4777" spans="1:28" ht="15" customHeight="1">
      <c r="A4777" s="2" t="s">
        <v>9210</v>
      </c>
      <c r="B4777" s="2" t="s">
        <v>978</v>
      </c>
      <c r="C4777" s="31" t="s">
        <v>2447</v>
      </c>
      <c r="D4777" s="2" t="s">
        <v>30</v>
      </c>
      <c r="E4777" s="2" t="s">
        <v>5074</v>
      </c>
      <c r="F4777" s="11" t="s">
        <v>5075</v>
      </c>
      <c r="G4777" s="21" t="s">
        <v>5076</v>
      </c>
      <c r="H4777" s="2" t="s">
        <v>5077</v>
      </c>
      <c r="I4777" s="312" t="s">
        <v>4504</v>
      </c>
      <c r="J4777" s="22">
        <f>+Tabla1[[#This Row],[FECHA ENTRADA]]</f>
        <v>46029</v>
      </c>
      <c r="K4777" s="22">
        <v>46080</v>
      </c>
      <c r="L4777" s="23">
        <f>_xlfn.DAYS(Tabla1[[#This Row],[FECHA FIN ]],Tabla1[[#This Row],[FECHA INICIO]])</f>
        <v>51</v>
      </c>
      <c r="M4777" s="12">
        <v>520</v>
      </c>
      <c r="N4777" s="20"/>
      <c r="O4777" s="24">
        <f>(Tabla1[[#This Row],[COSTO FIJO ]]/30)*Tabla1[[#This Row],[TOTAL DIAS PROYECTO]]+(Tabla1[[#This Row],[COSTO TEMPORAL]])</f>
        <v>520</v>
      </c>
      <c r="P4777" s="12"/>
      <c r="Q4777" s="12">
        <f>+(Tabla1[[#This Row],[COSTO COCHE]]/30)*Tabla1[[#This Row],[TOTAL DIAS PROYECTO]]</f>
        <v>0</v>
      </c>
      <c r="R4777" s="12">
        <f>+Tabla1[[#This Row],[COSTO TOTAL ALOJAMIENTO]]+Tabla1[[#This Row],[COSTO TOTAL COCHE]]</f>
        <v>520</v>
      </c>
      <c r="S4777" s="2" t="s">
        <v>84</v>
      </c>
      <c r="T4777" s="14" t="s">
        <v>44</v>
      </c>
      <c r="U4777" s="14">
        <v>46029</v>
      </c>
      <c r="V4777" s="79">
        <v>46083</v>
      </c>
      <c r="W4777" s="12"/>
      <c r="X4777" s="2"/>
      <c r="Y4777" s="202" t="s">
        <v>6889</v>
      </c>
      <c r="Z4777" s="2" t="s">
        <v>36</v>
      </c>
      <c r="AA4777" s="13" t="e">
        <v>#N/A</v>
      </c>
      <c r="AB4777" s="13" t="e">
        <v>#N/A</v>
      </c>
    </row>
    <row r="4778" spans="1:28" ht="15" customHeight="1">
      <c r="A4778" s="2" t="s">
        <v>10151</v>
      </c>
      <c r="B4778" s="2" t="s">
        <v>606</v>
      </c>
      <c r="C4778" s="31" t="s">
        <v>6696</v>
      </c>
      <c r="D4778" s="2" t="s">
        <v>30</v>
      </c>
      <c r="E4778" s="2" t="s">
        <v>31</v>
      </c>
      <c r="F4778" s="11"/>
      <c r="G4778" s="21"/>
      <c r="H4778" s="2" t="s">
        <v>6697</v>
      </c>
      <c r="I4778" s="12" t="s">
        <v>2062</v>
      </c>
      <c r="J4778" s="22">
        <f>+Tabla1[[#This Row],[FECHA ENTRADA]]</f>
        <v>46054</v>
      </c>
      <c r="K4778" s="22">
        <v>46080</v>
      </c>
      <c r="L4778" s="23">
        <f>_xlfn.DAYS(Tabla1[[#This Row],[FECHA FIN ]],Tabla1[[#This Row],[FECHA INICIO]])</f>
        <v>26</v>
      </c>
      <c r="M4778" s="12"/>
      <c r="N4778" s="20">
        <v>300</v>
      </c>
      <c r="O4778" s="24">
        <f>(Tabla1[[#This Row],[COSTO FIJO ]]/30)*Tabla1[[#This Row],[TOTAL DIAS PROYECTO]]+(Tabla1[[#This Row],[COSTO TEMPORAL]])</f>
        <v>260</v>
      </c>
      <c r="P4778" s="12"/>
      <c r="Q4778" s="12">
        <f>+(Tabla1[[#This Row],[COSTO COCHE]]/30)*Tabla1[[#This Row],[TOTAL DIAS PROYECTO]]</f>
        <v>0</v>
      </c>
      <c r="R4778" s="12">
        <f>+Tabla1[[#This Row],[COSTO TOTAL ALOJAMIENTO]]+Tabla1[[#This Row],[COSTO TOTAL COCHE]]</f>
        <v>260</v>
      </c>
      <c r="S4778" s="2"/>
      <c r="T4778" s="14" t="s">
        <v>58</v>
      </c>
      <c r="U4778" s="14">
        <v>46054</v>
      </c>
      <c r="V4778" s="79"/>
      <c r="W4778" s="12"/>
      <c r="X4778" s="2"/>
      <c r="Y4778" s="11" t="s">
        <v>6890</v>
      </c>
      <c r="Z4778" s="2" t="s">
        <v>36</v>
      </c>
      <c r="AA4778" s="13" t="s">
        <v>10323</v>
      </c>
      <c r="AB4778" s="13" t="s">
        <v>10324</v>
      </c>
    </row>
    <row r="4779" spans="1:28" ht="15" customHeight="1">
      <c r="A4779" s="2" t="s">
        <v>10173</v>
      </c>
      <c r="B4779" s="2" t="s">
        <v>978</v>
      </c>
      <c r="C4779" s="31" t="s">
        <v>6891</v>
      </c>
      <c r="D4779" s="2" t="s">
        <v>30</v>
      </c>
      <c r="E4779" s="2" t="s">
        <v>1393</v>
      </c>
      <c r="F4779" s="11" t="s">
        <v>6892</v>
      </c>
      <c r="G4779" s="46" t="s">
        <v>6893</v>
      </c>
      <c r="H4779" s="2" t="s">
        <v>1336</v>
      </c>
      <c r="I4779" s="12" t="s">
        <v>5000</v>
      </c>
      <c r="J4779" s="41">
        <f>+Tabla1[[#This Row],[FECHA ENTRADA]]</f>
        <v>45734</v>
      </c>
      <c r="K4779" s="41">
        <v>46081</v>
      </c>
      <c r="L4779" s="42">
        <f>_xlfn.DAYS(Tabla1[[#This Row],[FECHA FIN ]],Tabla1[[#This Row],[FECHA INICIO]])</f>
        <v>347</v>
      </c>
      <c r="M4779" s="12"/>
      <c r="N4779" s="12">
        <v>550</v>
      </c>
      <c r="O4779" s="28">
        <f>(Tabla1[[#This Row],[COSTO FIJO ]]/30)*Tabla1[[#This Row],[TOTAL DIAS PROYECTO]]+(Tabla1[[#This Row],[COSTO TEMPORAL]])</f>
        <v>6361.6666666666661</v>
      </c>
      <c r="P4779" s="12"/>
      <c r="Q4779" s="12">
        <f>+(Tabla1[[#This Row],[COSTO COCHE]]/30)*Tabla1[[#This Row],[TOTAL DIAS PROYECTO]]</f>
        <v>0</v>
      </c>
      <c r="R4779" s="12">
        <f>+Tabla1[[#This Row],[COSTO TOTAL ALOJAMIENTO]]+Tabla1[[#This Row],[COSTO TOTAL COCHE]]</f>
        <v>6361.6666666666661</v>
      </c>
      <c r="S4779" s="2"/>
      <c r="T4779" s="14" t="s">
        <v>35</v>
      </c>
      <c r="U4779" s="14">
        <v>45734</v>
      </c>
      <c r="V4779" s="43"/>
      <c r="W4779" s="12"/>
      <c r="X4779" s="2">
        <v>1</v>
      </c>
      <c r="Y4779" s="11" t="s">
        <v>6894</v>
      </c>
      <c r="Z4779" s="2" t="s">
        <v>36</v>
      </c>
      <c r="AA4779" s="13" t="s">
        <v>10416</v>
      </c>
      <c r="AB4779" s="13" t="s">
        <v>10417</v>
      </c>
    </row>
    <row r="4780" spans="1:28" ht="15" customHeight="1">
      <c r="A4780" s="2" t="s">
        <v>10174</v>
      </c>
      <c r="B4780" s="2" t="s">
        <v>711</v>
      </c>
      <c r="C4780" s="11" t="s">
        <v>6895</v>
      </c>
      <c r="D4780" s="2" t="s">
        <v>30</v>
      </c>
      <c r="E4780" s="2" t="s">
        <v>422</v>
      </c>
      <c r="F4780" s="11"/>
      <c r="H4780" s="2" t="s">
        <v>6896</v>
      </c>
      <c r="I4780" s="10" t="s">
        <v>6897</v>
      </c>
      <c r="J4780" s="41">
        <f>+Tabla1[[#This Row],[FECHA ENTRADA]]</f>
        <v>45896</v>
      </c>
      <c r="K4780" s="22">
        <v>46036</v>
      </c>
      <c r="L4780" s="42">
        <f>_xlfn.DAYS(Tabla1[[#This Row],[FECHA FIN ]],Tabla1[[#This Row],[FECHA INICIO]])</f>
        <v>140</v>
      </c>
      <c r="M4780" s="12"/>
      <c r="N4780" s="24">
        <v>300</v>
      </c>
      <c r="O4780" s="28">
        <f>(Tabla1[[#This Row],[COSTO FIJO ]]/30)*Tabla1[[#This Row],[TOTAL DIAS PROYECTO]]+(Tabla1[[#This Row],[COSTO TEMPORAL]])</f>
        <v>1400</v>
      </c>
      <c r="P4780" s="12"/>
      <c r="Q4780" s="12">
        <f>+(Tabla1[[#This Row],[COSTO COCHE]]/30)*Tabla1[[#This Row],[TOTAL DIAS PROYECTO]]</f>
        <v>0</v>
      </c>
      <c r="R4780" s="12">
        <f>+Tabla1[[#This Row],[COSTO TOTAL ALOJAMIENTO]]+Tabla1[[#This Row],[COSTO TOTAL COCHE]]</f>
        <v>1400</v>
      </c>
      <c r="S4780" s="2"/>
      <c r="T4780" s="14" t="s">
        <v>58</v>
      </c>
      <c r="U4780" s="14">
        <v>45896</v>
      </c>
      <c r="V4780" s="43"/>
      <c r="W4780" s="12"/>
      <c r="X4780" s="2">
        <v>5</v>
      </c>
      <c r="Y4780" s="136" t="s">
        <v>6898</v>
      </c>
      <c r="Z4780" s="2" t="s">
        <v>36</v>
      </c>
      <c r="AA4780" s="13">
        <v>-326.69799999999998</v>
      </c>
      <c r="AB4780" s="13" t="s">
        <v>10373</v>
      </c>
    </row>
    <row r="4781" spans="1:28" ht="15" customHeight="1">
      <c r="A4781" s="2" t="s">
        <v>9121</v>
      </c>
      <c r="B4781" s="2" t="s">
        <v>978</v>
      </c>
      <c r="C4781" s="11" t="s">
        <v>2088</v>
      </c>
      <c r="D4781" s="2" t="s">
        <v>99</v>
      </c>
      <c r="E4781" s="2" t="s">
        <v>259</v>
      </c>
      <c r="F4781" s="11" t="s">
        <v>5662</v>
      </c>
      <c r="G4781" s="49" t="s">
        <v>4207</v>
      </c>
      <c r="H4781" s="2" t="s">
        <v>1869</v>
      </c>
      <c r="I4781" s="12" t="s">
        <v>3356</v>
      </c>
      <c r="J4781" s="41">
        <f>+Tabla1[[#This Row],[FECHA ENTRADA]]</f>
        <v>45970</v>
      </c>
      <c r="K4781" s="22">
        <v>46081</v>
      </c>
      <c r="L4781" s="42">
        <f>_xlfn.DAYS(Tabla1[[#This Row],[FECHA FIN ]],Tabla1[[#This Row],[FECHA INICIO]])</f>
        <v>111</v>
      </c>
      <c r="M4781" s="12"/>
      <c r="N4781" s="28">
        <v>400</v>
      </c>
      <c r="O4781" s="28">
        <f>(Tabla1[[#This Row],[COSTO FIJO ]]/30)*Tabla1[[#This Row],[TOTAL DIAS PROYECTO]]+(Tabla1[[#This Row],[COSTO TEMPORAL]])</f>
        <v>1480</v>
      </c>
      <c r="P4781" s="12"/>
      <c r="Q4781" s="12">
        <f>+(Tabla1[[#This Row],[COSTO COCHE]]/30)*Tabla1[[#This Row],[TOTAL DIAS PROYECTO]]</f>
        <v>0</v>
      </c>
      <c r="R4781" s="12">
        <f>+Tabla1[[#This Row],[COSTO TOTAL ALOJAMIENTO]]+Tabla1[[#This Row],[COSTO TOTAL COCHE]]</f>
        <v>1480</v>
      </c>
      <c r="S4781" s="2"/>
      <c r="T4781" s="14" t="s">
        <v>35</v>
      </c>
      <c r="U4781" s="14">
        <v>45970</v>
      </c>
      <c r="V4781" s="43"/>
      <c r="W4781" s="71"/>
      <c r="X4781" s="2">
        <v>5</v>
      </c>
      <c r="Y4781" s="11" t="s">
        <v>6899</v>
      </c>
      <c r="Z4781" s="2" t="s">
        <v>36</v>
      </c>
      <c r="AA4781" s="13">
        <v>-0.87734000000000001</v>
      </c>
      <c r="AB4781" s="13" t="s">
        <v>10359</v>
      </c>
    </row>
    <row r="4782" spans="1:28" ht="15" customHeight="1">
      <c r="A4782" s="2" t="s">
        <v>8642</v>
      </c>
      <c r="B4782" s="2" t="s">
        <v>711</v>
      </c>
      <c r="C4782" s="31" t="s">
        <v>6900</v>
      </c>
      <c r="D4782" s="2" t="s">
        <v>30</v>
      </c>
      <c r="E4782" s="2" t="s">
        <v>415</v>
      </c>
      <c r="F4782" s="11" t="s">
        <v>5821</v>
      </c>
      <c r="G4782" s="128" t="s">
        <v>1413</v>
      </c>
      <c r="H4782" s="2" t="s">
        <v>6901</v>
      </c>
      <c r="I4782" s="12" t="s">
        <v>800</v>
      </c>
      <c r="J4782" s="22">
        <f>+Tabla1[[#This Row],[FECHA ENTRADA]]</f>
        <v>46075</v>
      </c>
      <c r="K4782" s="22">
        <v>46081</v>
      </c>
      <c r="L4782" s="23">
        <f>_xlfn.DAYS(Tabla1[[#This Row],[FECHA FIN ]],Tabla1[[#This Row],[FECHA INICIO]])</f>
        <v>6</v>
      </c>
      <c r="M4782" s="12"/>
      <c r="N4782" s="24">
        <v>450</v>
      </c>
      <c r="O4782" s="24">
        <f>(Tabla1[[#This Row],[COSTO FIJO ]]/30)*Tabla1[[#This Row],[TOTAL DIAS PROYECTO]]+(Tabla1[[#This Row],[COSTO TEMPORAL]])</f>
        <v>90</v>
      </c>
      <c r="P4782" s="12"/>
      <c r="Q4782" s="12">
        <f>+(Tabla1[[#This Row],[COSTO COCHE]]/30)*Tabla1[[#This Row],[TOTAL DIAS PROYECTO]]</f>
        <v>0</v>
      </c>
      <c r="R4782" s="12">
        <f>+Tabla1[[#This Row],[COSTO TOTAL ALOJAMIENTO]]+Tabla1[[#This Row],[COSTO TOTAL COCHE]]</f>
        <v>90</v>
      </c>
      <c r="S4782" s="2"/>
      <c r="T4782" s="14" t="s">
        <v>35</v>
      </c>
      <c r="U4782" s="14">
        <v>46075</v>
      </c>
      <c r="V4782" s="25"/>
      <c r="W4782" s="12"/>
      <c r="X4782" s="2">
        <v>1</v>
      </c>
      <c r="Y4782" s="11" t="s">
        <v>6902</v>
      </c>
      <c r="Z4782" s="2" t="s">
        <v>36</v>
      </c>
      <c r="AA4782" s="13">
        <v>-0.37739</v>
      </c>
      <c r="AB4782" s="13" t="s">
        <v>10372</v>
      </c>
    </row>
    <row r="4783" spans="1:28" ht="15" customHeight="1">
      <c r="A4783" s="2" t="s">
        <v>9383</v>
      </c>
      <c r="B4783" s="2" t="s">
        <v>28</v>
      </c>
      <c r="C4783" s="11" t="s">
        <v>3000</v>
      </c>
      <c r="D4783" s="2" t="s">
        <v>99</v>
      </c>
      <c r="E4783" s="2" t="s">
        <v>127</v>
      </c>
      <c r="F4783" s="11" t="s">
        <v>820</v>
      </c>
      <c r="G4783" s="21" t="s">
        <v>1234</v>
      </c>
      <c r="H4783" s="2" t="s">
        <v>6708</v>
      </c>
      <c r="I4783" s="12" t="s">
        <v>96</v>
      </c>
      <c r="J4783" s="22">
        <f>+Tabla1[[#This Row],[FECHA ENTRADA]]</f>
        <v>45798</v>
      </c>
      <c r="K4783" s="8">
        <v>45917</v>
      </c>
      <c r="L4783" s="23">
        <f>_xlfn.DAYS(Tabla1[[#This Row],[FECHA FIN ]],Tabla1[[#This Row],[FECHA INICIO]])</f>
        <v>119</v>
      </c>
      <c r="M4783" s="12"/>
      <c r="N4783" s="12"/>
      <c r="O4783" s="24">
        <f>(Tabla1[[#This Row],[COSTO FIJO ]]/30)*Tabla1[[#This Row],[TOTAL DIAS PROYECTO]]+(Tabla1[[#This Row],[COSTO TEMPORAL]])</f>
        <v>0</v>
      </c>
      <c r="P4783" s="12"/>
      <c r="Q4783" s="12">
        <f>+(Tabla1[[#This Row],[COSTO COCHE]]/30)*Tabla1[[#This Row],[TOTAL DIAS PROYECTO]]</f>
        <v>0</v>
      </c>
      <c r="R4783" s="12">
        <f>+Tabla1[[#This Row],[COSTO TOTAL ALOJAMIENTO]]+Tabla1[[#This Row],[COSTO TOTAL COCHE]]</f>
        <v>0</v>
      </c>
      <c r="S4783" s="2"/>
      <c r="T4783" s="2" t="s">
        <v>44</v>
      </c>
      <c r="U4783" s="14">
        <v>45798</v>
      </c>
      <c r="V4783" s="25">
        <v>45918</v>
      </c>
      <c r="W4783" s="26"/>
      <c r="X4783" s="2"/>
      <c r="Y4783" s="11" t="s">
        <v>6903</v>
      </c>
      <c r="Z4783" s="2" t="s">
        <v>36</v>
      </c>
      <c r="AA4783" s="13" t="s">
        <v>10342</v>
      </c>
      <c r="AB4783" s="13" t="s">
        <v>10343</v>
      </c>
    </row>
    <row r="4784" spans="1:28" ht="15" customHeight="1">
      <c r="A4784" s="2" t="s">
        <v>10175</v>
      </c>
      <c r="B4784" s="2" t="s">
        <v>28</v>
      </c>
      <c r="C4784" s="18" t="s">
        <v>6904</v>
      </c>
      <c r="D4784" s="2" t="s">
        <v>30</v>
      </c>
      <c r="E4784" s="2" t="s">
        <v>648</v>
      </c>
      <c r="F4784" s="11" t="s">
        <v>1544</v>
      </c>
      <c r="G4784" s="11" t="s">
        <v>1545</v>
      </c>
      <c r="H4784" s="2" t="s">
        <v>6905</v>
      </c>
      <c r="I4784" s="12" t="s">
        <v>96</v>
      </c>
      <c r="J4784" s="8">
        <f>+Tabla1[[#This Row],[FECHA ENTRADA]]</f>
        <v>45524</v>
      </c>
      <c r="K4784" s="22">
        <v>45532</v>
      </c>
      <c r="L4784" s="13">
        <f>_xlfn.DAYS(Tabla1[[#This Row],[FECHA FIN ]],Tabla1[[#This Row],[FECHA INICIO]])</f>
        <v>8</v>
      </c>
      <c r="M4784" s="12"/>
      <c r="N4784" s="12">
        <v>183.33</v>
      </c>
      <c r="O4784" s="12">
        <f>(Tabla1[[#This Row],[COSTO FIJO ]]/30)*Tabla1[[#This Row],[TOTAL DIAS PROYECTO]]+(Tabla1[[#This Row],[COSTO TEMPORAL]])</f>
        <v>48.888000000000005</v>
      </c>
      <c r="P4784" s="12"/>
      <c r="Q4784" s="12">
        <f>+(Tabla1[[#This Row],[COSTO COCHE]]/30)*Tabla1[[#This Row],[TOTAL DIAS PROYECTO]]</f>
        <v>0</v>
      </c>
      <c r="R4784" s="12">
        <f>+Tabla1[[#This Row],[COSTO TOTAL ALOJAMIENTO]]+Tabla1[[#This Row],[COSTO TOTAL COCHE]]</f>
        <v>48.888000000000005</v>
      </c>
      <c r="S4784" s="2"/>
      <c r="T4784" s="2" t="s">
        <v>35</v>
      </c>
      <c r="U4784" s="14">
        <v>45524</v>
      </c>
      <c r="V4784" s="14"/>
      <c r="W4784" s="26"/>
      <c r="X4784" s="2">
        <v>1</v>
      </c>
      <c r="Y4784" s="18"/>
      <c r="Z4784" s="2" t="s">
        <v>36</v>
      </c>
      <c r="AA4784" s="13" t="s">
        <v>10387</v>
      </c>
      <c r="AB4784" s="13" t="s">
        <v>10388</v>
      </c>
    </row>
    <row r="4785" spans="1:28" ht="15" customHeight="1">
      <c r="A4785" s="117" t="s">
        <v>9130</v>
      </c>
      <c r="B4785" s="118" t="s">
        <v>3133</v>
      </c>
      <c r="C4785" s="118" t="s">
        <v>2126</v>
      </c>
      <c r="D4785" s="117" t="s">
        <v>99</v>
      </c>
      <c r="E4785" s="117" t="s">
        <v>664</v>
      </c>
      <c r="F4785" s="11" t="s">
        <v>6906</v>
      </c>
      <c r="G4785" s="197" t="s">
        <v>6907</v>
      </c>
      <c r="H4785" s="117" t="s">
        <v>6908</v>
      </c>
      <c r="I4785" s="119" t="s">
        <v>6909</v>
      </c>
      <c r="J4785" s="121">
        <f>+Tabla1[[#This Row],[FECHA ENTRADA]]</f>
        <v>46075</v>
      </c>
      <c r="K4785" s="121">
        <v>46081</v>
      </c>
      <c r="L4785" s="129">
        <f>_xlfn.DAYS(Tabla1[[#This Row],[FECHA FIN ]],Tabla1[[#This Row],[FECHA INICIO]])</f>
        <v>6</v>
      </c>
      <c r="M4785" s="119">
        <v>160</v>
      </c>
      <c r="N4785" s="131"/>
      <c r="O4785" s="131">
        <f>(Tabla1[[#This Row],[COSTO FIJO ]]/30)*Tabla1[[#This Row],[TOTAL DIAS PROYECTO]]+(Tabla1[[#This Row],[COSTO TEMPORAL]])</f>
        <v>160</v>
      </c>
      <c r="P4785" s="119"/>
      <c r="Q4785" s="119">
        <f>+(Tabla1[[#This Row],[COSTO COCHE]]/30)*Tabla1[[#This Row],[TOTAL DIAS PROYECTO]]</f>
        <v>0</v>
      </c>
      <c r="R4785" s="119">
        <f>+Tabla1[[#This Row],[COSTO TOTAL ALOJAMIENTO]]+Tabla1[[#This Row],[COSTO TOTAL COCHE]]</f>
        <v>160</v>
      </c>
      <c r="S4785" s="117"/>
      <c r="T4785" s="124" t="s">
        <v>44</v>
      </c>
      <c r="U4785" s="124">
        <v>46075</v>
      </c>
      <c r="V4785" s="125">
        <v>46081</v>
      </c>
      <c r="W4785" s="119"/>
      <c r="X4785" s="117"/>
      <c r="Y4785" s="118" t="s">
        <v>6910</v>
      </c>
      <c r="Z4785" s="117" t="s">
        <v>36</v>
      </c>
      <c r="AA4785" s="127" t="s">
        <v>10389</v>
      </c>
      <c r="AB4785" s="127" t="s">
        <v>10390</v>
      </c>
    </row>
    <row r="4786" spans="1:28" ht="15" customHeight="1">
      <c r="A4786" s="117" t="s">
        <v>8642</v>
      </c>
      <c r="B4786" s="118" t="s">
        <v>3133</v>
      </c>
      <c r="C4786" s="118" t="s">
        <v>3507</v>
      </c>
      <c r="D4786" s="117" t="s">
        <v>99</v>
      </c>
      <c r="E4786" s="117" t="s">
        <v>664</v>
      </c>
      <c r="F4786" s="11" t="s">
        <v>6906</v>
      </c>
      <c r="G4786" s="197" t="s">
        <v>6907</v>
      </c>
      <c r="H4786" s="117" t="s">
        <v>6908</v>
      </c>
      <c r="I4786" s="119" t="s">
        <v>6909</v>
      </c>
      <c r="J4786" s="121">
        <f>+Tabla1[[#This Row],[FECHA ENTRADA]]</f>
        <v>46075</v>
      </c>
      <c r="K4786" s="121">
        <v>46081</v>
      </c>
      <c r="L4786" s="129">
        <f>_xlfn.DAYS(Tabla1[[#This Row],[FECHA FIN ]],Tabla1[[#This Row],[FECHA INICIO]])</f>
        <v>6</v>
      </c>
      <c r="M4786" s="119">
        <v>160</v>
      </c>
      <c r="N4786" s="131"/>
      <c r="O4786" s="131">
        <f>(Tabla1[[#This Row],[COSTO FIJO ]]/30)*Tabla1[[#This Row],[TOTAL DIAS PROYECTO]]+(Tabla1[[#This Row],[COSTO TEMPORAL]])</f>
        <v>160</v>
      </c>
      <c r="P4786" s="119"/>
      <c r="Q4786" s="119">
        <f>+(Tabla1[[#This Row],[COSTO COCHE]]/30)*Tabla1[[#This Row],[TOTAL DIAS PROYECTO]]</f>
        <v>0</v>
      </c>
      <c r="R4786" s="119">
        <f>+Tabla1[[#This Row],[COSTO TOTAL ALOJAMIENTO]]+Tabla1[[#This Row],[COSTO TOTAL COCHE]]</f>
        <v>160</v>
      </c>
      <c r="S4786" s="117"/>
      <c r="T4786" s="124" t="s">
        <v>44</v>
      </c>
      <c r="U4786" s="124">
        <v>46075</v>
      </c>
      <c r="V4786" s="125">
        <v>46081</v>
      </c>
      <c r="W4786" s="119"/>
      <c r="X4786" s="117"/>
      <c r="Y4786" s="118" t="s">
        <v>6910</v>
      </c>
      <c r="Z4786" s="117" t="s">
        <v>36</v>
      </c>
      <c r="AA4786" s="127" t="s">
        <v>10389</v>
      </c>
      <c r="AB4786" s="127" t="s">
        <v>10390</v>
      </c>
    </row>
    <row r="4787" spans="1:28" ht="15" customHeight="1">
      <c r="A4787" s="117" t="s">
        <v>10038</v>
      </c>
      <c r="B4787" s="118" t="s">
        <v>3133</v>
      </c>
      <c r="C4787" s="118" t="s">
        <v>6020</v>
      </c>
      <c r="D4787" s="117" t="s">
        <v>99</v>
      </c>
      <c r="E4787" s="117" t="s">
        <v>664</v>
      </c>
      <c r="F4787" s="11" t="s">
        <v>6906</v>
      </c>
      <c r="G4787" s="197" t="s">
        <v>6907</v>
      </c>
      <c r="H4787" s="117" t="s">
        <v>6908</v>
      </c>
      <c r="I4787" s="119" t="s">
        <v>6909</v>
      </c>
      <c r="J4787" s="121">
        <f>+Tabla1[[#This Row],[FECHA ENTRADA]]</f>
        <v>46075</v>
      </c>
      <c r="K4787" s="121">
        <v>46081</v>
      </c>
      <c r="L4787" s="129">
        <f>_xlfn.DAYS(Tabla1[[#This Row],[FECHA FIN ]],Tabla1[[#This Row],[FECHA INICIO]])</f>
        <v>6</v>
      </c>
      <c r="M4787" s="119">
        <v>160</v>
      </c>
      <c r="N4787" s="131"/>
      <c r="O4787" s="131">
        <f>(Tabla1[[#This Row],[COSTO FIJO ]]/30)*Tabla1[[#This Row],[TOTAL DIAS PROYECTO]]+(Tabla1[[#This Row],[COSTO TEMPORAL]])</f>
        <v>160</v>
      </c>
      <c r="P4787" s="119"/>
      <c r="Q4787" s="119">
        <f>+(Tabla1[[#This Row],[COSTO COCHE]]/30)*Tabla1[[#This Row],[TOTAL DIAS PROYECTO]]</f>
        <v>0</v>
      </c>
      <c r="R4787" s="119">
        <f>+Tabla1[[#This Row],[COSTO TOTAL ALOJAMIENTO]]+Tabla1[[#This Row],[COSTO TOTAL COCHE]]</f>
        <v>160</v>
      </c>
      <c r="S4787" s="117"/>
      <c r="T4787" s="124" t="s">
        <v>44</v>
      </c>
      <c r="U4787" s="124">
        <v>46075</v>
      </c>
      <c r="V4787" s="125">
        <v>46081</v>
      </c>
      <c r="W4787" s="119"/>
      <c r="X4787" s="117"/>
      <c r="Y4787" s="118" t="s">
        <v>6910</v>
      </c>
      <c r="Z4787" s="117" t="s">
        <v>36</v>
      </c>
      <c r="AA4787" s="127" t="s">
        <v>10389</v>
      </c>
      <c r="AB4787" s="127" t="s">
        <v>10390</v>
      </c>
    </row>
    <row r="4788" spans="1:28" ht="15" customHeight="1">
      <c r="A4788" s="2" t="s">
        <v>8670</v>
      </c>
      <c r="B4788" s="184" t="s">
        <v>711</v>
      </c>
      <c r="C4788" s="31" t="s">
        <v>222</v>
      </c>
      <c r="D4788" s="2" t="s">
        <v>30</v>
      </c>
      <c r="E4788" s="2" t="s">
        <v>790</v>
      </c>
      <c r="F4788" s="11"/>
      <c r="G4788" s="46"/>
      <c r="H4788" s="2" t="s">
        <v>1109</v>
      </c>
      <c r="I4788" s="12" t="s">
        <v>794</v>
      </c>
      <c r="J4788" s="41">
        <f>+Tabla1[[#This Row],[FECHA ENTRADA]]</f>
        <v>45716</v>
      </c>
      <c r="K4788" s="22">
        <v>46081</v>
      </c>
      <c r="L4788" s="42">
        <f>_xlfn.DAYS(Tabla1[[#This Row],[FECHA FIN ]],Tabla1[[#This Row],[FECHA INICIO]])</f>
        <v>365</v>
      </c>
      <c r="M4788" s="12"/>
      <c r="N4788" s="28">
        <v>300</v>
      </c>
      <c r="O4788" s="28">
        <f>(Tabla1[[#This Row],[COSTO FIJO ]]/30)*Tabla1[[#This Row],[TOTAL DIAS PROYECTO]]+(Tabla1[[#This Row],[COSTO TEMPORAL]])</f>
        <v>3650</v>
      </c>
      <c r="P4788" s="12"/>
      <c r="Q4788" s="12">
        <f>+(Tabla1[[#This Row],[COSTO COCHE]]/30)*Tabla1[[#This Row],[TOTAL DIAS PROYECTO]]</f>
        <v>0</v>
      </c>
      <c r="R4788" s="12">
        <f>+Tabla1[[#This Row],[COSTO TOTAL ALOJAMIENTO]]+Tabla1[[#This Row],[COSTO TOTAL COCHE]]</f>
        <v>3650</v>
      </c>
      <c r="S4788" s="2"/>
      <c r="T4788" s="2" t="s">
        <v>58</v>
      </c>
      <c r="U4788" s="14">
        <v>45716</v>
      </c>
      <c r="V4788" s="43"/>
      <c r="W4788" s="26"/>
      <c r="X4788" s="2"/>
      <c r="Y4788" s="11" t="s">
        <v>6911</v>
      </c>
      <c r="Z4788" s="2" t="s">
        <v>36</v>
      </c>
      <c r="AA4788" s="13">
        <v>-574377</v>
      </c>
      <c r="AB4788" s="13">
        <v>4150368</v>
      </c>
    </row>
    <row r="4789" spans="1:28" ht="15" customHeight="1">
      <c r="A4789" s="2" t="s">
        <v>10122</v>
      </c>
      <c r="B4789" s="2" t="s">
        <v>711</v>
      </c>
      <c r="C4789" s="31" t="s">
        <v>6515</v>
      </c>
      <c r="D4789" s="2" t="s">
        <v>30</v>
      </c>
      <c r="E4789" s="2" t="s">
        <v>790</v>
      </c>
      <c r="F4789" s="11"/>
      <c r="G4789" s="11"/>
      <c r="H4789" s="2">
        <v>2023</v>
      </c>
      <c r="I4789" s="12" t="s">
        <v>794</v>
      </c>
      <c r="J4789" s="22">
        <f>+Tabla1[[#This Row],[FECHA ENTRADA]]</f>
        <v>46023</v>
      </c>
      <c r="K4789" s="22">
        <v>46081</v>
      </c>
      <c r="L4789" s="23">
        <f>_xlfn.DAYS(Tabla1[[#This Row],[FECHA FIN ]],Tabla1[[#This Row],[FECHA INICIO]])</f>
        <v>58</v>
      </c>
      <c r="M4789" s="12"/>
      <c r="N4789" s="20">
        <v>300</v>
      </c>
      <c r="O4789" s="24">
        <f>(Tabla1[[#This Row],[COSTO FIJO ]]/30)*Tabla1[[#This Row],[TOTAL DIAS PROYECTO]]+(Tabla1[[#This Row],[COSTO TEMPORAL]])</f>
        <v>580</v>
      </c>
      <c r="P4789" s="12"/>
      <c r="Q4789" s="12">
        <f>+(Tabla1[[#This Row],[COSTO COCHE]]/30)*Tabla1[[#This Row],[TOTAL DIAS PROYECTO]]</f>
        <v>0</v>
      </c>
      <c r="R4789" s="12">
        <f>+Tabla1[[#This Row],[COSTO TOTAL ALOJAMIENTO]]+Tabla1[[#This Row],[COSTO TOTAL COCHE]]</f>
        <v>580</v>
      </c>
      <c r="S4789" s="2"/>
      <c r="T4789" s="14" t="s">
        <v>58</v>
      </c>
      <c r="U4789" s="14">
        <v>46023</v>
      </c>
      <c r="V4789" s="79"/>
      <c r="W4789" s="12"/>
      <c r="X4789" s="2"/>
      <c r="Y4789" s="11" t="s">
        <v>6911</v>
      </c>
      <c r="Z4789" s="2" t="s">
        <v>36</v>
      </c>
      <c r="AA4789" s="13">
        <v>-574377</v>
      </c>
      <c r="AB4789" s="13">
        <v>4150368</v>
      </c>
    </row>
    <row r="4790" spans="1:28" ht="15" customHeight="1">
      <c r="A4790" s="2" t="s">
        <v>9294</v>
      </c>
      <c r="B4790" s="2" t="s">
        <v>711</v>
      </c>
      <c r="C4790" s="31" t="s">
        <v>2731</v>
      </c>
      <c r="D4790" s="2" t="s">
        <v>30</v>
      </c>
      <c r="E4790" s="2" t="s">
        <v>31</v>
      </c>
      <c r="F4790" s="11" t="s">
        <v>6715</v>
      </c>
      <c r="G4790" s="21" t="s">
        <v>6474</v>
      </c>
      <c r="H4790" s="2" t="s">
        <v>6032</v>
      </c>
      <c r="I4790" s="12" t="s">
        <v>5531</v>
      </c>
      <c r="J4790" s="22">
        <f>+Tabla1[[#This Row],[FECHA ENTRADA]]</f>
        <v>46021</v>
      </c>
      <c r="K4790" s="22">
        <v>46081</v>
      </c>
      <c r="L4790" s="23">
        <f>_xlfn.DAYS(Tabla1[[#This Row],[FECHA FIN ]],Tabla1[[#This Row],[FECHA INICIO]])</f>
        <v>60</v>
      </c>
      <c r="M4790" s="12"/>
      <c r="N4790" s="20">
        <v>388.88888888888891</v>
      </c>
      <c r="O4790" s="24">
        <f>(Tabla1[[#This Row],[COSTO FIJO ]]/30)*Tabla1[[#This Row],[TOTAL DIAS PROYECTO]]+(Tabla1[[#This Row],[COSTO TEMPORAL]])</f>
        <v>777.77777777777783</v>
      </c>
      <c r="P4790" s="12"/>
      <c r="Q4790" s="12">
        <f>+(Tabla1[[#This Row],[COSTO COCHE]]/30)*Tabla1[[#This Row],[TOTAL DIAS PROYECTO]]</f>
        <v>0</v>
      </c>
      <c r="R4790" s="12">
        <f>+Tabla1[[#This Row],[COSTO TOTAL ALOJAMIENTO]]+Tabla1[[#This Row],[COSTO TOTAL COCHE]]</f>
        <v>777.77777777777783</v>
      </c>
      <c r="S4790" s="2"/>
      <c r="T4790" s="14" t="s">
        <v>35</v>
      </c>
      <c r="U4790" s="14">
        <v>46021</v>
      </c>
      <c r="V4790" s="79"/>
      <c r="W4790" s="12"/>
      <c r="X4790" s="2">
        <v>28</v>
      </c>
      <c r="Y4790" s="11" t="s">
        <v>6912</v>
      </c>
      <c r="Z4790" s="2" t="s">
        <v>36</v>
      </c>
      <c r="AA4790" s="13" t="s">
        <v>10323</v>
      </c>
      <c r="AB4790" s="13" t="s">
        <v>10324</v>
      </c>
    </row>
    <row r="4791" spans="1:28" ht="15" customHeight="1">
      <c r="A4791" s="2" t="s">
        <v>10065</v>
      </c>
      <c r="B4791" s="2" t="s">
        <v>711</v>
      </c>
      <c r="C4791" s="31" t="s">
        <v>6179</v>
      </c>
      <c r="D4791" s="2" t="s">
        <v>30</v>
      </c>
      <c r="E4791" s="2" t="s">
        <v>31</v>
      </c>
      <c r="F4791" s="11" t="s">
        <v>6473</v>
      </c>
      <c r="G4791" s="21" t="s">
        <v>6474</v>
      </c>
      <c r="H4791" s="2" t="s">
        <v>6128</v>
      </c>
      <c r="I4791" s="12" t="s">
        <v>5531</v>
      </c>
      <c r="J4791" s="22">
        <f>+Tabla1[[#This Row],[FECHA ENTRADA]]</f>
        <v>46021</v>
      </c>
      <c r="K4791" s="22">
        <v>46081</v>
      </c>
      <c r="L4791" s="23">
        <f>_xlfn.DAYS(Tabla1[[#This Row],[FECHA FIN ]],Tabla1[[#This Row],[FECHA INICIO]])</f>
        <v>60</v>
      </c>
      <c r="M4791" s="12"/>
      <c r="N4791" s="20">
        <v>388.88888888888891</v>
      </c>
      <c r="O4791" s="24">
        <f>(Tabla1[[#This Row],[COSTO FIJO ]]/30)*Tabla1[[#This Row],[TOTAL DIAS PROYECTO]]+(Tabla1[[#This Row],[COSTO TEMPORAL]])</f>
        <v>777.77777777777783</v>
      </c>
      <c r="P4791" s="12"/>
      <c r="Q4791" s="12">
        <f>+(Tabla1[[#This Row],[COSTO COCHE]]/30)*Tabla1[[#This Row],[TOTAL DIAS PROYECTO]]</f>
        <v>0</v>
      </c>
      <c r="R4791" s="12">
        <f>+Tabla1[[#This Row],[COSTO TOTAL ALOJAMIENTO]]+Tabla1[[#This Row],[COSTO TOTAL COCHE]]</f>
        <v>777.77777777777783</v>
      </c>
      <c r="S4791" s="2"/>
      <c r="T4791" s="14" t="s">
        <v>35</v>
      </c>
      <c r="U4791" s="14">
        <v>46021</v>
      </c>
      <c r="V4791" s="79"/>
      <c r="W4791" s="12"/>
      <c r="X4791" s="2">
        <v>28</v>
      </c>
      <c r="Y4791" s="11" t="s">
        <v>6912</v>
      </c>
      <c r="Z4791" s="2" t="s">
        <v>36</v>
      </c>
      <c r="AA4791" s="13" t="s">
        <v>10323</v>
      </c>
      <c r="AB4791" s="13" t="s">
        <v>10324</v>
      </c>
    </row>
    <row r="4792" spans="1:28" ht="15" customHeight="1">
      <c r="A4792" s="2" t="s">
        <v>9647</v>
      </c>
      <c r="B4792" s="2" t="s">
        <v>606</v>
      </c>
      <c r="C4792" s="31" t="s">
        <v>4050</v>
      </c>
      <c r="D4792" s="2" t="s">
        <v>99</v>
      </c>
      <c r="E4792" s="2" t="s">
        <v>31</v>
      </c>
      <c r="F4792" s="11"/>
      <c r="G4792" s="21"/>
      <c r="H4792" s="2" t="s">
        <v>6805</v>
      </c>
      <c r="I4792" s="12" t="s">
        <v>6458</v>
      </c>
      <c r="J4792" s="22">
        <f>+Tabla1[[#This Row],[FECHA ENTRADA]]</f>
        <v>46076</v>
      </c>
      <c r="K4792" s="22">
        <v>46081</v>
      </c>
      <c r="L4792" s="23">
        <f>_xlfn.DAYS(Tabla1[[#This Row],[FECHA FIN ]],Tabla1[[#This Row],[FECHA INICIO]])</f>
        <v>5</v>
      </c>
      <c r="M4792" s="12"/>
      <c r="N4792" s="20">
        <v>300</v>
      </c>
      <c r="O4792" s="24">
        <f>(Tabla1[[#This Row],[COSTO FIJO ]]/30)*Tabla1[[#This Row],[TOTAL DIAS PROYECTO]]+(Tabla1[[#This Row],[COSTO TEMPORAL]])</f>
        <v>50</v>
      </c>
      <c r="P4792" s="12"/>
      <c r="Q4792" s="12">
        <f>+(Tabla1[[#This Row],[COSTO COCHE]]/30)*Tabla1[[#This Row],[TOTAL DIAS PROYECTO]]</f>
        <v>0</v>
      </c>
      <c r="R4792" s="12">
        <f>+Tabla1[[#This Row],[COSTO TOTAL ALOJAMIENTO]]+Tabla1[[#This Row],[COSTO TOTAL COCHE]]</f>
        <v>50</v>
      </c>
      <c r="S4792" s="2"/>
      <c r="T4792" s="14" t="s">
        <v>58</v>
      </c>
      <c r="U4792" s="14">
        <v>46076</v>
      </c>
      <c r="V4792" s="79"/>
      <c r="W4792" s="12"/>
      <c r="X4792" s="2"/>
      <c r="Y4792" s="11" t="s">
        <v>6806</v>
      </c>
      <c r="Z4792" s="2" t="s">
        <v>36</v>
      </c>
      <c r="AA4792" s="13" t="s">
        <v>10323</v>
      </c>
      <c r="AB4792" s="13" t="s">
        <v>10324</v>
      </c>
    </row>
    <row r="4793" spans="1:28" ht="15" customHeight="1">
      <c r="A4793" s="2" t="s">
        <v>8838</v>
      </c>
      <c r="B4793" s="2" t="s">
        <v>28</v>
      </c>
      <c r="C4793" s="11" t="s">
        <v>965</v>
      </c>
      <c r="D4793" s="2" t="s">
        <v>30</v>
      </c>
      <c r="E4793" s="2" t="s">
        <v>648</v>
      </c>
      <c r="F4793" s="11" t="s">
        <v>1544</v>
      </c>
      <c r="G4793" s="11" t="s">
        <v>1545</v>
      </c>
      <c r="H4793" s="2" t="s">
        <v>2216</v>
      </c>
      <c r="I4793" s="12" t="s">
        <v>96</v>
      </c>
      <c r="J4793" s="41">
        <f>+Tabla1[[#This Row],[FECHA ENTRADA]]</f>
        <v>45679</v>
      </c>
      <c r="K4793" s="22">
        <v>45869</v>
      </c>
      <c r="L4793" s="42">
        <f>_xlfn.DAYS(Tabla1[[#This Row],[FECHA FIN ]],Tabla1[[#This Row],[FECHA INICIO]])</f>
        <v>190</v>
      </c>
      <c r="M4793" s="12"/>
      <c r="N4793" s="12">
        <v>275</v>
      </c>
      <c r="O4793" s="28">
        <f>(Tabla1[[#This Row],[COSTO FIJO ]]/30)*Tabla1[[#This Row],[TOTAL DIAS PROYECTO]]+(Tabla1[[#This Row],[COSTO TEMPORAL]])</f>
        <v>1741.6666666666665</v>
      </c>
      <c r="P4793" s="12"/>
      <c r="Q4793" s="12">
        <f>+(Tabla1[[#This Row],[COSTO COCHE]]/30)*Tabla1[[#This Row],[TOTAL DIAS PROYECTO]]</f>
        <v>0</v>
      </c>
      <c r="R4793" s="12">
        <f>+Tabla1[[#This Row],[COSTO TOTAL ALOJAMIENTO]]+Tabla1[[#This Row],[COSTO TOTAL COCHE]]</f>
        <v>1741.6666666666665</v>
      </c>
      <c r="S4793" s="2"/>
      <c r="T4793" s="2" t="s">
        <v>35</v>
      </c>
      <c r="U4793" s="14">
        <v>45679</v>
      </c>
      <c r="V4793" s="79"/>
      <c r="W4793" s="26"/>
      <c r="X4793" s="2">
        <v>1</v>
      </c>
      <c r="Y4793" s="11"/>
      <c r="Z4793" s="2" t="s">
        <v>36</v>
      </c>
      <c r="AA4793" s="13" t="s">
        <v>10387</v>
      </c>
      <c r="AB4793" s="13" t="s">
        <v>10388</v>
      </c>
    </row>
    <row r="4794" spans="1:28" ht="15" customHeight="1">
      <c r="A4794" s="2" t="s">
        <v>8954</v>
      </c>
      <c r="B4794" s="2" t="s">
        <v>978</v>
      </c>
      <c r="C4794" s="11" t="s">
        <v>1455</v>
      </c>
      <c r="D4794" s="2" t="s">
        <v>30</v>
      </c>
      <c r="E4794" s="2" t="s">
        <v>109</v>
      </c>
      <c r="F4794" s="11" t="s">
        <v>1980</v>
      </c>
      <c r="G4794" s="68" t="s">
        <v>1981</v>
      </c>
      <c r="H4794" s="2" t="s">
        <v>6913</v>
      </c>
      <c r="I4794" s="12" t="s">
        <v>6914</v>
      </c>
      <c r="J4794" s="41">
        <f>+Tabla1[[#This Row],[FECHA ENTRADA]]</f>
        <v>45841</v>
      </c>
      <c r="K4794" s="41">
        <f ca="1">TODAY()</f>
        <v>46260</v>
      </c>
      <c r="L4794" s="42">
        <f ca="1">_xlfn.DAYS(Tabla1[[#This Row],[FECHA FIN ]],Tabla1[[#This Row],[FECHA INICIO]])</f>
        <v>419</v>
      </c>
      <c r="M4794" s="12"/>
      <c r="N4794" s="28">
        <v>262.5</v>
      </c>
      <c r="O4794" s="28">
        <f ca="1">(Tabla1[[#This Row],[COSTO FIJO ]]/30)*Tabla1[[#This Row],[TOTAL DIAS PROYECTO]]+(Tabla1[[#This Row],[COSTO TEMPORAL]])</f>
        <v>3666.25</v>
      </c>
      <c r="P4794" s="12"/>
      <c r="Q4794" s="12">
        <f ca="1">+(Tabla1[[#This Row],[COSTO COCHE]]/30)*Tabla1[[#This Row],[TOTAL DIAS PROYECTO]]</f>
        <v>0</v>
      </c>
      <c r="R4794" s="12">
        <f ca="1">+Tabla1[[#This Row],[COSTO TOTAL ALOJAMIENTO]]+Tabla1[[#This Row],[COSTO TOTAL COCHE]]</f>
        <v>3666.25</v>
      </c>
      <c r="S4794" s="2"/>
      <c r="T4794" s="14" t="s">
        <v>35</v>
      </c>
      <c r="U4794" s="14">
        <v>45841</v>
      </c>
      <c r="V4794" s="43">
        <v>45872</v>
      </c>
      <c r="W4794" s="12"/>
      <c r="X4794" s="2">
        <v>1</v>
      </c>
      <c r="Y4794" s="240" t="s">
        <v>6915</v>
      </c>
      <c r="Z4794" s="2" t="s">
        <v>702</v>
      </c>
      <c r="AA4794" s="13">
        <v>0.62217999999999996</v>
      </c>
      <c r="AB4794" s="13" t="s">
        <v>10339</v>
      </c>
    </row>
    <row r="4795" spans="1:28" ht="15" customHeight="1">
      <c r="A4795" s="2" t="s">
        <v>9867</v>
      </c>
      <c r="B4795" s="2" t="s">
        <v>606</v>
      </c>
      <c r="C4795" s="31" t="s">
        <v>5109</v>
      </c>
      <c r="D4795" s="2" t="s">
        <v>30</v>
      </c>
      <c r="E4795" s="2" t="s">
        <v>31</v>
      </c>
      <c r="F4795" s="11" t="s">
        <v>715</v>
      </c>
      <c r="G4795" s="11" t="s">
        <v>716</v>
      </c>
      <c r="H4795" s="2" t="s">
        <v>6697</v>
      </c>
      <c r="I4795" s="12" t="s">
        <v>2062</v>
      </c>
      <c r="J4795" s="41">
        <f>+Tabla1[[#This Row],[FECHA ENTRADA]]</f>
        <v>46067</v>
      </c>
      <c r="K4795" s="8">
        <v>46083</v>
      </c>
      <c r="L4795" s="42">
        <f>_xlfn.DAYS(Tabla1[[#This Row],[FECHA FIN ]],Tabla1[[#This Row],[FECHA INICIO]])</f>
        <v>16</v>
      </c>
      <c r="M4795" s="12"/>
      <c r="N4795" s="12">
        <v>160</v>
      </c>
      <c r="O4795" s="28">
        <f>(Tabla1[[#This Row],[COSTO FIJO ]]/30)*Tabla1[[#This Row],[TOTAL DIAS PROYECTO]]+(Tabla1[[#This Row],[COSTO TEMPORAL]])</f>
        <v>85.333333333333329</v>
      </c>
      <c r="P4795" s="12"/>
      <c r="Q4795" s="12">
        <f>+(Tabla1[[#This Row],[COSTO COCHE]]/30)*Tabla1[[#This Row],[TOTAL DIAS PROYECTO]]</f>
        <v>0</v>
      </c>
      <c r="R4795" s="12">
        <f>+Tabla1[[#This Row],[COSTO TOTAL ALOJAMIENTO]]+Tabla1[[#This Row],[COSTO TOTAL COCHE]]</f>
        <v>85.333333333333329</v>
      </c>
      <c r="S4795" s="2"/>
      <c r="T4795" s="14" t="s">
        <v>35</v>
      </c>
      <c r="U4795" s="14">
        <v>46067</v>
      </c>
      <c r="V4795" s="43"/>
      <c r="W4795" s="12"/>
      <c r="X4795" s="2">
        <v>1</v>
      </c>
      <c r="Y4795" s="11" t="s">
        <v>6916</v>
      </c>
      <c r="Z4795" s="2" t="s">
        <v>36</v>
      </c>
      <c r="AA4795" s="13" t="s">
        <v>10323</v>
      </c>
      <c r="AB4795" s="13" t="s">
        <v>10324</v>
      </c>
    </row>
    <row r="4796" spans="1:28" ht="15" customHeight="1">
      <c r="A4796" s="2" t="s">
        <v>9014</v>
      </c>
      <c r="B4796" s="2" t="s">
        <v>606</v>
      </c>
      <c r="C4796" s="31" t="s">
        <v>1701</v>
      </c>
      <c r="D4796" s="2" t="s">
        <v>30</v>
      </c>
      <c r="E4796" s="2" t="s">
        <v>31</v>
      </c>
      <c r="F4796" s="11" t="s">
        <v>715</v>
      </c>
      <c r="G4796" s="11" t="s">
        <v>716</v>
      </c>
      <c r="H4796" s="2" t="s">
        <v>6697</v>
      </c>
      <c r="I4796" s="12" t="s">
        <v>2062</v>
      </c>
      <c r="J4796" s="41">
        <f>+Tabla1[[#This Row],[FECHA ENTRADA]]</f>
        <v>46067</v>
      </c>
      <c r="K4796" s="8">
        <v>46083</v>
      </c>
      <c r="L4796" s="42">
        <f>_xlfn.DAYS(Tabla1[[#This Row],[FECHA FIN ]],Tabla1[[#This Row],[FECHA INICIO]])</f>
        <v>16</v>
      </c>
      <c r="M4796" s="12"/>
      <c r="N4796" s="12">
        <v>160</v>
      </c>
      <c r="O4796" s="28">
        <f>(Tabla1[[#This Row],[COSTO FIJO ]]/30)*Tabla1[[#This Row],[TOTAL DIAS PROYECTO]]+(Tabla1[[#This Row],[COSTO TEMPORAL]])</f>
        <v>85.333333333333329</v>
      </c>
      <c r="P4796" s="12"/>
      <c r="Q4796" s="12">
        <f>+(Tabla1[[#This Row],[COSTO COCHE]]/30)*Tabla1[[#This Row],[TOTAL DIAS PROYECTO]]</f>
        <v>0</v>
      </c>
      <c r="R4796" s="12">
        <f>+Tabla1[[#This Row],[COSTO TOTAL ALOJAMIENTO]]+Tabla1[[#This Row],[COSTO TOTAL COCHE]]</f>
        <v>85.333333333333329</v>
      </c>
      <c r="S4796" s="2"/>
      <c r="T4796" s="14" t="s">
        <v>35</v>
      </c>
      <c r="U4796" s="14">
        <v>46067</v>
      </c>
      <c r="V4796" s="43"/>
      <c r="W4796" s="12"/>
      <c r="X4796" s="2">
        <v>1</v>
      </c>
      <c r="Y4796" s="11" t="s">
        <v>6917</v>
      </c>
      <c r="Z4796" s="2" t="s">
        <v>36</v>
      </c>
      <c r="AA4796" s="13" t="s">
        <v>10323</v>
      </c>
      <c r="AB4796" s="13" t="s">
        <v>10324</v>
      </c>
    </row>
    <row r="4797" spans="1:28" ht="15" customHeight="1">
      <c r="A4797" s="2" t="s">
        <v>9823</v>
      </c>
      <c r="B4797" s="2" t="s">
        <v>606</v>
      </c>
      <c r="C4797" s="31" t="s">
        <v>4923</v>
      </c>
      <c r="D4797" s="2" t="s">
        <v>30</v>
      </c>
      <c r="E4797" s="2" t="s">
        <v>5690</v>
      </c>
      <c r="F4797" s="11" t="s">
        <v>6918</v>
      </c>
      <c r="G4797" s="21" t="s">
        <v>6919</v>
      </c>
      <c r="H4797" s="2" t="s">
        <v>6670</v>
      </c>
      <c r="I4797" s="12" t="s">
        <v>4504</v>
      </c>
      <c r="J4797" s="41">
        <f>+Tabla1[[#This Row],[FECHA ENTRADA]]</f>
        <v>46051</v>
      </c>
      <c r="K4797" s="22">
        <v>46083</v>
      </c>
      <c r="L4797" s="42">
        <f>_xlfn.DAYS(Tabla1[[#This Row],[FECHA FIN ]],Tabla1[[#This Row],[FECHA INICIO]])</f>
        <v>32</v>
      </c>
      <c r="M4797" s="12">
        <v>675</v>
      </c>
      <c r="N4797" s="28"/>
      <c r="O4797" s="28">
        <f>(Tabla1[[#This Row],[COSTO FIJO ]]/30)*Tabla1[[#This Row],[TOTAL DIAS PROYECTO]]+(Tabla1[[#This Row],[COSTO TEMPORAL]])</f>
        <v>675</v>
      </c>
      <c r="P4797" s="12"/>
      <c r="Q4797" s="12">
        <f>+(Tabla1[[#This Row],[COSTO COCHE]]/30)*Tabla1[[#This Row],[TOTAL DIAS PROYECTO]]</f>
        <v>0</v>
      </c>
      <c r="R4797" s="12">
        <f>+Tabla1[[#This Row],[COSTO TOTAL ALOJAMIENTO]]+Tabla1[[#This Row],[COSTO TOTAL COCHE]]</f>
        <v>675</v>
      </c>
      <c r="S4797" s="2" t="s">
        <v>403</v>
      </c>
      <c r="T4797" s="14" t="s">
        <v>44</v>
      </c>
      <c r="U4797" s="14">
        <v>46051</v>
      </c>
      <c r="V4797" s="79">
        <v>46083</v>
      </c>
      <c r="W4797" s="12"/>
      <c r="X4797" s="2"/>
      <c r="Y4797" s="202" t="s">
        <v>6920</v>
      </c>
      <c r="Z4797" s="2" t="s">
        <v>36</v>
      </c>
      <c r="AA4797" s="13" t="e">
        <v>#N/A</v>
      </c>
      <c r="AB4797" s="13" t="e">
        <v>#N/A</v>
      </c>
    </row>
    <row r="4798" spans="1:28" ht="15" customHeight="1">
      <c r="A4798" s="2" t="s">
        <v>9987</v>
      </c>
      <c r="B4798" s="2" t="s">
        <v>606</v>
      </c>
      <c r="C4798" s="279" t="s">
        <v>5849</v>
      </c>
      <c r="D4798" s="2" t="s">
        <v>30</v>
      </c>
      <c r="E4798" s="2" t="s">
        <v>5690</v>
      </c>
      <c r="F4798" s="11" t="s">
        <v>6918</v>
      </c>
      <c r="G4798" s="21" t="s">
        <v>6919</v>
      </c>
      <c r="H4798" s="2" t="s">
        <v>6670</v>
      </c>
      <c r="I4798" s="12" t="s">
        <v>4504</v>
      </c>
      <c r="J4798" s="41">
        <f>+Tabla1[[#This Row],[FECHA ENTRADA]]</f>
        <v>46051</v>
      </c>
      <c r="K4798" s="22">
        <v>46083</v>
      </c>
      <c r="L4798" s="42">
        <f>_xlfn.DAYS(Tabla1[[#This Row],[FECHA FIN ]],Tabla1[[#This Row],[FECHA INICIO]])</f>
        <v>32</v>
      </c>
      <c r="M4798" s="12">
        <v>675</v>
      </c>
      <c r="N4798" s="28"/>
      <c r="O4798" s="28">
        <f>(Tabla1[[#This Row],[COSTO FIJO ]]/30)*Tabla1[[#This Row],[TOTAL DIAS PROYECTO]]+(Tabla1[[#This Row],[COSTO TEMPORAL]])</f>
        <v>675</v>
      </c>
      <c r="P4798" s="12"/>
      <c r="Q4798" s="12">
        <f>+(Tabla1[[#This Row],[COSTO COCHE]]/30)*Tabla1[[#This Row],[TOTAL DIAS PROYECTO]]</f>
        <v>0</v>
      </c>
      <c r="R4798" s="12">
        <f>+Tabla1[[#This Row],[COSTO TOTAL ALOJAMIENTO]]+Tabla1[[#This Row],[COSTO TOTAL COCHE]]</f>
        <v>675</v>
      </c>
      <c r="S4798" s="2" t="s">
        <v>403</v>
      </c>
      <c r="T4798" s="14" t="s">
        <v>44</v>
      </c>
      <c r="U4798" s="14">
        <v>46051</v>
      </c>
      <c r="V4798" s="79">
        <v>46083</v>
      </c>
      <c r="W4798" s="12"/>
      <c r="X4798" s="2"/>
      <c r="Y4798" s="202" t="s">
        <v>6920</v>
      </c>
      <c r="Z4798" s="2" t="s">
        <v>36</v>
      </c>
      <c r="AA4798" s="13" t="e">
        <v>#N/A</v>
      </c>
      <c r="AB4798" s="13" t="e">
        <v>#N/A</v>
      </c>
    </row>
    <row r="4799" spans="1:28" ht="15" customHeight="1">
      <c r="A4799" s="2" t="s">
        <v>9943</v>
      </c>
      <c r="B4799" s="2" t="s">
        <v>606</v>
      </c>
      <c r="C4799" s="31" t="s">
        <v>5589</v>
      </c>
      <c r="D4799" s="2" t="s">
        <v>30</v>
      </c>
      <c r="E4799" s="2" t="s">
        <v>1130</v>
      </c>
      <c r="F4799" s="11" t="s">
        <v>5440</v>
      </c>
      <c r="G4799" s="49" t="s">
        <v>5441</v>
      </c>
      <c r="H4799" s="2" t="s">
        <v>5442</v>
      </c>
      <c r="I4799" s="12" t="s">
        <v>5443</v>
      </c>
      <c r="J4799" s="22">
        <f>+Tabla1[[#This Row],[FECHA ENTRADA]]</f>
        <v>45946</v>
      </c>
      <c r="K4799" s="22">
        <v>46083</v>
      </c>
      <c r="L4799" s="23">
        <f>_xlfn.DAYS(Tabla1[[#This Row],[FECHA FIN ]],Tabla1[[#This Row],[FECHA INICIO]])</f>
        <v>137</v>
      </c>
      <c r="M4799" s="12">
        <f>435+600</f>
        <v>1035</v>
      </c>
      <c r="N4799" s="24"/>
      <c r="O4799" s="24">
        <f>(Tabla1[[#This Row],[COSTO FIJO ]]/30)*Tabla1[[#This Row],[TOTAL DIAS PROYECTO]]+(Tabla1[[#This Row],[COSTO TEMPORAL]])</f>
        <v>1035</v>
      </c>
      <c r="P4799" s="12"/>
      <c r="Q4799" s="12">
        <f>+(Tabla1[[#This Row],[COSTO COCHE]]/30)*Tabla1[[#This Row],[TOTAL DIAS PROYECTO]]</f>
        <v>0</v>
      </c>
      <c r="R4799" s="12">
        <f>+Tabla1[[#This Row],[COSTO TOTAL ALOJAMIENTO]]+Tabla1[[#This Row],[COSTO TOTAL COCHE]]</f>
        <v>1035</v>
      </c>
      <c r="S4799" s="2"/>
      <c r="T4799" s="14" t="s">
        <v>44</v>
      </c>
      <c r="U4799" s="14">
        <v>45946</v>
      </c>
      <c r="V4799" s="79">
        <v>46085</v>
      </c>
      <c r="W4799" s="71"/>
      <c r="X4799" s="2"/>
      <c r="Y4799" s="11" t="s">
        <v>6921</v>
      </c>
      <c r="Z4799" s="2" t="s">
        <v>36</v>
      </c>
      <c r="AA4799" s="13" t="s">
        <v>10412</v>
      </c>
      <c r="AB4799" s="13">
        <v>4200955</v>
      </c>
    </row>
    <row r="4800" spans="1:28" ht="15" customHeight="1">
      <c r="A4800" s="2" t="s">
        <v>9650</v>
      </c>
      <c r="B4800" s="2" t="s">
        <v>711</v>
      </c>
      <c r="C4800" s="31" t="s">
        <v>4065</v>
      </c>
      <c r="D4800" s="2" t="s">
        <v>78</v>
      </c>
      <c r="E4800" s="2" t="s">
        <v>4027</v>
      </c>
      <c r="F4800" s="11" t="s">
        <v>4028</v>
      </c>
      <c r="G4800" s="46" t="s">
        <v>4029</v>
      </c>
      <c r="H4800" s="2" t="s">
        <v>1360</v>
      </c>
      <c r="I4800" s="29" t="s">
        <v>4030</v>
      </c>
      <c r="J4800" s="41">
        <f>+Tabla1[[#This Row],[FECHA ENTRADA]]</f>
        <v>45829</v>
      </c>
      <c r="K4800" s="8">
        <v>46083</v>
      </c>
      <c r="L4800" s="42">
        <f>_xlfn.DAYS(Tabla1[[#This Row],[FECHA FIN ]],Tabla1[[#This Row],[FECHA INICIO]])</f>
        <v>254</v>
      </c>
      <c r="M4800" s="12">
        <f>1261.94/2</f>
        <v>630.97</v>
      </c>
      <c r="N4800" s="28"/>
      <c r="O4800" s="28">
        <f>(Tabla1[[#This Row],[COSTO FIJO ]]/30)*Tabla1[[#This Row],[TOTAL DIAS PROYECTO]]+(Tabla1[[#This Row],[COSTO TEMPORAL]])</f>
        <v>630.97</v>
      </c>
      <c r="P4800" s="12"/>
      <c r="Q4800" s="12">
        <f>+(Tabla1[[#This Row],[COSTO COCHE]]/30)*Tabla1[[#This Row],[TOTAL DIAS PROYECTO]]</f>
        <v>0</v>
      </c>
      <c r="R4800" s="12">
        <f>+Tabla1[[#This Row],[COSTO TOTAL ALOJAMIENTO]]+Tabla1[[#This Row],[COSTO TOTAL COCHE]]</f>
        <v>630.97</v>
      </c>
      <c r="S4800" s="2" t="s">
        <v>84</v>
      </c>
      <c r="T4800" s="2" t="s">
        <v>44</v>
      </c>
      <c r="U4800" s="14">
        <v>45829</v>
      </c>
      <c r="V4800" s="79">
        <v>46083</v>
      </c>
      <c r="W4800" s="2"/>
      <c r="X4800" s="2"/>
      <c r="Y4800" s="11" t="s">
        <v>6922</v>
      </c>
      <c r="Z4800" s="2" t="s">
        <v>36</v>
      </c>
      <c r="AA4800" s="13" t="e">
        <v>#N/A</v>
      </c>
      <c r="AB4800" s="13" t="e">
        <v>#N/A</v>
      </c>
    </row>
    <row r="4801" spans="1:28" ht="15" customHeight="1">
      <c r="A4801" s="2" t="s">
        <v>9029</v>
      </c>
      <c r="B4801" s="2" t="s">
        <v>606</v>
      </c>
      <c r="C4801" s="31" t="s">
        <v>1739</v>
      </c>
      <c r="D4801" s="2" t="s">
        <v>99</v>
      </c>
      <c r="E4801" s="2" t="s">
        <v>31</v>
      </c>
      <c r="F4801" s="11" t="s">
        <v>6923</v>
      </c>
      <c r="G4801" s="21"/>
      <c r="H4801" s="2" t="s">
        <v>5308</v>
      </c>
      <c r="I4801" s="12" t="s">
        <v>385</v>
      </c>
      <c r="J4801" s="22">
        <f>+Tabla1[[#This Row],[FECHA ENTRADA]]</f>
        <v>45937</v>
      </c>
      <c r="K4801" s="22">
        <v>46080</v>
      </c>
      <c r="L4801" s="23">
        <f>_xlfn.DAYS(Tabla1[[#This Row],[FECHA FIN ]],Tabla1[[#This Row],[FECHA INICIO]])</f>
        <v>143</v>
      </c>
      <c r="M4801" s="12"/>
      <c r="N4801" s="24">
        <v>300</v>
      </c>
      <c r="O4801" s="24">
        <f>(Tabla1[[#This Row],[COSTO FIJO ]]/30)*Tabla1[[#This Row],[TOTAL DIAS PROYECTO]]+(Tabla1[[#This Row],[COSTO TEMPORAL]])</f>
        <v>1430</v>
      </c>
      <c r="P4801" s="12"/>
      <c r="Q4801" s="12">
        <f>+(Tabla1[[#This Row],[COSTO COCHE]]/30)*Tabla1[[#This Row],[TOTAL DIAS PROYECTO]]</f>
        <v>0</v>
      </c>
      <c r="R4801" s="12">
        <f>+Tabla1[[#This Row],[COSTO TOTAL ALOJAMIENTO]]+Tabla1[[#This Row],[COSTO TOTAL COCHE]]</f>
        <v>1430</v>
      </c>
      <c r="S4801" s="2"/>
      <c r="T4801" s="14" t="s">
        <v>58</v>
      </c>
      <c r="U4801" s="14">
        <v>45937</v>
      </c>
      <c r="V4801" s="25"/>
      <c r="W4801" s="71"/>
      <c r="X4801" s="2"/>
      <c r="Y4801" s="11" t="s">
        <v>6924</v>
      </c>
      <c r="Z4801" s="2" t="s">
        <v>36</v>
      </c>
      <c r="AA4801" s="13" t="s">
        <v>10323</v>
      </c>
      <c r="AB4801" s="13" t="s">
        <v>10324</v>
      </c>
    </row>
    <row r="4802" spans="1:28" ht="15" customHeight="1">
      <c r="A4802" s="2" t="s">
        <v>9462</v>
      </c>
      <c r="B4802" s="2" t="s">
        <v>606</v>
      </c>
      <c r="C4802" s="11" t="s">
        <v>3271</v>
      </c>
      <c r="D4802" s="2" t="s">
        <v>30</v>
      </c>
      <c r="E4802" s="2" t="s">
        <v>855</v>
      </c>
      <c r="F4802" s="11" t="s">
        <v>6925</v>
      </c>
      <c r="G4802" s="21" t="s">
        <v>6926</v>
      </c>
      <c r="H4802" s="2" t="s">
        <v>3273</v>
      </c>
      <c r="I4802" s="12" t="s">
        <v>3274</v>
      </c>
      <c r="J4802" s="22">
        <f>+Tabla1[[#This Row],[FECHA ENTRADA]]</f>
        <v>46187</v>
      </c>
      <c r="K4802" s="22">
        <f ca="1">TODAY()</f>
        <v>46260</v>
      </c>
      <c r="L4802" s="23">
        <f ca="1">_xlfn.DAYS(Tabla1[[#This Row],[FECHA FIN ]],Tabla1[[#This Row],[FECHA INICIO]])</f>
        <v>73</v>
      </c>
      <c r="M4802" s="12">
        <f>1704.92/4</f>
        <v>426.23</v>
      </c>
      <c r="N4802" s="24"/>
      <c r="O4802" s="24">
        <f ca="1">(Tabla1[[#This Row],[COSTO FIJO ]]/30)*Tabla1[[#This Row],[TOTAL DIAS PROYECTO]]+(Tabla1[[#This Row],[COSTO TEMPORAL]])</f>
        <v>426.23</v>
      </c>
      <c r="P4802" s="12"/>
      <c r="Q4802" s="12">
        <f ca="1">+(Tabla1[[#This Row],[COSTO COCHE]]/30)*Tabla1[[#This Row],[TOTAL DIAS PROYECTO]]</f>
        <v>0</v>
      </c>
      <c r="R4802" s="12">
        <f ca="1">+Tabla1[[#This Row],[COSTO TOTAL ALOJAMIENTO]]+Tabla1[[#This Row],[COSTO TOTAL COCHE]]</f>
        <v>426.23</v>
      </c>
      <c r="S4802" s="2" t="s">
        <v>84</v>
      </c>
      <c r="T4802" s="14" t="s">
        <v>44</v>
      </c>
      <c r="U4802" s="14">
        <v>46187</v>
      </c>
      <c r="V4802" s="25">
        <v>46204</v>
      </c>
      <c r="W4802" s="12"/>
      <c r="X4802" s="2"/>
      <c r="Y4802" s="11" t="s">
        <v>6927</v>
      </c>
      <c r="Z4802" s="2" t="s">
        <v>36</v>
      </c>
      <c r="AA4802" s="13" t="s">
        <v>10401</v>
      </c>
      <c r="AB4802" s="13" t="s">
        <v>10402</v>
      </c>
    </row>
    <row r="4803" spans="1:28" ht="15" customHeight="1">
      <c r="A4803" s="2" t="s">
        <v>9406</v>
      </c>
      <c r="B4803" s="2" t="s">
        <v>978</v>
      </c>
      <c r="C4803" s="11" t="s">
        <v>3075</v>
      </c>
      <c r="D4803" s="2" t="s">
        <v>30</v>
      </c>
      <c r="E4803" s="2" t="s">
        <v>109</v>
      </c>
      <c r="F4803" s="11" t="s">
        <v>4434</v>
      </c>
      <c r="G4803" s="21">
        <v>973266788</v>
      </c>
      <c r="H4803" s="2" t="s">
        <v>5355</v>
      </c>
      <c r="I4803" s="12" t="s">
        <v>5356</v>
      </c>
      <c r="J4803" s="41">
        <f>+Tabla1[[#This Row],[FECHA ENTRADA]]</f>
        <v>45875</v>
      </c>
      <c r="K4803" s="41">
        <v>45895</v>
      </c>
      <c r="L4803" s="42">
        <f>_xlfn.DAYS(Tabla1[[#This Row],[FECHA FIN ]],Tabla1[[#This Row],[FECHA INICIO]])</f>
        <v>20</v>
      </c>
      <c r="M4803" s="12"/>
      <c r="N4803" s="12"/>
      <c r="O4803" s="28">
        <f>(Tabla1[[#This Row],[COSTO FIJO ]]/30)*Tabla1[[#This Row],[TOTAL DIAS PROYECTO]]+(Tabla1[[#This Row],[COSTO TEMPORAL]])</f>
        <v>0</v>
      </c>
      <c r="P4803" s="12"/>
      <c r="Q4803" s="12">
        <f>+(Tabla1[[#This Row],[COSTO COCHE]]/30)*Tabla1[[#This Row],[TOTAL DIAS PROYECTO]]</f>
        <v>0</v>
      </c>
      <c r="R4803" s="12">
        <f>+Tabla1[[#This Row],[COSTO TOTAL ALOJAMIENTO]]+Tabla1[[#This Row],[COSTO TOTAL COCHE]]</f>
        <v>0</v>
      </c>
      <c r="S4803" s="2"/>
      <c r="T4803" s="14" t="s">
        <v>44</v>
      </c>
      <c r="U4803" s="14">
        <v>45875</v>
      </c>
      <c r="V4803" s="43">
        <v>45895</v>
      </c>
      <c r="W4803" s="12"/>
      <c r="X4803" s="2"/>
      <c r="Y4803" s="11" t="s">
        <v>6764</v>
      </c>
      <c r="Z4803" s="2" t="s">
        <v>36</v>
      </c>
      <c r="AA4803" s="13">
        <v>0.62217999999999996</v>
      </c>
      <c r="AB4803" s="13" t="s">
        <v>10339</v>
      </c>
    </row>
    <row r="4804" spans="1:28" ht="15" customHeight="1">
      <c r="A4804" s="2" t="s">
        <v>8642</v>
      </c>
      <c r="B4804" s="2" t="s">
        <v>606</v>
      </c>
      <c r="C4804" s="11" t="s">
        <v>6928</v>
      </c>
      <c r="D4804" s="2" t="s">
        <v>30</v>
      </c>
      <c r="E4804" s="2" t="s">
        <v>31</v>
      </c>
      <c r="F4804" s="11" t="s">
        <v>6929</v>
      </c>
      <c r="G4804" s="49"/>
      <c r="H4804" s="2" t="s">
        <v>6930</v>
      </c>
      <c r="I4804" s="12" t="s">
        <v>385</v>
      </c>
      <c r="J4804" s="22">
        <f>+Tabla1[[#This Row],[FECHA ENTRADA]]</f>
        <v>46083</v>
      </c>
      <c r="K4804" s="22">
        <v>46083</v>
      </c>
      <c r="L4804" s="23">
        <f>_xlfn.DAYS(Tabla1[[#This Row],[FECHA FIN ]],Tabla1[[#This Row],[FECHA INICIO]])</f>
        <v>0</v>
      </c>
      <c r="M4804" s="12"/>
      <c r="N4804" s="24"/>
      <c r="O4804" s="24">
        <f>(Tabla1[[#This Row],[COSTO FIJO ]]/30)*Tabla1[[#This Row],[TOTAL DIAS PROYECTO]]+(Tabla1[[#This Row],[COSTO TEMPORAL]])</f>
        <v>0</v>
      </c>
      <c r="P4804" s="12"/>
      <c r="Q4804" s="12">
        <f>+(Tabla1[[#This Row],[COSTO COCHE]]/30)*Tabla1[[#This Row],[TOTAL DIAS PROYECTO]]</f>
        <v>0</v>
      </c>
      <c r="R4804" s="12">
        <f>+Tabla1[[#This Row],[COSTO TOTAL ALOJAMIENTO]]+Tabla1[[#This Row],[COSTO TOTAL COCHE]]</f>
        <v>0</v>
      </c>
      <c r="S4804" s="2"/>
      <c r="T4804" s="14" t="s">
        <v>613</v>
      </c>
      <c r="U4804" s="14">
        <v>46083</v>
      </c>
      <c r="V4804" s="25"/>
      <c r="W4804" s="12"/>
      <c r="X4804" s="2"/>
      <c r="Y4804" s="11" t="s">
        <v>6931</v>
      </c>
      <c r="Z4804" s="2" t="s">
        <v>36</v>
      </c>
      <c r="AA4804" s="13" t="s">
        <v>10323</v>
      </c>
      <c r="AB4804" s="13" t="s">
        <v>10324</v>
      </c>
    </row>
    <row r="4805" spans="1:28" ht="15" customHeight="1">
      <c r="A4805" s="2" t="s">
        <v>8642</v>
      </c>
      <c r="B4805" s="11" t="s">
        <v>3133</v>
      </c>
      <c r="C4805" s="313" t="s">
        <v>6932</v>
      </c>
      <c r="D4805" s="2" t="s">
        <v>99</v>
      </c>
      <c r="E4805" s="2" t="s">
        <v>1443</v>
      </c>
      <c r="F4805" s="11" t="s">
        <v>6933</v>
      </c>
      <c r="G4805" s="46" t="s">
        <v>6934</v>
      </c>
      <c r="H4805" s="2" t="s">
        <v>6935</v>
      </c>
      <c r="I4805" s="12" t="s">
        <v>6936</v>
      </c>
      <c r="J4805" s="41">
        <f>+Tabla1[[#This Row],[FECHA ENTRADA]]</f>
        <v>46077</v>
      </c>
      <c r="K4805" s="22">
        <v>46084</v>
      </c>
      <c r="L4805" s="42">
        <f>_xlfn.DAYS(Tabla1[[#This Row],[FECHA FIN ]],Tabla1[[#This Row],[FECHA INICIO]])</f>
        <v>7</v>
      </c>
      <c r="M4805" s="12">
        <f>667.59/2</f>
        <v>333.79500000000002</v>
      </c>
      <c r="N4805" s="28"/>
      <c r="O4805" s="28">
        <f>(Tabla1[[#This Row],[COSTO FIJO ]]/30)*Tabla1[[#This Row],[TOTAL DIAS PROYECTO]]+(Tabla1[[#This Row],[COSTO TEMPORAL]])</f>
        <v>333.79500000000002</v>
      </c>
      <c r="P4805" s="12"/>
      <c r="Q4805" s="12">
        <f>+(Tabla1[[#This Row],[COSTO COCHE]]/30)*Tabla1[[#This Row],[TOTAL DIAS PROYECTO]]</f>
        <v>0</v>
      </c>
      <c r="R4805" s="12">
        <f>+Tabla1[[#This Row],[COSTO TOTAL ALOJAMIENTO]]+Tabla1[[#This Row],[COSTO TOTAL COCHE]]</f>
        <v>333.79500000000002</v>
      </c>
      <c r="S4805" s="2" t="s">
        <v>403</v>
      </c>
      <c r="T4805" s="14" t="s">
        <v>44</v>
      </c>
      <c r="U4805" s="14">
        <v>46077</v>
      </c>
      <c r="V4805" s="43">
        <v>46084</v>
      </c>
      <c r="W4805" s="12"/>
      <c r="X4805" s="2"/>
      <c r="Y4805" s="11" t="s">
        <v>6937</v>
      </c>
      <c r="Z4805" s="2" t="s">
        <v>36</v>
      </c>
      <c r="AA4805" s="13" t="s">
        <v>10420</v>
      </c>
      <c r="AB4805" s="13">
        <v>3907741</v>
      </c>
    </row>
    <row r="4806" spans="1:28" ht="15" customHeight="1">
      <c r="A4806" s="2" t="s">
        <v>8642</v>
      </c>
      <c r="B4806" s="11" t="s">
        <v>3133</v>
      </c>
      <c r="C4806" s="313" t="s">
        <v>6938</v>
      </c>
      <c r="D4806" s="2" t="s">
        <v>99</v>
      </c>
      <c r="E4806" s="2" t="s">
        <v>1443</v>
      </c>
      <c r="F4806" s="11" t="s">
        <v>6933</v>
      </c>
      <c r="G4806" s="46" t="s">
        <v>6934</v>
      </c>
      <c r="H4806" s="2" t="s">
        <v>6935</v>
      </c>
      <c r="I4806" s="12" t="s">
        <v>6936</v>
      </c>
      <c r="J4806" s="41">
        <f>+Tabla1[[#This Row],[FECHA ENTRADA]]</f>
        <v>46077</v>
      </c>
      <c r="K4806" s="22">
        <v>46084</v>
      </c>
      <c r="L4806" s="42">
        <f>_xlfn.DAYS(Tabla1[[#This Row],[FECHA FIN ]],Tabla1[[#This Row],[FECHA INICIO]])</f>
        <v>7</v>
      </c>
      <c r="M4806" s="12">
        <f>667.59/2</f>
        <v>333.79500000000002</v>
      </c>
      <c r="N4806" s="28"/>
      <c r="O4806" s="28">
        <f>(Tabla1[[#This Row],[COSTO FIJO ]]/30)*Tabla1[[#This Row],[TOTAL DIAS PROYECTO]]+(Tabla1[[#This Row],[COSTO TEMPORAL]])</f>
        <v>333.79500000000002</v>
      </c>
      <c r="P4806" s="12"/>
      <c r="Q4806" s="12">
        <f>+(Tabla1[[#This Row],[COSTO COCHE]]/30)*Tabla1[[#This Row],[TOTAL DIAS PROYECTO]]</f>
        <v>0</v>
      </c>
      <c r="R4806" s="12">
        <f>+Tabla1[[#This Row],[COSTO TOTAL ALOJAMIENTO]]+Tabla1[[#This Row],[COSTO TOTAL COCHE]]</f>
        <v>333.79500000000002</v>
      </c>
      <c r="S4806" s="2" t="s">
        <v>403</v>
      </c>
      <c r="T4806" s="14" t="s">
        <v>44</v>
      </c>
      <c r="U4806" s="14">
        <v>46077</v>
      </c>
      <c r="V4806" s="43">
        <v>46084</v>
      </c>
      <c r="W4806" s="12"/>
      <c r="X4806" s="2"/>
      <c r="Y4806" s="11" t="s">
        <v>6939</v>
      </c>
      <c r="Z4806" s="2" t="s">
        <v>36</v>
      </c>
      <c r="AA4806" s="13" t="s">
        <v>10420</v>
      </c>
      <c r="AB4806" s="13">
        <v>3907741</v>
      </c>
    </row>
    <row r="4807" spans="1:28" ht="15" customHeight="1">
      <c r="A4807" s="2" t="s">
        <v>10176</v>
      </c>
      <c r="B4807" s="2" t="s">
        <v>606</v>
      </c>
      <c r="C4807" s="31" t="s">
        <v>6940</v>
      </c>
      <c r="D4807" s="2" t="s">
        <v>30</v>
      </c>
      <c r="E4807" s="2" t="s">
        <v>31</v>
      </c>
      <c r="F4807" s="11" t="s">
        <v>6382</v>
      </c>
      <c r="G4807" s="21" t="s">
        <v>6372</v>
      </c>
      <c r="H4807" s="2" t="s">
        <v>6941</v>
      </c>
      <c r="I4807" s="12" t="s">
        <v>385</v>
      </c>
      <c r="J4807" s="22">
        <f>+Tabla1[[#This Row],[FECHA ENTRADA]]</f>
        <v>45949</v>
      </c>
      <c r="K4807" s="22">
        <v>46084</v>
      </c>
      <c r="L4807" s="23">
        <f>_xlfn.DAYS(Tabla1[[#This Row],[FECHA FIN ]],Tabla1[[#This Row],[FECHA INICIO]])</f>
        <v>135</v>
      </c>
      <c r="M4807" s="12">
        <v>293.33333333333331</v>
      </c>
      <c r="N4807" s="20"/>
      <c r="O4807" s="24">
        <f>(Tabla1[[#This Row],[COSTO FIJO ]]/30)*Tabla1[[#This Row],[TOTAL DIAS PROYECTO]]+(Tabla1[[#This Row],[COSTO TEMPORAL]])</f>
        <v>293.33333333333331</v>
      </c>
      <c r="P4807" s="12"/>
      <c r="Q4807" s="12">
        <f>+(Tabla1[[#This Row],[COSTO COCHE]]/30)*Tabla1[[#This Row],[TOTAL DIAS PROYECTO]]</f>
        <v>0</v>
      </c>
      <c r="R4807" s="12">
        <f>+Tabla1[[#This Row],[COSTO TOTAL ALOJAMIENTO]]+Tabla1[[#This Row],[COSTO TOTAL COCHE]]</f>
        <v>293.33333333333331</v>
      </c>
      <c r="S4807" s="2"/>
      <c r="T4807" s="14" t="s">
        <v>44</v>
      </c>
      <c r="U4807" s="14">
        <v>45949</v>
      </c>
      <c r="V4807" s="25">
        <v>46100</v>
      </c>
      <c r="W4807" s="71"/>
      <c r="X4807" s="2"/>
      <c r="Y4807" s="11" t="s">
        <v>6942</v>
      </c>
      <c r="Z4807" s="2" t="s">
        <v>36</v>
      </c>
      <c r="AA4807" s="13" t="s">
        <v>10323</v>
      </c>
      <c r="AB4807" s="13" t="s">
        <v>10324</v>
      </c>
    </row>
    <row r="4808" spans="1:28" ht="15" customHeight="1">
      <c r="A4808" s="2" t="s">
        <v>10076</v>
      </c>
      <c r="B4808" s="2" t="s">
        <v>606</v>
      </c>
      <c r="C4808" s="31" t="s">
        <v>6225</v>
      </c>
      <c r="D4808" s="2" t="s">
        <v>30</v>
      </c>
      <c r="E4808" s="2" t="s">
        <v>31</v>
      </c>
      <c r="F4808" s="11" t="s">
        <v>6382</v>
      </c>
      <c r="G4808" s="21" t="s">
        <v>6372</v>
      </c>
      <c r="H4808" s="2" t="s">
        <v>6227</v>
      </c>
      <c r="I4808" s="12" t="s">
        <v>385</v>
      </c>
      <c r="J4808" s="22">
        <f>+Tabla1[[#This Row],[FECHA ENTRADA]]</f>
        <v>45985</v>
      </c>
      <c r="K4808" s="22">
        <v>46084</v>
      </c>
      <c r="L4808" s="23">
        <f>_xlfn.DAYS(Tabla1[[#This Row],[FECHA FIN ]],Tabla1[[#This Row],[FECHA INICIO]])</f>
        <v>99</v>
      </c>
      <c r="M4808" s="12">
        <v>293.33333333333331</v>
      </c>
      <c r="N4808" s="20"/>
      <c r="O4808" s="24">
        <f>(Tabla1[[#This Row],[COSTO FIJO ]]/30)*Tabla1[[#This Row],[TOTAL DIAS PROYECTO]]+(Tabla1[[#This Row],[COSTO TEMPORAL]])</f>
        <v>293.33333333333331</v>
      </c>
      <c r="P4808" s="12"/>
      <c r="Q4808" s="12">
        <f>+(Tabla1[[#This Row],[COSTO COCHE]]/30)*Tabla1[[#This Row],[TOTAL DIAS PROYECTO]]</f>
        <v>0</v>
      </c>
      <c r="R4808" s="12">
        <f>+Tabla1[[#This Row],[COSTO TOTAL ALOJAMIENTO]]+Tabla1[[#This Row],[COSTO TOTAL COCHE]]</f>
        <v>293.33333333333331</v>
      </c>
      <c r="S4808" s="2"/>
      <c r="T4808" s="14" t="s">
        <v>44</v>
      </c>
      <c r="U4808" s="14">
        <v>45985</v>
      </c>
      <c r="V4808" s="79">
        <v>46100</v>
      </c>
      <c r="W4808" s="71"/>
      <c r="X4808" s="2"/>
      <c r="Y4808" s="11" t="s">
        <v>6943</v>
      </c>
      <c r="Z4808" s="2" t="s">
        <v>36</v>
      </c>
      <c r="AA4808" s="13" t="s">
        <v>10323</v>
      </c>
      <c r="AB4808" s="13" t="s">
        <v>10324</v>
      </c>
    </row>
    <row r="4809" spans="1:28" ht="15" customHeight="1">
      <c r="A4809" s="2" t="s">
        <v>9492</v>
      </c>
      <c r="B4809" s="2" t="s">
        <v>606</v>
      </c>
      <c r="C4809" s="31" t="s">
        <v>3372</v>
      </c>
      <c r="D4809" s="2" t="s">
        <v>99</v>
      </c>
      <c r="E4809" s="2" t="s">
        <v>31</v>
      </c>
      <c r="F4809" s="11"/>
      <c r="G4809" s="46"/>
      <c r="H4809" s="2" t="s">
        <v>3371</v>
      </c>
      <c r="I4809" s="12" t="s">
        <v>385</v>
      </c>
      <c r="J4809" s="41">
        <f>+Tabla1[[#This Row],[FECHA ENTRADA]]</f>
        <v>45853</v>
      </c>
      <c r="K4809" s="41">
        <v>46084</v>
      </c>
      <c r="L4809" s="42">
        <f>_xlfn.DAYS(Tabla1[[#This Row],[FECHA FIN ]],Tabla1[[#This Row],[FECHA INICIO]])</f>
        <v>231</v>
      </c>
      <c r="M4809" s="12"/>
      <c r="N4809" s="28">
        <v>300</v>
      </c>
      <c r="O4809" s="28">
        <f>(Tabla1[[#This Row],[COSTO FIJO ]]/30)*Tabla1[[#This Row],[TOTAL DIAS PROYECTO]]+(Tabla1[[#This Row],[COSTO TEMPORAL]])</f>
        <v>2310</v>
      </c>
      <c r="P4809" s="12"/>
      <c r="Q4809" s="12">
        <f>+(Tabla1[[#This Row],[COSTO COCHE]]/30)*Tabla1[[#This Row],[TOTAL DIAS PROYECTO]]</f>
        <v>0</v>
      </c>
      <c r="R4809" s="12">
        <f>+Tabla1[[#This Row],[COSTO TOTAL ALOJAMIENTO]]+Tabla1[[#This Row],[COSTO TOTAL COCHE]]</f>
        <v>2310</v>
      </c>
      <c r="S4809" s="2"/>
      <c r="T4809" s="14" t="s">
        <v>58</v>
      </c>
      <c r="U4809" s="14">
        <v>45853</v>
      </c>
      <c r="V4809" s="43"/>
      <c r="W4809" s="12"/>
      <c r="X4809" s="2"/>
      <c r="Y4809" s="11" t="s">
        <v>6942</v>
      </c>
      <c r="Z4809" s="2" t="s">
        <v>36</v>
      </c>
      <c r="AA4809" s="13" t="s">
        <v>10323</v>
      </c>
      <c r="AB4809" s="13" t="s">
        <v>10324</v>
      </c>
    </row>
    <row r="4810" spans="1:28" ht="15" customHeight="1">
      <c r="A4810" s="2" t="s">
        <v>9852</v>
      </c>
      <c r="B4810" s="2" t="s">
        <v>368</v>
      </c>
      <c r="C4810" s="31" t="s">
        <v>5044</v>
      </c>
      <c r="D4810" s="2" t="s">
        <v>30</v>
      </c>
      <c r="E4810" s="2" t="s">
        <v>109</v>
      </c>
      <c r="F4810" s="11" t="s">
        <v>4434</v>
      </c>
      <c r="G4810" s="49">
        <v>973266788</v>
      </c>
      <c r="H4810" s="2" t="s">
        <v>5475</v>
      </c>
      <c r="I4810" s="12" t="s">
        <v>42</v>
      </c>
      <c r="J4810" s="41">
        <f>+Tabla1[[#This Row],[FECHA ENTRADA]]</f>
        <v>45924</v>
      </c>
      <c r="K4810" s="22">
        <v>45928</v>
      </c>
      <c r="L4810" s="42">
        <f>_xlfn.DAYS(Tabla1[[#This Row],[FECHA FIN ]],Tabla1[[#This Row],[FECHA INICIO]])</f>
        <v>4</v>
      </c>
      <c r="M4810" s="12"/>
      <c r="N4810" s="12"/>
      <c r="O4810" s="28">
        <f>(Tabla1[[#This Row],[COSTO FIJO ]]/30)*Tabla1[[#This Row],[TOTAL DIAS PROYECTO]]+(Tabla1[[#This Row],[COSTO TEMPORAL]])</f>
        <v>0</v>
      </c>
      <c r="P4810" s="12"/>
      <c r="Q4810" s="12">
        <f>+(Tabla1[[#This Row],[COSTO COCHE]]/30)*Tabla1[[#This Row],[TOTAL DIAS PROYECTO]]</f>
        <v>0</v>
      </c>
      <c r="R4810" s="12">
        <f>+Tabla1[[#This Row],[COSTO TOTAL ALOJAMIENTO]]+Tabla1[[#This Row],[COSTO TOTAL COCHE]]</f>
        <v>0</v>
      </c>
      <c r="S4810" s="2"/>
      <c r="T4810" s="14" t="s">
        <v>44</v>
      </c>
      <c r="U4810" s="14">
        <v>45924</v>
      </c>
      <c r="V4810" s="25">
        <v>45928</v>
      </c>
      <c r="W4810" s="71"/>
      <c r="X4810" s="2"/>
      <c r="Y4810" s="11" t="s">
        <v>6944</v>
      </c>
      <c r="Z4810" s="2" t="s">
        <v>36</v>
      </c>
      <c r="AA4810" s="13">
        <v>0.62217999999999996</v>
      </c>
      <c r="AB4810" s="13" t="s">
        <v>10339</v>
      </c>
    </row>
    <row r="4811" spans="1:28" ht="15" customHeight="1">
      <c r="A4811" s="2" t="s">
        <v>9352</v>
      </c>
      <c r="B4811" s="2" t="s">
        <v>368</v>
      </c>
      <c r="C4811" s="11" t="s">
        <v>2915</v>
      </c>
      <c r="D4811" s="2" t="s">
        <v>30</v>
      </c>
      <c r="E4811" s="2" t="s">
        <v>55</v>
      </c>
      <c r="F4811" s="11" t="s">
        <v>1776</v>
      </c>
      <c r="G4811" s="11" t="s">
        <v>106</v>
      </c>
      <c r="H4811" s="2" t="s">
        <v>4126</v>
      </c>
      <c r="I4811" s="12" t="s">
        <v>4120</v>
      </c>
      <c r="J4811" s="22">
        <f>+Tabla1[[#This Row],[FECHA ENTRADA]]</f>
        <v>45818</v>
      </c>
      <c r="K4811" s="41">
        <v>45856</v>
      </c>
      <c r="L4811" s="23">
        <f>_xlfn.DAYS(Tabla1[[#This Row],[FECHA FIN ]],Tabla1[[#This Row],[FECHA INICIO]])</f>
        <v>38</v>
      </c>
      <c r="M4811" s="12"/>
      <c r="N4811" s="12">
        <v>483.33333333333331</v>
      </c>
      <c r="O4811" s="24">
        <f>(Tabla1[[#This Row],[COSTO FIJO ]]/30)*Tabla1[[#This Row],[TOTAL DIAS PROYECTO]]+(Tabla1[[#This Row],[COSTO TEMPORAL]])</f>
        <v>612.22222222222217</v>
      </c>
      <c r="P4811" s="12"/>
      <c r="Q4811" s="12">
        <f>+(Tabla1[[#This Row],[COSTO COCHE]]/30)*Tabla1[[#This Row],[TOTAL DIAS PROYECTO]]</f>
        <v>0</v>
      </c>
      <c r="R4811" s="12">
        <f>+Tabla1[[#This Row],[COSTO TOTAL ALOJAMIENTO]]+Tabla1[[#This Row],[COSTO TOTAL COCHE]]</f>
        <v>612.22222222222217</v>
      </c>
      <c r="S4811" s="2"/>
      <c r="T4811" s="8" t="s">
        <v>35</v>
      </c>
      <c r="U4811" s="14">
        <v>45818</v>
      </c>
      <c r="V4811" s="89"/>
      <c r="W4811" s="2"/>
      <c r="X4811" s="2">
        <v>1</v>
      </c>
      <c r="Y4811" s="11" t="s">
        <v>6945</v>
      </c>
      <c r="Z4811" s="2" t="s">
        <v>36</v>
      </c>
      <c r="AA4811" s="13" t="s">
        <v>10327</v>
      </c>
      <c r="AB4811" s="13" t="s">
        <v>10328</v>
      </c>
    </row>
    <row r="4812" spans="1:28" ht="15" customHeight="1">
      <c r="A4812" s="2" t="s">
        <v>8691</v>
      </c>
      <c r="B4812" s="2" t="s">
        <v>711</v>
      </c>
      <c r="C4812" s="11" t="s">
        <v>307</v>
      </c>
      <c r="D4812" s="2" t="s">
        <v>99</v>
      </c>
      <c r="E4812" s="2" t="s">
        <v>626</v>
      </c>
      <c r="F4812" s="11" t="s">
        <v>6744</v>
      </c>
      <c r="G4812" s="21" t="s">
        <v>6745</v>
      </c>
      <c r="H4812" s="2" t="s">
        <v>4731</v>
      </c>
      <c r="I4812" s="12" t="s">
        <v>570</v>
      </c>
      <c r="J4812" s="22">
        <f>+Tabla1[[#This Row],[FECHA ENTRADA]]</f>
        <v>46053</v>
      </c>
      <c r="K4812" s="22">
        <v>46086</v>
      </c>
      <c r="L4812" s="23">
        <f>_xlfn.DAYS(Tabla1[[#This Row],[FECHA FIN ]],Tabla1[[#This Row],[FECHA INICIO]])</f>
        <v>33</v>
      </c>
      <c r="M4812" s="12"/>
      <c r="N4812" s="20">
        <v>433.33333333333331</v>
      </c>
      <c r="O4812" s="24">
        <f>(Tabla1[[#This Row],[COSTO FIJO ]]/30)*Tabla1[[#This Row],[TOTAL DIAS PROYECTO]]+(Tabla1[[#This Row],[COSTO TEMPORAL]])</f>
        <v>476.66666666666669</v>
      </c>
      <c r="P4812" s="12"/>
      <c r="Q4812" s="12">
        <f>+(Tabla1[[#This Row],[COSTO COCHE]]/30)*Tabla1[[#This Row],[TOTAL DIAS PROYECTO]]</f>
        <v>0</v>
      </c>
      <c r="R4812" s="12">
        <f>+Tabla1[[#This Row],[COSTO TOTAL ALOJAMIENTO]]+Tabla1[[#This Row],[COSTO TOTAL COCHE]]</f>
        <v>476.66666666666669</v>
      </c>
      <c r="S4812" s="2"/>
      <c r="T4812" s="14" t="s">
        <v>35</v>
      </c>
      <c r="U4812" s="14">
        <v>46053</v>
      </c>
      <c r="V4812" s="79"/>
      <c r="W4812" s="12"/>
      <c r="X4812" s="2">
        <v>1</v>
      </c>
      <c r="Y4812" s="11" t="s">
        <v>6946</v>
      </c>
      <c r="Z4812" s="2" t="s">
        <v>36</v>
      </c>
      <c r="AA4812" s="13" t="s">
        <v>10385</v>
      </c>
      <c r="AB4812" s="13" t="s">
        <v>10386</v>
      </c>
    </row>
    <row r="4813" spans="1:28" ht="15" customHeight="1">
      <c r="A4813" s="2" t="s">
        <v>9507</v>
      </c>
      <c r="B4813" s="2" t="s">
        <v>711</v>
      </c>
      <c r="C4813" s="11" t="s">
        <v>3457</v>
      </c>
      <c r="D4813" s="2" t="s">
        <v>30</v>
      </c>
      <c r="E4813" s="2" t="s">
        <v>626</v>
      </c>
      <c r="F4813" s="11" t="s">
        <v>6744</v>
      </c>
      <c r="G4813" s="21" t="s">
        <v>6745</v>
      </c>
      <c r="H4813" s="2" t="s">
        <v>3458</v>
      </c>
      <c r="I4813" s="12" t="s">
        <v>570</v>
      </c>
      <c r="J4813" s="22">
        <f>+Tabla1[[#This Row],[FECHA ENTRADA]]</f>
        <v>46053</v>
      </c>
      <c r="K4813" s="22">
        <v>46086</v>
      </c>
      <c r="L4813" s="23">
        <f>_xlfn.DAYS(Tabla1[[#This Row],[FECHA FIN ]],Tabla1[[#This Row],[FECHA INICIO]])</f>
        <v>33</v>
      </c>
      <c r="M4813" s="12"/>
      <c r="N4813" s="20">
        <v>433.33333333333331</v>
      </c>
      <c r="O4813" s="24">
        <f>(Tabla1[[#This Row],[COSTO FIJO ]]/30)*Tabla1[[#This Row],[TOTAL DIAS PROYECTO]]+(Tabla1[[#This Row],[COSTO TEMPORAL]])</f>
        <v>476.66666666666669</v>
      </c>
      <c r="P4813" s="12"/>
      <c r="Q4813" s="12">
        <f>+(Tabla1[[#This Row],[COSTO COCHE]]/30)*Tabla1[[#This Row],[TOTAL DIAS PROYECTO]]</f>
        <v>0</v>
      </c>
      <c r="R4813" s="12">
        <f>+Tabla1[[#This Row],[COSTO TOTAL ALOJAMIENTO]]+Tabla1[[#This Row],[COSTO TOTAL COCHE]]</f>
        <v>476.66666666666669</v>
      </c>
      <c r="S4813" s="2"/>
      <c r="T4813" s="14" t="s">
        <v>35</v>
      </c>
      <c r="U4813" s="14">
        <v>46053</v>
      </c>
      <c r="V4813" s="79"/>
      <c r="W4813" s="12"/>
      <c r="X4813" s="2">
        <v>1</v>
      </c>
      <c r="Y4813" s="11" t="s">
        <v>6947</v>
      </c>
      <c r="Z4813" s="2" t="s">
        <v>36</v>
      </c>
      <c r="AA4813" s="13" t="s">
        <v>10385</v>
      </c>
      <c r="AB4813" s="13" t="s">
        <v>10386</v>
      </c>
    </row>
    <row r="4814" spans="1:28" ht="15" customHeight="1">
      <c r="A4814" s="2" t="s">
        <v>9853</v>
      </c>
      <c r="B4814" s="117" t="s">
        <v>606</v>
      </c>
      <c r="C4814" s="118" t="s">
        <v>5051</v>
      </c>
      <c r="D4814" s="117" t="s">
        <v>30</v>
      </c>
      <c r="E4814" s="117" t="s">
        <v>87</v>
      </c>
      <c r="F4814" s="11" t="s">
        <v>6837</v>
      </c>
      <c r="G4814" s="68" t="s">
        <v>6838</v>
      </c>
      <c r="H4814" s="117" t="s">
        <v>2106</v>
      </c>
      <c r="I4814" s="119" t="s">
        <v>4169</v>
      </c>
      <c r="J4814" s="120">
        <f>+Tabla1[[#This Row],[FECHA ENTRADA]]</f>
        <v>46071</v>
      </c>
      <c r="K4814" s="121">
        <v>46086</v>
      </c>
      <c r="L4814" s="122">
        <f>_xlfn.DAYS(Tabla1[[#This Row],[FECHA FIN ]],Tabla1[[#This Row],[FECHA INICIO]])</f>
        <v>15</v>
      </c>
      <c r="M4814" s="119">
        <v>175</v>
      </c>
      <c r="N4814" s="123"/>
      <c r="O4814" s="123">
        <f>(Tabla1[[#This Row],[COSTO FIJO ]]/30)*Tabla1[[#This Row],[TOTAL DIAS PROYECTO]]+(Tabla1[[#This Row],[COSTO TEMPORAL]])</f>
        <v>175</v>
      </c>
      <c r="P4814" s="119"/>
      <c r="Q4814" s="119">
        <f>+(Tabla1[[#This Row],[COSTO COCHE]]/30)*Tabla1[[#This Row],[TOTAL DIAS PROYECTO]]</f>
        <v>0</v>
      </c>
      <c r="R4814" s="119">
        <f>+Tabla1[[#This Row],[COSTO TOTAL ALOJAMIENTO]]+Tabla1[[#This Row],[COSTO TOTAL COCHE]]</f>
        <v>175</v>
      </c>
      <c r="S4814" s="117"/>
      <c r="T4814" s="124" t="s">
        <v>44</v>
      </c>
      <c r="U4814" s="124">
        <v>46071</v>
      </c>
      <c r="V4814" s="159">
        <v>46087</v>
      </c>
      <c r="W4814" s="119"/>
      <c r="X4814" s="117"/>
      <c r="Y4814" s="118" t="s">
        <v>6839</v>
      </c>
      <c r="Z4814" s="117" t="s">
        <v>36</v>
      </c>
      <c r="AA4814" s="127" t="s">
        <v>10335</v>
      </c>
      <c r="AB4814" s="127">
        <v>404.16500000000002</v>
      </c>
    </row>
    <row r="4815" spans="1:28" ht="15" customHeight="1">
      <c r="A4815" s="2" t="s">
        <v>9977</v>
      </c>
      <c r="B4815" s="117" t="s">
        <v>606</v>
      </c>
      <c r="C4815" s="118" t="s">
        <v>5803</v>
      </c>
      <c r="D4815" s="117" t="s">
        <v>30</v>
      </c>
      <c r="E4815" s="117" t="s">
        <v>87</v>
      </c>
      <c r="F4815" s="11" t="s">
        <v>6837</v>
      </c>
      <c r="G4815" s="68" t="s">
        <v>6838</v>
      </c>
      <c r="H4815" s="117" t="s">
        <v>2106</v>
      </c>
      <c r="I4815" s="119" t="s">
        <v>4169</v>
      </c>
      <c r="J4815" s="120">
        <f>+Tabla1[[#This Row],[FECHA ENTRADA]]</f>
        <v>46071</v>
      </c>
      <c r="K4815" s="121">
        <v>46086</v>
      </c>
      <c r="L4815" s="122">
        <f>_xlfn.DAYS(Tabla1[[#This Row],[FECHA FIN ]],Tabla1[[#This Row],[FECHA INICIO]])</f>
        <v>15</v>
      </c>
      <c r="M4815" s="119">
        <v>175</v>
      </c>
      <c r="N4815" s="123"/>
      <c r="O4815" s="123">
        <f>(Tabla1[[#This Row],[COSTO FIJO ]]/30)*Tabla1[[#This Row],[TOTAL DIAS PROYECTO]]+(Tabla1[[#This Row],[COSTO TEMPORAL]])</f>
        <v>175</v>
      </c>
      <c r="P4815" s="119"/>
      <c r="Q4815" s="119">
        <f>+(Tabla1[[#This Row],[COSTO COCHE]]/30)*Tabla1[[#This Row],[TOTAL DIAS PROYECTO]]</f>
        <v>0</v>
      </c>
      <c r="R4815" s="119">
        <f>+Tabla1[[#This Row],[COSTO TOTAL ALOJAMIENTO]]+Tabla1[[#This Row],[COSTO TOTAL COCHE]]</f>
        <v>175</v>
      </c>
      <c r="S4815" s="117"/>
      <c r="T4815" s="124" t="s">
        <v>44</v>
      </c>
      <c r="U4815" s="124">
        <v>46071</v>
      </c>
      <c r="V4815" s="159">
        <v>46087</v>
      </c>
      <c r="W4815" s="119"/>
      <c r="X4815" s="117"/>
      <c r="Y4815" s="118" t="s">
        <v>6839</v>
      </c>
      <c r="Z4815" s="117" t="s">
        <v>36</v>
      </c>
      <c r="AA4815" s="127" t="s">
        <v>10335</v>
      </c>
      <c r="AB4815" s="127">
        <v>404.16500000000002</v>
      </c>
    </row>
    <row r="4816" spans="1:28" ht="15" customHeight="1">
      <c r="A4816" s="2" t="s">
        <v>10177</v>
      </c>
      <c r="B4816" s="117" t="s">
        <v>606</v>
      </c>
      <c r="C4816" s="224" t="s">
        <v>6948</v>
      </c>
      <c r="D4816" s="117" t="s">
        <v>30</v>
      </c>
      <c r="E4816" s="117" t="s">
        <v>87</v>
      </c>
      <c r="F4816" s="11" t="s">
        <v>6837</v>
      </c>
      <c r="G4816" s="68" t="s">
        <v>6838</v>
      </c>
      <c r="H4816" s="117" t="s">
        <v>2106</v>
      </c>
      <c r="I4816" s="119" t="s">
        <v>4169</v>
      </c>
      <c r="J4816" s="120">
        <f>+Tabla1[[#This Row],[FECHA ENTRADA]]</f>
        <v>46071</v>
      </c>
      <c r="K4816" s="121">
        <v>46086</v>
      </c>
      <c r="L4816" s="122">
        <f>_xlfn.DAYS(Tabla1[[#This Row],[FECHA FIN ]],Tabla1[[#This Row],[FECHA INICIO]])</f>
        <v>15</v>
      </c>
      <c r="M4816" s="119">
        <v>175</v>
      </c>
      <c r="N4816" s="123"/>
      <c r="O4816" s="123">
        <f>(Tabla1[[#This Row],[COSTO FIJO ]]/30)*Tabla1[[#This Row],[TOTAL DIAS PROYECTO]]+(Tabla1[[#This Row],[COSTO TEMPORAL]])</f>
        <v>175</v>
      </c>
      <c r="P4816" s="119"/>
      <c r="Q4816" s="119">
        <f>+(Tabla1[[#This Row],[COSTO COCHE]]/30)*Tabla1[[#This Row],[TOTAL DIAS PROYECTO]]</f>
        <v>0</v>
      </c>
      <c r="R4816" s="119">
        <f>+Tabla1[[#This Row],[COSTO TOTAL ALOJAMIENTO]]+Tabla1[[#This Row],[COSTO TOTAL COCHE]]</f>
        <v>175</v>
      </c>
      <c r="S4816" s="117"/>
      <c r="T4816" s="124" t="s">
        <v>44</v>
      </c>
      <c r="U4816" s="124">
        <v>46071</v>
      </c>
      <c r="V4816" s="159">
        <v>46087</v>
      </c>
      <c r="W4816" s="119"/>
      <c r="X4816" s="117"/>
      <c r="Y4816" s="118" t="s">
        <v>6839</v>
      </c>
      <c r="Z4816" s="117" t="s">
        <v>36</v>
      </c>
      <c r="AA4816" s="127" t="s">
        <v>10335</v>
      </c>
      <c r="AB4816" s="127">
        <v>404.16500000000002</v>
      </c>
    </row>
    <row r="4817" spans="1:28" ht="15" customHeight="1">
      <c r="A4817" s="2" t="s">
        <v>9924</v>
      </c>
      <c r="B4817" s="117" t="s">
        <v>606</v>
      </c>
      <c r="C4817" s="224" t="s">
        <v>5471</v>
      </c>
      <c r="D4817" s="117" t="s">
        <v>30</v>
      </c>
      <c r="E4817" s="117" t="s">
        <v>87</v>
      </c>
      <c r="F4817" s="11" t="s">
        <v>6837</v>
      </c>
      <c r="G4817" s="68" t="s">
        <v>6838</v>
      </c>
      <c r="H4817" s="117" t="s">
        <v>2106</v>
      </c>
      <c r="I4817" s="119" t="s">
        <v>4169</v>
      </c>
      <c r="J4817" s="120">
        <f>+Tabla1[[#This Row],[FECHA ENTRADA]]</f>
        <v>46071</v>
      </c>
      <c r="K4817" s="121">
        <v>46086</v>
      </c>
      <c r="L4817" s="122">
        <f>_xlfn.DAYS(Tabla1[[#This Row],[FECHA FIN ]],Tabla1[[#This Row],[FECHA INICIO]])</f>
        <v>15</v>
      </c>
      <c r="M4817" s="119">
        <v>175</v>
      </c>
      <c r="N4817" s="123"/>
      <c r="O4817" s="123">
        <f>(Tabla1[[#This Row],[COSTO FIJO ]]/30)*Tabla1[[#This Row],[TOTAL DIAS PROYECTO]]+(Tabla1[[#This Row],[COSTO TEMPORAL]])</f>
        <v>175</v>
      </c>
      <c r="P4817" s="119"/>
      <c r="Q4817" s="119">
        <f>+(Tabla1[[#This Row],[COSTO COCHE]]/30)*Tabla1[[#This Row],[TOTAL DIAS PROYECTO]]</f>
        <v>0</v>
      </c>
      <c r="R4817" s="119">
        <f>+Tabla1[[#This Row],[COSTO TOTAL ALOJAMIENTO]]+Tabla1[[#This Row],[COSTO TOTAL COCHE]]</f>
        <v>175</v>
      </c>
      <c r="S4817" s="117"/>
      <c r="T4817" s="124" t="s">
        <v>44</v>
      </c>
      <c r="U4817" s="124">
        <v>46071</v>
      </c>
      <c r="V4817" s="159">
        <v>46087</v>
      </c>
      <c r="W4817" s="119"/>
      <c r="X4817" s="117"/>
      <c r="Y4817" s="118" t="s">
        <v>6839</v>
      </c>
      <c r="Z4817" s="117" t="s">
        <v>36</v>
      </c>
      <c r="AA4817" s="127" t="s">
        <v>10335</v>
      </c>
      <c r="AB4817" s="127">
        <v>404.16500000000002</v>
      </c>
    </row>
    <row r="4818" spans="1:28" ht="15" customHeight="1">
      <c r="A4818" s="2" t="s">
        <v>9926</v>
      </c>
      <c r="B4818" s="2" t="s">
        <v>711</v>
      </c>
      <c r="C4818" s="31" t="s">
        <v>5492</v>
      </c>
      <c r="D4818" s="2" t="s">
        <v>30</v>
      </c>
      <c r="E4818" s="2" t="s">
        <v>3335</v>
      </c>
      <c r="F4818" s="11" t="s">
        <v>6781</v>
      </c>
      <c r="G4818" s="11" t="s">
        <v>6782</v>
      </c>
      <c r="H4818" s="2" t="s">
        <v>6649</v>
      </c>
      <c r="I4818" s="12" t="s">
        <v>118</v>
      </c>
      <c r="J4818" s="22">
        <f>+Tabla1[[#This Row],[FECHA ENTRADA]]</f>
        <v>46047</v>
      </c>
      <c r="K4818" s="41">
        <v>46086</v>
      </c>
      <c r="L4818" s="23">
        <f>_xlfn.DAYS(Tabla1[[#This Row],[FECHA FIN ]],Tabla1[[#This Row],[FECHA INICIO]])</f>
        <v>39</v>
      </c>
      <c r="M4818" s="12">
        <v>587.5</v>
      </c>
      <c r="N4818" s="20"/>
      <c r="O4818" s="24">
        <f>(Tabla1[[#This Row],[COSTO FIJO ]]/30)*Tabla1[[#This Row],[TOTAL DIAS PROYECTO]]+(Tabla1[[#This Row],[COSTO TEMPORAL]])</f>
        <v>587.5</v>
      </c>
      <c r="P4818" s="12"/>
      <c r="Q4818" s="12">
        <f>+(Tabla1[[#This Row],[COSTO COCHE]]/30)*Tabla1[[#This Row],[TOTAL DIAS PROYECTO]]</f>
        <v>0</v>
      </c>
      <c r="R4818" s="12">
        <f>+Tabla1[[#This Row],[COSTO TOTAL ALOJAMIENTO]]+Tabla1[[#This Row],[COSTO TOTAL COCHE]]</f>
        <v>587.5</v>
      </c>
      <c r="S4818" s="2" t="s">
        <v>403</v>
      </c>
      <c r="T4818" s="14" t="s">
        <v>44</v>
      </c>
      <c r="U4818" s="14">
        <v>46047</v>
      </c>
      <c r="V4818" s="79">
        <v>46086</v>
      </c>
      <c r="W4818" s="12"/>
      <c r="X4818" s="2"/>
      <c r="Y4818" s="11" t="s">
        <v>6949</v>
      </c>
      <c r="Z4818" s="2" t="s">
        <v>36</v>
      </c>
      <c r="AA4818" s="13" t="e">
        <v>#N/A</v>
      </c>
      <c r="AB4818" s="13" t="e">
        <v>#N/A</v>
      </c>
    </row>
    <row r="4819" spans="1:28" ht="15" customHeight="1">
      <c r="A4819" s="2" t="s">
        <v>8907</v>
      </c>
      <c r="B4819" s="2" t="s">
        <v>711</v>
      </c>
      <c r="C4819" s="31" t="s">
        <v>1233</v>
      </c>
      <c r="D4819" s="2" t="s">
        <v>30</v>
      </c>
      <c r="E4819" s="2" t="s">
        <v>3335</v>
      </c>
      <c r="F4819" s="11" t="s">
        <v>6781</v>
      </c>
      <c r="G4819" s="11" t="s">
        <v>6782</v>
      </c>
      <c r="H4819" s="2" t="s">
        <v>6649</v>
      </c>
      <c r="I4819" s="12" t="s">
        <v>118</v>
      </c>
      <c r="J4819" s="22">
        <f>+Tabla1[[#This Row],[FECHA ENTRADA]]</f>
        <v>46047</v>
      </c>
      <c r="K4819" s="41">
        <v>46086</v>
      </c>
      <c r="L4819" s="23">
        <f>_xlfn.DAYS(Tabla1[[#This Row],[FECHA FIN ]],Tabla1[[#This Row],[FECHA INICIO]])</f>
        <v>39</v>
      </c>
      <c r="M4819" s="12">
        <v>587.5</v>
      </c>
      <c r="N4819" s="20"/>
      <c r="O4819" s="24">
        <f>(Tabla1[[#This Row],[COSTO FIJO ]]/30)*Tabla1[[#This Row],[TOTAL DIAS PROYECTO]]+(Tabla1[[#This Row],[COSTO TEMPORAL]])</f>
        <v>587.5</v>
      </c>
      <c r="P4819" s="12"/>
      <c r="Q4819" s="12">
        <f>+(Tabla1[[#This Row],[COSTO COCHE]]/30)*Tabla1[[#This Row],[TOTAL DIAS PROYECTO]]</f>
        <v>0</v>
      </c>
      <c r="R4819" s="12">
        <f>+Tabla1[[#This Row],[COSTO TOTAL ALOJAMIENTO]]+Tabla1[[#This Row],[COSTO TOTAL COCHE]]</f>
        <v>587.5</v>
      </c>
      <c r="S4819" s="2" t="s">
        <v>403</v>
      </c>
      <c r="T4819" s="14" t="s">
        <v>44</v>
      </c>
      <c r="U4819" s="14">
        <v>46047</v>
      </c>
      <c r="V4819" s="79">
        <v>46086</v>
      </c>
      <c r="W4819" s="12"/>
      <c r="X4819" s="2"/>
      <c r="Y4819" s="11" t="s">
        <v>6949</v>
      </c>
      <c r="Z4819" s="2" t="s">
        <v>36</v>
      </c>
      <c r="AA4819" s="13" t="e">
        <v>#N/A</v>
      </c>
      <c r="AB4819" s="13" t="e">
        <v>#N/A</v>
      </c>
    </row>
    <row r="4820" spans="1:28" ht="15" customHeight="1">
      <c r="A4820" s="2" t="s">
        <v>9715</v>
      </c>
      <c r="B4820" s="2" t="s">
        <v>711</v>
      </c>
      <c r="C4820" s="31" t="s">
        <v>4371</v>
      </c>
      <c r="D4820" s="2" t="s">
        <v>30</v>
      </c>
      <c r="E4820" s="2" t="s">
        <v>3335</v>
      </c>
      <c r="F4820" s="11" t="s">
        <v>6781</v>
      </c>
      <c r="G4820" s="11" t="s">
        <v>6782</v>
      </c>
      <c r="H4820" s="2" t="s">
        <v>6649</v>
      </c>
      <c r="I4820" s="12" t="s">
        <v>118</v>
      </c>
      <c r="J4820" s="22">
        <f>+Tabla1[[#This Row],[FECHA ENTRADA]]</f>
        <v>46047</v>
      </c>
      <c r="K4820" s="41">
        <v>46086</v>
      </c>
      <c r="L4820" s="23">
        <f>_xlfn.DAYS(Tabla1[[#This Row],[FECHA FIN ]],Tabla1[[#This Row],[FECHA INICIO]])</f>
        <v>39</v>
      </c>
      <c r="M4820" s="12">
        <v>587.5</v>
      </c>
      <c r="N4820" s="20"/>
      <c r="O4820" s="24">
        <f>(Tabla1[[#This Row],[COSTO FIJO ]]/30)*Tabla1[[#This Row],[TOTAL DIAS PROYECTO]]+(Tabla1[[#This Row],[COSTO TEMPORAL]])</f>
        <v>587.5</v>
      </c>
      <c r="P4820" s="12"/>
      <c r="Q4820" s="12">
        <f>+(Tabla1[[#This Row],[COSTO COCHE]]/30)*Tabla1[[#This Row],[TOTAL DIAS PROYECTO]]</f>
        <v>0</v>
      </c>
      <c r="R4820" s="12">
        <f>+Tabla1[[#This Row],[COSTO TOTAL ALOJAMIENTO]]+Tabla1[[#This Row],[COSTO TOTAL COCHE]]</f>
        <v>587.5</v>
      </c>
      <c r="S4820" s="2" t="s">
        <v>403</v>
      </c>
      <c r="T4820" s="14" t="s">
        <v>44</v>
      </c>
      <c r="U4820" s="14">
        <v>46047</v>
      </c>
      <c r="V4820" s="79">
        <v>46086</v>
      </c>
      <c r="W4820" s="12"/>
      <c r="X4820" s="2"/>
      <c r="Y4820" s="11" t="s">
        <v>6949</v>
      </c>
      <c r="Z4820" s="2" t="s">
        <v>36</v>
      </c>
      <c r="AA4820" s="13" t="e">
        <v>#N/A</v>
      </c>
      <c r="AB4820" s="13" t="e">
        <v>#N/A</v>
      </c>
    </row>
    <row r="4821" spans="1:28" ht="15" customHeight="1">
      <c r="A4821" s="2" t="s">
        <v>9572</v>
      </c>
      <c r="B4821" s="2" t="s">
        <v>606</v>
      </c>
      <c r="C4821" s="239" t="s">
        <v>3695</v>
      </c>
      <c r="D4821" s="2" t="s">
        <v>30</v>
      </c>
      <c r="E4821" s="2" t="s">
        <v>213</v>
      </c>
      <c r="F4821" s="11" t="s">
        <v>871</v>
      </c>
      <c r="G4821" s="11" t="s">
        <v>872</v>
      </c>
      <c r="H4821" s="2" t="s">
        <v>1355</v>
      </c>
      <c r="I4821" s="12" t="s">
        <v>1043</v>
      </c>
      <c r="J4821" s="22">
        <f>+Tabla1[[#This Row],[FECHA ENTRADA]]</f>
        <v>45615</v>
      </c>
      <c r="K4821" s="22">
        <v>46014</v>
      </c>
      <c r="L4821" s="23">
        <f>_xlfn.DAYS(Tabla1[[#This Row],[FECHA FIN ]],Tabla1[[#This Row],[FECHA INICIO]])</f>
        <v>399</v>
      </c>
      <c r="M4821" s="12"/>
      <c r="N4821" s="12">
        <v>903.2</v>
      </c>
      <c r="O4821" s="24">
        <f>(Tabla1[[#This Row],[COSTO FIJO ]]/30)*Tabla1[[#This Row],[TOTAL DIAS PROYECTO]]+(Tabla1[[#This Row],[COSTO TEMPORAL]])</f>
        <v>12012.560000000001</v>
      </c>
      <c r="P4821" s="12"/>
      <c r="Q4821" s="12">
        <f>+(Tabla1[[#This Row],[COSTO COCHE]]/30)*Tabla1[[#This Row],[TOTAL DIAS PROYECTO]]</f>
        <v>0</v>
      </c>
      <c r="R4821" s="12">
        <f>+Tabla1[[#This Row],[COSTO TOTAL ALOJAMIENTO]]+Tabla1[[#This Row],[COSTO TOTAL COCHE]]</f>
        <v>12012.560000000001</v>
      </c>
      <c r="S4821" s="2"/>
      <c r="T4821" s="2" t="s">
        <v>35</v>
      </c>
      <c r="U4821" s="14">
        <v>45615</v>
      </c>
      <c r="V4821" s="79"/>
      <c r="W4821" s="12"/>
      <c r="X4821" s="2">
        <v>4</v>
      </c>
      <c r="Y4821" s="11" t="s">
        <v>6950</v>
      </c>
      <c r="Z4821" s="2" t="s">
        <v>36</v>
      </c>
      <c r="AA4821" s="13" t="s">
        <v>10349</v>
      </c>
      <c r="AB4821" s="13" t="s">
        <v>10350</v>
      </c>
    </row>
    <row r="4822" spans="1:28" ht="15" customHeight="1">
      <c r="A4822" s="2" t="s">
        <v>10178</v>
      </c>
      <c r="B4822" s="2" t="s">
        <v>711</v>
      </c>
      <c r="C4822" s="31" t="s">
        <v>6951</v>
      </c>
      <c r="D4822" s="2" t="s">
        <v>30</v>
      </c>
      <c r="E4822" s="2" t="s">
        <v>3335</v>
      </c>
      <c r="F4822" s="11" t="s">
        <v>6651</v>
      </c>
      <c r="G4822" s="21" t="s">
        <v>6652</v>
      </c>
      <c r="H4822" s="2" t="s">
        <v>6649</v>
      </c>
      <c r="I4822" s="12" t="s">
        <v>118</v>
      </c>
      <c r="J4822" s="22">
        <f>+Tabla1[[#This Row],[FECHA ENTRADA]]</f>
        <v>46047</v>
      </c>
      <c r="K4822" s="41">
        <v>46086</v>
      </c>
      <c r="L4822" s="23">
        <f>_xlfn.DAYS(Tabla1[[#This Row],[FECHA FIN ]],Tabla1[[#This Row],[FECHA INICIO]])</f>
        <v>39</v>
      </c>
      <c r="M4822" s="12">
        <f>(778.5+386)</f>
        <v>1164.5</v>
      </c>
      <c r="N4822" s="20"/>
      <c r="O4822" s="24">
        <f>(Tabla1[[#This Row],[COSTO FIJO ]]/30)*Tabla1[[#This Row],[TOTAL DIAS PROYECTO]]+(Tabla1[[#This Row],[COSTO TEMPORAL]])</f>
        <v>1164.5</v>
      </c>
      <c r="P4822" s="12"/>
      <c r="Q4822" s="12">
        <f>+(Tabla1[[#This Row],[COSTO COCHE]]/30)*Tabla1[[#This Row],[TOTAL DIAS PROYECTO]]</f>
        <v>0</v>
      </c>
      <c r="R4822" s="12">
        <f>+Tabla1[[#This Row],[COSTO TOTAL ALOJAMIENTO]]+Tabla1[[#This Row],[COSTO TOTAL COCHE]]</f>
        <v>1164.5</v>
      </c>
      <c r="S4822" s="2" t="s">
        <v>403</v>
      </c>
      <c r="T4822" s="14" t="s">
        <v>44</v>
      </c>
      <c r="U4822" s="14">
        <v>46047</v>
      </c>
      <c r="V4822" s="79">
        <v>46086</v>
      </c>
      <c r="W4822" s="12"/>
      <c r="X4822" s="2"/>
      <c r="Y4822" s="11" t="s">
        <v>6949</v>
      </c>
      <c r="Z4822" s="2" t="s">
        <v>36</v>
      </c>
      <c r="AA4822" s="13" t="e">
        <v>#N/A</v>
      </c>
      <c r="AB4822" s="13" t="e">
        <v>#N/A</v>
      </c>
    </row>
    <row r="4823" spans="1:28" ht="15" customHeight="1">
      <c r="A4823" s="2" t="s">
        <v>9970</v>
      </c>
      <c r="B4823" s="2" t="s">
        <v>711</v>
      </c>
      <c r="C4823" s="31" t="s">
        <v>5779</v>
      </c>
      <c r="D4823" s="2" t="s">
        <v>30</v>
      </c>
      <c r="E4823" s="2" t="s">
        <v>3335</v>
      </c>
      <c r="F4823" s="11" t="s">
        <v>6651</v>
      </c>
      <c r="G4823" s="21" t="s">
        <v>6652</v>
      </c>
      <c r="H4823" s="2" t="s">
        <v>6649</v>
      </c>
      <c r="I4823" s="12" t="s">
        <v>118</v>
      </c>
      <c r="J4823" s="22">
        <f>+Tabla1[[#This Row],[FECHA ENTRADA]]</f>
        <v>46047</v>
      </c>
      <c r="K4823" s="41">
        <v>46086</v>
      </c>
      <c r="L4823" s="23">
        <f>_xlfn.DAYS(Tabla1[[#This Row],[FECHA FIN ]],Tabla1[[#This Row],[FECHA INICIO]])</f>
        <v>39</v>
      </c>
      <c r="M4823" s="12">
        <f>(778.5+386)</f>
        <v>1164.5</v>
      </c>
      <c r="N4823" s="20"/>
      <c r="O4823" s="24">
        <f>(Tabla1[[#This Row],[COSTO FIJO ]]/30)*Tabla1[[#This Row],[TOTAL DIAS PROYECTO]]+(Tabla1[[#This Row],[COSTO TEMPORAL]])</f>
        <v>1164.5</v>
      </c>
      <c r="P4823" s="12"/>
      <c r="Q4823" s="12">
        <f>+(Tabla1[[#This Row],[COSTO COCHE]]/30)*Tabla1[[#This Row],[TOTAL DIAS PROYECTO]]</f>
        <v>0</v>
      </c>
      <c r="R4823" s="12">
        <f>+Tabla1[[#This Row],[COSTO TOTAL ALOJAMIENTO]]+Tabla1[[#This Row],[COSTO TOTAL COCHE]]</f>
        <v>1164.5</v>
      </c>
      <c r="S4823" s="2" t="s">
        <v>403</v>
      </c>
      <c r="T4823" s="14" t="s">
        <v>44</v>
      </c>
      <c r="U4823" s="14">
        <v>46047</v>
      </c>
      <c r="V4823" s="79">
        <v>46086</v>
      </c>
      <c r="W4823" s="12"/>
      <c r="X4823" s="2"/>
      <c r="Y4823" s="11" t="s">
        <v>6949</v>
      </c>
      <c r="Z4823" s="2" t="s">
        <v>36</v>
      </c>
      <c r="AA4823" s="13" t="e">
        <v>#N/A</v>
      </c>
      <c r="AB4823" s="13" t="e">
        <v>#N/A</v>
      </c>
    </row>
    <row r="4824" spans="1:28" ht="15" customHeight="1">
      <c r="A4824" s="2" t="s">
        <v>9258</v>
      </c>
      <c r="B4824" s="2" t="s">
        <v>711</v>
      </c>
      <c r="C4824" s="31" t="s">
        <v>2625</v>
      </c>
      <c r="D4824" s="2" t="s">
        <v>30</v>
      </c>
      <c r="E4824" s="2" t="s">
        <v>3335</v>
      </c>
      <c r="F4824" s="11" t="s">
        <v>6952</v>
      </c>
      <c r="G4824" s="21" t="s">
        <v>6828</v>
      </c>
      <c r="H4824" s="2" t="s">
        <v>6649</v>
      </c>
      <c r="I4824" s="12" t="s">
        <v>118</v>
      </c>
      <c r="J4824" s="22">
        <f>+Tabla1[[#This Row],[FECHA ENTRADA]]</f>
        <v>46047</v>
      </c>
      <c r="K4824" s="41">
        <v>46086</v>
      </c>
      <c r="L4824" s="23">
        <f>_xlfn.DAYS(Tabla1[[#This Row],[FECHA FIN ]],Tabla1[[#This Row],[FECHA INICIO]])</f>
        <v>39</v>
      </c>
      <c r="M4824" s="12">
        <f>2038.4/3</f>
        <v>679.4666666666667</v>
      </c>
      <c r="N4824" s="20"/>
      <c r="O4824" s="24">
        <f>(Tabla1[[#This Row],[COSTO FIJO ]]/30)*Tabla1[[#This Row],[TOTAL DIAS PROYECTO]]+(Tabla1[[#This Row],[COSTO TEMPORAL]])</f>
        <v>679.4666666666667</v>
      </c>
      <c r="P4824" s="12"/>
      <c r="Q4824" s="12">
        <f>+(Tabla1[[#This Row],[COSTO COCHE]]/30)*Tabla1[[#This Row],[TOTAL DIAS PROYECTO]]</f>
        <v>0</v>
      </c>
      <c r="R4824" s="12">
        <f>+Tabla1[[#This Row],[COSTO TOTAL ALOJAMIENTO]]+Tabla1[[#This Row],[COSTO TOTAL COCHE]]</f>
        <v>679.4666666666667</v>
      </c>
      <c r="S4824" s="2" t="s">
        <v>403</v>
      </c>
      <c r="T4824" s="14" t="s">
        <v>44</v>
      </c>
      <c r="U4824" s="14">
        <v>46047</v>
      </c>
      <c r="V4824" s="79">
        <v>46086</v>
      </c>
      <c r="W4824" s="12"/>
      <c r="X4824" s="2"/>
      <c r="Y4824" s="11" t="s">
        <v>6949</v>
      </c>
      <c r="Z4824" s="2" t="s">
        <v>36</v>
      </c>
      <c r="AA4824" s="13" t="e">
        <v>#N/A</v>
      </c>
      <c r="AB4824" s="13" t="e">
        <v>#N/A</v>
      </c>
    </row>
    <row r="4825" spans="1:28" ht="15" customHeight="1">
      <c r="A4825" s="2" t="s">
        <v>10107</v>
      </c>
      <c r="B4825" s="2" t="s">
        <v>711</v>
      </c>
      <c r="C4825" s="31" t="s">
        <v>6415</v>
      </c>
      <c r="D4825" s="2" t="s">
        <v>30</v>
      </c>
      <c r="E4825" s="2" t="s">
        <v>3335</v>
      </c>
      <c r="F4825" s="11" t="s">
        <v>6952</v>
      </c>
      <c r="G4825" s="21" t="s">
        <v>6828</v>
      </c>
      <c r="H4825" s="2" t="s">
        <v>6649</v>
      </c>
      <c r="I4825" s="12" t="s">
        <v>118</v>
      </c>
      <c r="J4825" s="22">
        <f>+Tabla1[[#This Row],[FECHA ENTRADA]]</f>
        <v>46047</v>
      </c>
      <c r="K4825" s="41">
        <v>46086</v>
      </c>
      <c r="L4825" s="23">
        <f>_xlfn.DAYS(Tabla1[[#This Row],[FECHA FIN ]],Tabla1[[#This Row],[FECHA INICIO]])</f>
        <v>39</v>
      </c>
      <c r="M4825" s="12">
        <f>2038.4/3</f>
        <v>679.4666666666667</v>
      </c>
      <c r="N4825" s="20"/>
      <c r="O4825" s="24">
        <f>(Tabla1[[#This Row],[COSTO FIJO ]]/30)*Tabla1[[#This Row],[TOTAL DIAS PROYECTO]]+(Tabla1[[#This Row],[COSTO TEMPORAL]])</f>
        <v>679.4666666666667</v>
      </c>
      <c r="P4825" s="12"/>
      <c r="Q4825" s="12">
        <f>+(Tabla1[[#This Row],[COSTO COCHE]]/30)*Tabla1[[#This Row],[TOTAL DIAS PROYECTO]]</f>
        <v>0</v>
      </c>
      <c r="R4825" s="12">
        <f>+Tabla1[[#This Row],[COSTO TOTAL ALOJAMIENTO]]+Tabla1[[#This Row],[COSTO TOTAL COCHE]]</f>
        <v>679.4666666666667</v>
      </c>
      <c r="S4825" s="2" t="s">
        <v>403</v>
      </c>
      <c r="T4825" s="14" t="s">
        <v>44</v>
      </c>
      <c r="U4825" s="14">
        <v>46047</v>
      </c>
      <c r="V4825" s="79">
        <v>46086</v>
      </c>
      <c r="W4825" s="12"/>
      <c r="X4825" s="2"/>
      <c r="Y4825" s="11" t="s">
        <v>6949</v>
      </c>
      <c r="Z4825" s="2" t="s">
        <v>36</v>
      </c>
      <c r="AA4825" s="13" t="e">
        <v>#N/A</v>
      </c>
      <c r="AB4825" s="13" t="e">
        <v>#N/A</v>
      </c>
    </row>
    <row r="4826" spans="1:28" ht="15" customHeight="1">
      <c r="A4826" s="2" t="s">
        <v>9846</v>
      </c>
      <c r="B4826" s="2" t="s">
        <v>711</v>
      </c>
      <c r="C4826" s="31" t="s">
        <v>5026</v>
      </c>
      <c r="D4826" s="2" t="s">
        <v>30</v>
      </c>
      <c r="E4826" s="2" t="s">
        <v>3335</v>
      </c>
      <c r="F4826" s="11" t="s">
        <v>6952</v>
      </c>
      <c r="G4826" s="21" t="s">
        <v>6828</v>
      </c>
      <c r="H4826" s="2" t="s">
        <v>6649</v>
      </c>
      <c r="I4826" s="12" t="s">
        <v>118</v>
      </c>
      <c r="J4826" s="22">
        <f>+Tabla1[[#This Row],[FECHA ENTRADA]]</f>
        <v>46047</v>
      </c>
      <c r="K4826" s="41">
        <v>46086</v>
      </c>
      <c r="L4826" s="23">
        <f>_xlfn.DAYS(Tabla1[[#This Row],[FECHA FIN ]],Tabla1[[#This Row],[FECHA INICIO]])</f>
        <v>39</v>
      </c>
      <c r="M4826" s="12">
        <f>2038.4/3</f>
        <v>679.4666666666667</v>
      </c>
      <c r="N4826" s="20"/>
      <c r="O4826" s="24">
        <f>(Tabla1[[#This Row],[COSTO FIJO ]]/30)*Tabla1[[#This Row],[TOTAL DIAS PROYECTO]]+(Tabla1[[#This Row],[COSTO TEMPORAL]])</f>
        <v>679.4666666666667</v>
      </c>
      <c r="P4826" s="12"/>
      <c r="Q4826" s="12">
        <f>+(Tabla1[[#This Row],[COSTO COCHE]]/30)*Tabla1[[#This Row],[TOTAL DIAS PROYECTO]]</f>
        <v>0</v>
      </c>
      <c r="R4826" s="12">
        <f>+Tabla1[[#This Row],[COSTO TOTAL ALOJAMIENTO]]+Tabla1[[#This Row],[COSTO TOTAL COCHE]]</f>
        <v>679.4666666666667</v>
      </c>
      <c r="S4826" s="2" t="s">
        <v>403</v>
      </c>
      <c r="T4826" s="14" t="s">
        <v>44</v>
      </c>
      <c r="U4826" s="14">
        <v>46047</v>
      </c>
      <c r="V4826" s="79">
        <v>46086</v>
      </c>
      <c r="W4826" s="12"/>
      <c r="X4826" s="2"/>
      <c r="Y4826" s="11" t="s">
        <v>6949</v>
      </c>
      <c r="Z4826" s="2" t="s">
        <v>36</v>
      </c>
      <c r="AA4826" s="13" t="e">
        <v>#N/A</v>
      </c>
      <c r="AB4826" s="13" t="e">
        <v>#N/A</v>
      </c>
    </row>
    <row r="4827" spans="1:28" ht="15" customHeight="1">
      <c r="A4827" s="2" t="s">
        <v>10073</v>
      </c>
      <c r="B4827" s="2" t="s">
        <v>711</v>
      </c>
      <c r="C4827" s="31" t="s">
        <v>6211</v>
      </c>
      <c r="D4827" s="2" t="s">
        <v>30</v>
      </c>
      <c r="E4827" s="2" t="s">
        <v>3335</v>
      </c>
      <c r="F4827" s="11" t="s">
        <v>6809</v>
      </c>
      <c r="G4827" s="21" t="s">
        <v>6810</v>
      </c>
      <c r="H4827" s="2" t="s">
        <v>6649</v>
      </c>
      <c r="I4827" s="12" t="s">
        <v>118</v>
      </c>
      <c r="J4827" s="22">
        <f>+Tabla1[[#This Row],[FECHA ENTRADA]]</f>
        <v>46047</v>
      </c>
      <c r="K4827" s="41">
        <v>46086</v>
      </c>
      <c r="L4827" s="23">
        <f>_xlfn.DAYS(Tabla1[[#This Row],[FECHA FIN ]],Tabla1[[#This Row],[FECHA INICIO]])</f>
        <v>39</v>
      </c>
      <c r="M4827" s="12">
        <f>(1926.31/3)+333</f>
        <v>975.10333333333335</v>
      </c>
      <c r="N4827" s="20"/>
      <c r="O4827" s="24">
        <f>(Tabla1[[#This Row],[COSTO FIJO ]]/30)*Tabla1[[#This Row],[TOTAL DIAS PROYECTO]]+(Tabla1[[#This Row],[COSTO TEMPORAL]])</f>
        <v>975.10333333333335</v>
      </c>
      <c r="P4827" s="12"/>
      <c r="Q4827" s="12">
        <f>+(Tabla1[[#This Row],[COSTO COCHE]]/30)*Tabla1[[#This Row],[TOTAL DIAS PROYECTO]]</f>
        <v>0</v>
      </c>
      <c r="R4827" s="12">
        <f>+Tabla1[[#This Row],[COSTO TOTAL ALOJAMIENTO]]+Tabla1[[#This Row],[COSTO TOTAL COCHE]]</f>
        <v>975.10333333333335</v>
      </c>
      <c r="S4827" s="2" t="s">
        <v>84</v>
      </c>
      <c r="T4827" s="14" t="s">
        <v>44</v>
      </c>
      <c r="U4827" s="14">
        <v>46047</v>
      </c>
      <c r="V4827" s="79">
        <v>46086</v>
      </c>
      <c r="W4827" s="12"/>
      <c r="X4827" s="2"/>
      <c r="Y4827" s="11" t="s">
        <v>6949</v>
      </c>
      <c r="Z4827" s="2" t="s">
        <v>36</v>
      </c>
      <c r="AA4827" s="13" t="e">
        <v>#N/A</v>
      </c>
      <c r="AB4827" s="13" t="e">
        <v>#N/A</v>
      </c>
    </row>
    <row r="4828" spans="1:28" ht="15" customHeight="1">
      <c r="A4828" s="2" t="s">
        <v>9672</v>
      </c>
      <c r="B4828" s="2" t="s">
        <v>711</v>
      </c>
      <c r="C4828" s="31" t="s">
        <v>4170</v>
      </c>
      <c r="D4828" s="2" t="s">
        <v>30</v>
      </c>
      <c r="E4828" s="2" t="s">
        <v>3335</v>
      </c>
      <c r="F4828" s="11" t="s">
        <v>6809</v>
      </c>
      <c r="G4828" s="21" t="s">
        <v>6810</v>
      </c>
      <c r="H4828" s="2" t="s">
        <v>6649</v>
      </c>
      <c r="I4828" s="12" t="s">
        <v>118</v>
      </c>
      <c r="J4828" s="22">
        <f>+Tabla1[[#This Row],[FECHA ENTRADA]]</f>
        <v>46047</v>
      </c>
      <c r="K4828" s="41">
        <v>46086</v>
      </c>
      <c r="L4828" s="23">
        <f>_xlfn.DAYS(Tabla1[[#This Row],[FECHA FIN ]],Tabla1[[#This Row],[FECHA INICIO]])</f>
        <v>39</v>
      </c>
      <c r="M4828" s="12">
        <f>(1926.31/3)+333</f>
        <v>975.10333333333335</v>
      </c>
      <c r="N4828" s="20"/>
      <c r="O4828" s="24">
        <f>(Tabla1[[#This Row],[COSTO FIJO ]]/30)*Tabla1[[#This Row],[TOTAL DIAS PROYECTO]]+(Tabla1[[#This Row],[COSTO TEMPORAL]])</f>
        <v>975.10333333333335</v>
      </c>
      <c r="P4828" s="12"/>
      <c r="Q4828" s="12">
        <f>+(Tabla1[[#This Row],[COSTO COCHE]]/30)*Tabla1[[#This Row],[TOTAL DIAS PROYECTO]]</f>
        <v>0</v>
      </c>
      <c r="R4828" s="12">
        <f>+Tabla1[[#This Row],[COSTO TOTAL ALOJAMIENTO]]+Tabla1[[#This Row],[COSTO TOTAL COCHE]]</f>
        <v>975.10333333333335</v>
      </c>
      <c r="S4828" s="2" t="s">
        <v>84</v>
      </c>
      <c r="T4828" s="14" t="s">
        <v>44</v>
      </c>
      <c r="U4828" s="14">
        <v>46047</v>
      </c>
      <c r="V4828" s="79">
        <v>46086</v>
      </c>
      <c r="W4828" s="12"/>
      <c r="X4828" s="2"/>
      <c r="Y4828" s="11" t="s">
        <v>6949</v>
      </c>
      <c r="Z4828" s="2" t="s">
        <v>36</v>
      </c>
      <c r="AA4828" s="13" t="e">
        <v>#N/A</v>
      </c>
      <c r="AB4828" s="13" t="e">
        <v>#N/A</v>
      </c>
    </row>
    <row r="4829" spans="1:28" ht="15" customHeight="1">
      <c r="A4829" s="2" t="s">
        <v>9957</v>
      </c>
      <c r="B4829" s="2" t="s">
        <v>711</v>
      </c>
      <c r="C4829" s="31" t="s">
        <v>5717</v>
      </c>
      <c r="D4829" s="2" t="s">
        <v>30</v>
      </c>
      <c r="E4829" s="2" t="s">
        <v>3335</v>
      </c>
      <c r="F4829" s="11" t="s">
        <v>6654</v>
      </c>
      <c r="G4829" s="21" t="s">
        <v>6655</v>
      </c>
      <c r="H4829" s="2" t="s">
        <v>6649</v>
      </c>
      <c r="I4829" s="12" t="s">
        <v>118</v>
      </c>
      <c r="J4829" s="22">
        <f>+Tabla1[[#This Row],[FECHA ENTRADA]]</f>
        <v>46047</v>
      </c>
      <c r="K4829" s="41">
        <v>46086</v>
      </c>
      <c r="L4829" s="23">
        <f>_xlfn.DAYS(Tabla1[[#This Row],[FECHA FIN ]],Tabla1[[#This Row],[FECHA INICIO]])</f>
        <v>39</v>
      </c>
      <c r="M4829" s="12">
        <f>1896.86/3</f>
        <v>632.28666666666663</v>
      </c>
      <c r="N4829" s="20"/>
      <c r="O4829" s="24">
        <f>(Tabla1[[#This Row],[COSTO FIJO ]]/30)*Tabla1[[#This Row],[TOTAL DIAS PROYECTO]]+(Tabla1[[#This Row],[COSTO TEMPORAL]])</f>
        <v>632.28666666666663</v>
      </c>
      <c r="P4829" s="12"/>
      <c r="Q4829" s="12">
        <f>+(Tabla1[[#This Row],[COSTO COCHE]]/30)*Tabla1[[#This Row],[TOTAL DIAS PROYECTO]]</f>
        <v>0</v>
      </c>
      <c r="R4829" s="12">
        <f>+Tabla1[[#This Row],[COSTO TOTAL ALOJAMIENTO]]+Tabla1[[#This Row],[COSTO TOTAL COCHE]]</f>
        <v>632.28666666666663</v>
      </c>
      <c r="S4829" s="2" t="s">
        <v>84</v>
      </c>
      <c r="T4829" s="14" t="s">
        <v>44</v>
      </c>
      <c r="U4829" s="14">
        <v>46047</v>
      </c>
      <c r="V4829" s="79">
        <v>46086</v>
      </c>
      <c r="W4829" s="12"/>
      <c r="X4829" s="2"/>
      <c r="Y4829" s="11" t="s">
        <v>6949</v>
      </c>
      <c r="Z4829" s="2" t="s">
        <v>36</v>
      </c>
      <c r="AA4829" s="13" t="e">
        <v>#N/A</v>
      </c>
      <c r="AB4829" s="13" t="e">
        <v>#N/A</v>
      </c>
    </row>
    <row r="4830" spans="1:28" ht="15" customHeight="1">
      <c r="A4830" s="2" t="s">
        <v>10096</v>
      </c>
      <c r="B4830" s="2" t="s">
        <v>711</v>
      </c>
      <c r="C4830" s="31" t="s">
        <v>6342</v>
      </c>
      <c r="D4830" s="2" t="s">
        <v>30</v>
      </c>
      <c r="E4830" s="2" t="s">
        <v>3335</v>
      </c>
      <c r="F4830" s="11" t="s">
        <v>6654</v>
      </c>
      <c r="G4830" s="21" t="s">
        <v>6655</v>
      </c>
      <c r="H4830" s="2" t="s">
        <v>6649</v>
      </c>
      <c r="I4830" s="12" t="s">
        <v>118</v>
      </c>
      <c r="J4830" s="22">
        <f>+Tabla1[[#This Row],[FECHA ENTRADA]]</f>
        <v>46047</v>
      </c>
      <c r="K4830" s="41">
        <v>46086</v>
      </c>
      <c r="L4830" s="23">
        <f>_xlfn.DAYS(Tabla1[[#This Row],[FECHA FIN ]],Tabla1[[#This Row],[FECHA INICIO]])</f>
        <v>39</v>
      </c>
      <c r="M4830" s="12">
        <f>1896.86/3</f>
        <v>632.28666666666663</v>
      </c>
      <c r="N4830" s="20"/>
      <c r="O4830" s="24">
        <f>(Tabla1[[#This Row],[COSTO FIJO ]]/30)*Tabla1[[#This Row],[TOTAL DIAS PROYECTO]]+(Tabla1[[#This Row],[COSTO TEMPORAL]])</f>
        <v>632.28666666666663</v>
      </c>
      <c r="P4830" s="12"/>
      <c r="Q4830" s="12">
        <f>+(Tabla1[[#This Row],[COSTO COCHE]]/30)*Tabla1[[#This Row],[TOTAL DIAS PROYECTO]]</f>
        <v>0</v>
      </c>
      <c r="R4830" s="12">
        <f>+Tabla1[[#This Row],[COSTO TOTAL ALOJAMIENTO]]+Tabla1[[#This Row],[COSTO TOTAL COCHE]]</f>
        <v>632.28666666666663</v>
      </c>
      <c r="S4830" s="2" t="s">
        <v>84</v>
      </c>
      <c r="T4830" s="14" t="s">
        <v>44</v>
      </c>
      <c r="U4830" s="14">
        <v>46047</v>
      </c>
      <c r="V4830" s="79">
        <v>46086</v>
      </c>
      <c r="W4830" s="12"/>
      <c r="X4830" s="2"/>
      <c r="Y4830" s="11" t="s">
        <v>6949</v>
      </c>
      <c r="Z4830" s="2" t="s">
        <v>36</v>
      </c>
      <c r="AA4830" s="13" t="e">
        <v>#N/A</v>
      </c>
      <c r="AB4830" s="13" t="e">
        <v>#N/A</v>
      </c>
    </row>
    <row r="4831" spans="1:28" ht="15" customHeight="1">
      <c r="A4831" s="2" t="s">
        <v>10001</v>
      </c>
      <c r="B4831" s="2" t="s">
        <v>711</v>
      </c>
      <c r="C4831" s="97" t="s">
        <v>5886</v>
      </c>
      <c r="D4831" s="2" t="s">
        <v>30</v>
      </c>
      <c r="E4831" s="2" t="s">
        <v>3335</v>
      </c>
      <c r="F4831" s="11" t="s">
        <v>6847</v>
      </c>
      <c r="G4831" s="21" t="s">
        <v>6848</v>
      </c>
      <c r="H4831" s="2" t="s">
        <v>6649</v>
      </c>
      <c r="I4831" s="12" t="s">
        <v>118</v>
      </c>
      <c r="J4831" s="22">
        <f>+Tabla1[[#This Row],[FECHA ENTRADA]]</f>
        <v>46070</v>
      </c>
      <c r="K4831" s="41">
        <v>46086</v>
      </c>
      <c r="L4831" s="23">
        <f>_xlfn.DAYS(Tabla1[[#This Row],[FECHA FIN ]],Tabla1[[#This Row],[FECHA INICIO]])</f>
        <v>16</v>
      </c>
      <c r="M4831" s="12">
        <v>296.75</v>
      </c>
      <c r="N4831" s="20"/>
      <c r="O4831" s="24">
        <f>(Tabla1[[#This Row],[COSTO FIJO ]]/30)*Tabla1[[#This Row],[TOTAL DIAS PROYECTO]]+(Tabla1[[#This Row],[COSTO TEMPORAL]])</f>
        <v>296.75</v>
      </c>
      <c r="P4831" s="12"/>
      <c r="Q4831" s="12">
        <f>+(Tabla1[[#This Row],[COSTO COCHE]]/30)*Tabla1[[#This Row],[TOTAL DIAS PROYECTO]]</f>
        <v>0</v>
      </c>
      <c r="R4831" s="12">
        <f>+Tabla1[[#This Row],[COSTO TOTAL ALOJAMIENTO]]+Tabla1[[#This Row],[COSTO TOTAL COCHE]]</f>
        <v>296.75</v>
      </c>
      <c r="S4831" s="2" t="s">
        <v>403</v>
      </c>
      <c r="T4831" s="14" t="s">
        <v>44</v>
      </c>
      <c r="U4831" s="14">
        <v>46070</v>
      </c>
      <c r="V4831" s="79">
        <v>46086</v>
      </c>
      <c r="W4831" s="12"/>
      <c r="X4831" s="2"/>
      <c r="Y4831" s="11" t="s">
        <v>6949</v>
      </c>
      <c r="Z4831" s="2" t="s">
        <v>36</v>
      </c>
      <c r="AA4831" s="13" t="e">
        <v>#N/A</v>
      </c>
      <c r="AB4831" s="13" t="e">
        <v>#N/A</v>
      </c>
    </row>
    <row r="4832" spans="1:28" ht="15.75" customHeight="1">
      <c r="A4832" s="2" t="s">
        <v>10075</v>
      </c>
      <c r="B4832" s="2" t="s">
        <v>711</v>
      </c>
      <c r="C4832" s="279" t="s">
        <v>6221</v>
      </c>
      <c r="D4832" s="2" t="s">
        <v>30</v>
      </c>
      <c r="E4832" s="2" t="s">
        <v>3335</v>
      </c>
      <c r="F4832" s="11" t="s">
        <v>6847</v>
      </c>
      <c r="G4832" s="21" t="s">
        <v>6848</v>
      </c>
      <c r="H4832" s="157" t="s">
        <v>6649</v>
      </c>
      <c r="I4832" s="12" t="s">
        <v>118</v>
      </c>
      <c r="J4832" s="22">
        <f>+Tabla1[[#This Row],[FECHA ENTRADA]]</f>
        <v>46070</v>
      </c>
      <c r="K4832" s="41">
        <v>46086</v>
      </c>
      <c r="L4832" s="23">
        <f>_xlfn.DAYS(Tabla1[[#This Row],[FECHA FIN ]],Tabla1[[#This Row],[FECHA INICIO]])</f>
        <v>16</v>
      </c>
      <c r="M4832" s="12">
        <v>296.75</v>
      </c>
      <c r="N4832" s="20"/>
      <c r="O4832" s="24">
        <f>(Tabla1[[#This Row],[COSTO FIJO ]]/30)*Tabla1[[#This Row],[TOTAL DIAS PROYECTO]]+(Tabla1[[#This Row],[COSTO TEMPORAL]])</f>
        <v>296.75</v>
      </c>
      <c r="P4832" s="12"/>
      <c r="Q4832" s="12">
        <f>+(Tabla1[[#This Row],[COSTO COCHE]]/30)*Tabla1[[#This Row],[TOTAL DIAS PROYECTO]]</f>
        <v>0</v>
      </c>
      <c r="R4832" s="12">
        <f>+Tabla1[[#This Row],[COSTO TOTAL ALOJAMIENTO]]+Tabla1[[#This Row],[COSTO TOTAL COCHE]]</f>
        <v>296.75</v>
      </c>
      <c r="S4832" s="2" t="s">
        <v>403</v>
      </c>
      <c r="T4832" s="14" t="s">
        <v>44</v>
      </c>
      <c r="U4832" s="14">
        <v>46070</v>
      </c>
      <c r="V4832" s="79">
        <v>46086</v>
      </c>
      <c r="W4832" s="12"/>
      <c r="X4832" s="2"/>
      <c r="Y4832" s="11" t="s">
        <v>6949</v>
      </c>
      <c r="Z4832" s="2" t="s">
        <v>36</v>
      </c>
      <c r="AA4832" s="13" t="e">
        <v>#N/A</v>
      </c>
      <c r="AB4832" s="13" t="e">
        <v>#N/A</v>
      </c>
    </row>
    <row r="4833" spans="1:28" ht="15" customHeight="1">
      <c r="A4833" s="2" t="s">
        <v>9722</v>
      </c>
      <c r="B4833" s="2" t="s">
        <v>711</v>
      </c>
      <c r="C4833" s="31" t="s">
        <v>4406</v>
      </c>
      <c r="D4833" s="2" t="s">
        <v>30</v>
      </c>
      <c r="E4833" s="2" t="s">
        <v>3335</v>
      </c>
      <c r="F4833" s="11" t="s">
        <v>6847</v>
      </c>
      <c r="G4833" s="21" t="s">
        <v>6848</v>
      </c>
      <c r="H4833" s="2" t="s">
        <v>6649</v>
      </c>
      <c r="I4833" s="12" t="s">
        <v>118</v>
      </c>
      <c r="J4833" s="22">
        <f>+Tabla1[[#This Row],[FECHA ENTRADA]]</f>
        <v>46070</v>
      </c>
      <c r="K4833" s="41">
        <v>46086</v>
      </c>
      <c r="L4833" s="23">
        <f>_xlfn.DAYS(Tabla1[[#This Row],[FECHA FIN ]],Tabla1[[#This Row],[FECHA INICIO]])</f>
        <v>16</v>
      </c>
      <c r="M4833" s="12">
        <v>296.75</v>
      </c>
      <c r="N4833" s="20"/>
      <c r="O4833" s="24">
        <f>(Tabla1[[#This Row],[COSTO FIJO ]]/30)*Tabla1[[#This Row],[TOTAL DIAS PROYECTO]]+(Tabla1[[#This Row],[COSTO TEMPORAL]])</f>
        <v>296.75</v>
      </c>
      <c r="P4833" s="12"/>
      <c r="Q4833" s="12">
        <f>+(Tabla1[[#This Row],[COSTO COCHE]]/30)*Tabla1[[#This Row],[TOTAL DIAS PROYECTO]]</f>
        <v>0</v>
      </c>
      <c r="R4833" s="12">
        <f>+Tabla1[[#This Row],[COSTO TOTAL ALOJAMIENTO]]+Tabla1[[#This Row],[COSTO TOTAL COCHE]]</f>
        <v>296.75</v>
      </c>
      <c r="S4833" s="2" t="s">
        <v>403</v>
      </c>
      <c r="T4833" s="14" t="s">
        <v>44</v>
      </c>
      <c r="U4833" s="14">
        <v>46070</v>
      </c>
      <c r="V4833" s="79">
        <v>46086</v>
      </c>
      <c r="W4833" s="12"/>
      <c r="X4833" s="2"/>
      <c r="Y4833" s="11" t="s">
        <v>6949</v>
      </c>
      <c r="Z4833" s="2" t="s">
        <v>36</v>
      </c>
      <c r="AA4833" s="13" t="e">
        <v>#N/A</v>
      </c>
      <c r="AB4833" s="13" t="e">
        <v>#N/A</v>
      </c>
    </row>
    <row r="4834" spans="1:28" ht="15" customHeight="1">
      <c r="A4834" s="2" t="s">
        <v>9985</v>
      </c>
      <c r="B4834" s="2" t="s">
        <v>711</v>
      </c>
      <c r="C4834" s="31" t="s">
        <v>5847</v>
      </c>
      <c r="D4834" s="2" t="s">
        <v>30</v>
      </c>
      <c r="E4834" s="2" t="s">
        <v>3335</v>
      </c>
      <c r="F4834" s="11" t="s">
        <v>6651</v>
      </c>
      <c r="G4834" s="21" t="s">
        <v>6652</v>
      </c>
      <c r="H4834" s="2" t="s">
        <v>6649</v>
      </c>
      <c r="I4834" s="12" t="s">
        <v>118</v>
      </c>
      <c r="J4834" s="41">
        <f>+Tabla1[[#This Row],[FECHA ENTRADA]]</f>
        <v>46070</v>
      </c>
      <c r="K4834" s="22">
        <v>46086</v>
      </c>
      <c r="L4834" s="42">
        <f>_xlfn.DAYS(Tabla1[[#This Row],[FECHA FIN ]],Tabla1[[#This Row],[FECHA INICIO]])</f>
        <v>16</v>
      </c>
      <c r="M4834" s="12">
        <v>386</v>
      </c>
      <c r="N4834" s="28"/>
      <c r="O4834" s="28">
        <f>(Tabla1[[#This Row],[COSTO FIJO ]]/30)*Tabla1[[#This Row],[TOTAL DIAS PROYECTO]]+(Tabla1[[#This Row],[COSTO TEMPORAL]])</f>
        <v>386</v>
      </c>
      <c r="P4834" s="12"/>
      <c r="Q4834" s="12">
        <f>+(Tabla1[[#This Row],[COSTO COCHE]]/30)*Tabla1[[#This Row],[TOTAL DIAS PROYECTO]]</f>
        <v>0</v>
      </c>
      <c r="R4834" s="12">
        <f>+Tabla1[[#This Row],[COSTO TOTAL ALOJAMIENTO]]+Tabla1[[#This Row],[COSTO TOTAL COCHE]]</f>
        <v>386</v>
      </c>
      <c r="S4834" s="2" t="s">
        <v>403</v>
      </c>
      <c r="T4834" s="14" t="s">
        <v>44</v>
      </c>
      <c r="U4834" s="14">
        <v>46070</v>
      </c>
      <c r="V4834" s="79">
        <v>46086</v>
      </c>
      <c r="W4834" s="12"/>
      <c r="X4834" s="2"/>
      <c r="Y4834" s="11" t="s">
        <v>6949</v>
      </c>
      <c r="Z4834" s="2" t="s">
        <v>36</v>
      </c>
      <c r="AA4834" s="13" t="e">
        <v>#N/A</v>
      </c>
      <c r="AB4834" s="13" t="e">
        <v>#N/A</v>
      </c>
    </row>
    <row r="4835" spans="1:28" ht="15" customHeight="1">
      <c r="A4835" s="2" t="s">
        <v>9768</v>
      </c>
      <c r="B4835" s="2" t="s">
        <v>711</v>
      </c>
      <c r="C4835" s="97" t="s">
        <v>4654</v>
      </c>
      <c r="D4835" s="2" t="s">
        <v>30</v>
      </c>
      <c r="E4835" s="2" t="s">
        <v>3335</v>
      </c>
      <c r="F4835" s="11" t="s">
        <v>6809</v>
      </c>
      <c r="G4835" s="21" t="s">
        <v>6810</v>
      </c>
      <c r="H4835" s="2" t="s">
        <v>6649</v>
      </c>
      <c r="I4835" s="12" t="s">
        <v>118</v>
      </c>
      <c r="J4835" s="41">
        <f>+Tabla1[[#This Row],[FECHA ENTRADA]]</f>
        <v>46070</v>
      </c>
      <c r="K4835" s="22">
        <v>46086</v>
      </c>
      <c r="L4835" s="42">
        <f>_xlfn.DAYS(Tabla1[[#This Row],[FECHA FIN ]],Tabla1[[#This Row],[FECHA INICIO]])</f>
        <v>16</v>
      </c>
      <c r="M4835" s="12">
        <v>333</v>
      </c>
      <c r="N4835" s="28"/>
      <c r="O4835" s="28">
        <f>(Tabla1[[#This Row],[COSTO FIJO ]]/30)*Tabla1[[#This Row],[TOTAL DIAS PROYECTO]]+(Tabla1[[#This Row],[COSTO TEMPORAL]])</f>
        <v>333</v>
      </c>
      <c r="P4835" s="12"/>
      <c r="Q4835" s="12">
        <f>+(Tabla1[[#This Row],[COSTO COCHE]]/30)*Tabla1[[#This Row],[TOTAL DIAS PROYECTO]]</f>
        <v>0</v>
      </c>
      <c r="R4835" s="12">
        <f>+Tabla1[[#This Row],[COSTO TOTAL ALOJAMIENTO]]+Tabla1[[#This Row],[COSTO TOTAL COCHE]]</f>
        <v>333</v>
      </c>
      <c r="S4835" s="2" t="s">
        <v>84</v>
      </c>
      <c r="T4835" s="14" t="s">
        <v>44</v>
      </c>
      <c r="U4835" s="14">
        <v>46070</v>
      </c>
      <c r="V4835" s="79">
        <v>46086</v>
      </c>
      <c r="W4835" s="12"/>
      <c r="X4835" s="2"/>
      <c r="Y4835" s="11" t="s">
        <v>6949</v>
      </c>
      <c r="Z4835" s="2" t="s">
        <v>36</v>
      </c>
      <c r="AA4835" s="13" t="e">
        <v>#N/A</v>
      </c>
      <c r="AB4835" s="13" t="e">
        <v>#N/A</v>
      </c>
    </row>
    <row r="4836" spans="1:28" ht="15" customHeight="1">
      <c r="A4836" s="2" t="s">
        <v>10014</v>
      </c>
      <c r="B4836" s="2" t="s">
        <v>711</v>
      </c>
      <c r="C4836" s="31" t="s">
        <v>5967</v>
      </c>
      <c r="D4836" s="2" t="s">
        <v>30</v>
      </c>
      <c r="E4836" s="2" t="s">
        <v>3335</v>
      </c>
      <c r="F4836" s="11" t="s">
        <v>6654</v>
      </c>
      <c r="G4836" s="21" t="s">
        <v>6655</v>
      </c>
      <c r="H4836" s="2" t="s">
        <v>6649</v>
      </c>
      <c r="I4836" s="12" t="s">
        <v>118</v>
      </c>
      <c r="J4836" s="41">
        <f>+Tabla1[[#This Row],[FECHA ENTRADA]]</f>
        <v>46070</v>
      </c>
      <c r="K4836" s="22">
        <v>46086</v>
      </c>
      <c r="L4836" s="42">
        <f>_xlfn.DAYS(Tabla1[[#This Row],[FECHA FIN ]],Tabla1[[#This Row],[FECHA INICIO]])</f>
        <v>16</v>
      </c>
      <c r="M4836" s="12"/>
      <c r="N4836" s="28"/>
      <c r="O4836" s="28">
        <f>(Tabla1[[#This Row],[COSTO FIJO ]]/30)*Tabla1[[#This Row],[TOTAL DIAS PROYECTO]]+(Tabla1[[#This Row],[COSTO TEMPORAL]])</f>
        <v>0</v>
      </c>
      <c r="P4836" s="12"/>
      <c r="Q4836" s="12">
        <f>+(Tabla1[[#This Row],[COSTO COCHE]]/30)*Tabla1[[#This Row],[TOTAL DIAS PROYECTO]]</f>
        <v>0</v>
      </c>
      <c r="R4836" s="12">
        <f>+Tabla1[[#This Row],[COSTO TOTAL ALOJAMIENTO]]+Tabla1[[#This Row],[COSTO TOTAL COCHE]]</f>
        <v>0</v>
      </c>
      <c r="S4836" s="2" t="s">
        <v>84</v>
      </c>
      <c r="T4836" s="14" t="s">
        <v>44</v>
      </c>
      <c r="U4836" s="14">
        <v>46070</v>
      </c>
      <c r="V4836" s="79">
        <v>46086</v>
      </c>
      <c r="W4836" s="12"/>
      <c r="X4836" s="2"/>
      <c r="Y4836" s="11" t="s">
        <v>6949</v>
      </c>
      <c r="Z4836" s="2" t="s">
        <v>36</v>
      </c>
      <c r="AA4836" s="13" t="e">
        <v>#N/A</v>
      </c>
      <c r="AB4836" s="13" t="e">
        <v>#N/A</v>
      </c>
    </row>
    <row r="4837" spans="1:28" ht="15" customHeight="1">
      <c r="A4837" s="2" t="s">
        <v>8989</v>
      </c>
      <c r="B4837" s="2" t="s">
        <v>606</v>
      </c>
      <c r="C4837" s="11" t="s">
        <v>1606</v>
      </c>
      <c r="D4837" s="2" t="s">
        <v>30</v>
      </c>
      <c r="E4837" s="2" t="s">
        <v>87</v>
      </c>
      <c r="F4837" s="11" t="s">
        <v>6837</v>
      </c>
      <c r="G4837" s="46" t="s">
        <v>6838</v>
      </c>
      <c r="H4837" s="2" t="s">
        <v>2106</v>
      </c>
      <c r="I4837" s="314" t="s">
        <v>4169</v>
      </c>
      <c r="J4837" s="41">
        <f>+Tabla1[[#This Row],[FECHA ENTRADA]]</f>
        <v>46071</v>
      </c>
      <c r="K4837" s="22">
        <v>46086</v>
      </c>
      <c r="L4837" s="42">
        <f>_xlfn.DAYS(Tabla1[[#This Row],[FECHA FIN ]],Tabla1[[#This Row],[FECHA INICIO]])</f>
        <v>15</v>
      </c>
      <c r="M4837" s="12">
        <v>175</v>
      </c>
      <c r="N4837" s="28"/>
      <c r="O4837" s="28">
        <f>(Tabla1[[#This Row],[COSTO FIJO ]]/30)*Tabla1[[#This Row],[TOTAL DIAS PROYECTO]]+(Tabla1[[#This Row],[COSTO TEMPORAL]])</f>
        <v>175</v>
      </c>
      <c r="P4837" s="12"/>
      <c r="Q4837" s="12">
        <f>+(Tabla1[[#This Row],[COSTO COCHE]]/30)*Tabla1[[#This Row],[TOTAL DIAS PROYECTO]]</f>
        <v>0</v>
      </c>
      <c r="R4837" s="12">
        <f>+Tabla1[[#This Row],[COSTO TOTAL ALOJAMIENTO]]+Tabla1[[#This Row],[COSTO TOTAL COCHE]]</f>
        <v>175</v>
      </c>
      <c r="S4837" s="2"/>
      <c r="T4837" s="14" t="s">
        <v>44</v>
      </c>
      <c r="U4837" s="14">
        <v>46071</v>
      </c>
      <c r="V4837" s="43">
        <v>46085</v>
      </c>
      <c r="W4837" s="12"/>
      <c r="X4837" s="2"/>
      <c r="Y4837" s="11" t="s">
        <v>6953</v>
      </c>
      <c r="Z4837" s="2" t="s">
        <v>36</v>
      </c>
      <c r="AA4837" s="13" t="s">
        <v>10335</v>
      </c>
      <c r="AB4837" s="13">
        <v>404.16500000000002</v>
      </c>
    </row>
    <row r="4838" spans="1:28" ht="15" customHeight="1">
      <c r="A4838" s="2" t="s">
        <v>9865</v>
      </c>
      <c r="B4838" s="2" t="s">
        <v>978</v>
      </c>
      <c r="C4838" s="31" t="s">
        <v>5102</v>
      </c>
      <c r="D4838" s="2" t="s">
        <v>30</v>
      </c>
      <c r="E4838" s="2" t="s">
        <v>608</v>
      </c>
      <c r="F4838" s="11" t="s">
        <v>1106</v>
      </c>
      <c r="G4838" s="21"/>
      <c r="H4838" s="2" t="s">
        <v>6616</v>
      </c>
      <c r="I4838" s="12" t="s">
        <v>4255</v>
      </c>
      <c r="J4838" s="22">
        <f>+Tabla1[[#This Row],[FECHA ENTRADA]]</f>
        <v>45948</v>
      </c>
      <c r="K4838" s="41">
        <v>46086</v>
      </c>
      <c r="L4838" s="23">
        <f>_xlfn.DAYS(Tabla1[[#This Row],[FECHA FIN ]],Tabla1[[#This Row],[FECHA INICIO]])</f>
        <v>138</v>
      </c>
      <c r="M4838" s="12"/>
      <c r="N4838" s="20">
        <v>0</v>
      </c>
      <c r="O4838" s="24">
        <f>(Tabla1[[#This Row],[COSTO FIJO ]]/30)*Tabla1[[#This Row],[TOTAL DIAS PROYECTO]]+(Tabla1[[#This Row],[COSTO TEMPORAL]])</f>
        <v>0</v>
      </c>
      <c r="P4838" s="12"/>
      <c r="Q4838" s="12">
        <f>+(Tabla1[[#This Row],[COSTO COCHE]]/30)*Tabla1[[#This Row],[TOTAL DIAS PROYECTO]]</f>
        <v>0</v>
      </c>
      <c r="R4838" s="12">
        <f>+Tabla1[[#This Row],[COSTO TOTAL ALOJAMIENTO]]+Tabla1[[#This Row],[COSTO TOTAL COCHE]]</f>
        <v>0</v>
      </c>
      <c r="S4838" s="2"/>
      <c r="T4838" s="2" t="s">
        <v>8</v>
      </c>
      <c r="U4838" s="14">
        <v>45948</v>
      </c>
      <c r="V4838" s="79">
        <v>45961</v>
      </c>
      <c r="W4838" s="71"/>
      <c r="X4838" s="2"/>
      <c r="Y4838" s="11" t="s">
        <v>6954</v>
      </c>
      <c r="Z4838" s="2" t="s">
        <v>36</v>
      </c>
      <c r="AA4838" s="13" t="s">
        <v>10383</v>
      </c>
      <c r="AB4838" s="13" t="s">
        <v>10384</v>
      </c>
    </row>
    <row r="4839" spans="1:28" ht="15" customHeight="1">
      <c r="A4839" s="2" t="s">
        <v>9678</v>
      </c>
      <c r="B4839" s="2" t="s">
        <v>28</v>
      </c>
      <c r="C4839" s="252" t="s">
        <v>4189</v>
      </c>
      <c r="D4839" s="2" t="s">
        <v>749</v>
      </c>
      <c r="E4839" s="2" t="s">
        <v>288</v>
      </c>
      <c r="F4839" s="11" t="s">
        <v>4873</v>
      </c>
      <c r="G4839" s="21" t="s">
        <v>4752</v>
      </c>
      <c r="H4839" s="2" t="s">
        <v>6881</v>
      </c>
      <c r="I4839" s="12" t="s">
        <v>753</v>
      </c>
      <c r="J4839" s="22">
        <f>+Tabla1[[#This Row],[FECHA ENTRADA]]</f>
        <v>45977</v>
      </c>
      <c r="K4839" s="22">
        <v>46022</v>
      </c>
      <c r="L4839" s="23">
        <f>_xlfn.DAYS(Tabla1[[#This Row],[FECHA FIN ]],Tabla1[[#This Row],[FECHA INICIO]])</f>
        <v>45</v>
      </c>
      <c r="M4839" s="12">
        <v>500</v>
      </c>
      <c r="N4839" s="20"/>
      <c r="O4839" s="24">
        <f>(Tabla1[[#This Row],[COSTO FIJO ]]/30)*Tabla1[[#This Row],[TOTAL DIAS PROYECTO]]+(Tabla1[[#This Row],[COSTO TEMPORAL]])</f>
        <v>500</v>
      </c>
      <c r="P4839" s="12"/>
      <c r="Q4839" s="12">
        <f>+(Tabla1[[#This Row],[COSTO COCHE]]/30)*Tabla1[[#This Row],[TOTAL DIAS PROYECTO]]</f>
        <v>0</v>
      </c>
      <c r="R4839" s="12">
        <f>+Tabla1[[#This Row],[COSTO TOTAL ALOJAMIENTO]]+Tabla1[[#This Row],[COSTO TOTAL COCHE]]</f>
        <v>500</v>
      </c>
      <c r="S4839" s="2"/>
      <c r="T4839" s="14" t="s">
        <v>44</v>
      </c>
      <c r="U4839" s="14">
        <v>45977</v>
      </c>
      <c r="V4839" s="25">
        <v>46023</v>
      </c>
      <c r="W4839" s="71"/>
      <c r="X4839" s="2"/>
      <c r="Y4839" s="11" t="s">
        <v>6955</v>
      </c>
      <c r="Z4839" s="2" t="s">
        <v>36</v>
      </c>
      <c r="AA4839" s="13" t="s">
        <v>10362</v>
      </c>
      <c r="AB4839" s="13" t="s">
        <v>10363</v>
      </c>
    </row>
    <row r="4840" spans="1:28" ht="15" customHeight="1">
      <c r="A4840" s="2" t="s">
        <v>9893</v>
      </c>
      <c r="B4840" s="2" t="s">
        <v>606</v>
      </c>
      <c r="C4840" s="31" t="s">
        <v>5239</v>
      </c>
      <c r="D4840" s="2" t="s">
        <v>30</v>
      </c>
      <c r="E4840" s="2" t="s">
        <v>31</v>
      </c>
      <c r="F4840" s="11" t="s">
        <v>6382</v>
      </c>
      <c r="G4840" s="21" t="s">
        <v>6372</v>
      </c>
      <c r="H4840" s="2" t="s">
        <v>6571</v>
      </c>
      <c r="I4840" s="12" t="s">
        <v>385</v>
      </c>
      <c r="J4840" s="22">
        <f>+Tabla1[[#This Row],[FECHA ENTRADA]]</f>
        <v>46029</v>
      </c>
      <c r="K4840" s="22">
        <v>46084</v>
      </c>
      <c r="L4840" s="23">
        <f>_xlfn.DAYS(Tabla1[[#This Row],[FECHA FIN ]],Tabla1[[#This Row],[FECHA INICIO]])</f>
        <v>55</v>
      </c>
      <c r="M4840" s="12">
        <v>293.33333333333331</v>
      </c>
      <c r="N4840" s="20"/>
      <c r="O4840" s="24">
        <f>(Tabla1[[#This Row],[COSTO FIJO ]]/30)*Tabla1[[#This Row],[TOTAL DIAS PROYECTO]]+(Tabla1[[#This Row],[COSTO TEMPORAL]])</f>
        <v>293.33333333333331</v>
      </c>
      <c r="P4840" s="12"/>
      <c r="Q4840" s="12">
        <f>+(Tabla1[[#This Row],[COSTO COCHE]]/30)*Tabla1[[#This Row],[TOTAL DIAS PROYECTO]]</f>
        <v>0</v>
      </c>
      <c r="R4840" s="12">
        <f>+Tabla1[[#This Row],[COSTO TOTAL ALOJAMIENTO]]+Tabla1[[#This Row],[COSTO TOTAL COCHE]]</f>
        <v>293.33333333333331</v>
      </c>
      <c r="S4840" s="2"/>
      <c r="T4840" s="14" t="s">
        <v>44</v>
      </c>
      <c r="U4840" s="14">
        <v>46029</v>
      </c>
      <c r="V4840" s="25">
        <v>46100</v>
      </c>
      <c r="W4840" s="12"/>
      <c r="X4840" s="2"/>
      <c r="Y4840" s="11" t="s">
        <v>6942</v>
      </c>
      <c r="Z4840" s="2" t="s">
        <v>36</v>
      </c>
      <c r="AA4840" s="13" t="s">
        <v>10323</v>
      </c>
      <c r="AB4840" s="13" t="s">
        <v>10324</v>
      </c>
    </row>
    <row r="4841" spans="1:28" ht="15" customHeight="1">
      <c r="A4841" s="2" t="s">
        <v>10153</v>
      </c>
      <c r="B4841" s="2" t="s">
        <v>606</v>
      </c>
      <c r="C4841" s="31" t="s">
        <v>6726</v>
      </c>
      <c r="D4841" s="2" t="s">
        <v>30</v>
      </c>
      <c r="E4841" s="2" t="s">
        <v>114</v>
      </c>
      <c r="F4841" s="11" t="s">
        <v>6956</v>
      </c>
      <c r="G4841" s="128" t="s">
        <v>3882</v>
      </c>
      <c r="H4841" s="2" t="s">
        <v>6957</v>
      </c>
      <c r="I4841" s="12" t="s">
        <v>2348</v>
      </c>
      <c r="J4841" s="22">
        <f>+Tabla1[[#This Row],[FECHA ENTRADA]]</f>
        <v>46061</v>
      </c>
      <c r="K4841" s="41">
        <v>46087</v>
      </c>
      <c r="L4841" s="23">
        <f>_xlfn.DAYS(Tabla1[[#This Row],[FECHA FIN ]],Tabla1[[#This Row],[FECHA INICIO]])</f>
        <v>26</v>
      </c>
      <c r="M4841" s="12"/>
      <c r="N4841" s="20">
        <v>130</v>
      </c>
      <c r="O4841" s="24">
        <f>(Tabla1[[#This Row],[COSTO FIJO ]]/30)*Tabla1[[#This Row],[TOTAL DIAS PROYECTO]]+(Tabla1[[#This Row],[COSTO TEMPORAL]])</f>
        <v>112.66666666666666</v>
      </c>
      <c r="P4841" s="12"/>
      <c r="Q4841" s="12">
        <f>+(Tabla1[[#This Row],[COSTO COCHE]]/30)*Tabla1[[#This Row],[TOTAL DIAS PROYECTO]]</f>
        <v>0</v>
      </c>
      <c r="R4841" s="12">
        <f>+Tabla1[[#This Row],[COSTO TOTAL ALOJAMIENTO]]+Tabla1[[#This Row],[COSTO TOTAL COCHE]]</f>
        <v>112.66666666666666</v>
      </c>
      <c r="S4841" s="2"/>
      <c r="T4841" s="14" t="s">
        <v>35</v>
      </c>
      <c r="U4841" s="14">
        <v>46061</v>
      </c>
      <c r="V4841" s="79"/>
      <c r="W4841" s="12"/>
      <c r="X4841" s="2">
        <v>5</v>
      </c>
      <c r="Y4841" s="11" t="s">
        <v>6958</v>
      </c>
      <c r="Z4841" s="2" t="s">
        <v>36</v>
      </c>
      <c r="AA4841" s="13" t="s">
        <v>10340</v>
      </c>
      <c r="AB4841" s="13" t="s">
        <v>10341</v>
      </c>
    </row>
    <row r="4842" spans="1:28" ht="15" customHeight="1">
      <c r="A4842" s="2" t="s">
        <v>10179</v>
      </c>
      <c r="B4842" s="2" t="s">
        <v>606</v>
      </c>
      <c r="C4842" s="31" t="s">
        <v>6959</v>
      </c>
      <c r="D4842" s="2" t="s">
        <v>30</v>
      </c>
      <c r="E4842" s="2" t="s">
        <v>31</v>
      </c>
      <c r="F4842" s="11"/>
      <c r="G4842" s="11"/>
      <c r="H4842" s="2">
        <v>2023</v>
      </c>
      <c r="I4842" s="2" t="s">
        <v>385</v>
      </c>
      <c r="J4842" s="8">
        <v>44933</v>
      </c>
      <c r="K4842" s="8">
        <v>46087</v>
      </c>
      <c r="L4842" s="13">
        <f>_xlfn.DAYS(Tabla1[[#This Row],[FECHA FIN ]],Tabla1[[#This Row],[FECHA INICIO]])</f>
        <v>1154</v>
      </c>
      <c r="M4842" s="12"/>
      <c r="N4842" s="28">
        <v>300</v>
      </c>
      <c r="O4842" s="12">
        <f>(Tabla1[[#This Row],[COSTO FIJO ]]/30)*Tabla1[[#This Row],[TOTAL DIAS PROYECTO]]+(Tabla1[[#This Row],[COSTO TEMPORAL]])</f>
        <v>11540</v>
      </c>
      <c r="P4842" s="12"/>
      <c r="Q4842" s="12">
        <f>+(Tabla1[[#This Row],[COSTO COCHE]]/30)*Tabla1[[#This Row],[TOTAL DIAS PROYECTO]]</f>
        <v>0</v>
      </c>
      <c r="R4842" s="12">
        <f>+Tabla1[[#This Row],[COSTO TOTAL ALOJAMIENTO]]+Tabla1[[#This Row],[COSTO TOTAL COCHE]]</f>
        <v>11540</v>
      </c>
      <c r="S4842" s="2"/>
      <c r="T4842" s="2" t="s">
        <v>58</v>
      </c>
      <c r="U4842" s="14"/>
      <c r="V4842" s="14"/>
      <c r="W4842" s="2"/>
      <c r="X4842" s="2"/>
      <c r="Y4842" s="11" t="s">
        <v>6942</v>
      </c>
      <c r="Z4842" s="2" t="s">
        <v>36</v>
      </c>
      <c r="AA4842" s="13" t="s">
        <v>10323</v>
      </c>
      <c r="AB4842" s="13" t="s">
        <v>10324</v>
      </c>
    </row>
    <row r="4843" spans="1:28" ht="15" customHeight="1">
      <c r="A4843" s="2" t="s">
        <v>9779</v>
      </c>
      <c r="B4843" s="2" t="s">
        <v>978</v>
      </c>
      <c r="C4843" s="31" t="s">
        <v>4698</v>
      </c>
      <c r="D4843" s="2" t="s">
        <v>30</v>
      </c>
      <c r="E4843" s="2" t="s">
        <v>380</v>
      </c>
      <c r="F4843" s="11" t="s">
        <v>1579</v>
      </c>
      <c r="G4843" s="11" t="s">
        <v>1580</v>
      </c>
      <c r="H4843" s="2" t="s">
        <v>6296</v>
      </c>
      <c r="I4843" s="12" t="s">
        <v>4681</v>
      </c>
      <c r="J4843" s="22">
        <f>+Tabla1[[#This Row],[FECHA ENTRADA]]</f>
        <v>45915</v>
      </c>
      <c r="K4843" s="22">
        <v>46088</v>
      </c>
      <c r="L4843" s="23">
        <f>_xlfn.DAYS(Tabla1[[#This Row],[FECHA FIN ]],Tabla1[[#This Row],[FECHA INICIO]])</f>
        <v>173</v>
      </c>
      <c r="M4843" s="12"/>
      <c r="N4843" s="12">
        <v>600</v>
      </c>
      <c r="O4843" s="24">
        <f>(Tabla1[[#This Row],[COSTO FIJO ]]/30)*Tabla1[[#This Row],[TOTAL DIAS PROYECTO]]+(Tabla1[[#This Row],[COSTO TEMPORAL]])</f>
        <v>3460</v>
      </c>
      <c r="P4843" s="12"/>
      <c r="Q4843" s="12">
        <f>+(Tabla1[[#This Row],[COSTO COCHE]]/30)*Tabla1[[#This Row],[TOTAL DIAS PROYECTO]]</f>
        <v>0</v>
      </c>
      <c r="R4843" s="12">
        <f>+Tabla1[[#This Row],[COSTO TOTAL ALOJAMIENTO]]+Tabla1[[#This Row],[COSTO TOTAL COCHE]]</f>
        <v>3460</v>
      </c>
      <c r="S4843" s="2"/>
      <c r="T4843" s="14" t="s">
        <v>35</v>
      </c>
      <c r="U4843" s="14">
        <v>45915</v>
      </c>
      <c r="V4843" s="25"/>
      <c r="W4843" s="71">
        <v>1650</v>
      </c>
      <c r="X4843" s="2">
        <v>1</v>
      </c>
      <c r="Y4843" s="11" t="s">
        <v>6960</v>
      </c>
      <c r="Z4843" s="2" t="s">
        <v>36</v>
      </c>
      <c r="AA4843" s="13" t="s">
        <v>10370</v>
      </c>
      <c r="AB4843" s="13" t="s">
        <v>10371</v>
      </c>
    </row>
    <row r="4844" spans="1:28" ht="15" customHeight="1">
      <c r="A4844" s="2" t="s">
        <v>9773</v>
      </c>
      <c r="B4844" s="2" t="s">
        <v>606</v>
      </c>
      <c r="C4844" s="31" t="s">
        <v>4675</v>
      </c>
      <c r="D4844" s="2" t="s">
        <v>30</v>
      </c>
      <c r="E4844" s="2" t="s">
        <v>31</v>
      </c>
      <c r="F4844" s="11" t="s">
        <v>3914</v>
      </c>
      <c r="G4844" s="51" t="s">
        <v>3915</v>
      </c>
      <c r="H4844" s="2" t="s">
        <v>6133</v>
      </c>
      <c r="I4844" s="10" t="s">
        <v>3364</v>
      </c>
      <c r="J4844" s="22">
        <f>+Tabla1[[#This Row],[FECHA ENTRADA]]</f>
        <v>46009</v>
      </c>
      <c r="K4844" s="22">
        <v>46089</v>
      </c>
      <c r="L4844" s="23">
        <f>_xlfn.DAYS(Tabla1[[#This Row],[FECHA FIN ]],Tabla1[[#This Row],[FECHA INICIO]])</f>
        <v>80</v>
      </c>
      <c r="M4844" s="12"/>
      <c r="N4844" s="20">
        <v>500</v>
      </c>
      <c r="O4844" s="24">
        <f>(Tabla1[[#This Row],[COSTO FIJO ]]/30)*Tabla1[[#This Row],[TOTAL DIAS PROYECTO]]+(Tabla1[[#This Row],[COSTO TEMPORAL]])</f>
        <v>1333.3333333333335</v>
      </c>
      <c r="P4844" s="12"/>
      <c r="Q4844" s="12">
        <f>+(Tabla1[[#This Row],[COSTO COCHE]]/30)*Tabla1[[#This Row],[TOTAL DIAS PROYECTO]]</f>
        <v>0</v>
      </c>
      <c r="R4844" s="12">
        <f>+Tabla1[[#This Row],[COSTO TOTAL ALOJAMIENTO]]+Tabla1[[#This Row],[COSTO TOTAL COCHE]]</f>
        <v>1333.3333333333335</v>
      </c>
      <c r="S4844" s="2"/>
      <c r="T4844" s="14" t="s">
        <v>35</v>
      </c>
      <c r="U4844" s="14">
        <v>46009</v>
      </c>
      <c r="V4844" s="79"/>
      <c r="W4844" s="12"/>
      <c r="X4844" s="2">
        <v>1</v>
      </c>
      <c r="Y4844" s="11" t="s">
        <v>6961</v>
      </c>
      <c r="Z4844" s="2" t="s">
        <v>36</v>
      </c>
      <c r="AA4844" s="13" t="s">
        <v>10323</v>
      </c>
      <c r="AB4844" s="13" t="s">
        <v>10324</v>
      </c>
    </row>
    <row r="4845" spans="1:28" ht="15" customHeight="1">
      <c r="A4845" s="2" t="s">
        <v>9186</v>
      </c>
      <c r="B4845" s="2" t="s">
        <v>606</v>
      </c>
      <c r="C4845" s="31" t="s">
        <v>2361</v>
      </c>
      <c r="D4845" s="2" t="s">
        <v>30</v>
      </c>
      <c r="E4845" s="2" t="s">
        <v>31</v>
      </c>
      <c r="F4845" s="11" t="s">
        <v>5157</v>
      </c>
      <c r="G4845" t="s">
        <v>3915</v>
      </c>
      <c r="H4845" s="2" t="s">
        <v>6428</v>
      </c>
      <c r="I4845" s="10" t="s">
        <v>3364</v>
      </c>
      <c r="J4845" s="22">
        <f>+Tabla1[[#This Row],[FECHA ENTRADA]]</f>
        <v>46013</v>
      </c>
      <c r="K4845" s="22">
        <v>46089</v>
      </c>
      <c r="L4845" s="23">
        <f>_xlfn.DAYS(Tabla1[[#This Row],[FECHA FIN ]],Tabla1[[#This Row],[FECHA INICIO]])</f>
        <v>76</v>
      </c>
      <c r="M4845" s="12"/>
      <c r="N4845" s="20">
        <v>550</v>
      </c>
      <c r="O4845" s="24">
        <f>(Tabla1[[#This Row],[COSTO FIJO ]]/30)*Tabla1[[#This Row],[TOTAL DIAS PROYECTO]]+(Tabla1[[#This Row],[COSTO TEMPORAL]])</f>
        <v>1393.3333333333333</v>
      </c>
      <c r="P4845" s="12"/>
      <c r="Q4845" s="12">
        <f>+(Tabla1[[#This Row],[COSTO COCHE]]/30)*Tabla1[[#This Row],[TOTAL DIAS PROYECTO]]</f>
        <v>0</v>
      </c>
      <c r="R4845" s="12">
        <f>+Tabla1[[#This Row],[COSTO TOTAL ALOJAMIENTO]]+Tabla1[[#This Row],[COSTO TOTAL COCHE]]</f>
        <v>1393.3333333333333</v>
      </c>
      <c r="S4845" s="2"/>
      <c r="T4845" s="14" t="s">
        <v>35</v>
      </c>
      <c r="U4845" s="14">
        <v>46013</v>
      </c>
      <c r="V4845" s="79"/>
      <c r="W4845" s="12"/>
      <c r="X4845" s="2">
        <v>1</v>
      </c>
      <c r="Y4845" s="11" t="s">
        <v>6961</v>
      </c>
      <c r="Z4845" s="2" t="s">
        <v>36</v>
      </c>
      <c r="AA4845" s="13" t="s">
        <v>10323</v>
      </c>
      <c r="AB4845" s="13" t="s">
        <v>10324</v>
      </c>
    </row>
    <row r="4846" spans="1:28" ht="15" customHeight="1">
      <c r="A4846" s="2" t="s">
        <v>9450</v>
      </c>
      <c r="B4846" s="2" t="s">
        <v>978</v>
      </c>
      <c r="C4846" s="31" t="s">
        <v>3224</v>
      </c>
      <c r="D4846" s="2" t="s">
        <v>30</v>
      </c>
      <c r="E4846" s="2" t="s">
        <v>422</v>
      </c>
      <c r="F4846" s="11" t="s">
        <v>5145</v>
      </c>
      <c r="G4846" t="s">
        <v>1376</v>
      </c>
      <c r="H4846" s="2" t="s">
        <v>6962</v>
      </c>
      <c r="I4846" s="12" t="s">
        <v>2473</v>
      </c>
      <c r="J4846" s="22">
        <f>+Tabla1[[#This Row],[FECHA ENTRADA]]</f>
        <v>45915</v>
      </c>
      <c r="K4846" s="22">
        <v>45933</v>
      </c>
      <c r="L4846" s="23">
        <f>_xlfn.DAYS(Tabla1[[#This Row],[FECHA FIN ]],Tabla1[[#This Row],[FECHA INICIO]])</f>
        <v>18</v>
      </c>
      <c r="M4846" s="12"/>
      <c r="N4846" s="24">
        <v>362.5</v>
      </c>
      <c r="O4846" s="24">
        <f>(Tabla1[[#This Row],[COSTO FIJO ]]/30)*Tabla1[[#This Row],[TOTAL DIAS PROYECTO]]+(Tabla1[[#This Row],[COSTO TEMPORAL]])</f>
        <v>217.5</v>
      </c>
      <c r="P4846" s="12"/>
      <c r="Q4846" s="12">
        <f>+(Tabla1[[#This Row],[COSTO COCHE]]/30)*Tabla1[[#This Row],[TOTAL DIAS PROYECTO]]</f>
        <v>0</v>
      </c>
      <c r="R4846" s="12">
        <f>+Tabla1[[#This Row],[COSTO TOTAL ALOJAMIENTO]]+Tabla1[[#This Row],[COSTO TOTAL COCHE]]</f>
        <v>217.5</v>
      </c>
      <c r="S4846" s="2"/>
      <c r="T4846" s="14" t="s">
        <v>35</v>
      </c>
      <c r="U4846" s="14">
        <v>45915</v>
      </c>
      <c r="V4846" s="25"/>
      <c r="W4846" s="71"/>
      <c r="X4846" s="2">
        <v>5</v>
      </c>
      <c r="Y4846" s="11" t="s">
        <v>6963</v>
      </c>
      <c r="Z4846" s="2" t="s">
        <v>36</v>
      </c>
      <c r="AA4846" s="13">
        <v>-326.69799999999998</v>
      </c>
      <c r="AB4846" s="13" t="s">
        <v>10373</v>
      </c>
    </row>
    <row r="4847" spans="1:28" ht="15" customHeight="1">
      <c r="A4847" s="2" t="s">
        <v>10049</v>
      </c>
      <c r="B4847" s="2" t="s">
        <v>978</v>
      </c>
      <c r="C4847" s="31" t="s">
        <v>6064</v>
      </c>
      <c r="D4847" s="2" t="s">
        <v>99</v>
      </c>
      <c r="E4847" s="2" t="s">
        <v>422</v>
      </c>
      <c r="F4847" s="11" t="s">
        <v>5145</v>
      </c>
      <c r="G4847" t="s">
        <v>1376</v>
      </c>
      <c r="H4847" s="2" t="s">
        <v>6962</v>
      </c>
      <c r="I4847" s="12" t="s">
        <v>2473</v>
      </c>
      <c r="J4847" s="22">
        <f>+Tabla1[[#This Row],[FECHA ENTRADA]]</f>
        <v>45915</v>
      </c>
      <c r="K4847" s="22">
        <v>45940</v>
      </c>
      <c r="L4847" s="23">
        <f>_xlfn.DAYS(Tabla1[[#This Row],[FECHA FIN ]],Tabla1[[#This Row],[FECHA INICIO]])</f>
        <v>25</v>
      </c>
      <c r="M4847" s="12"/>
      <c r="N4847" s="24">
        <v>362.5</v>
      </c>
      <c r="O4847" s="24">
        <f>(Tabla1[[#This Row],[COSTO FIJO ]]/30)*Tabla1[[#This Row],[TOTAL DIAS PROYECTO]]+(Tabla1[[#This Row],[COSTO TEMPORAL]])</f>
        <v>302.08333333333337</v>
      </c>
      <c r="P4847" s="12"/>
      <c r="Q4847" s="12">
        <f>+(Tabla1[[#This Row],[COSTO COCHE]]/30)*Tabla1[[#This Row],[TOTAL DIAS PROYECTO]]</f>
        <v>0</v>
      </c>
      <c r="R4847" s="12">
        <f>+Tabla1[[#This Row],[COSTO TOTAL ALOJAMIENTO]]+Tabla1[[#This Row],[COSTO TOTAL COCHE]]</f>
        <v>302.08333333333337</v>
      </c>
      <c r="S4847" s="2"/>
      <c r="T4847" s="14" t="s">
        <v>35</v>
      </c>
      <c r="U4847" s="14">
        <v>45915</v>
      </c>
      <c r="V4847" s="25"/>
      <c r="W4847" s="71"/>
      <c r="X4847" s="2">
        <v>5</v>
      </c>
      <c r="Y4847" s="11" t="s">
        <v>6964</v>
      </c>
      <c r="Z4847" s="2" t="s">
        <v>36</v>
      </c>
      <c r="AA4847" s="13">
        <v>-326.69799999999998</v>
      </c>
      <c r="AB4847" s="13" t="s">
        <v>10373</v>
      </c>
    </row>
    <row r="4848" spans="1:28" ht="15" customHeight="1">
      <c r="A4848" s="2" t="s">
        <v>9431</v>
      </c>
      <c r="B4848" s="2" t="s">
        <v>606</v>
      </c>
      <c r="C4848" s="11" t="s">
        <v>3165</v>
      </c>
      <c r="D4848" s="2" t="s">
        <v>30</v>
      </c>
      <c r="E4848" s="2" t="s">
        <v>648</v>
      </c>
      <c r="F4848" s="11" t="s">
        <v>2103</v>
      </c>
      <c r="G4848" s="11" t="s">
        <v>1545</v>
      </c>
      <c r="H4848" s="2" t="s">
        <v>6822</v>
      </c>
      <c r="I4848" s="12" t="s">
        <v>4663</v>
      </c>
      <c r="J4848" s="22">
        <f>+Tabla1[[#This Row],[FECHA ENTRADA]]</f>
        <v>46110</v>
      </c>
      <c r="K4848" s="22">
        <v>46172</v>
      </c>
      <c r="L4848" s="23">
        <f>_xlfn.DAYS(Tabla1[[#This Row],[FECHA FIN ]],Tabla1[[#This Row],[FECHA INICIO]])</f>
        <v>62</v>
      </c>
      <c r="M4848" s="12"/>
      <c r="N4848" s="12">
        <v>500</v>
      </c>
      <c r="O4848" s="24">
        <f>(Tabla1[[#This Row],[COSTO FIJO ]]/30)*Tabla1[[#This Row],[TOTAL DIAS PROYECTO]]+(Tabla1[[#This Row],[COSTO TEMPORAL]])</f>
        <v>1033.3333333333335</v>
      </c>
      <c r="P4848" s="12"/>
      <c r="Q4848" s="12">
        <f>+(Tabla1[[#This Row],[COSTO COCHE]]/30)*Tabla1[[#This Row],[TOTAL DIAS PROYECTO]]</f>
        <v>0</v>
      </c>
      <c r="R4848" s="12">
        <f>+Tabla1[[#This Row],[COSTO TOTAL ALOJAMIENTO]]+Tabla1[[#This Row],[COSTO TOTAL COCHE]]</f>
        <v>1033.3333333333335</v>
      </c>
      <c r="S4848" s="2"/>
      <c r="T4848" s="14" t="s">
        <v>35</v>
      </c>
      <c r="U4848" s="14">
        <v>46110</v>
      </c>
      <c r="V4848" s="79"/>
      <c r="W4848" s="12"/>
      <c r="X4848" s="2">
        <v>1</v>
      </c>
      <c r="Y4848" s="11" t="s">
        <v>4664</v>
      </c>
      <c r="Z4848" s="2" t="s">
        <v>36</v>
      </c>
      <c r="AA4848" s="13" t="s">
        <v>10387</v>
      </c>
      <c r="AB4848" s="13" t="s">
        <v>10388</v>
      </c>
    </row>
    <row r="4849" spans="1:28" ht="15" customHeight="1">
      <c r="A4849" s="2" t="s">
        <v>8869</v>
      </c>
      <c r="B4849" s="2" t="s">
        <v>711</v>
      </c>
      <c r="C4849" s="31" t="s">
        <v>1097</v>
      </c>
      <c r="D4849" s="2" t="s">
        <v>30</v>
      </c>
      <c r="E4849" s="2" t="s">
        <v>415</v>
      </c>
      <c r="F4849" s="11" t="s">
        <v>6089</v>
      </c>
      <c r="G4849" s="49" t="s">
        <v>1413</v>
      </c>
      <c r="H4849" s="315" t="s">
        <v>6965</v>
      </c>
      <c r="I4849" s="12" t="s">
        <v>800</v>
      </c>
      <c r="J4849" s="41">
        <f>+Tabla1[[#This Row],[FECHA ENTRADA]]</f>
        <v>46054</v>
      </c>
      <c r="K4849" s="22">
        <v>46069</v>
      </c>
      <c r="L4849" s="42">
        <f>_xlfn.DAYS(Tabla1[[#This Row],[FECHA FIN ]],Tabla1[[#This Row],[FECHA INICIO]])</f>
        <v>15</v>
      </c>
      <c r="M4849" s="12"/>
      <c r="N4849" s="12">
        <v>500</v>
      </c>
      <c r="O4849" s="28">
        <f>(Tabla1[[#This Row],[COSTO FIJO ]]/30)*Tabla1[[#This Row],[TOTAL DIAS PROYECTO]]+(Tabla1[[#This Row],[COSTO TEMPORAL]])</f>
        <v>250.00000000000003</v>
      </c>
      <c r="P4849" s="12"/>
      <c r="Q4849" s="12">
        <f>+(Tabla1[[#This Row],[COSTO COCHE]]/30)*Tabla1[[#This Row],[TOTAL DIAS PROYECTO]]</f>
        <v>0</v>
      </c>
      <c r="R4849" s="12">
        <f>+Tabla1[[#This Row],[COSTO TOTAL ALOJAMIENTO]]+Tabla1[[#This Row],[COSTO TOTAL COCHE]]</f>
        <v>250.00000000000003</v>
      </c>
      <c r="S4849" s="2"/>
      <c r="T4849" s="14" t="s">
        <v>35</v>
      </c>
      <c r="U4849" s="14">
        <v>46054</v>
      </c>
      <c r="V4849" s="43"/>
      <c r="W4849" s="12"/>
      <c r="X4849" s="2">
        <v>30</v>
      </c>
      <c r="Y4849" s="11" t="s">
        <v>6966</v>
      </c>
      <c r="Z4849" s="2" t="s">
        <v>36</v>
      </c>
      <c r="AA4849" s="13">
        <v>-0.37739</v>
      </c>
      <c r="AB4849" s="13" t="s">
        <v>10372</v>
      </c>
    </row>
    <row r="4850" spans="1:28" ht="15" customHeight="1">
      <c r="A4850" s="2" t="s">
        <v>10180</v>
      </c>
      <c r="B4850" s="2" t="s">
        <v>606</v>
      </c>
      <c r="C4850" s="118" t="s">
        <v>6967</v>
      </c>
      <c r="D4850" s="2" t="s">
        <v>30</v>
      </c>
      <c r="E4850" s="2" t="s">
        <v>31</v>
      </c>
      <c r="F4850" s="11" t="s">
        <v>451</v>
      </c>
      <c r="G4850" s="118" t="s">
        <v>452</v>
      </c>
      <c r="H4850" s="2" t="s">
        <v>6968</v>
      </c>
      <c r="I4850" s="12" t="s">
        <v>6969</v>
      </c>
      <c r="J4850" s="41">
        <f>+Tabla1[[#This Row],[FECHA ENTRADA]]</f>
        <v>46112</v>
      </c>
      <c r="K4850" s="22">
        <v>46180</v>
      </c>
      <c r="L4850" s="42">
        <f>_xlfn.DAYS(Tabla1[[#This Row],[FECHA FIN ]],Tabla1[[#This Row],[FECHA INICIO]])</f>
        <v>68</v>
      </c>
      <c r="M4850" s="12"/>
      <c r="N4850" s="12">
        <v>340</v>
      </c>
      <c r="O4850" s="28">
        <f>(Tabla1[[#This Row],[COSTO FIJO ]]/30)*Tabla1[[#This Row],[TOTAL DIAS PROYECTO]]+(Tabla1[[#This Row],[COSTO TEMPORAL]])</f>
        <v>770.66666666666674</v>
      </c>
      <c r="P4850" s="12"/>
      <c r="Q4850" s="12">
        <f>+(Tabla1[[#This Row],[COSTO COCHE]]/30)*Tabla1[[#This Row],[TOTAL DIAS PROYECTO]]</f>
        <v>0</v>
      </c>
      <c r="R4850" s="12">
        <f>+Tabla1[[#This Row],[COSTO TOTAL ALOJAMIENTO]]+Tabla1[[#This Row],[COSTO TOTAL COCHE]]</f>
        <v>770.66666666666674</v>
      </c>
      <c r="S4850" s="2"/>
      <c r="T4850" s="14" t="s">
        <v>35</v>
      </c>
      <c r="U4850" s="14">
        <v>46112</v>
      </c>
      <c r="V4850" s="43"/>
      <c r="W4850" s="12"/>
      <c r="X4850" s="2">
        <v>1</v>
      </c>
      <c r="Y4850" s="11" t="s">
        <v>6970</v>
      </c>
      <c r="Z4850" s="2" t="s">
        <v>36</v>
      </c>
      <c r="AA4850" s="13" t="s">
        <v>10323</v>
      </c>
      <c r="AB4850" s="13" t="s">
        <v>10324</v>
      </c>
    </row>
    <row r="4851" spans="1:28" ht="15" customHeight="1">
      <c r="A4851" s="2" t="s">
        <v>10043</v>
      </c>
      <c r="B4851" s="2" t="s">
        <v>978</v>
      </c>
      <c r="C4851" s="31" t="s">
        <v>6039</v>
      </c>
      <c r="D4851" s="2" t="s">
        <v>30</v>
      </c>
      <c r="E4851" s="2" t="s">
        <v>608</v>
      </c>
      <c r="F4851" s="11" t="s">
        <v>6573</v>
      </c>
      <c r="G4851" s="21"/>
      <c r="H4851" s="2" t="s">
        <v>6522</v>
      </c>
      <c r="I4851" s="12" t="s">
        <v>4255</v>
      </c>
      <c r="J4851" s="22">
        <f>+Tabla1[[#This Row],[FECHA ENTRADA]]</f>
        <v>46023</v>
      </c>
      <c r="K4851" s="22">
        <v>46090</v>
      </c>
      <c r="L4851" s="23">
        <f>_xlfn.DAYS(Tabla1[[#This Row],[FECHA FIN ]],Tabla1[[#This Row],[FECHA INICIO]])</f>
        <v>67</v>
      </c>
      <c r="M4851" s="12"/>
      <c r="N4851" s="20">
        <v>300</v>
      </c>
      <c r="O4851" s="24">
        <f>(Tabla1[[#This Row],[COSTO FIJO ]]/30)*Tabla1[[#This Row],[TOTAL DIAS PROYECTO]]+(Tabla1[[#This Row],[COSTO TEMPORAL]])</f>
        <v>670</v>
      </c>
      <c r="P4851" s="12"/>
      <c r="Q4851" s="12">
        <f>+(Tabla1[[#This Row],[COSTO COCHE]]/30)*Tabla1[[#This Row],[TOTAL DIAS PROYECTO]]</f>
        <v>0</v>
      </c>
      <c r="R4851" s="12">
        <f>+Tabla1[[#This Row],[COSTO TOTAL ALOJAMIENTO]]+Tabla1[[#This Row],[COSTO TOTAL COCHE]]</f>
        <v>670</v>
      </c>
      <c r="S4851" s="2"/>
      <c r="T4851" s="14" t="s">
        <v>58</v>
      </c>
      <c r="U4851" s="14">
        <v>46023</v>
      </c>
      <c r="V4851" s="79"/>
      <c r="W4851" s="12"/>
      <c r="X4851" s="2"/>
      <c r="Y4851" s="11" t="s">
        <v>6971</v>
      </c>
      <c r="Z4851" s="2" t="s">
        <v>36</v>
      </c>
      <c r="AA4851" s="13" t="s">
        <v>10383</v>
      </c>
      <c r="AB4851" s="13" t="s">
        <v>10384</v>
      </c>
    </row>
    <row r="4852" spans="1:28" ht="15" customHeight="1">
      <c r="A4852" s="2" t="s">
        <v>9787</v>
      </c>
      <c r="B4852" s="2" t="s">
        <v>978</v>
      </c>
      <c r="C4852" s="101" t="s">
        <v>4740</v>
      </c>
      <c r="D4852" s="2" t="s">
        <v>30</v>
      </c>
      <c r="E4852" s="2" t="s">
        <v>608</v>
      </c>
      <c r="F4852" s="11" t="s">
        <v>1106</v>
      </c>
      <c r="G4852" s="21"/>
      <c r="H4852" s="2" t="s">
        <v>5480</v>
      </c>
      <c r="I4852" s="12" t="s">
        <v>4255</v>
      </c>
      <c r="J4852" s="22">
        <f>+Tabla1[[#This Row],[FECHA ENTRADA]]</f>
        <v>45948</v>
      </c>
      <c r="K4852" s="22">
        <v>46090</v>
      </c>
      <c r="L4852" s="23">
        <f>_xlfn.DAYS(Tabla1[[#This Row],[FECHA FIN ]],Tabla1[[#This Row],[FECHA INICIO]])</f>
        <v>142</v>
      </c>
      <c r="M4852" s="12"/>
      <c r="N4852" s="20">
        <v>0</v>
      </c>
      <c r="O4852" s="24">
        <f>(Tabla1[[#This Row],[COSTO FIJO ]]/30)*Tabla1[[#This Row],[TOTAL DIAS PROYECTO]]+(Tabla1[[#This Row],[COSTO TEMPORAL]])</f>
        <v>0</v>
      </c>
      <c r="P4852" s="12"/>
      <c r="Q4852" s="12">
        <f>+(Tabla1[[#This Row],[COSTO COCHE]]/30)*Tabla1[[#This Row],[TOTAL DIAS PROYECTO]]</f>
        <v>0</v>
      </c>
      <c r="R4852" s="12">
        <f>+Tabla1[[#This Row],[COSTO TOTAL ALOJAMIENTO]]+Tabla1[[#This Row],[COSTO TOTAL COCHE]]</f>
        <v>0</v>
      </c>
      <c r="S4852" s="2"/>
      <c r="T4852" s="2" t="s">
        <v>8</v>
      </c>
      <c r="U4852" s="14">
        <v>45948</v>
      </c>
      <c r="V4852" s="79">
        <v>45961</v>
      </c>
      <c r="W4852" s="71"/>
      <c r="X4852" s="2"/>
      <c r="Y4852" s="11" t="s">
        <v>6972</v>
      </c>
      <c r="Z4852" s="2" t="s">
        <v>36</v>
      </c>
      <c r="AA4852" s="13" t="s">
        <v>10383</v>
      </c>
      <c r="AB4852" s="13" t="s">
        <v>10384</v>
      </c>
    </row>
    <row r="4853" spans="1:28" ht="15" customHeight="1">
      <c r="A4853" s="2" t="s">
        <v>9731</v>
      </c>
      <c r="B4853" s="2" t="s">
        <v>978</v>
      </c>
      <c r="C4853" s="31" t="s">
        <v>4461</v>
      </c>
      <c r="D4853" s="2" t="s">
        <v>30</v>
      </c>
      <c r="E4853" s="2" t="s">
        <v>608</v>
      </c>
      <c r="F4853" s="11" t="s">
        <v>1106</v>
      </c>
      <c r="G4853" s="21"/>
      <c r="H4853" s="2" t="s">
        <v>5658</v>
      </c>
      <c r="I4853" s="12" t="s">
        <v>4255</v>
      </c>
      <c r="J4853" s="22">
        <f>+Tabla1[[#This Row],[FECHA ENTRADA]]</f>
        <v>45948</v>
      </c>
      <c r="K4853" s="22">
        <v>46090</v>
      </c>
      <c r="L4853" s="23">
        <f>_xlfn.DAYS(Tabla1[[#This Row],[FECHA FIN ]],Tabla1[[#This Row],[FECHA INICIO]])</f>
        <v>142</v>
      </c>
      <c r="M4853" s="12"/>
      <c r="N4853" s="20">
        <v>0</v>
      </c>
      <c r="O4853" s="24">
        <f>(Tabla1[[#This Row],[COSTO FIJO ]]/30)*Tabla1[[#This Row],[TOTAL DIAS PROYECTO]]+(Tabla1[[#This Row],[COSTO TEMPORAL]])</f>
        <v>0</v>
      </c>
      <c r="P4853" s="12"/>
      <c r="Q4853" s="12">
        <f>+(Tabla1[[#This Row],[COSTO COCHE]]/30)*Tabla1[[#This Row],[TOTAL DIAS PROYECTO]]</f>
        <v>0</v>
      </c>
      <c r="R4853" s="12">
        <f>+Tabla1[[#This Row],[COSTO TOTAL ALOJAMIENTO]]+Tabla1[[#This Row],[COSTO TOTAL COCHE]]</f>
        <v>0</v>
      </c>
      <c r="S4853" s="2"/>
      <c r="T4853" s="2" t="s">
        <v>8</v>
      </c>
      <c r="U4853" s="14">
        <v>45948</v>
      </c>
      <c r="V4853" s="79">
        <v>45961</v>
      </c>
      <c r="W4853" s="71"/>
      <c r="X4853" s="2"/>
      <c r="Y4853" s="11" t="s">
        <v>6973</v>
      </c>
      <c r="Z4853" s="2" t="s">
        <v>36</v>
      </c>
      <c r="AA4853" s="13" t="s">
        <v>10383</v>
      </c>
      <c r="AB4853" s="13" t="s">
        <v>10384</v>
      </c>
    </row>
    <row r="4854" spans="1:28" ht="15" customHeight="1">
      <c r="A4854" s="2" t="s">
        <v>9788</v>
      </c>
      <c r="B4854" s="2" t="s">
        <v>978</v>
      </c>
      <c r="C4854" s="101" t="s">
        <v>4744</v>
      </c>
      <c r="D4854" s="2" t="s">
        <v>30</v>
      </c>
      <c r="E4854" s="2" t="s">
        <v>608</v>
      </c>
      <c r="F4854" s="11" t="s">
        <v>1106</v>
      </c>
      <c r="G4854" s="21"/>
      <c r="H4854" s="2" t="s">
        <v>5658</v>
      </c>
      <c r="I4854" s="12" t="s">
        <v>4255</v>
      </c>
      <c r="J4854" s="22">
        <f>+Tabla1[[#This Row],[FECHA ENTRADA]]</f>
        <v>45948</v>
      </c>
      <c r="K4854" s="22">
        <v>46090</v>
      </c>
      <c r="L4854" s="23">
        <f>_xlfn.DAYS(Tabla1[[#This Row],[FECHA FIN ]],Tabla1[[#This Row],[FECHA INICIO]])</f>
        <v>142</v>
      </c>
      <c r="M4854" s="12"/>
      <c r="N4854" s="20">
        <v>0</v>
      </c>
      <c r="O4854" s="24">
        <f>(Tabla1[[#This Row],[COSTO FIJO ]]/30)*Tabla1[[#This Row],[TOTAL DIAS PROYECTO]]+(Tabla1[[#This Row],[COSTO TEMPORAL]])</f>
        <v>0</v>
      </c>
      <c r="P4854" s="12"/>
      <c r="Q4854" s="12">
        <f>+(Tabla1[[#This Row],[COSTO COCHE]]/30)*Tabla1[[#This Row],[TOTAL DIAS PROYECTO]]</f>
        <v>0</v>
      </c>
      <c r="R4854" s="12">
        <f>+Tabla1[[#This Row],[COSTO TOTAL ALOJAMIENTO]]+Tabla1[[#This Row],[COSTO TOTAL COCHE]]</f>
        <v>0</v>
      </c>
      <c r="S4854" s="2"/>
      <c r="T4854" s="2" t="s">
        <v>8</v>
      </c>
      <c r="U4854" s="14">
        <v>45948</v>
      </c>
      <c r="V4854" s="79">
        <v>45961</v>
      </c>
      <c r="W4854" s="71"/>
      <c r="X4854" s="2"/>
      <c r="Y4854" s="11" t="s">
        <v>6974</v>
      </c>
      <c r="Z4854" s="2" t="s">
        <v>36</v>
      </c>
      <c r="AA4854" s="13" t="s">
        <v>10383</v>
      </c>
      <c r="AB4854" s="13" t="s">
        <v>10384</v>
      </c>
    </row>
    <row r="4855" spans="1:28" ht="15" customHeight="1">
      <c r="A4855" s="2" t="s">
        <v>9973</v>
      </c>
      <c r="B4855" s="2" t="s">
        <v>978</v>
      </c>
      <c r="C4855" s="31" t="s">
        <v>5792</v>
      </c>
      <c r="D4855" s="2" t="s">
        <v>30</v>
      </c>
      <c r="E4855" s="2" t="s">
        <v>608</v>
      </c>
      <c r="F4855" s="11" t="s">
        <v>1106</v>
      </c>
      <c r="G4855" s="21"/>
      <c r="H4855" s="2" t="s">
        <v>6975</v>
      </c>
      <c r="I4855" s="12" t="s">
        <v>4255</v>
      </c>
      <c r="J4855" s="41">
        <f>+Tabla1[[#This Row],[FECHA ENTRADA]]</f>
        <v>46076</v>
      </c>
      <c r="K4855" s="22">
        <v>46090</v>
      </c>
      <c r="L4855" s="42">
        <f>_xlfn.DAYS(Tabla1[[#This Row],[FECHA FIN ]],Tabla1[[#This Row],[FECHA INICIO]])</f>
        <v>14</v>
      </c>
      <c r="M4855" s="12"/>
      <c r="N4855" s="28">
        <v>0</v>
      </c>
      <c r="O4855" s="28">
        <f>(Tabla1[[#This Row],[COSTO FIJO ]]/30)*Tabla1[[#This Row],[TOTAL DIAS PROYECTO]]+(Tabla1[[#This Row],[COSTO TEMPORAL]])</f>
        <v>0</v>
      </c>
      <c r="P4855" s="12"/>
      <c r="Q4855" s="12">
        <f>+(Tabla1[[#This Row],[COSTO COCHE]]/30)*Tabla1[[#This Row],[TOTAL DIAS PROYECTO]]</f>
        <v>0</v>
      </c>
      <c r="R4855" s="12">
        <f>+Tabla1[[#This Row],[COSTO TOTAL ALOJAMIENTO]]+Tabla1[[#This Row],[COSTO TOTAL COCHE]]</f>
        <v>0</v>
      </c>
      <c r="S4855" s="2"/>
      <c r="T4855" s="2" t="s">
        <v>8</v>
      </c>
      <c r="U4855" s="14">
        <v>46076</v>
      </c>
      <c r="V4855" s="43"/>
      <c r="W4855" s="12"/>
      <c r="X4855" s="2"/>
      <c r="Y4855" s="11" t="s">
        <v>6976</v>
      </c>
      <c r="Z4855" s="2" t="s">
        <v>36</v>
      </c>
      <c r="AA4855" s="13" t="s">
        <v>10383</v>
      </c>
      <c r="AB4855" s="13" t="s">
        <v>10384</v>
      </c>
    </row>
    <row r="4856" spans="1:28" ht="15" customHeight="1">
      <c r="A4856" s="2" t="s">
        <v>9476</v>
      </c>
      <c r="B4856" s="2" t="s">
        <v>978</v>
      </c>
      <c r="C4856" s="31" t="s">
        <v>3330</v>
      </c>
      <c r="D4856" s="2" t="s">
        <v>30</v>
      </c>
      <c r="E4856" s="2" t="s">
        <v>608</v>
      </c>
      <c r="F4856" s="11" t="s">
        <v>1106</v>
      </c>
      <c r="G4856" s="21"/>
      <c r="H4856" s="2" t="s">
        <v>6975</v>
      </c>
      <c r="I4856" s="12" t="s">
        <v>4255</v>
      </c>
      <c r="J4856" s="41">
        <f>+Tabla1[[#This Row],[FECHA ENTRADA]]</f>
        <v>46076</v>
      </c>
      <c r="K4856" s="22">
        <v>46090</v>
      </c>
      <c r="L4856" s="42">
        <f>_xlfn.DAYS(Tabla1[[#This Row],[FECHA FIN ]],Tabla1[[#This Row],[FECHA INICIO]])</f>
        <v>14</v>
      </c>
      <c r="M4856" s="12"/>
      <c r="N4856" s="28">
        <v>0</v>
      </c>
      <c r="O4856" s="28">
        <f>(Tabla1[[#This Row],[COSTO FIJO ]]/30)*Tabla1[[#This Row],[TOTAL DIAS PROYECTO]]+(Tabla1[[#This Row],[COSTO TEMPORAL]])</f>
        <v>0</v>
      </c>
      <c r="P4856" s="12"/>
      <c r="Q4856" s="12">
        <f>+(Tabla1[[#This Row],[COSTO COCHE]]/30)*Tabla1[[#This Row],[TOTAL DIAS PROYECTO]]</f>
        <v>0</v>
      </c>
      <c r="R4856" s="12">
        <f>+Tabla1[[#This Row],[COSTO TOTAL ALOJAMIENTO]]+Tabla1[[#This Row],[COSTO TOTAL COCHE]]</f>
        <v>0</v>
      </c>
      <c r="S4856" s="2"/>
      <c r="T4856" s="2" t="s">
        <v>8</v>
      </c>
      <c r="U4856" s="14">
        <v>46076</v>
      </c>
      <c r="V4856" s="43"/>
      <c r="W4856" s="12"/>
      <c r="X4856" s="2"/>
      <c r="Y4856" s="11" t="s">
        <v>6976</v>
      </c>
      <c r="Z4856" s="2" t="s">
        <v>36</v>
      </c>
      <c r="AA4856" s="13" t="s">
        <v>10383</v>
      </c>
      <c r="AB4856" s="13" t="s">
        <v>10384</v>
      </c>
    </row>
    <row r="4857" spans="1:28" ht="15" customHeight="1">
      <c r="A4857" s="2" t="s">
        <v>8896</v>
      </c>
      <c r="B4857" s="2" t="s">
        <v>978</v>
      </c>
      <c r="C4857" s="31" t="s">
        <v>1194</v>
      </c>
      <c r="D4857" s="2" t="s">
        <v>30</v>
      </c>
      <c r="E4857" s="2" t="s">
        <v>608</v>
      </c>
      <c r="F4857" s="11" t="s">
        <v>1106</v>
      </c>
      <c r="G4857" s="21"/>
      <c r="H4857" s="2" t="s">
        <v>6975</v>
      </c>
      <c r="I4857" s="12" t="s">
        <v>4255</v>
      </c>
      <c r="J4857" s="41">
        <f>+Tabla1[[#This Row],[FECHA ENTRADA]]</f>
        <v>46076</v>
      </c>
      <c r="K4857" s="22">
        <v>46090</v>
      </c>
      <c r="L4857" s="42">
        <f>_xlfn.DAYS(Tabla1[[#This Row],[FECHA FIN ]],Tabla1[[#This Row],[FECHA INICIO]])</f>
        <v>14</v>
      </c>
      <c r="M4857" s="12"/>
      <c r="N4857" s="28">
        <v>0</v>
      </c>
      <c r="O4857" s="28">
        <f>(Tabla1[[#This Row],[COSTO FIJO ]]/30)*Tabla1[[#This Row],[TOTAL DIAS PROYECTO]]+(Tabla1[[#This Row],[COSTO TEMPORAL]])</f>
        <v>0</v>
      </c>
      <c r="P4857" s="12"/>
      <c r="Q4857" s="12">
        <f>+(Tabla1[[#This Row],[COSTO COCHE]]/30)*Tabla1[[#This Row],[TOTAL DIAS PROYECTO]]</f>
        <v>0</v>
      </c>
      <c r="R4857" s="12">
        <f>+Tabla1[[#This Row],[COSTO TOTAL ALOJAMIENTO]]+Tabla1[[#This Row],[COSTO TOTAL COCHE]]</f>
        <v>0</v>
      </c>
      <c r="S4857" s="2"/>
      <c r="T4857" s="2" t="s">
        <v>8</v>
      </c>
      <c r="U4857" s="14">
        <v>46076</v>
      </c>
      <c r="V4857" s="43"/>
      <c r="W4857" s="12"/>
      <c r="X4857" s="2"/>
      <c r="Y4857" s="11" t="s">
        <v>6976</v>
      </c>
      <c r="Z4857" s="2" t="s">
        <v>36</v>
      </c>
      <c r="AA4857" s="13" t="s">
        <v>10383</v>
      </c>
      <c r="AB4857" s="13" t="s">
        <v>10384</v>
      </c>
    </row>
    <row r="4858" spans="1:28" ht="15" customHeight="1">
      <c r="A4858" s="2" t="s">
        <v>9576</v>
      </c>
      <c r="B4858" s="2" t="s">
        <v>606</v>
      </c>
      <c r="C4858" s="31" t="s">
        <v>3727</v>
      </c>
      <c r="D4858" s="2" t="s">
        <v>30</v>
      </c>
      <c r="E4858" s="2" t="s">
        <v>31</v>
      </c>
      <c r="F4858" s="11"/>
      <c r="G4858" s="11"/>
      <c r="H4858" s="2" t="s">
        <v>3730</v>
      </c>
      <c r="I4858" s="12" t="s">
        <v>385</v>
      </c>
      <c r="J4858" s="8">
        <v>45638</v>
      </c>
      <c r="K4858" s="8">
        <v>46087</v>
      </c>
      <c r="L4858" s="13">
        <f>_xlfn.DAYS(Tabla1[[#This Row],[FECHA FIN ]],Tabla1[[#This Row],[FECHA INICIO]])</f>
        <v>449</v>
      </c>
      <c r="M4858" s="12"/>
      <c r="N4858" s="28">
        <v>300</v>
      </c>
      <c r="O4858" s="12">
        <f>(Tabla1[[#This Row],[COSTO FIJO ]]/30)*Tabla1[[#This Row],[TOTAL DIAS PROYECTO]]+(Tabla1[[#This Row],[COSTO TEMPORAL]])</f>
        <v>4490</v>
      </c>
      <c r="P4858" s="12"/>
      <c r="Q4858" s="12">
        <f>+(Tabla1[[#This Row],[COSTO COCHE]]/30)*Tabla1[[#This Row],[TOTAL DIAS PROYECTO]]</f>
        <v>0</v>
      </c>
      <c r="R4858" s="12">
        <f>+Tabla1[[#This Row],[COSTO TOTAL ALOJAMIENTO]]+Tabla1[[#This Row],[COSTO TOTAL COCHE]]</f>
        <v>4490</v>
      </c>
      <c r="S4858" s="2"/>
      <c r="T4858" s="2" t="s">
        <v>58</v>
      </c>
      <c r="U4858" s="14"/>
      <c r="V4858" s="14"/>
      <c r="W4858" s="2"/>
      <c r="X4858" s="2"/>
      <c r="Y4858" s="11" t="s">
        <v>6977</v>
      </c>
      <c r="Z4858" s="2" t="s">
        <v>36</v>
      </c>
      <c r="AA4858" s="13" t="s">
        <v>10323</v>
      </c>
      <c r="AB4858" s="13" t="s">
        <v>10324</v>
      </c>
    </row>
    <row r="4859" spans="1:28" ht="15" customHeight="1">
      <c r="A4859" s="2" t="s">
        <v>9884</v>
      </c>
      <c r="B4859" s="2" t="s">
        <v>711</v>
      </c>
      <c r="C4859" s="31" t="s">
        <v>5213</v>
      </c>
      <c r="D4859" s="2" t="s">
        <v>30</v>
      </c>
      <c r="E4859" s="2" t="s">
        <v>626</v>
      </c>
      <c r="F4859" s="11" t="s">
        <v>6744</v>
      </c>
      <c r="G4859" s="128" t="s">
        <v>6745</v>
      </c>
      <c r="H4859" s="2" t="s">
        <v>6978</v>
      </c>
      <c r="I4859" s="12" t="s">
        <v>570</v>
      </c>
      <c r="J4859" s="41">
        <f>+Tabla1[[#This Row],[FECHA ENTRADA]]</f>
        <v>46070</v>
      </c>
      <c r="K4859" s="22">
        <v>46091</v>
      </c>
      <c r="L4859" s="42">
        <f>_xlfn.DAYS(Tabla1[[#This Row],[FECHA FIN ]],Tabla1[[#This Row],[FECHA INICIO]])</f>
        <v>21</v>
      </c>
      <c r="M4859" s="12"/>
      <c r="N4859" s="20">
        <v>433.33333333333331</v>
      </c>
      <c r="O4859" s="28">
        <f>(Tabla1[[#This Row],[COSTO FIJO ]]/30)*Tabla1[[#This Row],[TOTAL DIAS PROYECTO]]+(Tabla1[[#This Row],[COSTO TEMPORAL]])</f>
        <v>303.33333333333331</v>
      </c>
      <c r="P4859" s="12"/>
      <c r="Q4859" s="12">
        <f>+(Tabla1[[#This Row],[COSTO COCHE]]/30)*Tabla1[[#This Row],[TOTAL DIAS PROYECTO]]</f>
        <v>0</v>
      </c>
      <c r="R4859" s="12">
        <f>+Tabla1[[#This Row],[COSTO TOTAL ALOJAMIENTO]]+Tabla1[[#This Row],[COSTO TOTAL COCHE]]</f>
        <v>303.33333333333331</v>
      </c>
      <c r="S4859" s="2"/>
      <c r="T4859" s="14" t="s">
        <v>35</v>
      </c>
      <c r="U4859" s="14">
        <v>46070</v>
      </c>
      <c r="V4859" s="43"/>
      <c r="W4859" s="12"/>
      <c r="X4859" s="2">
        <v>1</v>
      </c>
      <c r="Y4859" s="11" t="s">
        <v>6979</v>
      </c>
      <c r="Z4859" s="2" t="s">
        <v>36</v>
      </c>
      <c r="AA4859" s="13" t="s">
        <v>10385</v>
      </c>
      <c r="AB4859" s="13" t="s">
        <v>10386</v>
      </c>
    </row>
    <row r="4860" spans="1:28">
      <c r="A4860" s="2" t="s">
        <v>9669</v>
      </c>
      <c r="B4860" s="2" t="s">
        <v>606</v>
      </c>
      <c r="C4860" s="97" t="s">
        <v>4149</v>
      </c>
      <c r="D4860" s="2" t="s">
        <v>30</v>
      </c>
      <c r="E4860" s="2" t="s">
        <v>31</v>
      </c>
      <c r="F4860" s="11"/>
      <c r="G4860" s="21"/>
      <c r="H4860" s="2" t="s">
        <v>6571</v>
      </c>
      <c r="I4860" s="12" t="s">
        <v>385</v>
      </c>
      <c r="J4860" s="22">
        <f>+Tabla1[[#This Row],[FECHA ENTRADA]]</f>
        <v>46029</v>
      </c>
      <c r="K4860" s="22">
        <v>46091</v>
      </c>
      <c r="L4860" s="23">
        <f>_xlfn.DAYS(Tabla1[[#This Row],[FECHA FIN ]],Tabla1[[#This Row],[FECHA INICIO]])</f>
        <v>62</v>
      </c>
      <c r="M4860" s="12"/>
      <c r="N4860" s="20">
        <v>300</v>
      </c>
      <c r="O4860" s="24">
        <f>(Tabla1[[#This Row],[COSTO FIJO ]]/30)*Tabla1[[#This Row],[TOTAL DIAS PROYECTO]]+(Tabla1[[#This Row],[COSTO TEMPORAL]])</f>
        <v>620</v>
      </c>
      <c r="P4860" s="12"/>
      <c r="Q4860" s="12">
        <f>+(Tabla1[[#This Row],[COSTO COCHE]]/30)*Tabla1[[#This Row],[TOTAL DIAS PROYECTO]]</f>
        <v>0</v>
      </c>
      <c r="R4860" s="12">
        <f>+Tabla1[[#This Row],[COSTO TOTAL ALOJAMIENTO]]+Tabla1[[#This Row],[COSTO TOTAL COCHE]]</f>
        <v>620</v>
      </c>
      <c r="S4860" s="2"/>
      <c r="T4860" s="14" t="s">
        <v>58</v>
      </c>
      <c r="U4860" s="14">
        <v>46029</v>
      </c>
      <c r="V4860" s="79"/>
      <c r="W4860" s="12"/>
      <c r="X4860" s="2"/>
      <c r="Y4860" s="11" t="s">
        <v>6980</v>
      </c>
      <c r="Z4860" s="2" t="s">
        <v>36</v>
      </c>
      <c r="AA4860" s="13" t="s">
        <v>10323</v>
      </c>
      <c r="AB4860" s="13" t="s">
        <v>10324</v>
      </c>
    </row>
    <row r="4861" spans="1:28" ht="15" customHeight="1">
      <c r="A4861" s="2" t="s">
        <v>10181</v>
      </c>
      <c r="B4861" s="2" t="s">
        <v>711</v>
      </c>
      <c r="C4861" s="104" t="s">
        <v>6981</v>
      </c>
      <c r="D4861" s="2" t="s">
        <v>30</v>
      </c>
      <c r="E4861" s="2" t="s">
        <v>538</v>
      </c>
      <c r="F4861" s="11" t="s">
        <v>6982</v>
      </c>
      <c r="G4861" s="21" t="s">
        <v>6983</v>
      </c>
      <c r="H4861" s="2" t="s">
        <v>6984</v>
      </c>
      <c r="I4861" s="12" t="s">
        <v>1392</v>
      </c>
      <c r="J4861" s="22">
        <f>+Tabla1[[#This Row],[FECHA ENTRADA]]</f>
        <v>46061</v>
      </c>
      <c r="K4861" s="41">
        <v>46091</v>
      </c>
      <c r="L4861" s="23">
        <f>_xlfn.DAYS(Tabla1[[#This Row],[FECHA FIN ]],Tabla1[[#This Row],[FECHA INICIO]])</f>
        <v>30</v>
      </c>
      <c r="M4861" s="12">
        <f t="shared" ref="M4861:M4866" si="4">2676.39/6</f>
        <v>446.065</v>
      </c>
      <c r="N4861" s="20"/>
      <c r="O4861" s="24">
        <f>(Tabla1[[#This Row],[COSTO FIJO ]]/30)*Tabla1[[#This Row],[TOTAL DIAS PROYECTO]]+(Tabla1[[#This Row],[COSTO TEMPORAL]])</f>
        <v>446.065</v>
      </c>
      <c r="P4861" s="12"/>
      <c r="Q4861" s="12">
        <f>+(Tabla1[[#This Row],[COSTO COCHE]]/30)*Tabla1[[#This Row],[TOTAL DIAS PROYECTO]]</f>
        <v>0</v>
      </c>
      <c r="R4861" s="12">
        <f>+Tabla1[[#This Row],[COSTO TOTAL ALOJAMIENTO]]+Tabla1[[#This Row],[COSTO TOTAL COCHE]]</f>
        <v>446.065</v>
      </c>
      <c r="S4861" s="2" t="s">
        <v>403</v>
      </c>
      <c r="T4861" s="14" t="s">
        <v>44</v>
      </c>
      <c r="U4861" s="14">
        <v>46061</v>
      </c>
      <c r="V4861" s="79">
        <v>46092</v>
      </c>
      <c r="W4861" s="12"/>
      <c r="X4861" s="2"/>
      <c r="Y4861" s="11" t="s">
        <v>6985</v>
      </c>
      <c r="Z4861" s="2" t="s">
        <v>36</v>
      </c>
      <c r="AA4861" s="13">
        <v>-378939</v>
      </c>
      <c r="AB4861" s="13">
        <v>3776578</v>
      </c>
    </row>
    <row r="4862" spans="1:28" ht="15" customHeight="1">
      <c r="A4862" s="2" t="s">
        <v>10182</v>
      </c>
      <c r="B4862" s="2" t="s">
        <v>711</v>
      </c>
      <c r="C4862" s="11" t="s">
        <v>6986</v>
      </c>
      <c r="D4862" s="2" t="s">
        <v>30</v>
      </c>
      <c r="E4862" s="2" t="s">
        <v>538</v>
      </c>
      <c r="F4862" s="11" t="s">
        <v>6982</v>
      </c>
      <c r="G4862" s="21" t="s">
        <v>6983</v>
      </c>
      <c r="H4862" s="2" t="s">
        <v>6984</v>
      </c>
      <c r="I4862" s="12" t="s">
        <v>1392</v>
      </c>
      <c r="J4862" s="22">
        <f>+Tabla1[[#This Row],[FECHA ENTRADA]]</f>
        <v>46061</v>
      </c>
      <c r="K4862" s="41">
        <v>46091</v>
      </c>
      <c r="L4862" s="23">
        <f>_xlfn.DAYS(Tabla1[[#This Row],[FECHA FIN ]],Tabla1[[#This Row],[FECHA INICIO]])</f>
        <v>30</v>
      </c>
      <c r="M4862" s="12">
        <f t="shared" si="4"/>
        <v>446.065</v>
      </c>
      <c r="N4862" s="20"/>
      <c r="O4862" s="24">
        <f>(Tabla1[[#This Row],[COSTO FIJO ]]/30)*Tabla1[[#This Row],[TOTAL DIAS PROYECTO]]+(Tabla1[[#This Row],[COSTO TEMPORAL]])</f>
        <v>446.065</v>
      </c>
      <c r="P4862" s="12"/>
      <c r="Q4862" s="12">
        <f>+(Tabla1[[#This Row],[COSTO COCHE]]/30)*Tabla1[[#This Row],[TOTAL DIAS PROYECTO]]</f>
        <v>0</v>
      </c>
      <c r="R4862" s="12">
        <f>+Tabla1[[#This Row],[COSTO TOTAL ALOJAMIENTO]]+Tabla1[[#This Row],[COSTO TOTAL COCHE]]</f>
        <v>446.065</v>
      </c>
      <c r="S4862" s="2" t="s">
        <v>403</v>
      </c>
      <c r="T4862" s="14" t="s">
        <v>44</v>
      </c>
      <c r="U4862" s="14">
        <v>46061</v>
      </c>
      <c r="V4862" s="79">
        <v>46092</v>
      </c>
      <c r="W4862" s="12"/>
      <c r="X4862" s="2"/>
      <c r="Y4862" s="11" t="s">
        <v>6985</v>
      </c>
      <c r="Z4862" s="2" t="s">
        <v>36</v>
      </c>
      <c r="AA4862" s="13">
        <v>-378939</v>
      </c>
      <c r="AB4862" s="13">
        <v>3776578</v>
      </c>
    </row>
    <row r="4863" spans="1:28" ht="15" customHeight="1">
      <c r="A4863" s="2" t="s">
        <v>10183</v>
      </c>
      <c r="B4863" s="2" t="s">
        <v>711</v>
      </c>
      <c r="C4863" s="11" t="s">
        <v>6987</v>
      </c>
      <c r="D4863" s="2" t="s">
        <v>30</v>
      </c>
      <c r="E4863" s="2" t="s">
        <v>538</v>
      </c>
      <c r="F4863" s="11" t="s">
        <v>6982</v>
      </c>
      <c r="G4863" s="21" t="s">
        <v>6983</v>
      </c>
      <c r="H4863" s="2" t="s">
        <v>6984</v>
      </c>
      <c r="I4863" s="12" t="s">
        <v>1392</v>
      </c>
      <c r="J4863" s="22">
        <f>+Tabla1[[#This Row],[FECHA ENTRADA]]</f>
        <v>46061</v>
      </c>
      <c r="K4863" s="41">
        <v>46091</v>
      </c>
      <c r="L4863" s="23">
        <f>_xlfn.DAYS(Tabla1[[#This Row],[FECHA FIN ]],Tabla1[[#This Row],[FECHA INICIO]])</f>
        <v>30</v>
      </c>
      <c r="M4863" s="12">
        <f t="shared" si="4"/>
        <v>446.065</v>
      </c>
      <c r="N4863" s="20"/>
      <c r="O4863" s="24">
        <f>(Tabla1[[#This Row],[COSTO FIJO ]]/30)*Tabla1[[#This Row],[TOTAL DIAS PROYECTO]]+(Tabla1[[#This Row],[COSTO TEMPORAL]])</f>
        <v>446.065</v>
      </c>
      <c r="P4863" s="12"/>
      <c r="Q4863" s="12">
        <f>+(Tabla1[[#This Row],[COSTO COCHE]]/30)*Tabla1[[#This Row],[TOTAL DIAS PROYECTO]]</f>
        <v>0</v>
      </c>
      <c r="R4863" s="12">
        <f>+Tabla1[[#This Row],[COSTO TOTAL ALOJAMIENTO]]+Tabla1[[#This Row],[COSTO TOTAL COCHE]]</f>
        <v>446.065</v>
      </c>
      <c r="S4863" s="2" t="s">
        <v>403</v>
      </c>
      <c r="T4863" s="14" t="s">
        <v>44</v>
      </c>
      <c r="U4863" s="14">
        <v>46061</v>
      </c>
      <c r="V4863" s="79">
        <v>46092</v>
      </c>
      <c r="W4863" s="12"/>
      <c r="X4863" s="2"/>
      <c r="Y4863" s="11" t="s">
        <v>6985</v>
      </c>
      <c r="Z4863" s="2" t="s">
        <v>36</v>
      </c>
      <c r="AA4863" s="13">
        <v>-378939</v>
      </c>
      <c r="AB4863" s="13">
        <v>3776578</v>
      </c>
    </row>
    <row r="4864" spans="1:28" ht="15" customHeight="1">
      <c r="A4864" s="2" t="s">
        <v>10184</v>
      </c>
      <c r="B4864" s="2" t="s">
        <v>711</v>
      </c>
      <c r="C4864" s="11" t="s">
        <v>6988</v>
      </c>
      <c r="D4864" s="2" t="s">
        <v>30</v>
      </c>
      <c r="E4864" s="2" t="s">
        <v>538</v>
      </c>
      <c r="F4864" s="11" t="s">
        <v>6982</v>
      </c>
      <c r="G4864" s="21" t="s">
        <v>6983</v>
      </c>
      <c r="H4864" s="2" t="s">
        <v>6984</v>
      </c>
      <c r="I4864" s="12" t="s">
        <v>1392</v>
      </c>
      <c r="J4864" s="22">
        <f>+Tabla1[[#This Row],[FECHA ENTRADA]]</f>
        <v>46061</v>
      </c>
      <c r="K4864" s="41">
        <v>46091</v>
      </c>
      <c r="L4864" s="23">
        <f>_xlfn.DAYS(Tabla1[[#This Row],[FECHA FIN ]],Tabla1[[#This Row],[FECHA INICIO]])</f>
        <v>30</v>
      </c>
      <c r="M4864" s="12">
        <f t="shared" si="4"/>
        <v>446.065</v>
      </c>
      <c r="N4864" s="20"/>
      <c r="O4864" s="24">
        <f>(Tabla1[[#This Row],[COSTO FIJO ]]/30)*Tabla1[[#This Row],[TOTAL DIAS PROYECTO]]+(Tabla1[[#This Row],[COSTO TEMPORAL]])</f>
        <v>446.065</v>
      </c>
      <c r="P4864" s="12"/>
      <c r="Q4864" s="12">
        <f>+(Tabla1[[#This Row],[COSTO COCHE]]/30)*Tabla1[[#This Row],[TOTAL DIAS PROYECTO]]</f>
        <v>0</v>
      </c>
      <c r="R4864" s="12">
        <f>+Tabla1[[#This Row],[COSTO TOTAL ALOJAMIENTO]]+Tabla1[[#This Row],[COSTO TOTAL COCHE]]</f>
        <v>446.065</v>
      </c>
      <c r="S4864" s="2" t="s">
        <v>403</v>
      </c>
      <c r="T4864" s="14" t="s">
        <v>44</v>
      </c>
      <c r="U4864" s="14">
        <v>46061</v>
      </c>
      <c r="V4864" s="79">
        <v>46092</v>
      </c>
      <c r="W4864" s="12"/>
      <c r="X4864" s="2"/>
      <c r="Y4864" s="11" t="s">
        <v>6985</v>
      </c>
      <c r="Z4864" s="2" t="s">
        <v>36</v>
      </c>
      <c r="AA4864" s="13">
        <v>-378939</v>
      </c>
      <c r="AB4864" s="13">
        <v>3776578</v>
      </c>
    </row>
    <row r="4865" spans="1:28" ht="15" customHeight="1">
      <c r="A4865" s="2" t="s">
        <v>10185</v>
      </c>
      <c r="B4865" s="2" t="s">
        <v>711</v>
      </c>
      <c r="C4865" s="11" t="s">
        <v>6989</v>
      </c>
      <c r="D4865" s="2" t="s">
        <v>30</v>
      </c>
      <c r="E4865" s="2" t="s">
        <v>538</v>
      </c>
      <c r="F4865" s="11" t="s">
        <v>6982</v>
      </c>
      <c r="G4865" s="21" t="s">
        <v>6983</v>
      </c>
      <c r="H4865" s="2" t="s">
        <v>6984</v>
      </c>
      <c r="I4865" s="12" t="s">
        <v>1392</v>
      </c>
      <c r="J4865" s="22">
        <f>+Tabla1[[#This Row],[FECHA ENTRADA]]</f>
        <v>46061</v>
      </c>
      <c r="K4865" s="41">
        <v>46091</v>
      </c>
      <c r="L4865" s="23">
        <f>_xlfn.DAYS(Tabla1[[#This Row],[FECHA FIN ]],Tabla1[[#This Row],[FECHA INICIO]])</f>
        <v>30</v>
      </c>
      <c r="M4865" s="12">
        <f t="shared" si="4"/>
        <v>446.065</v>
      </c>
      <c r="N4865" s="20"/>
      <c r="O4865" s="24">
        <f>(Tabla1[[#This Row],[COSTO FIJO ]]/30)*Tabla1[[#This Row],[TOTAL DIAS PROYECTO]]+(Tabla1[[#This Row],[COSTO TEMPORAL]])</f>
        <v>446.065</v>
      </c>
      <c r="P4865" s="12"/>
      <c r="Q4865" s="12">
        <f>+(Tabla1[[#This Row],[COSTO COCHE]]/30)*Tabla1[[#This Row],[TOTAL DIAS PROYECTO]]</f>
        <v>0</v>
      </c>
      <c r="R4865" s="12">
        <f>+Tabla1[[#This Row],[COSTO TOTAL ALOJAMIENTO]]+Tabla1[[#This Row],[COSTO TOTAL COCHE]]</f>
        <v>446.065</v>
      </c>
      <c r="S4865" s="2" t="s">
        <v>403</v>
      </c>
      <c r="T4865" s="14" t="s">
        <v>44</v>
      </c>
      <c r="U4865" s="14">
        <v>46061</v>
      </c>
      <c r="V4865" s="79">
        <v>46092</v>
      </c>
      <c r="W4865" s="12"/>
      <c r="X4865" s="2"/>
      <c r="Y4865" s="11" t="s">
        <v>6985</v>
      </c>
      <c r="Z4865" s="2" t="s">
        <v>36</v>
      </c>
      <c r="AA4865" s="13">
        <v>-378939</v>
      </c>
      <c r="AB4865" s="13">
        <v>3776578</v>
      </c>
    </row>
    <row r="4866" spans="1:28" ht="15" customHeight="1">
      <c r="A4866" s="2" t="s">
        <v>10186</v>
      </c>
      <c r="B4866" s="2" t="s">
        <v>711</v>
      </c>
      <c r="C4866" s="11" t="s">
        <v>6990</v>
      </c>
      <c r="D4866" s="2" t="s">
        <v>30</v>
      </c>
      <c r="E4866" s="2" t="s">
        <v>538</v>
      </c>
      <c r="F4866" s="11" t="s">
        <v>6982</v>
      </c>
      <c r="G4866" s="21" t="s">
        <v>6983</v>
      </c>
      <c r="H4866" s="2" t="s">
        <v>6984</v>
      </c>
      <c r="I4866" s="12" t="s">
        <v>1392</v>
      </c>
      <c r="J4866" s="22">
        <f>+Tabla1[[#This Row],[FECHA ENTRADA]]</f>
        <v>46061</v>
      </c>
      <c r="K4866" s="41">
        <v>46091</v>
      </c>
      <c r="L4866" s="23">
        <f>_xlfn.DAYS(Tabla1[[#This Row],[FECHA FIN ]],Tabla1[[#This Row],[FECHA INICIO]])</f>
        <v>30</v>
      </c>
      <c r="M4866" s="12">
        <f t="shared" si="4"/>
        <v>446.065</v>
      </c>
      <c r="N4866" s="20"/>
      <c r="O4866" s="24">
        <f>(Tabla1[[#This Row],[COSTO FIJO ]]/30)*Tabla1[[#This Row],[TOTAL DIAS PROYECTO]]+(Tabla1[[#This Row],[COSTO TEMPORAL]])</f>
        <v>446.065</v>
      </c>
      <c r="P4866" s="12"/>
      <c r="Q4866" s="12">
        <f>+(Tabla1[[#This Row],[COSTO COCHE]]/30)*Tabla1[[#This Row],[TOTAL DIAS PROYECTO]]</f>
        <v>0</v>
      </c>
      <c r="R4866" s="12">
        <f>+Tabla1[[#This Row],[COSTO TOTAL ALOJAMIENTO]]+Tabla1[[#This Row],[COSTO TOTAL COCHE]]</f>
        <v>446.065</v>
      </c>
      <c r="S4866" s="2" t="s">
        <v>403</v>
      </c>
      <c r="T4866" s="14" t="s">
        <v>44</v>
      </c>
      <c r="U4866" s="14">
        <v>46061</v>
      </c>
      <c r="V4866" s="79">
        <v>46092</v>
      </c>
      <c r="W4866" s="12"/>
      <c r="X4866" s="2"/>
      <c r="Y4866" s="11" t="s">
        <v>6985</v>
      </c>
      <c r="Z4866" s="2" t="s">
        <v>36</v>
      </c>
      <c r="AA4866" s="13">
        <v>-378939</v>
      </c>
      <c r="AB4866" s="13">
        <v>3776578</v>
      </c>
    </row>
    <row r="4867" spans="1:28" ht="15" customHeight="1">
      <c r="A4867" s="2" t="s">
        <v>8642</v>
      </c>
      <c r="B4867" s="2" t="s">
        <v>3133</v>
      </c>
      <c r="C4867" s="31" t="s">
        <v>6932</v>
      </c>
      <c r="D4867" s="2" t="s">
        <v>99</v>
      </c>
      <c r="E4867" s="2" t="s">
        <v>1443</v>
      </c>
      <c r="F4867" s="11" t="s">
        <v>1444</v>
      </c>
      <c r="G4867" s="11" t="s">
        <v>1445</v>
      </c>
      <c r="H4867" s="2" t="s">
        <v>6935</v>
      </c>
      <c r="I4867" s="12" t="s">
        <v>6936</v>
      </c>
      <c r="J4867" s="41">
        <f>+Tabla1[[#This Row],[FECHA ENTRADA]]</f>
        <v>46084</v>
      </c>
      <c r="K4867" s="41">
        <v>46091</v>
      </c>
      <c r="L4867" s="42">
        <f>_xlfn.DAYS(Tabla1[[#This Row],[FECHA FIN ]],Tabla1[[#This Row],[FECHA INICIO]])</f>
        <v>7</v>
      </c>
      <c r="M4867" s="12">
        <v>98</v>
      </c>
      <c r="N4867" s="28"/>
      <c r="O4867" s="28">
        <f>(Tabla1[[#This Row],[COSTO FIJO ]]/30)*Tabla1[[#This Row],[TOTAL DIAS PROYECTO]]+(Tabla1[[#This Row],[COSTO TEMPORAL]])</f>
        <v>98</v>
      </c>
      <c r="P4867" s="12"/>
      <c r="Q4867" s="12">
        <f>+(Tabla1[[#This Row],[COSTO COCHE]]/30)*Tabla1[[#This Row],[TOTAL DIAS PROYECTO]]</f>
        <v>0</v>
      </c>
      <c r="R4867" s="12">
        <f>+Tabla1[[#This Row],[COSTO TOTAL ALOJAMIENTO]]+Tabla1[[#This Row],[COSTO TOTAL COCHE]]</f>
        <v>98</v>
      </c>
      <c r="S4867" s="2"/>
      <c r="T4867" s="14" t="s">
        <v>44</v>
      </c>
      <c r="U4867" s="14">
        <v>46084</v>
      </c>
      <c r="V4867" s="43">
        <v>46091</v>
      </c>
      <c r="W4867" s="12"/>
      <c r="X4867" s="2"/>
      <c r="Y4867" s="11" t="s">
        <v>6937</v>
      </c>
      <c r="Z4867" s="2" t="s">
        <v>36</v>
      </c>
      <c r="AA4867" s="13" t="s">
        <v>10420</v>
      </c>
      <c r="AB4867" s="13">
        <v>3907741</v>
      </c>
    </row>
    <row r="4868" spans="1:28" ht="15" customHeight="1">
      <c r="A4868" s="2" t="s">
        <v>8642</v>
      </c>
      <c r="B4868" s="2" t="s">
        <v>3133</v>
      </c>
      <c r="C4868" s="31" t="s">
        <v>6938</v>
      </c>
      <c r="D4868" s="2" t="s">
        <v>99</v>
      </c>
      <c r="E4868" s="2" t="s">
        <v>1443</v>
      </c>
      <c r="F4868" s="11" t="s">
        <v>1444</v>
      </c>
      <c r="G4868" s="11" t="s">
        <v>1445</v>
      </c>
      <c r="H4868" s="2" t="s">
        <v>6935</v>
      </c>
      <c r="I4868" s="12" t="s">
        <v>6936</v>
      </c>
      <c r="J4868" s="41">
        <f>+Tabla1[[#This Row],[FECHA ENTRADA]]</f>
        <v>46084</v>
      </c>
      <c r="K4868" s="22">
        <v>46091</v>
      </c>
      <c r="L4868" s="42">
        <f>_xlfn.DAYS(Tabla1[[#This Row],[FECHA FIN ]],Tabla1[[#This Row],[FECHA INICIO]])</f>
        <v>7</v>
      </c>
      <c r="M4868" s="12">
        <v>98</v>
      </c>
      <c r="N4868" s="28"/>
      <c r="O4868" s="28">
        <f>(Tabla1[[#This Row],[COSTO FIJO ]]/30)*Tabla1[[#This Row],[TOTAL DIAS PROYECTO]]+(Tabla1[[#This Row],[COSTO TEMPORAL]])</f>
        <v>98</v>
      </c>
      <c r="P4868" s="12"/>
      <c r="Q4868" s="12">
        <f>+(Tabla1[[#This Row],[COSTO COCHE]]/30)*Tabla1[[#This Row],[TOTAL DIAS PROYECTO]]</f>
        <v>0</v>
      </c>
      <c r="R4868" s="12">
        <f>+Tabla1[[#This Row],[COSTO TOTAL ALOJAMIENTO]]+Tabla1[[#This Row],[COSTO TOTAL COCHE]]</f>
        <v>98</v>
      </c>
      <c r="S4868" s="2"/>
      <c r="T4868" s="14" t="s">
        <v>44</v>
      </c>
      <c r="U4868" s="14">
        <v>46084</v>
      </c>
      <c r="V4868" s="43">
        <v>46091</v>
      </c>
      <c r="W4868" s="12"/>
      <c r="X4868" s="2"/>
      <c r="Y4868" s="11" t="s">
        <v>6939</v>
      </c>
      <c r="Z4868" s="2" t="s">
        <v>36</v>
      </c>
      <c r="AA4868" s="13" t="s">
        <v>10420</v>
      </c>
      <c r="AB4868" s="13">
        <v>3907741</v>
      </c>
    </row>
    <row r="4869" spans="1:28" ht="15" customHeight="1">
      <c r="A4869" s="117" t="s">
        <v>9738</v>
      </c>
      <c r="B4869" s="117" t="s">
        <v>606</v>
      </c>
      <c r="C4869" s="118" t="s">
        <v>4506</v>
      </c>
      <c r="D4869" s="117" t="s">
        <v>30</v>
      </c>
      <c r="E4869" s="2" t="s">
        <v>31</v>
      </c>
      <c r="F4869" s="11" t="s">
        <v>758</v>
      </c>
      <c r="G4869" s="118" t="s">
        <v>759</v>
      </c>
      <c r="H4869" s="117" t="s">
        <v>6519</v>
      </c>
      <c r="I4869" s="119" t="s">
        <v>2391</v>
      </c>
      <c r="J4869" s="121">
        <f>+Tabla1[[#This Row],[FECHA ENTRADA]]</f>
        <v>46040</v>
      </c>
      <c r="K4869" s="121">
        <v>46092</v>
      </c>
      <c r="L4869" s="129">
        <f>_xlfn.DAYS(Tabla1[[#This Row],[FECHA FIN ]],Tabla1[[#This Row],[FECHA INICIO]])</f>
        <v>52</v>
      </c>
      <c r="M4869" s="119"/>
      <c r="N4869" s="130"/>
      <c r="O4869" s="131">
        <f>(Tabla1[[#This Row],[COSTO FIJO ]]/30)*Tabla1[[#This Row],[TOTAL DIAS PROYECTO]]+(Tabla1[[#This Row],[COSTO TEMPORAL]])</f>
        <v>0</v>
      </c>
      <c r="P4869" s="119"/>
      <c r="Q4869" s="119">
        <f>+(Tabla1[[#This Row],[COSTO COCHE]]/30)*Tabla1[[#This Row],[TOTAL DIAS PROYECTO]]</f>
        <v>0</v>
      </c>
      <c r="R4869" s="119">
        <f>+Tabla1[[#This Row],[COSTO TOTAL ALOJAMIENTO]]+Tabla1[[#This Row],[COSTO TOTAL COCHE]]</f>
        <v>0</v>
      </c>
      <c r="S4869" s="117"/>
      <c r="T4869" s="124" t="s">
        <v>35</v>
      </c>
      <c r="U4869" s="124">
        <v>46040</v>
      </c>
      <c r="V4869" s="132"/>
      <c r="W4869" s="119"/>
      <c r="X4869" s="117">
        <v>1</v>
      </c>
      <c r="Y4869" s="118" t="s">
        <v>1166</v>
      </c>
      <c r="Z4869" s="117" t="s">
        <v>36</v>
      </c>
      <c r="AA4869" s="127" t="s">
        <v>10323</v>
      </c>
      <c r="AB4869" s="127" t="s">
        <v>10324</v>
      </c>
    </row>
    <row r="4870" spans="1:28" ht="15" customHeight="1">
      <c r="A4870" s="117" t="s">
        <v>10185</v>
      </c>
      <c r="B4870" s="117" t="s">
        <v>711</v>
      </c>
      <c r="C4870" s="118" t="s">
        <v>6989</v>
      </c>
      <c r="D4870" s="117" t="s">
        <v>30</v>
      </c>
      <c r="E4870" s="117" t="s">
        <v>538</v>
      </c>
      <c r="F4870" s="11" t="s">
        <v>6991</v>
      </c>
      <c r="G4870" s="128" t="s">
        <v>6992</v>
      </c>
      <c r="H4870" s="117" t="s">
        <v>6984</v>
      </c>
      <c r="I4870" s="119" t="s">
        <v>1392</v>
      </c>
      <c r="J4870" s="120">
        <f>+Tabla1[[#This Row],[FECHA ENTRADA]]</f>
        <v>46091</v>
      </c>
      <c r="K4870" s="121">
        <v>46092</v>
      </c>
      <c r="L4870" s="122">
        <f>_xlfn.DAYS(Tabla1[[#This Row],[FECHA FIN ]],Tabla1[[#This Row],[FECHA INICIO]])</f>
        <v>1</v>
      </c>
      <c r="M4870" s="119">
        <f>133.38/2</f>
        <v>66.69</v>
      </c>
      <c r="N4870" s="123"/>
      <c r="O4870" s="123">
        <f>(Tabla1[[#This Row],[COSTO FIJO ]]/30)*Tabla1[[#This Row],[TOTAL DIAS PROYECTO]]+(Tabla1[[#This Row],[COSTO TEMPORAL]])</f>
        <v>66.69</v>
      </c>
      <c r="P4870" s="119"/>
      <c r="Q4870" s="119">
        <f>+(Tabla1[[#This Row],[COSTO COCHE]]/30)*Tabla1[[#This Row],[TOTAL DIAS PROYECTO]]</f>
        <v>0</v>
      </c>
      <c r="R4870" s="119">
        <f>+Tabla1[[#This Row],[COSTO TOTAL ALOJAMIENTO]]+Tabla1[[#This Row],[COSTO TOTAL COCHE]]</f>
        <v>66.69</v>
      </c>
      <c r="S4870" s="117" t="s">
        <v>403</v>
      </c>
      <c r="T4870" s="124" t="s">
        <v>44</v>
      </c>
      <c r="U4870" s="124">
        <v>46091</v>
      </c>
      <c r="V4870" s="125">
        <v>46093</v>
      </c>
      <c r="W4870" s="119"/>
      <c r="X4870" s="117"/>
      <c r="Y4870" s="118" t="s">
        <v>6993</v>
      </c>
      <c r="Z4870" s="117" t="s">
        <v>36</v>
      </c>
      <c r="AA4870" s="127">
        <v>-378939</v>
      </c>
      <c r="AB4870" s="127">
        <v>3776578</v>
      </c>
    </row>
    <row r="4871" spans="1:28" ht="15" customHeight="1">
      <c r="A4871" s="117" t="s">
        <v>10186</v>
      </c>
      <c r="B4871" s="117" t="s">
        <v>711</v>
      </c>
      <c r="C4871" s="118" t="s">
        <v>6990</v>
      </c>
      <c r="D4871" s="117" t="s">
        <v>30</v>
      </c>
      <c r="E4871" s="117" t="s">
        <v>538</v>
      </c>
      <c r="F4871" s="11" t="s">
        <v>6991</v>
      </c>
      <c r="G4871" s="128" t="s">
        <v>6992</v>
      </c>
      <c r="H4871" s="117" t="s">
        <v>6984</v>
      </c>
      <c r="I4871" s="119" t="s">
        <v>1392</v>
      </c>
      <c r="J4871" s="120">
        <f>+Tabla1[[#This Row],[FECHA ENTRADA]]</f>
        <v>46091</v>
      </c>
      <c r="K4871" s="121">
        <v>46092</v>
      </c>
      <c r="L4871" s="122">
        <f>_xlfn.DAYS(Tabla1[[#This Row],[FECHA FIN ]],Tabla1[[#This Row],[FECHA INICIO]])</f>
        <v>1</v>
      </c>
      <c r="M4871" s="119">
        <f>133.38/2</f>
        <v>66.69</v>
      </c>
      <c r="N4871" s="123"/>
      <c r="O4871" s="123">
        <f>(Tabla1[[#This Row],[COSTO FIJO ]]/30)*Tabla1[[#This Row],[TOTAL DIAS PROYECTO]]+(Tabla1[[#This Row],[COSTO TEMPORAL]])</f>
        <v>66.69</v>
      </c>
      <c r="P4871" s="119"/>
      <c r="Q4871" s="119">
        <f>+(Tabla1[[#This Row],[COSTO COCHE]]/30)*Tabla1[[#This Row],[TOTAL DIAS PROYECTO]]</f>
        <v>0</v>
      </c>
      <c r="R4871" s="119">
        <f>+Tabla1[[#This Row],[COSTO TOTAL ALOJAMIENTO]]+Tabla1[[#This Row],[COSTO TOTAL COCHE]]</f>
        <v>66.69</v>
      </c>
      <c r="S4871" s="117" t="s">
        <v>403</v>
      </c>
      <c r="T4871" s="124" t="s">
        <v>44</v>
      </c>
      <c r="U4871" s="124">
        <v>46091</v>
      </c>
      <c r="V4871" s="125">
        <v>46093</v>
      </c>
      <c r="W4871" s="119"/>
      <c r="X4871" s="117"/>
      <c r="Y4871" s="118" t="s">
        <v>6993</v>
      </c>
      <c r="Z4871" s="117" t="s">
        <v>36</v>
      </c>
      <c r="AA4871" s="127">
        <v>-378939</v>
      </c>
      <c r="AB4871" s="127">
        <v>3776578</v>
      </c>
    </row>
    <row r="4872" spans="1:28" ht="15" customHeight="1">
      <c r="A4872" s="117" t="s">
        <v>9853</v>
      </c>
      <c r="B4872" s="117" t="s">
        <v>606</v>
      </c>
      <c r="C4872" s="118" t="s">
        <v>5051</v>
      </c>
      <c r="D4872" s="117" t="s">
        <v>30</v>
      </c>
      <c r="E4872" s="117" t="s">
        <v>87</v>
      </c>
      <c r="F4872" s="11" t="s">
        <v>6994</v>
      </c>
      <c r="G4872" s="128" t="s">
        <v>6995</v>
      </c>
      <c r="H4872" s="117" t="s">
        <v>2106</v>
      </c>
      <c r="I4872" s="119" t="s">
        <v>4169</v>
      </c>
      <c r="J4872" s="121">
        <f>+Tabla1[[#This Row],[FECHA ENTRADA]]</f>
        <v>46086</v>
      </c>
      <c r="K4872" s="121">
        <v>46092</v>
      </c>
      <c r="L4872" s="129">
        <f>_xlfn.DAYS(Tabla1[[#This Row],[FECHA FIN ]],Tabla1[[#This Row],[FECHA INICIO]])</f>
        <v>6</v>
      </c>
      <c r="M4872" s="119">
        <v>248</v>
      </c>
      <c r="N4872" s="130"/>
      <c r="O4872" s="131">
        <f>(Tabla1[[#This Row],[COSTO FIJO ]]/30)*Tabla1[[#This Row],[TOTAL DIAS PROYECTO]]+(Tabla1[[#This Row],[COSTO TEMPORAL]])</f>
        <v>248</v>
      </c>
      <c r="P4872" s="119"/>
      <c r="Q4872" s="119">
        <f>+(Tabla1[[#This Row],[COSTO COCHE]]/30)*Tabla1[[#This Row],[TOTAL DIAS PROYECTO]]</f>
        <v>0</v>
      </c>
      <c r="R4872" s="119">
        <f>+Tabla1[[#This Row],[COSTO TOTAL ALOJAMIENTO]]+Tabla1[[#This Row],[COSTO TOTAL COCHE]]</f>
        <v>248</v>
      </c>
      <c r="S4872" s="117" t="s">
        <v>84</v>
      </c>
      <c r="T4872" s="124" t="s">
        <v>44</v>
      </c>
      <c r="U4872" s="124">
        <v>46086</v>
      </c>
      <c r="V4872" s="132">
        <v>46093</v>
      </c>
      <c r="W4872" s="119"/>
      <c r="X4872" s="117"/>
      <c r="Y4872" s="118" t="s">
        <v>1361</v>
      </c>
      <c r="Z4872" s="117" t="s">
        <v>36</v>
      </c>
      <c r="AA4872" s="127" t="s">
        <v>10335</v>
      </c>
      <c r="AB4872" s="127">
        <v>404.16500000000002</v>
      </c>
    </row>
    <row r="4873" spans="1:28" ht="15" customHeight="1">
      <c r="A4873" s="117" t="s">
        <v>9977</v>
      </c>
      <c r="B4873" s="117" t="s">
        <v>606</v>
      </c>
      <c r="C4873" s="118" t="s">
        <v>5803</v>
      </c>
      <c r="D4873" s="117" t="s">
        <v>30</v>
      </c>
      <c r="E4873" s="117" t="s">
        <v>87</v>
      </c>
      <c r="F4873" s="11" t="s">
        <v>6994</v>
      </c>
      <c r="G4873" s="128" t="s">
        <v>6995</v>
      </c>
      <c r="H4873" s="117" t="s">
        <v>2106</v>
      </c>
      <c r="I4873" s="119" t="s">
        <v>4169</v>
      </c>
      <c r="J4873" s="121">
        <f>+Tabla1[[#This Row],[FECHA ENTRADA]]</f>
        <v>46086</v>
      </c>
      <c r="K4873" s="121">
        <v>46092</v>
      </c>
      <c r="L4873" s="129">
        <f>_xlfn.DAYS(Tabla1[[#This Row],[FECHA FIN ]],Tabla1[[#This Row],[FECHA INICIO]])</f>
        <v>6</v>
      </c>
      <c r="M4873" s="119">
        <v>248</v>
      </c>
      <c r="N4873" s="130"/>
      <c r="O4873" s="131">
        <f>(Tabla1[[#This Row],[COSTO FIJO ]]/30)*Tabla1[[#This Row],[TOTAL DIAS PROYECTO]]+(Tabla1[[#This Row],[COSTO TEMPORAL]])</f>
        <v>248</v>
      </c>
      <c r="P4873" s="119"/>
      <c r="Q4873" s="119">
        <f>+(Tabla1[[#This Row],[COSTO COCHE]]/30)*Tabla1[[#This Row],[TOTAL DIAS PROYECTO]]</f>
        <v>0</v>
      </c>
      <c r="R4873" s="119">
        <f>+Tabla1[[#This Row],[COSTO TOTAL ALOJAMIENTO]]+Tabla1[[#This Row],[COSTO TOTAL COCHE]]</f>
        <v>248</v>
      </c>
      <c r="S4873" s="117" t="s">
        <v>84</v>
      </c>
      <c r="T4873" s="124" t="s">
        <v>44</v>
      </c>
      <c r="U4873" s="124">
        <v>46086</v>
      </c>
      <c r="V4873" s="132">
        <v>46093</v>
      </c>
      <c r="W4873" s="119"/>
      <c r="X4873" s="117"/>
      <c r="Y4873" s="118" t="s">
        <v>1361</v>
      </c>
      <c r="Z4873" s="117" t="s">
        <v>36</v>
      </c>
      <c r="AA4873" s="127" t="s">
        <v>10335</v>
      </c>
      <c r="AB4873" s="127">
        <v>404.16500000000002</v>
      </c>
    </row>
    <row r="4874" spans="1:28" ht="15" customHeight="1">
      <c r="A4874" s="117" t="s">
        <v>8989</v>
      </c>
      <c r="B4874" s="117" t="s">
        <v>606</v>
      </c>
      <c r="C4874" s="118" t="s">
        <v>1606</v>
      </c>
      <c r="D4874" s="117" t="s">
        <v>30</v>
      </c>
      <c r="E4874" s="117" t="s">
        <v>87</v>
      </c>
      <c r="F4874" s="11" t="s">
        <v>6994</v>
      </c>
      <c r="G4874" s="128" t="s">
        <v>6995</v>
      </c>
      <c r="H4874" s="117" t="s">
        <v>2106</v>
      </c>
      <c r="I4874" s="119" t="s">
        <v>4169</v>
      </c>
      <c r="J4874" s="121">
        <f>+Tabla1[[#This Row],[FECHA ENTRADA]]</f>
        <v>46086</v>
      </c>
      <c r="K4874" s="121">
        <v>46092</v>
      </c>
      <c r="L4874" s="129">
        <f>_xlfn.DAYS(Tabla1[[#This Row],[FECHA FIN ]],Tabla1[[#This Row],[FECHA INICIO]])</f>
        <v>6</v>
      </c>
      <c r="M4874" s="119">
        <v>248</v>
      </c>
      <c r="N4874" s="130"/>
      <c r="O4874" s="131">
        <f>(Tabla1[[#This Row],[COSTO FIJO ]]/30)*Tabla1[[#This Row],[TOTAL DIAS PROYECTO]]+(Tabla1[[#This Row],[COSTO TEMPORAL]])</f>
        <v>248</v>
      </c>
      <c r="P4874" s="119"/>
      <c r="Q4874" s="119">
        <f>+(Tabla1[[#This Row],[COSTO COCHE]]/30)*Tabla1[[#This Row],[TOTAL DIAS PROYECTO]]</f>
        <v>0</v>
      </c>
      <c r="R4874" s="119">
        <f>+Tabla1[[#This Row],[COSTO TOTAL ALOJAMIENTO]]+Tabla1[[#This Row],[COSTO TOTAL COCHE]]</f>
        <v>248</v>
      </c>
      <c r="S4874" s="117" t="s">
        <v>84</v>
      </c>
      <c r="T4874" s="124" t="s">
        <v>44</v>
      </c>
      <c r="U4874" s="124">
        <v>46086</v>
      </c>
      <c r="V4874" s="132">
        <v>46093</v>
      </c>
      <c r="W4874" s="119"/>
      <c r="X4874" s="117"/>
      <c r="Y4874" s="118" t="s">
        <v>1361</v>
      </c>
      <c r="Z4874" s="117" t="s">
        <v>36</v>
      </c>
      <c r="AA4874" s="127" t="s">
        <v>10335</v>
      </c>
      <c r="AB4874" s="127">
        <v>404.16500000000002</v>
      </c>
    </row>
    <row r="4875" spans="1:28" ht="15" customHeight="1">
      <c r="A4875" s="117" t="s">
        <v>10177</v>
      </c>
      <c r="B4875" s="117" t="s">
        <v>606</v>
      </c>
      <c r="C4875" s="118" t="s">
        <v>6948</v>
      </c>
      <c r="D4875" s="117" t="s">
        <v>30</v>
      </c>
      <c r="E4875" s="117" t="s">
        <v>87</v>
      </c>
      <c r="F4875" s="11" t="s">
        <v>6994</v>
      </c>
      <c r="G4875" s="128" t="s">
        <v>6995</v>
      </c>
      <c r="H4875" s="117" t="s">
        <v>2106</v>
      </c>
      <c r="I4875" s="119" t="s">
        <v>4169</v>
      </c>
      <c r="J4875" s="121">
        <f>+Tabla1[[#This Row],[FECHA ENTRADA]]</f>
        <v>46086</v>
      </c>
      <c r="K4875" s="121">
        <v>46092</v>
      </c>
      <c r="L4875" s="129">
        <f>_xlfn.DAYS(Tabla1[[#This Row],[FECHA FIN ]],Tabla1[[#This Row],[FECHA INICIO]])</f>
        <v>6</v>
      </c>
      <c r="M4875" s="119">
        <v>248</v>
      </c>
      <c r="N4875" s="130"/>
      <c r="O4875" s="131">
        <f>(Tabla1[[#This Row],[COSTO FIJO ]]/30)*Tabla1[[#This Row],[TOTAL DIAS PROYECTO]]+(Tabla1[[#This Row],[COSTO TEMPORAL]])</f>
        <v>248</v>
      </c>
      <c r="P4875" s="119"/>
      <c r="Q4875" s="119">
        <f>+(Tabla1[[#This Row],[COSTO COCHE]]/30)*Tabla1[[#This Row],[TOTAL DIAS PROYECTO]]</f>
        <v>0</v>
      </c>
      <c r="R4875" s="119">
        <f>+Tabla1[[#This Row],[COSTO TOTAL ALOJAMIENTO]]+Tabla1[[#This Row],[COSTO TOTAL COCHE]]</f>
        <v>248</v>
      </c>
      <c r="S4875" s="117" t="s">
        <v>84</v>
      </c>
      <c r="T4875" s="124" t="s">
        <v>44</v>
      </c>
      <c r="U4875" s="124">
        <v>46086</v>
      </c>
      <c r="V4875" s="132">
        <v>46093</v>
      </c>
      <c r="W4875" s="119"/>
      <c r="X4875" s="117"/>
      <c r="Y4875" s="118" t="s">
        <v>1361</v>
      </c>
      <c r="Z4875" s="117" t="s">
        <v>36</v>
      </c>
      <c r="AA4875" s="127" t="s">
        <v>10335</v>
      </c>
      <c r="AB4875" s="127">
        <v>404.16500000000002</v>
      </c>
    </row>
    <row r="4876" spans="1:28" ht="15" customHeight="1">
      <c r="A4876" s="117" t="s">
        <v>9924</v>
      </c>
      <c r="B4876" s="117" t="s">
        <v>606</v>
      </c>
      <c r="C4876" s="118" t="s">
        <v>5471</v>
      </c>
      <c r="D4876" s="117" t="s">
        <v>30</v>
      </c>
      <c r="E4876" s="117" t="s">
        <v>87</v>
      </c>
      <c r="F4876" s="11" t="s">
        <v>6994</v>
      </c>
      <c r="G4876" s="128" t="s">
        <v>6995</v>
      </c>
      <c r="H4876" s="117" t="s">
        <v>2106</v>
      </c>
      <c r="I4876" s="119" t="s">
        <v>4169</v>
      </c>
      <c r="J4876" s="121">
        <f>+Tabla1[[#This Row],[FECHA ENTRADA]]</f>
        <v>46086</v>
      </c>
      <c r="K4876" s="121">
        <v>46092</v>
      </c>
      <c r="L4876" s="129">
        <f>_xlfn.DAYS(Tabla1[[#This Row],[FECHA FIN ]],Tabla1[[#This Row],[FECHA INICIO]])</f>
        <v>6</v>
      </c>
      <c r="M4876" s="119">
        <v>248</v>
      </c>
      <c r="N4876" s="130"/>
      <c r="O4876" s="131">
        <f>(Tabla1[[#This Row],[COSTO FIJO ]]/30)*Tabla1[[#This Row],[TOTAL DIAS PROYECTO]]+(Tabla1[[#This Row],[COSTO TEMPORAL]])</f>
        <v>248</v>
      </c>
      <c r="P4876" s="119"/>
      <c r="Q4876" s="119">
        <f>+(Tabla1[[#This Row],[COSTO COCHE]]/30)*Tabla1[[#This Row],[TOTAL DIAS PROYECTO]]</f>
        <v>0</v>
      </c>
      <c r="R4876" s="119">
        <f>+Tabla1[[#This Row],[COSTO TOTAL ALOJAMIENTO]]+Tabla1[[#This Row],[COSTO TOTAL COCHE]]</f>
        <v>248</v>
      </c>
      <c r="S4876" s="117" t="s">
        <v>84</v>
      </c>
      <c r="T4876" s="124" t="s">
        <v>44</v>
      </c>
      <c r="U4876" s="124">
        <v>46086</v>
      </c>
      <c r="V4876" s="132">
        <v>46093</v>
      </c>
      <c r="W4876" s="119"/>
      <c r="X4876" s="117"/>
      <c r="Y4876" s="118" t="s">
        <v>1361</v>
      </c>
      <c r="Z4876" s="117" t="s">
        <v>36</v>
      </c>
      <c r="AA4876" s="127" t="s">
        <v>10335</v>
      </c>
      <c r="AB4876" s="127">
        <v>404.16500000000002</v>
      </c>
    </row>
    <row r="4877" spans="1:28" ht="15" customHeight="1">
      <c r="A4877" s="2" t="s">
        <v>9905</v>
      </c>
      <c r="B4877" s="2" t="s">
        <v>606</v>
      </c>
      <c r="C4877" s="69" t="s">
        <v>5322</v>
      </c>
      <c r="D4877" s="2" t="s">
        <v>99</v>
      </c>
      <c r="E4877" s="2" t="s">
        <v>213</v>
      </c>
      <c r="F4877" s="11" t="s">
        <v>6996</v>
      </c>
      <c r="G4877" s="49" t="s">
        <v>6997</v>
      </c>
      <c r="H4877" s="2" t="s">
        <v>6998</v>
      </c>
      <c r="I4877" s="12" t="s">
        <v>42</v>
      </c>
      <c r="J4877" s="22">
        <f>+Tabla1[[#This Row],[FECHA ENTRADA]]</f>
        <v>46075</v>
      </c>
      <c r="K4877" s="22">
        <v>46092</v>
      </c>
      <c r="L4877" s="23">
        <f>_xlfn.DAYS(Tabla1[[#This Row],[FECHA FIN ]],Tabla1[[#This Row],[FECHA INICIO]])</f>
        <v>17</v>
      </c>
      <c r="M4877" s="12">
        <f>749.1/3</f>
        <v>249.70000000000002</v>
      </c>
      <c r="N4877" s="24"/>
      <c r="O4877" s="24">
        <f>(Tabla1[[#This Row],[COSTO FIJO ]]/30)*Tabla1[[#This Row],[TOTAL DIAS PROYECTO]]+(Tabla1[[#This Row],[COSTO TEMPORAL]])</f>
        <v>249.70000000000002</v>
      </c>
      <c r="P4877" s="12"/>
      <c r="Q4877" s="12">
        <f>+(Tabla1[[#This Row],[COSTO COCHE]]/30)*Tabla1[[#This Row],[TOTAL DIAS PROYECTO]]</f>
        <v>0</v>
      </c>
      <c r="R4877" s="12">
        <f>+Tabla1[[#This Row],[COSTO TOTAL ALOJAMIENTO]]+Tabla1[[#This Row],[COSTO TOTAL COCHE]]</f>
        <v>249.70000000000002</v>
      </c>
      <c r="S4877" s="2"/>
      <c r="T4877" s="14" t="s">
        <v>44</v>
      </c>
      <c r="U4877" s="14">
        <v>46075</v>
      </c>
      <c r="V4877" s="25">
        <v>46099</v>
      </c>
      <c r="W4877" s="12"/>
      <c r="X4877" s="2"/>
      <c r="Y4877" s="11" t="s">
        <v>6999</v>
      </c>
      <c r="Z4877" s="2" t="s">
        <v>36</v>
      </c>
      <c r="AA4877" s="13" t="s">
        <v>10349</v>
      </c>
      <c r="AB4877" s="13" t="s">
        <v>10350</v>
      </c>
    </row>
    <row r="4878" spans="1:28">
      <c r="A4878" s="2" t="s">
        <v>10187</v>
      </c>
      <c r="B4878" s="2" t="s">
        <v>606</v>
      </c>
      <c r="C4878" s="31" t="s">
        <v>7000</v>
      </c>
      <c r="D4878" s="2" t="s">
        <v>99</v>
      </c>
      <c r="E4878" s="2" t="s">
        <v>31</v>
      </c>
      <c r="F4878" s="11" t="s">
        <v>6473</v>
      </c>
      <c r="G4878" s="21" t="s">
        <v>6474</v>
      </c>
      <c r="H4878" s="2" t="s">
        <v>6805</v>
      </c>
      <c r="I4878" s="12" t="s">
        <v>6458</v>
      </c>
      <c r="J4878" s="22">
        <f>+Tabla1[[#This Row],[FECHA ENTRADA]]</f>
        <v>46076</v>
      </c>
      <c r="K4878" s="22">
        <v>46092</v>
      </c>
      <c r="L4878" s="23">
        <f>_xlfn.DAYS(Tabla1[[#This Row],[FECHA FIN ]],Tabla1[[#This Row],[FECHA INICIO]])</f>
        <v>16</v>
      </c>
      <c r="M4878" s="12"/>
      <c r="N4878" s="20">
        <v>388.88888888888891</v>
      </c>
      <c r="O4878" s="24">
        <f>(Tabla1[[#This Row],[COSTO FIJO ]]/30)*Tabla1[[#This Row],[TOTAL DIAS PROYECTO]]+(Tabla1[[#This Row],[COSTO TEMPORAL]])</f>
        <v>207.40740740740742</v>
      </c>
      <c r="P4878" s="12"/>
      <c r="Q4878" s="12">
        <f>+(Tabla1[[#This Row],[COSTO COCHE]]/30)*Tabla1[[#This Row],[TOTAL DIAS PROYECTO]]</f>
        <v>0</v>
      </c>
      <c r="R4878" s="12">
        <f>+Tabla1[[#This Row],[COSTO TOTAL ALOJAMIENTO]]+Tabla1[[#This Row],[COSTO TOTAL COCHE]]</f>
        <v>207.40740740740742</v>
      </c>
      <c r="S4878" s="2"/>
      <c r="T4878" s="14" t="s">
        <v>35</v>
      </c>
      <c r="U4878" s="14">
        <v>46076</v>
      </c>
      <c r="V4878" s="79"/>
      <c r="W4878" s="12"/>
      <c r="X4878" s="2">
        <v>28</v>
      </c>
      <c r="Y4878" s="11" t="s">
        <v>6806</v>
      </c>
      <c r="Z4878" s="2" t="s">
        <v>36</v>
      </c>
      <c r="AA4878" s="13" t="s">
        <v>10323</v>
      </c>
      <c r="AB4878" s="13" t="s">
        <v>10324</v>
      </c>
    </row>
    <row r="4879" spans="1:28">
      <c r="A4879" s="2" t="s">
        <v>9131</v>
      </c>
      <c r="B4879" s="2" t="s">
        <v>606</v>
      </c>
      <c r="C4879" s="31" t="s">
        <v>2131</v>
      </c>
      <c r="D4879" s="2" t="s">
        <v>99</v>
      </c>
      <c r="E4879" s="2" t="s">
        <v>31</v>
      </c>
      <c r="F4879" s="11" t="s">
        <v>6473</v>
      </c>
      <c r="G4879" s="21" t="s">
        <v>6474</v>
      </c>
      <c r="H4879" s="2" t="s">
        <v>6805</v>
      </c>
      <c r="I4879" s="12" t="s">
        <v>6458</v>
      </c>
      <c r="J4879" s="22">
        <f>+Tabla1[[#This Row],[FECHA ENTRADA]]</f>
        <v>46076</v>
      </c>
      <c r="K4879" s="22">
        <v>46092</v>
      </c>
      <c r="L4879" s="23">
        <f>_xlfn.DAYS(Tabla1[[#This Row],[FECHA FIN ]],Tabla1[[#This Row],[FECHA INICIO]])</f>
        <v>16</v>
      </c>
      <c r="M4879" s="12"/>
      <c r="N4879" s="20">
        <v>388.88888888888891</v>
      </c>
      <c r="O4879" s="24">
        <f>(Tabla1[[#This Row],[COSTO FIJO ]]/30)*Tabla1[[#This Row],[TOTAL DIAS PROYECTO]]+(Tabla1[[#This Row],[COSTO TEMPORAL]])</f>
        <v>207.40740740740742</v>
      </c>
      <c r="P4879" s="12"/>
      <c r="Q4879" s="12">
        <f>+(Tabla1[[#This Row],[COSTO COCHE]]/30)*Tabla1[[#This Row],[TOTAL DIAS PROYECTO]]</f>
        <v>0</v>
      </c>
      <c r="R4879" s="12">
        <f>+Tabla1[[#This Row],[COSTO TOTAL ALOJAMIENTO]]+Tabla1[[#This Row],[COSTO TOTAL COCHE]]</f>
        <v>207.40740740740742</v>
      </c>
      <c r="S4879" s="2"/>
      <c r="T4879" s="14" t="s">
        <v>35</v>
      </c>
      <c r="U4879" s="14">
        <v>46076</v>
      </c>
      <c r="V4879" s="79"/>
      <c r="W4879" s="12"/>
      <c r="X4879" s="2">
        <v>28</v>
      </c>
      <c r="Y4879" s="11" t="s">
        <v>6806</v>
      </c>
      <c r="Z4879" s="2" t="s">
        <v>36</v>
      </c>
      <c r="AA4879" s="13" t="s">
        <v>10323</v>
      </c>
      <c r="AB4879" s="13" t="s">
        <v>10324</v>
      </c>
    </row>
    <row r="4880" spans="1:28" ht="15" customHeight="1">
      <c r="A4880" s="2" t="s">
        <v>9130</v>
      </c>
      <c r="B4880" s="2" t="s">
        <v>3133</v>
      </c>
      <c r="C4880" s="11" t="s">
        <v>2126</v>
      </c>
      <c r="D4880" s="2" t="s">
        <v>99</v>
      </c>
      <c r="E4880" s="2" t="s">
        <v>664</v>
      </c>
      <c r="F4880" s="11" t="s">
        <v>7001</v>
      </c>
      <c r="G4880" s="21">
        <v>946723611</v>
      </c>
      <c r="H4880" s="2" t="s">
        <v>6908</v>
      </c>
      <c r="I4880" s="12" t="s">
        <v>6909</v>
      </c>
      <c r="J4880" s="22">
        <f>+Tabla1[[#This Row],[FECHA ENTRADA]]</f>
        <v>46081</v>
      </c>
      <c r="K4880" s="22">
        <v>46093</v>
      </c>
      <c r="L4880" s="23">
        <f>_xlfn.DAYS(Tabla1[[#This Row],[FECHA FIN ]],Tabla1[[#This Row],[FECHA INICIO]])</f>
        <v>12</v>
      </c>
      <c r="M4880" s="12">
        <v>133.33333333333334</v>
      </c>
      <c r="N4880" s="20"/>
      <c r="O4880" s="24">
        <f>(Tabla1[[#This Row],[COSTO FIJO ]]/30)*Tabla1[[#This Row],[TOTAL DIAS PROYECTO]]+(Tabla1[[#This Row],[COSTO TEMPORAL]])</f>
        <v>133.33333333333334</v>
      </c>
      <c r="P4880" s="12"/>
      <c r="Q4880" s="12">
        <f>+(Tabla1[[#This Row],[COSTO COCHE]]/30)*Tabla1[[#This Row],[TOTAL DIAS PROYECTO]]</f>
        <v>0</v>
      </c>
      <c r="R4880" s="12">
        <f>+Tabla1[[#This Row],[COSTO TOTAL ALOJAMIENTO]]+Tabla1[[#This Row],[COSTO TOTAL COCHE]]</f>
        <v>133.33333333333334</v>
      </c>
      <c r="S4880" s="2"/>
      <c r="T4880" s="14" t="s">
        <v>44</v>
      </c>
      <c r="U4880" s="14">
        <v>46081</v>
      </c>
      <c r="V4880" s="25">
        <v>46093</v>
      </c>
      <c r="W4880" s="12"/>
      <c r="X4880" s="2"/>
      <c r="Y4880" s="11"/>
      <c r="Z4880" s="2" t="s">
        <v>36</v>
      </c>
      <c r="AA4880" s="13" t="s">
        <v>10389</v>
      </c>
      <c r="AB4880" s="13" t="s">
        <v>10390</v>
      </c>
    </row>
    <row r="4881" spans="1:28" ht="15" customHeight="1">
      <c r="A4881" s="2" t="s">
        <v>8642</v>
      </c>
      <c r="B4881" s="2" t="s">
        <v>3133</v>
      </c>
      <c r="C4881" s="11" t="s">
        <v>3507</v>
      </c>
      <c r="D4881" s="2" t="s">
        <v>99</v>
      </c>
      <c r="E4881" s="2" t="s">
        <v>664</v>
      </c>
      <c r="F4881" s="11" t="s">
        <v>7001</v>
      </c>
      <c r="G4881" s="21">
        <v>946723611</v>
      </c>
      <c r="H4881" s="2" t="s">
        <v>6908</v>
      </c>
      <c r="I4881" s="12" t="s">
        <v>6909</v>
      </c>
      <c r="J4881" s="22">
        <f>+Tabla1[[#This Row],[FECHA ENTRADA]]</f>
        <v>46081</v>
      </c>
      <c r="K4881" s="22">
        <v>46093</v>
      </c>
      <c r="L4881" s="23">
        <f>_xlfn.DAYS(Tabla1[[#This Row],[FECHA FIN ]],Tabla1[[#This Row],[FECHA INICIO]])</f>
        <v>12</v>
      </c>
      <c r="M4881" s="12">
        <v>133.33333333333334</v>
      </c>
      <c r="N4881" s="20"/>
      <c r="O4881" s="24">
        <f>(Tabla1[[#This Row],[COSTO FIJO ]]/30)*Tabla1[[#This Row],[TOTAL DIAS PROYECTO]]+(Tabla1[[#This Row],[COSTO TEMPORAL]])</f>
        <v>133.33333333333334</v>
      </c>
      <c r="P4881" s="12"/>
      <c r="Q4881" s="12">
        <f>+(Tabla1[[#This Row],[COSTO COCHE]]/30)*Tabla1[[#This Row],[TOTAL DIAS PROYECTO]]</f>
        <v>0</v>
      </c>
      <c r="R4881" s="12">
        <f>+Tabla1[[#This Row],[COSTO TOTAL ALOJAMIENTO]]+Tabla1[[#This Row],[COSTO TOTAL COCHE]]</f>
        <v>133.33333333333334</v>
      </c>
      <c r="S4881" s="2"/>
      <c r="T4881" s="14" t="s">
        <v>44</v>
      </c>
      <c r="U4881" s="14">
        <v>46081</v>
      </c>
      <c r="V4881" s="25">
        <v>46093</v>
      </c>
      <c r="W4881" s="12"/>
      <c r="X4881" s="2"/>
      <c r="Y4881" s="11"/>
      <c r="Z4881" s="2" t="s">
        <v>36</v>
      </c>
      <c r="AA4881" s="13" t="s">
        <v>10389</v>
      </c>
      <c r="AB4881" s="13" t="s">
        <v>10390</v>
      </c>
    </row>
    <row r="4882" spans="1:28" ht="15" customHeight="1">
      <c r="A4882" s="2" t="s">
        <v>10038</v>
      </c>
      <c r="B4882" s="2" t="s">
        <v>3133</v>
      </c>
      <c r="C4882" s="11" t="s">
        <v>6020</v>
      </c>
      <c r="D4882" s="2" t="s">
        <v>99</v>
      </c>
      <c r="E4882" s="2" t="s">
        <v>664</v>
      </c>
      <c r="F4882" s="11" t="s">
        <v>7001</v>
      </c>
      <c r="G4882" s="21">
        <v>946723611</v>
      </c>
      <c r="H4882" s="2" t="s">
        <v>6908</v>
      </c>
      <c r="I4882" s="12" t="s">
        <v>6909</v>
      </c>
      <c r="J4882" s="22">
        <f>+Tabla1[[#This Row],[FECHA ENTRADA]]</f>
        <v>46081</v>
      </c>
      <c r="K4882" s="22">
        <v>46093</v>
      </c>
      <c r="L4882" s="23">
        <f>_xlfn.DAYS(Tabla1[[#This Row],[FECHA FIN ]],Tabla1[[#This Row],[FECHA INICIO]])</f>
        <v>12</v>
      </c>
      <c r="M4882" s="12">
        <v>133.33333333333334</v>
      </c>
      <c r="N4882" s="20"/>
      <c r="O4882" s="24">
        <f>(Tabla1[[#This Row],[COSTO FIJO ]]/30)*Tabla1[[#This Row],[TOTAL DIAS PROYECTO]]+(Tabla1[[#This Row],[COSTO TEMPORAL]])</f>
        <v>133.33333333333334</v>
      </c>
      <c r="P4882" s="12"/>
      <c r="Q4882" s="12">
        <f>+(Tabla1[[#This Row],[COSTO COCHE]]/30)*Tabla1[[#This Row],[TOTAL DIAS PROYECTO]]</f>
        <v>0</v>
      </c>
      <c r="R4882" s="12">
        <f>+Tabla1[[#This Row],[COSTO TOTAL ALOJAMIENTO]]+Tabla1[[#This Row],[COSTO TOTAL COCHE]]</f>
        <v>133.33333333333334</v>
      </c>
      <c r="S4882" s="2"/>
      <c r="T4882" s="14" t="s">
        <v>44</v>
      </c>
      <c r="U4882" s="14">
        <v>46081</v>
      </c>
      <c r="V4882" s="25">
        <v>46093</v>
      </c>
      <c r="W4882" s="12"/>
      <c r="X4882" s="2"/>
      <c r="Y4882" s="11"/>
      <c r="Z4882" s="2" t="s">
        <v>36</v>
      </c>
      <c r="AA4882" s="13" t="s">
        <v>10389</v>
      </c>
      <c r="AB4882" s="13" t="s">
        <v>10390</v>
      </c>
    </row>
    <row r="4883" spans="1:28" ht="15" customHeight="1">
      <c r="A4883" s="2" t="s">
        <v>9475</v>
      </c>
      <c r="B4883" s="2" t="s">
        <v>606</v>
      </c>
      <c r="C4883" s="69" t="s">
        <v>3329</v>
      </c>
      <c r="D4883" s="2" t="s">
        <v>30</v>
      </c>
      <c r="E4883" s="2" t="s">
        <v>100</v>
      </c>
      <c r="F4883" s="11" t="s">
        <v>7002</v>
      </c>
      <c r="G4883" s="21" t="s">
        <v>7003</v>
      </c>
      <c r="H4883" s="2" t="s">
        <v>5367</v>
      </c>
      <c r="I4883" s="12" t="s">
        <v>42</v>
      </c>
      <c r="J4883" s="41">
        <f>+Tabla1[[#This Row],[FECHA ENTRADA]]</f>
        <v>45977</v>
      </c>
      <c r="K4883" s="41">
        <v>46093</v>
      </c>
      <c r="L4883" s="42">
        <f>_xlfn.DAYS(Tabla1[[#This Row],[FECHA FIN ]],Tabla1[[#This Row],[FECHA INICIO]])</f>
        <v>116</v>
      </c>
      <c r="M4883" s="12">
        <v>446.57</v>
      </c>
      <c r="N4883" s="28"/>
      <c r="O4883" s="28">
        <f>(Tabla1[[#This Row],[COSTO FIJO ]]/30)*Tabla1[[#This Row],[TOTAL DIAS PROYECTO]]+(Tabla1[[#This Row],[COSTO TEMPORAL]])</f>
        <v>446.57</v>
      </c>
      <c r="P4883" s="12"/>
      <c r="Q4883" s="12">
        <f>+(Tabla1[[#This Row],[COSTO COCHE]]/30)*Tabla1[[#This Row],[TOTAL DIAS PROYECTO]]</f>
        <v>0</v>
      </c>
      <c r="R4883" s="12">
        <f>+Tabla1[[#This Row],[COSTO TOTAL ALOJAMIENTO]]+Tabla1[[#This Row],[COSTO TOTAL COCHE]]</f>
        <v>446.57</v>
      </c>
      <c r="S4883" s="2"/>
      <c r="T4883" s="14" t="s">
        <v>44</v>
      </c>
      <c r="U4883" s="14">
        <v>45977</v>
      </c>
      <c r="V4883" s="79">
        <v>46093</v>
      </c>
      <c r="W4883" s="71"/>
      <c r="X4883" s="2"/>
      <c r="Y4883" s="11" t="s">
        <v>7004</v>
      </c>
      <c r="Z4883" s="2" t="s">
        <v>36</v>
      </c>
      <c r="AA4883" s="13" t="s">
        <v>10338</v>
      </c>
      <c r="AB4883" s="13">
        <v>3718817</v>
      </c>
    </row>
    <row r="4884" spans="1:28" ht="15" customHeight="1">
      <c r="A4884" s="2" t="s">
        <v>9921</v>
      </c>
      <c r="B4884" s="2" t="s">
        <v>711</v>
      </c>
      <c r="C4884" s="97" t="s">
        <v>5451</v>
      </c>
      <c r="D4884" s="2" t="s">
        <v>99</v>
      </c>
      <c r="E4884" s="2" t="s">
        <v>253</v>
      </c>
      <c r="F4884" s="11" t="s">
        <v>4021</v>
      </c>
      <c r="G4884" t="s">
        <v>4072</v>
      </c>
      <c r="H4884" s="157" t="s">
        <v>5449</v>
      </c>
      <c r="I4884" s="158" t="s">
        <v>2321</v>
      </c>
      <c r="J4884" s="22">
        <f>+Tabla1[[#This Row],[FECHA ENTRADA]]</f>
        <v>45990</v>
      </c>
      <c r="K4884" s="22">
        <v>46028</v>
      </c>
      <c r="L4884" s="23">
        <f>_xlfn.DAYS(Tabla1[[#This Row],[FECHA FIN ]],Tabla1[[#This Row],[FECHA INICIO]])</f>
        <v>38</v>
      </c>
      <c r="M4884" s="12"/>
      <c r="N4884" s="20">
        <v>300</v>
      </c>
      <c r="O4884" s="24">
        <f>(Tabla1[[#This Row],[COSTO FIJO ]]/30)*Tabla1[[#This Row],[TOTAL DIAS PROYECTO]]+(Tabla1[[#This Row],[COSTO TEMPORAL]])</f>
        <v>380</v>
      </c>
      <c r="P4884" s="12"/>
      <c r="Q4884" s="12">
        <f>+(Tabla1[[#This Row],[COSTO COCHE]]/30)*Tabla1[[#This Row],[TOTAL DIAS PROYECTO]]</f>
        <v>0</v>
      </c>
      <c r="R4884" s="12">
        <f>+Tabla1[[#This Row],[COSTO TOTAL ALOJAMIENTO]]+Tabla1[[#This Row],[COSTO TOTAL COCHE]]</f>
        <v>380</v>
      </c>
      <c r="S4884" s="2"/>
      <c r="T4884" s="14" t="s">
        <v>35</v>
      </c>
      <c r="U4884" s="14">
        <v>45990</v>
      </c>
      <c r="V4884" s="79"/>
      <c r="W4884" s="12"/>
      <c r="X4884" s="2">
        <v>10</v>
      </c>
      <c r="Y4884" s="11" t="s">
        <v>7005</v>
      </c>
      <c r="Z4884" s="2" t="s">
        <v>36</v>
      </c>
      <c r="AA4884" s="13" t="s">
        <v>10357</v>
      </c>
      <c r="AB4884" s="13" t="s">
        <v>10358</v>
      </c>
    </row>
    <row r="4885" spans="1:28" ht="15" customHeight="1">
      <c r="A4885" s="2" t="s">
        <v>9781</v>
      </c>
      <c r="B4885" s="2" t="s">
        <v>711</v>
      </c>
      <c r="C4885" s="11" t="s">
        <v>4720</v>
      </c>
      <c r="D4885" s="2" t="s">
        <v>30</v>
      </c>
      <c r="E4885" s="2" t="s">
        <v>608</v>
      </c>
      <c r="F4885" s="11" t="s">
        <v>7006</v>
      </c>
      <c r="G4885" s="11" t="s">
        <v>7007</v>
      </c>
      <c r="H4885" s="2" t="s">
        <v>7008</v>
      </c>
      <c r="I4885" s="12" t="s">
        <v>570</v>
      </c>
      <c r="J4885" s="22">
        <f>+Tabla1[[#This Row],[FECHA ENTRADA]]</f>
        <v>46090</v>
      </c>
      <c r="K4885" s="22">
        <v>46094</v>
      </c>
      <c r="L4885" s="23">
        <f>_xlfn.DAYS(Tabla1[[#This Row],[FECHA FIN ]],Tabla1[[#This Row],[FECHA INICIO]])</f>
        <v>4</v>
      </c>
      <c r="M4885" s="12">
        <v>253</v>
      </c>
      <c r="N4885" s="20"/>
      <c r="O4885" s="24">
        <f>(Tabla1[[#This Row],[COSTO FIJO ]]/30)*Tabla1[[#This Row],[TOTAL DIAS PROYECTO]]+(Tabla1[[#This Row],[COSTO TEMPORAL]])</f>
        <v>253</v>
      </c>
      <c r="P4885" s="12"/>
      <c r="Q4885" s="12">
        <f>+(Tabla1[[#This Row],[COSTO COCHE]]/30)*Tabla1[[#This Row],[TOTAL DIAS PROYECTO]]</f>
        <v>0</v>
      </c>
      <c r="R4885" s="12">
        <f>+Tabla1[[#This Row],[COSTO TOTAL ALOJAMIENTO]]+Tabla1[[#This Row],[COSTO TOTAL COCHE]]</f>
        <v>253</v>
      </c>
      <c r="S4885" s="2"/>
      <c r="T4885" s="14" t="s">
        <v>528</v>
      </c>
      <c r="U4885" s="14">
        <v>46090</v>
      </c>
      <c r="V4885" s="25">
        <v>46094</v>
      </c>
      <c r="W4885" s="12"/>
      <c r="X4885" s="2"/>
      <c r="Y4885" s="11" t="s">
        <v>7009</v>
      </c>
      <c r="Z4885" s="2" t="s">
        <v>36</v>
      </c>
      <c r="AA4885" s="13" t="s">
        <v>10383</v>
      </c>
      <c r="AB4885" s="13" t="s">
        <v>10384</v>
      </c>
    </row>
    <row r="4886" spans="1:28">
      <c r="A4886" s="2" t="s">
        <v>9803</v>
      </c>
      <c r="B4886" s="2" t="s">
        <v>606</v>
      </c>
      <c r="C4886" s="31" t="s">
        <v>4817</v>
      </c>
      <c r="D4886" s="2" t="s">
        <v>99</v>
      </c>
      <c r="E4886" s="2" t="s">
        <v>213</v>
      </c>
      <c r="F4886" s="11" t="s">
        <v>1733</v>
      </c>
      <c r="G4886" s="21" t="s">
        <v>1734</v>
      </c>
      <c r="H4886" s="2" t="s">
        <v>6645</v>
      </c>
      <c r="I4886" s="12" t="s">
        <v>2190</v>
      </c>
      <c r="J4886" s="22">
        <f>+Tabla1[[#This Row],[FECHA ENTRADA]]</f>
        <v>46047</v>
      </c>
      <c r="K4886" s="22">
        <v>46094</v>
      </c>
      <c r="L4886" s="23">
        <f>_xlfn.DAYS(Tabla1[[#This Row],[FECHA FIN ]],Tabla1[[#This Row],[FECHA INICIO]])</f>
        <v>47</v>
      </c>
      <c r="M4886" s="12"/>
      <c r="N4886" s="12">
        <f>1461.19/4</f>
        <v>365.29750000000001</v>
      </c>
      <c r="O4886" s="24">
        <f>(Tabla1[[#This Row],[COSTO FIJO ]]/30)*Tabla1[[#This Row],[TOTAL DIAS PROYECTO]]+(Tabla1[[#This Row],[COSTO TEMPORAL]])</f>
        <v>572.29941666666662</v>
      </c>
      <c r="P4886" s="12"/>
      <c r="Q4886" s="12">
        <f>+(Tabla1[[#This Row],[COSTO COCHE]]/30)*Tabla1[[#This Row],[TOTAL DIAS PROYECTO]]</f>
        <v>0</v>
      </c>
      <c r="R4886" s="12">
        <f>+Tabla1[[#This Row],[COSTO TOTAL ALOJAMIENTO]]+Tabla1[[#This Row],[COSTO TOTAL COCHE]]</f>
        <v>572.29941666666662</v>
      </c>
      <c r="S4886" s="2"/>
      <c r="T4886" s="14" t="s">
        <v>35</v>
      </c>
      <c r="U4886" s="14">
        <v>46047</v>
      </c>
      <c r="V4886" s="79"/>
      <c r="W4886" s="12">
        <v>200</v>
      </c>
      <c r="X4886" s="2">
        <v>20</v>
      </c>
      <c r="Y4886" s="11" t="s">
        <v>7010</v>
      </c>
      <c r="Z4886" s="2" t="s">
        <v>36</v>
      </c>
      <c r="AA4886" s="13" t="s">
        <v>10349</v>
      </c>
      <c r="AB4886" s="13" t="s">
        <v>10350</v>
      </c>
    </row>
    <row r="4887" spans="1:28" ht="15" customHeight="1">
      <c r="A4887" s="117" t="s">
        <v>9065</v>
      </c>
      <c r="B4887" s="117" t="s">
        <v>711</v>
      </c>
      <c r="C4887" s="101" t="s">
        <v>1850</v>
      </c>
      <c r="D4887" s="117" t="s">
        <v>30</v>
      </c>
      <c r="E4887" s="117" t="s">
        <v>253</v>
      </c>
      <c r="F4887" s="11" t="s">
        <v>4021</v>
      </c>
      <c r="G4887" s="251" t="s">
        <v>4072</v>
      </c>
      <c r="H4887" s="117" t="s">
        <v>7011</v>
      </c>
      <c r="I4887" s="119" t="s">
        <v>2321</v>
      </c>
      <c r="J4887" s="121">
        <f>+Tabla1[[#This Row],[FECHA ENTRADA]]</f>
        <v>46034</v>
      </c>
      <c r="K4887" s="121">
        <v>46094</v>
      </c>
      <c r="L4887" s="129">
        <f>_xlfn.DAYS(Tabla1[[#This Row],[FECHA FIN ]],Tabla1[[#This Row],[FECHA INICIO]])</f>
        <v>60</v>
      </c>
      <c r="M4887" s="119"/>
      <c r="N4887" s="131">
        <v>450</v>
      </c>
      <c r="O4887" s="131">
        <f>(Tabla1[[#This Row],[COSTO FIJO ]]/30)*Tabla1[[#This Row],[TOTAL DIAS PROYECTO]]+(Tabla1[[#This Row],[COSTO TEMPORAL]])</f>
        <v>900</v>
      </c>
      <c r="P4887" s="119"/>
      <c r="Q4887" s="119">
        <f>+(Tabla1[[#This Row],[COSTO COCHE]]/30)*Tabla1[[#This Row],[TOTAL DIAS PROYECTO]]</f>
        <v>0</v>
      </c>
      <c r="R4887" s="119">
        <f>+Tabla1[[#This Row],[COSTO TOTAL ALOJAMIENTO]]+Tabla1[[#This Row],[COSTO TOTAL COCHE]]</f>
        <v>900</v>
      </c>
      <c r="S4887" s="117"/>
      <c r="T4887" s="124" t="s">
        <v>35</v>
      </c>
      <c r="U4887" s="124">
        <v>46034</v>
      </c>
      <c r="V4887" s="132"/>
      <c r="W4887" s="119"/>
      <c r="X4887" s="117">
        <v>10</v>
      </c>
      <c r="Y4887" s="118" t="s">
        <v>7012</v>
      </c>
      <c r="Z4887" s="117" t="s">
        <v>36</v>
      </c>
      <c r="AA4887" s="127" t="s">
        <v>10357</v>
      </c>
      <c r="AB4887" s="127" t="s">
        <v>10358</v>
      </c>
    </row>
    <row r="4888" spans="1:28" ht="15" customHeight="1">
      <c r="A4888" s="2" t="s">
        <v>8735</v>
      </c>
      <c r="B4888" s="2" t="s">
        <v>606</v>
      </c>
      <c r="C4888" s="212" t="s">
        <v>501</v>
      </c>
      <c r="D4888" s="2" t="s">
        <v>30</v>
      </c>
      <c r="E4888" s="2" t="s">
        <v>31</v>
      </c>
      <c r="F4888" s="11" t="s">
        <v>715</v>
      </c>
      <c r="G4888" s="11" t="s">
        <v>716</v>
      </c>
      <c r="H4888" s="2" t="s">
        <v>6519</v>
      </c>
      <c r="I4888" s="12" t="s">
        <v>2391</v>
      </c>
      <c r="J4888" s="22">
        <f>+Tabla1[[#This Row],[FECHA ENTRADA]]</f>
        <v>46040</v>
      </c>
      <c r="K4888" s="22">
        <v>46095</v>
      </c>
      <c r="L4888" s="23">
        <f>_xlfn.DAYS(Tabla1[[#This Row],[FECHA FIN ]],Tabla1[[#This Row],[FECHA INICIO]])</f>
        <v>55</v>
      </c>
      <c r="M4888" s="12"/>
      <c r="N4888" s="12">
        <v>160</v>
      </c>
      <c r="O4888" s="24">
        <f>(Tabla1[[#This Row],[COSTO FIJO ]]/30)*Tabla1[[#This Row],[TOTAL DIAS PROYECTO]]+(Tabla1[[#This Row],[COSTO TEMPORAL]])</f>
        <v>293.33333333333331</v>
      </c>
      <c r="P4888" s="12"/>
      <c r="Q4888" s="12">
        <f>+(Tabla1[[#This Row],[COSTO COCHE]]/30)*Tabla1[[#This Row],[TOTAL DIAS PROYECTO]]</f>
        <v>0</v>
      </c>
      <c r="R4888" s="12">
        <f>+Tabla1[[#This Row],[COSTO TOTAL ALOJAMIENTO]]+Tabla1[[#This Row],[COSTO TOTAL COCHE]]</f>
        <v>293.33333333333331</v>
      </c>
      <c r="S4888" s="2"/>
      <c r="T4888" s="14" t="s">
        <v>35</v>
      </c>
      <c r="U4888" s="14">
        <v>46040</v>
      </c>
      <c r="V4888" s="79"/>
      <c r="W4888" s="12"/>
      <c r="X4888" s="2">
        <v>1</v>
      </c>
      <c r="Y4888" s="11" t="s">
        <v>7013</v>
      </c>
      <c r="Z4888" s="2" t="s">
        <v>36</v>
      </c>
      <c r="AA4888" s="13" t="s">
        <v>10323</v>
      </c>
      <c r="AB4888" s="13" t="s">
        <v>10324</v>
      </c>
    </row>
    <row r="4889" spans="1:28" ht="15" customHeight="1">
      <c r="A4889" s="2" t="s">
        <v>9195</v>
      </c>
      <c r="B4889" s="2" t="s">
        <v>711</v>
      </c>
      <c r="C4889" s="239" t="s">
        <v>2400</v>
      </c>
      <c r="D4889" s="2" t="s">
        <v>99</v>
      </c>
      <c r="E4889" s="2" t="s">
        <v>985</v>
      </c>
      <c r="F4889" s="11" t="s">
        <v>6092</v>
      </c>
      <c r="G4889" t="s">
        <v>6093</v>
      </c>
      <c r="H4889" s="2" t="s">
        <v>2401</v>
      </c>
      <c r="I4889" s="314" t="s">
        <v>989</v>
      </c>
      <c r="J4889" s="22">
        <f>+Tabla1[[#This Row],[FECHA ENTRADA]]</f>
        <v>45951</v>
      </c>
      <c r="K4889" s="22">
        <v>46095</v>
      </c>
      <c r="L4889" s="23">
        <f>_xlfn.DAYS(Tabla1[[#This Row],[FECHA FIN ]],Tabla1[[#This Row],[FECHA INICIO]])</f>
        <v>144</v>
      </c>
      <c r="M4889" s="12">
        <v>1050</v>
      </c>
      <c r="N4889" s="24"/>
      <c r="O4889" s="24">
        <f>(Tabla1[[#This Row],[COSTO FIJO ]]/30)*Tabla1[[#This Row],[TOTAL DIAS PROYECTO]]+(Tabla1[[#This Row],[COSTO TEMPORAL]])</f>
        <v>1050</v>
      </c>
      <c r="P4889" s="12"/>
      <c r="Q4889" s="12">
        <f>+(Tabla1[[#This Row],[COSTO COCHE]]/30)*Tabla1[[#This Row],[TOTAL DIAS PROYECTO]]</f>
        <v>0</v>
      </c>
      <c r="R4889" s="12">
        <f>+Tabla1[[#This Row],[COSTO TOTAL ALOJAMIENTO]]+Tabla1[[#This Row],[COSTO TOTAL COCHE]]</f>
        <v>1050</v>
      </c>
      <c r="S4889" s="2"/>
      <c r="T4889" s="14" t="s">
        <v>44</v>
      </c>
      <c r="U4889" s="14">
        <v>45951</v>
      </c>
      <c r="V4889" s="25">
        <v>46095</v>
      </c>
      <c r="W4889" s="71"/>
      <c r="X4889" s="2"/>
      <c r="Y4889" s="11" t="s">
        <v>7014</v>
      </c>
      <c r="Z4889" s="2" t="s">
        <v>36</v>
      </c>
      <c r="AA4889" s="13" t="s">
        <v>10407</v>
      </c>
      <c r="AB4889" s="13" t="s">
        <v>10408</v>
      </c>
    </row>
    <row r="4890" spans="1:28" ht="15" customHeight="1">
      <c r="A4890" s="2" t="s">
        <v>9782</v>
      </c>
      <c r="B4890" s="2" t="s">
        <v>711</v>
      </c>
      <c r="C4890" s="11" t="s">
        <v>4725</v>
      </c>
      <c r="D4890" s="2" t="s">
        <v>99</v>
      </c>
      <c r="E4890" s="2" t="s">
        <v>626</v>
      </c>
      <c r="F4890" s="11" t="s">
        <v>6744</v>
      </c>
      <c r="G4890" s="128" t="s">
        <v>6745</v>
      </c>
      <c r="H4890" s="2" t="s">
        <v>7015</v>
      </c>
      <c r="I4890" s="12" t="s">
        <v>570</v>
      </c>
      <c r="J4890" s="22">
        <f>+Tabla1[[#This Row],[FECHA ENTRADA]]</f>
        <v>46053</v>
      </c>
      <c r="K4890" s="22">
        <v>46096</v>
      </c>
      <c r="L4890" s="23">
        <f>_xlfn.DAYS(Tabla1[[#This Row],[FECHA FIN ]],Tabla1[[#This Row],[FECHA INICIO]])</f>
        <v>43</v>
      </c>
      <c r="M4890" s="12"/>
      <c r="N4890" s="20">
        <v>433.33333333333331</v>
      </c>
      <c r="O4890" s="24">
        <f>(Tabla1[[#This Row],[COSTO FIJO ]]/30)*Tabla1[[#This Row],[TOTAL DIAS PROYECTO]]+(Tabla1[[#This Row],[COSTO TEMPORAL]])</f>
        <v>621.11111111111109</v>
      </c>
      <c r="P4890" s="12"/>
      <c r="Q4890" s="12">
        <f>+(Tabla1[[#This Row],[COSTO COCHE]]/30)*Tabla1[[#This Row],[TOTAL DIAS PROYECTO]]</f>
        <v>0</v>
      </c>
      <c r="R4890" s="12">
        <f>+Tabla1[[#This Row],[COSTO TOTAL ALOJAMIENTO]]+Tabla1[[#This Row],[COSTO TOTAL COCHE]]</f>
        <v>621.11111111111109</v>
      </c>
      <c r="S4890" s="2"/>
      <c r="T4890" s="14" t="s">
        <v>35</v>
      </c>
      <c r="U4890" s="14">
        <v>46053</v>
      </c>
      <c r="V4890" s="79"/>
      <c r="W4890" s="12">
        <v>500</v>
      </c>
      <c r="X4890" s="2">
        <v>1</v>
      </c>
      <c r="Y4890" s="11" t="s">
        <v>7016</v>
      </c>
      <c r="Z4890" s="2" t="s">
        <v>36</v>
      </c>
      <c r="AA4890" s="13" t="s">
        <v>10385</v>
      </c>
      <c r="AB4890" s="13" t="s">
        <v>10386</v>
      </c>
    </row>
    <row r="4891" spans="1:28" ht="15" customHeight="1">
      <c r="A4891" s="2" t="s">
        <v>9812</v>
      </c>
      <c r="B4891" s="2" t="s">
        <v>711</v>
      </c>
      <c r="C4891" s="11" t="s">
        <v>4866</v>
      </c>
      <c r="D4891" s="2" t="s">
        <v>99</v>
      </c>
      <c r="E4891" s="2" t="s">
        <v>626</v>
      </c>
      <c r="F4891" s="11" t="s">
        <v>6744</v>
      </c>
      <c r="G4891" s="128" t="s">
        <v>6745</v>
      </c>
      <c r="H4891" s="2" t="s">
        <v>4731</v>
      </c>
      <c r="I4891" s="12" t="s">
        <v>570</v>
      </c>
      <c r="J4891" s="22">
        <f>+Tabla1[[#This Row],[FECHA ENTRADA]]</f>
        <v>46053</v>
      </c>
      <c r="K4891" s="22">
        <v>46096</v>
      </c>
      <c r="L4891" s="23">
        <f>_xlfn.DAYS(Tabla1[[#This Row],[FECHA FIN ]],Tabla1[[#This Row],[FECHA INICIO]])</f>
        <v>43</v>
      </c>
      <c r="M4891" s="12"/>
      <c r="N4891" s="20">
        <v>433.33333333333331</v>
      </c>
      <c r="O4891" s="24">
        <f>(Tabla1[[#This Row],[COSTO FIJO ]]/30)*Tabla1[[#This Row],[TOTAL DIAS PROYECTO]]+(Tabla1[[#This Row],[COSTO TEMPORAL]])</f>
        <v>621.11111111111109</v>
      </c>
      <c r="P4891" s="12"/>
      <c r="Q4891" s="12">
        <f>+(Tabla1[[#This Row],[COSTO COCHE]]/30)*Tabla1[[#This Row],[TOTAL DIAS PROYECTO]]</f>
        <v>0</v>
      </c>
      <c r="R4891" s="12">
        <f>+Tabla1[[#This Row],[COSTO TOTAL ALOJAMIENTO]]+Tabla1[[#This Row],[COSTO TOTAL COCHE]]</f>
        <v>621.11111111111109</v>
      </c>
      <c r="S4891" s="2"/>
      <c r="T4891" s="14" t="s">
        <v>35</v>
      </c>
      <c r="U4891" s="14">
        <v>46053</v>
      </c>
      <c r="V4891" s="79"/>
      <c r="W4891" s="12"/>
      <c r="X4891" s="2">
        <v>1</v>
      </c>
      <c r="Y4891" s="11" t="s">
        <v>7017</v>
      </c>
      <c r="Z4891" s="2" t="s">
        <v>36</v>
      </c>
      <c r="AA4891" s="13" t="s">
        <v>10385</v>
      </c>
      <c r="AB4891" s="13" t="s">
        <v>10386</v>
      </c>
    </row>
    <row r="4892" spans="1:28" ht="15" customHeight="1">
      <c r="A4892" s="2" t="s">
        <v>9336</v>
      </c>
      <c r="B4892" s="2" t="s">
        <v>711</v>
      </c>
      <c r="C4892" s="11" t="s">
        <v>2850</v>
      </c>
      <c r="D4892" s="2" t="s">
        <v>99</v>
      </c>
      <c r="E4892" s="2" t="s">
        <v>626</v>
      </c>
      <c r="F4892" s="11" t="s">
        <v>6744</v>
      </c>
      <c r="G4892" s="128" t="s">
        <v>6745</v>
      </c>
      <c r="H4892" s="2" t="s">
        <v>7018</v>
      </c>
      <c r="I4892" s="12" t="s">
        <v>570</v>
      </c>
      <c r="J4892" s="41">
        <f>+Tabla1[[#This Row],[FECHA ENTRADA]]</f>
        <v>46070</v>
      </c>
      <c r="K4892" s="22">
        <v>46096</v>
      </c>
      <c r="L4892" s="42">
        <f>_xlfn.DAYS(Tabla1[[#This Row],[FECHA FIN ]],Tabla1[[#This Row],[FECHA INICIO]])</f>
        <v>26</v>
      </c>
      <c r="M4892" s="12"/>
      <c r="N4892" s="20">
        <v>433.33333333333331</v>
      </c>
      <c r="O4892" s="28">
        <f>(Tabla1[[#This Row],[COSTO FIJO ]]/30)*Tabla1[[#This Row],[TOTAL DIAS PROYECTO]]+(Tabla1[[#This Row],[COSTO TEMPORAL]])</f>
        <v>375.55555555555554</v>
      </c>
      <c r="P4892" s="12"/>
      <c r="Q4892" s="12">
        <f>+(Tabla1[[#This Row],[COSTO COCHE]]/30)*Tabla1[[#This Row],[TOTAL DIAS PROYECTO]]</f>
        <v>0</v>
      </c>
      <c r="R4892" s="12">
        <f>+Tabla1[[#This Row],[COSTO TOTAL ALOJAMIENTO]]+Tabla1[[#This Row],[COSTO TOTAL COCHE]]</f>
        <v>375.55555555555554</v>
      </c>
      <c r="S4892" s="2"/>
      <c r="T4892" s="14" t="s">
        <v>35</v>
      </c>
      <c r="U4892" s="14">
        <v>46070</v>
      </c>
      <c r="V4892" s="43"/>
      <c r="W4892" s="12"/>
      <c r="X4892" s="2">
        <v>1</v>
      </c>
      <c r="Y4892" s="11" t="s">
        <v>7016</v>
      </c>
      <c r="Z4892" s="2" t="s">
        <v>36</v>
      </c>
      <c r="AA4892" s="13" t="s">
        <v>10385</v>
      </c>
      <c r="AB4892" s="13" t="s">
        <v>10386</v>
      </c>
    </row>
    <row r="4893" spans="1:28" ht="15" customHeight="1">
      <c r="A4893" s="2" t="s">
        <v>9969</v>
      </c>
      <c r="B4893" s="2" t="s">
        <v>711</v>
      </c>
      <c r="C4893" s="31" t="s">
        <v>5774</v>
      </c>
      <c r="D4893" s="2" t="s">
        <v>30</v>
      </c>
      <c r="E4893" s="2" t="s">
        <v>253</v>
      </c>
      <c r="F4893" s="11" t="s">
        <v>1261</v>
      </c>
      <c r="G4893" s="118" t="s">
        <v>772</v>
      </c>
      <c r="H4893" s="2" t="s">
        <v>7019</v>
      </c>
      <c r="I4893" s="12" t="s">
        <v>7020</v>
      </c>
      <c r="J4893" s="22">
        <f>+Tabla1[[#This Row],[FECHA ENTRADA]]</f>
        <v>45995</v>
      </c>
      <c r="K4893" s="22">
        <v>46096</v>
      </c>
      <c r="L4893" s="23">
        <f>_xlfn.DAYS(Tabla1[[#This Row],[FECHA FIN ]],Tabla1[[#This Row],[FECHA INICIO]])</f>
        <v>101</v>
      </c>
      <c r="M4893" s="12"/>
      <c r="N4893" s="20">
        <v>320</v>
      </c>
      <c r="O4893" s="24">
        <f>(Tabla1[[#This Row],[COSTO FIJO ]]/30)*Tabla1[[#This Row],[TOTAL DIAS PROYECTO]]+(Tabla1[[#This Row],[COSTO TEMPORAL]])</f>
        <v>1077.3333333333333</v>
      </c>
      <c r="P4893" s="12"/>
      <c r="Q4893" s="12">
        <f>+(Tabla1[[#This Row],[COSTO COCHE]]/30)*Tabla1[[#This Row],[TOTAL DIAS PROYECTO]]</f>
        <v>0</v>
      </c>
      <c r="R4893" s="12">
        <f>+Tabla1[[#This Row],[COSTO TOTAL ALOJAMIENTO]]+Tabla1[[#This Row],[COSTO TOTAL COCHE]]</f>
        <v>1077.3333333333333</v>
      </c>
      <c r="S4893" s="2"/>
      <c r="T4893" s="14" t="s">
        <v>35</v>
      </c>
      <c r="U4893" s="14">
        <v>45995</v>
      </c>
      <c r="V4893" s="79"/>
      <c r="W4893" s="12"/>
      <c r="X4893" s="2">
        <v>5</v>
      </c>
      <c r="Y4893" s="11" t="s">
        <v>7021</v>
      </c>
      <c r="Z4893" s="2" t="s">
        <v>36</v>
      </c>
      <c r="AA4893" s="13" t="s">
        <v>10357</v>
      </c>
      <c r="AB4893" s="13" t="s">
        <v>10358</v>
      </c>
    </row>
    <row r="4894" spans="1:28" ht="15" customHeight="1">
      <c r="A4894" s="2" t="s">
        <v>9800</v>
      </c>
      <c r="B4894" s="2" t="s">
        <v>368</v>
      </c>
      <c r="C4894" s="11" t="s">
        <v>4803</v>
      </c>
      <c r="D4894" s="2" t="s">
        <v>30</v>
      </c>
      <c r="E4894" s="2" t="s">
        <v>109</v>
      </c>
      <c r="F4894" s="11" t="s">
        <v>4434</v>
      </c>
      <c r="G4894" s="49">
        <v>973266788</v>
      </c>
      <c r="H4894" s="2" t="s">
        <v>5475</v>
      </c>
      <c r="I4894" s="12" t="s">
        <v>42</v>
      </c>
      <c r="J4894" s="41">
        <f>+Tabla1[[#This Row],[FECHA ENTRADA]]</f>
        <v>45924</v>
      </c>
      <c r="K4894" s="22">
        <v>45929</v>
      </c>
      <c r="L4894" s="42">
        <f>_xlfn.DAYS(Tabla1[[#This Row],[FECHA FIN ]],Tabla1[[#This Row],[FECHA INICIO]])</f>
        <v>5</v>
      </c>
      <c r="M4894" s="12"/>
      <c r="N4894" s="12"/>
      <c r="O4894" s="28">
        <f>(Tabla1[[#This Row],[COSTO FIJO ]]/30)*Tabla1[[#This Row],[TOTAL DIAS PROYECTO]]+(Tabla1[[#This Row],[COSTO TEMPORAL]])</f>
        <v>0</v>
      </c>
      <c r="P4894" s="12"/>
      <c r="Q4894" s="12">
        <f>+(Tabla1[[#This Row],[COSTO COCHE]]/30)*Tabla1[[#This Row],[TOTAL DIAS PROYECTO]]</f>
        <v>0</v>
      </c>
      <c r="R4894" s="12">
        <f>+Tabla1[[#This Row],[COSTO TOTAL ALOJAMIENTO]]+Tabla1[[#This Row],[COSTO TOTAL COCHE]]</f>
        <v>0</v>
      </c>
      <c r="S4894" s="2"/>
      <c r="T4894" s="14" t="s">
        <v>44</v>
      </c>
      <c r="U4894" s="14">
        <v>45924</v>
      </c>
      <c r="V4894" s="25">
        <v>45929</v>
      </c>
      <c r="W4894" s="71"/>
      <c r="X4894" s="2"/>
      <c r="Y4894" s="11" t="s">
        <v>7022</v>
      </c>
      <c r="Z4894" s="2" t="s">
        <v>36</v>
      </c>
      <c r="AA4894" s="13">
        <v>0.62217999999999996</v>
      </c>
      <c r="AB4894" s="13" t="s">
        <v>10339</v>
      </c>
    </row>
    <row r="4895" spans="1:28" ht="15" customHeight="1">
      <c r="A4895" s="2" t="s">
        <v>10069</v>
      </c>
      <c r="B4895" s="2" t="s">
        <v>711</v>
      </c>
      <c r="C4895" s="31" t="s">
        <v>6190</v>
      </c>
      <c r="D4895" s="2" t="s">
        <v>30</v>
      </c>
      <c r="E4895" s="2" t="s">
        <v>253</v>
      </c>
      <c r="F4895" s="11" t="s">
        <v>7023</v>
      </c>
      <c r="G4895" s="128" t="s">
        <v>1689</v>
      </c>
      <c r="H4895" s="2" t="s">
        <v>6191</v>
      </c>
      <c r="I4895" s="12" t="s">
        <v>2321</v>
      </c>
      <c r="J4895" s="22">
        <f>+Tabla1[[#This Row],[FECHA ENTRADA]]</f>
        <v>45982</v>
      </c>
      <c r="K4895" s="22">
        <v>46096</v>
      </c>
      <c r="L4895" s="23">
        <f>_xlfn.DAYS(Tabla1[[#This Row],[FECHA FIN ]],Tabla1[[#This Row],[FECHA INICIO]])</f>
        <v>114</v>
      </c>
      <c r="M4895" s="12"/>
      <c r="N4895" s="20">
        <v>500</v>
      </c>
      <c r="O4895" s="24">
        <f>(Tabla1[[#This Row],[COSTO FIJO ]]/30)*Tabla1[[#This Row],[TOTAL DIAS PROYECTO]]+(Tabla1[[#This Row],[COSTO TEMPORAL]])</f>
        <v>1900.0000000000002</v>
      </c>
      <c r="P4895" s="12"/>
      <c r="Q4895" s="12">
        <f>+(Tabla1[[#This Row],[COSTO COCHE]]/30)*Tabla1[[#This Row],[TOTAL DIAS PROYECTO]]</f>
        <v>0</v>
      </c>
      <c r="R4895" s="12">
        <f>+Tabla1[[#This Row],[COSTO TOTAL ALOJAMIENTO]]+Tabla1[[#This Row],[COSTO TOTAL COCHE]]</f>
        <v>1900.0000000000002</v>
      </c>
      <c r="S4895" s="2"/>
      <c r="T4895" s="14" t="s">
        <v>35</v>
      </c>
      <c r="U4895" s="14">
        <v>45982</v>
      </c>
      <c r="V4895" s="79"/>
      <c r="W4895" s="71">
        <v>300</v>
      </c>
      <c r="X4895" s="2">
        <v>18</v>
      </c>
      <c r="Y4895" s="11" t="s">
        <v>7024</v>
      </c>
      <c r="Z4895" s="2" t="s">
        <v>36</v>
      </c>
      <c r="AA4895" s="13" t="s">
        <v>10357</v>
      </c>
      <c r="AB4895" s="13" t="s">
        <v>10358</v>
      </c>
    </row>
    <row r="4896" spans="1:28">
      <c r="A4896" s="2" t="s">
        <v>8642</v>
      </c>
      <c r="B4896" s="2" t="s">
        <v>711</v>
      </c>
      <c r="C4896" s="31" t="s">
        <v>7025</v>
      </c>
      <c r="D4896" s="2" t="s">
        <v>30</v>
      </c>
      <c r="E4896" s="2" t="s">
        <v>648</v>
      </c>
      <c r="F4896" s="11" t="s">
        <v>6509</v>
      </c>
      <c r="G4896" s="46"/>
      <c r="H4896" s="2" t="s">
        <v>6510</v>
      </c>
      <c r="I4896" s="12" t="s">
        <v>96</v>
      </c>
      <c r="J4896" s="41">
        <f>+Tabla1[[#This Row],[FECHA ENTRADA]]</f>
        <v>46173</v>
      </c>
      <c r="K4896" s="22">
        <v>46203</v>
      </c>
      <c r="L4896" s="42">
        <f>_xlfn.DAYS(Tabla1[[#This Row],[FECHA FIN ]],Tabla1[[#This Row],[FECHA INICIO]])</f>
        <v>30</v>
      </c>
      <c r="M4896" s="12"/>
      <c r="N4896" s="28">
        <v>0</v>
      </c>
      <c r="O4896" s="28">
        <f>(Tabla1[[#This Row],[COSTO FIJO ]]/30)*Tabla1[[#This Row],[TOTAL DIAS PROYECTO]]+(Tabla1[[#This Row],[COSTO TEMPORAL]])</f>
        <v>0</v>
      </c>
      <c r="P4896" s="12"/>
      <c r="Q4896" s="12">
        <f>+(Tabla1[[#This Row],[COSTO COCHE]]/30)*Tabla1[[#This Row],[TOTAL DIAS PROYECTO]]</f>
        <v>0</v>
      </c>
      <c r="R4896" s="12">
        <f>+Tabla1[[#This Row],[COSTO TOTAL ALOJAMIENTO]]+Tabla1[[#This Row],[COSTO TOTAL COCHE]]</f>
        <v>0</v>
      </c>
      <c r="S4896" s="2"/>
      <c r="T4896" s="14" t="s">
        <v>8</v>
      </c>
      <c r="U4896" s="14">
        <v>46173</v>
      </c>
      <c r="V4896" s="43"/>
      <c r="W4896" s="12"/>
      <c r="X4896" s="2"/>
      <c r="Y4896" s="11" t="s">
        <v>7026</v>
      </c>
      <c r="Z4896" s="2" t="s">
        <v>36</v>
      </c>
      <c r="AA4896" s="13" t="s">
        <v>10387</v>
      </c>
      <c r="AB4896" s="13" t="s">
        <v>10388</v>
      </c>
    </row>
    <row r="4897" spans="1:28" ht="15" customHeight="1">
      <c r="A4897" s="117" t="s">
        <v>9172</v>
      </c>
      <c r="B4897" s="117" t="s">
        <v>711</v>
      </c>
      <c r="C4897" s="118" t="s">
        <v>2312</v>
      </c>
      <c r="D4897" s="117" t="s">
        <v>30</v>
      </c>
      <c r="E4897" s="117" t="s">
        <v>1514</v>
      </c>
      <c r="F4897" s="11" t="s">
        <v>7027</v>
      </c>
      <c r="G4897" s="128" t="s">
        <v>7028</v>
      </c>
      <c r="H4897" s="117" t="s">
        <v>7029</v>
      </c>
      <c r="I4897" s="119" t="s">
        <v>1392</v>
      </c>
      <c r="J4897" s="121">
        <f>+Tabla1[[#This Row],[FECHA ENTRADA]]</f>
        <v>46054</v>
      </c>
      <c r="K4897" s="121">
        <v>46096</v>
      </c>
      <c r="L4897" s="129">
        <f>_xlfn.DAYS(Tabla1[[#This Row],[FECHA FIN ]],Tabla1[[#This Row],[FECHA INICIO]])</f>
        <v>42</v>
      </c>
      <c r="M4897" s="119">
        <f t="shared" ref="M4897:M4908" si="5">5325.14/12</f>
        <v>443.76166666666671</v>
      </c>
      <c r="N4897" s="131"/>
      <c r="O4897" s="131">
        <f>(Tabla1[[#This Row],[COSTO FIJO ]]/30)*Tabla1[[#This Row],[TOTAL DIAS PROYECTO]]+(Tabla1[[#This Row],[COSTO TEMPORAL]])</f>
        <v>443.76166666666671</v>
      </c>
      <c r="P4897" s="119"/>
      <c r="Q4897" s="119">
        <f>+(Tabla1[[#This Row],[COSTO COCHE]]/30)*Tabla1[[#This Row],[TOTAL DIAS PROYECTO]]</f>
        <v>0</v>
      </c>
      <c r="R4897" s="119">
        <f>+Tabla1[[#This Row],[COSTO TOTAL ALOJAMIENTO]]+Tabla1[[#This Row],[COSTO TOTAL COCHE]]</f>
        <v>443.76166666666671</v>
      </c>
      <c r="S4897" s="117" t="s">
        <v>84</v>
      </c>
      <c r="T4897" s="124" t="s">
        <v>44</v>
      </c>
      <c r="U4897" s="124">
        <v>46054</v>
      </c>
      <c r="V4897" s="125">
        <v>46096</v>
      </c>
      <c r="W4897" s="119"/>
      <c r="X4897" s="117"/>
      <c r="Y4897" s="118" t="s">
        <v>7030</v>
      </c>
      <c r="Z4897" s="117" t="s">
        <v>36</v>
      </c>
      <c r="AA4897" s="127" t="s">
        <v>10424</v>
      </c>
      <c r="AB4897" s="127">
        <v>398581</v>
      </c>
    </row>
    <row r="4898" spans="1:28" ht="15" customHeight="1">
      <c r="A4898" s="117" t="s">
        <v>10188</v>
      </c>
      <c r="B4898" s="117" t="s">
        <v>711</v>
      </c>
      <c r="C4898" s="118" t="s">
        <v>7031</v>
      </c>
      <c r="D4898" s="117" t="s">
        <v>30</v>
      </c>
      <c r="E4898" s="117" t="s">
        <v>1514</v>
      </c>
      <c r="F4898" s="11" t="s">
        <v>7027</v>
      </c>
      <c r="G4898" s="197" t="s">
        <v>7028</v>
      </c>
      <c r="H4898" s="117" t="s">
        <v>7029</v>
      </c>
      <c r="I4898" s="119" t="s">
        <v>1392</v>
      </c>
      <c r="J4898" s="121">
        <f>+Tabla1[[#This Row],[FECHA ENTRADA]]</f>
        <v>46054</v>
      </c>
      <c r="K4898" s="121">
        <v>46096</v>
      </c>
      <c r="L4898" s="129">
        <f>_xlfn.DAYS(Tabla1[[#This Row],[FECHA FIN ]],Tabla1[[#This Row],[FECHA INICIO]])</f>
        <v>42</v>
      </c>
      <c r="M4898" s="119">
        <f t="shared" si="5"/>
        <v>443.76166666666671</v>
      </c>
      <c r="N4898" s="131"/>
      <c r="O4898" s="131">
        <f>(Tabla1[[#This Row],[COSTO FIJO ]]/30)*Tabla1[[#This Row],[TOTAL DIAS PROYECTO]]+(Tabla1[[#This Row],[COSTO TEMPORAL]])</f>
        <v>443.76166666666671</v>
      </c>
      <c r="P4898" s="119"/>
      <c r="Q4898" s="119">
        <f>+(Tabla1[[#This Row],[COSTO COCHE]]/30)*Tabla1[[#This Row],[TOTAL DIAS PROYECTO]]</f>
        <v>0</v>
      </c>
      <c r="R4898" s="119">
        <f>+Tabla1[[#This Row],[COSTO TOTAL ALOJAMIENTO]]+Tabla1[[#This Row],[COSTO TOTAL COCHE]]</f>
        <v>443.76166666666671</v>
      </c>
      <c r="S4898" s="117" t="s">
        <v>84</v>
      </c>
      <c r="T4898" s="124" t="s">
        <v>44</v>
      </c>
      <c r="U4898" s="124">
        <v>46054</v>
      </c>
      <c r="V4898" s="125">
        <v>46096</v>
      </c>
      <c r="W4898" s="119"/>
      <c r="X4898" s="117"/>
      <c r="Y4898" s="118" t="s">
        <v>7030</v>
      </c>
      <c r="Z4898" s="117" t="s">
        <v>36</v>
      </c>
      <c r="AA4898" s="127" t="s">
        <v>10424</v>
      </c>
      <c r="AB4898" s="127">
        <v>398581</v>
      </c>
    </row>
    <row r="4899" spans="1:28" ht="15" customHeight="1">
      <c r="A4899" s="117" t="s">
        <v>9177</v>
      </c>
      <c r="B4899" s="117" t="s">
        <v>711</v>
      </c>
      <c r="C4899" s="118" t="s">
        <v>2328</v>
      </c>
      <c r="D4899" s="117" t="s">
        <v>30</v>
      </c>
      <c r="E4899" s="117" t="s">
        <v>1514</v>
      </c>
      <c r="F4899" s="11" t="s">
        <v>7027</v>
      </c>
      <c r="G4899" s="197" t="s">
        <v>7028</v>
      </c>
      <c r="H4899" s="117" t="s">
        <v>7029</v>
      </c>
      <c r="I4899" s="119" t="s">
        <v>1392</v>
      </c>
      <c r="J4899" s="121">
        <f>+Tabla1[[#This Row],[FECHA ENTRADA]]</f>
        <v>46054</v>
      </c>
      <c r="K4899" s="121">
        <v>46096</v>
      </c>
      <c r="L4899" s="129">
        <f>_xlfn.DAYS(Tabla1[[#This Row],[FECHA FIN ]],Tabla1[[#This Row],[FECHA INICIO]])</f>
        <v>42</v>
      </c>
      <c r="M4899" s="119">
        <f t="shared" si="5"/>
        <v>443.76166666666671</v>
      </c>
      <c r="N4899" s="131"/>
      <c r="O4899" s="131">
        <f>(Tabla1[[#This Row],[COSTO FIJO ]]/30)*Tabla1[[#This Row],[TOTAL DIAS PROYECTO]]+(Tabla1[[#This Row],[COSTO TEMPORAL]])</f>
        <v>443.76166666666671</v>
      </c>
      <c r="P4899" s="119"/>
      <c r="Q4899" s="119">
        <f>+(Tabla1[[#This Row],[COSTO COCHE]]/30)*Tabla1[[#This Row],[TOTAL DIAS PROYECTO]]</f>
        <v>0</v>
      </c>
      <c r="R4899" s="119">
        <f>+Tabla1[[#This Row],[COSTO TOTAL ALOJAMIENTO]]+Tabla1[[#This Row],[COSTO TOTAL COCHE]]</f>
        <v>443.76166666666671</v>
      </c>
      <c r="S4899" s="117" t="s">
        <v>84</v>
      </c>
      <c r="T4899" s="124" t="s">
        <v>44</v>
      </c>
      <c r="U4899" s="124">
        <v>46054</v>
      </c>
      <c r="V4899" s="125">
        <v>46096</v>
      </c>
      <c r="W4899" s="119"/>
      <c r="X4899" s="117"/>
      <c r="Y4899" s="118" t="s">
        <v>7030</v>
      </c>
      <c r="Z4899" s="117" t="s">
        <v>36</v>
      </c>
      <c r="AA4899" s="127" t="s">
        <v>10424</v>
      </c>
      <c r="AB4899" s="127">
        <v>398581</v>
      </c>
    </row>
    <row r="4900" spans="1:28" ht="15" customHeight="1">
      <c r="A4900" s="117" t="s">
        <v>9815</v>
      </c>
      <c r="B4900" s="117" t="s">
        <v>711</v>
      </c>
      <c r="C4900" s="118" t="s">
        <v>4878</v>
      </c>
      <c r="D4900" s="117" t="s">
        <v>30</v>
      </c>
      <c r="E4900" s="117" t="s">
        <v>1514</v>
      </c>
      <c r="F4900" s="11" t="s">
        <v>7027</v>
      </c>
      <c r="G4900" s="197" t="s">
        <v>7028</v>
      </c>
      <c r="H4900" s="117" t="s">
        <v>7029</v>
      </c>
      <c r="I4900" s="119" t="s">
        <v>1392</v>
      </c>
      <c r="J4900" s="121">
        <f>+Tabla1[[#This Row],[FECHA ENTRADA]]</f>
        <v>46054</v>
      </c>
      <c r="K4900" s="121">
        <v>46096</v>
      </c>
      <c r="L4900" s="129">
        <f>_xlfn.DAYS(Tabla1[[#This Row],[FECHA FIN ]],Tabla1[[#This Row],[FECHA INICIO]])</f>
        <v>42</v>
      </c>
      <c r="M4900" s="119">
        <f t="shared" si="5"/>
        <v>443.76166666666671</v>
      </c>
      <c r="N4900" s="131"/>
      <c r="O4900" s="131">
        <f>(Tabla1[[#This Row],[COSTO FIJO ]]/30)*Tabla1[[#This Row],[TOTAL DIAS PROYECTO]]+(Tabla1[[#This Row],[COSTO TEMPORAL]])</f>
        <v>443.76166666666671</v>
      </c>
      <c r="P4900" s="119"/>
      <c r="Q4900" s="119">
        <f>+(Tabla1[[#This Row],[COSTO COCHE]]/30)*Tabla1[[#This Row],[TOTAL DIAS PROYECTO]]</f>
        <v>0</v>
      </c>
      <c r="R4900" s="119">
        <f>+Tabla1[[#This Row],[COSTO TOTAL ALOJAMIENTO]]+Tabla1[[#This Row],[COSTO TOTAL COCHE]]</f>
        <v>443.76166666666671</v>
      </c>
      <c r="S4900" s="117" t="s">
        <v>84</v>
      </c>
      <c r="T4900" s="124" t="s">
        <v>44</v>
      </c>
      <c r="U4900" s="124">
        <v>46054</v>
      </c>
      <c r="V4900" s="125">
        <v>46096</v>
      </c>
      <c r="W4900" s="119"/>
      <c r="X4900" s="117"/>
      <c r="Y4900" s="118" t="s">
        <v>7030</v>
      </c>
      <c r="Z4900" s="117" t="s">
        <v>36</v>
      </c>
      <c r="AA4900" s="127" t="s">
        <v>10424</v>
      </c>
      <c r="AB4900" s="127">
        <v>398581</v>
      </c>
    </row>
    <row r="4901" spans="1:28" ht="15" customHeight="1">
      <c r="A4901" s="117" t="s">
        <v>10189</v>
      </c>
      <c r="B4901" s="117" t="s">
        <v>711</v>
      </c>
      <c r="C4901" s="118" t="s">
        <v>7032</v>
      </c>
      <c r="D4901" s="117" t="s">
        <v>30</v>
      </c>
      <c r="E4901" s="117" t="s">
        <v>1514</v>
      </c>
      <c r="F4901" s="11" t="s">
        <v>7027</v>
      </c>
      <c r="G4901" s="197" t="s">
        <v>7028</v>
      </c>
      <c r="H4901" s="117" t="s">
        <v>7029</v>
      </c>
      <c r="I4901" s="119" t="s">
        <v>1392</v>
      </c>
      <c r="J4901" s="121">
        <f>+Tabla1[[#This Row],[FECHA ENTRADA]]</f>
        <v>46054</v>
      </c>
      <c r="K4901" s="121">
        <v>46096</v>
      </c>
      <c r="L4901" s="129">
        <f>_xlfn.DAYS(Tabla1[[#This Row],[FECHA FIN ]],Tabla1[[#This Row],[FECHA INICIO]])</f>
        <v>42</v>
      </c>
      <c r="M4901" s="119">
        <f t="shared" si="5"/>
        <v>443.76166666666671</v>
      </c>
      <c r="N4901" s="131"/>
      <c r="O4901" s="131">
        <f>(Tabla1[[#This Row],[COSTO FIJO ]]/30)*Tabla1[[#This Row],[TOTAL DIAS PROYECTO]]+(Tabla1[[#This Row],[COSTO TEMPORAL]])</f>
        <v>443.76166666666671</v>
      </c>
      <c r="P4901" s="119"/>
      <c r="Q4901" s="119">
        <f>+(Tabla1[[#This Row],[COSTO COCHE]]/30)*Tabla1[[#This Row],[TOTAL DIAS PROYECTO]]</f>
        <v>0</v>
      </c>
      <c r="R4901" s="119">
        <f>+Tabla1[[#This Row],[COSTO TOTAL ALOJAMIENTO]]+Tabla1[[#This Row],[COSTO TOTAL COCHE]]</f>
        <v>443.76166666666671</v>
      </c>
      <c r="S4901" s="117" t="s">
        <v>84</v>
      </c>
      <c r="T4901" s="124" t="s">
        <v>44</v>
      </c>
      <c r="U4901" s="124">
        <v>46054</v>
      </c>
      <c r="V4901" s="125">
        <v>46096</v>
      </c>
      <c r="W4901" s="119"/>
      <c r="X4901" s="117"/>
      <c r="Y4901" s="118" t="s">
        <v>7030</v>
      </c>
      <c r="Z4901" s="117" t="s">
        <v>36</v>
      </c>
      <c r="AA4901" s="127" t="s">
        <v>10424</v>
      </c>
      <c r="AB4901" s="127">
        <v>398581</v>
      </c>
    </row>
    <row r="4902" spans="1:28" ht="15" customHeight="1">
      <c r="A4902" s="117" t="s">
        <v>9451</v>
      </c>
      <c r="B4902" s="117" t="s">
        <v>711</v>
      </c>
      <c r="C4902" s="118" t="s">
        <v>3225</v>
      </c>
      <c r="D4902" s="117" t="s">
        <v>30</v>
      </c>
      <c r="E4902" s="117" t="s">
        <v>1514</v>
      </c>
      <c r="F4902" s="11" t="s">
        <v>7027</v>
      </c>
      <c r="G4902" s="197" t="s">
        <v>7028</v>
      </c>
      <c r="H4902" s="117" t="s">
        <v>7029</v>
      </c>
      <c r="I4902" s="119" t="s">
        <v>1392</v>
      </c>
      <c r="J4902" s="121">
        <f>+Tabla1[[#This Row],[FECHA ENTRADA]]</f>
        <v>46054</v>
      </c>
      <c r="K4902" s="121">
        <v>46096</v>
      </c>
      <c r="L4902" s="129">
        <f>_xlfn.DAYS(Tabla1[[#This Row],[FECHA FIN ]],Tabla1[[#This Row],[FECHA INICIO]])</f>
        <v>42</v>
      </c>
      <c r="M4902" s="119">
        <f t="shared" si="5"/>
        <v>443.76166666666671</v>
      </c>
      <c r="N4902" s="131"/>
      <c r="O4902" s="131">
        <f>(Tabla1[[#This Row],[COSTO FIJO ]]/30)*Tabla1[[#This Row],[TOTAL DIAS PROYECTO]]+(Tabla1[[#This Row],[COSTO TEMPORAL]])</f>
        <v>443.76166666666671</v>
      </c>
      <c r="P4902" s="119"/>
      <c r="Q4902" s="119">
        <f>+(Tabla1[[#This Row],[COSTO COCHE]]/30)*Tabla1[[#This Row],[TOTAL DIAS PROYECTO]]</f>
        <v>0</v>
      </c>
      <c r="R4902" s="119">
        <f>+Tabla1[[#This Row],[COSTO TOTAL ALOJAMIENTO]]+Tabla1[[#This Row],[COSTO TOTAL COCHE]]</f>
        <v>443.76166666666671</v>
      </c>
      <c r="S4902" s="117" t="s">
        <v>84</v>
      </c>
      <c r="T4902" s="124" t="s">
        <v>44</v>
      </c>
      <c r="U4902" s="124">
        <v>46054</v>
      </c>
      <c r="V4902" s="125">
        <v>46096</v>
      </c>
      <c r="W4902" s="119"/>
      <c r="X4902" s="117"/>
      <c r="Y4902" s="118" t="s">
        <v>7030</v>
      </c>
      <c r="Z4902" s="117" t="s">
        <v>36</v>
      </c>
      <c r="AA4902" s="127" t="s">
        <v>10424</v>
      </c>
      <c r="AB4902" s="127">
        <v>398581</v>
      </c>
    </row>
    <row r="4903" spans="1:28" ht="15" customHeight="1">
      <c r="A4903" s="117" t="s">
        <v>10190</v>
      </c>
      <c r="B4903" s="117" t="s">
        <v>711</v>
      </c>
      <c r="C4903" s="118" t="s">
        <v>7033</v>
      </c>
      <c r="D4903" s="117" t="s">
        <v>30</v>
      </c>
      <c r="E4903" s="117" t="s">
        <v>1514</v>
      </c>
      <c r="F4903" s="11" t="s">
        <v>7027</v>
      </c>
      <c r="G4903" s="197" t="s">
        <v>7028</v>
      </c>
      <c r="H4903" s="117" t="s">
        <v>7029</v>
      </c>
      <c r="I4903" s="119" t="s">
        <v>1392</v>
      </c>
      <c r="J4903" s="121">
        <f>+Tabla1[[#This Row],[FECHA ENTRADA]]</f>
        <v>46054</v>
      </c>
      <c r="K4903" s="121">
        <v>46096</v>
      </c>
      <c r="L4903" s="129">
        <f>_xlfn.DAYS(Tabla1[[#This Row],[FECHA FIN ]],Tabla1[[#This Row],[FECHA INICIO]])</f>
        <v>42</v>
      </c>
      <c r="M4903" s="119">
        <f t="shared" si="5"/>
        <v>443.76166666666671</v>
      </c>
      <c r="N4903" s="131"/>
      <c r="O4903" s="131">
        <f>(Tabla1[[#This Row],[COSTO FIJO ]]/30)*Tabla1[[#This Row],[TOTAL DIAS PROYECTO]]+(Tabla1[[#This Row],[COSTO TEMPORAL]])</f>
        <v>443.76166666666671</v>
      </c>
      <c r="P4903" s="119"/>
      <c r="Q4903" s="119">
        <f>+(Tabla1[[#This Row],[COSTO COCHE]]/30)*Tabla1[[#This Row],[TOTAL DIAS PROYECTO]]</f>
        <v>0</v>
      </c>
      <c r="R4903" s="119">
        <f>+Tabla1[[#This Row],[COSTO TOTAL ALOJAMIENTO]]+Tabla1[[#This Row],[COSTO TOTAL COCHE]]</f>
        <v>443.76166666666671</v>
      </c>
      <c r="S4903" s="117" t="s">
        <v>84</v>
      </c>
      <c r="T4903" s="124" t="s">
        <v>44</v>
      </c>
      <c r="U4903" s="124">
        <v>46054</v>
      </c>
      <c r="V4903" s="125">
        <v>46096</v>
      </c>
      <c r="W4903" s="119"/>
      <c r="X4903" s="117"/>
      <c r="Y4903" s="118" t="s">
        <v>7030</v>
      </c>
      <c r="Z4903" s="117" t="s">
        <v>36</v>
      </c>
      <c r="AA4903" s="127" t="s">
        <v>10424</v>
      </c>
      <c r="AB4903" s="127">
        <v>398581</v>
      </c>
    </row>
    <row r="4904" spans="1:28" ht="15" customHeight="1">
      <c r="A4904" s="117" t="s">
        <v>10191</v>
      </c>
      <c r="B4904" s="117" t="s">
        <v>711</v>
      </c>
      <c r="C4904" s="118" t="s">
        <v>7034</v>
      </c>
      <c r="D4904" s="117" t="s">
        <v>30</v>
      </c>
      <c r="E4904" s="117" t="s">
        <v>1514</v>
      </c>
      <c r="F4904" s="11" t="s">
        <v>7027</v>
      </c>
      <c r="G4904" s="197" t="s">
        <v>7028</v>
      </c>
      <c r="H4904" s="117" t="s">
        <v>7029</v>
      </c>
      <c r="I4904" s="119" t="s">
        <v>1392</v>
      </c>
      <c r="J4904" s="121">
        <f>+Tabla1[[#This Row],[FECHA ENTRADA]]</f>
        <v>46054</v>
      </c>
      <c r="K4904" s="121">
        <v>46096</v>
      </c>
      <c r="L4904" s="129">
        <f>_xlfn.DAYS(Tabla1[[#This Row],[FECHA FIN ]],Tabla1[[#This Row],[FECHA INICIO]])</f>
        <v>42</v>
      </c>
      <c r="M4904" s="119">
        <f t="shared" si="5"/>
        <v>443.76166666666671</v>
      </c>
      <c r="N4904" s="131"/>
      <c r="O4904" s="131">
        <f>(Tabla1[[#This Row],[COSTO FIJO ]]/30)*Tabla1[[#This Row],[TOTAL DIAS PROYECTO]]+(Tabla1[[#This Row],[COSTO TEMPORAL]])</f>
        <v>443.76166666666671</v>
      </c>
      <c r="P4904" s="119"/>
      <c r="Q4904" s="119">
        <f>+(Tabla1[[#This Row],[COSTO COCHE]]/30)*Tabla1[[#This Row],[TOTAL DIAS PROYECTO]]</f>
        <v>0</v>
      </c>
      <c r="R4904" s="119">
        <f>+Tabla1[[#This Row],[COSTO TOTAL ALOJAMIENTO]]+Tabla1[[#This Row],[COSTO TOTAL COCHE]]</f>
        <v>443.76166666666671</v>
      </c>
      <c r="S4904" s="117" t="s">
        <v>84</v>
      </c>
      <c r="T4904" s="124" t="s">
        <v>44</v>
      </c>
      <c r="U4904" s="124">
        <v>46054</v>
      </c>
      <c r="V4904" s="125">
        <v>46096</v>
      </c>
      <c r="W4904" s="119"/>
      <c r="X4904" s="117"/>
      <c r="Y4904" s="118" t="s">
        <v>7030</v>
      </c>
      <c r="Z4904" s="117" t="s">
        <v>36</v>
      </c>
      <c r="AA4904" s="127" t="s">
        <v>10424</v>
      </c>
      <c r="AB4904" s="127">
        <v>398581</v>
      </c>
    </row>
    <row r="4905" spans="1:28" ht="15" customHeight="1">
      <c r="A4905" s="117" t="s">
        <v>8906</v>
      </c>
      <c r="B4905" s="117" t="s">
        <v>711</v>
      </c>
      <c r="C4905" s="118" t="s">
        <v>1228</v>
      </c>
      <c r="D4905" s="117" t="s">
        <v>30</v>
      </c>
      <c r="E4905" s="117" t="s">
        <v>1514</v>
      </c>
      <c r="F4905" s="11" t="s">
        <v>7027</v>
      </c>
      <c r="G4905" s="197" t="s">
        <v>7028</v>
      </c>
      <c r="H4905" s="117" t="s">
        <v>7029</v>
      </c>
      <c r="I4905" s="119" t="s">
        <v>1392</v>
      </c>
      <c r="J4905" s="121">
        <f>+Tabla1[[#This Row],[FECHA ENTRADA]]</f>
        <v>46054</v>
      </c>
      <c r="K4905" s="121">
        <v>46096</v>
      </c>
      <c r="L4905" s="129">
        <f>_xlfn.DAYS(Tabla1[[#This Row],[FECHA FIN ]],Tabla1[[#This Row],[FECHA INICIO]])</f>
        <v>42</v>
      </c>
      <c r="M4905" s="119">
        <f t="shared" si="5"/>
        <v>443.76166666666671</v>
      </c>
      <c r="N4905" s="131"/>
      <c r="O4905" s="131">
        <f>(Tabla1[[#This Row],[COSTO FIJO ]]/30)*Tabla1[[#This Row],[TOTAL DIAS PROYECTO]]+(Tabla1[[#This Row],[COSTO TEMPORAL]])</f>
        <v>443.76166666666671</v>
      </c>
      <c r="P4905" s="119"/>
      <c r="Q4905" s="119">
        <f>+(Tabla1[[#This Row],[COSTO COCHE]]/30)*Tabla1[[#This Row],[TOTAL DIAS PROYECTO]]</f>
        <v>0</v>
      </c>
      <c r="R4905" s="119">
        <f>+Tabla1[[#This Row],[COSTO TOTAL ALOJAMIENTO]]+Tabla1[[#This Row],[COSTO TOTAL COCHE]]</f>
        <v>443.76166666666671</v>
      </c>
      <c r="S4905" s="117" t="s">
        <v>84</v>
      </c>
      <c r="T4905" s="124" t="s">
        <v>44</v>
      </c>
      <c r="U4905" s="124">
        <v>46054</v>
      </c>
      <c r="V4905" s="125">
        <v>46096</v>
      </c>
      <c r="W4905" s="119"/>
      <c r="X4905" s="117"/>
      <c r="Y4905" s="118" t="s">
        <v>7030</v>
      </c>
      <c r="Z4905" s="117" t="s">
        <v>36</v>
      </c>
      <c r="AA4905" s="127" t="s">
        <v>10424</v>
      </c>
      <c r="AB4905" s="127">
        <v>398581</v>
      </c>
    </row>
    <row r="4906" spans="1:28" ht="15" customHeight="1">
      <c r="A4906" s="117" t="s">
        <v>10101</v>
      </c>
      <c r="B4906" s="117" t="s">
        <v>711</v>
      </c>
      <c r="C4906" s="118" t="s">
        <v>6384</v>
      </c>
      <c r="D4906" s="117" t="s">
        <v>30</v>
      </c>
      <c r="E4906" s="117" t="s">
        <v>1514</v>
      </c>
      <c r="F4906" s="11" t="s">
        <v>7027</v>
      </c>
      <c r="G4906" s="197" t="s">
        <v>7028</v>
      </c>
      <c r="H4906" s="117" t="s">
        <v>7029</v>
      </c>
      <c r="I4906" s="119" t="s">
        <v>1392</v>
      </c>
      <c r="J4906" s="121">
        <f>+Tabla1[[#This Row],[FECHA ENTRADA]]</f>
        <v>46054</v>
      </c>
      <c r="K4906" s="121">
        <v>46096</v>
      </c>
      <c r="L4906" s="129">
        <f>_xlfn.DAYS(Tabla1[[#This Row],[FECHA FIN ]],Tabla1[[#This Row],[FECHA INICIO]])</f>
        <v>42</v>
      </c>
      <c r="M4906" s="119">
        <f t="shared" si="5"/>
        <v>443.76166666666671</v>
      </c>
      <c r="N4906" s="131"/>
      <c r="O4906" s="131">
        <f>(Tabla1[[#This Row],[COSTO FIJO ]]/30)*Tabla1[[#This Row],[TOTAL DIAS PROYECTO]]+(Tabla1[[#This Row],[COSTO TEMPORAL]])</f>
        <v>443.76166666666671</v>
      </c>
      <c r="P4906" s="119"/>
      <c r="Q4906" s="119">
        <f>+(Tabla1[[#This Row],[COSTO COCHE]]/30)*Tabla1[[#This Row],[TOTAL DIAS PROYECTO]]</f>
        <v>0</v>
      </c>
      <c r="R4906" s="119">
        <f>+Tabla1[[#This Row],[COSTO TOTAL ALOJAMIENTO]]+Tabla1[[#This Row],[COSTO TOTAL COCHE]]</f>
        <v>443.76166666666671</v>
      </c>
      <c r="S4906" s="117" t="s">
        <v>84</v>
      </c>
      <c r="T4906" s="124" t="s">
        <v>44</v>
      </c>
      <c r="U4906" s="124">
        <v>46054</v>
      </c>
      <c r="V4906" s="125">
        <v>46096</v>
      </c>
      <c r="W4906" s="119"/>
      <c r="X4906" s="117"/>
      <c r="Y4906" s="118" t="s">
        <v>7030</v>
      </c>
      <c r="Z4906" s="117" t="s">
        <v>36</v>
      </c>
      <c r="AA4906" s="127" t="s">
        <v>10424</v>
      </c>
      <c r="AB4906" s="127">
        <v>398581</v>
      </c>
    </row>
    <row r="4907" spans="1:28" ht="15" customHeight="1">
      <c r="A4907" s="117" t="s">
        <v>9744</v>
      </c>
      <c r="B4907" s="117" t="s">
        <v>711</v>
      </c>
      <c r="C4907" s="118" t="s">
        <v>4536</v>
      </c>
      <c r="D4907" s="117" t="s">
        <v>30</v>
      </c>
      <c r="E4907" s="117" t="s">
        <v>1514</v>
      </c>
      <c r="F4907" s="11" t="s">
        <v>7027</v>
      </c>
      <c r="G4907" s="197" t="s">
        <v>7028</v>
      </c>
      <c r="H4907" s="117" t="s">
        <v>7029</v>
      </c>
      <c r="I4907" s="119" t="s">
        <v>1392</v>
      </c>
      <c r="J4907" s="121">
        <f>+Tabla1[[#This Row],[FECHA ENTRADA]]</f>
        <v>46054</v>
      </c>
      <c r="K4907" s="121">
        <v>46096</v>
      </c>
      <c r="L4907" s="129">
        <f>_xlfn.DAYS(Tabla1[[#This Row],[FECHA FIN ]],Tabla1[[#This Row],[FECHA INICIO]])</f>
        <v>42</v>
      </c>
      <c r="M4907" s="119">
        <f t="shared" si="5"/>
        <v>443.76166666666671</v>
      </c>
      <c r="N4907" s="131"/>
      <c r="O4907" s="131">
        <f>(Tabla1[[#This Row],[COSTO FIJO ]]/30)*Tabla1[[#This Row],[TOTAL DIAS PROYECTO]]+(Tabla1[[#This Row],[COSTO TEMPORAL]])</f>
        <v>443.76166666666671</v>
      </c>
      <c r="P4907" s="119"/>
      <c r="Q4907" s="119">
        <f>+(Tabla1[[#This Row],[COSTO COCHE]]/30)*Tabla1[[#This Row],[TOTAL DIAS PROYECTO]]</f>
        <v>0</v>
      </c>
      <c r="R4907" s="119">
        <f>+Tabla1[[#This Row],[COSTO TOTAL ALOJAMIENTO]]+Tabla1[[#This Row],[COSTO TOTAL COCHE]]</f>
        <v>443.76166666666671</v>
      </c>
      <c r="S4907" s="117" t="s">
        <v>84</v>
      </c>
      <c r="T4907" s="124" t="s">
        <v>44</v>
      </c>
      <c r="U4907" s="124">
        <v>46054</v>
      </c>
      <c r="V4907" s="125">
        <v>46096</v>
      </c>
      <c r="W4907" s="119"/>
      <c r="X4907" s="117"/>
      <c r="Y4907" s="118" t="s">
        <v>7030</v>
      </c>
      <c r="Z4907" s="117" t="s">
        <v>36</v>
      </c>
      <c r="AA4907" s="127" t="s">
        <v>10424</v>
      </c>
      <c r="AB4907" s="127">
        <v>398581</v>
      </c>
    </row>
    <row r="4908" spans="1:28" ht="15" customHeight="1">
      <c r="A4908" s="117" t="s">
        <v>10192</v>
      </c>
      <c r="B4908" s="117" t="s">
        <v>711</v>
      </c>
      <c r="C4908" s="118" t="s">
        <v>7035</v>
      </c>
      <c r="D4908" s="117" t="s">
        <v>30</v>
      </c>
      <c r="E4908" s="117" t="s">
        <v>1514</v>
      </c>
      <c r="F4908" s="11" t="s">
        <v>7027</v>
      </c>
      <c r="G4908" s="197" t="s">
        <v>7028</v>
      </c>
      <c r="H4908" s="117" t="s">
        <v>7029</v>
      </c>
      <c r="I4908" s="119" t="s">
        <v>1392</v>
      </c>
      <c r="J4908" s="121">
        <f>+Tabla1[[#This Row],[FECHA ENTRADA]]</f>
        <v>46054</v>
      </c>
      <c r="K4908" s="121">
        <v>46096</v>
      </c>
      <c r="L4908" s="129">
        <f>_xlfn.DAYS(Tabla1[[#This Row],[FECHA FIN ]],Tabla1[[#This Row],[FECHA INICIO]])</f>
        <v>42</v>
      </c>
      <c r="M4908" s="119">
        <f t="shared" si="5"/>
        <v>443.76166666666671</v>
      </c>
      <c r="N4908" s="131"/>
      <c r="O4908" s="131">
        <f>(Tabla1[[#This Row],[COSTO FIJO ]]/30)*Tabla1[[#This Row],[TOTAL DIAS PROYECTO]]+(Tabla1[[#This Row],[COSTO TEMPORAL]])</f>
        <v>443.76166666666671</v>
      </c>
      <c r="P4908" s="119"/>
      <c r="Q4908" s="119">
        <f>+(Tabla1[[#This Row],[COSTO COCHE]]/30)*Tabla1[[#This Row],[TOTAL DIAS PROYECTO]]</f>
        <v>0</v>
      </c>
      <c r="R4908" s="119">
        <f>+Tabla1[[#This Row],[COSTO TOTAL ALOJAMIENTO]]+Tabla1[[#This Row],[COSTO TOTAL COCHE]]</f>
        <v>443.76166666666671</v>
      </c>
      <c r="S4908" s="117" t="s">
        <v>84</v>
      </c>
      <c r="T4908" s="124" t="s">
        <v>44</v>
      </c>
      <c r="U4908" s="124">
        <v>46054</v>
      </c>
      <c r="V4908" s="125">
        <v>46096</v>
      </c>
      <c r="W4908" s="119"/>
      <c r="X4908" s="117"/>
      <c r="Y4908" s="118" t="s">
        <v>7030</v>
      </c>
      <c r="Z4908" s="117" t="s">
        <v>36</v>
      </c>
      <c r="AA4908" s="127" t="s">
        <v>10424</v>
      </c>
      <c r="AB4908" s="127">
        <v>398581</v>
      </c>
    </row>
    <row r="4909" spans="1:28" ht="15" customHeight="1">
      <c r="A4909" s="2" t="s">
        <v>10193</v>
      </c>
      <c r="B4909" s="2" t="s">
        <v>28</v>
      </c>
      <c r="C4909" s="18" t="s">
        <v>7036</v>
      </c>
      <c r="D4909" s="2" t="s">
        <v>30</v>
      </c>
      <c r="E4909" s="2" t="s">
        <v>648</v>
      </c>
      <c r="F4909" s="11" t="s">
        <v>1386</v>
      </c>
      <c r="G4909" s="30" t="s">
        <v>1387</v>
      </c>
      <c r="H4909" s="2" t="s">
        <v>7037</v>
      </c>
      <c r="I4909" s="158" t="s">
        <v>96</v>
      </c>
      <c r="J4909" s="8">
        <v>45550</v>
      </c>
      <c r="K4909" s="22">
        <v>45821</v>
      </c>
      <c r="L4909" s="13">
        <f>_xlfn.DAYS(Tabla1[[#This Row],[FECHA FIN ]],Tabla1[[#This Row],[FECHA INICIO]])</f>
        <v>271</v>
      </c>
      <c r="M4909" s="12"/>
      <c r="N4909" s="12">
        <f>1811.6/17</f>
        <v>106.56470588235294</v>
      </c>
      <c r="O4909" s="28">
        <f>(Tabla1[[#This Row],[COSTO FIJO ]]/30)*Tabla1[[#This Row],[TOTAL DIAS PROYECTO]]+(Tabla1[[#This Row],[COSTO TEMPORAL]])</f>
        <v>962.63450980392156</v>
      </c>
      <c r="P4909" s="12"/>
      <c r="Q4909" s="12">
        <f>+(Tabla1[[#This Row],[COSTO COCHE]]/30)*Tabla1[[#This Row],[TOTAL DIAS PROYECTO]]</f>
        <v>0</v>
      </c>
      <c r="R4909" s="12">
        <f>+Tabla1[[#This Row],[COSTO TOTAL ALOJAMIENTO]]+Tabla1[[#This Row],[COSTO TOTAL COCHE]]</f>
        <v>962.63450980392156</v>
      </c>
      <c r="S4909" s="2"/>
      <c r="T4909" s="2" t="s">
        <v>35</v>
      </c>
      <c r="U4909" s="14">
        <v>45550</v>
      </c>
      <c r="V4909" s="14"/>
      <c r="W4909" s="15"/>
      <c r="X4909" s="16">
        <v>10</v>
      </c>
      <c r="Y4909" s="11" t="s">
        <v>7038</v>
      </c>
      <c r="Z4909" s="2" t="s">
        <v>36</v>
      </c>
      <c r="AA4909" s="13" t="s">
        <v>10387</v>
      </c>
      <c r="AB4909" s="13" t="s">
        <v>10388</v>
      </c>
    </row>
    <row r="4910" spans="1:28" ht="15" customHeight="1">
      <c r="A4910" s="2" t="s">
        <v>10040</v>
      </c>
      <c r="B4910" s="2" t="s">
        <v>28</v>
      </c>
      <c r="C4910" s="104" t="s">
        <v>6026</v>
      </c>
      <c r="D4910" s="2" t="s">
        <v>30</v>
      </c>
      <c r="E4910" s="2" t="s">
        <v>790</v>
      </c>
      <c r="F4910" s="11" t="s">
        <v>4649</v>
      </c>
      <c r="G4910" t="s">
        <v>4317</v>
      </c>
      <c r="H4910" s="2" t="s">
        <v>6027</v>
      </c>
      <c r="I4910" s="12" t="s">
        <v>794</v>
      </c>
      <c r="J4910" s="22">
        <f>+Tabla1[[#This Row],[FECHA ENTRADA]]</f>
        <v>45923</v>
      </c>
      <c r="K4910" s="22">
        <v>45941</v>
      </c>
      <c r="L4910" s="23">
        <f>_xlfn.DAYS(Tabla1[[#This Row],[FECHA FIN ]],Tabla1[[#This Row],[FECHA INICIO]])</f>
        <v>18</v>
      </c>
      <c r="M4910" s="12"/>
      <c r="N4910" s="20">
        <v>250</v>
      </c>
      <c r="O4910" s="24">
        <f>(Tabla1[[#This Row],[COSTO FIJO ]]/30)*Tabla1[[#This Row],[TOTAL DIAS PROYECTO]]+(Tabla1[[#This Row],[COSTO TEMPORAL]])</f>
        <v>150</v>
      </c>
      <c r="P4910" s="12"/>
      <c r="Q4910" s="12">
        <f>+(Tabla1[[#This Row],[COSTO COCHE]]/30)*Tabla1[[#This Row],[TOTAL DIAS PROYECTO]]</f>
        <v>0</v>
      </c>
      <c r="R4910" s="12">
        <f>+Tabla1[[#This Row],[COSTO TOTAL ALOJAMIENTO]]+Tabla1[[#This Row],[COSTO TOTAL COCHE]]</f>
        <v>150</v>
      </c>
      <c r="S4910" s="2"/>
      <c r="T4910" s="14" t="s">
        <v>35</v>
      </c>
      <c r="U4910" s="14">
        <v>45923</v>
      </c>
      <c r="V4910" s="25"/>
      <c r="W4910" s="71"/>
      <c r="X4910" s="2">
        <v>1</v>
      </c>
      <c r="Y4910" s="11" t="s">
        <v>7039</v>
      </c>
      <c r="Z4910" s="2" t="s">
        <v>36</v>
      </c>
      <c r="AA4910" s="13">
        <v>-574377</v>
      </c>
      <c r="AB4910" s="13">
        <v>4150368</v>
      </c>
    </row>
    <row r="4911" spans="1:28" ht="15" customHeight="1">
      <c r="A4911" s="2" t="s">
        <v>10040</v>
      </c>
      <c r="B4911" s="2" t="s">
        <v>28</v>
      </c>
      <c r="C4911" s="97" t="s">
        <v>6026</v>
      </c>
      <c r="D4911" s="2" t="s">
        <v>30</v>
      </c>
      <c r="E4911" s="2" t="s">
        <v>790</v>
      </c>
      <c r="F4911" s="11" t="s">
        <v>4649</v>
      </c>
      <c r="G4911" s="70" t="s">
        <v>4317</v>
      </c>
      <c r="H4911" s="2" t="s">
        <v>6027</v>
      </c>
      <c r="I4911" s="12" t="s">
        <v>794</v>
      </c>
      <c r="J4911" s="41">
        <f>+Tabla1[[#This Row],[FECHA ENTRADA]]</f>
        <v>45969</v>
      </c>
      <c r="K4911" s="41">
        <v>45968</v>
      </c>
      <c r="L4911" s="42">
        <f>_xlfn.DAYS(Tabla1[[#This Row],[FECHA FIN ]],Tabla1[[#This Row],[FECHA INICIO]])</f>
        <v>-1</v>
      </c>
      <c r="M4911" s="12"/>
      <c r="N4911" s="20">
        <v>250</v>
      </c>
      <c r="O4911" s="28">
        <f>(Tabla1[[#This Row],[COSTO FIJO ]]/30)*Tabla1[[#This Row],[TOTAL DIAS PROYECTO]]+(Tabla1[[#This Row],[COSTO TEMPORAL]])</f>
        <v>-8.3333333333333339</v>
      </c>
      <c r="P4911" s="12"/>
      <c r="Q4911" s="12">
        <f>+(Tabla1[[#This Row],[COSTO COCHE]]/30)*Tabla1[[#This Row],[TOTAL DIAS PROYECTO]]</f>
        <v>0</v>
      </c>
      <c r="R4911" s="12">
        <f>+Tabla1[[#This Row],[COSTO TOTAL ALOJAMIENTO]]+Tabla1[[#This Row],[COSTO TOTAL COCHE]]</f>
        <v>-8.3333333333333339</v>
      </c>
      <c r="S4911" s="2"/>
      <c r="T4911" s="14" t="s">
        <v>35</v>
      </c>
      <c r="U4911" s="14">
        <v>45969</v>
      </c>
      <c r="V4911" s="43"/>
      <c r="W4911" s="71"/>
      <c r="X4911" s="2">
        <v>1</v>
      </c>
      <c r="Y4911" s="11" t="s">
        <v>7040</v>
      </c>
      <c r="Z4911" s="2" t="s">
        <v>36</v>
      </c>
      <c r="AA4911" s="13">
        <v>-574377</v>
      </c>
      <c r="AB4911" s="13">
        <v>4150368</v>
      </c>
    </row>
    <row r="4912" spans="1:28" ht="15" customHeight="1">
      <c r="A4912" s="2" t="s">
        <v>10194</v>
      </c>
      <c r="B4912" s="2" t="s">
        <v>711</v>
      </c>
      <c r="C4912" s="31" t="s">
        <v>7041</v>
      </c>
      <c r="D4912" s="2" t="s">
        <v>30</v>
      </c>
      <c r="E4912" s="2" t="s">
        <v>790</v>
      </c>
      <c r="F4912" s="11" t="s">
        <v>4649</v>
      </c>
      <c r="G4912" s="70" t="s">
        <v>4317</v>
      </c>
      <c r="H4912" s="2" t="s">
        <v>7042</v>
      </c>
      <c r="I4912" s="12" t="s">
        <v>794</v>
      </c>
      <c r="J4912" s="22">
        <f>+Tabla1[[#This Row],[FECHA ENTRADA]]</f>
        <v>45984</v>
      </c>
      <c r="K4912" s="22">
        <v>46097</v>
      </c>
      <c r="L4912" s="23">
        <f>_xlfn.DAYS(Tabla1[[#This Row],[FECHA FIN ]],Tabla1[[#This Row],[FECHA INICIO]])</f>
        <v>113</v>
      </c>
      <c r="M4912" s="12"/>
      <c r="N4912" s="20">
        <v>250</v>
      </c>
      <c r="O4912" s="24">
        <f>(Tabla1[[#This Row],[COSTO FIJO ]]/30)*Tabla1[[#This Row],[TOTAL DIAS PROYECTO]]+(Tabla1[[#This Row],[COSTO TEMPORAL]])</f>
        <v>941.66666666666674</v>
      </c>
      <c r="P4912" s="12"/>
      <c r="Q4912" s="12">
        <f>+(Tabla1[[#This Row],[COSTO COCHE]]/30)*Tabla1[[#This Row],[TOTAL DIAS PROYECTO]]</f>
        <v>0</v>
      </c>
      <c r="R4912" s="12">
        <f>+Tabla1[[#This Row],[COSTO TOTAL ALOJAMIENTO]]+Tabla1[[#This Row],[COSTO TOTAL COCHE]]</f>
        <v>941.66666666666674</v>
      </c>
      <c r="S4912" s="2"/>
      <c r="T4912" s="14" t="s">
        <v>35</v>
      </c>
      <c r="U4912" s="14">
        <v>45984</v>
      </c>
      <c r="V4912" s="25"/>
      <c r="W4912" s="71"/>
      <c r="X4912" s="2">
        <v>1</v>
      </c>
      <c r="Y4912" s="11" t="s">
        <v>7043</v>
      </c>
      <c r="Z4912" s="2" t="s">
        <v>36</v>
      </c>
      <c r="AA4912" s="13">
        <v>-574377</v>
      </c>
      <c r="AB4912" s="13">
        <v>4150368</v>
      </c>
    </row>
    <row r="4913" spans="1:28" ht="15" customHeight="1">
      <c r="A4913" s="2" t="s">
        <v>9970</v>
      </c>
      <c r="B4913" s="2" t="s">
        <v>978</v>
      </c>
      <c r="C4913" s="31" t="s">
        <v>5779</v>
      </c>
      <c r="D4913" s="2" t="s">
        <v>30</v>
      </c>
      <c r="E4913" s="2" t="s">
        <v>422</v>
      </c>
      <c r="F4913" s="11" t="s">
        <v>5145</v>
      </c>
      <c r="G4913" t="s">
        <v>1376</v>
      </c>
      <c r="H4913" s="2" t="s">
        <v>6962</v>
      </c>
      <c r="I4913" s="12" t="s">
        <v>2473</v>
      </c>
      <c r="J4913" s="22">
        <f>+Tabla1[[#This Row],[FECHA ENTRADA]]</f>
        <v>45915</v>
      </c>
      <c r="K4913" s="22">
        <v>45940</v>
      </c>
      <c r="L4913" s="23">
        <f>_xlfn.DAYS(Tabla1[[#This Row],[FECHA FIN ]],Tabla1[[#This Row],[FECHA INICIO]])</f>
        <v>25</v>
      </c>
      <c r="M4913" s="12"/>
      <c r="N4913" s="24">
        <v>362.5</v>
      </c>
      <c r="O4913" s="24">
        <f>(Tabla1[[#This Row],[COSTO FIJO ]]/30)*Tabla1[[#This Row],[TOTAL DIAS PROYECTO]]+(Tabla1[[#This Row],[COSTO TEMPORAL]])</f>
        <v>302.08333333333337</v>
      </c>
      <c r="P4913" s="12"/>
      <c r="Q4913" s="12">
        <f>+(Tabla1[[#This Row],[COSTO COCHE]]/30)*Tabla1[[#This Row],[TOTAL DIAS PROYECTO]]</f>
        <v>0</v>
      </c>
      <c r="R4913" s="12">
        <f>+Tabla1[[#This Row],[COSTO TOTAL ALOJAMIENTO]]+Tabla1[[#This Row],[COSTO TOTAL COCHE]]</f>
        <v>302.08333333333337</v>
      </c>
      <c r="S4913" s="2"/>
      <c r="T4913" s="14" t="s">
        <v>35</v>
      </c>
      <c r="U4913" s="14">
        <v>45915</v>
      </c>
      <c r="V4913" s="25"/>
      <c r="W4913" s="71">
        <v>1200</v>
      </c>
      <c r="X4913" s="2">
        <v>5</v>
      </c>
      <c r="Y4913" s="11" t="s">
        <v>6964</v>
      </c>
      <c r="Z4913" s="2" t="s">
        <v>36</v>
      </c>
      <c r="AA4913" s="13">
        <v>-326.69799999999998</v>
      </c>
      <c r="AB4913" s="13" t="s">
        <v>10373</v>
      </c>
    </row>
    <row r="4914" spans="1:28" ht="15" customHeight="1">
      <c r="A4914" s="2" t="s">
        <v>9477</v>
      </c>
      <c r="B4914" s="2" t="s">
        <v>978</v>
      </c>
      <c r="C4914" s="31" t="s">
        <v>3334</v>
      </c>
      <c r="D4914" s="2" t="s">
        <v>30</v>
      </c>
      <c r="E4914" s="2" t="s">
        <v>422</v>
      </c>
      <c r="F4914" s="11" t="s">
        <v>5145</v>
      </c>
      <c r="G4914" t="s">
        <v>1376</v>
      </c>
      <c r="H4914" s="2" t="s">
        <v>6962</v>
      </c>
      <c r="I4914" s="12" t="s">
        <v>2473</v>
      </c>
      <c r="J4914" s="22">
        <f>+Tabla1[[#This Row],[FECHA ENTRADA]]</f>
        <v>45915</v>
      </c>
      <c r="K4914" s="22">
        <v>45940</v>
      </c>
      <c r="L4914" s="23">
        <f>_xlfn.DAYS(Tabla1[[#This Row],[FECHA FIN ]],Tabla1[[#This Row],[FECHA INICIO]])</f>
        <v>25</v>
      </c>
      <c r="M4914" s="12"/>
      <c r="N4914" s="24">
        <v>362.5</v>
      </c>
      <c r="O4914" s="24">
        <f>(Tabla1[[#This Row],[COSTO FIJO ]]/30)*Tabla1[[#This Row],[TOTAL DIAS PROYECTO]]+(Tabla1[[#This Row],[COSTO TEMPORAL]])</f>
        <v>302.08333333333337</v>
      </c>
      <c r="P4914" s="12"/>
      <c r="Q4914" s="12">
        <f>+(Tabla1[[#This Row],[COSTO COCHE]]/30)*Tabla1[[#This Row],[TOTAL DIAS PROYECTO]]</f>
        <v>0</v>
      </c>
      <c r="R4914" s="12">
        <f>+Tabla1[[#This Row],[COSTO TOTAL ALOJAMIENTO]]+Tabla1[[#This Row],[COSTO TOTAL COCHE]]</f>
        <v>302.08333333333337</v>
      </c>
      <c r="S4914" s="2"/>
      <c r="T4914" s="14" t="s">
        <v>35</v>
      </c>
      <c r="U4914" s="14">
        <v>45915</v>
      </c>
      <c r="V4914" s="25"/>
      <c r="W4914" s="71"/>
      <c r="X4914" s="2">
        <v>5</v>
      </c>
      <c r="Y4914" s="11" t="s">
        <v>6964</v>
      </c>
      <c r="Z4914" s="2" t="s">
        <v>36</v>
      </c>
      <c r="AA4914" s="13">
        <v>-326.69799999999998</v>
      </c>
      <c r="AB4914" s="13" t="s">
        <v>10373</v>
      </c>
    </row>
    <row r="4915" spans="1:28" ht="15" customHeight="1">
      <c r="A4915" s="2" t="s">
        <v>8642</v>
      </c>
      <c r="B4915" s="2" t="s">
        <v>978</v>
      </c>
      <c r="C4915" s="31" t="s">
        <v>3608</v>
      </c>
      <c r="D4915" s="2" t="s">
        <v>99</v>
      </c>
      <c r="E4915" s="2" t="s">
        <v>422</v>
      </c>
      <c r="F4915" s="11" t="s">
        <v>1375</v>
      </c>
      <c r="G4915" t="s">
        <v>1376</v>
      </c>
      <c r="H4915" s="2" t="s">
        <v>1431</v>
      </c>
      <c r="I4915" s="12" t="s">
        <v>2473</v>
      </c>
      <c r="J4915" s="22">
        <f>+Tabla1[[#This Row],[FECHA ENTRADA]]</f>
        <v>45874</v>
      </c>
      <c r="K4915" s="22">
        <v>45875</v>
      </c>
      <c r="L4915" s="23">
        <f>_xlfn.DAYS(Tabla1[[#This Row],[FECHA FIN ]],Tabla1[[#This Row],[FECHA INICIO]])</f>
        <v>1</v>
      </c>
      <c r="M4915" s="12"/>
      <c r="N4915" s="24">
        <v>268.75</v>
      </c>
      <c r="O4915" s="24">
        <f>(Tabla1[[#This Row],[COSTO FIJO ]]/30)*Tabla1[[#This Row],[TOTAL DIAS PROYECTO]]+(Tabla1[[#This Row],[COSTO TEMPORAL]])</f>
        <v>8.9583333333333339</v>
      </c>
      <c r="P4915" s="12"/>
      <c r="Q4915" s="12">
        <f>+(Tabla1[[#This Row],[COSTO COCHE]]/30)*Tabla1[[#This Row],[TOTAL DIAS PROYECTO]]</f>
        <v>0</v>
      </c>
      <c r="R4915" s="12">
        <f>+Tabla1[[#This Row],[COSTO TOTAL ALOJAMIENTO]]+Tabla1[[#This Row],[COSTO TOTAL COCHE]]</f>
        <v>8.9583333333333339</v>
      </c>
      <c r="S4915" s="2"/>
      <c r="T4915" s="14" t="s">
        <v>35</v>
      </c>
      <c r="U4915" s="14">
        <v>45874</v>
      </c>
      <c r="V4915" s="25"/>
      <c r="W4915" s="12"/>
      <c r="X4915" s="2">
        <v>5</v>
      </c>
      <c r="Y4915" s="11" t="s">
        <v>7044</v>
      </c>
      <c r="Z4915" s="2" t="s">
        <v>36</v>
      </c>
      <c r="AA4915" s="13">
        <v>-326.69799999999998</v>
      </c>
      <c r="AB4915" s="13" t="s">
        <v>10373</v>
      </c>
    </row>
    <row r="4916" spans="1:28" ht="15" customHeight="1">
      <c r="A4916" s="2" t="s">
        <v>9806</v>
      </c>
      <c r="B4916" s="2" t="s">
        <v>711</v>
      </c>
      <c r="C4916" s="31" t="s">
        <v>4829</v>
      </c>
      <c r="D4916" s="2" t="s">
        <v>99</v>
      </c>
      <c r="E4916" s="2" t="s">
        <v>422</v>
      </c>
      <c r="F4916" s="11" t="s">
        <v>1375</v>
      </c>
      <c r="G4916" t="s">
        <v>1376</v>
      </c>
      <c r="H4916" s="2" t="s">
        <v>7045</v>
      </c>
      <c r="I4916" s="12" t="s">
        <v>3515</v>
      </c>
      <c r="J4916" s="41">
        <f>+Tabla1[[#This Row],[FECHA ENTRADA]]</f>
        <v>45922</v>
      </c>
      <c r="K4916" s="22">
        <v>45930</v>
      </c>
      <c r="L4916" s="42">
        <f>_xlfn.DAYS(Tabla1[[#This Row],[FECHA FIN ]],Tabla1[[#This Row],[FECHA INICIO]])</f>
        <v>8</v>
      </c>
      <c r="M4916" s="12"/>
      <c r="N4916" s="12">
        <v>307.14285714285717</v>
      </c>
      <c r="O4916" s="28">
        <f>(Tabla1[[#This Row],[COSTO FIJO ]]/30)*Tabla1[[#This Row],[TOTAL DIAS PROYECTO]]+(Tabla1[[#This Row],[COSTO TEMPORAL]])</f>
        <v>81.904761904761912</v>
      </c>
      <c r="P4916" s="12"/>
      <c r="Q4916" s="12">
        <f>+(Tabla1[[#This Row],[COSTO COCHE]]/30)*Tabla1[[#This Row],[TOTAL DIAS PROYECTO]]</f>
        <v>0</v>
      </c>
      <c r="R4916" s="12">
        <f>+Tabla1[[#This Row],[COSTO TOTAL ALOJAMIENTO]]+Tabla1[[#This Row],[COSTO TOTAL COCHE]]</f>
        <v>81.904761904761912</v>
      </c>
      <c r="S4916" s="2"/>
      <c r="T4916" s="14" t="s">
        <v>35</v>
      </c>
      <c r="U4916" s="14">
        <v>45922</v>
      </c>
      <c r="V4916" s="43"/>
      <c r="W4916" s="71"/>
      <c r="X4916" s="2">
        <v>5</v>
      </c>
      <c r="Y4916" s="202" t="s">
        <v>7046</v>
      </c>
      <c r="Z4916" s="2" t="s">
        <v>36</v>
      </c>
      <c r="AA4916" s="13">
        <v>-326.69799999999998</v>
      </c>
      <c r="AB4916" s="13" t="s">
        <v>10373</v>
      </c>
    </row>
    <row r="4917" spans="1:28" ht="15" customHeight="1">
      <c r="A4917" s="2" t="s">
        <v>8885</v>
      </c>
      <c r="B4917" s="2" t="s">
        <v>606</v>
      </c>
      <c r="C4917" s="11" t="s">
        <v>1167</v>
      </c>
      <c r="D4917" s="2" t="s">
        <v>30</v>
      </c>
      <c r="E4917" s="2" t="s">
        <v>648</v>
      </c>
      <c r="F4917" s="11" t="s">
        <v>2103</v>
      </c>
      <c r="G4917" s="11" t="s">
        <v>1545</v>
      </c>
      <c r="H4917" s="2" t="s">
        <v>6822</v>
      </c>
      <c r="I4917" s="12" t="s">
        <v>4663</v>
      </c>
      <c r="J4917" s="22">
        <f>+Tabla1[[#This Row],[FECHA ENTRADA]]</f>
        <v>46110</v>
      </c>
      <c r="K4917" s="22">
        <v>46172</v>
      </c>
      <c r="L4917" s="23">
        <f>_xlfn.DAYS(Tabla1[[#This Row],[FECHA FIN ]],Tabla1[[#This Row],[FECHA INICIO]])</f>
        <v>62</v>
      </c>
      <c r="M4917" s="12"/>
      <c r="N4917" s="12">
        <v>500</v>
      </c>
      <c r="O4917" s="24">
        <f>(Tabla1[[#This Row],[COSTO FIJO ]]/30)*Tabla1[[#This Row],[TOTAL DIAS PROYECTO]]+(Tabla1[[#This Row],[COSTO TEMPORAL]])</f>
        <v>1033.3333333333335</v>
      </c>
      <c r="P4917" s="12"/>
      <c r="Q4917" s="12">
        <f>+(Tabla1[[#This Row],[COSTO COCHE]]/30)*Tabla1[[#This Row],[TOTAL DIAS PROYECTO]]</f>
        <v>0</v>
      </c>
      <c r="R4917" s="12">
        <f>+Tabla1[[#This Row],[COSTO TOTAL ALOJAMIENTO]]+Tabla1[[#This Row],[COSTO TOTAL COCHE]]</f>
        <v>1033.3333333333335</v>
      </c>
      <c r="S4917" s="2"/>
      <c r="T4917" s="14" t="s">
        <v>35</v>
      </c>
      <c r="U4917" s="14">
        <v>46110</v>
      </c>
      <c r="V4917" s="79"/>
      <c r="W4917" s="12"/>
      <c r="X4917" s="2">
        <v>1</v>
      </c>
      <c r="Y4917" s="11" t="s">
        <v>4664</v>
      </c>
      <c r="Z4917" s="2" t="s">
        <v>36</v>
      </c>
      <c r="AA4917" s="13" t="s">
        <v>10387</v>
      </c>
      <c r="AB4917" s="13" t="s">
        <v>10388</v>
      </c>
    </row>
    <row r="4918" spans="1:28" ht="15" customHeight="1">
      <c r="A4918" s="2" t="s">
        <v>10195</v>
      </c>
      <c r="B4918" s="2" t="s">
        <v>606</v>
      </c>
      <c r="C4918" s="31" t="s">
        <v>7047</v>
      </c>
      <c r="D4918" s="2" t="s">
        <v>30</v>
      </c>
      <c r="E4918" s="2" t="s">
        <v>31</v>
      </c>
      <c r="F4918" s="11"/>
      <c r="G4918" s="11"/>
      <c r="H4918" s="2">
        <v>2023</v>
      </c>
      <c r="I4918" s="2" t="s">
        <v>385</v>
      </c>
      <c r="J4918" s="8">
        <v>45243</v>
      </c>
      <c r="K4918" s="8">
        <v>46091</v>
      </c>
      <c r="L4918" s="13">
        <f>_xlfn.DAYS(Tabla1[[#This Row],[FECHA FIN ]],Tabla1[[#This Row],[FECHA INICIO]])</f>
        <v>848</v>
      </c>
      <c r="M4918" s="12"/>
      <c r="N4918" s="28">
        <v>300</v>
      </c>
      <c r="O4918" s="12">
        <f>(Tabla1[[#This Row],[COSTO FIJO ]]/30)*Tabla1[[#This Row],[TOTAL DIAS PROYECTO]]+(Tabla1[[#This Row],[COSTO TEMPORAL]])</f>
        <v>8480</v>
      </c>
      <c r="P4918" s="12"/>
      <c r="Q4918" s="12">
        <f>+(Tabla1[[#This Row],[COSTO COCHE]]/30)*Tabla1[[#This Row],[TOTAL DIAS PROYECTO]]</f>
        <v>0</v>
      </c>
      <c r="R4918" s="12">
        <f>+Tabla1[[#This Row],[COSTO TOTAL ALOJAMIENTO]]+Tabla1[[#This Row],[COSTO TOTAL COCHE]]</f>
        <v>8480</v>
      </c>
      <c r="S4918" s="2"/>
      <c r="T4918" s="2" t="s">
        <v>58</v>
      </c>
      <c r="U4918" s="14"/>
      <c r="V4918" s="14"/>
      <c r="W4918" s="15"/>
      <c r="X4918" s="16"/>
      <c r="Y4918" s="11" t="s">
        <v>7048</v>
      </c>
      <c r="Z4918" s="2" t="s">
        <v>36</v>
      </c>
      <c r="AA4918" s="13" t="s">
        <v>10323</v>
      </c>
      <c r="AB4918" s="13" t="s">
        <v>10324</v>
      </c>
    </row>
    <row r="4919" spans="1:28" ht="15" customHeight="1">
      <c r="A4919" s="2" t="s">
        <v>9031</v>
      </c>
      <c r="B4919" s="2" t="s">
        <v>606</v>
      </c>
      <c r="C4919" s="31" t="s">
        <v>1743</v>
      </c>
      <c r="D4919" s="2" t="s">
        <v>30</v>
      </c>
      <c r="E4919" s="2" t="s">
        <v>31</v>
      </c>
      <c r="F4919" s="11" t="s">
        <v>6382</v>
      </c>
      <c r="G4919" s="21" t="s">
        <v>6372</v>
      </c>
      <c r="H4919" s="2" t="s">
        <v>6941</v>
      </c>
      <c r="I4919" s="12" t="s">
        <v>385</v>
      </c>
      <c r="J4919" s="22">
        <f>+Tabla1[[#This Row],[FECHA ENTRADA]]</f>
        <v>45949</v>
      </c>
      <c r="K4919" s="22">
        <v>46097</v>
      </c>
      <c r="L4919" s="23">
        <f>_xlfn.DAYS(Tabla1[[#This Row],[FECHA FIN ]],Tabla1[[#This Row],[FECHA INICIO]])</f>
        <v>148</v>
      </c>
      <c r="M4919" s="12">
        <v>293.33333333333331</v>
      </c>
      <c r="N4919" s="20"/>
      <c r="O4919" s="24">
        <f>(Tabla1[[#This Row],[COSTO FIJO ]]/30)*Tabla1[[#This Row],[TOTAL DIAS PROYECTO]]+(Tabla1[[#This Row],[COSTO TEMPORAL]])</f>
        <v>293.33333333333331</v>
      </c>
      <c r="P4919" s="12"/>
      <c r="Q4919" s="12">
        <f>+(Tabla1[[#This Row],[COSTO COCHE]]/30)*Tabla1[[#This Row],[TOTAL DIAS PROYECTO]]</f>
        <v>0</v>
      </c>
      <c r="R4919" s="12">
        <f>+Tabla1[[#This Row],[COSTO TOTAL ALOJAMIENTO]]+Tabla1[[#This Row],[COSTO TOTAL COCHE]]</f>
        <v>293.33333333333331</v>
      </c>
      <c r="S4919" s="2"/>
      <c r="T4919" s="14" t="s">
        <v>44</v>
      </c>
      <c r="U4919" s="14">
        <v>45949</v>
      </c>
      <c r="V4919" s="25">
        <v>46100</v>
      </c>
      <c r="W4919" s="71"/>
      <c r="X4919" s="2"/>
      <c r="Y4919" s="11" t="s">
        <v>7049</v>
      </c>
      <c r="Z4919" s="2" t="s">
        <v>36</v>
      </c>
      <c r="AA4919" s="13" t="s">
        <v>10323</v>
      </c>
      <c r="AB4919" s="13" t="s">
        <v>10324</v>
      </c>
    </row>
    <row r="4920" spans="1:28" ht="15" customHeight="1">
      <c r="A4920" s="2" t="s">
        <v>10097</v>
      </c>
      <c r="B4920" s="2" t="s">
        <v>606</v>
      </c>
      <c r="C4920" s="31" t="s">
        <v>6343</v>
      </c>
      <c r="D4920" s="2" t="s">
        <v>30</v>
      </c>
      <c r="E4920" s="2" t="s">
        <v>31</v>
      </c>
      <c r="F4920" s="11" t="s">
        <v>6382</v>
      </c>
      <c r="G4920" s="21" t="s">
        <v>6372</v>
      </c>
      <c r="H4920" s="2" t="s">
        <v>6340</v>
      </c>
      <c r="I4920" s="12" t="s">
        <v>385</v>
      </c>
      <c r="J4920" s="22">
        <f>+Tabla1[[#This Row],[FECHA ENTRADA]]</f>
        <v>46000</v>
      </c>
      <c r="K4920" s="22">
        <v>46097</v>
      </c>
      <c r="L4920" s="23">
        <f>_xlfn.DAYS(Tabla1[[#This Row],[FECHA FIN ]],Tabla1[[#This Row],[FECHA INICIO]])</f>
        <v>97</v>
      </c>
      <c r="M4920" s="12">
        <v>293.33333333333331</v>
      </c>
      <c r="N4920" s="20"/>
      <c r="O4920" s="24">
        <f>(Tabla1[[#This Row],[COSTO FIJO ]]/30)*Tabla1[[#This Row],[TOTAL DIAS PROYECTO]]+(Tabla1[[#This Row],[COSTO TEMPORAL]])</f>
        <v>293.33333333333331</v>
      </c>
      <c r="P4920" s="12"/>
      <c r="Q4920" s="12">
        <f>+(Tabla1[[#This Row],[COSTO COCHE]]/30)*Tabla1[[#This Row],[TOTAL DIAS PROYECTO]]</f>
        <v>0</v>
      </c>
      <c r="R4920" s="12">
        <f>+Tabla1[[#This Row],[COSTO TOTAL ALOJAMIENTO]]+Tabla1[[#This Row],[COSTO TOTAL COCHE]]</f>
        <v>293.33333333333331</v>
      </c>
      <c r="S4920" s="2"/>
      <c r="T4920" s="14" t="s">
        <v>44</v>
      </c>
      <c r="U4920" s="14">
        <v>46000</v>
      </c>
      <c r="V4920" s="25">
        <v>46100</v>
      </c>
      <c r="W4920" s="12"/>
      <c r="X4920" s="2"/>
      <c r="Y4920" s="11" t="s">
        <v>7050</v>
      </c>
      <c r="Z4920" s="2" t="s">
        <v>36</v>
      </c>
      <c r="AA4920" s="13" t="s">
        <v>10323</v>
      </c>
      <c r="AB4920" s="13" t="s">
        <v>10324</v>
      </c>
    </row>
    <row r="4921" spans="1:28" ht="15" customHeight="1">
      <c r="A4921" s="2" t="s">
        <v>8642</v>
      </c>
      <c r="B4921" s="2" t="s">
        <v>606</v>
      </c>
      <c r="C4921" s="31" t="s">
        <v>7051</v>
      </c>
      <c r="D4921" s="2" t="s">
        <v>99</v>
      </c>
      <c r="E4921" s="2" t="s">
        <v>31</v>
      </c>
      <c r="F4921" s="11" t="s">
        <v>6382</v>
      </c>
      <c r="G4921" s="21" t="s">
        <v>6372</v>
      </c>
      <c r="H4921" s="2" t="s">
        <v>7052</v>
      </c>
      <c r="I4921" s="12" t="s">
        <v>385</v>
      </c>
      <c r="J4921" s="22">
        <f>+Tabla1[[#This Row],[FECHA ENTRADA]]</f>
        <v>46048</v>
      </c>
      <c r="K4921" s="22">
        <v>46097</v>
      </c>
      <c r="L4921" s="23">
        <f>_xlfn.DAYS(Tabla1[[#This Row],[FECHA FIN ]],Tabla1[[#This Row],[FECHA INICIO]])</f>
        <v>49</v>
      </c>
      <c r="M4921" s="12">
        <v>293.33333333333331</v>
      </c>
      <c r="N4921" s="20"/>
      <c r="O4921" s="24">
        <f>(Tabla1[[#This Row],[COSTO FIJO ]]/30)*Tabla1[[#This Row],[TOTAL DIAS PROYECTO]]+(Tabla1[[#This Row],[COSTO TEMPORAL]])</f>
        <v>293.33333333333331</v>
      </c>
      <c r="P4921" s="12"/>
      <c r="Q4921" s="12">
        <f>+(Tabla1[[#This Row],[COSTO COCHE]]/30)*Tabla1[[#This Row],[TOTAL DIAS PROYECTO]]</f>
        <v>0</v>
      </c>
      <c r="R4921" s="12">
        <f>+Tabla1[[#This Row],[COSTO TOTAL ALOJAMIENTO]]+Tabla1[[#This Row],[COSTO TOTAL COCHE]]</f>
        <v>293.33333333333331</v>
      </c>
      <c r="S4921" s="2"/>
      <c r="T4921" s="14" t="s">
        <v>44</v>
      </c>
      <c r="U4921" s="14">
        <v>46048</v>
      </c>
      <c r="V4921" s="79">
        <v>46105</v>
      </c>
      <c r="W4921" s="12"/>
      <c r="X4921" s="2"/>
      <c r="Y4921" s="11" t="s">
        <v>7049</v>
      </c>
      <c r="Z4921" s="2" t="s">
        <v>36</v>
      </c>
      <c r="AA4921" s="13" t="s">
        <v>10323</v>
      </c>
      <c r="AB4921" s="13" t="s">
        <v>10324</v>
      </c>
    </row>
    <row r="4922" spans="1:28" ht="15" customHeight="1">
      <c r="A4922" s="2" t="s">
        <v>10002</v>
      </c>
      <c r="B4922" s="2" t="s">
        <v>711</v>
      </c>
      <c r="C4922" s="31" t="s">
        <v>5891</v>
      </c>
      <c r="D4922" s="2" t="s">
        <v>99</v>
      </c>
      <c r="E4922" s="2" t="s">
        <v>253</v>
      </c>
      <c r="F4922" s="11" t="s">
        <v>771</v>
      </c>
      <c r="G4922" s="128" t="s">
        <v>772</v>
      </c>
      <c r="H4922" s="2" t="s">
        <v>7053</v>
      </c>
      <c r="I4922" s="12" t="s">
        <v>7020</v>
      </c>
      <c r="J4922" s="22">
        <f>+Tabla1[[#This Row],[FECHA ENTRADA]]</f>
        <v>45987</v>
      </c>
      <c r="K4922" s="22">
        <v>46098</v>
      </c>
      <c r="L4922" s="23">
        <f>_xlfn.DAYS(Tabla1[[#This Row],[FECHA FIN ]],Tabla1[[#This Row],[FECHA INICIO]])</f>
        <v>111</v>
      </c>
      <c r="M4922" s="12"/>
      <c r="N4922" s="20">
        <v>320</v>
      </c>
      <c r="O4922" s="24">
        <f>(Tabla1[[#This Row],[COSTO FIJO ]]/30)*Tabla1[[#This Row],[TOTAL DIAS PROYECTO]]+(Tabla1[[#This Row],[COSTO TEMPORAL]])</f>
        <v>1184</v>
      </c>
      <c r="P4922" s="12"/>
      <c r="Q4922" s="12">
        <f>+(Tabla1[[#This Row],[COSTO COCHE]]/30)*Tabla1[[#This Row],[TOTAL DIAS PROYECTO]]</f>
        <v>0</v>
      </c>
      <c r="R4922" s="12">
        <f>+Tabla1[[#This Row],[COSTO TOTAL ALOJAMIENTO]]+Tabla1[[#This Row],[COSTO TOTAL COCHE]]</f>
        <v>1184</v>
      </c>
      <c r="S4922" s="2"/>
      <c r="T4922" s="14" t="s">
        <v>35</v>
      </c>
      <c r="U4922" s="14">
        <v>45987</v>
      </c>
      <c r="V4922" s="79"/>
      <c r="W4922" s="12"/>
      <c r="X4922" s="2">
        <v>5</v>
      </c>
      <c r="Y4922" s="11" t="s">
        <v>7054</v>
      </c>
      <c r="Z4922" s="2" t="s">
        <v>36</v>
      </c>
      <c r="AA4922" s="13" t="s">
        <v>10357</v>
      </c>
      <c r="AB4922" s="13" t="s">
        <v>10358</v>
      </c>
    </row>
    <row r="4923" spans="1:28" ht="15" customHeight="1">
      <c r="A4923" s="2" t="s">
        <v>8973</v>
      </c>
      <c r="B4923" s="2" t="s">
        <v>368</v>
      </c>
      <c r="C4923" s="11" t="s">
        <v>1560</v>
      </c>
      <c r="D4923" s="2" t="s">
        <v>30</v>
      </c>
      <c r="E4923" s="2" t="s">
        <v>109</v>
      </c>
      <c r="F4923" s="11" t="s">
        <v>4434</v>
      </c>
      <c r="G4923" s="49">
        <v>973266788</v>
      </c>
      <c r="H4923" s="2" t="s">
        <v>1561</v>
      </c>
      <c r="I4923" s="12" t="s">
        <v>1562</v>
      </c>
      <c r="J4923" s="22">
        <f>+Tabla1[[#This Row],[FECHA ENTRADA]]</f>
        <v>45925</v>
      </c>
      <c r="K4923" s="22">
        <v>45936</v>
      </c>
      <c r="L4923" s="23">
        <f>_xlfn.DAYS(Tabla1[[#This Row],[FECHA FIN ]],Tabla1[[#This Row],[FECHA INICIO]])</f>
        <v>11</v>
      </c>
      <c r="M4923" s="12"/>
      <c r="N4923" s="20"/>
      <c r="O4923" s="24">
        <f>(Tabla1[[#This Row],[COSTO FIJO ]]/30)*Tabla1[[#This Row],[TOTAL DIAS PROYECTO]]+(Tabla1[[#This Row],[COSTO TEMPORAL]])</f>
        <v>0</v>
      </c>
      <c r="P4923" s="12"/>
      <c r="Q4923" s="12">
        <f>+(Tabla1[[#This Row],[COSTO COCHE]]/30)*Tabla1[[#This Row],[TOTAL DIAS PROYECTO]]</f>
        <v>0</v>
      </c>
      <c r="R4923" s="12">
        <f>+Tabla1[[#This Row],[COSTO TOTAL ALOJAMIENTO]]+Tabla1[[#This Row],[COSTO TOTAL COCHE]]</f>
        <v>0</v>
      </c>
      <c r="S4923" s="2"/>
      <c r="T4923" s="14" t="s">
        <v>44</v>
      </c>
      <c r="U4923" s="14">
        <v>45925</v>
      </c>
      <c r="V4923" s="25">
        <v>45936</v>
      </c>
      <c r="W4923" s="71"/>
      <c r="X4923" s="2"/>
      <c r="Y4923" s="11" t="s">
        <v>7055</v>
      </c>
      <c r="Z4923" s="2" t="s">
        <v>36</v>
      </c>
      <c r="AA4923" s="13">
        <v>0.62217999999999996</v>
      </c>
      <c r="AB4923" s="13" t="s">
        <v>10339</v>
      </c>
    </row>
    <row r="4924" spans="1:28" ht="15" customHeight="1">
      <c r="A4924" s="2" t="s">
        <v>10193</v>
      </c>
      <c r="B4924" s="2" t="s">
        <v>28</v>
      </c>
      <c r="C4924" s="11" t="s">
        <v>7036</v>
      </c>
      <c r="D4924" s="2" t="s">
        <v>30</v>
      </c>
      <c r="E4924" s="2" t="s">
        <v>92</v>
      </c>
      <c r="F4924" s="11"/>
      <c r="G4924" s="11" t="s">
        <v>7056</v>
      </c>
      <c r="H4924" s="2" t="s">
        <v>3146</v>
      </c>
      <c r="I4924" s="12" t="s">
        <v>96</v>
      </c>
      <c r="J4924" s="8">
        <f>+Tabla1[[#This Row],[FECHA ENTRADA]]</f>
        <v>45399</v>
      </c>
      <c r="K4924" s="22">
        <v>45821</v>
      </c>
      <c r="L4924" s="13">
        <f>_xlfn.DAYS(Tabla1[[#This Row],[FECHA FIN ]],Tabla1[[#This Row],[FECHA INICIO]])</f>
        <v>422</v>
      </c>
      <c r="M4924" s="12"/>
      <c r="N4924" s="12"/>
      <c r="O4924" s="12">
        <f>(Tabla1[[#This Row],[COSTO FIJO ]]/30)*Tabla1[[#This Row],[TOTAL DIAS PROYECTO]]+(Tabla1[[#This Row],[COSTO TEMPORAL]])</f>
        <v>0</v>
      </c>
      <c r="P4924" s="12"/>
      <c r="Q4924" s="12">
        <f>+(Tabla1[[#This Row],[COSTO COCHE]]/30)*Tabla1[[#This Row],[TOTAL DIAS PROYECTO]]</f>
        <v>0</v>
      </c>
      <c r="R4924" s="12">
        <f>+Tabla1[[#This Row],[COSTO TOTAL ALOJAMIENTO]]+Tabla1[[#This Row],[COSTO TOTAL COCHE]]</f>
        <v>0</v>
      </c>
      <c r="S4924" s="2"/>
      <c r="T4924" s="2" t="s">
        <v>35</v>
      </c>
      <c r="U4924" s="14">
        <v>45399</v>
      </c>
      <c r="V4924" s="14"/>
      <c r="W4924" s="15"/>
      <c r="X4924" s="16">
        <v>16</v>
      </c>
      <c r="Y4924" s="11" t="s">
        <v>7038</v>
      </c>
      <c r="Z4924" s="2" t="s">
        <v>36</v>
      </c>
      <c r="AA4924" s="13" t="s">
        <v>10336</v>
      </c>
      <c r="AB4924" s="13" t="s">
        <v>10337</v>
      </c>
    </row>
    <row r="4925" spans="1:28" ht="15" customHeight="1">
      <c r="A4925" s="2" t="s">
        <v>9174</v>
      </c>
      <c r="B4925" s="2" t="s">
        <v>368</v>
      </c>
      <c r="C4925" s="31" t="s">
        <v>2319</v>
      </c>
      <c r="D4925" s="2" t="s">
        <v>99</v>
      </c>
      <c r="E4925" s="2" t="s">
        <v>109</v>
      </c>
      <c r="F4925" s="11" t="s">
        <v>4434</v>
      </c>
      <c r="G4925" s="49">
        <v>973266788</v>
      </c>
      <c r="H4925" s="2" t="s">
        <v>3921</v>
      </c>
      <c r="I4925" s="12" t="s">
        <v>1830</v>
      </c>
      <c r="J4925" s="22">
        <f>+Tabla1[[#This Row],[FECHA ENTRADA]]</f>
        <v>45925</v>
      </c>
      <c r="K4925" s="22">
        <v>45967</v>
      </c>
      <c r="L4925" s="23">
        <f>_xlfn.DAYS(Tabla1[[#This Row],[FECHA FIN ]],Tabla1[[#This Row],[FECHA INICIO]])</f>
        <v>42</v>
      </c>
      <c r="M4925" s="12"/>
      <c r="N4925" s="20"/>
      <c r="O4925" s="24">
        <f>(Tabla1[[#This Row],[COSTO FIJO ]]/30)*Tabla1[[#This Row],[TOTAL DIAS PROYECTO]]+(Tabla1[[#This Row],[COSTO TEMPORAL]])</f>
        <v>0</v>
      </c>
      <c r="P4925" s="12"/>
      <c r="Q4925" s="12">
        <f>+(Tabla1[[#This Row],[COSTO COCHE]]/30)*Tabla1[[#This Row],[TOTAL DIAS PROYECTO]]</f>
        <v>0</v>
      </c>
      <c r="R4925" s="12">
        <f>+Tabla1[[#This Row],[COSTO TOTAL ALOJAMIENTO]]+Tabla1[[#This Row],[COSTO TOTAL COCHE]]</f>
        <v>0</v>
      </c>
      <c r="S4925" s="2"/>
      <c r="T4925" s="14" t="s">
        <v>44</v>
      </c>
      <c r="U4925" s="14">
        <v>45925</v>
      </c>
      <c r="V4925" s="25">
        <v>45969</v>
      </c>
      <c r="W4925" s="71"/>
      <c r="X4925" s="2"/>
      <c r="Y4925" s="202" t="s">
        <v>4587</v>
      </c>
      <c r="Z4925" s="2" t="s">
        <v>36</v>
      </c>
      <c r="AA4925" s="13">
        <v>0.62217999999999996</v>
      </c>
      <c r="AB4925" s="13" t="s">
        <v>10339</v>
      </c>
    </row>
    <row r="4926" spans="1:28" ht="15.75" customHeight="1">
      <c r="A4926" s="2" t="s">
        <v>8973</v>
      </c>
      <c r="B4926" s="2" t="s">
        <v>606</v>
      </c>
      <c r="C4926" s="31" t="s">
        <v>1560</v>
      </c>
      <c r="D4926" s="2" t="s">
        <v>30</v>
      </c>
      <c r="E4926" s="2" t="s">
        <v>109</v>
      </c>
      <c r="F4926" s="11"/>
      <c r="G4926" s="49"/>
      <c r="H4926" s="2" t="s">
        <v>1561</v>
      </c>
      <c r="I4926" s="12" t="s">
        <v>1562</v>
      </c>
      <c r="J4926" s="22">
        <f>+Tabla1[[#This Row],[FECHA ENTRADA]]</f>
        <v>45936</v>
      </c>
      <c r="K4926" s="22">
        <v>46100</v>
      </c>
      <c r="L4926" s="23">
        <f>_xlfn.DAYS(Tabla1[[#This Row],[FECHA FIN ]],Tabla1[[#This Row],[FECHA INICIO]])</f>
        <v>164</v>
      </c>
      <c r="M4926" s="12"/>
      <c r="N4926" s="24">
        <v>300</v>
      </c>
      <c r="O4926" s="24">
        <f>(Tabla1[[#This Row],[COSTO FIJO ]]/30)*Tabla1[[#This Row],[TOTAL DIAS PROYECTO]]+(Tabla1[[#This Row],[COSTO TEMPORAL]])</f>
        <v>1640</v>
      </c>
      <c r="P4926" s="12"/>
      <c r="Q4926" s="12">
        <f>+(Tabla1[[#This Row],[COSTO COCHE]]/30)*Tabla1[[#This Row],[TOTAL DIAS PROYECTO]]</f>
        <v>0</v>
      </c>
      <c r="R4926" s="12">
        <f>+Tabla1[[#This Row],[COSTO TOTAL ALOJAMIENTO]]+Tabla1[[#This Row],[COSTO TOTAL COCHE]]</f>
        <v>1640</v>
      </c>
      <c r="S4926" s="2"/>
      <c r="T4926" s="14" t="s">
        <v>58</v>
      </c>
      <c r="U4926" s="14">
        <v>45936</v>
      </c>
      <c r="V4926" s="25"/>
      <c r="W4926" s="71"/>
      <c r="X4926" s="2"/>
      <c r="Y4926" s="11" t="s">
        <v>7057</v>
      </c>
      <c r="Z4926" s="2" t="s">
        <v>36</v>
      </c>
      <c r="AA4926" s="13">
        <v>0.62217999999999996</v>
      </c>
      <c r="AB4926" s="13" t="s">
        <v>10339</v>
      </c>
    </row>
    <row r="4927" spans="1:28" ht="15" customHeight="1">
      <c r="A4927" s="2" t="s">
        <v>10091</v>
      </c>
      <c r="B4927" s="2" t="s">
        <v>368</v>
      </c>
      <c r="C4927" s="69" t="s">
        <v>6323</v>
      </c>
      <c r="D4927" s="2" t="s">
        <v>99</v>
      </c>
      <c r="E4927" s="2" t="s">
        <v>422</v>
      </c>
      <c r="F4927" s="11" t="s">
        <v>4786</v>
      </c>
      <c r="G4927" s="197" t="s">
        <v>4787</v>
      </c>
      <c r="H4927" s="2" t="s">
        <v>7058</v>
      </c>
      <c r="I4927" s="12" t="s">
        <v>4327</v>
      </c>
      <c r="J4927" s="22">
        <f>+Tabla1[[#This Row],[FECHA ENTRADA]]</f>
        <v>45936</v>
      </c>
      <c r="K4927" s="22">
        <v>45962</v>
      </c>
      <c r="L4927" s="23">
        <f>_xlfn.DAYS(Tabla1[[#This Row],[FECHA FIN ]],Tabla1[[#This Row],[FECHA INICIO]])</f>
        <v>26</v>
      </c>
      <c r="M4927" s="12"/>
      <c r="N4927" s="20">
        <v>400</v>
      </c>
      <c r="O4927" s="24">
        <f>(Tabla1[[#This Row],[COSTO FIJO ]]/30)*Tabla1[[#This Row],[TOTAL DIAS PROYECTO]]+(Tabla1[[#This Row],[COSTO TEMPORAL]])</f>
        <v>346.66666666666669</v>
      </c>
      <c r="P4927" s="12"/>
      <c r="Q4927" s="12">
        <f>+(Tabla1[[#This Row],[COSTO COCHE]]/30)*Tabla1[[#This Row],[TOTAL DIAS PROYECTO]]</f>
        <v>0</v>
      </c>
      <c r="R4927" s="12">
        <f>+Tabla1[[#This Row],[COSTO TOTAL ALOJAMIENTO]]+Tabla1[[#This Row],[COSTO TOTAL COCHE]]</f>
        <v>346.66666666666669</v>
      </c>
      <c r="S4927" s="2"/>
      <c r="T4927" s="14" t="s">
        <v>35</v>
      </c>
      <c r="U4927" s="14">
        <v>45936</v>
      </c>
      <c r="V4927" s="79"/>
      <c r="W4927" s="71">
        <v>2100</v>
      </c>
      <c r="X4927" s="2">
        <v>5</v>
      </c>
      <c r="Y4927" s="11" t="s">
        <v>7059</v>
      </c>
      <c r="Z4927" s="2" t="s">
        <v>36</v>
      </c>
      <c r="AA4927" s="13">
        <v>-326.69799999999998</v>
      </c>
      <c r="AB4927" s="13" t="s">
        <v>10373</v>
      </c>
    </row>
    <row r="4928" spans="1:28" ht="15" customHeight="1">
      <c r="A4928" s="2" t="s">
        <v>10064</v>
      </c>
      <c r="B4928" s="2" t="s">
        <v>711</v>
      </c>
      <c r="C4928" s="31" t="s">
        <v>6176</v>
      </c>
      <c r="D4928" s="2" t="s">
        <v>30</v>
      </c>
      <c r="E4928" s="2" t="s">
        <v>415</v>
      </c>
      <c r="F4928" s="11" t="s">
        <v>5821</v>
      </c>
      <c r="G4928" s="128" t="s">
        <v>1413</v>
      </c>
      <c r="H4928" s="2" t="s">
        <v>7060</v>
      </c>
      <c r="I4928" s="12" t="s">
        <v>800</v>
      </c>
      <c r="J4928" s="41">
        <f>+Tabla1[[#This Row],[FECHA ENTRADA]]</f>
        <v>45977</v>
      </c>
      <c r="K4928" s="22">
        <v>46099</v>
      </c>
      <c r="L4928" s="42">
        <f>_xlfn.DAYS(Tabla1[[#This Row],[FECHA FIN ]],Tabla1[[#This Row],[FECHA INICIO]])</f>
        <v>122</v>
      </c>
      <c r="M4928" s="12"/>
      <c r="N4928" s="28">
        <v>450</v>
      </c>
      <c r="O4928" s="28">
        <f>(Tabla1[[#This Row],[COSTO FIJO ]]/30)*Tabla1[[#This Row],[TOTAL DIAS PROYECTO]]+(Tabla1[[#This Row],[COSTO TEMPORAL]])</f>
        <v>1830</v>
      </c>
      <c r="P4928" s="12"/>
      <c r="Q4928" s="12">
        <f>+(Tabla1[[#This Row],[COSTO COCHE]]/30)*Tabla1[[#This Row],[TOTAL DIAS PROYECTO]]</f>
        <v>0</v>
      </c>
      <c r="R4928" s="12">
        <f>+Tabla1[[#This Row],[COSTO TOTAL ALOJAMIENTO]]+Tabla1[[#This Row],[COSTO TOTAL COCHE]]</f>
        <v>1830</v>
      </c>
      <c r="S4928" s="2"/>
      <c r="T4928" s="14" t="s">
        <v>35</v>
      </c>
      <c r="U4928" s="14">
        <v>45977</v>
      </c>
      <c r="V4928" s="43"/>
      <c r="W4928" s="71"/>
      <c r="X4928" s="2">
        <v>1</v>
      </c>
      <c r="Y4928" s="11" t="s">
        <v>7061</v>
      </c>
      <c r="Z4928" s="2" t="s">
        <v>36</v>
      </c>
      <c r="AA4928" s="13">
        <v>-0.37739</v>
      </c>
      <c r="AB4928" s="13" t="s">
        <v>10372</v>
      </c>
    </row>
    <row r="4929" spans="1:28" ht="15" customHeight="1">
      <c r="A4929" s="2" t="s">
        <v>9117</v>
      </c>
      <c r="B4929" s="2" t="s">
        <v>606</v>
      </c>
      <c r="C4929" s="31" t="s">
        <v>2068</v>
      </c>
      <c r="D4929" s="2" t="s">
        <v>30</v>
      </c>
      <c r="E4929" s="2" t="s">
        <v>415</v>
      </c>
      <c r="F4929" s="11" t="s">
        <v>487</v>
      </c>
      <c r="G4929" s="49" t="s">
        <v>488</v>
      </c>
      <c r="H4929" s="2" t="s">
        <v>6085</v>
      </c>
      <c r="I4929" s="12" t="s">
        <v>34</v>
      </c>
      <c r="J4929" s="22">
        <f>+Tabla1[[#This Row],[FECHA ENTRADA]]</f>
        <v>46039</v>
      </c>
      <c r="K4929" s="22">
        <v>46038</v>
      </c>
      <c r="L4929" s="23">
        <f>_xlfn.DAYS(Tabla1[[#This Row],[FECHA FIN ]],Tabla1[[#This Row],[FECHA INICIO]])</f>
        <v>-1</v>
      </c>
      <c r="M4929" s="12"/>
      <c r="N4929" s="24">
        <v>287.5</v>
      </c>
      <c r="O4929" s="24">
        <f>(Tabla1[[#This Row],[COSTO FIJO ]]/30)*Tabla1[[#This Row],[TOTAL DIAS PROYECTO]]+(Tabla1[[#This Row],[COSTO TEMPORAL]])</f>
        <v>-9.5833333333333339</v>
      </c>
      <c r="P4929" s="12"/>
      <c r="Q4929" s="12">
        <f>+(Tabla1[[#This Row],[COSTO COCHE]]/30)*Tabla1[[#This Row],[TOTAL DIAS PROYECTO]]</f>
        <v>0</v>
      </c>
      <c r="R4929" s="12">
        <f>+Tabla1[[#This Row],[COSTO TOTAL ALOJAMIENTO]]+Tabla1[[#This Row],[COSTO TOTAL COCHE]]</f>
        <v>-9.5833333333333339</v>
      </c>
      <c r="S4929" s="2"/>
      <c r="T4929" s="14" t="s">
        <v>35</v>
      </c>
      <c r="U4929" s="14">
        <v>46039</v>
      </c>
      <c r="V4929" s="79"/>
      <c r="W4929" s="12"/>
      <c r="X4929" s="2">
        <v>1</v>
      </c>
      <c r="Y4929" s="11" t="s">
        <v>6595</v>
      </c>
      <c r="Z4929" s="2" t="s">
        <v>36</v>
      </c>
      <c r="AA4929" s="13">
        <v>-0.37739</v>
      </c>
      <c r="AB4929" s="13" t="s">
        <v>10372</v>
      </c>
    </row>
    <row r="4930" spans="1:28" ht="15" customHeight="1">
      <c r="A4930" s="2" t="s">
        <v>9382</v>
      </c>
      <c r="B4930" s="2" t="s">
        <v>606</v>
      </c>
      <c r="C4930" s="31" t="s">
        <v>2996</v>
      </c>
      <c r="D4930" s="2" t="s">
        <v>30</v>
      </c>
      <c r="E4930" s="2" t="s">
        <v>31</v>
      </c>
      <c r="F4930" s="11" t="s">
        <v>6382</v>
      </c>
      <c r="G4930" s="21" t="s">
        <v>6372</v>
      </c>
      <c r="H4930" s="2" t="s">
        <v>7062</v>
      </c>
      <c r="I4930" s="12" t="s">
        <v>385</v>
      </c>
      <c r="J4930" s="41">
        <f>+Tabla1[[#This Row],[FECHA ENTRADA]]</f>
        <v>46083</v>
      </c>
      <c r="K4930" s="22">
        <v>46097</v>
      </c>
      <c r="L4930" s="42">
        <f>_xlfn.DAYS(Tabla1[[#This Row],[FECHA FIN ]],Tabla1[[#This Row],[FECHA INICIO]])</f>
        <v>14</v>
      </c>
      <c r="M4930" s="12">
        <v>293.33333333333331</v>
      </c>
      <c r="N4930" s="28"/>
      <c r="O4930" s="28">
        <f>(Tabla1[[#This Row],[COSTO FIJO ]]/30)*Tabla1[[#This Row],[TOTAL DIAS PROYECTO]]+(Tabla1[[#This Row],[COSTO TEMPORAL]])</f>
        <v>293.33333333333331</v>
      </c>
      <c r="P4930" s="12"/>
      <c r="Q4930" s="12">
        <f>+(Tabla1[[#This Row],[COSTO COCHE]]/30)*Tabla1[[#This Row],[TOTAL DIAS PROYECTO]]</f>
        <v>0</v>
      </c>
      <c r="R4930" s="12">
        <f>+Tabla1[[#This Row],[COSTO TOTAL ALOJAMIENTO]]+Tabla1[[#This Row],[COSTO TOTAL COCHE]]</f>
        <v>293.33333333333331</v>
      </c>
      <c r="S4930" s="2"/>
      <c r="T4930" s="14" t="s">
        <v>44</v>
      </c>
      <c r="U4930" s="14">
        <v>46083</v>
      </c>
      <c r="V4930" s="79">
        <v>46105</v>
      </c>
      <c r="W4930" s="12"/>
      <c r="X4930" s="2"/>
      <c r="Y4930" s="11" t="s">
        <v>7063</v>
      </c>
      <c r="Z4930" s="2" t="s">
        <v>36</v>
      </c>
      <c r="AA4930" s="13" t="s">
        <v>10323</v>
      </c>
      <c r="AB4930" s="13" t="s">
        <v>10324</v>
      </c>
    </row>
    <row r="4931" spans="1:28" ht="15" customHeight="1">
      <c r="A4931" s="2" t="s">
        <v>9879</v>
      </c>
      <c r="B4931" s="2" t="s">
        <v>28</v>
      </c>
      <c r="C4931" s="11" t="s">
        <v>5202</v>
      </c>
      <c r="D4931" s="2" t="s">
        <v>99</v>
      </c>
      <c r="E4931" s="2" t="s">
        <v>720</v>
      </c>
      <c r="F4931" s="11" t="s">
        <v>4583</v>
      </c>
      <c r="G4931" s="70" t="s">
        <v>4584</v>
      </c>
      <c r="H4931" s="2" t="s">
        <v>5201</v>
      </c>
      <c r="I4931" s="12" t="s">
        <v>2176</v>
      </c>
      <c r="J4931" s="22">
        <f>+Tabla1[[#This Row],[FECHA ENTRADA]]</f>
        <v>45916</v>
      </c>
      <c r="K4931" s="22">
        <v>46006</v>
      </c>
      <c r="L4931" s="23">
        <f>_xlfn.DAYS(Tabla1[[#This Row],[FECHA FIN ]],Tabla1[[#This Row],[FECHA INICIO]])</f>
        <v>90</v>
      </c>
      <c r="M4931" s="12"/>
      <c r="N4931" s="24">
        <v>250</v>
      </c>
      <c r="O4931" s="24">
        <f>(Tabla1[[#This Row],[COSTO FIJO ]]/30)*Tabla1[[#This Row],[TOTAL DIAS PROYECTO]]+(Tabla1[[#This Row],[COSTO TEMPORAL]])</f>
        <v>750</v>
      </c>
      <c r="P4931" s="12"/>
      <c r="Q4931" s="12">
        <f>+(Tabla1[[#This Row],[COSTO COCHE]]/30)*Tabla1[[#This Row],[TOTAL DIAS PROYECTO]]</f>
        <v>0</v>
      </c>
      <c r="R4931" s="12">
        <f>+Tabla1[[#This Row],[COSTO TOTAL ALOJAMIENTO]]+Tabla1[[#This Row],[COSTO TOTAL COCHE]]</f>
        <v>750</v>
      </c>
      <c r="S4931" s="2"/>
      <c r="T4931" s="14" t="s">
        <v>35</v>
      </c>
      <c r="U4931" s="14">
        <v>45916</v>
      </c>
      <c r="V4931" s="25"/>
      <c r="W4931" s="71"/>
      <c r="X4931" s="2">
        <v>1</v>
      </c>
      <c r="Y4931" s="11"/>
      <c r="Z4931" s="2" t="s">
        <v>36</v>
      </c>
      <c r="AA4931" s="13" t="s">
        <v>10394</v>
      </c>
      <c r="AB4931" s="13" t="s">
        <v>10395</v>
      </c>
    </row>
    <row r="4932" spans="1:28" ht="15" customHeight="1">
      <c r="A4932" s="117" t="s">
        <v>10196</v>
      </c>
      <c r="B4932" s="117" t="s">
        <v>606</v>
      </c>
      <c r="C4932" s="118" t="s">
        <v>7064</v>
      </c>
      <c r="D4932" s="117" t="s">
        <v>30</v>
      </c>
      <c r="E4932" s="117" t="s">
        <v>648</v>
      </c>
      <c r="F4932" s="11" t="s">
        <v>7065</v>
      </c>
      <c r="G4932" s="128" t="s">
        <v>7066</v>
      </c>
      <c r="H4932" s="117" t="s">
        <v>4662</v>
      </c>
      <c r="I4932" s="119" t="s">
        <v>4663</v>
      </c>
      <c r="J4932" s="121">
        <f>+Tabla1[[#This Row],[FECHA ENTRADA]]</f>
        <v>46070</v>
      </c>
      <c r="K4932" s="121">
        <v>46100</v>
      </c>
      <c r="L4932" s="129">
        <f>_xlfn.DAYS(Tabla1[[#This Row],[FECHA FIN ]],Tabla1[[#This Row],[FECHA INICIO]])</f>
        <v>30</v>
      </c>
      <c r="M4932" s="119">
        <f>1539.25/4</f>
        <v>384.8125</v>
      </c>
      <c r="N4932" s="131"/>
      <c r="O4932" s="131">
        <f>(Tabla1[[#This Row],[COSTO FIJO ]]/30)*Tabla1[[#This Row],[TOTAL DIAS PROYECTO]]+(Tabla1[[#This Row],[COSTO TEMPORAL]])</f>
        <v>384.8125</v>
      </c>
      <c r="P4932" s="119"/>
      <c r="Q4932" s="119">
        <f>+(Tabla1[[#This Row],[COSTO COCHE]]/30)*Tabla1[[#This Row],[TOTAL DIAS PROYECTO]]</f>
        <v>0</v>
      </c>
      <c r="R4932" s="119">
        <f>+Tabla1[[#This Row],[COSTO TOTAL ALOJAMIENTO]]+Tabla1[[#This Row],[COSTO TOTAL COCHE]]</f>
        <v>384.8125</v>
      </c>
      <c r="S4932" s="117" t="s">
        <v>84</v>
      </c>
      <c r="T4932" s="124" t="s">
        <v>44</v>
      </c>
      <c r="U4932" s="124">
        <v>46070</v>
      </c>
      <c r="V4932" s="125">
        <v>46101</v>
      </c>
      <c r="W4932" s="119"/>
      <c r="X4932" s="117"/>
      <c r="Y4932" s="118" t="s">
        <v>7067</v>
      </c>
      <c r="Z4932" s="117" t="s">
        <v>36</v>
      </c>
      <c r="AA4932" s="127" t="s">
        <v>10387</v>
      </c>
      <c r="AB4932" s="127" t="s">
        <v>10388</v>
      </c>
    </row>
    <row r="4933" spans="1:28" ht="15" customHeight="1">
      <c r="A4933" s="117" t="s">
        <v>9770</v>
      </c>
      <c r="B4933" s="117" t="s">
        <v>606</v>
      </c>
      <c r="C4933" s="118" t="s">
        <v>4661</v>
      </c>
      <c r="D4933" s="117" t="s">
        <v>30</v>
      </c>
      <c r="E4933" s="117" t="s">
        <v>648</v>
      </c>
      <c r="F4933" s="11" t="s">
        <v>7065</v>
      </c>
      <c r="G4933" s="197" t="s">
        <v>7066</v>
      </c>
      <c r="H4933" s="117" t="s">
        <v>4662</v>
      </c>
      <c r="I4933" s="119" t="s">
        <v>4663</v>
      </c>
      <c r="J4933" s="121">
        <f>+Tabla1[[#This Row],[FECHA ENTRADA]]</f>
        <v>46070</v>
      </c>
      <c r="K4933" s="121">
        <v>46100</v>
      </c>
      <c r="L4933" s="129">
        <f>_xlfn.DAYS(Tabla1[[#This Row],[FECHA FIN ]],Tabla1[[#This Row],[FECHA INICIO]])</f>
        <v>30</v>
      </c>
      <c r="M4933" s="119">
        <f>1539.25/4</f>
        <v>384.8125</v>
      </c>
      <c r="N4933" s="131"/>
      <c r="O4933" s="131">
        <f>(Tabla1[[#This Row],[COSTO FIJO ]]/30)*Tabla1[[#This Row],[TOTAL DIAS PROYECTO]]+(Tabla1[[#This Row],[COSTO TEMPORAL]])</f>
        <v>384.8125</v>
      </c>
      <c r="P4933" s="119"/>
      <c r="Q4933" s="119">
        <f>+(Tabla1[[#This Row],[COSTO COCHE]]/30)*Tabla1[[#This Row],[TOTAL DIAS PROYECTO]]</f>
        <v>0</v>
      </c>
      <c r="R4933" s="119">
        <f>+Tabla1[[#This Row],[COSTO TOTAL ALOJAMIENTO]]+Tabla1[[#This Row],[COSTO TOTAL COCHE]]</f>
        <v>384.8125</v>
      </c>
      <c r="S4933" s="117" t="s">
        <v>84</v>
      </c>
      <c r="T4933" s="124" t="s">
        <v>44</v>
      </c>
      <c r="U4933" s="124">
        <v>46070</v>
      </c>
      <c r="V4933" s="125">
        <v>46101</v>
      </c>
      <c r="W4933" s="119"/>
      <c r="X4933" s="117"/>
      <c r="Y4933" s="118" t="s">
        <v>7067</v>
      </c>
      <c r="Z4933" s="117" t="s">
        <v>36</v>
      </c>
      <c r="AA4933" s="127" t="s">
        <v>10387</v>
      </c>
      <c r="AB4933" s="127" t="s">
        <v>10388</v>
      </c>
    </row>
    <row r="4934" spans="1:28" ht="15" customHeight="1">
      <c r="A4934" s="117" t="s">
        <v>9431</v>
      </c>
      <c r="B4934" s="117" t="s">
        <v>606</v>
      </c>
      <c r="C4934" s="118" t="s">
        <v>3165</v>
      </c>
      <c r="D4934" s="117" t="s">
        <v>30</v>
      </c>
      <c r="E4934" s="117" t="s">
        <v>648</v>
      </c>
      <c r="F4934" s="11" t="s">
        <v>7065</v>
      </c>
      <c r="G4934" s="128" t="s">
        <v>7066</v>
      </c>
      <c r="H4934" s="117" t="s">
        <v>6822</v>
      </c>
      <c r="I4934" s="119" t="s">
        <v>4663</v>
      </c>
      <c r="J4934" s="121">
        <f>+Tabla1[[#This Row],[FECHA ENTRADA]]</f>
        <v>46070</v>
      </c>
      <c r="K4934" s="121">
        <v>46100</v>
      </c>
      <c r="L4934" s="129">
        <f>_xlfn.DAYS(Tabla1[[#This Row],[FECHA FIN ]],Tabla1[[#This Row],[FECHA INICIO]])</f>
        <v>30</v>
      </c>
      <c r="M4934" s="119">
        <f>1539.25/4</f>
        <v>384.8125</v>
      </c>
      <c r="N4934" s="131"/>
      <c r="O4934" s="131">
        <f>(Tabla1[[#This Row],[COSTO FIJO ]]/30)*Tabla1[[#This Row],[TOTAL DIAS PROYECTO]]+(Tabla1[[#This Row],[COSTO TEMPORAL]])</f>
        <v>384.8125</v>
      </c>
      <c r="P4934" s="119"/>
      <c r="Q4934" s="119">
        <f>+(Tabla1[[#This Row],[COSTO COCHE]]/30)*Tabla1[[#This Row],[TOTAL DIAS PROYECTO]]</f>
        <v>0</v>
      </c>
      <c r="R4934" s="119">
        <f>+Tabla1[[#This Row],[COSTO TOTAL ALOJAMIENTO]]+Tabla1[[#This Row],[COSTO TOTAL COCHE]]</f>
        <v>384.8125</v>
      </c>
      <c r="S4934" s="117" t="s">
        <v>84</v>
      </c>
      <c r="T4934" s="124" t="s">
        <v>44</v>
      </c>
      <c r="U4934" s="124">
        <v>46070</v>
      </c>
      <c r="V4934" s="125">
        <v>46101</v>
      </c>
      <c r="W4934" s="119"/>
      <c r="X4934" s="117"/>
      <c r="Y4934" s="118" t="s">
        <v>7067</v>
      </c>
      <c r="Z4934" s="117" t="s">
        <v>36</v>
      </c>
      <c r="AA4934" s="127" t="s">
        <v>10387</v>
      </c>
      <c r="AB4934" s="127" t="s">
        <v>10388</v>
      </c>
    </row>
    <row r="4935" spans="1:28" ht="15" customHeight="1">
      <c r="A4935" s="117" t="s">
        <v>8885</v>
      </c>
      <c r="B4935" s="117" t="s">
        <v>606</v>
      </c>
      <c r="C4935" s="118" t="s">
        <v>1167</v>
      </c>
      <c r="D4935" s="117" t="s">
        <v>30</v>
      </c>
      <c r="E4935" s="117" t="s">
        <v>648</v>
      </c>
      <c r="F4935" s="11" t="s">
        <v>7065</v>
      </c>
      <c r="G4935" s="128" t="s">
        <v>7066</v>
      </c>
      <c r="H4935" s="117" t="s">
        <v>6822</v>
      </c>
      <c r="I4935" s="119" t="s">
        <v>4663</v>
      </c>
      <c r="J4935" s="121">
        <f>+Tabla1[[#This Row],[FECHA ENTRADA]]</f>
        <v>46070</v>
      </c>
      <c r="K4935" s="121">
        <v>46100</v>
      </c>
      <c r="L4935" s="129">
        <f>_xlfn.DAYS(Tabla1[[#This Row],[FECHA FIN ]],Tabla1[[#This Row],[FECHA INICIO]])</f>
        <v>30</v>
      </c>
      <c r="M4935" s="119">
        <f>1539.25/4</f>
        <v>384.8125</v>
      </c>
      <c r="N4935" s="131"/>
      <c r="O4935" s="131">
        <f>(Tabla1[[#This Row],[COSTO FIJO ]]/30)*Tabla1[[#This Row],[TOTAL DIAS PROYECTO]]+(Tabla1[[#This Row],[COSTO TEMPORAL]])</f>
        <v>384.8125</v>
      </c>
      <c r="P4935" s="119"/>
      <c r="Q4935" s="119">
        <f>+(Tabla1[[#This Row],[COSTO COCHE]]/30)*Tabla1[[#This Row],[TOTAL DIAS PROYECTO]]</f>
        <v>0</v>
      </c>
      <c r="R4935" s="119">
        <f>+Tabla1[[#This Row],[COSTO TOTAL ALOJAMIENTO]]+Tabla1[[#This Row],[COSTO TOTAL COCHE]]</f>
        <v>384.8125</v>
      </c>
      <c r="S4935" s="117" t="s">
        <v>84</v>
      </c>
      <c r="T4935" s="124" t="s">
        <v>44</v>
      </c>
      <c r="U4935" s="124">
        <v>46070</v>
      </c>
      <c r="V4935" s="125">
        <v>46101</v>
      </c>
      <c r="W4935" s="119"/>
      <c r="X4935" s="117"/>
      <c r="Y4935" s="118" t="s">
        <v>7067</v>
      </c>
      <c r="Z4935" s="117" t="s">
        <v>36</v>
      </c>
      <c r="AA4935" s="127" t="s">
        <v>10387</v>
      </c>
      <c r="AB4935" s="127" t="s">
        <v>10388</v>
      </c>
    </row>
    <row r="4936" spans="1:28" ht="15" customHeight="1">
      <c r="A4936" s="2" t="s">
        <v>9479</v>
      </c>
      <c r="B4936" s="2" t="s">
        <v>711</v>
      </c>
      <c r="C4936" s="11" t="s">
        <v>3341</v>
      </c>
      <c r="D4936" s="2" t="s">
        <v>99</v>
      </c>
      <c r="E4936" s="2" t="s">
        <v>720</v>
      </c>
      <c r="F4936" s="11" t="s">
        <v>4583</v>
      </c>
      <c r="G4936" t="s">
        <v>4584</v>
      </c>
      <c r="H4936" s="2" t="s">
        <v>5201</v>
      </c>
      <c r="I4936" s="12" t="s">
        <v>2176</v>
      </c>
      <c r="J4936" s="22">
        <f>+Tabla1[[#This Row],[FECHA ENTRADA]]</f>
        <v>45916</v>
      </c>
      <c r="K4936" s="22">
        <v>46127</v>
      </c>
      <c r="L4936" s="23">
        <f>_xlfn.DAYS(Tabla1[[#This Row],[FECHA FIN ]],Tabla1[[#This Row],[FECHA INICIO]])</f>
        <v>211</v>
      </c>
      <c r="M4936" s="12"/>
      <c r="N4936" s="20">
        <v>275</v>
      </c>
      <c r="O4936" s="24">
        <f>(Tabla1[[#This Row],[COSTO FIJO ]]/30)*Tabla1[[#This Row],[TOTAL DIAS PROYECTO]]+(Tabla1[[#This Row],[COSTO TEMPORAL]])</f>
        <v>1934.1666666666665</v>
      </c>
      <c r="P4936" s="12"/>
      <c r="Q4936" s="12">
        <f>+(Tabla1[[#This Row],[COSTO COCHE]]/30)*Tabla1[[#This Row],[TOTAL DIAS PROYECTO]]</f>
        <v>0</v>
      </c>
      <c r="R4936" s="12">
        <f>+Tabla1[[#This Row],[COSTO TOTAL ALOJAMIENTO]]+Tabla1[[#This Row],[COSTO TOTAL COCHE]]</f>
        <v>1934.1666666666665</v>
      </c>
      <c r="S4936" s="2"/>
      <c r="T4936" s="14" t="s">
        <v>35</v>
      </c>
      <c r="U4936" s="14">
        <v>45916</v>
      </c>
      <c r="V4936" s="25"/>
      <c r="W4936" s="12"/>
      <c r="X4936" s="2">
        <v>1</v>
      </c>
      <c r="Y4936" s="11" t="s">
        <v>6374</v>
      </c>
      <c r="Z4936" s="2" t="s">
        <v>36</v>
      </c>
      <c r="AA4936" s="13" t="s">
        <v>10394</v>
      </c>
      <c r="AB4936" s="13" t="s">
        <v>10395</v>
      </c>
    </row>
    <row r="4937" spans="1:28" ht="15" customHeight="1">
      <c r="A4937" s="2" t="s">
        <v>8989</v>
      </c>
      <c r="B4937" s="2" t="s">
        <v>606</v>
      </c>
      <c r="C4937" s="31" t="s">
        <v>1606</v>
      </c>
      <c r="D4937" s="2" t="s">
        <v>30</v>
      </c>
      <c r="E4937" s="2" t="s">
        <v>87</v>
      </c>
      <c r="F4937" s="11" t="s">
        <v>5052</v>
      </c>
      <c r="G4937" s="49" t="s">
        <v>5053</v>
      </c>
      <c r="H4937" s="2" t="s">
        <v>2106</v>
      </c>
      <c r="I4937" s="12" t="s">
        <v>4169</v>
      </c>
      <c r="J4937" s="22">
        <f>+Tabla1[[#This Row],[FECHA ENTRADA]]</f>
        <v>46092</v>
      </c>
      <c r="K4937" s="22">
        <v>46100</v>
      </c>
      <c r="L4937" s="23">
        <f>_xlfn.DAYS(Tabla1[[#This Row],[FECHA FIN ]],Tabla1[[#This Row],[FECHA INICIO]])</f>
        <v>8</v>
      </c>
      <c r="M4937" s="12">
        <f>1445.36/5</f>
        <v>289.072</v>
      </c>
      <c r="N4937" s="20"/>
      <c r="O4937" s="24">
        <f>(Tabla1[[#This Row],[COSTO FIJO ]]/30)*Tabla1[[#This Row],[TOTAL DIAS PROYECTO]]+(Tabla1[[#This Row],[COSTO TEMPORAL]])</f>
        <v>289.072</v>
      </c>
      <c r="P4937" s="12"/>
      <c r="Q4937" s="12">
        <f>+(Tabla1[[#This Row],[COSTO COCHE]]/30)*Tabla1[[#This Row],[TOTAL DIAS PROYECTO]]</f>
        <v>0</v>
      </c>
      <c r="R4937" s="12">
        <f>+Tabla1[[#This Row],[COSTO TOTAL ALOJAMIENTO]]+Tabla1[[#This Row],[COSTO TOTAL COCHE]]</f>
        <v>289.072</v>
      </c>
      <c r="S4937" s="2" t="s">
        <v>403</v>
      </c>
      <c r="T4937" s="14" t="s">
        <v>44</v>
      </c>
      <c r="U4937" s="14">
        <v>46092</v>
      </c>
      <c r="V4937" s="79">
        <v>46108</v>
      </c>
      <c r="W4937" s="12"/>
      <c r="X4937" s="2"/>
      <c r="Y4937" s="11"/>
      <c r="Z4937" s="2" t="s">
        <v>36</v>
      </c>
      <c r="AA4937" s="13" t="s">
        <v>10335</v>
      </c>
      <c r="AB4937" s="13">
        <v>404.16500000000002</v>
      </c>
    </row>
    <row r="4938" spans="1:28" ht="15" customHeight="1">
      <c r="A4938" s="2" t="s">
        <v>9440</v>
      </c>
      <c r="B4938" s="2" t="s">
        <v>28</v>
      </c>
      <c r="C4938" s="31" t="s">
        <v>3187</v>
      </c>
      <c r="D4938" s="2" t="s">
        <v>99</v>
      </c>
      <c r="E4938" s="2" t="s">
        <v>1987</v>
      </c>
      <c r="F4938" s="11" t="s">
        <v>3567</v>
      </c>
      <c r="G4938" s="49" t="s">
        <v>3568</v>
      </c>
      <c r="H4938" s="2" t="s">
        <v>7068</v>
      </c>
      <c r="I4938" s="12" t="s">
        <v>96</v>
      </c>
      <c r="J4938" s="22">
        <f>+Tabla1[[#This Row],[FECHA ENTRADA]]</f>
        <v>45867</v>
      </c>
      <c r="K4938" s="22">
        <v>45956</v>
      </c>
      <c r="L4938" s="23">
        <f>_xlfn.DAYS(Tabla1[[#This Row],[FECHA FIN ]],Tabla1[[#This Row],[FECHA INICIO]])</f>
        <v>89</v>
      </c>
      <c r="M4938" s="12">
        <v>497.33333333333331</v>
      </c>
      <c r="N4938" s="24"/>
      <c r="O4938" s="24">
        <f>(Tabla1[[#This Row],[COSTO FIJO ]]/30)*Tabla1[[#This Row],[TOTAL DIAS PROYECTO]]+(Tabla1[[#This Row],[COSTO TEMPORAL]])</f>
        <v>497.33333333333331</v>
      </c>
      <c r="P4938" s="12"/>
      <c r="Q4938" s="12">
        <f>+(Tabla1[[#This Row],[COSTO COCHE]]/30)*Tabla1[[#This Row],[TOTAL DIAS PROYECTO]]</f>
        <v>0</v>
      </c>
      <c r="R4938" s="12">
        <f>+Tabla1[[#This Row],[COSTO TOTAL ALOJAMIENTO]]+Tabla1[[#This Row],[COSTO TOTAL COCHE]]</f>
        <v>497.33333333333331</v>
      </c>
      <c r="S4938" s="2"/>
      <c r="T4938" s="14" t="s">
        <v>44</v>
      </c>
      <c r="U4938" s="14">
        <v>45867</v>
      </c>
      <c r="V4938" s="25">
        <v>45957</v>
      </c>
      <c r="W4938" s="12"/>
      <c r="X4938" s="2"/>
      <c r="Y4938" s="11" t="s">
        <v>7069</v>
      </c>
      <c r="Z4938" s="2" t="s">
        <v>36</v>
      </c>
      <c r="AA4938" s="13" t="s">
        <v>10435</v>
      </c>
      <c r="AB4938" s="13">
        <v>42.136150000000001</v>
      </c>
    </row>
    <row r="4939" spans="1:28" ht="15" customHeight="1">
      <c r="A4939" s="2" t="s">
        <v>10197</v>
      </c>
      <c r="B4939" s="2" t="s">
        <v>28</v>
      </c>
      <c r="C4939" s="18" t="s">
        <v>7070</v>
      </c>
      <c r="D4939" s="2" t="s">
        <v>30</v>
      </c>
      <c r="E4939" s="2" t="s">
        <v>92</v>
      </c>
      <c r="F4939" s="11" t="s">
        <v>2958</v>
      </c>
      <c r="G4939" s="11"/>
      <c r="H4939" s="2" t="s">
        <v>3084</v>
      </c>
      <c r="I4939" s="12" t="s">
        <v>96</v>
      </c>
      <c r="J4939" s="8">
        <f>+Tabla1[[#This Row],[FECHA ENTRADA]]</f>
        <v>45333</v>
      </c>
      <c r="K4939" s="22">
        <v>45821</v>
      </c>
      <c r="L4939" s="13">
        <f>_xlfn.DAYS(Tabla1[[#This Row],[FECHA FIN ]],Tabla1[[#This Row],[FECHA INICIO]])</f>
        <v>488</v>
      </c>
      <c r="M4939" s="12"/>
      <c r="N4939" s="12">
        <v>300</v>
      </c>
      <c r="O4939" s="12">
        <f>(Tabla1[[#This Row],[COSTO FIJO ]]/30)*Tabla1[[#This Row],[TOTAL DIAS PROYECTO]]+(Tabla1[[#This Row],[COSTO TEMPORAL]])</f>
        <v>4880</v>
      </c>
      <c r="P4939" s="12"/>
      <c r="Q4939" s="12">
        <f>+(Tabla1[[#This Row],[COSTO COCHE]]/30)*Tabla1[[#This Row],[TOTAL DIAS PROYECTO]]</f>
        <v>0</v>
      </c>
      <c r="R4939" s="12">
        <f>+Tabla1[[#This Row],[COSTO TOTAL ALOJAMIENTO]]+Tabla1[[#This Row],[COSTO TOTAL COCHE]]</f>
        <v>4880</v>
      </c>
      <c r="S4939" s="2"/>
      <c r="T4939" s="2" t="s">
        <v>58</v>
      </c>
      <c r="U4939" s="14">
        <v>45333</v>
      </c>
      <c r="V4939" s="14"/>
      <c r="W4939" s="15"/>
      <c r="X4939" s="16"/>
      <c r="Y4939" s="11" t="s">
        <v>7071</v>
      </c>
      <c r="Z4939" s="2" t="s">
        <v>36</v>
      </c>
      <c r="AA4939" s="13" t="s">
        <v>10336</v>
      </c>
      <c r="AB4939" s="13" t="s">
        <v>10337</v>
      </c>
    </row>
    <row r="4940" spans="1:28" ht="15" customHeight="1">
      <c r="A4940" s="117" t="s">
        <v>9212</v>
      </c>
      <c r="B4940" s="117" t="s">
        <v>711</v>
      </c>
      <c r="C4940" s="101" t="s">
        <v>2461</v>
      </c>
      <c r="D4940" s="117" t="s">
        <v>78</v>
      </c>
      <c r="E4940" s="117" t="s">
        <v>5607</v>
      </c>
      <c r="F4940" s="11" t="s">
        <v>7072</v>
      </c>
      <c r="G4940" s="68" t="s">
        <v>7073</v>
      </c>
      <c r="H4940" s="117" t="s">
        <v>5610</v>
      </c>
      <c r="I4940" s="119" t="s">
        <v>5611</v>
      </c>
      <c r="J4940" s="120">
        <f>+Tabla1[[#This Row],[FECHA ENTRADA]]</f>
        <v>45964</v>
      </c>
      <c r="K4940" s="120">
        <v>46101</v>
      </c>
      <c r="L4940" s="122">
        <f>_xlfn.DAYS(Tabla1[[#This Row],[FECHA FIN ]],Tabla1[[#This Row],[FECHA INICIO]])</f>
        <v>137</v>
      </c>
      <c r="M4940" s="119">
        <v>1122.21</v>
      </c>
      <c r="N4940" s="123"/>
      <c r="O4940" s="123">
        <f>(Tabla1[[#This Row],[COSTO FIJO ]]/30)*Tabla1[[#This Row],[TOTAL DIAS PROYECTO]]+(Tabla1[[#This Row],[COSTO TEMPORAL]])</f>
        <v>1122.21</v>
      </c>
      <c r="P4940" s="119"/>
      <c r="Q4940" s="119">
        <f>+(Tabla1[[#This Row],[COSTO COCHE]]/30)*Tabla1[[#This Row],[TOTAL DIAS PROYECTO]]</f>
        <v>0</v>
      </c>
      <c r="R4940" s="119">
        <f>+Tabla1[[#This Row],[COSTO TOTAL ALOJAMIENTO]]+Tabla1[[#This Row],[COSTO TOTAL COCHE]]</f>
        <v>1122.21</v>
      </c>
      <c r="S4940" s="117" t="s">
        <v>84</v>
      </c>
      <c r="T4940" s="124" t="s">
        <v>44</v>
      </c>
      <c r="U4940" s="124">
        <v>45964</v>
      </c>
      <c r="V4940" s="125">
        <v>46101</v>
      </c>
      <c r="W4940" s="126"/>
      <c r="X4940" s="117"/>
      <c r="Y4940" s="118" t="s">
        <v>7074</v>
      </c>
      <c r="Z4940" s="117" t="s">
        <v>36</v>
      </c>
      <c r="AA4940" s="127" t="e">
        <v>#N/A</v>
      </c>
      <c r="AB4940" s="127" t="e">
        <v>#N/A</v>
      </c>
    </row>
    <row r="4941" spans="1:28" ht="15" customHeight="1">
      <c r="A4941" s="2" t="s">
        <v>9172</v>
      </c>
      <c r="B4941" s="2" t="s">
        <v>711</v>
      </c>
      <c r="C4941" s="11" t="s">
        <v>2312</v>
      </c>
      <c r="D4941" s="2" t="s">
        <v>30</v>
      </c>
      <c r="E4941" s="2" t="s">
        <v>1514</v>
      </c>
      <c r="F4941" s="11" t="s">
        <v>7075</v>
      </c>
      <c r="G4941" s="21" t="s">
        <v>7076</v>
      </c>
      <c r="H4941" s="2" t="s">
        <v>7029</v>
      </c>
      <c r="I4941" s="12" t="s">
        <v>1392</v>
      </c>
      <c r="J4941" s="22">
        <f>+Tabla1[[#This Row],[FECHA ENTRADA]]</f>
        <v>46096</v>
      </c>
      <c r="K4941" s="22">
        <v>46101</v>
      </c>
      <c r="L4941" s="23">
        <f>_xlfn.DAYS(Tabla1[[#This Row],[FECHA FIN ]],Tabla1[[#This Row],[FECHA INICIO]])</f>
        <v>5</v>
      </c>
      <c r="M4941" s="12">
        <v>115</v>
      </c>
      <c r="N4941" s="20"/>
      <c r="O4941" s="24">
        <f>(Tabla1[[#This Row],[COSTO FIJO ]]/30)*Tabla1[[#This Row],[TOTAL DIAS PROYECTO]]+(Tabla1[[#This Row],[COSTO TEMPORAL]])</f>
        <v>115</v>
      </c>
      <c r="P4941" s="12"/>
      <c r="Q4941" s="12">
        <f>+(Tabla1[[#This Row],[COSTO COCHE]]/30)*Tabla1[[#This Row],[TOTAL DIAS PROYECTO]]</f>
        <v>0</v>
      </c>
      <c r="R4941" s="12">
        <f>+Tabla1[[#This Row],[COSTO TOTAL ALOJAMIENTO]]+Tabla1[[#This Row],[COSTO TOTAL COCHE]]</f>
        <v>115</v>
      </c>
      <c r="S4941" s="2" t="s">
        <v>403</v>
      </c>
      <c r="T4941" s="14" t="s">
        <v>44</v>
      </c>
      <c r="U4941" s="14">
        <v>46096</v>
      </c>
      <c r="V4941" s="79">
        <v>46101</v>
      </c>
      <c r="W4941" s="12"/>
      <c r="X4941" s="2"/>
      <c r="Y4941" s="11" t="s">
        <v>7077</v>
      </c>
      <c r="Z4941" s="2" t="s">
        <v>36</v>
      </c>
      <c r="AA4941" s="13" t="s">
        <v>10424</v>
      </c>
      <c r="AB4941" s="13">
        <v>398581</v>
      </c>
    </row>
    <row r="4942" spans="1:28" ht="15" customHeight="1">
      <c r="A4942" s="2" t="s">
        <v>10188</v>
      </c>
      <c r="B4942" s="2" t="s">
        <v>711</v>
      </c>
      <c r="C4942" s="11" t="s">
        <v>7031</v>
      </c>
      <c r="D4942" s="2" t="s">
        <v>30</v>
      </c>
      <c r="E4942" s="2" t="s">
        <v>1514</v>
      </c>
      <c r="F4942" s="11" t="s">
        <v>7075</v>
      </c>
      <c r="G4942" s="21" t="s">
        <v>7076</v>
      </c>
      <c r="H4942" s="2" t="s">
        <v>7029</v>
      </c>
      <c r="I4942" s="12" t="s">
        <v>1392</v>
      </c>
      <c r="J4942" s="22">
        <f>+Tabla1[[#This Row],[FECHA ENTRADA]]</f>
        <v>46096</v>
      </c>
      <c r="K4942" s="22">
        <v>46101</v>
      </c>
      <c r="L4942" s="23">
        <f>_xlfn.DAYS(Tabla1[[#This Row],[FECHA FIN ]],Tabla1[[#This Row],[FECHA INICIO]])</f>
        <v>5</v>
      </c>
      <c r="M4942" s="12">
        <v>115</v>
      </c>
      <c r="N4942" s="20"/>
      <c r="O4942" s="24">
        <f>(Tabla1[[#This Row],[COSTO FIJO ]]/30)*Tabla1[[#This Row],[TOTAL DIAS PROYECTO]]+(Tabla1[[#This Row],[COSTO TEMPORAL]])</f>
        <v>115</v>
      </c>
      <c r="P4942" s="12"/>
      <c r="Q4942" s="12">
        <f>+(Tabla1[[#This Row],[COSTO COCHE]]/30)*Tabla1[[#This Row],[TOTAL DIAS PROYECTO]]</f>
        <v>0</v>
      </c>
      <c r="R4942" s="12">
        <f>+Tabla1[[#This Row],[COSTO TOTAL ALOJAMIENTO]]+Tabla1[[#This Row],[COSTO TOTAL COCHE]]</f>
        <v>115</v>
      </c>
      <c r="S4942" s="2" t="s">
        <v>403</v>
      </c>
      <c r="T4942" s="14" t="s">
        <v>44</v>
      </c>
      <c r="U4942" s="14">
        <v>46096</v>
      </c>
      <c r="V4942" s="79">
        <v>46101</v>
      </c>
      <c r="W4942" s="12"/>
      <c r="X4942" s="2"/>
      <c r="Y4942" s="11" t="s">
        <v>7077</v>
      </c>
      <c r="Z4942" s="2" t="s">
        <v>36</v>
      </c>
      <c r="AA4942" s="13" t="s">
        <v>10424</v>
      </c>
      <c r="AB4942" s="13">
        <v>398581</v>
      </c>
    </row>
    <row r="4943" spans="1:28" ht="15" customHeight="1">
      <c r="A4943" s="2" t="s">
        <v>9177</v>
      </c>
      <c r="B4943" s="2" t="s">
        <v>711</v>
      </c>
      <c r="C4943" s="11" t="s">
        <v>2328</v>
      </c>
      <c r="D4943" s="2" t="s">
        <v>30</v>
      </c>
      <c r="E4943" s="2" t="s">
        <v>1514</v>
      </c>
      <c r="F4943" s="11" t="s">
        <v>7075</v>
      </c>
      <c r="G4943" s="21" t="s">
        <v>7076</v>
      </c>
      <c r="H4943" s="2" t="s">
        <v>7029</v>
      </c>
      <c r="I4943" s="12" t="s">
        <v>1392</v>
      </c>
      <c r="J4943" s="22">
        <f>+Tabla1[[#This Row],[FECHA ENTRADA]]</f>
        <v>46096</v>
      </c>
      <c r="K4943" s="22">
        <v>46101</v>
      </c>
      <c r="L4943" s="23">
        <f>_xlfn.DAYS(Tabla1[[#This Row],[FECHA FIN ]],Tabla1[[#This Row],[FECHA INICIO]])</f>
        <v>5</v>
      </c>
      <c r="M4943" s="12">
        <v>115</v>
      </c>
      <c r="N4943" s="20"/>
      <c r="O4943" s="24">
        <f>(Tabla1[[#This Row],[COSTO FIJO ]]/30)*Tabla1[[#This Row],[TOTAL DIAS PROYECTO]]+(Tabla1[[#This Row],[COSTO TEMPORAL]])</f>
        <v>115</v>
      </c>
      <c r="P4943" s="12"/>
      <c r="Q4943" s="12">
        <f>+(Tabla1[[#This Row],[COSTO COCHE]]/30)*Tabla1[[#This Row],[TOTAL DIAS PROYECTO]]</f>
        <v>0</v>
      </c>
      <c r="R4943" s="12">
        <f>+Tabla1[[#This Row],[COSTO TOTAL ALOJAMIENTO]]+Tabla1[[#This Row],[COSTO TOTAL COCHE]]</f>
        <v>115</v>
      </c>
      <c r="S4943" s="2" t="s">
        <v>403</v>
      </c>
      <c r="T4943" s="14" t="s">
        <v>44</v>
      </c>
      <c r="U4943" s="14">
        <v>46096</v>
      </c>
      <c r="V4943" s="79">
        <v>46101</v>
      </c>
      <c r="W4943" s="12"/>
      <c r="X4943" s="2"/>
      <c r="Y4943" s="11" t="s">
        <v>7077</v>
      </c>
      <c r="Z4943" s="2" t="s">
        <v>36</v>
      </c>
      <c r="AA4943" s="13" t="s">
        <v>10424</v>
      </c>
      <c r="AB4943" s="13">
        <v>398581</v>
      </c>
    </row>
    <row r="4944" spans="1:28" ht="15" customHeight="1">
      <c r="A4944" s="2" t="s">
        <v>9815</v>
      </c>
      <c r="B4944" s="2" t="s">
        <v>711</v>
      </c>
      <c r="C4944" s="11" t="s">
        <v>4878</v>
      </c>
      <c r="D4944" s="2" t="s">
        <v>30</v>
      </c>
      <c r="E4944" s="2" t="s">
        <v>1514</v>
      </c>
      <c r="F4944" s="11" t="s">
        <v>7075</v>
      </c>
      <c r="G4944" s="21" t="s">
        <v>7076</v>
      </c>
      <c r="H4944" s="2" t="s">
        <v>7029</v>
      </c>
      <c r="I4944" s="12" t="s">
        <v>1392</v>
      </c>
      <c r="J4944" s="22">
        <f>+Tabla1[[#This Row],[FECHA ENTRADA]]</f>
        <v>46096</v>
      </c>
      <c r="K4944" s="22">
        <v>46101</v>
      </c>
      <c r="L4944" s="23">
        <f>_xlfn.DAYS(Tabla1[[#This Row],[FECHA FIN ]],Tabla1[[#This Row],[FECHA INICIO]])</f>
        <v>5</v>
      </c>
      <c r="M4944" s="12">
        <v>115</v>
      </c>
      <c r="N4944" s="20"/>
      <c r="O4944" s="24">
        <f>(Tabla1[[#This Row],[COSTO FIJO ]]/30)*Tabla1[[#This Row],[TOTAL DIAS PROYECTO]]+(Tabla1[[#This Row],[COSTO TEMPORAL]])</f>
        <v>115</v>
      </c>
      <c r="P4944" s="12"/>
      <c r="Q4944" s="12">
        <f>+(Tabla1[[#This Row],[COSTO COCHE]]/30)*Tabla1[[#This Row],[TOTAL DIAS PROYECTO]]</f>
        <v>0</v>
      </c>
      <c r="R4944" s="12">
        <f>+Tabla1[[#This Row],[COSTO TOTAL ALOJAMIENTO]]+Tabla1[[#This Row],[COSTO TOTAL COCHE]]</f>
        <v>115</v>
      </c>
      <c r="S4944" s="2" t="s">
        <v>403</v>
      </c>
      <c r="T4944" s="14" t="s">
        <v>44</v>
      </c>
      <c r="U4944" s="14">
        <v>46096</v>
      </c>
      <c r="V4944" s="79">
        <v>46101</v>
      </c>
      <c r="W4944" s="12"/>
      <c r="X4944" s="2"/>
      <c r="Y4944" s="11" t="s">
        <v>7077</v>
      </c>
      <c r="Z4944" s="2" t="s">
        <v>36</v>
      </c>
      <c r="AA4944" s="13" t="s">
        <v>10424</v>
      </c>
      <c r="AB4944" s="13">
        <v>398581</v>
      </c>
    </row>
    <row r="4945" spans="1:28" ht="15" customHeight="1">
      <c r="A4945" s="2" t="s">
        <v>10189</v>
      </c>
      <c r="B4945" s="2" t="s">
        <v>711</v>
      </c>
      <c r="C4945" s="11" t="s">
        <v>7032</v>
      </c>
      <c r="D4945" s="2" t="s">
        <v>30</v>
      </c>
      <c r="E4945" s="2" t="s">
        <v>1514</v>
      </c>
      <c r="F4945" s="11" t="s">
        <v>7075</v>
      </c>
      <c r="G4945" s="21" t="s">
        <v>7076</v>
      </c>
      <c r="H4945" s="2" t="s">
        <v>7029</v>
      </c>
      <c r="I4945" s="12" t="s">
        <v>1392</v>
      </c>
      <c r="J4945" s="22">
        <f>+Tabla1[[#This Row],[FECHA ENTRADA]]</f>
        <v>46096</v>
      </c>
      <c r="K4945" s="22">
        <v>46101</v>
      </c>
      <c r="L4945" s="23">
        <f>_xlfn.DAYS(Tabla1[[#This Row],[FECHA FIN ]],Tabla1[[#This Row],[FECHA INICIO]])</f>
        <v>5</v>
      </c>
      <c r="M4945" s="12">
        <v>115</v>
      </c>
      <c r="N4945" s="20"/>
      <c r="O4945" s="24">
        <f>(Tabla1[[#This Row],[COSTO FIJO ]]/30)*Tabla1[[#This Row],[TOTAL DIAS PROYECTO]]+(Tabla1[[#This Row],[COSTO TEMPORAL]])</f>
        <v>115</v>
      </c>
      <c r="P4945" s="12"/>
      <c r="Q4945" s="12">
        <f>+(Tabla1[[#This Row],[COSTO COCHE]]/30)*Tabla1[[#This Row],[TOTAL DIAS PROYECTO]]</f>
        <v>0</v>
      </c>
      <c r="R4945" s="12">
        <f>+Tabla1[[#This Row],[COSTO TOTAL ALOJAMIENTO]]+Tabla1[[#This Row],[COSTO TOTAL COCHE]]</f>
        <v>115</v>
      </c>
      <c r="S4945" s="2" t="s">
        <v>403</v>
      </c>
      <c r="T4945" s="14" t="s">
        <v>44</v>
      </c>
      <c r="U4945" s="14">
        <v>46096</v>
      </c>
      <c r="V4945" s="79">
        <v>46101</v>
      </c>
      <c r="W4945" s="12"/>
      <c r="X4945" s="2"/>
      <c r="Y4945" s="11" t="s">
        <v>7077</v>
      </c>
      <c r="Z4945" s="2" t="s">
        <v>36</v>
      </c>
      <c r="AA4945" s="13" t="s">
        <v>10424</v>
      </c>
      <c r="AB4945" s="13">
        <v>398581</v>
      </c>
    </row>
    <row r="4946" spans="1:28" ht="15" customHeight="1">
      <c r="A4946" s="2" t="s">
        <v>9451</v>
      </c>
      <c r="B4946" s="2" t="s">
        <v>711</v>
      </c>
      <c r="C4946" s="11" t="s">
        <v>3225</v>
      </c>
      <c r="D4946" s="2" t="s">
        <v>30</v>
      </c>
      <c r="E4946" s="2" t="s">
        <v>1514</v>
      </c>
      <c r="F4946" s="11" t="s">
        <v>7075</v>
      </c>
      <c r="G4946" s="21" t="s">
        <v>7076</v>
      </c>
      <c r="H4946" s="2" t="s">
        <v>7029</v>
      </c>
      <c r="I4946" s="12" t="s">
        <v>1392</v>
      </c>
      <c r="J4946" s="22">
        <f>+Tabla1[[#This Row],[FECHA ENTRADA]]</f>
        <v>46096</v>
      </c>
      <c r="K4946" s="22">
        <v>46101</v>
      </c>
      <c r="L4946" s="23">
        <f>_xlfn.DAYS(Tabla1[[#This Row],[FECHA FIN ]],Tabla1[[#This Row],[FECHA INICIO]])</f>
        <v>5</v>
      </c>
      <c r="M4946" s="12">
        <v>115</v>
      </c>
      <c r="N4946" s="20"/>
      <c r="O4946" s="24">
        <f>(Tabla1[[#This Row],[COSTO FIJO ]]/30)*Tabla1[[#This Row],[TOTAL DIAS PROYECTO]]+(Tabla1[[#This Row],[COSTO TEMPORAL]])</f>
        <v>115</v>
      </c>
      <c r="P4946" s="12"/>
      <c r="Q4946" s="12">
        <f>+(Tabla1[[#This Row],[COSTO COCHE]]/30)*Tabla1[[#This Row],[TOTAL DIAS PROYECTO]]</f>
        <v>0</v>
      </c>
      <c r="R4946" s="12">
        <f>+Tabla1[[#This Row],[COSTO TOTAL ALOJAMIENTO]]+Tabla1[[#This Row],[COSTO TOTAL COCHE]]</f>
        <v>115</v>
      </c>
      <c r="S4946" s="2" t="s">
        <v>403</v>
      </c>
      <c r="T4946" s="14" t="s">
        <v>44</v>
      </c>
      <c r="U4946" s="14">
        <v>46096</v>
      </c>
      <c r="V4946" s="79">
        <v>46101</v>
      </c>
      <c r="W4946" s="12"/>
      <c r="X4946" s="2"/>
      <c r="Y4946" s="11" t="s">
        <v>7077</v>
      </c>
      <c r="Z4946" s="2" t="s">
        <v>36</v>
      </c>
      <c r="AA4946" s="13" t="s">
        <v>10424</v>
      </c>
      <c r="AB4946" s="13">
        <v>398581</v>
      </c>
    </row>
    <row r="4947" spans="1:28" ht="15" customHeight="1">
      <c r="A4947" s="2" t="s">
        <v>10190</v>
      </c>
      <c r="B4947" s="2" t="s">
        <v>711</v>
      </c>
      <c r="C4947" s="11" t="s">
        <v>7033</v>
      </c>
      <c r="D4947" s="2" t="s">
        <v>30</v>
      </c>
      <c r="E4947" s="2" t="s">
        <v>1514</v>
      </c>
      <c r="F4947" s="11" t="s">
        <v>7075</v>
      </c>
      <c r="G4947" s="21" t="s">
        <v>7076</v>
      </c>
      <c r="H4947" s="2" t="s">
        <v>7029</v>
      </c>
      <c r="I4947" s="12" t="s">
        <v>1392</v>
      </c>
      <c r="J4947" s="22">
        <f>+Tabla1[[#This Row],[FECHA ENTRADA]]</f>
        <v>46096</v>
      </c>
      <c r="K4947" s="22">
        <v>46101</v>
      </c>
      <c r="L4947" s="23">
        <f>_xlfn.DAYS(Tabla1[[#This Row],[FECHA FIN ]],Tabla1[[#This Row],[FECHA INICIO]])</f>
        <v>5</v>
      </c>
      <c r="M4947" s="12">
        <v>115</v>
      </c>
      <c r="N4947" s="20"/>
      <c r="O4947" s="24">
        <f>(Tabla1[[#This Row],[COSTO FIJO ]]/30)*Tabla1[[#This Row],[TOTAL DIAS PROYECTO]]+(Tabla1[[#This Row],[COSTO TEMPORAL]])</f>
        <v>115</v>
      </c>
      <c r="P4947" s="12"/>
      <c r="Q4947" s="12">
        <f>+(Tabla1[[#This Row],[COSTO COCHE]]/30)*Tabla1[[#This Row],[TOTAL DIAS PROYECTO]]</f>
        <v>0</v>
      </c>
      <c r="R4947" s="12">
        <f>+Tabla1[[#This Row],[COSTO TOTAL ALOJAMIENTO]]+Tabla1[[#This Row],[COSTO TOTAL COCHE]]</f>
        <v>115</v>
      </c>
      <c r="S4947" s="2" t="s">
        <v>403</v>
      </c>
      <c r="T4947" s="14" t="s">
        <v>44</v>
      </c>
      <c r="U4947" s="14">
        <v>46096</v>
      </c>
      <c r="V4947" s="79">
        <v>46101</v>
      </c>
      <c r="W4947" s="12"/>
      <c r="X4947" s="2"/>
      <c r="Y4947" s="11" t="s">
        <v>7077</v>
      </c>
      <c r="Z4947" s="2" t="s">
        <v>36</v>
      </c>
      <c r="AA4947" s="13" t="s">
        <v>10424</v>
      </c>
      <c r="AB4947" s="13">
        <v>398581</v>
      </c>
    </row>
    <row r="4948" spans="1:28" ht="15" customHeight="1">
      <c r="A4948" s="2" t="s">
        <v>10191</v>
      </c>
      <c r="B4948" s="2" t="s">
        <v>711</v>
      </c>
      <c r="C4948" s="11" t="s">
        <v>7034</v>
      </c>
      <c r="D4948" s="2" t="s">
        <v>30</v>
      </c>
      <c r="E4948" s="2" t="s">
        <v>1514</v>
      </c>
      <c r="F4948" s="11" t="s">
        <v>7075</v>
      </c>
      <c r="G4948" s="21" t="s">
        <v>7076</v>
      </c>
      <c r="H4948" s="2" t="s">
        <v>7029</v>
      </c>
      <c r="I4948" s="12" t="s">
        <v>1392</v>
      </c>
      <c r="J4948" s="22">
        <f>+Tabla1[[#This Row],[FECHA ENTRADA]]</f>
        <v>46096</v>
      </c>
      <c r="K4948" s="22">
        <v>46101</v>
      </c>
      <c r="L4948" s="23">
        <f>_xlfn.DAYS(Tabla1[[#This Row],[FECHA FIN ]],Tabla1[[#This Row],[FECHA INICIO]])</f>
        <v>5</v>
      </c>
      <c r="M4948" s="12">
        <v>115</v>
      </c>
      <c r="N4948" s="20"/>
      <c r="O4948" s="24">
        <f>(Tabla1[[#This Row],[COSTO FIJO ]]/30)*Tabla1[[#This Row],[TOTAL DIAS PROYECTO]]+(Tabla1[[#This Row],[COSTO TEMPORAL]])</f>
        <v>115</v>
      </c>
      <c r="P4948" s="12"/>
      <c r="Q4948" s="12">
        <f>+(Tabla1[[#This Row],[COSTO COCHE]]/30)*Tabla1[[#This Row],[TOTAL DIAS PROYECTO]]</f>
        <v>0</v>
      </c>
      <c r="R4948" s="12">
        <f>+Tabla1[[#This Row],[COSTO TOTAL ALOJAMIENTO]]+Tabla1[[#This Row],[COSTO TOTAL COCHE]]</f>
        <v>115</v>
      </c>
      <c r="S4948" s="2" t="s">
        <v>403</v>
      </c>
      <c r="T4948" s="14" t="s">
        <v>44</v>
      </c>
      <c r="U4948" s="14">
        <v>46096</v>
      </c>
      <c r="V4948" s="79">
        <v>46101</v>
      </c>
      <c r="W4948" s="12"/>
      <c r="X4948" s="2"/>
      <c r="Y4948" s="11" t="s">
        <v>7077</v>
      </c>
      <c r="Z4948" s="2" t="s">
        <v>36</v>
      </c>
      <c r="AA4948" s="13" t="s">
        <v>10424</v>
      </c>
      <c r="AB4948" s="13">
        <v>398581</v>
      </c>
    </row>
    <row r="4949" spans="1:28" ht="15" customHeight="1">
      <c r="A4949" s="2" t="s">
        <v>8906</v>
      </c>
      <c r="B4949" s="2" t="s">
        <v>711</v>
      </c>
      <c r="C4949" s="11" t="s">
        <v>1228</v>
      </c>
      <c r="D4949" s="2" t="s">
        <v>30</v>
      </c>
      <c r="E4949" s="2" t="s">
        <v>1514</v>
      </c>
      <c r="F4949" s="11" t="s">
        <v>7075</v>
      </c>
      <c r="G4949" s="21" t="s">
        <v>7076</v>
      </c>
      <c r="H4949" s="2" t="s">
        <v>7029</v>
      </c>
      <c r="I4949" s="12" t="s">
        <v>1392</v>
      </c>
      <c r="J4949" s="22">
        <f>+Tabla1[[#This Row],[FECHA ENTRADA]]</f>
        <v>46096</v>
      </c>
      <c r="K4949" s="22">
        <v>46101</v>
      </c>
      <c r="L4949" s="23">
        <f>_xlfn.DAYS(Tabla1[[#This Row],[FECHA FIN ]],Tabla1[[#This Row],[FECHA INICIO]])</f>
        <v>5</v>
      </c>
      <c r="M4949" s="12">
        <v>115</v>
      </c>
      <c r="N4949" s="20"/>
      <c r="O4949" s="24">
        <f>(Tabla1[[#This Row],[COSTO FIJO ]]/30)*Tabla1[[#This Row],[TOTAL DIAS PROYECTO]]+(Tabla1[[#This Row],[COSTO TEMPORAL]])</f>
        <v>115</v>
      </c>
      <c r="P4949" s="12"/>
      <c r="Q4949" s="12">
        <f>+(Tabla1[[#This Row],[COSTO COCHE]]/30)*Tabla1[[#This Row],[TOTAL DIAS PROYECTO]]</f>
        <v>0</v>
      </c>
      <c r="R4949" s="12">
        <f>+Tabla1[[#This Row],[COSTO TOTAL ALOJAMIENTO]]+Tabla1[[#This Row],[COSTO TOTAL COCHE]]</f>
        <v>115</v>
      </c>
      <c r="S4949" s="2" t="s">
        <v>403</v>
      </c>
      <c r="T4949" s="14" t="s">
        <v>44</v>
      </c>
      <c r="U4949" s="14">
        <v>46096</v>
      </c>
      <c r="V4949" s="79">
        <v>46101</v>
      </c>
      <c r="W4949" s="12"/>
      <c r="X4949" s="2"/>
      <c r="Y4949" s="11" t="s">
        <v>7077</v>
      </c>
      <c r="Z4949" s="2" t="s">
        <v>36</v>
      </c>
      <c r="AA4949" s="13" t="s">
        <v>10424</v>
      </c>
      <c r="AB4949" s="13">
        <v>398581</v>
      </c>
    </row>
    <row r="4950" spans="1:28" ht="15" customHeight="1">
      <c r="A4950" s="2" t="s">
        <v>10101</v>
      </c>
      <c r="B4950" s="2" t="s">
        <v>711</v>
      </c>
      <c r="C4950" s="11" t="s">
        <v>6384</v>
      </c>
      <c r="D4950" s="2" t="s">
        <v>30</v>
      </c>
      <c r="E4950" s="2" t="s">
        <v>1514</v>
      </c>
      <c r="F4950" s="11" t="s">
        <v>7075</v>
      </c>
      <c r="G4950" s="21" t="s">
        <v>7076</v>
      </c>
      <c r="H4950" s="2" t="s">
        <v>7029</v>
      </c>
      <c r="I4950" s="12" t="s">
        <v>1392</v>
      </c>
      <c r="J4950" s="22">
        <f>+Tabla1[[#This Row],[FECHA ENTRADA]]</f>
        <v>46096</v>
      </c>
      <c r="K4950" s="22">
        <v>46101</v>
      </c>
      <c r="L4950" s="23">
        <f>_xlfn.DAYS(Tabla1[[#This Row],[FECHA FIN ]],Tabla1[[#This Row],[FECHA INICIO]])</f>
        <v>5</v>
      </c>
      <c r="M4950" s="12">
        <v>115</v>
      </c>
      <c r="N4950" s="20"/>
      <c r="O4950" s="24">
        <f>(Tabla1[[#This Row],[COSTO FIJO ]]/30)*Tabla1[[#This Row],[TOTAL DIAS PROYECTO]]+(Tabla1[[#This Row],[COSTO TEMPORAL]])</f>
        <v>115</v>
      </c>
      <c r="P4950" s="12"/>
      <c r="Q4950" s="12">
        <f>+(Tabla1[[#This Row],[COSTO COCHE]]/30)*Tabla1[[#This Row],[TOTAL DIAS PROYECTO]]</f>
        <v>0</v>
      </c>
      <c r="R4950" s="12">
        <f>+Tabla1[[#This Row],[COSTO TOTAL ALOJAMIENTO]]+Tabla1[[#This Row],[COSTO TOTAL COCHE]]</f>
        <v>115</v>
      </c>
      <c r="S4950" s="2" t="s">
        <v>403</v>
      </c>
      <c r="T4950" s="14" t="s">
        <v>44</v>
      </c>
      <c r="U4950" s="14">
        <v>46096</v>
      </c>
      <c r="V4950" s="79">
        <v>46101</v>
      </c>
      <c r="W4950" s="12"/>
      <c r="X4950" s="2"/>
      <c r="Y4950" s="11" t="s">
        <v>7077</v>
      </c>
      <c r="Z4950" s="2" t="s">
        <v>36</v>
      </c>
      <c r="AA4950" s="13" t="s">
        <v>10424</v>
      </c>
      <c r="AB4950" s="13">
        <v>398581</v>
      </c>
    </row>
    <row r="4951" spans="1:28" ht="15" customHeight="1">
      <c r="A4951" s="2" t="s">
        <v>9744</v>
      </c>
      <c r="B4951" s="2" t="s">
        <v>711</v>
      </c>
      <c r="C4951" s="11" t="s">
        <v>4536</v>
      </c>
      <c r="D4951" s="2" t="s">
        <v>30</v>
      </c>
      <c r="E4951" s="2" t="s">
        <v>1514</v>
      </c>
      <c r="F4951" s="11" t="s">
        <v>7075</v>
      </c>
      <c r="G4951" s="21" t="s">
        <v>7076</v>
      </c>
      <c r="H4951" s="2" t="s">
        <v>7029</v>
      </c>
      <c r="I4951" s="12" t="s">
        <v>1392</v>
      </c>
      <c r="J4951" s="22">
        <f>+Tabla1[[#This Row],[FECHA ENTRADA]]</f>
        <v>46096</v>
      </c>
      <c r="K4951" s="22">
        <v>46101</v>
      </c>
      <c r="L4951" s="23">
        <f>_xlfn.DAYS(Tabla1[[#This Row],[FECHA FIN ]],Tabla1[[#This Row],[FECHA INICIO]])</f>
        <v>5</v>
      </c>
      <c r="M4951" s="12">
        <v>115</v>
      </c>
      <c r="N4951" s="20"/>
      <c r="O4951" s="24">
        <f>(Tabla1[[#This Row],[COSTO FIJO ]]/30)*Tabla1[[#This Row],[TOTAL DIAS PROYECTO]]+(Tabla1[[#This Row],[COSTO TEMPORAL]])</f>
        <v>115</v>
      </c>
      <c r="P4951" s="12"/>
      <c r="Q4951" s="12">
        <f>+(Tabla1[[#This Row],[COSTO COCHE]]/30)*Tabla1[[#This Row],[TOTAL DIAS PROYECTO]]</f>
        <v>0</v>
      </c>
      <c r="R4951" s="12">
        <f>+Tabla1[[#This Row],[COSTO TOTAL ALOJAMIENTO]]+Tabla1[[#This Row],[COSTO TOTAL COCHE]]</f>
        <v>115</v>
      </c>
      <c r="S4951" s="2" t="s">
        <v>403</v>
      </c>
      <c r="T4951" s="14" t="s">
        <v>44</v>
      </c>
      <c r="U4951" s="14">
        <v>46096</v>
      </c>
      <c r="V4951" s="79">
        <v>46101</v>
      </c>
      <c r="W4951" s="12"/>
      <c r="X4951" s="2"/>
      <c r="Y4951" s="11" t="s">
        <v>7077</v>
      </c>
      <c r="Z4951" s="2" t="s">
        <v>36</v>
      </c>
      <c r="AA4951" s="13" t="s">
        <v>10424</v>
      </c>
      <c r="AB4951" s="13">
        <v>398581</v>
      </c>
    </row>
    <row r="4952" spans="1:28" ht="15" customHeight="1">
      <c r="A4952" s="2" t="s">
        <v>10192</v>
      </c>
      <c r="B4952" s="2" t="s">
        <v>711</v>
      </c>
      <c r="C4952" s="11" t="s">
        <v>7035</v>
      </c>
      <c r="D4952" s="2" t="s">
        <v>30</v>
      </c>
      <c r="E4952" s="2" t="s">
        <v>1514</v>
      </c>
      <c r="F4952" s="11" t="s">
        <v>7075</v>
      </c>
      <c r="G4952" s="21" t="s">
        <v>7076</v>
      </c>
      <c r="H4952" s="2" t="s">
        <v>7029</v>
      </c>
      <c r="I4952" s="12" t="s">
        <v>1392</v>
      </c>
      <c r="J4952" s="22">
        <f>+Tabla1[[#This Row],[FECHA ENTRADA]]</f>
        <v>46096</v>
      </c>
      <c r="K4952" s="22">
        <v>46101</v>
      </c>
      <c r="L4952" s="23">
        <f>_xlfn.DAYS(Tabla1[[#This Row],[FECHA FIN ]],Tabla1[[#This Row],[FECHA INICIO]])</f>
        <v>5</v>
      </c>
      <c r="M4952" s="12">
        <v>115</v>
      </c>
      <c r="N4952" s="20"/>
      <c r="O4952" s="24">
        <f>(Tabla1[[#This Row],[COSTO FIJO ]]/30)*Tabla1[[#This Row],[TOTAL DIAS PROYECTO]]+(Tabla1[[#This Row],[COSTO TEMPORAL]])</f>
        <v>115</v>
      </c>
      <c r="P4952" s="12"/>
      <c r="Q4952" s="12">
        <f>+(Tabla1[[#This Row],[COSTO COCHE]]/30)*Tabla1[[#This Row],[TOTAL DIAS PROYECTO]]</f>
        <v>0</v>
      </c>
      <c r="R4952" s="12">
        <f>+Tabla1[[#This Row],[COSTO TOTAL ALOJAMIENTO]]+Tabla1[[#This Row],[COSTO TOTAL COCHE]]</f>
        <v>115</v>
      </c>
      <c r="S4952" s="2" t="s">
        <v>403</v>
      </c>
      <c r="T4952" s="14" t="s">
        <v>44</v>
      </c>
      <c r="U4952" s="14">
        <v>46096</v>
      </c>
      <c r="V4952" s="79">
        <v>46101</v>
      </c>
      <c r="W4952" s="12"/>
      <c r="X4952" s="2"/>
      <c r="Y4952" s="11" t="s">
        <v>7077</v>
      </c>
      <c r="Z4952" s="2" t="s">
        <v>36</v>
      </c>
      <c r="AA4952" s="13" t="s">
        <v>10424</v>
      </c>
      <c r="AB4952" s="13">
        <v>398581</v>
      </c>
    </row>
    <row r="4953" spans="1:28" ht="15" customHeight="1">
      <c r="A4953" s="117" t="s">
        <v>9313</v>
      </c>
      <c r="B4953" s="117" t="s">
        <v>711</v>
      </c>
      <c r="C4953" s="118" t="s">
        <v>2791</v>
      </c>
      <c r="D4953" s="117" t="s">
        <v>30</v>
      </c>
      <c r="E4953" s="117" t="s">
        <v>1664</v>
      </c>
      <c r="F4953" s="11" t="s">
        <v>7078</v>
      </c>
      <c r="G4953" s="68" t="s">
        <v>7079</v>
      </c>
      <c r="H4953" s="117" t="s">
        <v>7080</v>
      </c>
      <c r="I4953" s="119" t="s">
        <v>570</v>
      </c>
      <c r="J4953" s="120">
        <f>+Tabla1[[#This Row],[FECHA ENTRADA]]</f>
        <v>46092</v>
      </c>
      <c r="K4953" s="121">
        <v>46102</v>
      </c>
      <c r="L4953" s="122">
        <f>_xlfn.DAYS(Tabla1[[#This Row],[FECHA FIN ]],Tabla1[[#This Row],[FECHA INICIO]])</f>
        <v>10</v>
      </c>
      <c r="M4953" s="119">
        <f>545.51/2</f>
        <v>272.755</v>
      </c>
      <c r="N4953" s="123"/>
      <c r="O4953" s="123">
        <f>(Tabla1[[#This Row],[COSTO FIJO ]]/30)*Tabla1[[#This Row],[TOTAL DIAS PROYECTO]]+(Tabla1[[#This Row],[COSTO TEMPORAL]])</f>
        <v>272.755</v>
      </c>
      <c r="P4953" s="119"/>
      <c r="Q4953" s="119">
        <f>+(Tabla1[[#This Row],[COSTO COCHE]]/30)*Tabla1[[#This Row],[TOTAL DIAS PROYECTO]]</f>
        <v>0</v>
      </c>
      <c r="R4953" s="119">
        <f>+Tabla1[[#This Row],[COSTO TOTAL ALOJAMIENTO]]+Tabla1[[#This Row],[COSTO TOTAL COCHE]]</f>
        <v>272.755</v>
      </c>
      <c r="S4953" s="117" t="s">
        <v>403</v>
      </c>
      <c r="T4953" s="124" t="s">
        <v>528</v>
      </c>
      <c r="U4953" s="124">
        <v>46092</v>
      </c>
      <c r="V4953" s="159">
        <v>46102</v>
      </c>
      <c r="W4953" s="119"/>
      <c r="X4953" s="117"/>
      <c r="Y4953" s="118" t="s">
        <v>1361</v>
      </c>
      <c r="Z4953" s="117" t="s">
        <v>36</v>
      </c>
      <c r="AA4953" s="127" t="s">
        <v>10425</v>
      </c>
      <c r="AB4953" s="127" t="s">
        <v>10426</v>
      </c>
    </row>
    <row r="4954" spans="1:28" ht="15" customHeight="1">
      <c r="A4954" s="117" t="s">
        <v>10198</v>
      </c>
      <c r="B4954" s="117" t="s">
        <v>711</v>
      </c>
      <c r="C4954" s="118" t="s">
        <v>7081</v>
      </c>
      <c r="D4954" s="117" t="s">
        <v>30</v>
      </c>
      <c r="E4954" s="117" t="s">
        <v>1664</v>
      </c>
      <c r="F4954" s="11" t="s">
        <v>7078</v>
      </c>
      <c r="G4954" s="68" t="s">
        <v>7079</v>
      </c>
      <c r="H4954" s="117" t="s">
        <v>7080</v>
      </c>
      <c r="I4954" s="119" t="s">
        <v>570</v>
      </c>
      <c r="J4954" s="120">
        <f>+Tabla1[[#This Row],[FECHA ENTRADA]]</f>
        <v>46092</v>
      </c>
      <c r="K4954" s="121">
        <v>46102</v>
      </c>
      <c r="L4954" s="122">
        <f>_xlfn.DAYS(Tabla1[[#This Row],[FECHA FIN ]],Tabla1[[#This Row],[FECHA INICIO]])</f>
        <v>10</v>
      </c>
      <c r="M4954" s="119">
        <f>545.51/2</f>
        <v>272.755</v>
      </c>
      <c r="N4954" s="123"/>
      <c r="O4954" s="123">
        <f>(Tabla1[[#This Row],[COSTO FIJO ]]/30)*Tabla1[[#This Row],[TOTAL DIAS PROYECTO]]+(Tabla1[[#This Row],[COSTO TEMPORAL]])</f>
        <v>272.755</v>
      </c>
      <c r="P4954" s="119"/>
      <c r="Q4954" s="119">
        <f>+(Tabla1[[#This Row],[COSTO COCHE]]/30)*Tabla1[[#This Row],[TOTAL DIAS PROYECTO]]</f>
        <v>0</v>
      </c>
      <c r="R4954" s="119">
        <f>+Tabla1[[#This Row],[COSTO TOTAL ALOJAMIENTO]]+Tabla1[[#This Row],[COSTO TOTAL COCHE]]</f>
        <v>272.755</v>
      </c>
      <c r="S4954" s="117" t="s">
        <v>403</v>
      </c>
      <c r="T4954" s="124" t="s">
        <v>44</v>
      </c>
      <c r="U4954" s="124">
        <v>46092</v>
      </c>
      <c r="V4954" s="159">
        <v>46102</v>
      </c>
      <c r="W4954" s="119"/>
      <c r="X4954" s="117"/>
      <c r="Y4954" s="118" t="s">
        <v>1361</v>
      </c>
      <c r="Z4954" s="117" t="s">
        <v>36</v>
      </c>
      <c r="AA4954" s="127" t="s">
        <v>10425</v>
      </c>
      <c r="AB4954" s="127" t="s">
        <v>10426</v>
      </c>
    </row>
    <row r="4955" spans="1:28" ht="15" customHeight="1">
      <c r="A4955" s="2" t="s">
        <v>9942</v>
      </c>
      <c r="B4955" s="2" t="s">
        <v>28</v>
      </c>
      <c r="C4955" s="11" t="s">
        <v>5584</v>
      </c>
      <c r="D4955" s="2" t="s">
        <v>30</v>
      </c>
      <c r="E4955" s="2" t="s">
        <v>422</v>
      </c>
      <c r="F4955" s="11" t="s">
        <v>4837</v>
      </c>
      <c r="G4955" s="70" t="s">
        <v>4838</v>
      </c>
      <c r="H4955" s="2" t="s">
        <v>6253</v>
      </c>
      <c r="I4955" s="12" t="s">
        <v>4327</v>
      </c>
      <c r="J4955" s="22">
        <f>+Tabla1[[#This Row],[FECHA ENTRADA]]</f>
        <v>45941</v>
      </c>
      <c r="K4955" s="22">
        <v>45990</v>
      </c>
      <c r="L4955" s="23">
        <f>_xlfn.DAYS(Tabla1[[#This Row],[FECHA FIN ]],Tabla1[[#This Row],[FECHA INICIO]])</f>
        <v>49</v>
      </c>
      <c r="M4955" s="12"/>
      <c r="N4955" s="24">
        <v>466.66666666666669</v>
      </c>
      <c r="O4955" s="24">
        <f>(Tabla1[[#This Row],[COSTO FIJO ]]/30)*Tabla1[[#This Row],[TOTAL DIAS PROYECTO]]+(Tabla1[[#This Row],[COSTO TEMPORAL]])</f>
        <v>762.22222222222217</v>
      </c>
      <c r="P4955" s="12"/>
      <c r="Q4955" s="12">
        <f>+(Tabla1[[#This Row],[COSTO COCHE]]/30)*Tabla1[[#This Row],[TOTAL DIAS PROYECTO]]</f>
        <v>0</v>
      </c>
      <c r="R4955" s="12">
        <f>+Tabla1[[#This Row],[COSTO TOTAL ALOJAMIENTO]]+Tabla1[[#This Row],[COSTO TOTAL COCHE]]</f>
        <v>762.22222222222217</v>
      </c>
      <c r="S4955" s="2"/>
      <c r="T4955" s="14" t="s">
        <v>35</v>
      </c>
      <c r="U4955" s="14">
        <v>45941</v>
      </c>
      <c r="V4955" s="79"/>
      <c r="W4955" s="71"/>
      <c r="X4955" s="2">
        <v>5</v>
      </c>
      <c r="Y4955" s="11" t="s">
        <v>1361</v>
      </c>
      <c r="Z4955" s="2" t="s">
        <v>36</v>
      </c>
      <c r="AA4955" s="13">
        <v>-326.69799999999998</v>
      </c>
      <c r="AB4955" s="13" t="s">
        <v>10373</v>
      </c>
    </row>
    <row r="4956" spans="1:28" ht="15" customHeight="1">
      <c r="A4956" s="2" t="s">
        <v>9792</v>
      </c>
      <c r="B4956" s="2" t="s">
        <v>606</v>
      </c>
      <c r="C4956" s="69" t="s">
        <v>4750</v>
      </c>
      <c r="D4956" s="2" t="s">
        <v>99</v>
      </c>
      <c r="E4956" s="2" t="s">
        <v>87</v>
      </c>
      <c r="F4956" s="11" t="s">
        <v>7082</v>
      </c>
      <c r="G4956" s="21" t="s">
        <v>7083</v>
      </c>
      <c r="H4956" s="2" t="s">
        <v>6640</v>
      </c>
      <c r="I4956" s="12" t="s">
        <v>6641</v>
      </c>
      <c r="J4956" s="22">
        <f>+Tabla1[[#This Row],[FECHA ENTRADA]]</f>
        <v>46046</v>
      </c>
      <c r="K4956" s="22">
        <v>46103</v>
      </c>
      <c r="L4956" s="23">
        <f>_xlfn.DAYS(Tabla1[[#This Row],[FECHA FIN ]],Tabla1[[#This Row],[FECHA INICIO]])</f>
        <v>57</v>
      </c>
      <c r="M4956" s="12">
        <v>298.13</v>
      </c>
      <c r="N4956" s="20"/>
      <c r="O4956" s="24">
        <f>(Tabla1[[#This Row],[COSTO FIJO ]]/30)*Tabla1[[#This Row],[TOTAL DIAS PROYECTO]]+(Tabla1[[#This Row],[COSTO TEMPORAL]])</f>
        <v>298.13</v>
      </c>
      <c r="P4956" s="12"/>
      <c r="Q4956" s="12">
        <f>+(Tabla1[[#This Row],[COSTO COCHE]]/30)*Tabla1[[#This Row],[TOTAL DIAS PROYECTO]]</f>
        <v>0</v>
      </c>
      <c r="R4956" s="12">
        <f>+Tabla1[[#This Row],[COSTO TOTAL ALOJAMIENTO]]+Tabla1[[#This Row],[COSTO TOTAL COCHE]]</f>
        <v>298.13</v>
      </c>
      <c r="S4956" s="2" t="s">
        <v>84</v>
      </c>
      <c r="T4956" s="14" t="s">
        <v>44</v>
      </c>
      <c r="U4956" s="14">
        <v>46046</v>
      </c>
      <c r="V4956" s="25">
        <v>46103</v>
      </c>
      <c r="W4956" s="12"/>
      <c r="X4956" s="2"/>
      <c r="Y4956" s="11" t="s">
        <v>7084</v>
      </c>
      <c r="Z4956" s="2" t="s">
        <v>36</v>
      </c>
      <c r="AA4956" s="13" t="s">
        <v>10335</v>
      </c>
      <c r="AB4956" s="13">
        <v>404.16500000000002</v>
      </c>
    </row>
    <row r="4957" spans="1:28" ht="15" customHeight="1">
      <c r="A4957" s="2" t="s">
        <v>10196</v>
      </c>
      <c r="B4957" s="2" t="s">
        <v>606</v>
      </c>
      <c r="C4957" s="181" t="s">
        <v>7064</v>
      </c>
      <c r="D4957" s="2" t="s">
        <v>30</v>
      </c>
      <c r="E4957" s="2" t="s">
        <v>648</v>
      </c>
      <c r="F4957" s="11" t="s">
        <v>7085</v>
      </c>
      <c r="G4957" s="21" t="s">
        <v>7086</v>
      </c>
      <c r="H4957" s="2" t="s">
        <v>4662</v>
      </c>
      <c r="I4957" s="12" t="s">
        <v>4663</v>
      </c>
      <c r="J4957" s="22">
        <f>+Tabla1[[#This Row],[FECHA ENTRADA]]</f>
        <v>46100</v>
      </c>
      <c r="K4957" s="22">
        <v>46103</v>
      </c>
      <c r="L4957" s="23">
        <f>_xlfn.DAYS(Tabla1[[#This Row],[FECHA FIN ]],Tabla1[[#This Row],[FECHA INICIO]])</f>
        <v>3</v>
      </c>
      <c r="M4957" s="12"/>
      <c r="N4957" s="20"/>
      <c r="O4957" s="24">
        <f>(Tabla1[[#This Row],[COSTO FIJO ]]/30)*Tabla1[[#This Row],[TOTAL DIAS PROYECTO]]+(Tabla1[[#This Row],[COSTO TEMPORAL]])</f>
        <v>0</v>
      </c>
      <c r="P4957" s="12"/>
      <c r="Q4957" s="12">
        <f>+(Tabla1[[#This Row],[COSTO COCHE]]/30)*Tabla1[[#This Row],[TOTAL DIAS PROYECTO]]</f>
        <v>0</v>
      </c>
      <c r="R4957" s="12">
        <f>+Tabla1[[#This Row],[COSTO TOTAL ALOJAMIENTO]]+Tabla1[[#This Row],[COSTO TOTAL COCHE]]</f>
        <v>0</v>
      </c>
      <c r="S4957" s="2"/>
      <c r="T4957" s="14" t="s">
        <v>44</v>
      </c>
      <c r="U4957" s="14">
        <v>46100</v>
      </c>
      <c r="V4957" s="79">
        <v>46104</v>
      </c>
      <c r="W4957" s="12"/>
      <c r="X4957" s="2"/>
      <c r="Y4957" s="11" t="s">
        <v>1361</v>
      </c>
      <c r="Z4957" s="2" t="s">
        <v>36</v>
      </c>
      <c r="AA4957" s="13" t="s">
        <v>10387</v>
      </c>
      <c r="AB4957" s="13" t="s">
        <v>10388</v>
      </c>
    </row>
    <row r="4958" spans="1:28" s="70" customFormat="1" ht="15" customHeight="1">
      <c r="A4958" s="2" t="s">
        <v>9770</v>
      </c>
      <c r="B4958" s="2" t="s">
        <v>606</v>
      </c>
      <c r="C4958" s="11" t="s">
        <v>4661</v>
      </c>
      <c r="D4958" s="2" t="s">
        <v>30</v>
      </c>
      <c r="E4958" s="2" t="s">
        <v>648</v>
      </c>
      <c r="F4958" s="11" t="s">
        <v>7085</v>
      </c>
      <c r="G4958" s="21" t="s">
        <v>7086</v>
      </c>
      <c r="H4958" s="2" t="s">
        <v>4662</v>
      </c>
      <c r="I4958" s="12" t="s">
        <v>4663</v>
      </c>
      <c r="J4958" s="22">
        <f>+Tabla1[[#This Row],[FECHA ENTRADA]]</f>
        <v>46100</v>
      </c>
      <c r="K4958" s="22">
        <v>46103</v>
      </c>
      <c r="L4958" s="23">
        <f>_xlfn.DAYS(Tabla1[[#This Row],[FECHA FIN ]],Tabla1[[#This Row],[FECHA INICIO]])</f>
        <v>3</v>
      </c>
      <c r="M4958" s="12"/>
      <c r="N4958" s="20"/>
      <c r="O4958" s="24">
        <f>(Tabla1[[#This Row],[COSTO FIJO ]]/30)*Tabla1[[#This Row],[TOTAL DIAS PROYECTO]]+(Tabla1[[#This Row],[COSTO TEMPORAL]])</f>
        <v>0</v>
      </c>
      <c r="P4958" s="12"/>
      <c r="Q4958" s="12">
        <f>+(Tabla1[[#This Row],[COSTO COCHE]]/30)*Tabla1[[#This Row],[TOTAL DIAS PROYECTO]]</f>
        <v>0</v>
      </c>
      <c r="R4958" s="12">
        <f>+Tabla1[[#This Row],[COSTO TOTAL ALOJAMIENTO]]+Tabla1[[#This Row],[COSTO TOTAL COCHE]]</f>
        <v>0</v>
      </c>
      <c r="S4958" s="2"/>
      <c r="T4958" s="14" t="s">
        <v>44</v>
      </c>
      <c r="U4958" s="14">
        <v>46100</v>
      </c>
      <c r="V4958" s="79">
        <v>46104</v>
      </c>
      <c r="W4958" s="12"/>
      <c r="X4958" s="2"/>
      <c r="Y4958" s="11" t="s">
        <v>1361</v>
      </c>
      <c r="Z4958" s="2" t="s">
        <v>36</v>
      </c>
      <c r="AA4958" s="13" t="s">
        <v>10387</v>
      </c>
      <c r="AB4958" s="13" t="s">
        <v>10388</v>
      </c>
    </row>
    <row r="4959" spans="1:28" ht="15" customHeight="1">
      <c r="A4959" s="2" t="s">
        <v>9431</v>
      </c>
      <c r="B4959" s="2" t="s">
        <v>606</v>
      </c>
      <c r="C4959" s="11" t="s">
        <v>3165</v>
      </c>
      <c r="D4959" s="2" t="s">
        <v>30</v>
      </c>
      <c r="E4959" s="2" t="s">
        <v>648</v>
      </c>
      <c r="F4959" s="11" t="s">
        <v>7085</v>
      </c>
      <c r="G4959" s="21" t="s">
        <v>7086</v>
      </c>
      <c r="H4959" s="2" t="s">
        <v>6822</v>
      </c>
      <c r="I4959" s="12" t="s">
        <v>4663</v>
      </c>
      <c r="J4959" s="22">
        <f>+Tabla1[[#This Row],[FECHA ENTRADA]]</f>
        <v>46100</v>
      </c>
      <c r="K4959" s="22">
        <v>46103</v>
      </c>
      <c r="L4959" s="23">
        <f>_xlfn.DAYS(Tabla1[[#This Row],[FECHA FIN ]],Tabla1[[#This Row],[FECHA INICIO]])</f>
        <v>3</v>
      </c>
      <c r="M4959" s="12"/>
      <c r="N4959" s="20"/>
      <c r="O4959" s="24">
        <f>(Tabla1[[#This Row],[COSTO FIJO ]]/30)*Tabla1[[#This Row],[TOTAL DIAS PROYECTO]]+(Tabla1[[#This Row],[COSTO TEMPORAL]])</f>
        <v>0</v>
      </c>
      <c r="P4959" s="12"/>
      <c r="Q4959" s="12">
        <f>+(Tabla1[[#This Row],[COSTO COCHE]]/30)*Tabla1[[#This Row],[TOTAL DIAS PROYECTO]]</f>
        <v>0</v>
      </c>
      <c r="R4959" s="12">
        <f>+Tabla1[[#This Row],[COSTO TOTAL ALOJAMIENTO]]+Tabla1[[#This Row],[COSTO TOTAL COCHE]]</f>
        <v>0</v>
      </c>
      <c r="S4959" s="2"/>
      <c r="T4959" s="14" t="s">
        <v>44</v>
      </c>
      <c r="U4959" s="14">
        <v>46100</v>
      </c>
      <c r="V4959" s="79">
        <v>46104</v>
      </c>
      <c r="W4959" s="12"/>
      <c r="X4959" s="2"/>
      <c r="Y4959" s="11" t="s">
        <v>1361</v>
      </c>
      <c r="Z4959" s="2" t="s">
        <v>36</v>
      </c>
      <c r="AA4959" s="13" t="s">
        <v>10387</v>
      </c>
      <c r="AB4959" s="13" t="s">
        <v>10388</v>
      </c>
    </row>
    <row r="4960" spans="1:28" ht="15" customHeight="1">
      <c r="A4960" s="2" t="s">
        <v>8885</v>
      </c>
      <c r="B4960" s="2" t="s">
        <v>606</v>
      </c>
      <c r="C4960" s="11" t="s">
        <v>1167</v>
      </c>
      <c r="D4960" s="2" t="s">
        <v>30</v>
      </c>
      <c r="E4960" s="2" t="s">
        <v>648</v>
      </c>
      <c r="F4960" s="11" t="s">
        <v>7085</v>
      </c>
      <c r="G4960" s="21" t="s">
        <v>7086</v>
      </c>
      <c r="H4960" s="2" t="s">
        <v>6822</v>
      </c>
      <c r="I4960" s="12" t="s">
        <v>4663</v>
      </c>
      <c r="J4960" s="22">
        <f>+Tabla1[[#This Row],[FECHA ENTRADA]]</f>
        <v>46100</v>
      </c>
      <c r="K4960" s="22">
        <v>46103</v>
      </c>
      <c r="L4960" s="23">
        <f>_xlfn.DAYS(Tabla1[[#This Row],[FECHA FIN ]],Tabla1[[#This Row],[FECHA INICIO]])</f>
        <v>3</v>
      </c>
      <c r="M4960" s="12"/>
      <c r="N4960" s="20"/>
      <c r="O4960" s="24">
        <f>(Tabla1[[#This Row],[COSTO FIJO ]]/30)*Tabla1[[#This Row],[TOTAL DIAS PROYECTO]]+(Tabla1[[#This Row],[COSTO TEMPORAL]])</f>
        <v>0</v>
      </c>
      <c r="P4960" s="12"/>
      <c r="Q4960" s="12">
        <f>+(Tabla1[[#This Row],[COSTO COCHE]]/30)*Tabla1[[#This Row],[TOTAL DIAS PROYECTO]]</f>
        <v>0</v>
      </c>
      <c r="R4960" s="12">
        <f>+Tabla1[[#This Row],[COSTO TOTAL ALOJAMIENTO]]+Tabla1[[#This Row],[COSTO TOTAL COCHE]]</f>
        <v>0</v>
      </c>
      <c r="S4960" s="2"/>
      <c r="T4960" s="14" t="s">
        <v>44</v>
      </c>
      <c r="U4960" s="14">
        <v>46100</v>
      </c>
      <c r="V4960" s="79">
        <v>46104</v>
      </c>
      <c r="W4960" s="12"/>
      <c r="X4960" s="2"/>
      <c r="Y4960" s="11" t="s">
        <v>1361</v>
      </c>
      <c r="Z4960" s="2" t="s">
        <v>36</v>
      </c>
      <c r="AA4960" s="13" t="s">
        <v>10387</v>
      </c>
      <c r="AB4960" s="13" t="s">
        <v>10388</v>
      </c>
    </row>
    <row r="4961" spans="1:28" ht="15" customHeight="1">
      <c r="A4961" s="2" t="s">
        <v>9212</v>
      </c>
      <c r="B4961" s="2" t="s">
        <v>711</v>
      </c>
      <c r="C4961" s="11" t="s">
        <v>2461</v>
      </c>
      <c r="D4961" s="2" t="s">
        <v>78</v>
      </c>
      <c r="E4961" s="2" t="s">
        <v>5607</v>
      </c>
      <c r="F4961" s="11" t="s">
        <v>7087</v>
      </c>
      <c r="G4961" s="49" t="s">
        <v>7088</v>
      </c>
      <c r="H4961" s="2" t="s">
        <v>5610</v>
      </c>
      <c r="I4961" s="12" t="s">
        <v>5611</v>
      </c>
      <c r="J4961" s="22">
        <f>+Tabla1[[#This Row],[FECHA ENTRADA]]</f>
        <v>46101</v>
      </c>
      <c r="K4961" s="22">
        <v>46103</v>
      </c>
      <c r="L4961" s="23">
        <f>_xlfn.DAYS(Tabla1[[#This Row],[FECHA FIN ]],Tabla1[[#This Row],[FECHA INICIO]])</f>
        <v>2</v>
      </c>
      <c r="M4961" s="12"/>
      <c r="N4961" s="24"/>
      <c r="O4961" s="24">
        <f>(Tabla1[[#This Row],[COSTO FIJO ]]/30)*Tabla1[[#This Row],[TOTAL DIAS PROYECTO]]+(Tabla1[[#This Row],[COSTO TEMPORAL]])</f>
        <v>0</v>
      </c>
      <c r="P4961" s="12"/>
      <c r="Q4961" s="12">
        <f>+(Tabla1[[#This Row],[COSTO COCHE]]/30)*Tabla1[[#This Row],[TOTAL DIAS PROYECTO]]</f>
        <v>0</v>
      </c>
      <c r="R4961" s="12">
        <f>+Tabla1[[#This Row],[COSTO TOTAL ALOJAMIENTO]]+Tabla1[[#This Row],[COSTO TOTAL COCHE]]</f>
        <v>0</v>
      </c>
      <c r="S4961" s="2"/>
      <c r="T4961" s="14" t="s">
        <v>44</v>
      </c>
      <c r="U4961" s="14">
        <v>46101</v>
      </c>
      <c r="V4961" s="25">
        <v>46103</v>
      </c>
      <c r="W4961" s="12"/>
      <c r="X4961" s="2"/>
      <c r="Y4961" s="11"/>
      <c r="Z4961" s="2" t="s">
        <v>36</v>
      </c>
      <c r="AA4961" s="13" t="e">
        <v>#N/A</v>
      </c>
      <c r="AB4961" s="13" t="e">
        <v>#N/A</v>
      </c>
    </row>
    <row r="4962" spans="1:28" ht="15" customHeight="1">
      <c r="A4962" s="2" t="s">
        <v>8642</v>
      </c>
      <c r="B4962" s="2" t="s">
        <v>978</v>
      </c>
      <c r="C4962" s="97" t="s">
        <v>5836</v>
      </c>
      <c r="D4962" s="2" t="s">
        <v>30</v>
      </c>
      <c r="E4962" s="2" t="s">
        <v>855</v>
      </c>
      <c r="F4962" s="11" t="s">
        <v>6466</v>
      </c>
      <c r="G4962" s="49" t="s">
        <v>1474</v>
      </c>
      <c r="H4962" s="2" t="s">
        <v>5917</v>
      </c>
      <c r="I4962" s="12" t="s">
        <v>5808</v>
      </c>
      <c r="J4962" s="22">
        <f>+Tabla1[[#This Row],[FECHA ENTRADA]]</f>
        <v>45963</v>
      </c>
      <c r="K4962" s="22">
        <v>46104</v>
      </c>
      <c r="L4962" s="23">
        <f>_xlfn.DAYS(Tabla1[[#This Row],[FECHA FIN ]],Tabla1[[#This Row],[FECHA INICIO]])</f>
        <v>141</v>
      </c>
      <c r="M4962" s="12">
        <v>302.5</v>
      </c>
      <c r="N4962" s="20"/>
      <c r="O4962" s="24">
        <f>(Tabla1[[#This Row],[COSTO FIJO ]]/30)*Tabla1[[#This Row],[TOTAL DIAS PROYECTO]]+(Tabla1[[#This Row],[COSTO TEMPORAL]])</f>
        <v>302.5</v>
      </c>
      <c r="P4962" s="12"/>
      <c r="Q4962" s="12">
        <f>+(Tabla1[[#This Row],[COSTO COCHE]]/30)*Tabla1[[#This Row],[TOTAL DIAS PROYECTO]]</f>
        <v>0</v>
      </c>
      <c r="R4962" s="12">
        <f>+Tabla1[[#This Row],[COSTO TOTAL ALOJAMIENTO]]+Tabla1[[#This Row],[COSTO TOTAL COCHE]]</f>
        <v>302.5</v>
      </c>
      <c r="S4962" s="2"/>
      <c r="T4962" s="14" t="s">
        <v>44</v>
      </c>
      <c r="U4962" s="14">
        <v>45963</v>
      </c>
      <c r="V4962" s="25">
        <v>46127</v>
      </c>
      <c r="W4962" s="71"/>
      <c r="X4962" s="2"/>
      <c r="Y4962" s="11" t="s">
        <v>7089</v>
      </c>
      <c r="Z4962" s="2" t="s">
        <v>36</v>
      </c>
      <c r="AA4962" s="13" t="s">
        <v>10401</v>
      </c>
      <c r="AB4962" s="13" t="s">
        <v>10402</v>
      </c>
    </row>
    <row r="4963" spans="1:28" ht="15" customHeight="1">
      <c r="A4963" s="2" t="s">
        <v>9800</v>
      </c>
      <c r="B4963" s="2" t="s">
        <v>978</v>
      </c>
      <c r="C4963" s="279" t="s">
        <v>4803</v>
      </c>
      <c r="D4963" s="2" t="s">
        <v>30</v>
      </c>
      <c r="E4963" s="2" t="s">
        <v>855</v>
      </c>
      <c r="F4963" s="11" t="s">
        <v>3272</v>
      </c>
      <c r="G4963" s="21" t="s">
        <v>1474</v>
      </c>
      <c r="H4963" s="2" t="s">
        <v>5807</v>
      </c>
      <c r="I4963" s="12" t="s">
        <v>5808</v>
      </c>
      <c r="J4963" s="22">
        <f>+Tabla1[[#This Row],[FECHA ENTRADA]]</f>
        <v>46068</v>
      </c>
      <c r="K4963" s="8">
        <v>46104</v>
      </c>
      <c r="L4963" s="23">
        <f>_xlfn.DAYS(Tabla1[[#This Row],[FECHA FIN ]],Tabla1[[#This Row],[FECHA INICIO]])</f>
        <v>36</v>
      </c>
      <c r="M4963" s="12">
        <v>403.33333333333331</v>
      </c>
      <c r="N4963" s="24"/>
      <c r="O4963" s="24">
        <f>(Tabla1[[#This Row],[COSTO FIJO ]]/30)*Tabla1[[#This Row],[TOTAL DIAS PROYECTO]]+(Tabla1[[#This Row],[COSTO TEMPORAL]])</f>
        <v>403.33333333333331</v>
      </c>
      <c r="P4963" s="12"/>
      <c r="Q4963" s="12">
        <f>+(Tabla1[[#This Row],[COSTO COCHE]]/30)*Tabla1[[#This Row],[TOTAL DIAS PROYECTO]]</f>
        <v>0</v>
      </c>
      <c r="R4963" s="12">
        <f>+Tabla1[[#This Row],[COSTO TOTAL ALOJAMIENTO]]+Tabla1[[#This Row],[COSTO TOTAL COCHE]]</f>
        <v>403.33333333333331</v>
      </c>
      <c r="S4963" s="2"/>
      <c r="T4963" s="14" t="s">
        <v>44</v>
      </c>
      <c r="U4963" s="14">
        <v>46068</v>
      </c>
      <c r="V4963" s="25">
        <v>46127</v>
      </c>
      <c r="W4963" s="12"/>
      <c r="X4963" s="2"/>
      <c r="Y4963" s="11" t="s">
        <v>7090</v>
      </c>
      <c r="Z4963" s="2" t="s">
        <v>36</v>
      </c>
      <c r="AA4963" s="13" t="s">
        <v>10401</v>
      </c>
      <c r="AB4963" s="13" t="s">
        <v>10402</v>
      </c>
    </row>
    <row r="4964" spans="1:28" ht="15" customHeight="1">
      <c r="A4964" s="2" t="s">
        <v>9094</v>
      </c>
      <c r="B4964" s="2" t="s">
        <v>978</v>
      </c>
      <c r="C4964" s="31" t="s">
        <v>1992</v>
      </c>
      <c r="D4964" s="2" t="s">
        <v>99</v>
      </c>
      <c r="E4964" s="2" t="s">
        <v>3400</v>
      </c>
      <c r="F4964" s="11" t="s">
        <v>3873</v>
      </c>
      <c r="G4964" s="128" t="s">
        <v>3874</v>
      </c>
      <c r="H4964" s="2" t="s">
        <v>4996</v>
      </c>
      <c r="I4964" s="12" t="s">
        <v>4296</v>
      </c>
      <c r="J4964" s="41">
        <f>+Tabla1[[#This Row],[FECHA ENTRADA]]</f>
        <v>45932</v>
      </c>
      <c r="K4964" s="22">
        <v>46104</v>
      </c>
      <c r="L4964" s="42">
        <f>_xlfn.DAYS(Tabla1[[#This Row],[FECHA FIN ]],Tabla1[[#This Row],[FECHA INICIO]])</f>
        <v>172</v>
      </c>
      <c r="M4964" s="12"/>
      <c r="N4964" s="28">
        <v>400</v>
      </c>
      <c r="O4964" s="28">
        <f>(Tabla1[[#This Row],[COSTO FIJO ]]/30)*Tabla1[[#This Row],[TOTAL DIAS PROYECTO]]+(Tabla1[[#This Row],[COSTO TEMPORAL]])</f>
        <v>2293.3333333333335</v>
      </c>
      <c r="P4964" s="12"/>
      <c r="Q4964" s="12">
        <f>+(Tabla1[[#This Row],[COSTO COCHE]]/30)*Tabla1[[#This Row],[TOTAL DIAS PROYECTO]]</f>
        <v>0</v>
      </c>
      <c r="R4964" s="12">
        <f>+Tabla1[[#This Row],[COSTO TOTAL ALOJAMIENTO]]+Tabla1[[#This Row],[COSTO TOTAL COCHE]]</f>
        <v>2293.3333333333335</v>
      </c>
      <c r="S4964" s="2"/>
      <c r="T4964" s="14" t="s">
        <v>35</v>
      </c>
      <c r="U4964" s="14">
        <v>45932</v>
      </c>
      <c r="V4964" s="43"/>
      <c r="W4964" s="71">
        <v>400</v>
      </c>
      <c r="X4964" s="2">
        <v>1</v>
      </c>
      <c r="Y4964" s="11" t="s">
        <v>7091</v>
      </c>
      <c r="Z4964" s="2" t="s">
        <v>36</v>
      </c>
      <c r="AA4964" s="13" t="e">
        <v>#N/A</v>
      </c>
      <c r="AB4964" s="13" t="e">
        <v>#N/A</v>
      </c>
    </row>
    <row r="4965" spans="1:28" ht="15" customHeight="1">
      <c r="A4965" s="2" t="s">
        <v>8781</v>
      </c>
      <c r="B4965" s="2" t="s">
        <v>978</v>
      </c>
      <c r="C4965" s="31" t="s">
        <v>746</v>
      </c>
      <c r="D4965" s="2" t="s">
        <v>99</v>
      </c>
      <c r="E4965" s="2" t="s">
        <v>3400</v>
      </c>
      <c r="F4965" s="11" t="s">
        <v>6507</v>
      </c>
      <c r="G4965" s="128" t="s">
        <v>3874</v>
      </c>
      <c r="H4965" s="2" t="s">
        <v>5267</v>
      </c>
      <c r="I4965" s="12" t="s">
        <v>4296</v>
      </c>
      <c r="J4965" s="41">
        <f>+Tabla1[[#This Row],[FECHA ENTRADA]]</f>
        <v>45932</v>
      </c>
      <c r="K4965" s="22">
        <v>46104</v>
      </c>
      <c r="L4965" s="42">
        <f>_xlfn.DAYS(Tabla1[[#This Row],[FECHA FIN ]],Tabla1[[#This Row],[FECHA INICIO]])</f>
        <v>172</v>
      </c>
      <c r="M4965" s="12"/>
      <c r="N4965" s="28">
        <v>350</v>
      </c>
      <c r="O4965" s="28">
        <f>(Tabla1[[#This Row],[COSTO FIJO ]]/30)*Tabla1[[#This Row],[TOTAL DIAS PROYECTO]]+(Tabla1[[#This Row],[COSTO TEMPORAL]])</f>
        <v>2006.6666666666665</v>
      </c>
      <c r="P4965" s="12"/>
      <c r="Q4965" s="12">
        <f>+(Tabla1[[#This Row],[COSTO COCHE]]/30)*Tabla1[[#This Row],[TOTAL DIAS PROYECTO]]</f>
        <v>0</v>
      </c>
      <c r="R4965" s="12">
        <f>+Tabla1[[#This Row],[COSTO TOTAL ALOJAMIENTO]]+Tabla1[[#This Row],[COSTO TOTAL COCHE]]</f>
        <v>2006.6666666666665</v>
      </c>
      <c r="S4965" s="2"/>
      <c r="T4965" s="14" t="s">
        <v>35</v>
      </c>
      <c r="U4965" s="14">
        <v>45932</v>
      </c>
      <c r="V4965" s="43"/>
      <c r="W4965" s="71">
        <v>350</v>
      </c>
      <c r="X4965" s="2">
        <v>1</v>
      </c>
      <c r="Y4965" s="11" t="s">
        <v>7092</v>
      </c>
      <c r="Z4965" s="2" t="s">
        <v>36</v>
      </c>
      <c r="AA4965" s="13" t="e">
        <v>#N/A</v>
      </c>
      <c r="AB4965" s="13" t="e">
        <v>#N/A</v>
      </c>
    </row>
    <row r="4966" spans="1:28" ht="15" customHeight="1">
      <c r="A4966" s="2" t="s">
        <v>9186</v>
      </c>
      <c r="B4966" s="2" t="s">
        <v>606</v>
      </c>
      <c r="C4966" s="104" t="s">
        <v>2361</v>
      </c>
      <c r="D4966" s="2" t="s">
        <v>30</v>
      </c>
      <c r="E4966" s="2" t="s">
        <v>213</v>
      </c>
      <c r="F4966" s="11" t="s">
        <v>1733</v>
      </c>
      <c r="G4966" s="21" t="s">
        <v>1734</v>
      </c>
      <c r="H4966" s="157" t="s">
        <v>7093</v>
      </c>
      <c r="I4966" s="10" t="s">
        <v>3364</v>
      </c>
      <c r="J4966" s="22">
        <f>+Tabla1[[#This Row],[FECHA ENTRADA]]</f>
        <v>46088</v>
      </c>
      <c r="K4966" s="22">
        <v>46105</v>
      </c>
      <c r="L4966" s="23">
        <f>_xlfn.DAYS(Tabla1[[#This Row],[FECHA FIN ]],Tabla1[[#This Row],[FECHA INICIO]])</f>
        <v>17</v>
      </c>
      <c r="M4966" s="12"/>
      <c r="N4966" s="24"/>
      <c r="O4966" s="24">
        <f>(Tabla1[[#This Row],[COSTO FIJO ]]/30)*Tabla1[[#This Row],[TOTAL DIAS PROYECTO]]+(Tabla1[[#This Row],[COSTO TEMPORAL]])</f>
        <v>0</v>
      </c>
      <c r="P4966" s="12"/>
      <c r="Q4966" s="12">
        <f>+(Tabla1[[#This Row],[COSTO COCHE]]/30)*Tabla1[[#This Row],[TOTAL DIAS PROYECTO]]</f>
        <v>0</v>
      </c>
      <c r="R4966" s="12">
        <f>+Tabla1[[#This Row],[COSTO TOTAL ALOJAMIENTO]]+Tabla1[[#This Row],[COSTO TOTAL COCHE]]</f>
        <v>0</v>
      </c>
      <c r="S4966" s="2"/>
      <c r="T4966" s="14" t="s">
        <v>44</v>
      </c>
      <c r="U4966" s="14">
        <v>46088</v>
      </c>
      <c r="V4966" s="25">
        <v>46105</v>
      </c>
      <c r="W4966" s="12"/>
      <c r="X4966" s="2"/>
      <c r="Y4966" s="11" t="s">
        <v>6609</v>
      </c>
      <c r="Z4966" s="2" t="s">
        <v>36</v>
      </c>
      <c r="AA4966" s="13" t="s">
        <v>10349</v>
      </c>
      <c r="AB4966" s="13" t="s">
        <v>10350</v>
      </c>
    </row>
    <row r="4967" spans="1:28" s="70" customFormat="1" ht="15" customHeight="1">
      <c r="A4967" s="2" t="s">
        <v>8642</v>
      </c>
      <c r="B4967" s="11" t="s">
        <v>3133</v>
      </c>
      <c r="C4967" s="181" t="s">
        <v>7094</v>
      </c>
      <c r="D4967" s="2" t="s">
        <v>99</v>
      </c>
      <c r="E4967" s="2" t="s">
        <v>87</v>
      </c>
      <c r="F4967" s="11" t="s">
        <v>7095</v>
      </c>
      <c r="G4967" s="21" t="s">
        <v>7096</v>
      </c>
      <c r="H4967" s="2" t="s">
        <v>3193</v>
      </c>
      <c r="I4967" s="12" t="s">
        <v>3137</v>
      </c>
      <c r="J4967" s="22">
        <f>+Tabla1[[#This Row],[FECHA ENTRADA]]</f>
        <v>46075</v>
      </c>
      <c r="K4967" s="22">
        <v>46105</v>
      </c>
      <c r="L4967" s="23">
        <f>_xlfn.DAYS(Tabla1[[#This Row],[FECHA FIN ]],Tabla1[[#This Row],[FECHA INICIO]])</f>
        <v>30</v>
      </c>
      <c r="M4967" s="12">
        <v>413.25</v>
      </c>
      <c r="N4967" s="20"/>
      <c r="O4967" s="24">
        <f>(Tabla1[[#This Row],[COSTO FIJO ]]/30)*Tabla1[[#This Row],[TOTAL DIAS PROYECTO]]+(Tabla1[[#This Row],[COSTO TEMPORAL]])</f>
        <v>413.25</v>
      </c>
      <c r="P4967" s="12"/>
      <c r="Q4967" s="12">
        <f>+(Tabla1[[#This Row],[COSTO COCHE]]/30)*Tabla1[[#This Row],[TOTAL DIAS PROYECTO]]</f>
        <v>0</v>
      </c>
      <c r="R4967" s="12">
        <f>+Tabla1[[#This Row],[COSTO TOTAL ALOJAMIENTO]]+Tabla1[[#This Row],[COSTO TOTAL COCHE]]</f>
        <v>413.25</v>
      </c>
      <c r="S4967" s="2" t="s">
        <v>403</v>
      </c>
      <c r="T4967" s="14" t="s">
        <v>44</v>
      </c>
      <c r="U4967" s="14">
        <v>46075</v>
      </c>
      <c r="V4967" s="25">
        <v>46106</v>
      </c>
      <c r="W4967" s="12"/>
      <c r="X4967" s="2"/>
      <c r="Y4967" s="11" t="s">
        <v>7097</v>
      </c>
      <c r="Z4967" s="2" t="s">
        <v>36</v>
      </c>
      <c r="AA4967" s="13" t="s">
        <v>10335</v>
      </c>
      <c r="AB4967" s="13">
        <v>404.16500000000002</v>
      </c>
    </row>
    <row r="4968" spans="1:28" ht="15" customHeight="1">
      <c r="A4968" s="2" t="s">
        <v>9776</v>
      </c>
      <c r="B4968" s="11" t="s">
        <v>3133</v>
      </c>
      <c r="C4968" s="31" t="s">
        <v>4684</v>
      </c>
      <c r="D4968" s="2" t="s">
        <v>99</v>
      </c>
      <c r="E4968" s="2" t="s">
        <v>87</v>
      </c>
      <c r="F4968" s="11" t="s">
        <v>7095</v>
      </c>
      <c r="G4968" s="21" t="s">
        <v>7096</v>
      </c>
      <c r="H4968" s="2" t="s">
        <v>3193</v>
      </c>
      <c r="I4968" s="12" t="s">
        <v>3137</v>
      </c>
      <c r="J4968" s="22">
        <f>+Tabla1[[#This Row],[FECHA ENTRADA]]</f>
        <v>46075</v>
      </c>
      <c r="K4968" s="22">
        <v>46105</v>
      </c>
      <c r="L4968" s="23">
        <f>_xlfn.DAYS(Tabla1[[#This Row],[FECHA FIN ]],Tabla1[[#This Row],[FECHA INICIO]])</f>
        <v>30</v>
      </c>
      <c r="M4968" s="12">
        <v>413.25</v>
      </c>
      <c r="N4968" s="20"/>
      <c r="O4968" s="24">
        <f>(Tabla1[[#This Row],[COSTO FIJO ]]/30)*Tabla1[[#This Row],[TOTAL DIAS PROYECTO]]+(Tabla1[[#This Row],[COSTO TEMPORAL]])</f>
        <v>413.25</v>
      </c>
      <c r="P4968" s="12"/>
      <c r="Q4968" s="12">
        <f>+(Tabla1[[#This Row],[COSTO COCHE]]/30)*Tabla1[[#This Row],[TOTAL DIAS PROYECTO]]</f>
        <v>0</v>
      </c>
      <c r="R4968" s="12">
        <f>+Tabla1[[#This Row],[COSTO TOTAL ALOJAMIENTO]]+Tabla1[[#This Row],[COSTO TOTAL COCHE]]</f>
        <v>413.25</v>
      </c>
      <c r="S4968" s="2" t="s">
        <v>403</v>
      </c>
      <c r="T4968" s="14" t="s">
        <v>44</v>
      </c>
      <c r="U4968" s="14">
        <v>46075</v>
      </c>
      <c r="V4968" s="25">
        <v>46106</v>
      </c>
      <c r="W4968" s="12"/>
      <c r="X4968" s="2"/>
      <c r="Y4968" s="11" t="s">
        <v>7098</v>
      </c>
      <c r="Z4968" s="2" t="s">
        <v>36</v>
      </c>
      <c r="AA4968" s="13" t="s">
        <v>10335</v>
      </c>
      <c r="AB4968" s="13">
        <v>404.16500000000002</v>
      </c>
    </row>
    <row r="4969" spans="1:28" s="70" customFormat="1" ht="15" customHeight="1">
      <c r="A4969" s="2" t="s">
        <v>9021</v>
      </c>
      <c r="B4969" s="11" t="s">
        <v>3133</v>
      </c>
      <c r="C4969" s="11" t="s">
        <v>1715</v>
      </c>
      <c r="D4969" s="2" t="s">
        <v>99</v>
      </c>
      <c r="E4969" s="2" t="s">
        <v>87</v>
      </c>
      <c r="F4969" s="11" t="s">
        <v>7095</v>
      </c>
      <c r="G4969" s="21" t="s">
        <v>7096</v>
      </c>
      <c r="H4969" s="2" t="s">
        <v>3193</v>
      </c>
      <c r="I4969" s="12" t="s">
        <v>3137</v>
      </c>
      <c r="J4969" s="22">
        <f>+Tabla1[[#This Row],[FECHA ENTRADA]]</f>
        <v>46075</v>
      </c>
      <c r="K4969" s="22">
        <v>46105</v>
      </c>
      <c r="L4969" s="23">
        <f>_xlfn.DAYS(Tabla1[[#This Row],[FECHA FIN ]],Tabla1[[#This Row],[FECHA INICIO]])</f>
        <v>30</v>
      </c>
      <c r="M4969" s="12">
        <v>413.25</v>
      </c>
      <c r="N4969" s="20"/>
      <c r="O4969" s="24">
        <f>(Tabla1[[#This Row],[COSTO FIJO ]]/30)*Tabla1[[#This Row],[TOTAL DIAS PROYECTO]]+(Tabla1[[#This Row],[COSTO TEMPORAL]])</f>
        <v>413.25</v>
      </c>
      <c r="P4969" s="12"/>
      <c r="Q4969" s="12">
        <f>+(Tabla1[[#This Row],[COSTO COCHE]]/30)*Tabla1[[#This Row],[TOTAL DIAS PROYECTO]]</f>
        <v>0</v>
      </c>
      <c r="R4969" s="12">
        <f>+Tabla1[[#This Row],[COSTO TOTAL ALOJAMIENTO]]+Tabla1[[#This Row],[COSTO TOTAL COCHE]]</f>
        <v>413.25</v>
      </c>
      <c r="S4969" s="2" t="s">
        <v>403</v>
      </c>
      <c r="T4969" s="14" t="s">
        <v>44</v>
      </c>
      <c r="U4969" s="14">
        <v>46075</v>
      </c>
      <c r="V4969" s="25">
        <v>46106</v>
      </c>
      <c r="W4969" s="12"/>
      <c r="X4969" s="2"/>
      <c r="Y4969" s="11" t="s">
        <v>7097</v>
      </c>
      <c r="Z4969" s="2" t="s">
        <v>36</v>
      </c>
      <c r="AA4969" s="13" t="s">
        <v>10335</v>
      </c>
      <c r="AB4969" s="13">
        <v>404.16500000000002</v>
      </c>
    </row>
    <row r="4970" spans="1:28" s="70" customFormat="1" ht="15" customHeight="1">
      <c r="A4970" s="2" t="s">
        <v>9219</v>
      </c>
      <c r="B4970" s="11" t="s">
        <v>3133</v>
      </c>
      <c r="C4970" s="104" t="s">
        <v>2487</v>
      </c>
      <c r="D4970" s="2" t="s">
        <v>99</v>
      </c>
      <c r="E4970" s="2" t="s">
        <v>87</v>
      </c>
      <c r="F4970" s="11" t="s">
        <v>7095</v>
      </c>
      <c r="G4970" s="21" t="s">
        <v>7096</v>
      </c>
      <c r="H4970" s="157" t="s">
        <v>3193</v>
      </c>
      <c r="I4970" s="158" t="s">
        <v>3137</v>
      </c>
      <c r="J4970" s="22">
        <f>+Tabla1[[#This Row],[FECHA ENTRADA]]</f>
        <v>46075</v>
      </c>
      <c r="K4970" s="22">
        <v>46105</v>
      </c>
      <c r="L4970" s="23">
        <f>_xlfn.DAYS(Tabla1[[#This Row],[FECHA FIN ]],Tabla1[[#This Row],[FECHA INICIO]])</f>
        <v>30</v>
      </c>
      <c r="M4970" s="12">
        <v>413.25</v>
      </c>
      <c r="N4970" s="20"/>
      <c r="O4970" s="24">
        <f>(Tabla1[[#This Row],[COSTO FIJO ]]/30)*Tabla1[[#This Row],[TOTAL DIAS PROYECTO]]+(Tabla1[[#This Row],[COSTO TEMPORAL]])</f>
        <v>413.25</v>
      </c>
      <c r="P4970" s="12"/>
      <c r="Q4970" s="12">
        <f>+(Tabla1[[#This Row],[COSTO COCHE]]/30)*Tabla1[[#This Row],[TOTAL DIAS PROYECTO]]</f>
        <v>0</v>
      </c>
      <c r="R4970" s="12">
        <f>+Tabla1[[#This Row],[COSTO TOTAL ALOJAMIENTO]]+Tabla1[[#This Row],[COSTO TOTAL COCHE]]</f>
        <v>413.25</v>
      </c>
      <c r="S4970" s="2" t="s">
        <v>403</v>
      </c>
      <c r="T4970" s="14" t="s">
        <v>44</v>
      </c>
      <c r="U4970" s="14">
        <v>46075</v>
      </c>
      <c r="V4970" s="25">
        <v>46106</v>
      </c>
      <c r="W4970" s="12"/>
      <c r="X4970" s="2"/>
      <c r="Y4970" s="11" t="s">
        <v>7097</v>
      </c>
      <c r="Z4970" s="2" t="s">
        <v>36</v>
      </c>
      <c r="AA4970" s="13" t="s">
        <v>10335</v>
      </c>
      <c r="AB4970" s="13">
        <v>404.16500000000002</v>
      </c>
    </row>
    <row r="4971" spans="1:28" ht="15" customHeight="1">
      <c r="A4971" s="2" t="s">
        <v>9086</v>
      </c>
      <c r="B4971" s="2" t="s">
        <v>711</v>
      </c>
      <c r="C4971" s="97" t="s">
        <v>1960</v>
      </c>
      <c r="D4971" s="2" t="s">
        <v>72</v>
      </c>
      <c r="E4971" s="2" t="s">
        <v>1955</v>
      </c>
      <c r="F4971" s="11" t="s">
        <v>7099</v>
      </c>
      <c r="G4971" s="49" t="s">
        <v>7100</v>
      </c>
      <c r="H4971" s="157" t="s">
        <v>1958</v>
      </c>
      <c r="I4971" s="12" t="s">
        <v>1959</v>
      </c>
      <c r="J4971" s="22">
        <f>+Tabla1[[#This Row],[FECHA ENTRADA]]</f>
        <v>46075</v>
      </c>
      <c r="K4971" s="22">
        <v>46105</v>
      </c>
      <c r="L4971" s="23">
        <f>_xlfn.DAYS(Tabla1[[#This Row],[FECHA FIN ]],Tabla1[[#This Row],[FECHA INICIO]])</f>
        <v>30</v>
      </c>
      <c r="M4971" s="12">
        <v>927.53</v>
      </c>
      <c r="N4971" s="24"/>
      <c r="O4971" s="24">
        <f>(Tabla1[[#This Row],[COSTO FIJO ]]/30)*Tabla1[[#This Row],[TOTAL DIAS PROYECTO]]+(Tabla1[[#This Row],[COSTO TEMPORAL]])</f>
        <v>927.53</v>
      </c>
      <c r="P4971" s="12"/>
      <c r="Q4971" s="12">
        <f>+(Tabla1[[#This Row],[COSTO COCHE]]/30)*Tabla1[[#This Row],[TOTAL DIAS PROYECTO]]</f>
        <v>0</v>
      </c>
      <c r="R4971" s="12">
        <f>+Tabla1[[#This Row],[COSTO TOTAL ALOJAMIENTO]]+Tabla1[[#This Row],[COSTO TOTAL COCHE]]</f>
        <v>927.53</v>
      </c>
      <c r="S4971" s="2"/>
      <c r="T4971" s="14" t="s">
        <v>44</v>
      </c>
      <c r="U4971" s="14">
        <v>46075</v>
      </c>
      <c r="V4971" s="25">
        <v>46105</v>
      </c>
      <c r="W4971" s="12"/>
      <c r="X4971" s="2"/>
      <c r="Y4971" s="11"/>
      <c r="Z4971" s="2" t="s">
        <v>36</v>
      </c>
      <c r="AA4971" s="13" t="s">
        <v>10433</v>
      </c>
      <c r="AB4971" s="13" t="s">
        <v>10434</v>
      </c>
    </row>
    <row r="4972" spans="1:28" ht="15" customHeight="1">
      <c r="A4972" s="2" t="s">
        <v>10197</v>
      </c>
      <c r="B4972" s="2" t="s">
        <v>28</v>
      </c>
      <c r="C4972" s="18" t="s">
        <v>7070</v>
      </c>
      <c r="D4972" s="2" t="s">
        <v>30</v>
      </c>
      <c r="E4972" s="2" t="s">
        <v>1404</v>
      </c>
      <c r="F4972" s="11" t="s">
        <v>5396</v>
      </c>
      <c r="G4972" s="11" t="s">
        <v>5397</v>
      </c>
      <c r="H4972" s="2" t="s">
        <v>5398</v>
      </c>
      <c r="I4972" s="12" t="s">
        <v>96</v>
      </c>
      <c r="J4972" s="41">
        <f>+Tabla1[[#This Row],[FECHA ENTRADA]]</f>
        <v>45587</v>
      </c>
      <c r="K4972" s="22">
        <v>45821</v>
      </c>
      <c r="L4972" s="42">
        <f>_xlfn.DAYS(Tabla1[[#This Row],[FECHA FIN ]],Tabla1[[#This Row],[FECHA INICIO]])</f>
        <v>234</v>
      </c>
      <c r="M4972" s="12"/>
      <c r="N4972" s="12">
        <f>1811.6/17</f>
        <v>106.56470588235294</v>
      </c>
      <c r="O4972" s="28">
        <f>(Tabla1[[#This Row],[COSTO FIJO ]]/30)*Tabla1[[#This Row],[TOTAL DIAS PROYECTO]]+(Tabla1[[#This Row],[COSTO TEMPORAL]])</f>
        <v>831.20470588235298</v>
      </c>
      <c r="P4972" s="12">
        <f>+(784.73*50%)/4</f>
        <v>98.091250000000002</v>
      </c>
      <c r="Q4972" s="12">
        <f>+(Tabla1[[#This Row],[COSTO COCHE]]/30)*Tabla1[[#This Row],[TOTAL DIAS PROYECTO]]</f>
        <v>765.11175000000003</v>
      </c>
      <c r="R4972" s="12">
        <f>+Tabla1[[#This Row],[COSTO TOTAL ALOJAMIENTO]]+Tabla1[[#This Row],[COSTO TOTAL COCHE]]</f>
        <v>1596.316455882353</v>
      </c>
      <c r="S4972" s="2"/>
      <c r="T4972" s="2" t="s">
        <v>44</v>
      </c>
      <c r="U4972" s="14">
        <v>45587</v>
      </c>
      <c r="V4972" s="14">
        <v>45654</v>
      </c>
      <c r="W4972" s="26"/>
      <c r="X4972" s="2"/>
      <c r="Y4972" s="11" t="s">
        <v>7101</v>
      </c>
      <c r="Z4972" s="2" t="s">
        <v>36</v>
      </c>
      <c r="AA4972" s="13" t="s">
        <v>10418</v>
      </c>
      <c r="AB4972" s="13" t="s">
        <v>10419</v>
      </c>
    </row>
    <row r="4973" spans="1:28" ht="15" customHeight="1">
      <c r="A4973" s="2" t="s">
        <v>10197</v>
      </c>
      <c r="B4973" s="2" t="s">
        <v>28</v>
      </c>
      <c r="C4973" s="18" t="s">
        <v>7070</v>
      </c>
      <c r="D4973" s="2" t="s">
        <v>30</v>
      </c>
      <c r="E4973" s="2" t="s">
        <v>1404</v>
      </c>
      <c r="F4973" s="11" t="s">
        <v>1800</v>
      </c>
      <c r="G4973" s="46" t="s">
        <v>1801</v>
      </c>
      <c r="H4973" s="2" t="s">
        <v>7102</v>
      </c>
      <c r="I4973" s="12" t="s">
        <v>96</v>
      </c>
      <c r="J4973" s="41">
        <f>+Tabla1[[#This Row],[FECHA ENTRADA]]</f>
        <v>45677</v>
      </c>
      <c r="K4973" s="22">
        <v>45821</v>
      </c>
      <c r="L4973" s="42">
        <f>_xlfn.DAYS(Tabla1[[#This Row],[FECHA FIN ]],Tabla1[[#This Row],[FECHA INICIO]])</f>
        <v>144</v>
      </c>
      <c r="M4973" s="12"/>
      <c r="N4973" s="12">
        <f>1811.6/17</f>
        <v>106.56470588235294</v>
      </c>
      <c r="O4973" s="28">
        <f>(Tabla1[[#This Row],[COSTO FIJO ]]/30)*Tabla1[[#This Row],[TOTAL DIAS PROYECTO]]+(Tabla1[[#This Row],[COSTO TEMPORAL]])</f>
        <v>511.51058823529411</v>
      </c>
      <c r="P4973" s="12"/>
      <c r="Q4973" s="12">
        <f>+(Tabla1[[#This Row],[COSTO COCHE]]/30)*Tabla1[[#This Row],[TOTAL DIAS PROYECTO]]</f>
        <v>0</v>
      </c>
      <c r="R4973" s="12">
        <f>+Tabla1[[#This Row],[COSTO TOTAL ALOJAMIENTO]]+Tabla1[[#This Row],[COSTO TOTAL COCHE]]</f>
        <v>511.51058823529411</v>
      </c>
      <c r="S4973" s="2"/>
      <c r="T4973" s="2" t="s">
        <v>44</v>
      </c>
      <c r="U4973" s="14">
        <v>45677</v>
      </c>
      <c r="V4973" s="43">
        <v>45681</v>
      </c>
      <c r="W4973" s="26"/>
      <c r="X4973" s="2"/>
      <c r="Y4973" s="11" t="s">
        <v>1166</v>
      </c>
      <c r="Z4973" s="2" t="s">
        <v>36</v>
      </c>
      <c r="AA4973" s="13" t="s">
        <v>10418</v>
      </c>
      <c r="AB4973" s="13" t="s">
        <v>10419</v>
      </c>
    </row>
    <row r="4974" spans="1:28" ht="15" customHeight="1">
      <c r="A4974" s="117" t="s">
        <v>10115</v>
      </c>
      <c r="B4974" s="316" t="s">
        <v>606</v>
      </c>
      <c r="C4974" s="118" t="s">
        <v>6470</v>
      </c>
      <c r="D4974" s="117" t="s">
        <v>30</v>
      </c>
      <c r="E4974" s="2" t="s">
        <v>31</v>
      </c>
      <c r="F4974" s="11" t="s">
        <v>32</v>
      </c>
      <c r="G4974" s="11" t="s">
        <v>33</v>
      </c>
      <c r="H4974" s="117" t="s">
        <v>6619</v>
      </c>
      <c r="I4974" s="119" t="s">
        <v>6620</v>
      </c>
      <c r="J4974" s="121">
        <f>+Tabla1[[#This Row],[FECHA ENTRADA]]</f>
        <v>46040</v>
      </c>
      <c r="K4974" s="121">
        <v>46105</v>
      </c>
      <c r="L4974" s="129">
        <f>_xlfn.DAYS(Tabla1[[#This Row],[FECHA FIN ]],Tabla1[[#This Row],[FECHA INICIO]])</f>
        <v>65</v>
      </c>
      <c r="M4974" s="119"/>
      <c r="N4974" s="119">
        <f>875.5/4</f>
        <v>218.875</v>
      </c>
      <c r="O4974" s="131">
        <f>(Tabla1[[#This Row],[COSTO FIJO ]]/30)*Tabla1[[#This Row],[TOTAL DIAS PROYECTO]]+(Tabla1[[#This Row],[COSTO TEMPORAL]])</f>
        <v>474.22916666666669</v>
      </c>
      <c r="P4974" s="119"/>
      <c r="Q4974" s="119">
        <f>+(Tabla1[[#This Row],[COSTO COCHE]]/30)*Tabla1[[#This Row],[TOTAL DIAS PROYECTO]]</f>
        <v>0</v>
      </c>
      <c r="R4974" s="119">
        <f>+Tabla1[[#This Row],[COSTO TOTAL ALOJAMIENTO]]+Tabla1[[#This Row],[COSTO TOTAL COCHE]]</f>
        <v>474.22916666666669</v>
      </c>
      <c r="S4974" s="117"/>
      <c r="T4974" s="124" t="s">
        <v>35</v>
      </c>
      <c r="U4974" s="124">
        <v>46040</v>
      </c>
      <c r="V4974" s="132"/>
      <c r="W4974" s="119"/>
      <c r="X4974" s="117">
        <v>1</v>
      </c>
      <c r="Y4974" s="118" t="s">
        <v>7103</v>
      </c>
      <c r="Z4974" s="117" t="s">
        <v>36</v>
      </c>
      <c r="AA4974" s="127" t="s">
        <v>10323</v>
      </c>
      <c r="AB4974" s="127" t="s">
        <v>10324</v>
      </c>
    </row>
    <row r="4975" spans="1:28" ht="15" customHeight="1">
      <c r="A4975" s="117" t="s">
        <v>10113</v>
      </c>
      <c r="B4975" s="317" t="s">
        <v>606</v>
      </c>
      <c r="C4975" s="118" t="s">
        <v>6460</v>
      </c>
      <c r="D4975" s="117" t="s">
        <v>30</v>
      </c>
      <c r="E4975" s="2" t="s">
        <v>31</v>
      </c>
      <c r="F4975" s="11" t="s">
        <v>32</v>
      </c>
      <c r="G4975" s="11" t="s">
        <v>33</v>
      </c>
      <c r="H4975" s="117" t="s">
        <v>6619</v>
      </c>
      <c r="I4975" s="119" t="s">
        <v>6620</v>
      </c>
      <c r="J4975" s="121">
        <f>+Tabla1[[#This Row],[FECHA ENTRADA]]</f>
        <v>46040</v>
      </c>
      <c r="K4975" s="121">
        <v>46105</v>
      </c>
      <c r="L4975" s="129">
        <f>_xlfn.DAYS(Tabla1[[#This Row],[FECHA FIN ]],Tabla1[[#This Row],[FECHA INICIO]])</f>
        <v>65</v>
      </c>
      <c r="M4975" s="119"/>
      <c r="N4975" s="119">
        <f>875.5/4</f>
        <v>218.875</v>
      </c>
      <c r="O4975" s="131">
        <f>(Tabla1[[#This Row],[COSTO FIJO ]]/30)*Tabla1[[#This Row],[TOTAL DIAS PROYECTO]]+(Tabla1[[#This Row],[COSTO TEMPORAL]])</f>
        <v>474.22916666666669</v>
      </c>
      <c r="P4975" s="119"/>
      <c r="Q4975" s="119">
        <f>+(Tabla1[[#This Row],[COSTO COCHE]]/30)*Tabla1[[#This Row],[TOTAL DIAS PROYECTO]]</f>
        <v>0</v>
      </c>
      <c r="R4975" s="119">
        <f>+Tabla1[[#This Row],[COSTO TOTAL ALOJAMIENTO]]+Tabla1[[#This Row],[COSTO TOTAL COCHE]]</f>
        <v>474.22916666666669</v>
      </c>
      <c r="S4975" s="117"/>
      <c r="T4975" s="124" t="s">
        <v>35</v>
      </c>
      <c r="U4975" s="124">
        <v>46040</v>
      </c>
      <c r="V4975" s="132"/>
      <c r="W4975" s="119"/>
      <c r="X4975" s="117">
        <v>1</v>
      </c>
      <c r="Y4975" s="118" t="s">
        <v>7103</v>
      </c>
      <c r="Z4975" s="117" t="s">
        <v>36</v>
      </c>
      <c r="AA4975" s="127" t="s">
        <v>10323</v>
      </c>
      <c r="AB4975" s="127" t="s">
        <v>10324</v>
      </c>
    </row>
    <row r="4976" spans="1:28" ht="15" customHeight="1">
      <c r="A4976" s="2" t="s">
        <v>10197</v>
      </c>
      <c r="B4976" s="2" t="s">
        <v>28</v>
      </c>
      <c r="C4976" s="11" t="s">
        <v>7070</v>
      </c>
      <c r="D4976" s="2" t="s">
        <v>30</v>
      </c>
      <c r="E4976" s="2" t="s">
        <v>1404</v>
      </c>
      <c r="F4976" s="11" t="s">
        <v>1656</v>
      </c>
      <c r="G4976" s="46" t="s">
        <v>1657</v>
      </c>
      <c r="H4976" s="2" t="s">
        <v>7102</v>
      </c>
      <c r="I4976" s="12" t="s">
        <v>96</v>
      </c>
      <c r="J4976" s="41">
        <f>+Tabla1[[#This Row],[FECHA ENTRADA]]</f>
        <v>45681</v>
      </c>
      <c r="K4976" s="22">
        <v>45821</v>
      </c>
      <c r="L4976" s="42">
        <f>_xlfn.DAYS(Tabla1[[#This Row],[FECHA FIN ]],Tabla1[[#This Row],[FECHA INICIO]])</f>
        <v>140</v>
      </c>
      <c r="M4976" s="12"/>
      <c r="N4976" s="12">
        <f>1811.6/17</f>
        <v>106.56470588235294</v>
      </c>
      <c r="O4976" s="28">
        <f>(Tabla1[[#This Row],[COSTO FIJO ]]/30)*Tabla1[[#This Row],[TOTAL DIAS PROYECTO]]+(Tabla1[[#This Row],[COSTO TEMPORAL]])</f>
        <v>497.30196078431374</v>
      </c>
      <c r="P4976" s="12"/>
      <c r="Q4976" s="12">
        <f>+(Tabla1[[#This Row],[COSTO COCHE]]/30)*Tabla1[[#This Row],[TOTAL DIAS PROYECTO]]</f>
        <v>0</v>
      </c>
      <c r="R4976" s="12">
        <f>+Tabla1[[#This Row],[COSTO TOTAL ALOJAMIENTO]]+Tabla1[[#This Row],[COSTO TOTAL COCHE]]</f>
        <v>497.30196078431374</v>
      </c>
      <c r="S4976" s="2" t="s">
        <v>84</v>
      </c>
      <c r="T4976" s="2" t="s">
        <v>44</v>
      </c>
      <c r="U4976" s="14">
        <v>45681</v>
      </c>
      <c r="V4976" s="43">
        <v>45712</v>
      </c>
      <c r="W4976" s="26"/>
      <c r="X4976" s="2"/>
      <c r="Y4976" s="11"/>
      <c r="Z4976" s="2" t="s">
        <v>36</v>
      </c>
      <c r="AA4976" s="13" t="s">
        <v>10418</v>
      </c>
      <c r="AB4976" s="13" t="s">
        <v>10419</v>
      </c>
    </row>
    <row r="4977" spans="1:28" ht="15" customHeight="1">
      <c r="A4977" s="2" t="s">
        <v>10197</v>
      </c>
      <c r="B4977" s="2" t="s">
        <v>28</v>
      </c>
      <c r="C4977" s="11" t="s">
        <v>7070</v>
      </c>
      <c r="D4977" s="2" t="s">
        <v>30</v>
      </c>
      <c r="E4977" s="2" t="s">
        <v>1664</v>
      </c>
      <c r="F4977" s="11" t="s">
        <v>2710</v>
      </c>
      <c r="G4977" s="21" t="s">
        <v>2711</v>
      </c>
      <c r="H4977" s="2" t="s">
        <v>2712</v>
      </c>
      <c r="I4977" s="12" t="s">
        <v>96</v>
      </c>
      <c r="J4977" s="41">
        <f>+Tabla1[[#This Row],[FECHA ENTRADA]]</f>
        <v>45711</v>
      </c>
      <c r="K4977" s="22">
        <v>45821</v>
      </c>
      <c r="L4977" s="42">
        <f>_xlfn.DAYS(Tabla1[[#This Row],[FECHA FIN ]],Tabla1[[#This Row],[FECHA INICIO]])</f>
        <v>110</v>
      </c>
      <c r="M4977" s="12"/>
      <c r="N4977" s="12">
        <f>1811.6/17</f>
        <v>106.56470588235294</v>
      </c>
      <c r="O4977" s="28">
        <f>(Tabla1[[#This Row],[COSTO FIJO ]]/30)*Tabla1[[#This Row],[TOTAL DIAS PROYECTO]]+(Tabla1[[#This Row],[COSTO TEMPORAL]])</f>
        <v>390.7372549019608</v>
      </c>
      <c r="P4977" s="12"/>
      <c r="Q4977" s="12">
        <f>+(Tabla1[[#This Row],[COSTO COCHE]]/30)*Tabla1[[#This Row],[TOTAL DIAS PROYECTO]]</f>
        <v>0</v>
      </c>
      <c r="R4977" s="12">
        <f>+Tabla1[[#This Row],[COSTO TOTAL ALOJAMIENTO]]+Tabla1[[#This Row],[COSTO TOTAL COCHE]]</f>
        <v>390.7372549019608</v>
      </c>
      <c r="S4977" s="2" t="s">
        <v>403</v>
      </c>
      <c r="T4977" s="2" t="s">
        <v>44</v>
      </c>
      <c r="U4977" s="14">
        <v>45711</v>
      </c>
      <c r="V4977" s="43">
        <v>45714</v>
      </c>
      <c r="W4977" s="26"/>
      <c r="X4977" s="2"/>
      <c r="Y4977" s="11"/>
      <c r="Z4977" s="2" t="s">
        <v>36</v>
      </c>
      <c r="AA4977" s="13" t="s">
        <v>10425</v>
      </c>
      <c r="AB4977" s="13" t="s">
        <v>10426</v>
      </c>
    </row>
    <row r="4978" spans="1:28" ht="15" customHeight="1">
      <c r="A4978" s="2" t="s">
        <v>10046</v>
      </c>
      <c r="B4978" s="2" t="s">
        <v>711</v>
      </c>
      <c r="C4978" s="31" t="s">
        <v>6048</v>
      </c>
      <c r="D4978" s="2" t="s">
        <v>30</v>
      </c>
      <c r="E4978" s="2" t="s">
        <v>87</v>
      </c>
      <c r="F4978" s="11" t="s">
        <v>1668</v>
      </c>
      <c r="G4978" s="318" t="s">
        <v>1669</v>
      </c>
      <c r="H4978" s="2" t="s">
        <v>6141</v>
      </c>
      <c r="I4978" s="12" t="s">
        <v>1392</v>
      </c>
      <c r="J4978" s="22">
        <f>+Tabla1[[#This Row],[FECHA ENTRADA]]</f>
        <v>46006</v>
      </c>
      <c r="K4978" s="22">
        <v>46039</v>
      </c>
      <c r="L4978" s="23">
        <f>_xlfn.DAYS(Tabla1[[#This Row],[FECHA FIN ]],Tabla1[[#This Row],[FECHA INICIO]])</f>
        <v>33</v>
      </c>
      <c r="M4978" s="12"/>
      <c r="N4978" s="20">
        <f>1663/6</f>
        <v>277.16666666666669</v>
      </c>
      <c r="O4978" s="24">
        <f>(Tabla1[[#This Row],[COSTO FIJO ]]/30)*Tabla1[[#This Row],[TOTAL DIAS PROYECTO]]+(Tabla1[[#This Row],[COSTO TEMPORAL]])</f>
        <v>304.88333333333333</v>
      </c>
      <c r="P4978" s="12"/>
      <c r="Q4978" s="12">
        <f>+(Tabla1[[#This Row],[COSTO COCHE]]/30)*Tabla1[[#This Row],[TOTAL DIAS PROYECTO]]</f>
        <v>0</v>
      </c>
      <c r="R4978" s="12">
        <f>+Tabla1[[#This Row],[COSTO TOTAL ALOJAMIENTO]]+Tabla1[[#This Row],[COSTO TOTAL COCHE]]</f>
        <v>304.88333333333333</v>
      </c>
      <c r="S4978" s="2"/>
      <c r="T4978" s="14" t="s">
        <v>35</v>
      </c>
      <c r="U4978" s="14">
        <v>46006</v>
      </c>
      <c r="V4978" s="79"/>
      <c r="W4978" s="12"/>
      <c r="X4978" s="2">
        <v>5</v>
      </c>
      <c r="Y4978" s="11" t="s">
        <v>7104</v>
      </c>
      <c r="Z4978" s="2" t="s">
        <v>36</v>
      </c>
      <c r="AA4978" s="13" t="s">
        <v>10335</v>
      </c>
      <c r="AB4978" s="13">
        <v>404.16500000000002</v>
      </c>
    </row>
    <row r="4979" spans="1:28" ht="15" customHeight="1">
      <c r="A4979" s="2" t="s">
        <v>9066</v>
      </c>
      <c r="B4979" s="11" t="s">
        <v>3133</v>
      </c>
      <c r="C4979" s="31" t="s">
        <v>1852</v>
      </c>
      <c r="D4979" s="2" t="s">
        <v>30</v>
      </c>
      <c r="E4979" s="2" t="s">
        <v>87</v>
      </c>
      <c r="F4979" s="11" t="s">
        <v>3134</v>
      </c>
      <c r="G4979" s="197" t="s">
        <v>3135</v>
      </c>
      <c r="H4979" s="2" t="s">
        <v>3136</v>
      </c>
      <c r="I4979" s="12" t="s">
        <v>3137</v>
      </c>
      <c r="J4979" s="22">
        <f>+Tabla1[[#This Row],[FECHA ENTRADA]]</f>
        <v>46069</v>
      </c>
      <c r="K4979" s="8">
        <v>46105</v>
      </c>
      <c r="L4979" s="23">
        <f>_xlfn.DAYS(Tabla1[[#This Row],[FECHA FIN ]],Tabla1[[#This Row],[FECHA INICIO]])</f>
        <v>36</v>
      </c>
      <c r="M4979" s="12"/>
      <c r="N4979" s="24">
        <v>450</v>
      </c>
      <c r="O4979" s="24">
        <f>(Tabla1[[#This Row],[COSTO FIJO ]]/30)*Tabla1[[#This Row],[TOTAL DIAS PROYECTO]]+(Tabla1[[#This Row],[COSTO TEMPORAL]])</f>
        <v>540</v>
      </c>
      <c r="P4979" s="12"/>
      <c r="Q4979" s="12">
        <f>+(Tabla1[[#This Row],[COSTO COCHE]]/30)*Tabla1[[#This Row],[TOTAL DIAS PROYECTO]]</f>
        <v>0</v>
      </c>
      <c r="R4979" s="12">
        <f>+Tabla1[[#This Row],[COSTO TOTAL ALOJAMIENTO]]+Tabla1[[#This Row],[COSTO TOTAL COCHE]]</f>
        <v>540</v>
      </c>
      <c r="S4979" s="2"/>
      <c r="T4979" s="14" t="s">
        <v>35</v>
      </c>
      <c r="U4979" s="14">
        <v>46069</v>
      </c>
      <c r="V4979" s="25"/>
      <c r="W4979" s="12"/>
      <c r="X4979" s="2">
        <v>17</v>
      </c>
      <c r="Y4979" s="11"/>
      <c r="Z4979" s="2" t="s">
        <v>36</v>
      </c>
      <c r="AA4979" s="13" t="s">
        <v>10335</v>
      </c>
      <c r="AB4979" s="13">
        <v>404.16500000000002</v>
      </c>
    </row>
    <row r="4980" spans="1:28" ht="15" customHeight="1">
      <c r="A4980" s="2" t="s">
        <v>9976</v>
      </c>
      <c r="B4980" s="11" t="s">
        <v>3133</v>
      </c>
      <c r="C4980" s="31" t="s">
        <v>5801</v>
      </c>
      <c r="D4980" s="2" t="s">
        <v>30</v>
      </c>
      <c r="E4980" s="2" t="s">
        <v>87</v>
      </c>
      <c r="F4980" s="11" t="s">
        <v>3134</v>
      </c>
      <c r="G4980" s="197" t="s">
        <v>3135</v>
      </c>
      <c r="H4980" s="2" t="s">
        <v>3136</v>
      </c>
      <c r="I4980" s="12" t="s">
        <v>3137</v>
      </c>
      <c r="J4980" s="22">
        <f>+Tabla1[[#This Row],[FECHA ENTRADA]]</f>
        <v>46069</v>
      </c>
      <c r="K4980" s="8">
        <v>46105</v>
      </c>
      <c r="L4980" s="23">
        <f>_xlfn.DAYS(Tabla1[[#This Row],[FECHA FIN ]],Tabla1[[#This Row],[FECHA INICIO]])</f>
        <v>36</v>
      </c>
      <c r="M4980" s="12"/>
      <c r="N4980" s="24">
        <v>450</v>
      </c>
      <c r="O4980" s="24">
        <f>(Tabla1[[#This Row],[COSTO FIJO ]]/30)*Tabla1[[#This Row],[TOTAL DIAS PROYECTO]]+(Tabla1[[#This Row],[COSTO TEMPORAL]])</f>
        <v>540</v>
      </c>
      <c r="P4980" s="12"/>
      <c r="Q4980" s="12">
        <f>+(Tabla1[[#This Row],[COSTO COCHE]]/30)*Tabla1[[#This Row],[TOTAL DIAS PROYECTO]]</f>
        <v>0</v>
      </c>
      <c r="R4980" s="12">
        <f>+Tabla1[[#This Row],[COSTO TOTAL ALOJAMIENTO]]+Tabla1[[#This Row],[COSTO TOTAL COCHE]]</f>
        <v>540</v>
      </c>
      <c r="S4980" s="2"/>
      <c r="T4980" s="14" t="s">
        <v>35</v>
      </c>
      <c r="U4980" s="14">
        <v>46069</v>
      </c>
      <c r="V4980" s="25"/>
      <c r="W4980" s="12"/>
      <c r="X4980" s="2">
        <v>17</v>
      </c>
      <c r="Y4980" s="11"/>
      <c r="Z4980" s="2" t="s">
        <v>36</v>
      </c>
      <c r="AA4980" s="13" t="s">
        <v>10335</v>
      </c>
      <c r="AB4980" s="13">
        <v>404.16500000000002</v>
      </c>
    </row>
    <row r="4981" spans="1:28" ht="15" customHeight="1">
      <c r="A4981" s="2" t="s">
        <v>9781</v>
      </c>
      <c r="B4981" s="2" t="s">
        <v>711</v>
      </c>
      <c r="C4981" s="11" t="s">
        <v>4720</v>
      </c>
      <c r="D4981" s="2" t="s">
        <v>30</v>
      </c>
      <c r="E4981" s="2" t="s">
        <v>7105</v>
      </c>
      <c r="F4981" s="11"/>
      <c r="G4981" s="11"/>
      <c r="H4981" s="2" t="s">
        <v>7106</v>
      </c>
      <c r="I4981" s="12" t="s">
        <v>570</v>
      </c>
      <c r="J4981" s="41">
        <f>+Tabla1[[#This Row],[FECHA ENTRADA]]</f>
        <v>46104</v>
      </c>
      <c r="K4981" s="41">
        <v>46106</v>
      </c>
      <c r="L4981" s="42">
        <f>_xlfn.DAYS(Tabla1[[#This Row],[FECHA FIN ]],Tabla1[[#This Row],[FECHA INICIO]])</f>
        <v>2</v>
      </c>
      <c r="M4981" s="12">
        <v>60</v>
      </c>
      <c r="N4981" s="28"/>
      <c r="O4981" s="28">
        <f>(Tabla1[[#This Row],[COSTO FIJO ]]/30)*Tabla1[[#This Row],[TOTAL DIAS PROYECTO]]+(Tabla1[[#This Row],[COSTO TEMPORAL]])</f>
        <v>60</v>
      </c>
      <c r="P4981" s="12"/>
      <c r="Q4981" s="12">
        <f>+(Tabla1[[#This Row],[COSTO COCHE]]/30)*Tabla1[[#This Row],[TOTAL DIAS PROYECTO]]</f>
        <v>0</v>
      </c>
      <c r="R4981" s="12">
        <f>+Tabla1[[#This Row],[COSTO TOTAL ALOJAMIENTO]]+Tabla1[[#This Row],[COSTO TOTAL COCHE]]</f>
        <v>60</v>
      </c>
      <c r="S4981" s="2"/>
      <c r="T4981" s="14" t="s">
        <v>44</v>
      </c>
      <c r="U4981" s="14">
        <v>46104</v>
      </c>
      <c r="V4981" s="43">
        <v>46106</v>
      </c>
      <c r="W4981" s="12"/>
      <c r="X4981" s="2"/>
      <c r="Y4981" s="11" t="s">
        <v>7107</v>
      </c>
      <c r="Z4981" s="2" t="s">
        <v>36</v>
      </c>
      <c r="AA4981" s="13" t="e">
        <v>#N/A</v>
      </c>
      <c r="AB4981" s="13" t="e">
        <v>#N/A</v>
      </c>
    </row>
    <row r="4982" spans="1:28" ht="15" customHeight="1">
      <c r="A4982" s="2" t="s">
        <v>9146</v>
      </c>
      <c r="B4982" s="2" t="s">
        <v>606</v>
      </c>
      <c r="C4982" s="11" t="s">
        <v>2208</v>
      </c>
      <c r="D4982" s="2" t="s">
        <v>30</v>
      </c>
      <c r="E4982" s="2" t="s">
        <v>213</v>
      </c>
      <c r="F4982" s="11" t="s">
        <v>1733</v>
      </c>
      <c r="G4982" s="21" t="s">
        <v>1734</v>
      </c>
      <c r="H4982" s="2" t="s">
        <v>7108</v>
      </c>
      <c r="I4982" s="10" t="s">
        <v>3364</v>
      </c>
      <c r="J4982" s="22">
        <f>+Tabla1[[#This Row],[FECHA ENTRADA]]</f>
        <v>46086</v>
      </c>
      <c r="K4982" s="22">
        <v>46107</v>
      </c>
      <c r="L4982" s="23">
        <f>_xlfn.DAYS(Tabla1[[#This Row],[FECHA FIN ]],Tabla1[[#This Row],[FECHA INICIO]])</f>
        <v>21</v>
      </c>
      <c r="M4982" s="12"/>
      <c r="N4982" s="24"/>
      <c r="O4982" s="24">
        <f>(Tabla1[[#This Row],[COSTO FIJO ]]/30)*Tabla1[[#This Row],[TOTAL DIAS PROYECTO]]+(Tabla1[[#This Row],[COSTO TEMPORAL]])</f>
        <v>0</v>
      </c>
      <c r="P4982" s="12"/>
      <c r="Q4982" s="12">
        <f>+(Tabla1[[#This Row],[COSTO COCHE]]/30)*Tabla1[[#This Row],[TOTAL DIAS PROYECTO]]</f>
        <v>0</v>
      </c>
      <c r="R4982" s="12">
        <f>+Tabla1[[#This Row],[COSTO TOTAL ALOJAMIENTO]]+Tabla1[[#This Row],[COSTO TOTAL COCHE]]</f>
        <v>0</v>
      </c>
      <c r="S4982" s="2"/>
      <c r="T4982" s="14" t="s">
        <v>44</v>
      </c>
      <c r="U4982" s="14">
        <v>46086</v>
      </c>
      <c r="V4982" s="25">
        <v>46107</v>
      </c>
      <c r="W4982" s="12"/>
      <c r="X4982" s="2"/>
      <c r="Y4982" s="11" t="s">
        <v>7109</v>
      </c>
      <c r="Z4982" s="2" t="s">
        <v>36</v>
      </c>
      <c r="AA4982" s="13" t="s">
        <v>10349</v>
      </c>
      <c r="AB4982" s="13" t="s">
        <v>10350</v>
      </c>
    </row>
    <row r="4983" spans="1:28" ht="15" customHeight="1">
      <c r="A4983" s="2" t="s">
        <v>9665</v>
      </c>
      <c r="B4983" s="241" t="s">
        <v>606</v>
      </c>
      <c r="C4983" s="31" t="s">
        <v>4125</v>
      </c>
      <c r="D4983" s="2" t="s">
        <v>30</v>
      </c>
      <c r="E4983" s="2" t="s">
        <v>55</v>
      </c>
      <c r="F4983" s="11" t="s">
        <v>1653</v>
      </c>
      <c r="G4983" s="11" t="s">
        <v>1440</v>
      </c>
      <c r="H4983" s="2" t="s">
        <v>4126</v>
      </c>
      <c r="I4983" s="12" t="s">
        <v>4120</v>
      </c>
      <c r="J4983" s="41">
        <f>+Tabla1[[#This Row],[FECHA ENTRADA]]</f>
        <v>45838</v>
      </c>
      <c r="K4983" s="41">
        <v>46107</v>
      </c>
      <c r="L4983" s="42">
        <f>_xlfn.DAYS(Tabla1[[#This Row],[FECHA FIN ]],Tabla1[[#This Row],[FECHA INICIO]])</f>
        <v>269</v>
      </c>
      <c r="M4983" s="12"/>
      <c r="N4983" s="28">
        <v>666.66666666666663</v>
      </c>
      <c r="O4983" s="28">
        <f>(Tabla1[[#This Row],[COSTO FIJO ]]/30)*Tabla1[[#This Row],[TOTAL DIAS PROYECTO]]+(Tabla1[[#This Row],[COSTO TEMPORAL]])</f>
        <v>5977.7777777777774</v>
      </c>
      <c r="P4983" s="12"/>
      <c r="Q4983" s="12">
        <f>+(Tabla1[[#This Row],[COSTO COCHE]]/30)*Tabla1[[#This Row],[TOTAL DIAS PROYECTO]]</f>
        <v>0</v>
      </c>
      <c r="R4983" s="12">
        <f>+Tabla1[[#This Row],[COSTO TOTAL ALOJAMIENTO]]+Tabla1[[#This Row],[COSTO TOTAL COCHE]]</f>
        <v>5977.7777777777774</v>
      </c>
      <c r="S4983" s="2"/>
      <c r="T4983" s="14" t="s">
        <v>35</v>
      </c>
      <c r="U4983" s="14">
        <v>45838</v>
      </c>
      <c r="V4983" s="43"/>
      <c r="W4983" s="2"/>
      <c r="X4983" s="2">
        <v>1</v>
      </c>
      <c r="Y4983" t="s">
        <v>7110</v>
      </c>
      <c r="Z4983" s="2" t="s">
        <v>36</v>
      </c>
      <c r="AA4983" s="13" t="s">
        <v>10327</v>
      </c>
      <c r="AB4983" s="13" t="s">
        <v>10328</v>
      </c>
    </row>
    <row r="4984" spans="1:28" ht="15" customHeight="1">
      <c r="A4984" s="2" t="s">
        <v>10199</v>
      </c>
      <c r="B4984" s="2" t="s">
        <v>711</v>
      </c>
      <c r="C4984" s="11" t="s">
        <v>7111</v>
      </c>
      <c r="D4984" s="2" t="s">
        <v>30</v>
      </c>
      <c r="E4984" s="2" t="s">
        <v>213</v>
      </c>
      <c r="F4984" s="11" t="s">
        <v>6730</v>
      </c>
      <c r="G4984" s="46" t="s">
        <v>6731</v>
      </c>
      <c r="H4984" s="2" t="s">
        <v>6732</v>
      </c>
      <c r="I4984" s="12" t="s">
        <v>4464</v>
      </c>
      <c r="J4984" s="41">
        <f>+Tabla1[[#This Row],[FECHA ENTRADA]]</f>
        <v>45951</v>
      </c>
      <c r="K4984" s="22">
        <v>45953</v>
      </c>
      <c r="L4984" s="42">
        <f>_xlfn.DAYS(Tabla1[[#This Row],[FECHA FIN ]],Tabla1[[#This Row],[FECHA INICIO]])</f>
        <v>2</v>
      </c>
      <c r="M4984" s="12">
        <v>92.5</v>
      </c>
      <c r="N4984" s="28"/>
      <c r="O4984" s="28">
        <f>(Tabla1[[#This Row],[COSTO FIJO ]]/30)*Tabla1[[#This Row],[TOTAL DIAS PROYECTO]]+(Tabla1[[#This Row],[COSTO TEMPORAL]])</f>
        <v>92.5</v>
      </c>
      <c r="P4984" s="12"/>
      <c r="Q4984" s="12">
        <f>+(Tabla1[[#This Row],[COSTO COCHE]]/30)*Tabla1[[#This Row],[TOTAL DIAS PROYECTO]]</f>
        <v>0</v>
      </c>
      <c r="R4984" s="12">
        <f>+Tabla1[[#This Row],[COSTO TOTAL ALOJAMIENTO]]+Tabla1[[#This Row],[COSTO TOTAL COCHE]]</f>
        <v>92.5</v>
      </c>
      <c r="S4984" s="2" t="s">
        <v>403</v>
      </c>
      <c r="T4984" s="14" t="s">
        <v>44</v>
      </c>
      <c r="U4984" s="14">
        <v>45951</v>
      </c>
      <c r="V4984" s="43">
        <v>45954</v>
      </c>
      <c r="W4984" s="71"/>
      <c r="X4984" s="2"/>
      <c r="Y4984" s="11" t="s">
        <v>6733</v>
      </c>
      <c r="Z4984" s="2" t="s">
        <v>36</v>
      </c>
      <c r="AA4984" s="13" t="s">
        <v>10349</v>
      </c>
      <c r="AB4984" s="13" t="s">
        <v>10350</v>
      </c>
    </row>
    <row r="4985" spans="1:28" ht="15" customHeight="1">
      <c r="A4985" s="2" t="s">
        <v>10200</v>
      </c>
      <c r="B4985" s="2" t="s">
        <v>606</v>
      </c>
      <c r="C4985" s="31" t="s">
        <v>7112</v>
      </c>
      <c r="D4985" s="2" t="s">
        <v>30</v>
      </c>
      <c r="E4985" s="2" t="s">
        <v>31</v>
      </c>
      <c r="F4985" s="11" t="s">
        <v>1106</v>
      </c>
      <c r="G4985" s="46"/>
      <c r="H4985" s="2" t="s">
        <v>6212</v>
      </c>
      <c r="I4985" s="12" t="s">
        <v>6213</v>
      </c>
      <c r="J4985" s="41">
        <f>+Tabla1[[#This Row],[FECHA ENTRADA]]</f>
        <v>45966</v>
      </c>
      <c r="K4985" s="22">
        <v>46108</v>
      </c>
      <c r="L4985" s="42">
        <f>_xlfn.DAYS(Tabla1[[#This Row],[FECHA FIN ]],Tabla1[[#This Row],[FECHA INICIO]])</f>
        <v>142</v>
      </c>
      <c r="M4985" s="12"/>
      <c r="N4985" s="28"/>
      <c r="O4985" s="28">
        <f>(Tabla1[[#This Row],[COSTO FIJO ]]/30)*Tabla1[[#This Row],[TOTAL DIAS PROYECTO]]+(Tabla1[[#This Row],[COSTO TEMPORAL]])</f>
        <v>0</v>
      </c>
      <c r="P4985" s="12"/>
      <c r="Q4985" s="12">
        <f>+(Tabla1[[#This Row],[COSTO COCHE]]/30)*Tabla1[[#This Row],[TOTAL DIAS PROYECTO]]</f>
        <v>0</v>
      </c>
      <c r="R4985" s="12">
        <f>+Tabla1[[#This Row],[COSTO TOTAL ALOJAMIENTO]]+Tabla1[[#This Row],[COSTO TOTAL COCHE]]</f>
        <v>0</v>
      </c>
      <c r="S4985" s="2"/>
      <c r="T4985" s="2" t="s">
        <v>8</v>
      </c>
      <c r="U4985" s="14">
        <v>45966</v>
      </c>
      <c r="V4985" s="43"/>
      <c r="W4985" s="71"/>
      <c r="X4985" s="2"/>
      <c r="Y4985" s="11" t="s">
        <v>7113</v>
      </c>
      <c r="Z4985" s="2" t="s">
        <v>36</v>
      </c>
      <c r="AA4985" s="13" t="s">
        <v>10323</v>
      </c>
      <c r="AB4985" s="13" t="s">
        <v>10324</v>
      </c>
    </row>
    <row r="4986" spans="1:28" ht="15" customHeight="1">
      <c r="A4986" s="117" t="s">
        <v>9960</v>
      </c>
      <c r="B4986" s="117" t="s">
        <v>711</v>
      </c>
      <c r="C4986" s="118" t="s">
        <v>5735</v>
      </c>
      <c r="D4986" s="117" t="s">
        <v>30</v>
      </c>
      <c r="E4986" s="117" t="s">
        <v>114</v>
      </c>
      <c r="F4986" s="11" t="s">
        <v>7114</v>
      </c>
      <c r="G4986" s="128" t="s">
        <v>7115</v>
      </c>
      <c r="H4986" s="117" t="s">
        <v>6775</v>
      </c>
      <c r="I4986" s="119" t="s">
        <v>118</v>
      </c>
      <c r="J4986" s="121">
        <f>+Tabla1[[#This Row],[FECHA ENTRADA]]</f>
        <v>46079</v>
      </c>
      <c r="K4986" s="121">
        <v>46109</v>
      </c>
      <c r="L4986" s="129">
        <f>_xlfn.DAYS(Tabla1[[#This Row],[FECHA FIN ]],Tabla1[[#This Row],[FECHA INICIO]])</f>
        <v>30</v>
      </c>
      <c r="M4986" s="119">
        <v>425</v>
      </c>
      <c r="N4986" s="130"/>
      <c r="O4986" s="131">
        <f>(Tabla1[[#This Row],[COSTO FIJO ]]/30)*Tabla1[[#This Row],[TOTAL DIAS PROYECTO]]+(Tabla1[[#This Row],[COSTO TEMPORAL]])</f>
        <v>425</v>
      </c>
      <c r="P4986" s="119"/>
      <c r="Q4986" s="119">
        <f>+(Tabla1[[#This Row],[COSTO COCHE]]/30)*Tabla1[[#This Row],[TOTAL DIAS PROYECTO]]</f>
        <v>0</v>
      </c>
      <c r="R4986" s="119">
        <f>+Tabla1[[#This Row],[COSTO TOTAL ALOJAMIENTO]]+Tabla1[[#This Row],[COSTO TOTAL COCHE]]</f>
        <v>425</v>
      </c>
      <c r="S4986" s="117"/>
      <c r="T4986" s="124" t="s">
        <v>44</v>
      </c>
      <c r="U4986" s="124">
        <v>46079</v>
      </c>
      <c r="V4986" s="132">
        <v>46110</v>
      </c>
      <c r="W4986" s="119">
        <v>750</v>
      </c>
      <c r="X4986" s="117">
        <v>5</v>
      </c>
      <c r="Y4986" s="118" t="s">
        <v>7116</v>
      </c>
      <c r="Z4986" s="117" t="s">
        <v>36</v>
      </c>
      <c r="AA4986" s="127" t="s">
        <v>10340</v>
      </c>
      <c r="AB4986" s="127" t="s">
        <v>10341</v>
      </c>
    </row>
    <row r="4987" spans="1:28" ht="15" customHeight="1">
      <c r="A4987" s="117" t="s">
        <v>9319</v>
      </c>
      <c r="B4987" s="117" t="s">
        <v>711</v>
      </c>
      <c r="C4987" s="118" t="s">
        <v>2812</v>
      </c>
      <c r="D4987" s="117" t="s">
        <v>30</v>
      </c>
      <c r="E4987" s="117" t="s">
        <v>114</v>
      </c>
      <c r="F4987" s="11" t="s">
        <v>7114</v>
      </c>
      <c r="G4987" s="128" t="s">
        <v>7115</v>
      </c>
      <c r="H4987" s="117" t="s">
        <v>6775</v>
      </c>
      <c r="I4987" s="119" t="s">
        <v>118</v>
      </c>
      <c r="J4987" s="121">
        <f>+Tabla1[[#This Row],[FECHA ENTRADA]]</f>
        <v>46079</v>
      </c>
      <c r="K4987" s="121">
        <v>46109</v>
      </c>
      <c r="L4987" s="129">
        <f>_xlfn.DAYS(Tabla1[[#This Row],[FECHA FIN ]],Tabla1[[#This Row],[FECHA INICIO]])</f>
        <v>30</v>
      </c>
      <c r="M4987" s="119">
        <v>425</v>
      </c>
      <c r="N4987" s="130"/>
      <c r="O4987" s="131">
        <f>(Tabla1[[#This Row],[COSTO FIJO ]]/30)*Tabla1[[#This Row],[TOTAL DIAS PROYECTO]]+(Tabla1[[#This Row],[COSTO TEMPORAL]])</f>
        <v>425</v>
      </c>
      <c r="P4987" s="119"/>
      <c r="Q4987" s="119">
        <f>+(Tabla1[[#This Row],[COSTO COCHE]]/30)*Tabla1[[#This Row],[TOTAL DIAS PROYECTO]]</f>
        <v>0</v>
      </c>
      <c r="R4987" s="119">
        <f>+Tabla1[[#This Row],[COSTO TOTAL ALOJAMIENTO]]+Tabla1[[#This Row],[COSTO TOTAL COCHE]]</f>
        <v>425</v>
      </c>
      <c r="S4987" s="117"/>
      <c r="T4987" s="124" t="s">
        <v>44</v>
      </c>
      <c r="U4987" s="124">
        <v>46079</v>
      </c>
      <c r="V4987" s="132">
        <v>46110</v>
      </c>
      <c r="W4987" s="119"/>
      <c r="X4987" s="117">
        <v>5</v>
      </c>
      <c r="Y4987" s="118" t="s">
        <v>7116</v>
      </c>
      <c r="Z4987" s="117" t="s">
        <v>36</v>
      </c>
      <c r="AA4987" s="127" t="s">
        <v>10340</v>
      </c>
      <c r="AB4987" s="127" t="s">
        <v>10341</v>
      </c>
    </row>
    <row r="4988" spans="1:28" ht="15" customHeight="1">
      <c r="A4988" s="2" t="s">
        <v>10201</v>
      </c>
      <c r="B4988" s="2" t="s">
        <v>606</v>
      </c>
      <c r="C4988" s="31" t="s">
        <v>7117</v>
      </c>
      <c r="D4988" s="2" t="s">
        <v>99</v>
      </c>
      <c r="E4988" s="2" t="s">
        <v>55</v>
      </c>
      <c r="F4988" s="11" t="s">
        <v>6694</v>
      </c>
      <c r="G4988" s="18" t="s">
        <v>106</v>
      </c>
      <c r="H4988" s="2" t="s">
        <v>6857</v>
      </c>
      <c r="I4988" s="12" t="s">
        <v>4120</v>
      </c>
      <c r="J4988" s="22">
        <f>+Tabla1[[#This Row],[FECHA ENTRADA]]</f>
        <v>46057</v>
      </c>
      <c r="K4988" s="22">
        <v>46109</v>
      </c>
      <c r="L4988" s="23">
        <f>_xlfn.DAYS(Tabla1[[#This Row],[FECHA FIN ]],Tabla1[[#This Row],[FECHA INICIO]])</f>
        <v>52</v>
      </c>
      <c r="M4988" s="12"/>
      <c r="N4988" s="24">
        <v>500</v>
      </c>
      <c r="O4988" s="24">
        <f>(Tabla1[[#This Row],[COSTO FIJO ]]/30)*Tabla1[[#This Row],[TOTAL DIAS PROYECTO]]+(Tabla1[[#This Row],[COSTO TEMPORAL]])</f>
        <v>866.66666666666674</v>
      </c>
      <c r="P4988" s="12"/>
      <c r="Q4988" s="12">
        <f>+(Tabla1[[#This Row],[COSTO COCHE]]/30)*Tabla1[[#This Row],[TOTAL DIAS PROYECTO]]</f>
        <v>0</v>
      </c>
      <c r="R4988" s="12">
        <f>+Tabla1[[#This Row],[COSTO TOTAL ALOJAMIENTO]]+Tabla1[[#This Row],[COSTO TOTAL COCHE]]</f>
        <v>866.66666666666674</v>
      </c>
      <c r="S4988" s="2"/>
      <c r="T4988" s="14" t="s">
        <v>35</v>
      </c>
      <c r="U4988" s="14">
        <v>46057</v>
      </c>
      <c r="V4988" s="25"/>
      <c r="W4988" s="12"/>
      <c r="X4988" s="2">
        <v>1</v>
      </c>
      <c r="Y4988" s="178" t="s">
        <v>7118</v>
      </c>
      <c r="Z4988" s="2" t="s">
        <v>36</v>
      </c>
      <c r="AA4988" s="13" t="s">
        <v>10327</v>
      </c>
      <c r="AB4988" s="13" t="s">
        <v>10328</v>
      </c>
    </row>
    <row r="4989" spans="1:28" ht="15" customHeight="1">
      <c r="A4989" s="2" t="s">
        <v>9904</v>
      </c>
      <c r="B4989" s="184" t="s">
        <v>711</v>
      </c>
      <c r="C4989" s="11" t="s">
        <v>5318</v>
      </c>
      <c r="D4989" s="2" t="s">
        <v>99</v>
      </c>
      <c r="E4989" s="2" t="s">
        <v>55</v>
      </c>
      <c r="F4989" s="11" t="s">
        <v>6694</v>
      </c>
      <c r="G4989" s="18" t="s">
        <v>106</v>
      </c>
      <c r="H4989" s="2" t="s">
        <v>5404</v>
      </c>
      <c r="I4989" s="12" t="s">
        <v>1067</v>
      </c>
      <c r="J4989" s="22">
        <f>+Tabla1[[#This Row],[FECHA ENTRADA]]</f>
        <v>45964</v>
      </c>
      <c r="K4989" s="22">
        <v>46109</v>
      </c>
      <c r="L4989" s="23">
        <f>_xlfn.DAYS(Tabla1[[#This Row],[FECHA FIN ]],Tabla1[[#This Row],[FECHA INICIO]])</f>
        <v>145</v>
      </c>
      <c r="M4989" s="12"/>
      <c r="N4989" s="24">
        <v>500</v>
      </c>
      <c r="O4989" s="24">
        <f>(Tabla1[[#This Row],[COSTO FIJO ]]/30)*Tabla1[[#This Row],[TOTAL DIAS PROYECTO]]+(Tabla1[[#This Row],[COSTO TEMPORAL]])</f>
        <v>2416.666666666667</v>
      </c>
      <c r="P4989" s="12"/>
      <c r="Q4989" s="12">
        <f>+(Tabla1[[#This Row],[COSTO COCHE]]/30)*Tabla1[[#This Row],[TOTAL DIAS PROYECTO]]</f>
        <v>0</v>
      </c>
      <c r="R4989" s="12">
        <f>+Tabla1[[#This Row],[COSTO TOTAL ALOJAMIENTO]]+Tabla1[[#This Row],[COSTO TOTAL COCHE]]</f>
        <v>2416.666666666667</v>
      </c>
      <c r="S4989" s="2"/>
      <c r="T4989" s="14" t="s">
        <v>35</v>
      </c>
      <c r="U4989" s="14">
        <v>45964</v>
      </c>
      <c r="V4989" s="25"/>
      <c r="W4989" s="12">
        <v>600</v>
      </c>
      <c r="X4989" s="2">
        <v>1</v>
      </c>
      <c r="Y4989" s="11" t="s">
        <v>7119</v>
      </c>
      <c r="Z4989" s="2" t="s">
        <v>36</v>
      </c>
      <c r="AA4989" s="13" t="s">
        <v>10327</v>
      </c>
      <c r="AB4989" s="13" t="s">
        <v>10328</v>
      </c>
    </row>
    <row r="4990" spans="1:28" ht="15" customHeight="1">
      <c r="A4990" s="2" t="s">
        <v>9700</v>
      </c>
      <c r="B4990" s="2" t="s">
        <v>711</v>
      </c>
      <c r="C4990" s="11" t="s">
        <v>4306</v>
      </c>
      <c r="D4990" s="2" t="s">
        <v>30</v>
      </c>
      <c r="E4990" s="2" t="s">
        <v>415</v>
      </c>
      <c r="F4990" s="11" t="s">
        <v>5821</v>
      </c>
      <c r="G4990" s="21" t="s">
        <v>1413</v>
      </c>
      <c r="H4990" s="2" t="s">
        <v>4307</v>
      </c>
      <c r="I4990" s="12" t="s">
        <v>800</v>
      </c>
      <c r="J4990" s="22">
        <f>+Tabla1[[#This Row],[FECHA ENTRADA]]</f>
        <v>45943</v>
      </c>
      <c r="K4990" s="22">
        <v>46109</v>
      </c>
      <c r="L4990" s="23">
        <f>_xlfn.DAYS(Tabla1[[#This Row],[FECHA FIN ]],Tabla1[[#This Row],[FECHA INICIO]])</f>
        <v>166</v>
      </c>
      <c r="M4990" s="12"/>
      <c r="N4990" s="12">
        <v>450</v>
      </c>
      <c r="O4990" s="24">
        <f>(Tabla1[[#This Row],[COSTO FIJO ]]/30)*Tabla1[[#This Row],[TOTAL DIAS PROYECTO]]+(Tabla1[[#This Row],[COSTO TEMPORAL]])</f>
        <v>2490</v>
      </c>
      <c r="P4990" s="12"/>
      <c r="Q4990" s="12">
        <f>+(Tabla1[[#This Row],[COSTO COCHE]]/30)*Tabla1[[#This Row],[TOTAL DIAS PROYECTO]]</f>
        <v>0</v>
      </c>
      <c r="R4990" s="12">
        <f>+Tabla1[[#This Row],[COSTO TOTAL ALOJAMIENTO]]+Tabla1[[#This Row],[COSTO TOTAL COCHE]]</f>
        <v>2490</v>
      </c>
      <c r="S4990" s="2"/>
      <c r="T4990" s="14" t="s">
        <v>35</v>
      </c>
      <c r="U4990" s="14">
        <v>45943</v>
      </c>
      <c r="V4990" s="79"/>
      <c r="W4990" s="71"/>
      <c r="X4990" s="2">
        <v>1</v>
      </c>
      <c r="Y4990" s="11" t="s">
        <v>7120</v>
      </c>
      <c r="Z4990" s="2" t="s">
        <v>36</v>
      </c>
      <c r="AA4990" s="13">
        <v>-0.37739</v>
      </c>
      <c r="AB4990" s="13" t="s">
        <v>10372</v>
      </c>
    </row>
    <row r="4991" spans="1:28" ht="15" customHeight="1">
      <c r="A4991" s="2" t="s">
        <v>9937</v>
      </c>
      <c r="B4991" s="2" t="s">
        <v>711</v>
      </c>
      <c r="C4991" s="97" t="s">
        <v>5568</v>
      </c>
      <c r="D4991" s="2" t="s">
        <v>30</v>
      </c>
      <c r="E4991" s="2" t="s">
        <v>415</v>
      </c>
      <c r="F4991" s="11" t="s">
        <v>5821</v>
      </c>
      <c r="G4991" s="128" t="s">
        <v>1413</v>
      </c>
      <c r="H4991" s="2" t="s">
        <v>7121</v>
      </c>
      <c r="I4991" s="12" t="s">
        <v>800</v>
      </c>
      <c r="J4991" s="41">
        <f>+Tabla1[[#This Row],[FECHA ENTRADA]]</f>
        <v>45977</v>
      </c>
      <c r="K4991" s="22">
        <v>46109</v>
      </c>
      <c r="L4991" s="42">
        <f>_xlfn.DAYS(Tabla1[[#This Row],[FECHA FIN ]],Tabla1[[#This Row],[FECHA INICIO]])</f>
        <v>132</v>
      </c>
      <c r="M4991" s="12"/>
      <c r="N4991" s="28">
        <v>450</v>
      </c>
      <c r="O4991" s="28">
        <f>(Tabla1[[#This Row],[COSTO FIJO ]]/30)*Tabla1[[#This Row],[TOTAL DIAS PROYECTO]]+(Tabla1[[#This Row],[COSTO TEMPORAL]])</f>
        <v>1980</v>
      </c>
      <c r="P4991" s="12"/>
      <c r="Q4991" s="12">
        <f>+(Tabla1[[#This Row],[COSTO COCHE]]/30)*Tabla1[[#This Row],[TOTAL DIAS PROYECTO]]</f>
        <v>0</v>
      </c>
      <c r="R4991" s="12">
        <f>+Tabla1[[#This Row],[COSTO TOTAL ALOJAMIENTO]]+Tabla1[[#This Row],[COSTO TOTAL COCHE]]</f>
        <v>1980</v>
      </c>
      <c r="S4991" s="2"/>
      <c r="T4991" s="14" t="s">
        <v>35</v>
      </c>
      <c r="U4991" s="14">
        <v>45977</v>
      </c>
      <c r="V4991" s="43"/>
      <c r="W4991" s="71"/>
      <c r="X4991" s="2">
        <v>1</v>
      </c>
      <c r="Y4991" s="11" t="s">
        <v>7122</v>
      </c>
      <c r="Z4991" s="2" t="s">
        <v>36</v>
      </c>
      <c r="AA4991" s="13">
        <v>-0.37739</v>
      </c>
      <c r="AB4991" s="13" t="s">
        <v>10372</v>
      </c>
    </row>
    <row r="4992" spans="1:28" ht="15" customHeight="1">
      <c r="A4992" s="2" t="s">
        <v>9542</v>
      </c>
      <c r="B4992" s="2" t="s">
        <v>606</v>
      </c>
      <c r="C4992" s="31" t="s">
        <v>3582</v>
      </c>
      <c r="D4992" s="2" t="s">
        <v>30</v>
      </c>
      <c r="E4992" s="2" t="s">
        <v>55</v>
      </c>
      <c r="F4992" s="11" t="s">
        <v>1653</v>
      </c>
      <c r="G4992" s="11" t="s">
        <v>1440</v>
      </c>
      <c r="H4992" s="2" t="s">
        <v>4126</v>
      </c>
      <c r="I4992" s="12" t="s">
        <v>4120</v>
      </c>
      <c r="J4992" s="41">
        <f>+Tabla1[[#This Row],[FECHA ENTRADA]]</f>
        <v>45838</v>
      </c>
      <c r="K4992" s="41">
        <v>46111</v>
      </c>
      <c r="L4992" s="42">
        <f>_xlfn.DAYS(Tabla1[[#This Row],[FECHA FIN ]],Tabla1[[#This Row],[FECHA INICIO]])</f>
        <v>273</v>
      </c>
      <c r="M4992" s="12"/>
      <c r="N4992" s="28">
        <v>666.66666666666663</v>
      </c>
      <c r="O4992" s="28">
        <f>(Tabla1[[#This Row],[COSTO FIJO ]]/30)*Tabla1[[#This Row],[TOTAL DIAS PROYECTO]]+(Tabla1[[#This Row],[COSTO TEMPORAL]])</f>
        <v>6066.6666666666661</v>
      </c>
      <c r="P4992" s="12"/>
      <c r="Q4992" s="12">
        <f>+(Tabla1[[#This Row],[COSTO COCHE]]/30)*Tabla1[[#This Row],[TOTAL DIAS PROYECTO]]</f>
        <v>0</v>
      </c>
      <c r="R4992" s="12">
        <f>+Tabla1[[#This Row],[COSTO TOTAL ALOJAMIENTO]]+Tabla1[[#This Row],[COSTO TOTAL COCHE]]</f>
        <v>6066.6666666666661</v>
      </c>
      <c r="S4992" s="2"/>
      <c r="T4992" s="14" t="s">
        <v>35</v>
      </c>
      <c r="U4992" s="14">
        <v>45838</v>
      </c>
      <c r="V4992" s="43"/>
      <c r="W4992" s="2"/>
      <c r="X4992" s="2">
        <v>1</v>
      </c>
      <c r="Y4992" s="30" t="s">
        <v>7123</v>
      </c>
      <c r="Z4992" s="2" t="s">
        <v>36</v>
      </c>
      <c r="AA4992" s="13" t="s">
        <v>10327</v>
      </c>
      <c r="AB4992" s="13" t="s">
        <v>10328</v>
      </c>
    </row>
    <row r="4993" spans="1:28" ht="15" customHeight="1">
      <c r="A4993" s="2" t="s">
        <v>9773</v>
      </c>
      <c r="B4993" s="2" t="s">
        <v>606</v>
      </c>
      <c r="C4993" s="31" t="s">
        <v>4675</v>
      </c>
      <c r="D4993" s="2" t="s">
        <v>30</v>
      </c>
      <c r="E4993" s="2" t="s">
        <v>213</v>
      </c>
      <c r="F4993" s="11" t="s">
        <v>1733</v>
      </c>
      <c r="G4993" s="21" t="s">
        <v>1734</v>
      </c>
      <c r="H4993" s="2" t="s">
        <v>7124</v>
      </c>
      <c r="I4993" s="10" t="s">
        <v>3364</v>
      </c>
      <c r="J4993" s="22">
        <f>+Tabla1[[#This Row],[FECHA ENTRADA]]</f>
        <v>46088</v>
      </c>
      <c r="K4993" s="22">
        <v>46111</v>
      </c>
      <c r="L4993" s="23">
        <f>_xlfn.DAYS(Tabla1[[#This Row],[FECHA FIN ]],Tabla1[[#This Row],[FECHA INICIO]])</f>
        <v>23</v>
      </c>
      <c r="M4993" s="12"/>
      <c r="N4993" s="24"/>
      <c r="O4993" s="24">
        <f>(Tabla1[[#This Row],[COSTO FIJO ]]/30)*Tabla1[[#This Row],[TOTAL DIAS PROYECTO]]+(Tabla1[[#This Row],[COSTO TEMPORAL]])</f>
        <v>0</v>
      </c>
      <c r="P4993" s="12"/>
      <c r="Q4993" s="12">
        <f>+(Tabla1[[#This Row],[COSTO COCHE]]/30)*Tabla1[[#This Row],[TOTAL DIAS PROYECTO]]</f>
        <v>0</v>
      </c>
      <c r="R4993" s="12">
        <f>+Tabla1[[#This Row],[COSTO TOTAL ALOJAMIENTO]]+Tabla1[[#This Row],[COSTO TOTAL COCHE]]</f>
        <v>0</v>
      </c>
      <c r="S4993" s="2"/>
      <c r="T4993" s="14" t="s">
        <v>44</v>
      </c>
      <c r="U4993" s="14">
        <v>46088</v>
      </c>
      <c r="V4993" s="25">
        <v>46091</v>
      </c>
      <c r="W4993" s="12"/>
      <c r="X4993" s="2"/>
      <c r="Y4993" s="11" t="s">
        <v>7125</v>
      </c>
      <c r="Z4993" s="2" t="s">
        <v>36</v>
      </c>
      <c r="AA4993" s="13" t="s">
        <v>10349</v>
      </c>
      <c r="AB4993" s="13" t="s">
        <v>10350</v>
      </c>
    </row>
    <row r="4994" spans="1:28" ht="15" customHeight="1">
      <c r="A4994" s="117" t="s">
        <v>8969</v>
      </c>
      <c r="B4994" s="117" t="s">
        <v>606</v>
      </c>
      <c r="C4994" s="118" t="s">
        <v>1533</v>
      </c>
      <c r="D4994" s="117" t="s">
        <v>99</v>
      </c>
      <c r="E4994" s="117" t="s">
        <v>213</v>
      </c>
      <c r="F4994" s="11" t="s">
        <v>6996</v>
      </c>
      <c r="G4994" s="197" t="s">
        <v>6997</v>
      </c>
      <c r="H4994" s="117" t="s">
        <v>7126</v>
      </c>
      <c r="I4994" s="119" t="s">
        <v>42</v>
      </c>
      <c r="J4994" s="121">
        <f>+Tabla1[[#This Row],[FECHA ENTRADA]]</f>
        <v>46085</v>
      </c>
      <c r="K4994" s="121">
        <v>46111</v>
      </c>
      <c r="L4994" s="129">
        <f>_xlfn.DAYS(Tabla1[[#This Row],[FECHA FIN ]],Tabla1[[#This Row],[FECHA INICIO]])</f>
        <v>26</v>
      </c>
      <c r="M4994" s="119">
        <f>(749.1/3)+174.97</f>
        <v>424.67</v>
      </c>
      <c r="N4994" s="131"/>
      <c r="O4994" s="131">
        <f>(Tabla1[[#This Row],[COSTO FIJO ]]/30)*Tabla1[[#This Row],[TOTAL DIAS PROYECTO]]+(Tabla1[[#This Row],[COSTO TEMPORAL]])</f>
        <v>424.67</v>
      </c>
      <c r="P4994" s="119"/>
      <c r="Q4994" s="119">
        <f>+(Tabla1[[#This Row],[COSTO COCHE]]/30)*Tabla1[[#This Row],[TOTAL DIAS PROYECTO]]</f>
        <v>0</v>
      </c>
      <c r="R4994" s="119">
        <f>+Tabla1[[#This Row],[COSTO TOTAL ALOJAMIENTO]]+Tabla1[[#This Row],[COSTO TOTAL COCHE]]</f>
        <v>424.67</v>
      </c>
      <c r="S4994" s="117"/>
      <c r="T4994" s="124" t="s">
        <v>44</v>
      </c>
      <c r="U4994" s="124">
        <v>46085</v>
      </c>
      <c r="V4994" s="125">
        <v>46112</v>
      </c>
      <c r="W4994" s="119"/>
      <c r="X4994" s="117"/>
      <c r="Y4994" s="118" t="s">
        <v>7127</v>
      </c>
      <c r="Z4994" s="117" t="s">
        <v>36</v>
      </c>
      <c r="AA4994" s="127" t="s">
        <v>10349</v>
      </c>
      <c r="AB4994" s="127" t="s">
        <v>10350</v>
      </c>
    </row>
    <row r="4995" spans="1:28" ht="15" customHeight="1">
      <c r="A4995" s="117" t="s">
        <v>10202</v>
      </c>
      <c r="B4995" s="117" t="s">
        <v>606</v>
      </c>
      <c r="C4995" s="118" t="s">
        <v>7128</v>
      </c>
      <c r="D4995" s="117" t="s">
        <v>99</v>
      </c>
      <c r="E4995" s="117" t="s">
        <v>213</v>
      </c>
      <c r="F4995" s="11" t="s">
        <v>6996</v>
      </c>
      <c r="G4995" s="197" t="s">
        <v>6997</v>
      </c>
      <c r="H4995" s="117" t="s">
        <v>6998</v>
      </c>
      <c r="I4995" s="119" t="s">
        <v>42</v>
      </c>
      <c r="J4995" s="121">
        <f>+Tabla1[[#This Row],[FECHA ENTRADA]]</f>
        <v>46075</v>
      </c>
      <c r="K4995" s="121">
        <v>46111</v>
      </c>
      <c r="L4995" s="129">
        <f>_xlfn.DAYS(Tabla1[[#This Row],[FECHA FIN ]],Tabla1[[#This Row],[FECHA INICIO]])</f>
        <v>36</v>
      </c>
      <c r="M4995" s="119">
        <f>(749.1/3)+174.97</f>
        <v>424.67</v>
      </c>
      <c r="N4995" s="131"/>
      <c r="O4995" s="131">
        <f>(Tabla1[[#This Row],[COSTO FIJO ]]/30)*Tabla1[[#This Row],[TOTAL DIAS PROYECTO]]+(Tabla1[[#This Row],[COSTO TEMPORAL]])</f>
        <v>424.67</v>
      </c>
      <c r="P4995" s="119"/>
      <c r="Q4995" s="119">
        <f>+(Tabla1[[#This Row],[COSTO COCHE]]/30)*Tabla1[[#This Row],[TOTAL DIAS PROYECTO]]</f>
        <v>0</v>
      </c>
      <c r="R4995" s="119">
        <f>+Tabla1[[#This Row],[COSTO TOTAL ALOJAMIENTO]]+Tabla1[[#This Row],[COSTO TOTAL COCHE]]</f>
        <v>424.67</v>
      </c>
      <c r="S4995" s="117"/>
      <c r="T4995" s="124" t="s">
        <v>44</v>
      </c>
      <c r="U4995" s="124">
        <v>46075</v>
      </c>
      <c r="V4995" s="125">
        <v>46112</v>
      </c>
      <c r="W4995" s="119"/>
      <c r="X4995" s="117"/>
      <c r="Y4995" s="118" t="s">
        <v>7129</v>
      </c>
      <c r="Z4995" s="117" t="s">
        <v>36</v>
      </c>
      <c r="AA4995" s="127" t="s">
        <v>10349</v>
      </c>
      <c r="AB4995" s="127" t="s">
        <v>10350</v>
      </c>
    </row>
    <row r="4996" spans="1:28" ht="15" customHeight="1">
      <c r="A4996" s="2" t="s">
        <v>9838</v>
      </c>
      <c r="B4996" s="2" t="s">
        <v>606</v>
      </c>
      <c r="C4996" s="31" t="s">
        <v>4975</v>
      </c>
      <c r="D4996" s="2" t="s">
        <v>30</v>
      </c>
      <c r="E4996" s="2" t="s">
        <v>55</v>
      </c>
      <c r="F4996" s="11" t="s">
        <v>1653</v>
      </c>
      <c r="G4996" s="11" t="s">
        <v>1440</v>
      </c>
      <c r="H4996" s="2" t="s">
        <v>5930</v>
      </c>
      <c r="I4996" s="10" t="s">
        <v>3364</v>
      </c>
      <c r="J4996" s="41">
        <f>+Tabla1[[#This Row],[FECHA ENTRADA]]</f>
        <v>46053</v>
      </c>
      <c r="K4996" s="41">
        <v>46112</v>
      </c>
      <c r="L4996" s="42">
        <f>_xlfn.DAYS(Tabla1[[#This Row],[FECHA FIN ]],Tabla1[[#This Row],[FECHA INICIO]])</f>
        <v>59</v>
      </c>
      <c r="M4996" s="12"/>
      <c r="N4996" s="28">
        <v>666.66666666666663</v>
      </c>
      <c r="O4996" s="28">
        <f>(Tabla1[[#This Row],[COSTO FIJO ]]/30)*Tabla1[[#This Row],[TOTAL DIAS PROYECTO]]+(Tabla1[[#This Row],[COSTO TEMPORAL]])</f>
        <v>1311.1111111111111</v>
      </c>
      <c r="P4996" s="12"/>
      <c r="Q4996" s="12">
        <f>+(Tabla1[[#This Row],[COSTO COCHE]]/30)*Tabla1[[#This Row],[TOTAL DIAS PROYECTO]]</f>
        <v>0</v>
      </c>
      <c r="R4996" s="12">
        <f>+Tabla1[[#This Row],[COSTO TOTAL ALOJAMIENTO]]+Tabla1[[#This Row],[COSTO TOTAL COCHE]]</f>
        <v>1311.1111111111111</v>
      </c>
      <c r="S4996" s="2"/>
      <c r="T4996" s="14" t="s">
        <v>35</v>
      </c>
      <c r="U4996" s="14">
        <v>46053</v>
      </c>
      <c r="V4996" s="43"/>
      <c r="W4996" s="12"/>
      <c r="X4996" s="2">
        <v>1</v>
      </c>
      <c r="Y4996" s="11" t="s">
        <v>7130</v>
      </c>
      <c r="Z4996" s="2" t="s">
        <v>36</v>
      </c>
      <c r="AA4996" s="13" t="s">
        <v>10327</v>
      </c>
      <c r="AB4996" s="13" t="s">
        <v>10328</v>
      </c>
    </row>
    <row r="4997" spans="1:28" ht="15" customHeight="1">
      <c r="A4997" s="2" t="s">
        <v>9146</v>
      </c>
      <c r="B4997" s="2" t="s">
        <v>606</v>
      </c>
      <c r="C4997" s="31" t="s">
        <v>2208</v>
      </c>
      <c r="D4997" s="2" t="s">
        <v>30</v>
      </c>
      <c r="E4997" s="2" t="s">
        <v>55</v>
      </c>
      <c r="F4997" s="11" t="s">
        <v>4473</v>
      </c>
      <c r="G4997" s="118" t="s">
        <v>106</v>
      </c>
      <c r="H4997" s="2" t="s">
        <v>7131</v>
      </c>
      <c r="I4997" s="10" t="s">
        <v>3364</v>
      </c>
      <c r="J4997" s="22">
        <f>+Tabla1[[#This Row],[FECHA ENTRADA]]</f>
        <v>45914</v>
      </c>
      <c r="K4997" s="8">
        <v>46086</v>
      </c>
      <c r="L4997" s="23">
        <f>_xlfn.DAYS(Tabla1[[#This Row],[FECHA FIN ]],Tabla1[[#This Row],[FECHA INICIO]])</f>
        <v>172</v>
      </c>
      <c r="M4997" s="12"/>
      <c r="N4997" s="12">
        <v>483.33333333333331</v>
      </c>
      <c r="O4997" s="24">
        <f>(Tabla1[[#This Row],[COSTO FIJO ]]/30)*Tabla1[[#This Row],[TOTAL DIAS PROYECTO]]+(Tabla1[[#This Row],[COSTO TEMPORAL]])</f>
        <v>2771.1111111111109</v>
      </c>
      <c r="P4997" s="12"/>
      <c r="Q4997" s="12">
        <f>+(Tabla1[[#This Row],[COSTO COCHE]]/30)*Tabla1[[#This Row],[TOTAL DIAS PROYECTO]]</f>
        <v>0</v>
      </c>
      <c r="R4997" s="12">
        <f>+Tabla1[[#This Row],[COSTO TOTAL ALOJAMIENTO]]+Tabla1[[#This Row],[COSTO TOTAL COCHE]]</f>
        <v>2771.1111111111109</v>
      </c>
      <c r="S4997" s="2"/>
      <c r="T4997" s="14" t="s">
        <v>35</v>
      </c>
      <c r="U4997" s="14">
        <v>45914</v>
      </c>
      <c r="V4997" s="79"/>
      <c r="W4997" s="71"/>
      <c r="X4997" s="2">
        <v>1</v>
      </c>
      <c r="Y4997" s="11" t="s">
        <v>7132</v>
      </c>
      <c r="Z4997" s="2" t="s">
        <v>36</v>
      </c>
      <c r="AA4997" s="13" t="s">
        <v>10327</v>
      </c>
      <c r="AB4997" s="13" t="s">
        <v>10328</v>
      </c>
    </row>
    <row r="4998" spans="1:28" ht="15" customHeight="1">
      <c r="A4998" s="2" t="s">
        <v>8884</v>
      </c>
      <c r="B4998" s="2" t="s">
        <v>978</v>
      </c>
      <c r="C4998" s="31" t="s">
        <v>1160</v>
      </c>
      <c r="D4998" s="2" t="s">
        <v>30</v>
      </c>
      <c r="E4998" s="2" t="s">
        <v>87</v>
      </c>
      <c r="F4998" s="11" t="s">
        <v>7133</v>
      </c>
      <c r="G4998" s="21" t="s">
        <v>7134</v>
      </c>
      <c r="H4998" s="2" t="s">
        <v>1559</v>
      </c>
      <c r="I4998" s="12" t="s">
        <v>4896</v>
      </c>
      <c r="J4998" s="22">
        <f>+Tabla1[[#This Row],[FECHA ENTRADA]]</f>
        <v>45902</v>
      </c>
      <c r="K4998" s="22">
        <v>46112</v>
      </c>
      <c r="L4998" s="23">
        <f>_xlfn.DAYS(Tabla1[[#This Row],[FECHA FIN ]],Tabla1[[#This Row],[FECHA INICIO]])</f>
        <v>210</v>
      </c>
      <c r="M4998" s="12"/>
      <c r="N4998" s="12">
        <v>400</v>
      </c>
      <c r="O4998" s="24">
        <f>(Tabla1[[#This Row],[COSTO FIJO ]]/30)*Tabla1[[#This Row],[TOTAL DIAS PROYECTO]]+(Tabla1[[#This Row],[COSTO TEMPORAL]])</f>
        <v>2800</v>
      </c>
      <c r="P4998" s="12"/>
      <c r="Q4998" s="12">
        <f>+(Tabla1[[#This Row],[COSTO COCHE]]/30)*Tabla1[[#This Row],[TOTAL DIAS PROYECTO]]</f>
        <v>0</v>
      </c>
      <c r="R4998" s="12">
        <f>+Tabla1[[#This Row],[COSTO TOTAL ALOJAMIENTO]]+Tabla1[[#This Row],[COSTO TOTAL COCHE]]</f>
        <v>2800</v>
      </c>
      <c r="S4998" s="2"/>
      <c r="T4998" s="14" t="s">
        <v>35</v>
      </c>
      <c r="U4998" s="14">
        <v>45902</v>
      </c>
      <c r="V4998" s="25"/>
      <c r="W4998" s="71">
        <v>300</v>
      </c>
      <c r="X4998" s="2">
        <v>1</v>
      </c>
      <c r="Y4998" s="11" t="s">
        <v>7135</v>
      </c>
      <c r="Z4998" s="2" t="s">
        <v>36</v>
      </c>
      <c r="AA4998" s="13" t="s">
        <v>10335</v>
      </c>
      <c r="AB4998" s="13">
        <v>404.16500000000002</v>
      </c>
    </row>
    <row r="4999" spans="1:28">
      <c r="A4999" s="2" t="s">
        <v>10180</v>
      </c>
      <c r="B4999" s="2" t="s">
        <v>606</v>
      </c>
      <c r="C4999" s="165" t="s">
        <v>6967</v>
      </c>
      <c r="D4999" s="2" t="s">
        <v>30</v>
      </c>
      <c r="E4999" s="2" t="s">
        <v>31</v>
      </c>
      <c r="F4999" s="11" t="s">
        <v>715</v>
      </c>
      <c r="G4999" s="11" t="s">
        <v>716</v>
      </c>
      <c r="H4999" s="2" t="s">
        <v>6968</v>
      </c>
      <c r="I4999" s="12" t="s">
        <v>6969</v>
      </c>
      <c r="J4999" s="22">
        <f>+Tabla1[[#This Row],[FECHA ENTRADA]]</f>
        <v>45970</v>
      </c>
      <c r="K4999" s="8">
        <v>46112</v>
      </c>
      <c r="L4999" s="23">
        <f>_xlfn.DAYS(Tabla1[[#This Row],[FECHA FIN ]],Tabla1[[#This Row],[FECHA INICIO]])</f>
        <v>142</v>
      </c>
      <c r="M4999" s="12"/>
      <c r="N4999" s="12">
        <v>160</v>
      </c>
      <c r="O4999" s="24">
        <f>(Tabla1[[#This Row],[COSTO FIJO ]]/30)*Tabla1[[#This Row],[TOTAL DIAS PROYECTO]]+(Tabla1[[#This Row],[COSTO TEMPORAL]])</f>
        <v>757.33333333333326</v>
      </c>
      <c r="P4999" s="12"/>
      <c r="Q4999" s="12">
        <f>+(Tabla1[[#This Row],[COSTO COCHE]]/30)*Tabla1[[#This Row],[TOTAL DIAS PROYECTO]]</f>
        <v>0</v>
      </c>
      <c r="R4999" s="12">
        <f>+Tabla1[[#This Row],[COSTO TOTAL ALOJAMIENTO]]+Tabla1[[#This Row],[COSTO TOTAL COCHE]]</f>
        <v>757.33333333333326</v>
      </c>
      <c r="S4999" s="2"/>
      <c r="T4999" s="14" t="s">
        <v>35</v>
      </c>
      <c r="U4999" s="14">
        <v>45970</v>
      </c>
      <c r="V4999" s="25"/>
      <c r="W4999" s="71"/>
      <c r="X4999" s="2">
        <v>1</v>
      </c>
      <c r="Y4999" s="11" t="s">
        <v>7136</v>
      </c>
      <c r="Z4999" s="2" t="s">
        <v>36</v>
      </c>
      <c r="AA4999" s="13" t="s">
        <v>10323</v>
      </c>
      <c r="AB4999" s="13" t="s">
        <v>10324</v>
      </c>
    </row>
    <row r="5000" spans="1:28" ht="15" customHeight="1">
      <c r="A5000" s="2" t="s">
        <v>10203</v>
      </c>
      <c r="B5000" s="2" t="s">
        <v>606</v>
      </c>
      <c r="C5000" s="165" t="s">
        <v>7137</v>
      </c>
      <c r="D5000" s="2" t="s">
        <v>30</v>
      </c>
      <c r="E5000" s="2" t="s">
        <v>31</v>
      </c>
      <c r="F5000" s="11" t="s">
        <v>715</v>
      </c>
      <c r="G5000" s="11" t="s">
        <v>716</v>
      </c>
      <c r="H5000" s="2" t="s">
        <v>6968</v>
      </c>
      <c r="I5000" s="12" t="s">
        <v>6969</v>
      </c>
      <c r="J5000" s="22">
        <f>+Tabla1[[#This Row],[FECHA ENTRADA]]</f>
        <v>45970</v>
      </c>
      <c r="K5000" s="8">
        <v>46112</v>
      </c>
      <c r="L5000" s="23">
        <f>_xlfn.DAYS(Tabla1[[#This Row],[FECHA FIN ]],Tabla1[[#This Row],[FECHA INICIO]])</f>
        <v>142</v>
      </c>
      <c r="M5000" s="12"/>
      <c r="N5000" s="12">
        <v>160</v>
      </c>
      <c r="O5000" s="24">
        <f>(Tabla1[[#This Row],[COSTO FIJO ]]/30)*Tabla1[[#This Row],[TOTAL DIAS PROYECTO]]+(Tabla1[[#This Row],[COSTO TEMPORAL]])</f>
        <v>757.33333333333326</v>
      </c>
      <c r="P5000" s="12"/>
      <c r="Q5000" s="12">
        <f>+(Tabla1[[#This Row],[COSTO COCHE]]/30)*Tabla1[[#This Row],[TOTAL DIAS PROYECTO]]</f>
        <v>0</v>
      </c>
      <c r="R5000" s="12">
        <f>+Tabla1[[#This Row],[COSTO TOTAL ALOJAMIENTO]]+Tabla1[[#This Row],[COSTO TOTAL COCHE]]</f>
        <v>757.33333333333326</v>
      </c>
      <c r="S5000" s="2"/>
      <c r="T5000" s="14" t="s">
        <v>35</v>
      </c>
      <c r="U5000" s="14">
        <v>45970</v>
      </c>
      <c r="V5000" s="25"/>
      <c r="W5000" s="71"/>
      <c r="X5000" s="2">
        <v>1</v>
      </c>
      <c r="Y5000" s="11" t="s">
        <v>7136</v>
      </c>
      <c r="Z5000" s="2" t="s">
        <v>36</v>
      </c>
      <c r="AA5000" s="13" t="s">
        <v>10323</v>
      </c>
      <c r="AB5000" s="13" t="s">
        <v>10324</v>
      </c>
    </row>
    <row r="5001" spans="1:28" ht="15" customHeight="1">
      <c r="A5001" s="2" t="s">
        <v>10204</v>
      </c>
      <c r="B5001" s="2" t="s">
        <v>606</v>
      </c>
      <c r="C5001" s="165" t="s">
        <v>7138</v>
      </c>
      <c r="D5001" s="2" t="s">
        <v>30</v>
      </c>
      <c r="E5001" s="2" t="s">
        <v>31</v>
      </c>
      <c r="F5001" s="11" t="s">
        <v>715</v>
      </c>
      <c r="G5001" s="11" t="s">
        <v>716</v>
      </c>
      <c r="H5001" s="2" t="s">
        <v>6968</v>
      </c>
      <c r="I5001" s="12" t="s">
        <v>6969</v>
      </c>
      <c r="J5001" s="22">
        <f>+Tabla1[[#This Row],[FECHA ENTRADA]]</f>
        <v>45970</v>
      </c>
      <c r="K5001" s="8">
        <v>46112</v>
      </c>
      <c r="L5001" s="23">
        <f>_xlfn.DAYS(Tabla1[[#This Row],[FECHA FIN ]],Tabla1[[#This Row],[FECHA INICIO]])</f>
        <v>142</v>
      </c>
      <c r="M5001" s="12"/>
      <c r="N5001" s="12">
        <v>160</v>
      </c>
      <c r="O5001" s="24">
        <f>(Tabla1[[#This Row],[COSTO FIJO ]]/30)*Tabla1[[#This Row],[TOTAL DIAS PROYECTO]]+(Tabla1[[#This Row],[COSTO TEMPORAL]])</f>
        <v>757.33333333333326</v>
      </c>
      <c r="P5001" s="12"/>
      <c r="Q5001" s="12">
        <f>+(Tabla1[[#This Row],[COSTO COCHE]]/30)*Tabla1[[#This Row],[TOTAL DIAS PROYECTO]]</f>
        <v>0</v>
      </c>
      <c r="R5001" s="12">
        <f>+Tabla1[[#This Row],[COSTO TOTAL ALOJAMIENTO]]+Tabla1[[#This Row],[COSTO TOTAL COCHE]]</f>
        <v>757.33333333333326</v>
      </c>
      <c r="S5001" s="2"/>
      <c r="T5001" s="14" t="s">
        <v>35</v>
      </c>
      <c r="U5001" s="14">
        <v>45970</v>
      </c>
      <c r="V5001" s="25"/>
      <c r="W5001" s="71"/>
      <c r="X5001" s="2">
        <v>1</v>
      </c>
      <c r="Y5001" s="11" t="s">
        <v>7136</v>
      </c>
      <c r="Z5001" s="2" t="s">
        <v>36</v>
      </c>
      <c r="AA5001" s="13" t="s">
        <v>10323</v>
      </c>
      <c r="AB5001" s="13" t="s">
        <v>10324</v>
      </c>
    </row>
    <row r="5002" spans="1:28" ht="15" customHeight="1">
      <c r="A5002" s="2" t="s">
        <v>10072</v>
      </c>
      <c r="B5002" s="2" t="s">
        <v>606</v>
      </c>
      <c r="C5002" s="165" t="s">
        <v>6205</v>
      </c>
      <c r="D5002" s="2" t="s">
        <v>30</v>
      </c>
      <c r="E5002" s="2" t="s">
        <v>31</v>
      </c>
      <c r="F5002" s="11" t="s">
        <v>715</v>
      </c>
      <c r="G5002" s="11" t="s">
        <v>716</v>
      </c>
      <c r="H5002" s="2" t="s">
        <v>6519</v>
      </c>
      <c r="I5002" s="12" t="s">
        <v>2391</v>
      </c>
      <c r="J5002" s="22">
        <f>+Tabla1[[#This Row],[FECHA ENTRADA]]</f>
        <v>46043</v>
      </c>
      <c r="K5002" s="22">
        <v>46112</v>
      </c>
      <c r="L5002" s="23">
        <f>_xlfn.DAYS(Tabla1[[#This Row],[FECHA FIN ]],Tabla1[[#This Row],[FECHA INICIO]])</f>
        <v>69</v>
      </c>
      <c r="M5002" s="12"/>
      <c r="N5002" s="12">
        <v>160</v>
      </c>
      <c r="O5002" s="24">
        <f>(Tabla1[[#This Row],[COSTO FIJO ]]/30)*Tabla1[[#This Row],[TOTAL DIAS PROYECTO]]+(Tabla1[[#This Row],[COSTO TEMPORAL]])</f>
        <v>368</v>
      </c>
      <c r="P5002" s="12"/>
      <c r="Q5002" s="12">
        <f>+(Tabla1[[#This Row],[COSTO COCHE]]/30)*Tabla1[[#This Row],[TOTAL DIAS PROYECTO]]</f>
        <v>0</v>
      </c>
      <c r="R5002" s="12">
        <f>+Tabla1[[#This Row],[COSTO TOTAL ALOJAMIENTO]]+Tabla1[[#This Row],[COSTO TOTAL COCHE]]</f>
        <v>368</v>
      </c>
      <c r="S5002" s="2"/>
      <c r="T5002" s="14" t="s">
        <v>35</v>
      </c>
      <c r="U5002" s="14">
        <v>46043</v>
      </c>
      <c r="V5002" s="25"/>
      <c r="W5002" s="12"/>
      <c r="X5002" s="2">
        <v>1</v>
      </c>
      <c r="Y5002" s="11" t="s">
        <v>7139</v>
      </c>
      <c r="Z5002" s="2" t="s">
        <v>36</v>
      </c>
      <c r="AA5002" s="13" t="s">
        <v>10323</v>
      </c>
      <c r="AB5002" s="13" t="s">
        <v>10324</v>
      </c>
    </row>
    <row r="5003" spans="1:28" ht="15" customHeight="1">
      <c r="A5003" s="2" t="s">
        <v>9960</v>
      </c>
      <c r="B5003" s="2" t="s">
        <v>711</v>
      </c>
      <c r="C5003" s="11" t="s">
        <v>5735</v>
      </c>
      <c r="D5003" s="2" t="s">
        <v>30</v>
      </c>
      <c r="E5003" s="2" t="s">
        <v>114</v>
      </c>
      <c r="F5003" s="11" t="s">
        <v>7140</v>
      </c>
      <c r="G5003" s="21" t="s">
        <v>7141</v>
      </c>
      <c r="H5003" s="2" t="s">
        <v>6775</v>
      </c>
      <c r="I5003" s="12" t="s">
        <v>118</v>
      </c>
      <c r="J5003" s="22">
        <f>+Tabla1[[#This Row],[FECHA ENTRADA]]</f>
        <v>46113</v>
      </c>
      <c r="K5003" s="22">
        <v>46112</v>
      </c>
      <c r="L5003" s="23">
        <f>_xlfn.DAYS(Tabla1[[#This Row],[FECHA FIN ]],Tabla1[[#This Row],[FECHA INICIO]])</f>
        <v>-1</v>
      </c>
      <c r="M5003" s="12"/>
      <c r="N5003" s="24">
        <v>250</v>
      </c>
      <c r="O5003" s="24">
        <f>(Tabla1[[#This Row],[COSTO FIJO ]]/30)*Tabla1[[#This Row],[TOTAL DIAS PROYECTO]]+(Tabla1[[#This Row],[COSTO TEMPORAL]])</f>
        <v>-8.3333333333333339</v>
      </c>
      <c r="P5003" s="12"/>
      <c r="Q5003" s="12">
        <f>+(Tabla1[[#This Row],[COSTO COCHE]]/30)*Tabla1[[#This Row],[TOTAL DIAS PROYECTO]]</f>
        <v>0</v>
      </c>
      <c r="R5003" s="12">
        <f>+Tabla1[[#This Row],[COSTO TOTAL ALOJAMIENTO]]+Tabla1[[#This Row],[COSTO TOTAL COCHE]]</f>
        <v>-8.3333333333333339</v>
      </c>
      <c r="S5003" s="2"/>
      <c r="T5003" s="14" t="s">
        <v>35</v>
      </c>
      <c r="U5003" s="14">
        <v>46113</v>
      </c>
      <c r="V5003" s="25"/>
      <c r="W5003" s="12"/>
      <c r="X5003" s="2">
        <v>1</v>
      </c>
      <c r="Y5003" s="11" t="s">
        <v>7142</v>
      </c>
      <c r="Z5003" s="2" t="s">
        <v>36</v>
      </c>
      <c r="AA5003" s="13" t="s">
        <v>10340</v>
      </c>
      <c r="AB5003" s="13" t="s">
        <v>10341</v>
      </c>
    </row>
    <row r="5004" spans="1:28" ht="15" customHeight="1">
      <c r="A5004" s="2" t="s">
        <v>9904</v>
      </c>
      <c r="B5004" s="2" t="s">
        <v>711</v>
      </c>
      <c r="C5004" s="11" t="s">
        <v>5318</v>
      </c>
      <c r="D5004" s="2" t="s">
        <v>99</v>
      </c>
      <c r="E5004" s="2" t="s">
        <v>55</v>
      </c>
      <c r="F5004" s="11" t="s">
        <v>4473</v>
      </c>
      <c r="G5004" s="118" t="s">
        <v>106</v>
      </c>
      <c r="H5004" s="2" t="s">
        <v>5404</v>
      </c>
      <c r="I5004" s="12" t="s">
        <v>1067</v>
      </c>
      <c r="J5004" s="41">
        <f>+Tabla1[[#This Row],[FECHA ENTRADA]]</f>
        <v>46109</v>
      </c>
      <c r="K5004" s="41">
        <v>46173</v>
      </c>
      <c r="L5004" s="42">
        <f>_xlfn.DAYS(Tabla1[[#This Row],[FECHA FIN ]],Tabla1[[#This Row],[FECHA INICIO]])</f>
        <v>64</v>
      </c>
      <c r="M5004" s="12"/>
      <c r="N5004" s="12">
        <v>1450</v>
      </c>
      <c r="O5004" s="28">
        <f>(Tabla1[[#This Row],[COSTO FIJO ]]/30)*Tabla1[[#This Row],[TOTAL DIAS PROYECTO]]+(Tabla1[[#This Row],[COSTO TEMPORAL]])</f>
        <v>3093.3333333333335</v>
      </c>
      <c r="P5004" s="12"/>
      <c r="Q5004" s="12">
        <f>+(Tabla1[[#This Row],[COSTO COCHE]]/30)*Tabla1[[#This Row],[TOTAL DIAS PROYECTO]]</f>
        <v>0</v>
      </c>
      <c r="R5004" s="12">
        <f>+Tabla1[[#This Row],[COSTO TOTAL ALOJAMIENTO]]+Tabla1[[#This Row],[COSTO TOTAL COCHE]]</f>
        <v>3093.3333333333335</v>
      </c>
      <c r="S5004" s="2"/>
      <c r="T5004" s="14" t="s">
        <v>35</v>
      </c>
      <c r="U5004" s="14">
        <v>46109</v>
      </c>
      <c r="V5004" s="43"/>
      <c r="W5004" s="12">
        <v>600</v>
      </c>
      <c r="X5004" s="2">
        <v>1</v>
      </c>
      <c r="Y5004" s="11" t="s">
        <v>7143</v>
      </c>
      <c r="Z5004" s="2" t="s">
        <v>36</v>
      </c>
      <c r="AA5004" s="13" t="s">
        <v>10327</v>
      </c>
      <c r="AB5004" s="13" t="s">
        <v>10328</v>
      </c>
    </row>
    <row r="5005" spans="1:28" ht="15" customHeight="1">
      <c r="A5005" s="2" t="s">
        <v>9932</v>
      </c>
      <c r="B5005" s="2" t="s">
        <v>711</v>
      </c>
      <c r="C5005" s="165" t="s">
        <v>5527</v>
      </c>
      <c r="D5005" s="2" t="s">
        <v>30</v>
      </c>
      <c r="E5005" s="2" t="s">
        <v>31</v>
      </c>
      <c r="F5005" s="11" t="s">
        <v>6715</v>
      </c>
      <c r="G5005" s="21" t="s">
        <v>6474</v>
      </c>
      <c r="H5005" s="2" t="s">
        <v>5530</v>
      </c>
      <c r="I5005" s="12" t="s">
        <v>5531</v>
      </c>
      <c r="J5005" s="22">
        <f>+Tabla1[[#This Row],[FECHA ENTRADA]]</f>
        <v>46021</v>
      </c>
      <c r="K5005" s="22">
        <v>46112</v>
      </c>
      <c r="L5005" s="23">
        <f>_xlfn.DAYS(Tabla1[[#This Row],[FECHA FIN ]],Tabla1[[#This Row],[FECHA INICIO]])</f>
        <v>91</v>
      </c>
      <c r="M5005" s="12"/>
      <c r="N5005" s="20">
        <v>388.88888888888891</v>
      </c>
      <c r="O5005" s="24">
        <f>(Tabla1[[#This Row],[COSTO FIJO ]]/30)*Tabla1[[#This Row],[TOTAL DIAS PROYECTO]]+(Tabla1[[#This Row],[COSTO TEMPORAL]])</f>
        <v>1179.6296296296298</v>
      </c>
      <c r="P5005" s="12"/>
      <c r="Q5005" s="12">
        <f>+(Tabla1[[#This Row],[COSTO COCHE]]/30)*Tabla1[[#This Row],[TOTAL DIAS PROYECTO]]</f>
        <v>0</v>
      </c>
      <c r="R5005" s="12">
        <f>+Tabla1[[#This Row],[COSTO TOTAL ALOJAMIENTO]]+Tabla1[[#This Row],[COSTO TOTAL COCHE]]</f>
        <v>1179.6296296296298</v>
      </c>
      <c r="S5005" s="2"/>
      <c r="T5005" s="14" t="s">
        <v>35</v>
      </c>
      <c r="U5005" s="14">
        <v>46021</v>
      </c>
      <c r="V5005" s="79"/>
      <c r="W5005" s="12"/>
      <c r="X5005" s="2">
        <v>28</v>
      </c>
      <c r="Y5005" s="11" t="s">
        <v>7144</v>
      </c>
      <c r="Z5005" s="2" t="s">
        <v>36</v>
      </c>
      <c r="AA5005" s="13" t="s">
        <v>10323</v>
      </c>
      <c r="AB5005" s="13" t="s">
        <v>10324</v>
      </c>
    </row>
    <row r="5006" spans="1:28" ht="15" customHeight="1">
      <c r="A5006" s="2" t="s">
        <v>8761</v>
      </c>
      <c r="B5006" s="2" t="s">
        <v>978</v>
      </c>
      <c r="C5006" s="165" t="s">
        <v>633</v>
      </c>
      <c r="D5006" s="2" t="s">
        <v>99</v>
      </c>
      <c r="E5006" s="2" t="s">
        <v>31</v>
      </c>
      <c r="F5006" s="11" t="s">
        <v>6715</v>
      </c>
      <c r="G5006" s="21" t="s">
        <v>6474</v>
      </c>
      <c r="H5006" s="2" t="s">
        <v>5688</v>
      </c>
      <c r="I5006" s="12" t="s">
        <v>3791</v>
      </c>
      <c r="J5006" s="22">
        <f>+Tabla1[[#This Row],[FECHA ENTRADA]]</f>
        <v>46021</v>
      </c>
      <c r="K5006" s="22">
        <v>46112</v>
      </c>
      <c r="L5006" s="23">
        <f>_xlfn.DAYS(Tabla1[[#This Row],[FECHA FIN ]],Tabla1[[#This Row],[FECHA INICIO]])</f>
        <v>91</v>
      </c>
      <c r="M5006" s="12"/>
      <c r="N5006" s="20">
        <v>388.88888888888891</v>
      </c>
      <c r="O5006" s="24">
        <f>(Tabla1[[#This Row],[COSTO FIJO ]]/30)*Tabla1[[#This Row],[TOTAL DIAS PROYECTO]]+(Tabla1[[#This Row],[COSTO TEMPORAL]])</f>
        <v>1179.6296296296298</v>
      </c>
      <c r="P5006" s="12"/>
      <c r="Q5006" s="12">
        <f>+(Tabla1[[#This Row],[COSTO COCHE]]/30)*Tabla1[[#This Row],[TOTAL DIAS PROYECTO]]</f>
        <v>0</v>
      </c>
      <c r="R5006" s="12">
        <f>+Tabla1[[#This Row],[COSTO TOTAL ALOJAMIENTO]]+Tabla1[[#This Row],[COSTO TOTAL COCHE]]</f>
        <v>1179.6296296296298</v>
      </c>
      <c r="S5006" s="2"/>
      <c r="T5006" s="14" t="s">
        <v>35</v>
      </c>
      <c r="U5006" s="14">
        <v>46021</v>
      </c>
      <c r="V5006" s="79"/>
      <c r="W5006" s="12"/>
      <c r="X5006" s="2">
        <v>28</v>
      </c>
      <c r="Y5006" s="11" t="s">
        <v>7144</v>
      </c>
      <c r="Z5006" s="2" t="s">
        <v>36</v>
      </c>
      <c r="AA5006" s="13" t="s">
        <v>10323</v>
      </c>
      <c r="AB5006" s="13" t="s">
        <v>10324</v>
      </c>
    </row>
    <row r="5007" spans="1:28" ht="15" customHeight="1">
      <c r="A5007" s="2" t="s">
        <v>9929</v>
      </c>
      <c r="B5007" s="2" t="s">
        <v>606</v>
      </c>
      <c r="C5007" s="319" t="s">
        <v>5503</v>
      </c>
      <c r="D5007" s="2" t="s">
        <v>30</v>
      </c>
      <c r="E5007" s="2" t="s">
        <v>31</v>
      </c>
      <c r="F5007" s="11" t="s">
        <v>6473</v>
      </c>
      <c r="G5007" s="21" t="s">
        <v>6474</v>
      </c>
      <c r="H5007" s="2" t="s">
        <v>6619</v>
      </c>
      <c r="I5007" s="12" t="s">
        <v>6620</v>
      </c>
      <c r="J5007" s="22">
        <f>+Tabla1[[#This Row],[FECHA ENTRADA]]</f>
        <v>46040</v>
      </c>
      <c r="K5007" s="22">
        <v>46112</v>
      </c>
      <c r="L5007" s="23">
        <f>_xlfn.DAYS(Tabla1[[#This Row],[FECHA FIN ]],Tabla1[[#This Row],[FECHA INICIO]])</f>
        <v>72</v>
      </c>
      <c r="M5007" s="12"/>
      <c r="N5007" s="20">
        <v>388.88888888888891</v>
      </c>
      <c r="O5007" s="24">
        <f>(Tabla1[[#This Row],[COSTO FIJO ]]/30)*Tabla1[[#This Row],[TOTAL DIAS PROYECTO]]+(Tabla1[[#This Row],[COSTO TEMPORAL]])</f>
        <v>933.33333333333337</v>
      </c>
      <c r="P5007" s="12"/>
      <c r="Q5007" s="12">
        <f>+(Tabla1[[#This Row],[COSTO COCHE]]/30)*Tabla1[[#This Row],[TOTAL DIAS PROYECTO]]</f>
        <v>0</v>
      </c>
      <c r="R5007" s="12">
        <f>+Tabla1[[#This Row],[COSTO TOTAL ALOJAMIENTO]]+Tabla1[[#This Row],[COSTO TOTAL COCHE]]</f>
        <v>933.33333333333337</v>
      </c>
      <c r="S5007" s="2"/>
      <c r="T5007" s="14" t="s">
        <v>35</v>
      </c>
      <c r="U5007" s="14">
        <v>46040</v>
      </c>
      <c r="V5007" s="79"/>
      <c r="W5007" s="12"/>
      <c r="X5007" s="2">
        <v>28</v>
      </c>
      <c r="Y5007" s="11" t="s">
        <v>7145</v>
      </c>
      <c r="Z5007" s="2" t="s">
        <v>36</v>
      </c>
      <c r="AA5007" s="13" t="s">
        <v>10323</v>
      </c>
      <c r="AB5007" s="13" t="s">
        <v>10324</v>
      </c>
    </row>
    <row r="5008" spans="1:28" ht="15" customHeight="1">
      <c r="A5008" s="2" t="s">
        <v>9198</v>
      </c>
      <c r="B5008" s="2" t="s">
        <v>606</v>
      </c>
      <c r="C5008" s="165" t="s">
        <v>2407</v>
      </c>
      <c r="D5008" s="2" t="s">
        <v>30</v>
      </c>
      <c r="E5008" s="2" t="s">
        <v>31</v>
      </c>
      <c r="F5008" s="11" t="s">
        <v>6473</v>
      </c>
      <c r="G5008" s="21" t="s">
        <v>6474</v>
      </c>
      <c r="H5008" s="2" t="s">
        <v>6619</v>
      </c>
      <c r="I5008" s="12" t="s">
        <v>6620</v>
      </c>
      <c r="J5008" s="22">
        <f>+Tabla1[[#This Row],[FECHA ENTRADA]]</f>
        <v>46040</v>
      </c>
      <c r="K5008" s="22">
        <v>46112</v>
      </c>
      <c r="L5008" s="23">
        <f>_xlfn.DAYS(Tabla1[[#This Row],[FECHA FIN ]],Tabla1[[#This Row],[FECHA INICIO]])</f>
        <v>72</v>
      </c>
      <c r="M5008" s="12"/>
      <c r="N5008" s="20">
        <v>388.88888888888891</v>
      </c>
      <c r="O5008" s="24">
        <f>(Tabla1[[#This Row],[COSTO FIJO ]]/30)*Tabla1[[#This Row],[TOTAL DIAS PROYECTO]]+(Tabla1[[#This Row],[COSTO TEMPORAL]])</f>
        <v>933.33333333333337</v>
      </c>
      <c r="P5008" s="12"/>
      <c r="Q5008" s="12">
        <f>+(Tabla1[[#This Row],[COSTO COCHE]]/30)*Tabla1[[#This Row],[TOTAL DIAS PROYECTO]]</f>
        <v>0</v>
      </c>
      <c r="R5008" s="12">
        <f>+Tabla1[[#This Row],[COSTO TOTAL ALOJAMIENTO]]+Tabla1[[#This Row],[COSTO TOTAL COCHE]]</f>
        <v>933.33333333333337</v>
      </c>
      <c r="S5008" s="2"/>
      <c r="T5008" s="14" t="s">
        <v>35</v>
      </c>
      <c r="U5008" s="14">
        <v>46040</v>
      </c>
      <c r="V5008" s="79"/>
      <c r="W5008" s="12"/>
      <c r="X5008" s="2">
        <v>28</v>
      </c>
      <c r="Y5008" s="11" t="s">
        <v>7145</v>
      </c>
      <c r="Z5008" s="2" t="s">
        <v>36</v>
      </c>
      <c r="AA5008" s="13" t="s">
        <v>10323</v>
      </c>
      <c r="AB5008" s="13" t="s">
        <v>10324</v>
      </c>
    </row>
    <row r="5009" spans="1:28" ht="15" customHeight="1">
      <c r="A5009" s="2" t="s">
        <v>9826</v>
      </c>
      <c r="B5009" s="2" t="s">
        <v>606</v>
      </c>
      <c r="C5009" s="165" t="s">
        <v>4927</v>
      </c>
      <c r="D5009" s="2" t="s">
        <v>30</v>
      </c>
      <c r="E5009" s="2" t="s">
        <v>31</v>
      </c>
      <c r="F5009" s="11" t="s">
        <v>6473</v>
      </c>
      <c r="G5009" s="21" t="s">
        <v>6474</v>
      </c>
      <c r="H5009" s="2" t="s">
        <v>4926</v>
      </c>
      <c r="I5009" s="12" t="s">
        <v>412</v>
      </c>
      <c r="J5009" s="22">
        <f>+Tabla1[[#This Row],[FECHA ENTRADA]]</f>
        <v>46021</v>
      </c>
      <c r="K5009" s="22">
        <v>46112</v>
      </c>
      <c r="L5009" s="23">
        <f>_xlfn.DAYS(Tabla1[[#This Row],[FECHA FIN ]],Tabla1[[#This Row],[FECHA INICIO]])</f>
        <v>91</v>
      </c>
      <c r="M5009" s="12"/>
      <c r="N5009" s="20">
        <v>388.88888888888891</v>
      </c>
      <c r="O5009" s="24">
        <f>(Tabla1[[#This Row],[COSTO FIJO ]]/30)*Tabla1[[#This Row],[TOTAL DIAS PROYECTO]]+(Tabla1[[#This Row],[COSTO TEMPORAL]])</f>
        <v>1179.6296296296298</v>
      </c>
      <c r="P5009" s="12"/>
      <c r="Q5009" s="12">
        <f>+(Tabla1[[#This Row],[COSTO COCHE]]/30)*Tabla1[[#This Row],[TOTAL DIAS PROYECTO]]</f>
        <v>0</v>
      </c>
      <c r="R5009" s="12">
        <f>+Tabla1[[#This Row],[COSTO TOTAL ALOJAMIENTO]]+Tabla1[[#This Row],[COSTO TOTAL COCHE]]</f>
        <v>1179.6296296296298</v>
      </c>
      <c r="S5009" s="2"/>
      <c r="T5009" s="14" t="s">
        <v>35</v>
      </c>
      <c r="U5009" s="14">
        <v>46021</v>
      </c>
      <c r="V5009" s="79"/>
      <c r="W5009" s="12"/>
      <c r="X5009" s="2">
        <v>28</v>
      </c>
      <c r="Y5009" s="11" t="s">
        <v>7144</v>
      </c>
      <c r="Z5009" s="2" t="s">
        <v>36</v>
      </c>
      <c r="AA5009" s="13" t="s">
        <v>10323</v>
      </c>
      <c r="AB5009" s="13" t="s">
        <v>10324</v>
      </c>
    </row>
    <row r="5010" spans="1:28" ht="15" customHeight="1">
      <c r="A5010" s="2" t="s">
        <v>9825</v>
      </c>
      <c r="B5010" s="2" t="s">
        <v>606</v>
      </c>
      <c r="C5010" s="165" t="s">
        <v>4925</v>
      </c>
      <c r="D5010" s="2" t="s">
        <v>30</v>
      </c>
      <c r="E5010" s="2" t="s">
        <v>31</v>
      </c>
      <c r="F5010" s="11" t="s">
        <v>6473</v>
      </c>
      <c r="G5010" s="21" t="s">
        <v>6474</v>
      </c>
      <c r="H5010" s="2" t="s">
        <v>4926</v>
      </c>
      <c r="I5010" s="12" t="s">
        <v>412</v>
      </c>
      <c r="J5010" s="22">
        <f>+Tabla1[[#This Row],[FECHA ENTRADA]]</f>
        <v>46021</v>
      </c>
      <c r="K5010" s="22">
        <v>46112</v>
      </c>
      <c r="L5010" s="23">
        <f>_xlfn.DAYS(Tabla1[[#This Row],[FECHA FIN ]],Tabla1[[#This Row],[FECHA INICIO]])</f>
        <v>91</v>
      </c>
      <c r="M5010" s="12"/>
      <c r="N5010" s="20">
        <v>388.88888888888891</v>
      </c>
      <c r="O5010" s="24">
        <f>(Tabla1[[#This Row],[COSTO FIJO ]]/30)*Tabla1[[#This Row],[TOTAL DIAS PROYECTO]]+(Tabla1[[#This Row],[COSTO TEMPORAL]])</f>
        <v>1179.6296296296298</v>
      </c>
      <c r="P5010" s="12"/>
      <c r="Q5010" s="12">
        <f>+(Tabla1[[#This Row],[COSTO COCHE]]/30)*Tabla1[[#This Row],[TOTAL DIAS PROYECTO]]</f>
        <v>0</v>
      </c>
      <c r="R5010" s="12">
        <f>+Tabla1[[#This Row],[COSTO TOTAL ALOJAMIENTO]]+Tabla1[[#This Row],[COSTO TOTAL COCHE]]</f>
        <v>1179.6296296296298</v>
      </c>
      <c r="S5010" s="2"/>
      <c r="T5010" s="14" t="s">
        <v>35</v>
      </c>
      <c r="U5010" s="14">
        <v>46021</v>
      </c>
      <c r="V5010" s="79"/>
      <c r="W5010" s="12"/>
      <c r="X5010" s="2">
        <v>28</v>
      </c>
      <c r="Y5010" s="11" t="s">
        <v>7144</v>
      </c>
      <c r="Z5010" s="2" t="s">
        <v>36</v>
      </c>
      <c r="AA5010" s="13" t="s">
        <v>10323</v>
      </c>
      <c r="AB5010" s="13" t="s">
        <v>10324</v>
      </c>
    </row>
    <row r="5011" spans="1:28" ht="15" customHeight="1">
      <c r="A5011" s="2" t="s">
        <v>10205</v>
      </c>
      <c r="B5011" s="2" t="s">
        <v>606</v>
      </c>
      <c r="C5011" s="165" t="s">
        <v>7146</v>
      </c>
      <c r="D5011" s="2" t="s">
        <v>30</v>
      </c>
      <c r="E5011" s="2" t="s">
        <v>31</v>
      </c>
      <c r="F5011" s="11" t="s">
        <v>6473</v>
      </c>
      <c r="G5011" s="21" t="s">
        <v>6474</v>
      </c>
      <c r="H5011" s="2" t="s">
        <v>7147</v>
      </c>
      <c r="I5011" s="12" t="s">
        <v>7148</v>
      </c>
      <c r="J5011" s="41">
        <f>+Tabla1[[#This Row],[FECHA ENTRADA]]</f>
        <v>46075</v>
      </c>
      <c r="K5011" s="22">
        <v>46112</v>
      </c>
      <c r="L5011" s="42">
        <f>_xlfn.DAYS(Tabla1[[#This Row],[FECHA FIN ]],Tabla1[[#This Row],[FECHA INICIO]])</f>
        <v>37</v>
      </c>
      <c r="M5011" s="12"/>
      <c r="N5011" s="20">
        <v>388.88888888888891</v>
      </c>
      <c r="O5011" s="28">
        <f>(Tabla1[[#This Row],[COSTO FIJO ]]/30)*Tabla1[[#This Row],[TOTAL DIAS PROYECTO]]+(Tabla1[[#This Row],[COSTO TEMPORAL]])</f>
        <v>479.62962962962968</v>
      </c>
      <c r="P5011" s="12"/>
      <c r="Q5011" s="12">
        <f>+(Tabla1[[#This Row],[COSTO COCHE]]/30)*Tabla1[[#This Row],[TOTAL DIAS PROYECTO]]</f>
        <v>0</v>
      </c>
      <c r="R5011" s="12">
        <f>+Tabla1[[#This Row],[COSTO TOTAL ALOJAMIENTO]]+Tabla1[[#This Row],[COSTO TOTAL COCHE]]</f>
        <v>479.62962962962968</v>
      </c>
      <c r="S5011" s="2"/>
      <c r="T5011" s="14" t="s">
        <v>35</v>
      </c>
      <c r="U5011" s="14">
        <v>46075</v>
      </c>
      <c r="V5011" s="43"/>
      <c r="W5011" s="12"/>
      <c r="X5011" s="2">
        <v>28</v>
      </c>
      <c r="Y5011" s="11" t="s">
        <v>7144</v>
      </c>
      <c r="Z5011" s="2" t="s">
        <v>36</v>
      </c>
      <c r="AA5011" s="13" t="s">
        <v>10323</v>
      </c>
      <c r="AB5011" s="13" t="s">
        <v>10324</v>
      </c>
    </row>
    <row r="5012" spans="1:28" ht="15" customHeight="1">
      <c r="A5012" s="2" t="s">
        <v>10206</v>
      </c>
      <c r="B5012" s="2" t="s">
        <v>606</v>
      </c>
      <c r="C5012" s="165" t="s">
        <v>7149</v>
      </c>
      <c r="D5012" s="2" t="s">
        <v>30</v>
      </c>
      <c r="E5012" s="2" t="s">
        <v>31</v>
      </c>
      <c r="F5012" s="11" t="s">
        <v>6473</v>
      </c>
      <c r="G5012" s="21" t="s">
        <v>6474</v>
      </c>
      <c r="H5012" s="2" t="s">
        <v>7147</v>
      </c>
      <c r="I5012" s="12" t="s">
        <v>7148</v>
      </c>
      <c r="J5012" s="41">
        <f>+Tabla1[[#This Row],[FECHA ENTRADA]]</f>
        <v>46071</v>
      </c>
      <c r="K5012" s="22">
        <v>46112</v>
      </c>
      <c r="L5012" s="42">
        <f>_xlfn.DAYS(Tabla1[[#This Row],[FECHA FIN ]],Tabla1[[#This Row],[FECHA INICIO]])</f>
        <v>41</v>
      </c>
      <c r="M5012" s="12"/>
      <c r="N5012" s="20">
        <v>388.88888888888891</v>
      </c>
      <c r="O5012" s="28">
        <f>(Tabla1[[#This Row],[COSTO FIJO ]]/30)*Tabla1[[#This Row],[TOTAL DIAS PROYECTO]]+(Tabla1[[#This Row],[COSTO TEMPORAL]])</f>
        <v>531.48148148148152</v>
      </c>
      <c r="P5012" s="12"/>
      <c r="Q5012" s="12">
        <f>+(Tabla1[[#This Row],[COSTO COCHE]]/30)*Tabla1[[#This Row],[TOTAL DIAS PROYECTO]]</f>
        <v>0</v>
      </c>
      <c r="R5012" s="12">
        <f>+Tabla1[[#This Row],[COSTO TOTAL ALOJAMIENTO]]+Tabla1[[#This Row],[COSTO TOTAL COCHE]]</f>
        <v>531.48148148148152</v>
      </c>
      <c r="S5012" s="2"/>
      <c r="T5012" s="14" t="s">
        <v>35</v>
      </c>
      <c r="U5012" s="14">
        <v>46071</v>
      </c>
      <c r="V5012" s="43"/>
      <c r="W5012" s="12"/>
      <c r="X5012" s="2">
        <v>28</v>
      </c>
      <c r="Y5012" s="11" t="s">
        <v>7144</v>
      </c>
      <c r="Z5012" s="2" t="s">
        <v>36</v>
      </c>
      <c r="AA5012" s="13" t="s">
        <v>10323</v>
      </c>
      <c r="AB5012" s="13" t="s">
        <v>10324</v>
      </c>
    </row>
    <row r="5013" spans="1:28" ht="15" customHeight="1">
      <c r="A5013" s="2" t="s">
        <v>9909</v>
      </c>
      <c r="B5013" s="2" t="s">
        <v>606</v>
      </c>
      <c r="C5013" s="165" t="s">
        <v>5341</v>
      </c>
      <c r="D5013" s="2" t="s">
        <v>30</v>
      </c>
      <c r="E5013" s="2" t="s">
        <v>31</v>
      </c>
      <c r="F5013" s="11" t="s">
        <v>6715</v>
      </c>
      <c r="G5013" s="21" t="s">
        <v>6474</v>
      </c>
      <c r="H5013" s="2" t="s">
        <v>7147</v>
      </c>
      <c r="I5013" s="12" t="s">
        <v>7148</v>
      </c>
      <c r="J5013" s="41">
        <f>+Tabla1[[#This Row],[FECHA ENTRADA]]</f>
        <v>46071</v>
      </c>
      <c r="K5013" s="22">
        <v>46112</v>
      </c>
      <c r="L5013" s="42">
        <f>_xlfn.DAYS(Tabla1[[#This Row],[FECHA FIN ]],Tabla1[[#This Row],[FECHA INICIO]])</f>
        <v>41</v>
      </c>
      <c r="M5013" s="12"/>
      <c r="N5013" s="20">
        <v>388.88888888888891</v>
      </c>
      <c r="O5013" s="28">
        <f>(Tabla1[[#This Row],[COSTO FIJO ]]/30)*Tabla1[[#This Row],[TOTAL DIAS PROYECTO]]+(Tabla1[[#This Row],[COSTO TEMPORAL]])</f>
        <v>531.48148148148152</v>
      </c>
      <c r="P5013" s="12"/>
      <c r="Q5013" s="12">
        <f>+(Tabla1[[#This Row],[COSTO COCHE]]/30)*Tabla1[[#This Row],[TOTAL DIAS PROYECTO]]</f>
        <v>0</v>
      </c>
      <c r="R5013" s="12">
        <f>+Tabla1[[#This Row],[COSTO TOTAL ALOJAMIENTO]]+Tabla1[[#This Row],[COSTO TOTAL COCHE]]</f>
        <v>531.48148148148152</v>
      </c>
      <c r="S5013" s="2"/>
      <c r="T5013" s="14" t="s">
        <v>35</v>
      </c>
      <c r="U5013" s="14">
        <v>46071</v>
      </c>
      <c r="V5013" s="43"/>
      <c r="W5013" s="12"/>
      <c r="X5013" s="2">
        <v>28</v>
      </c>
      <c r="Y5013" s="11" t="s">
        <v>7144</v>
      </c>
      <c r="Z5013" s="2" t="s">
        <v>36</v>
      </c>
      <c r="AA5013" s="13" t="s">
        <v>10323</v>
      </c>
      <c r="AB5013" s="13" t="s">
        <v>10324</v>
      </c>
    </row>
    <row r="5014" spans="1:28" ht="15" customHeight="1">
      <c r="A5014" s="2" t="s">
        <v>10138</v>
      </c>
      <c r="B5014" s="2" t="s">
        <v>606</v>
      </c>
      <c r="C5014" s="165" t="s">
        <v>6599</v>
      </c>
      <c r="D5014" s="2" t="s">
        <v>30</v>
      </c>
      <c r="E5014" s="2" t="s">
        <v>31</v>
      </c>
      <c r="F5014" s="11" t="s">
        <v>6715</v>
      </c>
      <c r="G5014" s="21" t="s">
        <v>6474</v>
      </c>
      <c r="H5014" s="2" t="s">
        <v>7147</v>
      </c>
      <c r="I5014" s="12" t="s">
        <v>7148</v>
      </c>
      <c r="J5014" s="41">
        <f>+Tabla1[[#This Row],[FECHA ENTRADA]]</f>
        <v>46071</v>
      </c>
      <c r="K5014" s="22">
        <v>46112</v>
      </c>
      <c r="L5014" s="42">
        <f>_xlfn.DAYS(Tabla1[[#This Row],[FECHA FIN ]],Tabla1[[#This Row],[FECHA INICIO]])</f>
        <v>41</v>
      </c>
      <c r="M5014" s="12"/>
      <c r="N5014" s="20">
        <v>388.88888888888891</v>
      </c>
      <c r="O5014" s="28">
        <f>(Tabla1[[#This Row],[COSTO FIJO ]]/30)*Tabla1[[#This Row],[TOTAL DIAS PROYECTO]]+(Tabla1[[#This Row],[COSTO TEMPORAL]])</f>
        <v>531.48148148148152</v>
      </c>
      <c r="P5014" s="12"/>
      <c r="Q5014" s="12">
        <f>+(Tabla1[[#This Row],[COSTO COCHE]]/30)*Tabla1[[#This Row],[TOTAL DIAS PROYECTO]]</f>
        <v>0</v>
      </c>
      <c r="R5014" s="12">
        <f>+Tabla1[[#This Row],[COSTO TOTAL ALOJAMIENTO]]+Tabla1[[#This Row],[COSTO TOTAL COCHE]]</f>
        <v>531.48148148148152</v>
      </c>
      <c r="S5014" s="2"/>
      <c r="T5014" s="14" t="s">
        <v>35</v>
      </c>
      <c r="U5014" s="14">
        <v>46071</v>
      </c>
      <c r="V5014" s="43"/>
      <c r="W5014" s="12"/>
      <c r="X5014" s="2">
        <v>28</v>
      </c>
      <c r="Y5014" s="11" t="s">
        <v>7144</v>
      </c>
      <c r="Z5014" s="2" t="s">
        <v>36</v>
      </c>
      <c r="AA5014" s="13" t="s">
        <v>10323</v>
      </c>
      <c r="AB5014" s="13" t="s">
        <v>10324</v>
      </c>
    </row>
    <row r="5015" spans="1:28" ht="15" customHeight="1">
      <c r="A5015" s="2" t="s">
        <v>8642</v>
      </c>
      <c r="B5015" s="2" t="s">
        <v>606</v>
      </c>
      <c r="C5015" s="165" t="s">
        <v>7150</v>
      </c>
      <c r="D5015" s="2" t="s">
        <v>30</v>
      </c>
      <c r="E5015" s="2" t="s">
        <v>31</v>
      </c>
      <c r="F5015" s="11" t="s">
        <v>715</v>
      </c>
      <c r="G5015" s="11" t="s">
        <v>716</v>
      </c>
      <c r="H5015" s="2" t="s">
        <v>7151</v>
      </c>
      <c r="I5015" s="12" t="s">
        <v>2391</v>
      </c>
      <c r="J5015" s="41">
        <f>+Tabla1[[#This Row],[FECHA ENTRADA]]</f>
        <v>46103</v>
      </c>
      <c r="K5015" s="22">
        <v>46112</v>
      </c>
      <c r="L5015" s="42">
        <f>_xlfn.DAYS(Tabla1[[#This Row],[FECHA FIN ]],Tabla1[[#This Row],[FECHA INICIO]])</f>
        <v>9</v>
      </c>
      <c r="M5015" s="12"/>
      <c r="N5015" s="12">
        <v>160</v>
      </c>
      <c r="O5015" s="28">
        <f>(Tabla1[[#This Row],[COSTO FIJO ]]/30)*Tabla1[[#This Row],[TOTAL DIAS PROYECTO]]+(Tabla1[[#This Row],[COSTO TEMPORAL]])</f>
        <v>48</v>
      </c>
      <c r="P5015" s="12"/>
      <c r="Q5015" s="12">
        <f>+(Tabla1[[#This Row],[COSTO COCHE]]/30)*Tabla1[[#This Row],[TOTAL DIAS PROYECTO]]</f>
        <v>0</v>
      </c>
      <c r="R5015" s="12">
        <f>+Tabla1[[#This Row],[COSTO TOTAL ALOJAMIENTO]]+Tabla1[[#This Row],[COSTO TOTAL COCHE]]</f>
        <v>48</v>
      </c>
      <c r="S5015" s="2"/>
      <c r="T5015" s="14" t="s">
        <v>35</v>
      </c>
      <c r="U5015" s="14">
        <v>46103</v>
      </c>
      <c r="V5015" s="43"/>
      <c r="W5015" s="12"/>
      <c r="X5015" s="2">
        <v>1</v>
      </c>
      <c r="Y5015" s="11" t="s">
        <v>7139</v>
      </c>
      <c r="Z5015" s="2" t="s">
        <v>36</v>
      </c>
      <c r="AA5015" s="13" t="s">
        <v>10323</v>
      </c>
      <c r="AB5015" s="13" t="s">
        <v>10324</v>
      </c>
    </row>
    <row r="5016" spans="1:28" ht="15" customHeight="1">
      <c r="A5016" s="2" t="s">
        <v>9119</v>
      </c>
      <c r="B5016" s="2" t="s">
        <v>711</v>
      </c>
      <c r="C5016" s="31" t="s">
        <v>2081</v>
      </c>
      <c r="D5016" s="2" t="s">
        <v>99</v>
      </c>
      <c r="E5016" s="2" t="s">
        <v>1987</v>
      </c>
      <c r="F5016" s="11" t="s">
        <v>3766</v>
      </c>
      <c r="G5016" s="21" t="s">
        <v>3767</v>
      </c>
      <c r="H5016" s="2" t="s">
        <v>4382</v>
      </c>
      <c r="I5016" s="12" t="s">
        <v>3769</v>
      </c>
      <c r="J5016" s="22">
        <f>+Tabla1[[#This Row],[FECHA ENTRADA]]</f>
        <v>45942</v>
      </c>
      <c r="K5016" s="22">
        <v>46113</v>
      </c>
      <c r="L5016" s="23">
        <f>_xlfn.DAYS(Tabla1[[#This Row],[FECHA FIN ]],Tabla1[[#This Row],[FECHA INICIO]])</f>
        <v>171</v>
      </c>
      <c r="M5016" s="12">
        <v>420</v>
      </c>
      <c r="N5016" s="20"/>
      <c r="O5016" s="24">
        <f>(Tabla1[[#This Row],[COSTO FIJO ]]/30)*Tabla1[[#This Row],[TOTAL DIAS PROYECTO]]+(Tabla1[[#This Row],[COSTO TEMPORAL]])</f>
        <v>420</v>
      </c>
      <c r="P5016" s="12"/>
      <c r="Q5016" s="12">
        <f>+(Tabla1[[#This Row],[COSTO COCHE]]/30)*Tabla1[[#This Row],[TOTAL DIAS PROYECTO]]</f>
        <v>0</v>
      </c>
      <c r="R5016" s="12">
        <f>+Tabla1[[#This Row],[COSTO TOTAL ALOJAMIENTO]]+Tabla1[[#This Row],[COSTO TOTAL COCHE]]</f>
        <v>420</v>
      </c>
      <c r="S5016" s="2"/>
      <c r="T5016" s="14" t="s">
        <v>44</v>
      </c>
      <c r="U5016" s="14">
        <v>45942</v>
      </c>
      <c r="V5016" s="25">
        <v>46113</v>
      </c>
      <c r="W5016" s="71"/>
      <c r="X5016" s="2">
        <v>15</v>
      </c>
      <c r="Y5016" s="11" t="s">
        <v>7152</v>
      </c>
      <c r="Z5016" s="2" t="s">
        <v>36</v>
      </c>
      <c r="AA5016" s="13" t="s">
        <v>10435</v>
      </c>
      <c r="AB5016" s="13">
        <v>42.136150000000001</v>
      </c>
    </row>
    <row r="5017" spans="1:28" ht="15" customHeight="1">
      <c r="A5017" s="2" t="s">
        <v>9212</v>
      </c>
      <c r="B5017" s="2" t="s">
        <v>711</v>
      </c>
      <c r="C5017" s="31" t="s">
        <v>2461</v>
      </c>
      <c r="D5017" s="2" t="s">
        <v>78</v>
      </c>
      <c r="E5017" s="2" t="s">
        <v>5607</v>
      </c>
      <c r="F5017" s="11" t="s">
        <v>5608</v>
      </c>
      <c r="G5017" s="21" t="s">
        <v>7153</v>
      </c>
      <c r="H5017" s="2" t="s">
        <v>5610</v>
      </c>
      <c r="I5017" s="12" t="s">
        <v>5611</v>
      </c>
      <c r="J5017" s="22">
        <f>+Tabla1[[#This Row],[FECHA ENTRADA]]</f>
        <v>46103</v>
      </c>
      <c r="K5017" s="22">
        <v>46113</v>
      </c>
      <c r="L5017" s="23">
        <f>_xlfn.DAYS(Tabla1[[#This Row],[FECHA FIN ]],Tabla1[[#This Row],[FECHA INICIO]])</f>
        <v>10</v>
      </c>
      <c r="M5017" s="12">
        <v>390.72</v>
      </c>
      <c r="N5017" s="24"/>
      <c r="O5017" s="24">
        <f>(Tabla1[[#This Row],[COSTO FIJO ]]/30)*Tabla1[[#This Row],[TOTAL DIAS PROYECTO]]+(Tabla1[[#This Row],[COSTO TEMPORAL]])</f>
        <v>390.72</v>
      </c>
      <c r="P5017" s="12"/>
      <c r="Q5017" s="12">
        <f>+(Tabla1[[#This Row],[COSTO COCHE]]/30)*Tabla1[[#This Row],[TOTAL DIAS PROYECTO]]</f>
        <v>0</v>
      </c>
      <c r="R5017" s="12">
        <f>+Tabla1[[#This Row],[COSTO TOTAL ALOJAMIENTO]]+Tabla1[[#This Row],[COSTO TOTAL COCHE]]</f>
        <v>390.72</v>
      </c>
      <c r="S5017" s="2" t="s">
        <v>84</v>
      </c>
      <c r="T5017" s="14" t="s">
        <v>44</v>
      </c>
      <c r="U5017" s="14">
        <v>46103</v>
      </c>
      <c r="V5017" s="25">
        <v>46113</v>
      </c>
      <c r="W5017" s="12"/>
      <c r="X5017" s="2"/>
      <c r="Y5017" s="11" t="s">
        <v>7154</v>
      </c>
      <c r="Z5017" s="2" t="s">
        <v>36</v>
      </c>
      <c r="AA5017" s="13" t="e">
        <v>#N/A</v>
      </c>
      <c r="AB5017" s="13" t="e">
        <v>#N/A</v>
      </c>
    </row>
    <row r="5018" spans="1:28" ht="15" customHeight="1">
      <c r="A5018" s="2" t="s">
        <v>9781</v>
      </c>
      <c r="B5018" s="2" t="s">
        <v>711</v>
      </c>
      <c r="C5018" s="11" t="s">
        <v>4720</v>
      </c>
      <c r="D5018" s="2" t="s">
        <v>30</v>
      </c>
      <c r="E5018" s="2" t="s">
        <v>608</v>
      </c>
      <c r="F5018" s="11" t="s">
        <v>7155</v>
      </c>
      <c r="G5018" s="11" t="s">
        <v>7156</v>
      </c>
      <c r="H5018" s="2" t="s">
        <v>7008</v>
      </c>
      <c r="I5018" s="12" t="s">
        <v>570</v>
      </c>
      <c r="J5018" s="22">
        <f>+Tabla1[[#This Row],[FECHA ENTRADA]]</f>
        <v>46097</v>
      </c>
      <c r="K5018" s="22">
        <v>46113</v>
      </c>
      <c r="L5018" s="23">
        <f>_xlfn.DAYS(Tabla1[[#This Row],[FECHA FIN ]],Tabla1[[#This Row],[FECHA INICIO]])</f>
        <v>16</v>
      </c>
      <c r="M5018" s="12">
        <v>316.11</v>
      </c>
      <c r="N5018" s="20"/>
      <c r="O5018" s="24">
        <f>(Tabla1[[#This Row],[COSTO FIJO ]]/30)*Tabla1[[#This Row],[TOTAL DIAS PROYECTO]]+(Tabla1[[#This Row],[COSTO TEMPORAL]])</f>
        <v>316.11</v>
      </c>
      <c r="P5018" s="12"/>
      <c r="Q5018" s="12">
        <f>+(Tabla1[[#This Row],[COSTO COCHE]]/30)*Tabla1[[#This Row],[TOTAL DIAS PROYECTO]]</f>
        <v>0</v>
      </c>
      <c r="R5018" s="12">
        <f>+Tabla1[[#This Row],[COSTO TOTAL ALOJAMIENTO]]+Tabla1[[#This Row],[COSTO TOTAL COCHE]]</f>
        <v>316.11</v>
      </c>
      <c r="S5018" s="2" t="s">
        <v>84</v>
      </c>
      <c r="T5018" s="14" t="s">
        <v>44</v>
      </c>
      <c r="U5018" s="14">
        <v>46097</v>
      </c>
      <c r="V5018" s="79">
        <v>46113</v>
      </c>
      <c r="W5018" s="12"/>
      <c r="X5018" s="2"/>
      <c r="Y5018" s="11" t="s">
        <v>7157</v>
      </c>
      <c r="Z5018" s="2" t="s">
        <v>36</v>
      </c>
      <c r="AA5018" s="13" t="s">
        <v>10383</v>
      </c>
      <c r="AB5018" s="13" t="s">
        <v>10384</v>
      </c>
    </row>
    <row r="5019" spans="1:28" ht="15" customHeight="1">
      <c r="A5019" s="2" t="s">
        <v>9960</v>
      </c>
      <c r="B5019" s="2" t="s">
        <v>711</v>
      </c>
      <c r="C5019" s="11" t="s">
        <v>5735</v>
      </c>
      <c r="D5019" s="2" t="s">
        <v>30</v>
      </c>
      <c r="E5019" s="2" t="s">
        <v>114</v>
      </c>
      <c r="F5019" s="11" t="s">
        <v>7158</v>
      </c>
      <c r="G5019" s="21" t="s">
        <v>7159</v>
      </c>
      <c r="H5019" s="2" t="s">
        <v>6775</v>
      </c>
      <c r="I5019" s="12" t="s">
        <v>118</v>
      </c>
      <c r="J5019" s="22">
        <f>+Tabla1[[#This Row],[FECHA ENTRADA]]</f>
        <v>46109</v>
      </c>
      <c r="K5019" s="22">
        <v>46113</v>
      </c>
      <c r="L5019" s="23">
        <f>_xlfn.DAYS(Tabla1[[#This Row],[FECHA FIN ]],Tabla1[[#This Row],[FECHA INICIO]])</f>
        <v>4</v>
      </c>
      <c r="M5019" s="12">
        <v>94</v>
      </c>
      <c r="N5019" s="24"/>
      <c r="O5019" s="24">
        <f>(Tabla1[[#This Row],[COSTO FIJO ]]/30)*Tabla1[[#This Row],[TOTAL DIAS PROYECTO]]+(Tabla1[[#This Row],[COSTO TEMPORAL]])</f>
        <v>94</v>
      </c>
      <c r="P5019" s="12"/>
      <c r="Q5019" s="12">
        <f>+(Tabla1[[#This Row],[COSTO COCHE]]/30)*Tabla1[[#This Row],[TOTAL DIAS PROYECTO]]</f>
        <v>0</v>
      </c>
      <c r="R5019" s="12">
        <f>+Tabla1[[#This Row],[COSTO TOTAL ALOJAMIENTO]]+Tabla1[[#This Row],[COSTO TOTAL COCHE]]</f>
        <v>94</v>
      </c>
      <c r="S5019" s="2"/>
      <c r="T5019" s="14" t="s">
        <v>44</v>
      </c>
      <c r="U5019" s="14">
        <v>46109</v>
      </c>
      <c r="V5019" s="25">
        <v>46114</v>
      </c>
      <c r="W5019" s="12"/>
      <c r="X5019" s="2"/>
      <c r="Y5019" s="11" t="s">
        <v>7116</v>
      </c>
      <c r="Z5019" s="2" t="s">
        <v>36</v>
      </c>
      <c r="AA5019" s="13" t="s">
        <v>10340</v>
      </c>
      <c r="AB5019" s="13" t="s">
        <v>10341</v>
      </c>
    </row>
    <row r="5020" spans="1:28" ht="15" customHeight="1">
      <c r="A5020" s="2" t="s">
        <v>9319</v>
      </c>
      <c r="B5020" s="2" t="s">
        <v>711</v>
      </c>
      <c r="C5020" s="11" t="s">
        <v>2812</v>
      </c>
      <c r="D5020" s="2" t="s">
        <v>30</v>
      </c>
      <c r="E5020" s="2" t="s">
        <v>114</v>
      </c>
      <c r="F5020" s="11" t="s">
        <v>7158</v>
      </c>
      <c r="G5020" s="21" t="s">
        <v>7159</v>
      </c>
      <c r="H5020" s="2" t="s">
        <v>6775</v>
      </c>
      <c r="I5020" s="12" t="s">
        <v>118</v>
      </c>
      <c r="J5020" s="22">
        <f>+Tabla1[[#This Row],[FECHA ENTRADA]]</f>
        <v>46109</v>
      </c>
      <c r="K5020" s="22">
        <v>46113</v>
      </c>
      <c r="L5020" s="23">
        <f>_xlfn.DAYS(Tabla1[[#This Row],[FECHA FIN ]],Tabla1[[#This Row],[FECHA INICIO]])</f>
        <v>4</v>
      </c>
      <c r="M5020" s="12">
        <v>94</v>
      </c>
      <c r="N5020" s="24"/>
      <c r="O5020" s="24">
        <f>(Tabla1[[#This Row],[COSTO FIJO ]]/30)*Tabla1[[#This Row],[TOTAL DIAS PROYECTO]]+(Tabla1[[#This Row],[COSTO TEMPORAL]])</f>
        <v>94</v>
      </c>
      <c r="P5020" s="12"/>
      <c r="Q5020" s="12">
        <f>+(Tabla1[[#This Row],[COSTO COCHE]]/30)*Tabla1[[#This Row],[TOTAL DIAS PROYECTO]]</f>
        <v>0</v>
      </c>
      <c r="R5020" s="12">
        <f>+Tabla1[[#This Row],[COSTO TOTAL ALOJAMIENTO]]+Tabla1[[#This Row],[COSTO TOTAL COCHE]]</f>
        <v>94</v>
      </c>
      <c r="S5020" s="2"/>
      <c r="T5020" s="14" t="s">
        <v>44</v>
      </c>
      <c r="U5020" s="14">
        <v>46109</v>
      </c>
      <c r="V5020" s="25">
        <v>46114</v>
      </c>
      <c r="W5020" s="12"/>
      <c r="X5020" s="2"/>
      <c r="Y5020" s="11" t="s">
        <v>7116</v>
      </c>
      <c r="Z5020" s="2" t="s">
        <v>36</v>
      </c>
      <c r="AA5020" s="13" t="s">
        <v>10340</v>
      </c>
      <c r="AB5020" s="13" t="s">
        <v>10341</v>
      </c>
    </row>
    <row r="5021" spans="1:28" ht="15" customHeight="1">
      <c r="A5021" s="2" t="s">
        <v>9639</v>
      </c>
      <c r="B5021" s="2" t="s">
        <v>606</v>
      </c>
      <c r="C5021" s="11" t="s">
        <v>4038</v>
      </c>
      <c r="D5021" s="2" t="s">
        <v>99</v>
      </c>
      <c r="E5021" s="2" t="s">
        <v>259</v>
      </c>
      <c r="F5021" s="11" t="s">
        <v>5657</v>
      </c>
      <c r="G5021" s="197" t="s">
        <v>4207</v>
      </c>
      <c r="H5021" s="2" t="s">
        <v>4957</v>
      </c>
      <c r="I5021" s="12" t="s">
        <v>57</v>
      </c>
      <c r="J5021" s="22">
        <f>+Tabla1[[#This Row],[FECHA ENTRADA]]</f>
        <v>45895</v>
      </c>
      <c r="K5021" s="22">
        <v>46141</v>
      </c>
      <c r="L5021" s="23">
        <f>_xlfn.DAYS(Tabla1[[#This Row],[FECHA FIN ]],Tabla1[[#This Row],[FECHA INICIO]])</f>
        <v>246</v>
      </c>
      <c r="M5021" s="12"/>
      <c r="N5021" s="12">
        <v>466.66666666666669</v>
      </c>
      <c r="O5021" s="24">
        <f>(Tabla1[[#This Row],[COSTO FIJO ]]/30)*Tabla1[[#This Row],[TOTAL DIAS PROYECTO]]+(Tabla1[[#This Row],[COSTO TEMPORAL]])</f>
        <v>3826.6666666666665</v>
      </c>
      <c r="P5021" s="12"/>
      <c r="Q5021" s="12">
        <f>+(Tabla1[[#This Row],[COSTO COCHE]]/30)*Tabla1[[#This Row],[TOTAL DIAS PROYECTO]]</f>
        <v>0</v>
      </c>
      <c r="R5021" s="12">
        <f>+Tabla1[[#This Row],[COSTO TOTAL ALOJAMIENTO]]+Tabla1[[#This Row],[COSTO TOTAL COCHE]]</f>
        <v>3826.6666666666665</v>
      </c>
      <c r="S5021" s="2"/>
      <c r="T5021" s="14" t="s">
        <v>35</v>
      </c>
      <c r="U5021" s="14">
        <v>45895</v>
      </c>
      <c r="V5021" s="79"/>
      <c r="W5021" s="12">
        <v>1400</v>
      </c>
      <c r="X5021" s="2">
        <v>1</v>
      </c>
      <c r="Y5021" s="11" t="s">
        <v>7160</v>
      </c>
      <c r="Z5021" s="2" t="s">
        <v>36</v>
      </c>
      <c r="AA5021" s="13">
        <v>-0.87734000000000001</v>
      </c>
      <c r="AB5021" s="13" t="s">
        <v>10359</v>
      </c>
    </row>
    <row r="5022" spans="1:28" ht="15" customHeight="1">
      <c r="A5022" s="2" t="s">
        <v>9992</v>
      </c>
      <c r="B5022" s="2" t="s">
        <v>606</v>
      </c>
      <c r="C5022" s="11" t="s">
        <v>5856</v>
      </c>
      <c r="D5022" s="2" t="s">
        <v>30</v>
      </c>
      <c r="E5022" s="2" t="s">
        <v>259</v>
      </c>
      <c r="F5022" s="11" t="s">
        <v>5657</v>
      </c>
      <c r="G5022" s="197" t="s">
        <v>4207</v>
      </c>
      <c r="H5022" s="2" t="s">
        <v>6463</v>
      </c>
      <c r="I5022" s="12" t="s">
        <v>57</v>
      </c>
      <c r="J5022" s="22">
        <f>+Tabla1[[#This Row],[FECHA ENTRADA]]</f>
        <v>45978</v>
      </c>
      <c r="K5022" s="22">
        <v>46141</v>
      </c>
      <c r="L5022" s="23">
        <f>_xlfn.DAYS(Tabla1[[#This Row],[FECHA FIN ]],Tabla1[[#This Row],[FECHA INICIO]])</f>
        <v>163</v>
      </c>
      <c r="M5022" s="12"/>
      <c r="N5022" s="12">
        <v>466.66666666666669</v>
      </c>
      <c r="O5022" s="24">
        <f>(Tabla1[[#This Row],[COSTO FIJO ]]/30)*Tabla1[[#This Row],[TOTAL DIAS PROYECTO]]+(Tabla1[[#This Row],[COSTO TEMPORAL]])</f>
        <v>2535.5555555555557</v>
      </c>
      <c r="P5022" s="12"/>
      <c r="Q5022" s="12">
        <f>+(Tabla1[[#This Row],[COSTO COCHE]]/30)*Tabla1[[#This Row],[TOTAL DIAS PROYECTO]]</f>
        <v>0</v>
      </c>
      <c r="R5022" s="12">
        <f>+Tabla1[[#This Row],[COSTO TOTAL ALOJAMIENTO]]+Tabla1[[#This Row],[COSTO TOTAL COCHE]]</f>
        <v>2535.5555555555557</v>
      </c>
      <c r="S5022" s="2"/>
      <c r="T5022" s="14" t="s">
        <v>35</v>
      </c>
      <c r="U5022" s="14">
        <v>45978</v>
      </c>
      <c r="V5022" s="25"/>
      <c r="W5022" s="12"/>
      <c r="X5022" s="2">
        <v>1</v>
      </c>
      <c r="Y5022" s="11" t="s">
        <v>7161</v>
      </c>
      <c r="Z5022" s="2" t="s">
        <v>36</v>
      </c>
      <c r="AA5022" s="13">
        <v>-0.87734000000000001</v>
      </c>
      <c r="AB5022" s="13" t="s">
        <v>10359</v>
      </c>
    </row>
    <row r="5023" spans="1:28" ht="15" customHeight="1">
      <c r="A5023" s="2" t="s">
        <v>9940</v>
      </c>
      <c r="B5023" s="2" t="s">
        <v>606</v>
      </c>
      <c r="C5023" s="11" t="s">
        <v>5578</v>
      </c>
      <c r="D5023" s="2" t="s">
        <v>30</v>
      </c>
      <c r="E5023" s="2" t="s">
        <v>259</v>
      </c>
      <c r="F5023" s="11" t="s">
        <v>5657</v>
      </c>
      <c r="G5023" s="197" t="s">
        <v>4207</v>
      </c>
      <c r="H5023" s="2" t="s">
        <v>6463</v>
      </c>
      <c r="I5023" s="12" t="s">
        <v>57</v>
      </c>
      <c r="J5023" s="22">
        <f>+Tabla1[[#This Row],[FECHA ENTRADA]]</f>
        <v>45978</v>
      </c>
      <c r="K5023" s="22">
        <v>46141</v>
      </c>
      <c r="L5023" s="23">
        <f>_xlfn.DAYS(Tabla1[[#This Row],[FECHA FIN ]],Tabla1[[#This Row],[FECHA INICIO]])</f>
        <v>163</v>
      </c>
      <c r="M5023" s="12"/>
      <c r="N5023" s="12">
        <v>466.66666666666669</v>
      </c>
      <c r="O5023" s="24">
        <f>(Tabla1[[#This Row],[COSTO FIJO ]]/30)*Tabla1[[#This Row],[TOTAL DIAS PROYECTO]]+(Tabla1[[#This Row],[COSTO TEMPORAL]])</f>
        <v>2535.5555555555557</v>
      </c>
      <c r="P5023" s="12"/>
      <c r="Q5023" s="12">
        <f>+(Tabla1[[#This Row],[COSTO COCHE]]/30)*Tabla1[[#This Row],[TOTAL DIAS PROYECTO]]</f>
        <v>0</v>
      </c>
      <c r="R5023" s="12">
        <f>+Tabla1[[#This Row],[COSTO TOTAL ALOJAMIENTO]]+Tabla1[[#This Row],[COSTO TOTAL COCHE]]</f>
        <v>2535.5555555555557</v>
      </c>
      <c r="S5023" s="2"/>
      <c r="T5023" s="14" t="s">
        <v>35</v>
      </c>
      <c r="U5023" s="14">
        <v>45978</v>
      </c>
      <c r="V5023" s="25"/>
      <c r="W5023" s="12"/>
      <c r="X5023" s="2">
        <v>1</v>
      </c>
      <c r="Y5023" s="11" t="s">
        <v>7161</v>
      </c>
      <c r="Z5023" s="2" t="s">
        <v>36</v>
      </c>
      <c r="AA5023" s="13">
        <v>-0.87734000000000001</v>
      </c>
      <c r="AB5023" s="13" t="s">
        <v>10359</v>
      </c>
    </row>
    <row r="5024" spans="1:28" ht="15" customHeight="1">
      <c r="A5024" s="2" t="s">
        <v>8952</v>
      </c>
      <c r="B5024" s="2" t="s">
        <v>606</v>
      </c>
      <c r="C5024" s="31" t="s">
        <v>1442</v>
      </c>
      <c r="D5024" s="2" t="s">
        <v>30</v>
      </c>
      <c r="E5024" s="2" t="s">
        <v>415</v>
      </c>
      <c r="F5024" s="11" t="s">
        <v>487</v>
      </c>
      <c r="G5024" s="49" t="s">
        <v>488</v>
      </c>
      <c r="H5024" s="2" t="s">
        <v>6594</v>
      </c>
      <c r="I5024" s="12" t="s">
        <v>34</v>
      </c>
      <c r="J5024" s="22">
        <f>+Tabla1[[#This Row],[FECHA ENTRADA]]</f>
        <v>46039</v>
      </c>
      <c r="K5024" s="22">
        <v>46038</v>
      </c>
      <c r="L5024" s="23">
        <f>_xlfn.DAYS(Tabla1[[#This Row],[FECHA FIN ]],Tabla1[[#This Row],[FECHA INICIO]])</f>
        <v>-1</v>
      </c>
      <c r="M5024" s="12"/>
      <c r="N5024" s="24">
        <v>287.5</v>
      </c>
      <c r="O5024" s="24">
        <f>(Tabla1[[#This Row],[COSTO FIJO ]]/30)*Tabla1[[#This Row],[TOTAL DIAS PROYECTO]]+(Tabla1[[#This Row],[COSTO TEMPORAL]])</f>
        <v>-9.5833333333333339</v>
      </c>
      <c r="P5024" s="12"/>
      <c r="Q5024" s="12">
        <f>+(Tabla1[[#This Row],[COSTO COCHE]]/30)*Tabla1[[#This Row],[TOTAL DIAS PROYECTO]]</f>
        <v>0</v>
      </c>
      <c r="R5024" s="12">
        <f>+Tabla1[[#This Row],[COSTO TOTAL ALOJAMIENTO]]+Tabla1[[#This Row],[COSTO TOTAL COCHE]]</f>
        <v>-9.5833333333333339</v>
      </c>
      <c r="S5024" s="2"/>
      <c r="T5024" s="14" t="s">
        <v>35</v>
      </c>
      <c r="U5024" s="14">
        <v>46039</v>
      </c>
      <c r="V5024" s="79"/>
      <c r="W5024" s="12"/>
      <c r="X5024" s="2">
        <v>1</v>
      </c>
      <c r="Y5024" s="11" t="s">
        <v>6595</v>
      </c>
      <c r="Z5024" s="2" t="s">
        <v>36</v>
      </c>
      <c r="AA5024" s="13">
        <v>-0.37739</v>
      </c>
      <c r="AB5024" s="13" t="s">
        <v>10372</v>
      </c>
    </row>
    <row r="5025" spans="1:28" ht="15" customHeight="1">
      <c r="A5025" s="2" t="s">
        <v>9870</v>
      </c>
      <c r="B5025" s="2" t="s">
        <v>606</v>
      </c>
      <c r="C5025" s="31" t="s">
        <v>5148</v>
      </c>
      <c r="D5025" s="2" t="s">
        <v>30</v>
      </c>
      <c r="E5025" s="2" t="s">
        <v>855</v>
      </c>
      <c r="F5025" s="11" t="s">
        <v>6925</v>
      </c>
      <c r="G5025" s="49" t="s">
        <v>6926</v>
      </c>
      <c r="H5025" s="2" t="s">
        <v>3273</v>
      </c>
      <c r="I5025" s="12" t="s">
        <v>3274</v>
      </c>
      <c r="J5025" s="22">
        <f>+Tabla1[[#This Row],[FECHA ENTRADA]]</f>
        <v>46187</v>
      </c>
      <c r="K5025" s="22">
        <v>46198</v>
      </c>
      <c r="L5025" s="23">
        <f>_xlfn.DAYS(Tabla1[[#This Row],[FECHA FIN ]],Tabla1[[#This Row],[FECHA INICIO]])</f>
        <v>11</v>
      </c>
      <c r="M5025" s="12">
        <f>1704.92/4</f>
        <v>426.23</v>
      </c>
      <c r="N5025" s="24"/>
      <c r="O5025" s="24">
        <f>(Tabla1[[#This Row],[COSTO FIJO ]]/30)*Tabla1[[#This Row],[TOTAL DIAS PROYECTO]]+(Tabla1[[#This Row],[COSTO TEMPORAL]])</f>
        <v>426.23</v>
      </c>
      <c r="P5025" s="12"/>
      <c r="Q5025" s="12">
        <f>+(Tabla1[[#This Row],[COSTO COCHE]]/30)*Tabla1[[#This Row],[TOTAL DIAS PROYECTO]]</f>
        <v>0</v>
      </c>
      <c r="R5025" s="12">
        <f>+Tabla1[[#This Row],[COSTO TOTAL ALOJAMIENTO]]+Tabla1[[#This Row],[COSTO TOTAL COCHE]]</f>
        <v>426.23</v>
      </c>
      <c r="S5025" s="2" t="s">
        <v>84</v>
      </c>
      <c r="T5025" s="14" t="s">
        <v>44</v>
      </c>
      <c r="U5025" s="14">
        <v>46187</v>
      </c>
      <c r="V5025" s="25">
        <v>46204</v>
      </c>
      <c r="W5025" s="12"/>
      <c r="X5025" s="2"/>
      <c r="Y5025" s="11" t="s">
        <v>7162</v>
      </c>
      <c r="Z5025" s="2" t="s">
        <v>36</v>
      </c>
      <c r="AA5025" s="13" t="s">
        <v>10401</v>
      </c>
      <c r="AB5025" s="13" t="s">
        <v>10402</v>
      </c>
    </row>
    <row r="5026" spans="1:28" ht="15" customHeight="1">
      <c r="A5026" s="117" t="s">
        <v>9406</v>
      </c>
      <c r="B5026" s="117" t="s">
        <v>711</v>
      </c>
      <c r="C5026" s="118" t="s">
        <v>3075</v>
      </c>
      <c r="D5026" s="117" t="s">
        <v>30</v>
      </c>
      <c r="E5026" s="117" t="s">
        <v>1130</v>
      </c>
      <c r="F5026" s="11" t="s">
        <v>7163</v>
      </c>
      <c r="G5026" s="197" t="s">
        <v>7164</v>
      </c>
      <c r="H5026" s="117" t="s">
        <v>7165</v>
      </c>
      <c r="I5026" s="119" t="s">
        <v>2321</v>
      </c>
      <c r="J5026" s="121">
        <f>+Tabla1[[#This Row],[FECHA ENTRADA]]</f>
        <v>46117</v>
      </c>
      <c r="K5026" s="121">
        <v>46123</v>
      </c>
      <c r="L5026" s="129">
        <f>_xlfn.DAYS(Tabla1[[#This Row],[FECHA FIN ]],Tabla1[[#This Row],[FECHA INICIO]])</f>
        <v>6</v>
      </c>
      <c r="M5026" s="119">
        <v>214.5</v>
      </c>
      <c r="N5026" s="131"/>
      <c r="O5026" s="131">
        <f>(Tabla1[[#This Row],[COSTO FIJO ]]/30)*Tabla1[[#This Row],[TOTAL DIAS PROYECTO]]+(Tabla1[[#This Row],[COSTO TEMPORAL]])</f>
        <v>214.5</v>
      </c>
      <c r="P5026" s="119"/>
      <c r="Q5026" s="119">
        <f>+(Tabla1[[#This Row],[COSTO COCHE]]/30)*Tabla1[[#This Row],[TOTAL DIAS PROYECTO]]</f>
        <v>0</v>
      </c>
      <c r="R5026" s="119">
        <f>+Tabla1[[#This Row],[COSTO TOTAL ALOJAMIENTO]]+Tabla1[[#This Row],[COSTO TOTAL COCHE]]</f>
        <v>214.5</v>
      </c>
      <c r="S5026" s="117" t="s">
        <v>403</v>
      </c>
      <c r="T5026" s="124" t="s">
        <v>44</v>
      </c>
      <c r="U5026" s="124">
        <v>46117</v>
      </c>
      <c r="V5026" s="25">
        <v>46124</v>
      </c>
      <c r="W5026" s="119"/>
      <c r="X5026" s="117"/>
      <c r="Y5026" s="118" t="s">
        <v>7166</v>
      </c>
      <c r="Z5026" s="117" t="s">
        <v>36</v>
      </c>
      <c r="AA5026" s="127" t="s">
        <v>10412</v>
      </c>
      <c r="AB5026" s="127">
        <v>4200955</v>
      </c>
    </row>
    <row r="5027" spans="1:28" ht="15" customHeight="1">
      <c r="A5027" s="117" t="s">
        <v>9834</v>
      </c>
      <c r="B5027" s="117" t="s">
        <v>711</v>
      </c>
      <c r="C5027" s="118" t="s">
        <v>4960</v>
      </c>
      <c r="D5027" s="117" t="s">
        <v>99</v>
      </c>
      <c r="E5027" s="117" t="s">
        <v>1130</v>
      </c>
      <c r="F5027" s="11" t="s">
        <v>7163</v>
      </c>
      <c r="G5027" s="197" t="s">
        <v>7164</v>
      </c>
      <c r="H5027" s="117" t="s">
        <v>7165</v>
      </c>
      <c r="I5027" s="119" t="s">
        <v>7167</v>
      </c>
      <c r="J5027" s="121">
        <f>+Tabla1[[#This Row],[FECHA ENTRADA]]</f>
        <v>46117</v>
      </c>
      <c r="K5027" s="121">
        <v>46123</v>
      </c>
      <c r="L5027" s="129">
        <f>_xlfn.DAYS(Tabla1[[#This Row],[FECHA FIN ]],Tabla1[[#This Row],[FECHA INICIO]])</f>
        <v>6</v>
      </c>
      <c r="M5027" s="119">
        <v>214.5</v>
      </c>
      <c r="N5027" s="131"/>
      <c r="O5027" s="131">
        <f>(Tabla1[[#This Row],[COSTO FIJO ]]/30)*Tabla1[[#This Row],[TOTAL DIAS PROYECTO]]+(Tabla1[[#This Row],[COSTO TEMPORAL]])</f>
        <v>214.5</v>
      </c>
      <c r="P5027" s="119"/>
      <c r="Q5027" s="119">
        <f>+(Tabla1[[#This Row],[COSTO COCHE]]/30)*Tabla1[[#This Row],[TOTAL DIAS PROYECTO]]</f>
        <v>0</v>
      </c>
      <c r="R5027" s="119">
        <f>+Tabla1[[#This Row],[COSTO TOTAL ALOJAMIENTO]]+Tabla1[[#This Row],[COSTO TOTAL COCHE]]</f>
        <v>214.5</v>
      </c>
      <c r="S5027" s="117" t="s">
        <v>403</v>
      </c>
      <c r="T5027" s="124" t="s">
        <v>44</v>
      </c>
      <c r="U5027" s="124">
        <v>46117</v>
      </c>
      <c r="V5027" s="25">
        <v>46124</v>
      </c>
      <c r="W5027" s="119"/>
      <c r="X5027" s="117"/>
      <c r="Y5027" s="118" t="s">
        <v>7166</v>
      </c>
      <c r="Z5027" s="117" t="s">
        <v>36</v>
      </c>
      <c r="AA5027" s="127" t="s">
        <v>10412</v>
      </c>
      <c r="AB5027" s="127">
        <v>4200955</v>
      </c>
    </row>
    <row r="5028" spans="1:28" ht="15" customHeight="1">
      <c r="A5028" s="2" t="s">
        <v>10197</v>
      </c>
      <c r="B5028" s="2" t="s">
        <v>28</v>
      </c>
      <c r="C5028" s="11" t="s">
        <v>7070</v>
      </c>
      <c r="D5028" s="2" t="s">
        <v>30</v>
      </c>
      <c r="E5028" s="2" t="s">
        <v>1664</v>
      </c>
      <c r="F5028" s="11" t="s">
        <v>1665</v>
      </c>
      <c r="G5028" s="46" t="s">
        <v>1666</v>
      </c>
      <c r="H5028" s="2" t="s">
        <v>2712</v>
      </c>
      <c r="I5028" s="12" t="s">
        <v>96</v>
      </c>
      <c r="J5028" s="41">
        <f>+Tabla1[[#This Row],[FECHA ENTRADA]]</f>
        <v>45712</v>
      </c>
      <c r="K5028" s="22">
        <v>45821</v>
      </c>
      <c r="L5028" s="42">
        <f>_xlfn.DAYS(Tabla1[[#This Row],[FECHA FIN ]],Tabla1[[#This Row],[FECHA INICIO]])</f>
        <v>109</v>
      </c>
      <c r="M5028" s="12"/>
      <c r="N5028" s="12">
        <f>1811.6/17</f>
        <v>106.56470588235294</v>
      </c>
      <c r="O5028" s="28">
        <f>(Tabla1[[#This Row],[COSTO FIJO ]]/30)*Tabla1[[#This Row],[TOTAL DIAS PROYECTO]]+(Tabla1[[#This Row],[COSTO TEMPORAL]])</f>
        <v>387.18509803921569</v>
      </c>
      <c r="P5028" s="12">
        <f>1714.47/8</f>
        <v>214.30875</v>
      </c>
      <c r="Q5028" s="12">
        <f>+(Tabla1[[#This Row],[COSTO COCHE]]/30)*Tabla1[[#This Row],[TOTAL DIAS PROYECTO]]</f>
        <v>778.655125</v>
      </c>
      <c r="R5028" s="12">
        <f>+Tabla1[[#This Row],[COSTO TOTAL ALOJAMIENTO]]+Tabla1[[#This Row],[COSTO TOTAL COCHE]]</f>
        <v>1165.8402230392157</v>
      </c>
      <c r="S5028" s="2" t="s">
        <v>403</v>
      </c>
      <c r="T5028" s="2" t="s">
        <v>44</v>
      </c>
      <c r="U5028" s="14">
        <v>45712</v>
      </c>
      <c r="V5028" s="43">
        <v>45747</v>
      </c>
      <c r="W5028" s="26"/>
      <c r="X5028" s="2"/>
      <c r="Y5028" s="11" t="s">
        <v>1166</v>
      </c>
      <c r="Z5028" s="2" t="s">
        <v>36</v>
      </c>
      <c r="AA5028" s="13" t="s">
        <v>10425</v>
      </c>
      <c r="AB5028" s="13" t="s">
        <v>10426</v>
      </c>
    </row>
    <row r="5029" spans="1:28" ht="15" customHeight="1">
      <c r="A5029" s="2" t="s">
        <v>10197</v>
      </c>
      <c r="B5029" s="2" t="s">
        <v>28</v>
      </c>
      <c r="C5029" s="31" t="s">
        <v>7070</v>
      </c>
      <c r="D5029" s="2" t="s">
        <v>30</v>
      </c>
      <c r="E5029" s="2" t="s">
        <v>1754</v>
      </c>
      <c r="F5029" s="11" t="s">
        <v>1755</v>
      </c>
      <c r="G5029" s="46" t="s">
        <v>1756</v>
      </c>
      <c r="H5029" s="2" t="s">
        <v>2712</v>
      </c>
      <c r="I5029" s="12" t="s">
        <v>96</v>
      </c>
      <c r="J5029" s="41">
        <f>+Tabla1[[#This Row],[FECHA ENTRADA]]</f>
        <v>45747</v>
      </c>
      <c r="K5029" s="22">
        <v>45821</v>
      </c>
      <c r="L5029" s="42">
        <f>_xlfn.DAYS(Tabla1[[#This Row],[FECHA FIN ]],Tabla1[[#This Row],[FECHA INICIO]])</f>
        <v>74</v>
      </c>
      <c r="M5029" s="12"/>
      <c r="N5029" s="12"/>
      <c r="O5029" s="28">
        <f>(Tabla1[[#This Row],[COSTO FIJO ]]/30)*Tabla1[[#This Row],[TOTAL DIAS PROYECTO]]+(Tabla1[[#This Row],[COSTO TEMPORAL]])</f>
        <v>0</v>
      </c>
      <c r="P5029" s="12">
        <f>542.69/4</f>
        <v>135.67250000000001</v>
      </c>
      <c r="Q5029" s="12">
        <f>+(Tabla1[[#This Row],[COSTO COCHE]]/30)*Tabla1[[#This Row],[TOTAL DIAS PROYECTO]]</f>
        <v>334.6588333333334</v>
      </c>
      <c r="R5029" s="12">
        <f>+Tabla1[[#This Row],[COSTO TOTAL ALOJAMIENTO]]+Tabla1[[#This Row],[COSTO TOTAL COCHE]]</f>
        <v>334.6588333333334</v>
      </c>
      <c r="S5029" s="2" t="s">
        <v>84</v>
      </c>
      <c r="T5029" s="2" t="s">
        <v>44</v>
      </c>
      <c r="U5029" s="14">
        <v>45747</v>
      </c>
      <c r="V5029" s="43">
        <v>45777</v>
      </c>
      <c r="W5029" s="26"/>
      <c r="X5029" s="2"/>
      <c r="Y5029" s="11" t="s">
        <v>7168</v>
      </c>
      <c r="Z5029" s="2" t="s">
        <v>36</v>
      </c>
      <c r="AA5029" s="13" t="e">
        <v>#N/A</v>
      </c>
      <c r="AB5029" s="13" t="e">
        <v>#N/A</v>
      </c>
    </row>
    <row r="5030" spans="1:28" ht="15" customHeight="1">
      <c r="A5030" s="2" t="s">
        <v>9741</v>
      </c>
      <c r="B5030" s="2" t="s">
        <v>606</v>
      </c>
      <c r="C5030" s="239" t="s">
        <v>4509</v>
      </c>
      <c r="D5030" s="2" t="s">
        <v>99</v>
      </c>
      <c r="E5030" s="2" t="s">
        <v>31</v>
      </c>
      <c r="F5030" s="11" t="s">
        <v>7169</v>
      </c>
      <c r="G5030" s="128" t="s">
        <v>833</v>
      </c>
      <c r="H5030" s="2" t="s">
        <v>4616</v>
      </c>
      <c r="I5030" s="12" t="s">
        <v>385</v>
      </c>
      <c r="J5030" s="41">
        <f>+Tabla1[[#This Row],[FECHA ENTRADA]]</f>
        <v>45901</v>
      </c>
      <c r="K5030" s="41">
        <v>46099</v>
      </c>
      <c r="L5030" s="42">
        <f>_xlfn.DAYS(Tabla1[[#This Row],[FECHA FIN ]],Tabla1[[#This Row],[FECHA INICIO]])</f>
        <v>198</v>
      </c>
      <c r="M5030" s="12"/>
      <c r="N5030" s="12">
        <v>350</v>
      </c>
      <c r="O5030" s="28">
        <f>(Tabla1[[#This Row],[COSTO FIJO ]]/30)*Tabla1[[#This Row],[TOTAL DIAS PROYECTO]]+(Tabla1[[#This Row],[COSTO TEMPORAL]])</f>
        <v>2310</v>
      </c>
      <c r="P5030" s="12"/>
      <c r="Q5030" s="12">
        <f>+(Tabla1[[#This Row],[COSTO COCHE]]/30)*Tabla1[[#This Row],[TOTAL DIAS PROYECTO]]</f>
        <v>0</v>
      </c>
      <c r="R5030" s="12">
        <f>+Tabla1[[#This Row],[COSTO TOTAL ALOJAMIENTO]]+Tabla1[[#This Row],[COSTO TOTAL COCHE]]</f>
        <v>2310</v>
      </c>
      <c r="S5030" s="2"/>
      <c r="T5030" s="14" t="s">
        <v>35</v>
      </c>
      <c r="U5030" s="14">
        <v>45901</v>
      </c>
      <c r="V5030" s="43"/>
      <c r="W5030" s="71"/>
      <c r="X5030" s="2">
        <v>1</v>
      </c>
      <c r="Y5030" s="11" t="s">
        <v>7170</v>
      </c>
      <c r="Z5030" s="2" t="s">
        <v>36</v>
      </c>
      <c r="AA5030" s="13" t="s">
        <v>10323</v>
      </c>
      <c r="AB5030" s="13" t="s">
        <v>10324</v>
      </c>
    </row>
    <row r="5031" spans="1:28" ht="15" customHeight="1">
      <c r="A5031" s="2" t="s">
        <v>9147</v>
      </c>
      <c r="B5031" s="2" t="s">
        <v>711</v>
      </c>
      <c r="C5031" s="31" t="s">
        <v>2212</v>
      </c>
      <c r="D5031" s="2" t="s">
        <v>30</v>
      </c>
      <c r="E5031" s="2" t="s">
        <v>648</v>
      </c>
      <c r="F5031" s="11" t="s">
        <v>1904</v>
      </c>
      <c r="G5031" s="21" t="s">
        <v>1905</v>
      </c>
      <c r="H5031" s="2" t="s">
        <v>6380</v>
      </c>
      <c r="I5031" s="12" t="s">
        <v>1392</v>
      </c>
      <c r="J5031" s="22">
        <f>+Tabla1[[#This Row],[FECHA ENTRADA]]</f>
        <v>46048</v>
      </c>
      <c r="K5031" s="41">
        <v>46112</v>
      </c>
      <c r="L5031" s="23">
        <f>_xlfn.DAYS(Tabla1[[#This Row],[FECHA FIN ]],Tabla1[[#This Row],[FECHA INICIO]])</f>
        <v>64</v>
      </c>
      <c r="M5031" s="12">
        <f>(1748.87/3)+(733.4/3)+(846.92/3)+(821.78/3)</f>
        <v>1383.6566666666668</v>
      </c>
      <c r="N5031" s="20"/>
      <c r="O5031" s="24">
        <f>(Tabla1[[#This Row],[COSTO FIJO ]]/30)*Tabla1[[#This Row],[TOTAL DIAS PROYECTO]]+(Tabla1[[#This Row],[COSTO TEMPORAL]])</f>
        <v>1383.6566666666668</v>
      </c>
      <c r="P5031" s="12"/>
      <c r="Q5031" s="12">
        <f>+(Tabla1[[#This Row],[COSTO COCHE]]/30)*Tabla1[[#This Row],[TOTAL DIAS PROYECTO]]</f>
        <v>0</v>
      </c>
      <c r="R5031" s="12">
        <f>+Tabla1[[#This Row],[COSTO TOTAL ALOJAMIENTO]]+Tabla1[[#This Row],[COSTO TOTAL COCHE]]</f>
        <v>1383.6566666666668</v>
      </c>
      <c r="S5031" s="2" t="s">
        <v>84</v>
      </c>
      <c r="T5031" s="14" t="s">
        <v>44</v>
      </c>
      <c r="U5031" s="14">
        <v>46048</v>
      </c>
      <c r="V5031" s="79">
        <v>46126</v>
      </c>
      <c r="W5031" s="12"/>
      <c r="X5031" s="2"/>
      <c r="Y5031" s="11" t="s">
        <v>7171</v>
      </c>
      <c r="Z5031" s="2" t="s">
        <v>36</v>
      </c>
      <c r="AA5031" s="13" t="s">
        <v>10387</v>
      </c>
      <c r="AB5031" s="13" t="s">
        <v>10388</v>
      </c>
    </row>
    <row r="5032" spans="1:28" ht="15" customHeight="1">
      <c r="A5032" s="2" t="s">
        <v>9153</v>
      </c>
      <c r="B5032" s="2" t="s">
        <v>711</v>
      </c>
      <c r="C5032" s="31" t="s">
        <v>2245</v>
      </c>
      <c r="D5032" s="2" t="s">
        <v>30</v>
      </c>
      <c r="E5032" s="2" t="s">
        <v>648</v>
      </c>
      <c r="F5032" s="11" t="s">
        <v>1904</v>
      </c>
      <c r="G5032" s="21" t="s">
        <v>1905</v>
      </c>
      <c r="H5032" s="2" t="s">
        <v>6380</v>
      </c>
      <c r="I5032" s="12" t="s">
        <v>1392</v>
      </c>
      <c r="J5032" s="22">
        <f>+Tabla1[[#This Row],[FECHA ENTRADA]]</f>
        <v>46048</v>
      </c>
      <c r="K5032" s="41">
        <v>46112</v>
      </c>
      <c r="L5032" s="23">
        <f>_xlfn.DAYS(Tabla1[[#This Row],[FECHA FIN ]],Tabla1[[#This Row],[FECHA INICIO]])</f>
        <v>64</v>
      </c>
      <c r="M5032" s="12">
        <f>(1748.87/3)+(733.4/3)+(846.92/3)+(821.78/3)</f>
        <v>1383.6566666666668</v>
      </c>
      <c r="N5032" s="20"/>
      <c r="O5032" s="24">
        <f>(Tabla1[[#This Row],[COSTO FIJO ]]/30)*Tabla1[[#This Row],[TOTAL DIAS PROYECTO]]+(Tabla1[[#This Row],[COSTO TEMPORAL]])</f>
        <v>1383.6566666666668</v>
      </c>
      <c r="P5032" s="12"/>
      <c r="Q5032" s="12">
        <f>+(Tabla1[[#This Row],[COSTO COCHE]]/30)*Tabla1[[#This Row],[TOTAL DIAS PROYECTO]]</f>
        <v>0</v>
      </c>
      <c r="R5032" s="12">
        <f>+Tabla1[[#This Row],[COSTO TOTAL ALOJAMIENTO]]+Tabla1[[#This Row],[COSTO TOTAL COCHE]]</f>
        <v>1383.6566666666668</v>
      </c>
      <c r="S5032" s="2" t="s">
        <v>84</v>
      </c>
      <c r="T5032" s="14" t="s">
        <v>44</v>
      </c>
      <c r="U5032" s="14">
        <v>46048</v>
      </c>
      <c r="V5032" s="79">
        <v>46126</v>
      </c>
      <c r="W5032" s="12"/>
      <c r="X5032" s="2"/>
      <c r="Y5032" s="11" t="s">
        <v>7171</v>
      </c>
      <c r="Z5032" s="2" t="s">
        <v>36</v>
      </c>
      <c r="AA5032" s="13" t="s">
        <v>10387</v>
      </c>
      <c r="AB5032" s="13" t="s">
        <v>10388</v>
      </c>
    </row>
    <row r="5033" spans="1:28" ht="15" customHeight="1">
      <c r="A5033" s="2" t="s">
        <v>10135</v>
      </c>
      <c r="B5033" s="2" t="s">
        <v>711</v>
      </c>
      <c r="C5033" s="31" t="s">
        <v>6587</v>
      </c>
      <c r="D5033" s="2" t="s">
        <v>30</v>
      </c>
      <c r="E5033" s="2" t="s">
        <v>648</v>
      </c>
      <c r="F5033" s="11" t="s">
        <v>1904</v>
      </c>
      <c r="G5033" s="21" t="s">
        <v>1905</v>
      </c>
      <c r="H5033" s="2" t="s">
        <v>6332</v>
      </c>
      <c r="I5033" s="12" t="s">
        <v>1392</v>
      </c>
      <c r="J5033" s="22">
        <f>+Tabla1[[#This Row],[FECHA ENTRADA]]</f>
        <v>46048</v>
      </c>
      <c r="K5033" s="41">
        <v>46112</v>
      </c>
      <c r="L5033" s="23">
        <f>_xlfn.DAYS(Tabla1[[#This Row],[FECHA FIN ]],Tabla1[[#This Row],[FECHA INICIO]])</f>
        <v>64</v>
      </c>
      <c r="M5033" s="12">
        <f>(1748.87/3)+(733.4/3)+(846.92/3)+(821.78/3)</f>
        <v>1383.6566666666668</v>
      </c>
      <c r="N5033" s="20"/>
      <c r="O5033" s="24">
        <f>(Tabla1[[#This Row],[COSTO FIJO ]]/30)*Tabla1[[#This Row],[TOTAL DIAS PROYECTO]]+(Tabla1[[#This Row],[COSTO TEMPORAL]])</f>
        <v>1383.6566666666668</v>
      </c>
      <c r="P5033" s="12"/>
      <c r="Q5033" s="12">
        <f>+(Tabla1[[#This Row],[COSTO COCHE]]/30)*Tabla1[[#This Row],[TOTAL DIAS PROYECTO]]</f>
        <v>0</v>
      </c>
      <c r="R5033" s="12">
        <f>+Tabla1[[#This Row],[COSTO TOTAL ALOJAMIENTO]]+Tabla1[[#This Row],[COSTO TOTAL COCHE]]</f>
        <v>1383.6566666666668</v>
      </c>
      <c r="S5033" s="2" t="s">
        <v>84</v>
      </c>
      <c r="T5033" s="14" t="s">
        <v>44</v>
      </c>
      <c r="U5033" s="14">
        <v>46048</v>
      </c>
      <c r="V5033" s="79">
        <v>46126</v>
      </c>
      <c r="W5033" s="12"/>
      <c r="X5033" s="2"/>
      <c r="Y5033" s="11" t="s">
        <v>7171</v>
      </c>
      <c r="Z5033" s="2" t="s">
        <v>36</v>
      </c>
      <c r="AA5033" s="13" t="s">
        <v>10387</v>
      </c>
      <c r="AB5033" s="13" t="s">
        <v>10388</v>
      </c>
    </row>
    <row r="5034" spans="1:28" ht="15" customHeight="1">
      <c r="A5034" s="2" t="s">
        <v>9398</v>
      </c>
      <c r="B5034" s="2" t="s">
        <v>28</v>
      </c>
      <c r="C5034" s="11" t="s">
        <v>3039</v>
      </c>
      <c r="D5034" s="2" t="s">
        <v>99</v>
      </c>
      <c r="E5034" s="2" t="s">
        <v>225</v>
      </c>
      <c r="F5034" s="11"/>
      <c r="G5034" s="46"/>
      <c r="H5034" s="2" t="s">
        <v>4564</v>
      </c>
      <c r="I5034" s="12" t="s">
        <v>228</v>
      </c>
      <c r="J5034" s="41">
        <f>+Tabla1[[#This Row],[FECHA ENTRADA]]</f>
        <v>45809</v>
      </c>
      <c r="K5034" s="8">
        <v>45831</v>
      </c>
      <c r="L5034" s="42">
        <f>_xlfn.DAYS(Tabla1[[#This Row],[FECHA FIN ]],Tabla1[[#This Row],[FECHA INICIO]])</f>
        <v>22</v>
      </c>
      <c r="M5034" s="12"/>
      <c r="N5034" s="12">
        <v>300</v>
      </c>
      <c r="O5034" s="28">
        <f>(Tabla1[[#This Row],[COSTO FIJO ]]/30)*Tabla1[[#This Row],[TOTAL DIAS PROYECTO]]+(Tabla1[[#This Row],[COSTO TEMPORAL]])</f>
        <v>220</v>
      </c>
      <c r="P5034" s="12"/>
      <c r="Q5034" s="12">
        <f>+(Tabla1[[#This Row],[COSTO COCHE]]/30)*Tabla1[[#This Row],[TOTAL DIAS PROYECTO]]</f>
        <v>0</v>
      </c>
      <c r="R5034" s="12">
        <f>+Tabla1[[#This Row],[COSTO TOTAL ALOJAMIENTO]]+Tabla1[[#This Row],[COSTO TOTAL COCHE]]</f>
        <v>220</v>
      </c>
      <c r="S5034" s="2"/>
      <c r="T5034" s="2" t="s">
        <v>58</v>
      </c>
      <c r="U5034" s="14">
        <v>45809</v>
      </c>
      <c r="V5034" s="75"/>
      <c r="W5034" s="2"/>
      <c r="X5034" s="2"/>
      <c r="Y5034" s="11"/>
      <c r="Z5034" s="2" t="s">
        <v>36</v>
      </c>
      <c r="AA5034" s="13" t="s">
        <v>10353</v>
      </c>
      <c r="AB5034" s="13" t="s">
        <v>10354</v>
      </c>
    </row>
    <row r="5035" spans="1:28" ht="15" customHeight="1">
      <c r="A5035" s="2" t="s">
        <v>10207</v>
      </c>
      <c r="B5035" s="2" t="s">
        <v>28</v>
      </c>
      <c r="C5035" s="11" t="s">
        <v>7172</v>
      </c>
      <c r="D5035" s="2" t="s">
        <v>30</v>
      </c>
      <c r="E5035" s="2" t="s">
        <v>55</v>
      </c>
      <c r="F5035" s="11" t="s">
        <v>1653</v>
      </c>
      <c r="G5035" s="11" t="s">
        <v>1440</v>
      </c>
      <c r="H5035" s="2">
        <v>2023</v>
      </c>
      <c r="I5035" s="2" t="s">
        <v>236</v>
      </c>
      <c r="J5035" s="8">
        <v>44967</v>
      </c>
      <c r="K5035" s="8">
        <f ca="1">TODAY()</f>
        <v>46260</v>
      </c>
      <c r="L5035" s="13">
        <f ca="1">_xlfn.DAYS(Tabla1[[#This Row],[FECHA FIN ]],Tabla1[[#This Row],[FECHA INICIO]])</f>
        <v>1293</v>
      </c>
      <c r="M5035" s="12"/>
      <c r="N5035" s="12">
        <v>500</v>
      </c>
      <c r="O5035" s="12">
        <f ca="1">(Tabla1[[#This Row],[COSTO FIJO ]]/30)*Tabla1[[#This Row],[TOTAL DIAS PROYECTO]]+(Tabla1[[#This Row],[COSTO TEMPORAL]])</f>
        <v>21550</v>
      </c>
      <c r="P5035" s="12"/>
      <c r="Q5035" s="12">
        <f ca="1">+(Tabla1[[#This Row],[COSTO COCHE]]/30)*Tabla1[[#This Row],[TOTAL DIAS PROYECTO]]</f>
        <v>0</v>
      </c>
      <c r="R5035" s="12">
        <f ca="1">+Tabla1[[#This Row],[COSTO TOTAL ALOJAMIENTO]]+Tabla1[[#This Row],[COSTO TOTAL COCHE]]</f>
        <v>21550</v>
      </c>
      <c r="S5035" s="2"/>
      <c r="T5035" s="2" t="s">
        <v>35</v>
      </c>
      <c r="U5035" s="14"/>
      <c r="V5035" s="14"/>
      <c r="W5035" s="15"/>
      <c r="X5035" s="16">
        <v>1</v>
      </c>
      <c r="Y5035" s="31"/>
      <c r="Z5035" s="2" t="s">
        <v>36</v>
      </c>
      <c r="AA5035" s="13" t="s">
        <v>10327</v>
      </c>
      <c r="AB5035" s="13" t="s">
        <v>10328</v>
      </c>
    </row>
    <row r="5036" spans="1:28" ht="15" customHeight="1">
      <c r="A5036" s="2" t="s">
        <v>10117</v>
      </c>
      <c r="B5036" s="2" t="s">
        <v>711</v>
      </c>
      <c r="C5036" s="31" t="s">
        <v>6481</v>
      </c>
      <c r="D5036" s="2" t="s">
        <v>99</v>
      </c>
      <c r="E5036" s="2" t="s">
        <v>422</v>
      </c>
      <c r="F5036" s="11" t="s">
        <v>4837</v>
      </c>
      <c r="G5036" t="s">
        <v>4838</v>
      </c>
      <c r="H5036" s="2" t="s">
        <v>7045</v>
      </c>
      <c r="I5036" s="12" t="s">
        <v>3515</v>
      </c>
      <c r="J5036" s="22">
        <f>+Tabla1[[#This Row],[FECHA ENTRADA]]</f>
        <v>45943</v>
      </c>
      <c r="K5036" s="22">
        <v>45950</v>
      </c>
      <c r="L5036" s="23">
        <f>_xlfn.DAYS(Tabla1[[#This Row],[FECHA FIN ]],Tabla1[[#This Row],[FECHA INICIO]])</f>
        <v>7</v>
      </c>
      <c r="M5036" s="12"/>
      <c r="N5036" s="24">
        <v>350</v>
      </c>
      <c r="O5036" s="24">
        <f>(Tabla1[[#This Row],[COSTO FIJO ]]/30)*Tabla1[[#This Row],[TOTAL DIAS PROYECTO]]+(Tabla1[[#This Row],[COSTO TEMPORAL]])</f>
        <v>81.666666666666657</v>
      </c>
      <c r="P5036" s="12"/>
      <c r="Q5036" s="12">
        <f>+(Tabla1[[#This Row],[COSTO COCHE]]/30)*Tabla1[[#This Row],[TOTAL DIAS PROYECTO]]</f>
        <v>0</v>
      </c>
      <c r="R5036" s="12">
        <f>+Tabla1[[#This Row],[COSTO TOTAL ALOJAMIENTO]]+Tabla1[[#This Row],[COSTO TOTAL COCHE]]</f>
        <v>81.666666666666657</v>
      </c>
      <c r="S5036" s="2"/>
      <c r="T5036" s="14" t="s">
        <v>35</v>
      </c>
      <c r="U5036" s="14">
        <v>45943</v>
      </c>
      <c r="V5036" s="79"/>
      <c r="W5036" s="71"/>
      <c r="X5036" s="2">
        <v>5</v>
      </c>
      <c r="Y5036" s="11" t="s">
        <v>7173</v>
      </c>
      <c r="Z5036" s="2" t="s">
        <v>36</v>
      </c>
      <c r="AA5036" s="13">
        <v>-326.69799999999998</v>
      </c>
      <c r="AB5036" s="13" t="s">
        <v>10373</v>
      </c>
    </row>
    <row r="5037" spans="1:28" ht="15" customHeight="1">
      <c r="A5037" s="2" t="s">
        <v>9011</v>
      </c>
      <c r="B5037" s="10" t="s">
        <v>978</v>
      </c>
      <c r="C5037" s="11" t="s">
        <v>1694</v>
      </c>
      <c r="D5037" s="2" t="s">
        <v>30</v>
      </c>
      <c r="E5037" s="2" t="s">
        <v>31</v>
      </c>
      <c r="F5037" s="11" t="s">
        <v>530</v>
      </c>
      <c r="G5037" s="11" t="s">
        <v>531</v>
      </c>
      <c r="H5037" s="2" t="s">
        <v>2909</v>
      </c>
      <c r="I5037" s="12" t="s">
        <v>1540</v>
      </c>
      <c r="J5037" s="41">
        <f>+Tabla1[[#This Row],[FECHA ENTRADA]]</f>
        <v>45614</v>
      </c>
      <c r="K5037" s="8">
        <f t="shared" ref="K5037:K5043" ca="1" si="6">TODAY()</f>
        <v>46260</v>
      </c>
      <c r="L5037" s="42">
        <f ca="1">_xlfn.DAYS(Tabla1[[#This Row],[FECHA FIN ]],Tabla1[[#This Row],[FECHA INICIO]])</f>
        <v>646</v>
      </c>
      <c r="M5037" s="12"/>
      <c r="N5037" s="12"/>
      <c r="O5037" s="28">
        <f ca="1">(Tabla1[[#This Row],[COSTO FIJO ]]/30)*Tabla1[[#This Row],[TOTAL DIAS PROYECTO]]+(Tabla1[[#This Row],[COSTO TEMPORAL]])</f>
        <v>0</v>
      </c>
      <c r="P5037" s="12"/>
      <c r="Q5037" s="12">
        <f ca="1">+(Tabla1[[#This Row],[COSTO COCHE]]/30)*Tabla1[[#This Row],[TOTAL DIAS PROYECTO]]</f>
        <v>0</v>
      </c>
      <c r="R5037" s="12">
        <f ca="1">+Tabla1[[#This Row],[COSTO TOTAL ALOJAMIENTO]]+Tabla1[[#This Row],[COSTO TOTAL COCHE]]</f>
        <v>0</v>
      </c>
      <c r="S5037" s="2"/>
      <c r="T5037" s="2" t="s">
        <v>35</v>
      </c>
      <c r="U5037" s="14">
        <v>45614</v>
      </c>
      <c r="V5037" s="43">
        <v>45626</v>
      </c>
      <c r="W5037" s="26"/>
      <c r="X5037" s="2">
        <v>1</v>
      </c>
      <c r="Y5037" s="11" t="s">
        <v>1166</v>
      </c>
      <c r="Z5037" s="2" t="s">
        <v>36</v>
      </c>
      <c r="AA5037" s="13" t="s">
        <v>10323</v>
      </c>
      <c r="AB5037" s="13" t="s">
        <v>10324</v>
      </c>
    </row>
    <row r="5038" spans="1:28" ht="15" customHeight="1">
      <c r="A5038" s="2" t="s">
        <v>10208</v>
      </c>
      <c r="B5038" s="2" t="s">
        <v>28</v>
      </c>
      <c r="C5038" s="11" t="s">
        <v>7174</v>
      </c>
      <c r="D5038" s="2" t="s">
        <v>30</v>
      </c>
      <c r="E5038" s="2" t="s">
        <v>476</v>
      </c>
      <c r="F5038" s="11" t="s">
        <v>1488</v>
      </c>
      <c r="G5038" s="11" t="s">
        <v>483</v>
      </c>
      <c r="H5038" s="2" t="s">
        <v>164</v>
      </c>
      <c r="I5038" s="2" t="s">
        <v>165</v>
      </c>
      <c r="J5038" s="8">
        <f>+Tabla1[[#This Row],[FECHA ENTRADA]]</f>
        <v>45386</v>
      </c>
      <c r="K5038" s="8">
        <f t="shared" ca="1" si="6"/>
        <v>46260</v>
      </c>
      <c r="L5038" s="13">
        <f ca="1">_xlfn.DAYS(Tabla1[[#This Row],[FECHA FIN ]],Tabla1[[#This Row],[FECHA INICIO]])</f>
        <v>874</v>
      </c>
      <c r="M5038" s="12"/>
      <c r="N5038" s="2"/>
      <c r="O5038" s="12">
        <f ca="1">(Tabla1[[#This Row],[COSTO FIJO ]]/30)*Tabla1[[#This Row],[TOTAL DIAS PROYECTO]]+(Tabla1[[#This Row],[COSTO TEMPORAL]])</f>
        <v>0</v>
      </c>
      <c r="P5038" s="12"/>
      <c r="Q5038" s="12">
        <f ca="1">+(Tabla1[[#This Row],[COSTO COCHE]]/30)*Tabla1[[#This Row],[TOTAL DIAS PROYECTO]]</f>
        <v>0</v>
      </c>
      <c r="R5038" s="12">
        <f ca="1">+Tabla1[[#This Row],[COSTO TOTAL ALOJAMIENTO]]+Tabla1[[#This Row],[COSTO TOTAL COCHE]]</f>
        <v>0</v>
      </c>
      <c r="S5038" s="2"/>
      <c r="T5038" s="2" t="s">
        <v>35</v>
      </c>
      <c r="U5038" s="14">
        <v>45386</v>
      </c>
      <c r="V5038" s="14"/>
      <c r="W5038" s="15"/>
      <c r="X5038" s="16">
        <v>1</v>
      </c>
      <c r="Y5038" s="18" t="s">
        <v>7175</v>
      </c>
      <c r="Z5038" s="2" t="s">
        <v>36</v>
      </c>
      <c r="AA5038" s="13">
        <v>-7.8640699999999999</v>
      </c>
      <c r="AB5038" s="13">
        <v>42.336689999999997</v>
      </c>
    </row>
    <row r="5039" spans="1:28" ht="15" customHeight="1">
      <c r="A5039" s="2" t="s">
        <v>10209</v>
      </c>
      <c r="B5039" s="2" t="s">
        <v>368</v>
      </c>
      <c r="C5039" s="31" t="s">
        <v>7176</v>
      </c>
      <c r="D5039" s="2" t="s">
        <v>30</v>
      </c>
      <c r="E5039" s="2" t="s">
        <v>1130</v>
      </c>
      <c r="F5039" s="11" t="s">
        <v>2012</v>
      </c>
      <c r="G5039" s="49" t="s">
        <v>2013</v>
      </c>
      <c r="H5039" s="2" t="s">
        <v>2787</v>
      </c>
      <c r="I5039" s="29" t="s">
        <v>2614</v>
      </c>
      <c r="J5039" s="22">
        <f>+Tabla1[[#This Row],[FECHA ENTRADA]]</f>
        <v>45691</v>
      </c>
      <c r="K5039" s="22">
        <f t="shared" ca="1" si="6"/>
        <v>46260</v>
      </c>
      <c r="L5039" s="23">
        <f ca="1">_xlfn.DAYS(Tabla1[[#This Row],[FECHA FIN ]],Tabla1[[#This Row],[FECHA INICIO]])</f>
        <v>569</v>
      </c>
      <c r="M5039" s="12"/>
      <c r="N5039" s="24">
        <v>350</v>
      </c>
      <c r="O5039" s="24">
        <f ca="1">(Tabla1[[#This Row],[COSTO FIJO ]]/30)*Tabla1[[#This Row],[TOTAL DIAS PROYECTO]]+(Tabla1[[#This Row],[COSTO TEMPORAL]])</f>
        <v>6638.333333333333</v>
      </c>
      <c r="P5039" s="12">
        <v>100</v>
      </c>
      <c r="Q5039" s="12">
        <f ca="1">+(Tabla1[[#This Row],[COSTO COCHE]]/30)*Tabla1[[#This Row],[TOTAL DIAS PROYECTO]]</f>
        <v>1896.6666666666667</v>
      </c>
      <c r="R5039" s="12">
        <f ca="1">+Tabla1[[#This Row],[COSTO TOTAL ALOJAMIENTO]]+Tabla1[[#This Row],[COSTO TOTAL COCHE]]</f>
        <v>8535</v>
      </c>
      <c r="S5039" s="2"/>
      <c r="T5039" s="2" t="s">
        <v>35</v>
      </c>
      <c r="U5039" s="14">
        <v>45691</v>
      </c>
      <c r="V5039" s="25">
        <v>45752</v>
      </c>
      <c r="W5039" s="26">
        <v>350</v>
      </c>
      <c r="X5039" s="2">
        <v>1</v>
      </c>
      <c r="Y5039" s="11" t="s">
        <v>7177</v>
      </c>
      <c r="Z5039" s="2" t="s">
        <v>36</v>
      </c>
      <c r="AA5039" s="13" t="s">
        <v>10412</v>
      </c>
      <c r="AB5039" s="13">
        <v>4200955</v>
      </c>
    </row>
    <row r="5040" spans="1:28" ht="15" customHeight="1">
      <c r="A5040" s="2" t="s">
        <v>8802</v>
      </c>
      <c r="B5040" s="2" t="s">
        <v>28</v>
      </c>
      <c r="C5040" s="11" t="s">
        <v>825</v>
      </c>
      <c r="D5040" s="2" t="s">
        <v>30</v>
      </c>
      <c r="E5040" s="2" t="s">
        <v>443</v>
      </c>
      <c r="F5040" s="11" t="s">
        <v>444</v>
      </c>
      <c r="G5040" s="11"/>
      <c r="H5040" s="2" t="s">
        <v>445</v>
      </c>
      <c r="I5040" s="12" t="s">
        <v>279</v>
      </c>
      <c r="J5040" s="8">
        <f>+Tabla1[[#This Row],[FECHA ENTRADA]]</f>
        <v>45480</v>
      </c>
      <c r="K5040" s="8">
        <f t="shared" ca="1" si="6"/>
        <v>46260</v>
      </c>
      <c r="L5040" s="13">
        <f ca="1">_xlfn.DAYS(Tabla1[[#This Row],[FECHA FIN ]],Tabla1[[#This Row],[FECHA INICIO]])</f>
        <v>780</v>
      </c>
      <c r="M5040" s="12"/>
      <c r="N5040" s="12"/>
      <c r="O5040" s="12">
        <f ca="1">(Tabla1[[#This Row],[COSTO FIJO ]]/30)*Tabla1[[#This Row],[TOTAL DIAS PROYECTO]]+(Tabla1[[#This Row],[COSTO TEMPORAL]])</f>
        <v>0</v>
      </c>
      <c r="P5040" s="12"/>
      <c r="Q5040" s="12">
        <f ca="1">+(Tabla1[[#This Row],[COSTO COCHE]]/30)*Tabla1[[#This Row],[TOTAL DIAS PROYECTO]]</f>
        <v>0</v>
      </c>
      <c r="R5040" s="12">
        <f ca="1">+Tabla1[[#This Row],[COSTO TOTAL ALOJAMIENTO]]+Tabla1[[#This Row],[COSTO TOTAL COCHE]]</f>
        <v>0</v>
      </c>
      <c r="S5040" s="2"/>
      <c r="T5040" s="2" t="s">
        <v>44</v>
      </c>
      <c r="U5040" s="14">
        <v>45480</v>
      </c>
      <c r="V5040" s="14">
        <v>45499</v>
      </c>
      <c r="W5040" s="26"/>
      <c r="X5040" s="2"/>
      <c r="Y5040" s="18" t="s">
        <v>446</v>
      </c>
      <c r="Z5040" s="2" t="s">
        <v>36</v>
      </c>
      <c r="AA5040" s="13" t="s">
        <v>10376</v>
      </c>
      <c r="AB5040" s="13">
        <v>38.4</v>
      </c>
    </row>
    <row r="5041" spans="1:28" ht="15" customHeight="1">
      <c r="A5041" s="2" t="s">
        <v>10210</v>
      </c>
      <c r="B5041" s="2" t="s">
        <v>28</v>
      </c>
      <c r="C5041" s="11" t="s">
        <v>7178</v>
      </c>
      <c r="D5041" s="33" t="s">
        <v>78</v>
      </c>
      <c r="E5041" s="33" t="s">
        <v>2929</v>
      </c>
      <c r="F5041" s="11" t="s">
        <v>7179</v>
      </c>
      <c r="G5041" s="34" t="s">
        <v>7180</v>
      </c>
      <c r="H5041" s="33" t="s">
        <v>7181</v>
      </c>
      <c r="I5041" s="36" t="s">
        <v>2933</v>
      </c>
      <c r="J5041" s="8">
        <f>+Tabla1[[#This Row],[FECHA ENTRADA]]</f>
        <v>45459</v>
      </c>
      <c r="K5041" s="8">
        <f t="shared" ca="1" si="6"/>
        <v>46260</v>
      </c>
      <c r="L5041" s="13">
        <f ca="1">_xlfn.DAYS(Tabla1[[#This Row],[FECHA FIN ]],Tabla1[[#This Row],[FECHA INICIO]])</f>
        <v>801</v>
      </c>
      <c r="M5041" s="12"/>
      <c r="N5041" s="12"/>
      <c r="O5041" s="36">
        <f ca="1">(Tabla1[[#This Row],[COSTO FIJO ]]/30)*Tabla1[[#This Row],[TOTAL DIAS PROYECTO]]+(Tabla1[[#This Row],[COSTO TEMPORAL]])</f>
        <v>0</v>
      </c>
      <c r="P5041" s="36"/>
      <c r="Q5041" s="36">
        <f ca="1">+(Tabla1[[#This Row],[COSTO COCHE]]/30)*Tabla1[[#This Row],[TOTAL DIAS PROYECTO]]</f>
        <v>0</v>
      </c>
      <c r="R5041" s="36">
        <f ca="1">+Tabla1[[#This Row],[COSTO TOTAL ALOJAMIENTO]]+Tabla1[[#This Row],[COSTO TOTAL COCHE]]</f>
        <v>0</v>
      </c>
      <c r="S5041" s="2" t="s">
        <v>84</v>
      </c>
      <c r="T5041" s="33" t="s">
        <v>44</v>
      </c>
      <c r="U5041" s="37">
        <v>45459</v>
      </c>
      <c r="V5041" s="37">
        <v>45502</v>
      </c>
      <c r="W5041" s="40"/>
      <c r="X5041" s="33"/>
      <c r="Y5041" s="18" t="s">
        <v>7182</v>
      </c>
      <c r="Z5041" s="33" t="s">
        <v>36</v>
      </c>
      <c r="AA5041" s="13" t="s">
        <v>10438</v>
      </c>
      <c r="AB5041" s="13" t="s">
        <v>10439</v>
      </c>
    </row>
    <row r="5042" spans="1:28" ht="15" customHeight="1">
      <c r="A5042" s="2" t="s">
        <v>10211</v>
      </c>
      <c r="B5042" s="2" t="s">
        <v>28</v>
      </c>
      <c r="C5042" s="11" t="s">
        <v>7183</v>
      </c>
      <c r="D5042" s="2" t="s">
        <v>30</v>
      </c>
      <c r="E5042" s="2" t="s">
        <v>447</v>
      </c>
      <c r="F5042" s="11" t="s">
        <v>444</v>
      </c>
      <c r="G5042" s="11" t="s">
        <v>448</v>
      </c>
      <c r="H5042" s="2" t="s">
        <v>449</v>
      </c>
      <c r="I5042" s="12" t="s">
        <v>279</v>
      </c>
      <c r="J5042" s="8">
        <f>+Tabla1[[#This Row],[FECHA ENTRADA]]</f>
        <v>45487</v>
      </c>
      <c r="K5042" s="8">
        <f t="shared" ca="1" si="6"/>
        <v>46260</v>
      </c>
      <c r="L5042" s="13">
        <f ca="1">_xlfn.DAYS(Tabla1[[#This Row],[FECHA FIN ]],Tabla1[[#This Row],[FECHA INICIO]])</f>
        <v>773</v>
      </c>
      <c r="M5042" s="12"/>
      <c r="N5042" s="12"/>
      <c r="O5042" s="12">
        <f ca="1">(Tabla1[[#This Row],[COSTO FIJO ]]/30)*Tabla1[[#This Row],[TOTAL DIAS PROYECTO]]+(Tabla1[[#This Row],[COSTO TEMPORAL]])</f>
        <v>0</v>
      </c>
      <c r="P5042" s="12"/>
      <c r="Q5042" s="12">
        <f ca="1">+(Tabla1[[#This Row],[COSTO COCHE]]/30)*Tabla1[[#This Row],[TOTAL DIAS PROYECTO]]</f>
        <v>0</v>
      </c>
      <c r="R5042" s="12">
        <f ca="1">+Tabla1[[#This Row],[COSTO TOTAL ALOJAMIENTO]]+Tabla1[[#This Row],[COSTO TOTAL COCHE]]</f>
        <v>0</v>
      </c>
      <c r="S5042" s="2"/>
      <c r="T5042" s="2" t="s">
        <v>44</v>
      </c>
      <c r="U5042" s="14">
        <v>45487</v>
      </c>
      <c r="V5042" s="14">
        <v>45507</v>
      </c>
      <c r="W5042" s="26"/>
      <c r="X5042" s="2"/>
      <c r="Y5042" s="18" t="s">
        <v>2709</v>
      </c>
      <c r="Z5042" s="2" t="s">
        <v>36</v>
      </c>
      <c r="AA5042" s="13">
        <v>-697.06100000000004</v>
      </c>
      <c r="AB5042" s="13" t="s">
        <v>10377</v>
      </c>
    </row>
    <row r="5043" spans="1:28" ht="15" customHeight="1">
      <c r="A5043" s="2" t="s">
        <v>9011</v>
      </c>
      <c r="B5043" s="2" t="s">
        <v>368</v>
      </c>
      <c r="C5043" s="11" t="s">
        <v>1694</v>
      </c>
      <c r="D5043" s="2" t="s">
        <v>30</v>
      </c>
      <c r="E5043" s="2" t="s">
        <v>855</v>
      </c>
      <c r="F5043" s="11" t="s">
        <v>2755</v>
      </c>
      <c r="G5043" s="49" t="s">
        <v>2756</v>
      </c>
      <c r="H5043" s="2" t="s">
        <v>2757</v>
      </c>
      <c r="I5043" s="12" t="s">
        <v>2758</v>
      </c>
      <c r="J5043" s="41">
        <f>+Tabla1[[#This Row],[FECHA ENTRADA]]</f>
        <v>45558</v>
      </c>
      <c r="K5043" s="8">
        <f t="shared" ca="1" si="6"/>
        <v>46260</v>
      </c>
      <c r="L5043" s="42">
        <f ca="1">_xlfn.DAYS(Tabla1[[#This Row],[FECHA FIN ]],Tabla1[[#This Row],[FECHA INICIO]])</f>
        <v>702</v>
      </c>
      <c r="M5043" s="12"/>
      <c r="N5043" s="12"/>
      <c r="O5043" s="28">
        <f ca="1">(Tabla1[[#This Row],[COSTO FIJO ]]/30)*Tabla1[[#This Row],[TOTAL DIAS PROYECTO]]+(Tabla1[[#This Row],[COSTO TEMPORAL]])</f>
        <v>0</v>
      </c>
      <c r="P5043" s="12">
        <f>+(573.76*50%)/6</f>
        <v>47.813333333333333</v>
      </c>
      <c r="Q5043" s="12">
        <f ca="1">+(Tabla1[[#This Row],[COSTO COCHE]]/30)*Tabla1[[#This Row],[TOTAL DIAS PROYECTO]]</f>
        <v>1118.8319999999999</v>
      </c>
      <c r="R5043" s="12">
        <f ca="1">+Tabla1[[#This Row],[COSTO TOTAL ALOJAMIENTO]]+Tabla1[[#This Row],[COSTO TOTAL COCHE]]</f>
        <v>1118.8319999999999</v>
      </c>
      <c r="S5043" s="2" t="s">
        <v>403</v>
      </c>
      <c r="T5043" s="2" t="s">
        <v>528</v>
      </c>
      <c r="U5043" s="14">
        <v>45558</v>
      </c>
      <c r="V5043" s="43">
        <v>45572</v>
      </c>
      <c r="W5043" s="26"/>
      <c r="X5043" s="2"/>
      <c r="Y5043" s="11"/>
      <c r="Z5043" s="2" t="s">
        <v>36</v>
      </c>
      <c r="AA5043" s="13" t="s">
        <v>10401</v>
      </c>
      <c r="AB5043" s="13" t="s">
        <v>10402</v>
      </c>
    </row>
    <row r="5044" spans="1:28" ht="15" customHeight="1">
      <c r="A5044" s="2" t="s">
        <v>8743</v>
      </c>
      <c r="B5044" s="2" t="s">
        <v>606</v>
      </c>
      <c r="C5044" s="31" t="s">
        <v>549</v>
      </c>
      <c r="D5044" s="2" t="s">
        <v>99</v>
      </c>
      <c r="E5044" s="2" t="s">
        <v>31</v>
      </c>
      <c r="F5044" s="11" t="s">
        <v>530</v>
      </c>
      <c r="G5044" s="197" t="s">
        <v>531</v>
      </c>
      <c r="H5044" s="2" t="s">
        <v>2241</v>
      </c>
      <c r="I5044" s="10" t="s">
        <v>412</v>
      </c>
      <c r="J5044" s="22">
        <f>+Tabla1[[#This Row],[FECHA ENTRADA]]</f>
        <v>45740</v>
      </c>
      <c r="K5044" s="8">
        <v>46117</v>
      </c>
      <c r="L5044" s="23">
        <f>_xlfn.DAYS(Tabla1[[#This Row],[FECHA FIN ]],Tabla1[[#This Row],[FECHA INICIO]])</f>
        <v>377</v>
      </c>
      <c r="M5044" s="12"/>
      <c r="N5044" s="12">
        <v>605</v>
      </c>
      <c r="O5044" s="24">
        <f>(Tabla1[[#This Row],[COSTO FIJO ]]/30)*Tabla1[[#This Row],[TOTAL DIAS PROYECTO]]+(Tabla1[[#This Row],[COSTO TEMPORAL]])</f>
        <v>7602.8333333333339</v>
      </c>
      <c r="P5044" s="12"/>
      <c r="Q5044" s="12">
        <f>+(Tabla1[[#This Row],[COSTO COCHE]]/30)*Tabla1[[#This Row],[TOTAL DIAS PROYECTO]]</f>
        <v>0</v>
      </c>
      <c r="R5044" s="12">
        <f>+Tabla1[[#This Row],[COSTO TOTAL ALOJAMIENTO]]+Tabla1[[#This Row],[COSTO TOTAL COCHE]]</f>
        <v>7602.8333333333339</v>
      </c>
      <c r="S5044" s="2"/>
      <c r="T5044" s="2" t="s">
        <v>35</v>
      </c>
      <c r="U5044" s="14">
        <v>45740</v>
      </c>
      <c r="V5044" s="25"/>
      <c r="W5044" s="12"/>
      <c r="X5044" s="2">
        <v>1</v>
      </c>
      <c r="Y5044" s="11" t="s">
        <v>7184</v>
      </c>
      <c r="Z5044" s="2" t="s">
        <v>36</v>
      </c>
      <c r="AA5044" s="13" t="s">
        <v>10323</v>
      </c>
      <c r="AB5044" s="13" t="s">
        <v>10324</v>
      </c>
    </row>
    <row r="5045" spans="1:28">
      <c r="A5045" s="2" t="s">
        <v>9406</v>
      </c>
      <c r="B5045" s="2" t="s">
        <v>28</v>
      </c>
      <c r="C5045" s="11" t="s">
        <v>3075</v>
      </c>
      <c r="D5045" s="2" t="s">
        <v>99</v>
      </c>
      <c r="E5045" s="2" t="s">
        <v>253</v>
      </c>
      <c r="F5045" s="11" t="s">
        <v>581</v>
      </c>
      <c r="G5045" s="11" t="s">
        <v>255</v>
      </c>
      <c r="H5045" s="2" t="s">
        <v>2320</v>
      </c>
      <c r="I5045" s="12" t="s">
        <v>2321</v>
      </c>
      <c r="J5045" s="22">
        <f>+Tabla1[[#This Row],[FECHA ENTRADA]]</f>
        <v>45783</v>
      </c>
      <c r="K5045" s="22">
        <f t="shared" ref="K5045:K5051" ca="1" si="7">TODAY()</f>
        <v>46260</v>
      </c>
      <c r="L5045" s="23">
        <f ca="1">_xlfn.DAYS(Tabla1[[#This Row],[FECHA FIN ]],Tabla1[[#This Row],[FECHA INICIO]])</f>
        <v>477</v>
      </c>
      <c r="M5045" s="12"/>
      <c r="N5045" s="12"/>
      <c r="O5045" s="24">
        <f ca="1">(Tabla1[[#This Row],[COSTO FIJO ]]/30)*Tabla1[[#This Row],[TOTAL DIAS PROYECTO]]+(Tabla1[[#This Row],[COSTO TEMPORAL]])</f>
        <v>0</v>
      </c>
      <c r="P5045" s="12"/>
      <c r="Q5045" s="12">
        <f ca="1">+(Tabla1[[#This Row],[COSTO COCHE]]/30)*Tabla1[[#This Row],[TOTAL DIAS PROYECTO]]</f>
        <v>0</v>
      </c>
      <c r="R5045" s="12">
        <f ca="1">+Tabla1[[#This Row],[COSTO TOTAL ALOJAMIENTO]]+Tabla1[[#This Row],[COSTO TOTAL COCHE]]</f>
        <v>0</v>
      </c>
      <c r="S5045" s="2"/>
      <c r="T5045" s="2" t="s">
        <v>35</v>
      </c>
      <c r="U5045" s="14">
        <v>45783</v>
      </c>
      <c r="V5045" s="79"/>
      <c r="W5045" s="26"/>
      <c r="X5045" s="2">
        <v>1</v>
      </c>
      <c r="Y5045" s="11"/>
      <c r="Z5045" s="2" t="s">
        <v>36</v>
      </c>
      <c r="AA5045" s="13" t="s">
        <v>10357</v>
      </c>
      <c r="AB5045" s="13" t="s">
        <v>10358</v>
      </c>
    </row>
    <row r="5046" spans="1:28" ht="15" customHeight="1">
      <c r="A5046" s="2" t="s">
        <v>10212</v>
      </c>
      <c r="B5046" s="2" t="s">
        <v>28</v>
      </c>
      <c r="C5046" s="11" t="s">
        <v>7185</v>
      </c>
      <c r="D5046" s="2" t="s">
        <v>30</v>
      </c>
      <c r="E5046" s="2" t="s">
        <v>855</v>
      </c>
      <c r="F5046" s="11" t="s">
        <v>2798</v>
      </c>
      <c r="G5046" s="11">
        <v>34685135988</v>
      </c>
      <c r="H5046" s="2" t="s">
        <v>7186</v>
      </c>
      <c r="I5046" s="12" t="s">
        <v>859</v>
      </c>
      <c r="J5046" s="8">
        <f>+Tabla1[[#This Row],[FECHA ENTRADA]]</f>
        <v>45427</v>
      </c>
      <c r="K5046" s="8">
        <f t="shared" ca="1" si="7"/>
        <v>46260</v>
      </c>
      <c r="L5046" s="13">
        <f ca="1">_xlfn.DAYS(Tabla1[[#This Row],[FECHA FIN ]],Tabla1[[#This Row],[FECHA INICIO]])</f>
        <v>833</v>
      </c>
      <c r="M5046" s="12"/>
      <c r="N5046" s="12">
        <f>33.3333333333333+120+384</f>
        <v>537.33333333333326</v>
      </c>
      <c r="O5046" s="12">
        <f ca="1">(Tabla1[[#This Row],[COSTO FIJO ]]/30)*Tabla1[[#This Row],[TOTAL DIAS PROYECTO]]+(Tabla1[[#This Row],[COSTO TEMPORAL]])</f>
        <v>14919.955555555553</v>
      </c>
      <c r="P5046" s="12"/>
      <c r="Q5046" s="12">
        <f ca="1">+(Tabla1[[#This Row],[COSTO COCHE]]/30)*Tabla1[[#This Row],[TOTAL DIAS PROYECTO]]</f>
        <v>0</v>
      </c>
      <c r="R5046" s="12">
        <f ca="1">+Tabla1[[#This Row],[COSTO TOTAL ALOJAMIENTO]]+Tabla1[[#This Row],[COSTO TOTAL COCHE]]</f>
        <v>14919.955555555553</v>
      </c>
      <c r="S5046" s="2" t="s">
        <v>403</v>
      </c>
      <c r="T5046" s="2" t="s">
        <v>44</v>
      </c>
      <c r="U5046" s="14">
        <v>45427</v>
      </c>
      <c r="V5046" s="14">
        <v>45592</v>
      </c>
      <c r="W5046" s="26"/>
      <c r="X5046" s="2">
        <v>1</v>
      </c>
      <c r="Y5046" s="11" t="s">
        <v>2799</v>
      </c>
      <c r="Z5046" s="2" t="s">
        <v>36</v>
      </c>
      <c r="AA5046" s="13" t="s">
        <v>10401</v>
      </c>
      <c r="AB5046" s="13" t="s">
        <v>10402</v>
      </c>
    </row>
    <row r="5047" spans="1:28" ht="15" customHeight="1">
      <c r="A5047" s="2" t="s">
        <v>10208</v>
      </c>
      <c r="B5047" s="2" t="s">
        <v>28</v>
      </c>
      <c r="C5047" s="11" t="s">
        <v>7174</v>
      </c>
      <c r="D5047" s="2" t="s">
        <v>30</v>
      </c>
      <c r="E5047" s="2" t="s">
        <v>855</v>
      </c>
      <c r="F5047" s="11" t="s">
        <v>2798</v>
      </c>
      <c r="G5047" s="11">
        <v>34685135988</v>
      </c>
      <c r="H5047" s="2" t="s">
        <v>7186</v>
      </c>
      <c r="I5047" s="12" t="s">
        <v>859</v>
      </c>
      <c r="J5047" s="8">
        <f>+Tabla1[[#This Row],[FECHA ENTRADA]]</f>
        <v>45427</v>
      </c>
      <c r="K5047" s="8">
        <f t="shared" ca="1" si="7"/>
        <v>46260</v>
      </c>
      <c r="L5047" s="13">
        <f ca="1">_xlfn.DAYS(Tabla1[[#This Row],[FECHA FIN ]],Tabla1[[#This Row],[FECHA INICIO]])</f>
        <v>833</v>
      </c>
      <c r="M5047" s="12"/>
      <c r="N5047" s="12">
        <f>33.3333333333333+120+384</f>
        <v>537.33333333333326</v>
      </c>
      <c r="O5047" s="12">
        <f ca="1">(Tabla1[[#This Row],[COSTO FIJO ]]/30)*Tabla1[[#This Row],[TOTAL DIAS PROYECTO]]+(Tabla1[[#This Row],[COSTO TEMPORAL]])</f>
        <v>14919.955555555553</v>
      </c>
      <c r="P5047" s="12"/>
      <c r="Q5047" s="12">
        <f ca="1">+(Tabla1[[#This Row],[COSTO COCHE]]/30)*Tabla1[[#This Row],[TOTAL DIAS PROYECTO]]</f>
        <v>0</v>
      </c>
      <c r="R5047" s="12">
        <f ca="1">+Tabla1[[#This Row],[COSTO TOTAL ALOJAMIENTO]]+Tabla1[[#This Row],[COSTO TOTAL COCHE]]</f>
        <v>14919.955555555553</v>
      </c>
      <c r="S5047" s="2" t="s">
        <v>403</v>
      </c>
      <c r="T5047" s="2" t="s">
        <v>44</v>
      </c>
      <c r="U5047" s="14">
        <v>45427</v>
      </c>
      <c r="V5047" s="14">
        <v>45592</v>
      </c>
      <c r="W5047" s="26"/>
      <c r="X5047" s="2">
        <v>1</v>
      </c>
      <c r="Y5047" s="11" t="s">
        <v>2799</v>
      </c>
      <c r="Z5047" s="2" t="s">
        <v>36</v>
      </c>
      <c r="AA5047" s="13" t="s">
        <v>10401</v>
      </c>
      <c r="AB5047" s="13" t="s">
        <v>10402</v>
      </c>
    </row>
    <row r="5048" spans="1:28" ht="15" customHeight="1">
      <c r="A5048" s="2" t="s">
        <v>9194</v>
      </c>
      <c r="B5048" s="2" t="s">
        <v>28</v>
      </c>
      <c r="C5048" s="11" t="s">
        <v>2396</v>
      </c>
      <c r="D5048" s="2" t="s">
        <v>30</v>
      </c>
      <c r="E5048" s="2" t="s">
        <v>599</v>
      </c>
      <c r="F5048" s="11" t="s">
        <v>600</v>
      </c>
      <c r="G5048" s="11" t="s">
        <v>601</v>
      </c>
      <c r="H5048" s="2" t="s">
        <v>1086</v>
      </c>
      <c r="I5048" s="12" t="s">
        <v>603</v>
      </c>
      <c r="J5048" s="41">
        <f>+Tabla1[[#This Row],[FECHA ENTRADA]]</f>
        <v>45560</v>
      </c>
      <c r="K5048" s="8">
        <f t="shared" ca="1" si="7"/>
        <v>46260</v>
      </c>
      <c r="L5048" s="42">
        <f ca="1">_xlfn.DAYS(Tabla1[[#This Row],[FECHA FIN ]],Tabla1[[#This Row],[FECHA INICIO]])</f>
        <v>700</v>
      </c>
      <c r="M5048" s="12"/>
      <c r="N5048" s="12">
        <v>330</v>
      </c>
      <c r="O5048" s="28">
        <f ca="1">(Tabla1[[#This Row],[COSTO FIJO ]]/30)*Tabla1[[#This Row],[TOTAL DIAS PROYECTO]]+(Tabla1[[#This Row],[COSTO TEMPORAL]])</f>
        <v>7700</v>
      </c>
      <c r="P5048" s="12"/>
      <c r="Q5048" s="12">
        <f ca="1">+(Tabla1[[#This Row],[COSTO COCHE]]/30)*Tabla1[[#This Row],[TOTAL DIAS PROYECTO]]</f>
        <v>0</v>
      </c>
      <c r="R5048" s="12">
        <f ca="1">+Tabla1[[#This Row],[COSTO TOTAL ALOJAMIENTO]]+Tabla1[[#This Row],[COSTO TOTAL COCHE]]</f>
        <v>7700</v>
      </c>
      <c r="S5048" s="2"/>
      <c r="T5048" s="2" t="s">
        <v>44</v>
      </c>
      <c r="U5048" s="14">
        <v>45560</v>
      </c>
      <c r="V5048" s="43">
        <v>45602</v>
      </c>
      <c r="W5048" s="26"/>
      <c r="X5048" s="2"/>
      <c r="Y5048" s="31" t="s">
        <v>1087</v>
      </c>
      <c r="Z5048" s="2" t="s">
        <v>36</v>
      </c>
      <c r="AA5048" s="13" t="s">
        <v>10382</v>
      </c>
      <c r="AB5048" s="13">
        <v>4038884</v>
      </c>
    </row>
    <row r="5049" spans="1:28" ht="15" customHeight="1">
      <c r="A5049" s="2" t="s">
        <v>9194</v>
      </c>
      <c r="B5049" s="2" t="s">
        <v>368</v>
      </c>
      <c r="C5049" s="11" t="s">
        <v>2396</v>
      </c>
      <c r="D5049" s="2" t="s">
        <v>30</v>
      </c>
      <c r="E5049" s="2" t="s">
        <v>31</v>
      </c>
      <c r="F5049" s="11" t="s">
        <v>2824</v>
      </c>
      <c r="G5049" s="49"/>
      <c r="H5049" s="2" t="s">
        <v>1224</v>
      </c>
      <c r="I5049" s="12" t="s">
        <v>1225</v>
      </c>
      <c r="J5049" s="41">
        <f>+Tabla1[[#This Row],[FECHA ENTRADA]]</f>
        <v>45607</v>
      </c>
      <c r="K5049" s="8">
        <f t="shared" ca="1" si="7"/>
        <v>46260</v>
      </c>
      <c r="L5049" s="42">
        <f ca="1">_xlfn.DAYS(Tabla1[[#This Row],[FECHA FIN ]],Tabla1[[#This Row],[FECHA INICIO]])</f>
        <v>653</v>
      </c>
      <c r="M5049" s="12"/>
      <c r="N5049" s="12"/>
      <c r="O5049" s="28">
        <f ca="1">(Tabla1[[#This Row],[COSTO FIJO ]]/30)*Tabla1[[#This Row],[TOTAL DIAS PROYECTO]]+(Tabla1[[#This Row],[COSTO TEMPORAL]])</f>
        <v>0</v>
      </c>
      <c r="P5049" s="12"/>
      <c r="Q5049" s="12">
        <f ca="1">+(Tabla1[[#This Row],[COSTO COCHE]]/30)*Tabla1[[#This Row],[TOTAL DIAS PROYECTO]]</f>
        <v>0</v>
      </c>
      <c r="R5049" s="12">
        <f ca="1">+Tabla1[[#This Row],[COSTO TOTAL ALOJAMIENTO]]+Tabla1[[#This Row],[COSTO TOTAL COCHE]]</f>
        <v>0</v>
      </c>
      <c r="S5049" s="2"/>
      <c r="T5049" s="2" t="s">
        <v>44</v>
      </c>
      <c r="U5049" s="14">
        <v>45607</v>
      </c>
      <c r="V5049" s="43">
        <v>45625</v>
      </c>
      <c r="W5049" s="26"/>
      <c r="X5049" s="2"/>
      <c r="Y5049" s="11"/>
      <c r="Z5049" s="2" t="s">
        <v>36</v>
      </c>
      <c r="AA5049" s="13" t="s">
        <v>10323</v>
      </c>
      <c r="AB5049" s="13" t="s">
        <v>10324</v>
      </c>
    </row>
    <row r="5050" spans="1:28" ht="15" customHeight="1">
      <c r="A5050" s="2" t="s">
        <v>8863</v>
      </c>
      <c r="B5050" s="2" t="s">
        <v>28</v>
      </c>
      <c r="C5050" s="11" t="s">
        <v>1062</v>
      </c>
      <c r="D5050" s="2" t="s">
        <v>30</v>
      </c>
      <c r="E5050" s="2" t="s">
        <v>415</v>
      </c>
      <c r="F5050" s="11" t="s">
        <v>1148</v>
      </c>
      <c r="G5050" s="30" t="s">
        <v>1149</v>
      </c>
      <c r="H5050" s="2" t="s">
        <v>1150</v>
      </c>
      <c r="I5050" s="12" t="s">
        <v>800</v>
      </c>
      <c r="J5050" s="41">
        <f>+Tabla1[[#This Row],[FECHA ENTRADA]]</f>
        <v>45629</v>
      </c>
      <c r="K5050" s="8">
        <f t="shared" ca="1" si="7"/>
        <v>46260</v>
      </c>
      <c r="L5050" s="42">
        <f ca="1">_xlfn.DAYS(Tabla1[[#This Row],[FECHA FIN ]],Tabla1[[#This Row],[FECHA INICIO]])</f>
        <v>631</v>
      </c>
      <c r="M5050" s="12"/>
      <c r="N5050" s="12"/>
      <c r="O5050" s="28">
        <f ca="1">(Tabla1[[#This Row],[COSTO FIJO ]]/30)*Tabla1[[#This Row],[TOTAL DIAS PROYECTO]]+(Tabla1[[#This Row],[COSTO TEMPORAL]])</f>
        <v>0</v>
      </c>
      <c r="P5050" s="12"/>
      <c r="Q5050" s="12">
        <f ca="1">+(Tabla1[[#This Row],[COSTO COCHE]]/30)*Tabla1[[#This Row],[TOTAL DIAS PROYECTO]]</f>
        <v>0</v>
      </c>
      <c r="R5050" s="12">
        <f ca="1">+Tabla1[[#This Row],[COSTO TOTAL ALOJAMIENTO]]+Tabla1[[#This Row],[COSTO TOTAL COCHE]]</f>
        <v>0</v>
      </c>
      <c r="S5050" s="2"/>
      <c r="T5050" s="2" t="s">
        <v>44</v>
      </c>
      <c r="U5050" s="14">
        <v>45629</v>
      </c>
      <c r="V5050" s="43">
        <v>45635</v>
      </c>
      <c r="W5050" s="26"/>
      <c r="X5050" s="2"/>
      <c r="Y5050" s="11"/>
      <c r="Z5050" s="2" t="s">
        <v>36</v>
      </c>
      <c r="AA5050" s="13">
        <v>-0.37739</v>
      </c>
      <c r="AB5050" s="13" t="s">
        <v>10372</v>
      </c>
    </row>
    <row r="5051" spans="1:28" ht="15" customHeight="1">
      <c r="A5051" s="2" t="s">
        <v>10211</v>
      </c>
      <c r="B5051" s="2" t="s">
        <v>28</v>
      </c>
      <c r="C5051" s="11" t="s">
        <v>7183</v>
      </c>
      <c r="D5051" s="2" t="s">
        <v>30</v>
      </c>
      <c r="E5051" s="2" t="s">
        <v>151</v>
      </c>
      <c r="F5051" s="11" t="s">
        <v>1259</v>
      </c>
      <c r="G5051" s="49"/>
      <c r="H5051" s="2" t="s">
        <v>2446</v>
      </c>
      <c r="I5051" s="12" t="s">
        <v>152</v>
      </c>
      <c r="J5051" s="41">
        <f>+Tabla1[[#This Row],[FECHA ENTRADA]]</f>
        <v>45644</v>
      </c>
      <c r="K5051" s="8">
        <f t="shared" ca="1" si="7"/>
        <v>46260</v>
      </c>
      <c r="L5051" s="42">
        <f ca="1">_xlfn.DAYS(Tabla1[[#This Row],[FECHA FIN ]],Tabla1[[#This Row],[FECHA INICIO]])</f>
        <v>616</v>
      </c>
      <c r="M5051" s="12"/>
      <c r="N5051" s="12"/>
      <c r="O5051" s="28">
        <f ca="1">(Tabla1[[#This Row],[COSTO FIJO ]]/30)*Tabla1[[#This Row],[TOTAL DIAS PROYECTO]]+(Tabla1[[#This Row],[COSTO TEMPORAL]])</f>
        <v>0</v>
      </c>
      <c r="P5051" s="12"/>
      <c r="Q5051" s="12">
        <f ca="1">+(Tabla1[[#This Row],[COSTO COCHE]]/30)*Tabla1[[#This Row],[TOTAL DIAS PROYECTO]]</f>
        <v>0</v>
      </c>
      <c r="R5051" s="12">
        <f ca="1">+Tabla1[[#This Row],[COSTO TOTAL ALOJAMIENTO]]+Tabla1[[#This Row],[COSTO TOTAL COCHE]]</f>
        <v>0</v>
      </c>
      <c r="S5051" s="2"/>
      <c r="T5051" s="2" t="s">
        <v>44</v>
      </c>
      <c r="U5051" s="14">
        <v>45644</v>
      </c>
      <c r="V5051" s="43">
        <v>45649</v>
      </c>
      <c r="W5051" s="26"/>
      <c r="X5051" s="2"/>
      <c r="Y5051" s="11"/>
      <c r="Z5051" s="2" t="s">
        <v>36</v>
      </c>
      <c r="AA5051" s="13" t="s">
        <v>10345</v>
      </c>
      <c r="AB5051" s="13" t="s">
        <v>10346</v>
      </c>
    </row>
    <row r="5052" spans="1:28" ht="15" customHeight="1">
      <c r="A5052" s="2" t="s">
        <v>9136</v>
      </c>
      <c r="B5052" s="2" t="s">
        <v>606</v>
      </c>
      <c r="C5052" s="31" t="s">
        <v>2152</v>
      </c>
      <c r="D5052" s="2" t="s">
        <v>30</v>
      </c>
      <c r="E5052" s="2" t="s">
        <v>415</v>
      </c>
      <c r="F5052" s="11" t="s">
        <v>487</v>
      </c>
      <c r="G5052" s="49" t="s">
        <v>488</v>
      </c>
      <c r="H5052" s="2" t="s">
        <v>6594</v>
      </c>
      <c r="I5052" s="12" t="s">
        <v>34</v>
      </c>
      <c r="J5052" s="22">
        <f>+Tabla1[[#This Row],[FECHA ENTRADA]]</f>
        <v>46039</v>
      </c>
      <c r="K5052" s="22">
        <v>46038</v>
      </c>
      <c r="L5052" s="23">
        <f>_xlfn.DAYS(Tabla1[[#This Row],[FECHA FIN ]],Tabla1[[#This Row],[FECHA INICIO]])</f>
        <v>-1</v>
      </c>
      <c r="M5052" s="12"/>
      <c r="N5052" s="24">
        <v>287.5</v>
      </c>
      <c r="O5052" s="24">
        <f>(Tabla1[[#This Row],[COSTO FIJO ]]/30)*Tabla1[[#This Row],[TOTAL DIAS PROYECTO]]+(Tabla1[[#This Row],[COSTO TEMPORAL]])</f>
        <v>-9.5833333333333339</v>
      </c>
      <c r="P5052" s="12"/>
      <c r="Q5052" s="12">
        <f>+(Tabla1[[#This Row],[COSTO COCHE]]/30)*Tabla1[[#This Row],[TOTAL DIAS PROYECTO]]</f>
        <v>0</v>
      </c>
      <c r="R5052" s="12">
        <f>+Tabla1[[#This Row],[COSTO TOTAL ALOJAMIENTO]]+Tabla1[[#This Row],[COSTO TOTAL COCHE]]</f>
        <v>-9.5833333333333339</v>
      </c>
      <c r="S5052" s="2"/>
      <c r="T5052" s="14" t="s">
        <v>35</v>
      </c>
      <c r="U5052" s="14">
        <v>46039</v>
      </c>
      <c r="V5052" s="79"/>
      <c r="W5052" s="12"/>
      <c r="X5052" s="2">
        <v>1</v>
      </c>
      <c r="Y5052" s="11" t="s">
        <v>6595</v>
      </c>
      <c r="Z5052" s="2" t="s">
        <v>36</v>
      </c>
      <c r="AA5052" s="13">
        <v>-0.37739</v>
      </c>
      <c r="AB5052" s="13" t="s">
        <v>10372</v>
      </c>
    </row>
    <row r="5053" spans="1:28" ht="15" customHeight="1">
      <c r="A5053" s="2" t="s">
        <v>9932</v>
      </c>
      <c r="B5053" s="2" t="s">
        <v>711</v>
      </c>
      <c r="C5053" s="31" t="s">
        <v>5527</v>
      </c>
      <c r="D5053" s="2" t="s">
        <v>30</v>
      </c>
      <c r="E5053" s="2" t="s">
        <v>31</v>
      </c>
      <c r="F5053" s="11" t="s">
        <v>715</v>
      </c>
      <c r="G5053" s="11" t="s">
        <v>716</v>
      </c>
      <c r="H5053" s="2" t="s">
        <v>5530</v>
      </c>
      <c r="I5053" s="12" t="s">
        <v>5531</v>
      </c>
      <c r="J5053" s="41">
        <f>+Tabla1[[#This Row],[FECHA ENTRADA]]</f>
        <v>46112</v>
      </c>
      <c r="K5053" s="22">
        <v>46112</v>
      </c>
      <c r="L5053" s="42">
        <f>_xlfn.DAYS(Tabla1[[#This Row],[FECHA FIN ]],Tabla1[[#This Row],[FECHA INICIO]])</f>
        <v>0</v>
      </c>
      <c r="M5053" s="12"/>
      <c r="N5053" s="12">
        <v>160</v>
      </c>
      <c r="O5053" s="28">
        <f>(Tabla1[[#This Row],[COSTO FIJO ]]/30)*Tabla1[[#This Row],[TOTAL DIAS PROYECTO]]+(Tabla1[[#This Row],[COSTO TEMPORAL]])</f>
        <v>0</v>
      </c>
      <c r="P5053" s="12"/>
      <c r="Q5053" s="12">
        <f>+(Tabla1[[#This Row],[COSTO COCHE]]/30)*Tabla1[[#This Row],[TOTAL DIAS PROYECTO]]</f>
        <v>0</v>
      </c>
      <c r="R5053" s="12">
        <f>+Tabla1[[#This Row],[COSTO TOTAL ALOJAMIENTO]]+Tabla1[[#This Row],[COSTO TOTAL COCHE]]</f>
        <v>0</v>
      </c>
      <c r="S5053" s="2"/>
      <c r="T5053" s="14" t="s">
        <v>35</v>
      </c>
      <c r="U5053" s="14">
        <v>46112</v>
      </c>
      <c r="V5053" s="43"/>
      <c r="W5053" s="12"/>
      <c r="X5053" s="2"/>
      <c r="Y5053" s="11" t="s">
        <v>7187</v>
      </c>
      <c r="Z5053" s="2" t="s">
        <v>36</v>
      </c>
      <c r="AA5053" s="13" t="s">
        <v>10323</v>
      </c>
      <c r="AB5053" s="13" t="s">
        <v>10324</v>
      </c>
    </row>
    <row r="5054" spans="1:28" ht="15" customHeight="1">
      <c r="A5054" s="2" t="s">
        <v>10213</v>
      </c>
      <c r="B5054" s="2" t="s">
        <v>368</v>
      </c>
      <c r="C5054" s="11" t="s">
        <v>7188</v>
      </c>
      <c r="D5054" s="2" t="s">
        <v>30</v>
      </c>
      <c r="E5054" s="2" t="s">
        <v>855</v>
      </c>
      <c r="F5054" s="11" t="s">
        <v>1285</v>
      </c>
      <c r="G5054" s="49" t="s">
        <v>1286</v>
      </c>
      <c r="H5054" s="2" t="s">
        <v>1287</v>
      </c>
      <c r="I5054" s="12" t="s">
        <v>1288</v>
      </c>
      <c r="J5054" s="41">
        <f>+Tabla1[[#This Row],[FECHA ENTRADA]]</f>
        <v>45636</v>
      </c>
      <c r="K5054" s="8">
        <f ca="1">TODAY()</f>
        <v>46260</v>
      </c>
      <c r="L5054" s="42">
        <f ca="1">_xlfn.DAYS(Tabla1[[#This Row],[FECHA FIN ]],Tabla1[[#This Row],[FECHA INICIO]])</f>
        <v>624</v>
      </c>
      <c r="M5054" s="12"/>
      <c r="N5054" s="12"/>
      <c r="O5054" s="28">
        <f ca="1">(Tabla1[[#This Row],[COSTO FIJO ]]/30)*Tabla1[[#This Row],[TOTAL DIAS PROYECTO]]+(Tabla1[[#This Row],[COSTO TEMPORAL]])</f>
        <v>0</v>
      </c>
      <c r="P5054" s="12"/>
      <c r="Q5054" s="12">
        <f ca="1">+(Tabla1[[#This Row],[COSTO COCHE]]/30)*Tabla1[[#This Row],[TOTAL DIAS PROYECTO]]</f>
        <v>0</v>
      </c>
      <c r="R5054" s="12">
        <f ca="1">+Tabla1[[#This Row],[COSTO TOTAL ALOJAMIENTO]]+Tabla1[[#This Row],[COSTO TOTAL COCHE]]</f>
        <v>0</v>
      </c>
      <c r="S5054" s="2"/>
      <c r="T5054" s="2" t="s">
        <v>44</v>
      </c>
      <c r="U5054" s="14">
        <v>45636</v>
      </c>
      <c r="V5054" s="43">
        <v>45659</v>
      </c>
      <c r="W5054" s="26"/>
      <c r="X5054" s="2"/>
      <c r="Y5054" s="11"/>
      <c r="Z5054" s="2" t="s">
        <v>36</v>
      </c>
      <c r="AA5054" s="13" t="s">
        <v>10401</v>
      </c>
      <c r="AB5054" s="13" t="s">
        <v>10402</v>
      </c>
    </row>
    <row r="5055" spans="1:28" ht="15" customHeight="1">
      <c r="A5055" s="2" t="s">
        <v>8957</v>
      </c>
      <c r="B5055" s="2" t="s">
        <v>368</v>
      </c>
      <c r="C5055" s="52" t="s">
        <v>1482</v>
      </c>
      <c r="D5055" s="2" t="s">
        <v>78</v>
      </c>
      <c r="E5055" s="2" t="s">
        <v>1483</v>
      </c>
      <c r="F5055" s="11" t="s">
        <v>2964</v>
      </c>
      <c r="G5055" s="46" t="s">
        <v>2965</v>
      </c>
      <c r="H5055" s="2" t="s">
        <v>1486</v>
      </c>
      <c r="I5055" s="29" t="s">
        <v>1487</v>
      </c>
      <c r="J5055" s="41">
        <f>+Tabla1[[#This Row],[FECHA ENTRADA]]</f>
        <v>45629</v>
      </c>
      <c r="K5055" s="22">
        <f ca="1">TODAY()</f>
        <v>46260</v>
      </c>
      <c r="L5055" s="42">
        <f ca="1">_xlfn.DAYS(Tabla1[[#This Row],[FECHA FIN ]],Tabla1[[#This Row],[FECHA INICIO]])</f>
        <v>631</v>
      </c>
      <c r="M5055" s="12">
        <f>1587.31/4</f>
        <v>396.82749999999999</v>
      </c>
      <c r="N5055" s="20"/>
      <c r="O5055" s="28">
        <f ca="1">(Tabla1[[#This Row],[COSTO FIJO ]]/30)*Tabla1[[#This Row],[TOTAL DIAS PROYECTO]]+(Tabla1[[#This Row],[COSTO TEMPORAL]])</f>
        <v>396.82749999999999</v>
      </c>
      <c r="P5055" s="12">
        <v>100</v>
      </c>
      <c r="Q5055" s="12">
        <f ca="1">+(Tabla1[[#This Row],[COSTO COCHE]]/30)*Tabla1[[#This Row],[TOTAL DIAS PROYECTO]]</f>
        <v>2103.3333333333335</v>
      </c>
      <c r="R5055" s="12">
        <f ca="1">+Tabla1[[#This Row],[COSTO TOTAL ALOJAMIENTO]]+Tabla1[[#This Row],[COSTO TOTAL COCHE]]</f>
        <v>2500.1608333333334</v>
      </c>
      <c r="S5055" s="2" t="s">
        <v>84</v>
      </c>
      <c r="T5055" s="2" t="s">
        <v>44</v>
      </c>
      <c r="U5055" s="14">
        <v>45629</v>
      </c>
      <c r="V5055" s="43">
        <v>45659</v>
      </c>
      <c r="W5055" s="26"/>
      <c r="X5055" s="2"/>
      <c r="Y5055" s="11" t="s">
        <v>1166</v>
      </c>
      <c r="Z5055" s="2" t="s">
        <v>36</v>
      </c>
      <c r="AA5055" s="13" t="s">
        <v>10422</v>
      </c>
      <c r="AB5055" s="13" t="s">
        <v>10423</v>
      </c>
    </row>
    <row r="5056" spans="1:28" ht="15" customHeight="1">
      <c r="A5056" s="2" t="s">
        <v>8846</v>
      </c>
      <c r="B5056" s="2" t="s">
        <v>978</v>
      </c>
      <c r="C5056" s="31" t="s">
        <v>1000</v>
      </c>
      <c r="D5056" s="2" t="s">
        <v>99</v>
      </c>
      <c r="E5056" s="2" t="s">
        <v>855</v>
      </c>
      <c r="F5056" s="11" t="s">
        <v>4510</v>
      </c>
      <c r="G5056" s="46" t="s">
        <v>4511</v>
      </c>
      <c r="H5056" s="2" t="s">
        <v>2677</v>
      </c>
      <c r="I5056" s="12" t="s">
        <v>4512</v>
      </c>
      <c r="J5056" s="41">
        <f>+Tabla1[[#This Row],[FECHA ENTRADA]]</f>
        <v>45799</v>
      </c>
      <c r="K5056" s="41">
        <f ca="1">TODAY()</f>
        <v>46260</v>
      </c>
      <c r="L5056" s="42">
        <f ca="1">_xlfn.DAYS(Tabla1[[#This Row],[FECHA FIN ]],Tabla1[[#This Row],[FECHA INICIO]])</f>
        <v>461</v>
      </c>
      <c r="M5056" s="12"/>
      <c r="N5056" s="28">
        <v>350</v>
      </c>
      <c r="O5056" s="28">
        <f ca="1">(Tabla1[[#This Row],[COSTO FIJO ]]/30)*Tabla1[[#This Row],[TOTAL DIAS PROYECTO]]+(Tabla1[[#This Row],[COSTO TEMPORAL]])</f>
        <v>5378.333333333333</v>
      </c>
      <c r="P5056" s="12"/>
      <c r="Q5056" s="12">
        <f ca="1">+(Tabla1[[#This Row],[COSTO COCHE]]/30)*Tabla1[[#This Row],[TOTAL DIAS PROYECTO]]</f>
        <v>0</v>
      </c>
      <c r="R5056" s="12">
        <f ca="1">+Tabla1[[#This Row],[COSTO TOTAL ALOJAMIENTO]]+Tabla1[[#This Row],[COSTO TOTAL COCHE]]</f>
        <v>5378.333333333333</v>
      </c>
      <c r="S5056" s="2"/>
      <c r="T5056" s="14" t="s">
        <v>35</v>
      </c>
      <c r="U5056" s="14">
        <v>45799</v>
      </c>
      <c r="V5056" s="43"/>
      <c r="W5056" s="12"/>
      <c r="X5056" s="2">
        <v>1</v>
      </c>
      <c r="Y5056" s="11" t="s">
        <v>4513</v>
      </c>
      <c r="Z5056" s="2" t="s">
        <v>36</v>
      </c>
      <c r="AA5056" s="13" t="s">
        <v>10401</v>
      </c>
      <c r="AB5056" s="13" t="s">
        <v>10402</v>
      </c>
    </row>
    <row r="5057" spans="1:28" ht="15" customHeight="1">
      <c r="A5057" s="2" t="s">
        <v>9652</v>
      </c>
      <c r="B5057" s="2" t="s">
        <v>368</v>
      </c>
      <c r="C5057" s="11" t="s">
        <v>4070</v>
      </c>
      <c r="D5057" s="2" t="s">
        <v>30</v>
      </c>
      <c r="E5057" s="2" t="s">
        <v>855</v>
      </c>
      <c r="F5057" s="11" t="s">
        <v>1312</v>
      </c>
      <c r="G5057" s="46" t="s">
        <v>1313</v>
      </c>
      <c r="H5057" s="2" t="s">
        <v>2988</v>
      </c>
      <c r="I5057" s="12" t="s">
        <v>1288</v>
      </c>
      <c r="J5057" s="41">
        <f>+Tabla1[[#This Row],[FECHA ENTRADA]]</f>
        <v>45659</v>
      </c>
      <c r="K5057" s="8">
        <f ca="1">TODAY()</f>
        <v>46260</v>
      </c>
      <c r="L5057" s="42">
        <f ca="1">_xlfn.DAYS(Tabla1[[#This Row],[FECHA FIN ]],Tabla1[[#This Row],[FECHA INICIO]])</f>
        <v>601</v>
      </c>
      <c r="M5057" s="12">
        <v>120</v>
      </c>
      <c r="N5057" s="28"/>
      <c r="O5057" s="28">
        <f ca="1">(Tabla1[[#This Row],[COSTO FIJO ]]/30)*Tabla1[[#This Row],[TOTAL DIAS PROYECTO]]+(Tabla1[[#This Row],[COSTO TEMPORAL]])</f>
        <v>120</v>
      </c>
      <c r="P5057" s="12"/>
      <c r="Q5057" s="12">
        <f ca="1">+(Tabla1[[#This Row],[COSTO COCHE]]/30)*Tabla1[[#This Row],[TOTAL DIAS PROYECTO]]</f>
        <v>0</v>
      </c>
      <c r="R5057" s="12">
        <f ca="1">+Tabla1[[#This Row],[COSTO TOTAL ALOJAMIENTO]]+Tabla1[[#This Row],[COSTO TOTAL COCHE]]</f>
        <v>120</v>
      </c>
      <c r="S5057" s="2"/>
      <c r="T5057" s="2" t="s">
        <v>44</v>
      </c>
      <c r="U5057" s="14">
        <v>45659</v>
      </c>
      <c r="V5057" s="43">
        <v>45664</v>
      </c>
      <c r="W5057" s="26"/>
      <c r="X5057" s="2"/>
      <c r="Y5057" s="11"/>
      <c r="Z5057" s="2" t="s">
        <v>36</v>
      </c>
      <c r="AA5057" s="13" t="s">
        <v>10401</v>
      </c>
      <c r="AB5057" s="13" t="s">
        <v>10402</v>
      </c>
    </row>
    <row r="5058" spans="1:28" ht="15" customHeight="1">
      <c r="A5058" s="2" t="s">
        <v>9089</v>
      </c>
      <c r="B5058" s="2" t="s">
        <v>368</v>
      </c>
      <c r="C5058" s="31" t="s">
        <v>1963</v>
      </c>
      <c r="D5058" s="2" t="s">
        <v>30</v>
      </c>
      <c r="E5058" s="2" t="s">
        <v>109</v>
      </c>
      <c r="F5058" s="11" t="s">
        <v>4434</v>
      </c>
      <c r="G5058" s="49">
        <v>973266788</v>
      </c>
      <c r="H5058" s="2" t="s">
        <v>5570</v>
      </c>
      <c r="I5058" s="12" t="s">
        <v>42</v>
      </c>
      <c r="J5058" s="22">
        <f>+Tabla1[[#This Row],[FECHA ENTRADA]]</f>
        <v>45943</v>
      </c>
      <c r="K5058" s="22">
        <v>45968</v>
      </c>
      <c r="L5058" s="23">
        <f>_xlfn.DAYS(Tabla1[[#This Row],[FECHA FIN ]],Tabla1[[#This Row],[FECHA INICIO]])</f>
        <v>25</v>
      </c>
      <c r="M5058" s="12"/>
      <c r="N5058" s="20"/>
      <c r="O5058" s="24">
        <f>(Tabla1[[#This Row],[COSTO FIJO ]]/30)*Tabla1[[#This Row],[TOTAL DIAS PROYECTO]]+(Tabla1[[#This Row],[COSTO TEMPORAL]])</f>
        <v>0</v>
      </c>
      <c r="P5058" s="12"/>
      <c r="Q5058" s="12">
        <f>+(Tabla1[[#This Row],[COSTO COCHE]]/30)*Tabla1[[#This Row],[TOTAL DIAS PROYECTO]]</f>
        <v>0</v>
      </c>
      <c r="R5058" s="12">
        <f>+Tabla1[[#This Row],[COSTO TOTAL ALOJAMIENTO]]+Tabla1[[#This Row],[COSTO TOTAL COCHE]]</f>
        <v>0</v>
      </c>
      <c r="S5058" s="2"/>
      <c r="T5058" s="14" t="s">
        <v>44</v>
      </c>
      <c r="U5058" s="14">
        <v>45943</v>
      </c>
      <c r="V5058" s="25">
        <v>45981</v>
      </c>
      <c r="W5058" s="71"/>
      <c r="X5058" s="2"/>
      <c r="Y5058" s="11" t="s">
        <v>7189</v>
      </c>
      <c r="Z5058" s="2" t="s">
        <v>36</v>
      </c>
      <c r="AA5058" s="13">
        <v>0.62217999999999996</v>
      </c>
      <c r="AB5058" s="13" t="s">
        <v>10339</v>
      </c>
    </row>
    <row r="5059" spans="1:28" ht="15" customHeight="1">
      <c r="A5059" s="2" t="s">
        <v>8928</v>
      </c>
      <c r="B5059" s="29" t="s">
        <v>1457</v>
      </c>
      <c r="C5059" s="87" t="s">
        <v>1318</v>
      </c>
      <c r="D5059" s="2" t="s">
        <v>30</v>
      </c>
      <c r="E5059" s="2" t="s">
        <v>855</v>
      </c>
      <c r="F5059" s="11" t="s">
        <v>1312</v>
      </c>
      <c r="G5059" s="46" t="s">
        <v>1313</v>
      </c>
      <c r="H5059" s="2" t="s">
        <v>1461</v>
      </c>
      <c r="I5059" s="12" t="s">
        <v>1288</v>
      </c>
      <c r="J5059" s="41">
        <f>+Tabla1[[#This Row],[FECHA ENTRADA]]</f>
        <v>45664</v>
      </c>
      <c r="K5059" s="41">
        <f ca="1">TODAY()</f>
        <v>46260</v>
      </c>
      <c r="L5059" s="42">
        <f ca="1">_xlfn.DAYS(Tabla1[[#This Row],[FECHA FIN ]],Tabla1[[#This Row],[FECHA INICIO]])</f>
        <v>596</v>
      </c>
      <c r="M5059" s="12"/>
      <c r="N5059" s="20"/>
      <c r="O5059" s="28">
        <f ca="1">(Tabla1[[#This Row],[COSTO FIJO ]]/30)*Tabla1[[#This Row],[TOTAL DIAS PROYECTO]]+(Tabla1[[#This Row],[COSTO TEMPORAL]])</f>
        <v>0</v>
      </c>
      <c r="P5059" s="12"/>
      <c r="Q5059" s="12">
        <f ca="1">+(Tabla1[[#This Row],[COSTO COCHE]]/30)*Tabla1[[#This Row],[TOTAL DIAS PROYECTO]]</f>
        <v>0</v>
      </c>
      <c r="R5059" s="12">
        <f ca="1">+Tabla1[[#This Row],[COSTO TOTAL ALOJAMIENTO]]+Tabla1[[#This Row],[COSTO TOTAL COCHE]]</f>
        <v>0</v>
      </c>
      <c r="S5059" s="2"/>
      <c r="T5059" s="2" t="s">
        <v>44</v>
      </c>
      <c r="U5059" s="14">
        <v>45664</v>
      </c>
      <c r="V5059" s="43">
        <v>45672</v>
      </c>
      <c r="W5059" s="26"/>
      <c r="X5059" s="2"/>
      <c r="Y5059" s="11"/>
      <c r="Z5059" s="2" t="s">
        <v>36</v>
      </c>
      <c r="AA5059" s="13" t="s">
        <v>10401</v>
      </c>
      <c r="AB5059" s="13" t="s">
        <v>10402</v>
      </c>
    </row>
    <row r="5060" spans="1:28" ht="15" customHeight="1">
      <c r="A5060" s="2" t="s">
        <v>10214</v>
      </c>
      <c r="B5060" s="2" t="s">
        <v>978</v>
      </c>
      <c r="C5060" s="69" t="s">
        <v>7190</v>
      </c>
      <c r="D5060" s="2" t="s">
        <v>30</v>
      </c>
      <c r="E5060" s="2" t="s">
        <v>109</v>
      </c>
      <c r="F5060" s="11" t="s">
        <v>2161</v>
      </c>
      <c r="G5060" s="49" t="s">
        <v>2162</v>
      </c>
      <c r="H5060" s="2" t="s">
        <v>7191</v>
      </c>
      <c r="I5060" s="12" t="s">
        <v>4681</v>
      </c>
      <c r="J5060" s="41">
        <f>+Tabla1[[#This Row],[FECHA ENTRADA]]</f>
        <v>45951</v>
      </c>
      <c r="K5060" s="22">
        <v>46065</v>
      </c>
      <c r="L5060" s="42">
        <f>_xlfn.DAYS(Tabla1[[#This Row],[FECHA FIN ]],Tabla1[[#This Row],[FECHA INICIO]])</f>
        <v>114</v>
      </c>
      <c r="M5060" s="12"/>
      <c r="N5060" s="24">
        <v>280</v>
      </c>
      <c r="O5060" s="28">
        <f>(Tabla1[[#This Row],[COSTO FIJO ]]/30)*Tabla1[[#This Row],[TOTAL DIAS PROYECTO]]+(Tabla1[[#This Row],[COSTO TEMPORAL]])</f>
        <v>1064</v>
      </c>
      <c r="P5060" s="12"/>
      <c r="Q5060" s="12">
        <f>+(Tabla1[[#This Row],[COSTO COCHE]]/30)*Tabla1[[#This Row],[TOTAL DIAS PROYECTO]]</f>
        <v>0</v>
      </c>
      <c r="R5060" s="12">
        <f>+Tabla1[[#This Row],[COSTO TOTAL ALOJAMIENTO]]+Tabla1[[#This Row],[COSTO TOTAL COCHE]]</f>
        <v>1064</v>
      </c>
      <c r="S5060" s="2"/>
      <c r="T5060" s="14" t="s">
        <v>35</v>
      </c>
      <c r="U5060" s="14">
        <v>45951</v>
      </c>
      <c r="V5060" s="43"/>
      <c r="W5060" s="71"/>
      <c r="X5060" s="2">
        <v>10</v>
      </c>
      <c r="Y5060" s="11" t="s">
        <v>6760</v>
      </c>
      <c r="Z5060" s="2" t="s">
        <v>36</v>
      </c>
      <c r="AA5060" s="13">
        <v>0.62217999999999996</v>
      </c>
      <c r="AB5060" s="13" t="s">
        <v>10339</v>
      </c>
    </row>
    <row r="5061" spans="1:28" ht="15" customHeight="1">
      <c r="A5061" s="2" t="s">
        <v>9562</v>
      </c>
      <c r="B5061" s="2" t="s">
        <v>28</v>
      </c>
      <c r="C5061" s="11" t="s">
        <v>3652</v>
      </c>
      <c r="D5061" s="2" t="s">
        <v>30</v>
      </c>
      <c r="E5061" s="2" t="s">
        <v>225</v>
      </c>
      <c r="F5061" s="11" t="s">
        <v>226</v>
      </c>
      <c r="G5061" s="11" t="s">
        <v>227</v>
      </c>
      <c r="H5061" s="2" t="s">
        <v>2591</v>
      </c>
      <c r="I5061" s="12" t="s">
        <v>228</v>
      </c>
      <c r="J5061" s="41">
        <f>+Tabla1[[#This Row],[FECHA ENTRADA]]</f>
        <v>45827</v>
      </c>
      <c r="K5061" s="41">
        <v>45868</v>
      </c>
      <c r="L5061" s="42">
        <f>_xlfn.DAYS(Tabla1[[#This Row],[FECHA FIN ]],Tabla1[[#This Row],[FECHA INICIO]])</f>
        <v>41</v>
      </c>
      <c r="M5061" s="12"/>
      <c r="N5061" s="12"/>
      <c r="O5061" s="28">
        <f>(Tabla1[[#This Row],[COSTO FIJO ]]/30)*Tabla1[[#This Row],[TOTAL DIAS PROYECTO]]+(Tabla1[[#This Row],[COSTO TEMPORAL]])</f>
        <v>0</v>
      </c>
      <c r="P5061" s="12"/>
      <c r="Q5061" s="12">
        <f>+(Tabla1[[#This Row],[COSTO COCHE]]/30)*Tabla1[[#This Row],[TOTAL DIAS PROYECTO]]</f>
        <v>0</v>
      </c>
      <c r="R5061" s="12">
        <f>+Tabla1[[#This Row],[COSTO TOTAL ALOJAMIENTO]]+Tabla1[[#This Row],[COSTO TOTAL COCHE]]</f>
        <v>0</v>
      </c>
      <c r="S5061" s="2"/>
      <c r="T5061" s="14" t="s">
        <v>35</v>
      </c>
      <c r="U5061" s="22">
        <v>45827</v>
      </c>
      <c r="V5061" s="43"/>
      <c r="W5061" s="2"/>
      <c r="X5061" s="2"/>
      <c r="Y5061" s="11"/>
      <c r="Z5061" s="2" t="s">
        <v>36</v>
      </c>
      <c r="AA5061" s="13" t="s">
        <v>10353</v>
      </c>
      <c r="AB5061" s="13" t="s">
        <v>10354</v>
      </c>
    </row>
    <row r="5062" spans="1:28" ht="15" customHeight="1">
      <c r="A5062" s="117" t="s">
        <v>9485</v>
      </c>
      <c r="B5062" s="117" t="s">
        <v>606</v>
      </c>
      <c r="C5062" s="118" t="s">
        <v>3352</v>
      </c>
      <c r="D5062" s="117" t="s">
        <v>30</v>
      </c>
      <c r="E5062" s="117" t="s">
        <v>109</v>
      </c>
      <c r="F5062" s="11" t="s">
        <v>4434</v>
      </c>
      <c r="G5062" s="197">
        <v>973266788</v>
      </c>
      <c r="H5062" s="117" t="s">
        <v>7192</v>
      </c>
      <c r="I5062" s="119" t="s">
        <v>42</v>
      </c>
      <c r="J5062" s="121">
        <f>+Tabla1[[#This Row],[FECHA ENTRADA]]</f>
        <v>45970</v>
      </c>
      <c r="K5062" s="294">
        <v>46070</v>
      </c>
      <c r="L5062" s="129">
        <f>_xlfn.DAYS(Tabla1[[#This Row],[FECHA FIN ]],Tabla1[[#This Row],[FECHA INICIO]])</f>
        <v>100</v>
      </c>
      <c r="M5062" s="119"/>
      <c r="N5062" s="131"/>
      <c r="O5062" s="131">
        <f>(Tabla1[[#This Row],[COSTO FIJO ]]/30)*Tabla1[[#This Row],[TOTAL DIAS PROYECTO]]+(Tabla1[[#This Row],[COSTO TEMPORAL]])</f>
        <v>0</v>
      </c>
      <c r="P5062" s="119"/>
      <c r="Q5062" s="119">
        <f>+(Tabla1[[#This Row],[COSTO COCHE]]/30)*Tabla1[[#This Row],[TOTAL DIAS PROYECTO]]</f>
        <v>0</v>
      </c>
      <c r="R5062" s="119">
        <f>+Tabla1[[#This Row],[COSTO TOTAL ALOJAMIENTO]]+Tabla1[[#This Row],[COSTO TOTAL COCHE]]</f>
        <v>0</v>
      </c>
      <c r="S5062" s="117"/>
      <c r="T5062" s="124" t="s">
        <v>44</v>
      </c>
      <c r="U5062" s="124">
        <v>45970</v>
      </c>
      <c r="V5062" s="132">
        <v>46069</v>
      </c>
      <c r="W5062" s="126"/>
      <c r="X5062" s="117"/>
      <c r="Y5062" s="118" t="s">
        <v>7193</v>
      </c>
      <c r="Z5062" s="117" t="s">
        <v>36</v>
      </c>
      <c r="AA5062" s="127">
        <v>0.62217999999999996</v>
      </c>
      <c r="AB5062" s="127" t="s">
        <v>10339</v>
      </c>
    </row>
    <row r="5063" spans="1:28" ht="15" customHeight="1">
      <c r="A5063" s="2" t="s">
        <v>10215</v>
      </c>
      <c r="B5063" s="2" t="s">
        <v>28</v>
      </c>
      <c r="C5063" s="252" t="s">
        <v>7194</v>
      </c>
      <c r="D5063" s="2" t="s">
        <v>749</v>
      </c>
      <c r="E5063" s="2" t="s">
        <v>288</v>
      </c>
      <c r="F5063" s="11" t="s">
        <v>4873</v>
      </c>
      <c r="G5063" s="21" t="s">
        <v>4752</v>
      </c>
      <c r="H5063" s="2" t="s">
        <v>6881</v>
      </c>
      <c r="I5063" s="12" t="s">
        <v>753</v>
      </c>
      <c r="J5063" s="22">
        <f>+Tabla1[[#This Row],[FECHA ENTRADA]]</f>
        <v>45977</v>
      </c>
      <c r="K5063" s="22">
        <v>46022</v>
      </c>
      <c r="L5063" s="23">
        <f>_xlfn.DAYS(Tabla1[[#This Row],[FECHA FIN ]],Tabla1[[#This Row],[FECHA INICIO]])</f>
        <v>45</v>
      </c>
      <c r="M5063" s="12">
        <v>500</v>
      </c>
      <c r="N5063" s="20"/>
      <c r="O5063" s="24">
        <f>(Tabla1[[#This Row],[COSTO FIJO ]]/30)*Tabla1[[#This Row],[TOTAL DIAS PROYECTO]]+(Tabla1[[#This Row],[COSTO TEMPORAL]])</f>
        <v>500</v>
      </c>
      <c r="P5063" s="12"/>
      <c r="Q5063" s="12">
        <f>+(Tabla1[[#This Row],[COSTO COCHE]]/30)*Tabla1[[#This Row],[TOTAL DIAS PROYECTO]]</f>
        <v>0</v>
      </c>
      <c r="R5063" s="12">
        <f>+Tabla1[[#This Row],[COSTO TOTAL ALOJAMIENTO]]+Tabla1[[#This Row],[COSTO TOTAL COCHE]]</f>
        <v>500</v>
      </c>
      <c r="S5063" s="2"/>
      <c r="T5063" s="14" t="s">
        <v>44</v>
      </c>
      <c r="U5063" s="14">
        <v>45977</v>
      </c>
      <c r="V5063" s="25">
        <v>46023</v>
      </c>
      <c r="W5063" s="71"/>
      <c r="X5063" s="2"/>
      <c r="Y5063" s="11" t="s">
        <v>6955</v>
      </c>
      <c r="Z5063" s="2" t="s">
        <v>36</v>
      </c>
      <c r="AA5063" s="13" t="s">
        <v>10362</v>
      </c>
      <c r="AB5063" s="13" t="s">
        <v>10363</v>
      </c>
    </row>
    <row r="5064" spans="1:28" ht="15" customHeight="1">
      <c r="A5064" s="2" t="s">
        <v>8887</v>
      </c>
      <c r="B5064" s="2" t="s">
        <v>28</v>
      </c>
      <c r="C5064" s="223" t="s">
        <v>1169</v>
      </c>
      <c r="D5064" s="2" t="s">
        <v>30</v>
      </c>
      <c r="E5064" s="2" t="s">
        <v>599</v>
      </c>
      <c r="F5064" s="11" t="s">
        <v>1394</v>
      </c>
      <c r="G5064" s="11" t="s">
        <v>601</v>
      </c>
      <c r="H5064" s="2" t="s">
        <v>1396</v>
      </c>
      <c r="I5064" s="12" t="s">
        <v>1067</v>
      </c>
      <c r="J5064" s="41">
        <f>+Tabla1[[#This Row],[FECHA ENTRADA]]</f>
        <v>45671</v>
      </c>
      <c r="K5064" s="8">
        <f ca="1">TODAY()</f>
        <v>46260</v>
      </c>
      <c r="L5064" s="42">
        <f ca="1">_xlfn.DAYS(Tabla1[[#This Row],[FECHA FIN ]],Tabla1[[#This Row],[FECHA INICIO]])</f>
        <v>589</v>
      </c>
      <c r="M5064" s="28"/>
      <c r="N5064" s="20"/>
      <c r="O5064" s="28">
        <f ca="1">(Tabla1[[#This Row],[COSTO FIJO ]]/30)*Tabla1[[#This Row],[TOTAL DIAS PROYECTO]]+(Tabla1[[#This Row],[COSTO TEMPORAL]])</f>
        <v>0</v>
      </c>
      <c r="P5064" s="12"/>
      <c r="Q5064" s="12">
        <f ca="1">+(Tabla1[[#This Row],[COSTO COCHE]]/30)*Tabla1[[#This Row],[TOTAL DIAS PROYECTO]]</f>
        <v>0</v>
      </c>
      <c r="R5064" s="12">
        <f ca="1">+Tabla1[[#This Row],[COSTO TOTAL ALOJAMIENTO]]+Tabla1[[#This Row],[COSTO TOTAL COCHE]]</f>
        <v>0</v>
      </c>
      <c r="S5064" s="2"/>
      <c r="T5064" s="2" t="s">
        <v>44</v>
      </c>
      <c r="U5064" s="14">
        <v>45671</v>
      </c>
      <c r="V5064" s="43">
        <v>45677</v>
      </c>
      <c r="W5064" s="26"/>
      <c r="X5064" s="2"/>
      <c r="Y5064" s="11" t="s">
        <v>1166</v>
      </c>
      <c r="Z5064" s="2" t="s">
        <v>36</v>
      </c>
      <c r="AA5064" s="13" t="s">
        <v>10382</v>
      </c>
      <c r="AB5064" s="13">
        <v>4038884</v>
      </c>
    </row>
    <row r="5065" spans="1:28" ht="15" customHeight="1">
      <c r="A5065" s="2" t="s">
        <v>9036</v>
      </c>
      <c r="B5065" s="2" t="s">
        <v>28</v>
      </c>
      <c r="C5065" s="252" t="s">
        <v>1765</v>
      </c>
      <c r="D5065" s="2" t="s">
        <v>749</v>
      </c>
      <c r="E5065" s="2" t="s">
        <v>288</v>
      </c>
      <c r="F5065" s="11" t="s">
        <v>4873</v>
      </c>
      <c r="G5065" s="21" t="s">
        <v>4752</v>
      </c>
      <c r="H5065" s="2" t="s">
        <v>6881</v>
      </c>
      <c r="I5065" s="12" t="s">
        <v>753</v>
      </c>
      <c r="J5065" s="22">
        <f>+Tabla1[[#This Row],[FECHA ENTRADA]]</f>
        <v>45977</v>
      </c>
      <c r="K5065" s="22">
        <v>46022</v>
      </c>
      <c r="L5065" s="23">
        <f>_xlfn.DAYS(Tabla1[[#This Row],[FECHA FIN ]],Tabla1[[#This Row],[FECHA INICIO]])</f>
        <v>45</v>
      </c>
      <c r="M5065" s="12">
        <v>500</v>
      </c>
      <c r="N5065" s="20"/>
      <c r="O5065" s="24">
        <f>(Tabla1[[#This Row],[COSTO FIJO ]]/30)*Tabla1[[#This Row],[TOTAL DIAS PROYECTO]]+(Tabla1[[#This Row],[COSTO TEMPORAL]])</f>
        <v>500</v>
      </c>
      <c r="P5065" s="12"/>
      <c r="Q5065" s="12">
        <f>+(Tabla1[[#This Row],[COSTO COCHE]]/30)*Tabla1[[#This Row],[TOTAL DIAS PROYECTO]]</f>
        <v>0</v>
      </c>
      <c r="R5065" s="12">
        <f>+Tabla1[[#This Row],[COSTO TOTAL ALOJAMIENTO]]+Tabla1[[#This Row],[COSTO TOTAL COCHE]]</f>
        <v>500</v>
      </c>
      <c r="S5065" s="2"/>
      <c r="T5065" s="14" t="s">
        <v>44</v>
      </c>
      <c r="U5065" s="14">
        <v>45977</v>
      </c>
      <c r="V5065" s="25">
        <v>46023</v>
      </c>
      <c r="W5065" s="71"/>
      <c r="X5065" s="2"/>
      <c r="Y5065" s="11" t="s">
        <v>6955</v>
      </c>
      <c r="Z5065" s="2" t="s">
        <v>36</v>
      </c>
      <c r="AA5065" s="13" t="s">
        <v>10362</v>
      </c>
      <c r="AB5065" s="13" t="s">
        <v>10363</v>
      </c>
    </row>
    <row r="5066" spans="1:28" ht="15" customHeight="1">
      <c r="A5066" s="2" t="s">
        <v>9891</v>
      </c>
      <c r="B5066" s="2" t="s">
        <v>28</v>
      </c>
      <c r="C5066" s="252" t="s">
        <v>5232</v>
      </c>
      <c r="D5066" s="2" t="s">
        <v>749</v>
      </c>
      <c r="E5066" s="2" t="s">
        <v>288</v>
      </c>
      <c r="F5066" s="11" t="s">
        <v>4873</v>
      </c>
      <c r="G5066" s="21" t="s">
        <v>4752</v>
      </c>
      <c r="H5066" s="2" t="s">
        <v>7195</v>
      </c>
      <c r="I5066" s="12" t="s">
        <v>753</v>
      </c>
      <c r="J5066" s="22">
        <f>+Tabla1[[#This Row],[FECHA ENTRADA]]</f>
        <v>45983</v>
      </c>
      <c r="K5066" s="22">
        <v>46022</v>
      </c>
      <c r="L5066" s="23">
        <f>_xlfn.DAYS(Tabla1[[#This Row],[FECHA FIN ]],Tabla1[[#This Row],[FECHA INICIO]])</f>
        <v>39</v>
      </c>
      <c r="M5066" s="12">
        <v>500</v>
      </c>
      <c r="N5066" s="20"/>
      <c r="O5066" s="24">
        <f>(Tabla1[[#This Row],[COSTO FIJO ]]/30)*Tabla1[[#This Row],[TOTAL DIAS PROYECTO]]+(Tabla1[[#This Row],[COSTO TEMPORAL]])</f>
        <v>500</v>
      </c>
      <c r="P5066" s="12"/>
      <c r="Q5066" s="12">
        <f>+(Tabla1[[#This Row],[COSTO COCHE]]/30)*Tabla1[[#This Row],[TOTAL DIAS PROYECTO]]</f>
        <v>0</v>
      </c>
      <c r="R5066" s="12">
        <f>+Tabla1[[#This Row],[COSTO TOTAL ALOJAMIENTO]]+Tabla1[[#This Row],[COSTO TOTAL COCHE]]</f>
        <v>500</v>
      </c>
      <c r="S5066" s="2"/>
      <c r="T5066" s="14" t="s">
        <v>44</v>
      </c>
      <c r="U5066" s="14">
        <v>45983</v>
      </c>
      <c r="V5066" s="25">
        <v>46023</v>
      </c>
      <c r="W5066" s="71"/>
      <c r="X5066" s="2"/>
      <c r="Y5066" s="11" t="s">
        <v>7196</v>
      </c>
      <c r="Z5066" s="2" t="s">
        <v>36</v>
      </c>
      <c r="AA5066" s="13" t="s">
        <v>10362</v>
      </c>
      <c r="AB5066" s="13" t="s">
        <v>10363</v>
      </c>
    </row>
    <row r="5067" spans="1:28" ht="15" customHeight="1">
      <c r="A5067" s="2" t="s">
        <v>10216</v>
      </c>
      <c r="B5067" s="2" t="s">
        <v>28</v>
      </c>
      <c r="C5067" s="31" t="s">
        <v>7197</v>
      </c>
      <c r="D5067" s="2" t="s">
        <v>30</v>
      </c>
      <c r="E5067" s="2" t="s">
        <v>31</v>
      </c>
      <c r="F5067" s="11" t="s">
        <v>530</v>
      </c>
      <c r="G5067" s="49" t="s">
        <v>531</v>
      </c>
      <c r="H5067" s="2" t="s">
        <v>6691</v>
      </c>
      <c r="I5067" s="12" t="s">
        <v>1480</v>
      </c>
      <c r="J5067" s="41">
        <f>+Tabla1[[#This Row],[FECHA ENTRADA]]</f>
        <v>45712</v>
      </c>
      <c r="K5067" s="8">
        <f ca="1">TODAY()</f>
        <v>46260</v>
      </c>
      <c r="L5067" s="23">
        <f ca="1">_xlfn.DAYS(Tabla1[[#This Row],[FECHA FIN ]],Tabla1[[#This Row],[FECHA INICIO]])</f>
        <v>548</v>
      </c>
      <c r="M5067" s="12"/>
      <c r="N5067" s="12">
        <v>214.28571428571428</v>
      </c>
      <c r="O5067" s="28">
        <f ca="1">(Tabla1[[#This Row],[COSTO FIJO ]]/30)*Tabla1[[#This Row],[TOTAL DIAS PROYECTO]]+(Tabla1[[#This Row],[COSTO TEMPORAL]])</f>
        <v>3914.2857142857142</v>
      </c>
      <c r="P5067" s="12">
        <v>200</v>
      </c>
      <c r="Q5067" s="12">
        <f ca="1">+(Tabla1[[#This Row],[COSTO COCHE]]/30)*Tabla1[[#This Row],[TOTAL DIAS PROYECTO]]</f>
        <v>3653.3333333333335</v>
      </c>
      <c r="R5067" s="12">
        <f ca="1">+Tabla1[[#This Row],[COSTO TOTAL ALOJAMIENTO]]+Tabla1[[#This Row],[COSTO TOTAL COCHE]]</f>
        <v>7567.6190476190477</v>
      </c>
      <c r="S5067" s="2"/>
      <c r="T5067" s="2" t="s">
        <v>35</v>
      </c>
      <c r="U5067" s="14">
        <v>45712</v>
      </c>
      <c r="V5067" s="43"/>
      <c r="W5067" s="26"/>
      <c r="X5067" s="2">
        <v>1</v>
      </c>
      <c r="Y5067" s="11" t="s">
        <v>7198</v>
      </c>
      <c r="Z5067" s="2" t="s">
        <v>36</v>
      </c>
      <c r="AA5067" s="13" t="s">
        <v>10323</v>
      </c>
      <c r="AB5067" s="13" t="s">
        <v>10324</v>
      </c>
    </row>
    <row r="5068" spans="1:28" ht="15" customHeight="1">
      <c r="A5068" s="2" t="s">
        <v>10197</v>
      </c>
      <c r="B5068" s="2" t="s">
        <v>28</v>
      </c>
      <c r="C5068" s="11" t="s">
        <v>7070</v>
      </c>
      <c r="D5068" s="2" t="s">
        <v>30</v>
      </c>
      <c r="E5068" s="2" t="s">
        <v>92</v>
      </c>
      <c r="F5068" s="11"/>
      <c r="G5068" s="49"/>
      <c r="H5068" s="2" t="s">
        <v>5506</v>
      </c>
      <c r="I5068" s="12" t="s">
        <v>96</v>
      </c>
      <c r="J5068" s="22">
        <f>+Tabla1[[#This Row],[FECHA ENTRADA]]</f>
        <v>45664</v>
      </c>
      <c r="K5068" s="22">
        <v>45821</v>
      </c>
      <c r="L5068" s="23">
        <f>_xlfn.DAYS(Tabla1[[#This Row],[FECHA FIN ]],Tabla1[[#This Row],[FECHA INICIO]])</f>
        <v>157</v>
      </c>
      <c r="M5068" s="12"/>
      <c r="N5068" s="12">
        <v>300</v>
      </c>
      <c r="O5068" s="24">
        <f>(Tabla1[[#This Row],[COSTO FIJO ]]/30)*Tabla1[[#This Row],[TOTAL DIAS PROYECTO]]+(Tabla1[[#This Row],[COSTO TEMPORAL]])</f>
        <v>1570</v>
      </c>
      <c r="P5068" s="12"/>
      <c r="Q5068" s="12">
        <f>+(Tabla1[[#This Row],[COSTO COCHE]]/30)*Tabla1[[#This Row],[TOTAL DIAS PROYECTO]]</f>
        <v>0</v>
      </c>
      <c r="R5068" s="12">
        <f>+Tabla1[[#This Row],[COSTO TOTAL ALOJAMIENTO]]+Tabla1[[#This Row],[COSTO TOTAL COCHE]]</f>
        <v>1570</v>
      </c>
      <c r="S5068" s="2"/>
      <c r="T5068" s="2" t="s">
        <v>58</v>
      </c>
      <c r="U5068" s="14">
        <v>45664</v>
      </c>
      <c r="V5068" s="25"/>
      <c r="W5068" s="26"/>
      <c r="X5068" s="2"/>
      <c r="Y5068" s="11" t="s">
        <v>7199</v>
      </c>
      <c r="Z5068" s="2" t="s">
        <v>36</v>
      </c>
      <c r="AA5068" s="13" t="s">
        <v>10336</v>
      </c>
      <c r="AB5068" s="13" t="s">
        <v>10337</v>
      </c>
    </row>
    <row r="5069" spans="1:28" ht="15" customHeight="1">
      <c r="A5069" s="2" t="s">
        <v>8642</v>
      </c>
      <c r="B5069" s="2" t="s">
        <v>711</v>
      </c>
      <c r="C5069" s="31" t="s">
        <v>7200</v>
      </c>
      <c r="D5069" s="2" t="s">
        <v>30</v>
      </c>
      <c r="E5069" s="2" t="s">
        <v>127</v>
      </c>
      <c r="F5069" s="11" t="s">
        <v>5013</v>
      </c>
      <c r="G5069" s="46"/>
      <c r="H5069" s="2" t="s">
        <v>5014</v>
      </c>
      <c r="I5069" s="12" t="s">
        <v>96</v>
      </c>
      <c r="J5069" s="41">
        <f>+Tabla1[[#This Row],[FECHA ENTRADA]]</f>
        <v>46173</v>
      </c>
      <c r="K5069" s="22">
        <v>46174</v>
      </c>
      <c r="L5069" s="42">
        <f>_xlfn.DAYS(Tabla1[[#This Row],[FECHA FIN ]],Tabla1[[#This Row],[FECHA INICIO]])</f>
        <v>1</v>
      </c>
      <c r="M5069" s="12"/>
      <c r="N5069" s="28">
        <v>0</v>
      </c>
      <c r="O5069" s="28">
        <f>(Tabla1[[#This Row],[COSTO FIJO ]]/30)*Tabla1[[#This Row],[TOTAL DIAS PROYECTO]]+(Tabla1[[#This Row],[COSTO TEMPORAL]])</f>
        <v>0</v>
      </c>
      <c r="P5069" s="12"/>
      <c r="Q5069" s="12">
        <f>+(Tabla1[[#This Row],[COSTO COCHE]]/30)*Tabla1[[#This Row],[TOTAL DIAS PROYECTO]]</f>
        <v>0</v>
      </c>
      <c r="R5069" s="12">
        <f>+Tabla1[[#This Row],[COSTO TOTAL ALOJAMIENTO]]+Tabla1[[#This Row],[COSTO TOTAL COCHE]]</f>
        <v>0</v>
      </c>
      <c r="S5069" s="2"/>
      <c r="T5069" s="14" t="s">
        <v>35</v>
      </c>
      <c r="U5069" s="14">
        <v>46173</v>
      </c>
      <c r="V5069" s="43"/>
      <c r="W5069" s="12"/>
      <c r="X5069" s="2"/>
      <c r="Y5069" s="11" t="s">
        <v>5015</v>
      </c>
      <c r="Z5069" s="2" t="s">
        <v>36</v>
      </c>
      <c r="AA5069" s="13" t="s">
        <v>10342</v>
      </c>
      <c r="AB5069" s="13" t="s">
        <v>10343</v>
      </c>
    </row>
    <row r="5070" spans="1:28" ht="15" customHeight="1">
      <c r="A5070" s="2" t="s">
        <v>8982</v>
      </c>
      <c r="B5070" s="2" t="s">
        <v>28</v>
      </c>
      <c r="C5070" s="11" t="s">
        <v>1587</v>
      </c>
      <c r="D5070" s="2" t="s">
        <v>99</v>
      </c>
      <c r="E5070" s="2" t="s">
        <v>253</v>
      </c>
      <c r="F5070" s="11" t="s">
        <v>1646</v>
      </c>
      <c r="G5070" s="49" t="s">
        <v>1647</v>
      </c>
      <c r="H5070" s="2" t="s">
        <v>1648</v>
      </c>
      <c r="I5070" s="12" t="s">
        <v>256</v>
      </c>
      <c r="J5070" s="22">
        <f>+Tabla1[[#This Row],[FECHA ENTRADA]]</f>
        <v>45706</v>
      </c>
      <c r="K5070" s="22">
        <f ca="1">TODAY()</f>
        <v>46260</v>
      </c>
      <c r="L5070" s="23">
        <f ca="1">_xlfn.DAYS(Tabla1[[#This Row],[FECHA FIN ]],Tabla1[[#This Row],[FECHA INICIO]])</f>
        <v>554</v>
      </c>
      <c r="M5070" s="12"/>
      <c r="N5070" s="12">
        <v>94.5</v>
      </c>
      <c r="O5070" s="24">
        <f ca="1">(Tabla1[[#This Row],[COSTO FIJO ]]/30)*Tabla1[[#This Row],[TOTAL DIAS PROYECTO]]+(Tabla1[[#This Row],[COSTO TEMPORAL]])</f>
        <v>1745.1</v>
      </c>
      <c r="P5070" s="12"/>
      <c r="Q5070" s="12">
        <f ca="1">+(Tabla1[[#This Row],[COSTO COCHE]]/30)*Tabla1[[#This Row],[TOTAL DIAS PROYECTO]]</f>
        <v>0</v>
      </c>
      <c r="R5070" s="12">
        <f ca="1">+Tabla1[[#This Row],[COSTO TOTAL ALOJAMIENTO]]+Tabla1[[#This Row],[COSTO TOTAL COCHE]]</f>
        <v>1745.1</v>
      </c>
      <c r="S5070" s="2"/>
      <c r="T5070" s="2" t="s">
        <v>44</v>
      </c>
      <c r="U5070" s="14">
        <v>45706</v>
      </c>
      <c r="V5070" s="25">
        <v>45710</v>
      </c>
      <c r="W5070" s="26"/>
      <c r="X5070" s="2"/>
      <c r="Y5070" s="11" t="s">
        <v>1120</v>
      </c>
      <c r="Z5070" s="2" t="s">
        <v>36</v>
      </c>
      <c r="AA5070" s="13" t="s">
        <v>10357</v>
      </c>
      <c r="AB5070" s="13" t="s">
        <v>10358</v>
      </c>
    </row>
    <row r="5071" spans="1:28" ht="15" customHeight="1">
      <c r="A5071" s="2" t="s">
        <v>8985</v>
      </c>
      <c r="B5071" s="2" t="s">
        <v>28</v>
      </c>
      <c r="C5071" s="11" t="s">
        <v>1595</v>
      </c>
      <c r="D5071" s="2" t="s">
        <v>99</v>
      </c>
      <c r="E5071" s="2" t="s">
        <v>253</v>
      </c>
      <c r="F5071" s="11" t="s">
        <v>1646</v>
      </c>
      <c r="G5071" s="21" t="s">
        <v>1647</v>
      </c>
      <c r="H5071" s="2" t="s">
        <v>1648</v>
      </c>
      <c r="I5071" s="12" t="s">
        <v>256</v>
      </c>
      <c r="J5071" s="22">
        <f>+Tabla1[[#This Row],[FECHA ENTRADA]]</f>
        <v>45712</v>
      </c>
      <c r="K5071" s="22">
        <f ca="1">TODAY()</f>
        <v>46260</v>
      </c>
      <c r="L5071" s="23">
        <f ca="1">_xlfn.DAYS(Tabla1[[#This Row],[FECHA FIN ]],Tabla1[[#This Row],[FECHA INICIO]])</f>
        <v>548</v>
      </c>
      <c r="M5071" s="12">
        <v>94.5</v>
      </c>
      <c r="N5071" s="20"/>
      <c r="O5071" s="24">
        <f ca="1">(Tabla1[[#This Row],[COSTO FIJO ]]/30)*Tabla1[[#This Row],[TOTAL DIAS PROYECTO]]+(Tabla1[[#This Row],[COSTO TEMPORAL]])</f>
        <v>94.5</v>
      </c>
      <c r="P5071" s="12"/>
      <c r="Q5071" s="12">
        <f ca="1">+(Tabla1[[#This Row],[COSTO COCHE]]/30)*Tabla1[[#This Row],[TOTAL DIAS PROYECTO]]</f>
        <v>0</v>
      </c>
      <c r="R5071" s="12">
        <f ca="1">+Tabla1[[#This Row],[COSTO TOTAL ALOJAMIENTO]]+Tabla1[[#This Row],[COSTO TOTAL COCHE]]</f>
        <v>94.5</v>
      </c>
      <c r="S5071" s="2"/>
      <c r="T5071" s="2" t="s">
        <v>44</v>
      </c>
      <c r="U5071" s="14">
        <v>45712</v>
      </c>
      <c r="V5071" s="79">
        <v>45714</v>
      </c>
      <c r="W5071" s="26"/>
      <c r="X5071" s="2"/>
      <c r="Y5071" s="11"/>
      <c r="Z5071" s="2" t="s">
        <v>36</v>
      </c>
      <c r="AA5071" s="13" t="s">
        <v>10357</v>
      </c>
      <c r="AB5071" s="13" t="s">
        <v>10358</v>
      </c>
    </row>
    <row r="5072" spans="1:28" ht="15" customHeight="1">
      <c r="A5072" s="2" t="s">
        <v>9617</v>
      </c>
      <c r="B5072" s="2" t="s">
        <v>28</v>
      </c>
      <c r="C5072" s="18" t="s">
        <v>3888</v>
      </c>
      <c r="D5072" s="2" t="s">
        <v>30</v>
      </c>
      <c r="E5072" s="2" t="s">
        <v>92</v>
      </c>
      <c r="F5072" s="11" t="s">
        <v>5957</v>
      </c>
      <c r="G5072" s="11" t="s">
        <v>94</v>
      </c>
      <c r="H5072" s="2" t="s">
        <v>3082</v>
      </c>
      <c r="I5072" s="12" t="s">
        <v>96</v>
      </c>
      <c r="J5072" s="8">
        <f>+Tabla1[[#This Row],[FECHA ENTRADA]]</f>
        <v>45354</v>
      </c>
      <c r="K5072" s="22">
        <v>45821</v>
      </c>
      <c r="L5072" s="13">
        <f>_xlfn.DAYS(Tabla1[[#This Row],[FECHA FIN ]],Tabla1[[#This Row],[FECHA INICIO]])</f>
        <v>467</v>
      </c>
      <c r="M5072" s="12"/>
      <c r="N5072" s="12">
        <f>1811.6/17</f>
        <v>106.56470588235294</v>
      </c>
      <c r="O5072" s="12">
        <f>(Tabla1[[#This Row],[COSTO FIJO ]]/30)*Tabla1[[#This Row],[TOTAL DIAS PROYECTO]]+(Tabla1[[#This Row],[COSTO TEMPORAL]])</f>
        <v>1658.8572549019609</v>
      </c>
      <c r="P5072" s="12"/>
      <c r="Q5072" s="12">
        <f>+(Tabla1[[#This Row],[COSTO COCHE]]/30)*Tabla1[[#This Row],[TOTAL DIAS PROYECTO]]</f>
        <v>0</v>
      </c>
      <c r="R5072" s="12">
        <f>+Tabla1[[#This Row],[COSTO TOTAL ALOJAMIENTO]]+Tabla1[[#This Row],[COSTO TOTAL COCHE]]</f>
        <v>1658.8572549019609</v>
      </c>
      <c r="S5072" s="2"/>
      <c r="T5072" s="2" t="s">
        <v>44</v>
      </c>
      <c r="U5072" s="14">
        <v>45354</v>
      </c>
      <c r="V5072" s="14"/>
      <c r="W5072" s="15"/>
      <c r="X5072" s="16">
        <v>27</v>
      </c>
      <c r="Y5072" s="31" t="s">
        <v>7201</v>
      </c>
      <c r="Z5072" s="2" t="s">
        <v>36</v>
      </c>
      <c r="AA5072" s="13" t="s">
        <v>10336</v>
      </c>
      <c r="AB5072" s="13" t="s">
        <v>10337</v>
      </c>
    </row>
    <row r="5073" spans="1:28" ht="15" customHeight="1">
      <c r="A5073" s="2" t="s">
        <v>8985</v>
      </c>
      <c r="B5073" s="2" t="s">
        <v>28</v>
      </c>
      <c r="C5073" s="11" t="s">
        <v>1595</v>
      </c>
      <c r="D5073" s="2" t="s">
        <v>99</v>
      </c>
      <c r="E5073" s="2" t="s">
        <v>253</v>
      </c>
      <c r="F5073" s="11" t="s">
        <v>771</v>
      </c>
      <c r="G5073" s="11" t="s">
        <v>772</v>
      </c>
      <c r="H5073" s="2" t="s">
        <v>1648</v>
      </c>
      <c r="I5073" s="12" t="s">
        <v>256</v>
      </c>
      <c r="J5073" s="22">
        <f>+Tabla1[[#This Row],[FECHA ENTRADA]]</f>
        <v>45717</v>
      </c>
      <c r="K5073" s="22">
        <f ca="1">TODAY()</f>
        <v>46260</v>
      </c>
      <c r="L5073" s="23">
        <f ca="1">_xlfn.DAYS(Tabla1[[#This Row],[FECHA FIN ]],Tabla1[[#This Row],[FECHA INICIO]])</f>
        <v>543</v>
      </c>
      <c r="M5073" s="12"/>
      <c r="N5073" s="12">
        <v>105</v>
      </c>
      <c r="O5073" s="24">
        <f ca="1">(Tabla1[[#This Row],[COSTO FIJO ]]/30)*Tabla1[[#This Row],[TOTAL DIAS PROYECTO]]+(Tabla1[[#This Row],[COSTO TEMPORAL]])</f>
        <v>1900.5</v>
      </c>
      <c r="P5073" s="12"/>
      <c r="Q5073" s="12">
        <f ca="1">+(Tabla1[[#This Row],[COSTO COCHE]]/30)*Tabla1[[#This Row],[TOTAL DIAS PROYECTO]]</f>
        <v>0</v>
      </c>
      <c r="R5073" s="12">
        <f ca="1">+Tabla1[[#This Row],[COSTO TOTAL ALOJAMIENTO]]+Tabla1[[#This Row],[COSTO TOTAL COCHE]]</f>
        <v>1900.5</v>
      </c>
      <c r="S5073" s="2"/>
      <c r="T5073" s="2" t="s">
        <v>44</v>
      </c>
      <c r="U5073" s="14">
        <v>45717</v>
      </c>
      <c r="V5073" s="79">
        <v>45719</v>
      </c>
      <c r="W5073" s="26"/>
      <c r="X5073" s="2"/>
      <c r="Y5073" s="11" t="s">
        <v>1120</v>
      </c>
      <c r="Z5073" s="2" t="s">
        <v>36</v>
      </c>
      <c r="AA5073" s="13" t="s">
        <v>10357</v>
      </c>
      <c r="AB5073" s="13" t="s">
        <v>10358</v>
      </c>
    </row>
    <row r="5074" spans="1:28" ht="15" customHeight="1">
      <c r="A5074" s="2" t="s">
        <v>9174</v>
      </c>
      <c r="B5074" s="2" t="s">
        <v>28</v>
      </c>
      <c r="C5074" s="11" t="s">
        <v>2319</v>
      </c>
      <c r="D5074" s="2" t="s">
        <v>99</v>
      </c>
      <c r="E5074" s="2" t="s">
        <v>415</v>
      </c>
      <c r="F5074" s="11" t="s">
        <v>3210</v>
      </c>
      <c r="G5074" s="21">
        <v>34626811021</v>
      </c>
      <c r="H5074" s="2" t="s">
        <v>2796</v>
      </c>
      <c r="I5074" s="12" t="s">
        <v>2321</v>
      </c>
      <c r="J5074" s="22">
        <f>+Tabla1[[#This Row],[FECHA ENTRADA]]</f>
        <v>45714</v>
      </c>
      <c r="K5074" s="22">
        <f ca="1">TODAY()</f>
        <v>46260</v>
      </c>
      <c r="L5074" s="23">
        <f ca="1">_xlfn.DAYS(Tabla1[[#This Row],[FECHA FIN ]],Tabla1[[#This Row],[FECHA INICIO]])</f>
        <v>546</v>
      </c>
      <c r="M5074" s="12">
        <v>150</v>
      </c>
      <c r="N5074" s="20"/>
      <c r="O5074" s="24">
        <f ca="1">(Tabla1[[#This Row],[COSTO FIJO ]]/30)*Tabla1[[#This Row],[TOTAL DIAS PROYECTO]]+(Tabla1[[#This Row],[COSTO TEMPORAL]])</f>
        <v>150</v>
      </c>
      <c r="P5074" s="12">
        <f>542.69/4</f>
        <v>135.67250000000001</v>
      </c>
      <c r="Q5074" s="12">
        <f ca="1">+(Tabla1[[#This Row],[COSTO COCHE]]/30)*Tabla1[[#This Row],[TOTAL DIAS PROYECTO]]</f>
        <v>2469.2395000000006</v>
      </c>
      <c r="R5074" s="12">
        <f ca="1">+Tabla1[[#This Row],[COSTO TOTAL ALOJAMIENTO]]+Tabla1[[#This Row],[COSTO TOTAL COCHE]]</f>
        <v>2619.2395000000006</v>
      </c>
      <c r="S5074" s="2"/>
      <c r="T5074" s="2" t="s">
        <v>44</v>
      </c>
      <c r="U5074" s="14">
        <v>45714</v>
      </c>
      <c r="V5074" s="79">
        <v>45720</v>
      </c>
      <c r="W5074" s="26"/>
      <c r="X5074" s="2"/>
      <c r="Y5074" s="11"/>
      <c r="Z5074" s="2" t="s">
        <v>36</v>
      </c>
      <c r="AA5074" s="13">
        <v>-0.37739</v>
      </c>
      <c r="AB5074" s="13" t="s">
        <v>10372</v>
      </c>
    </row>
    <row r="5075" spans="1:28" ht="15" customHeight="1">
      <c r="A5075" s="2" t="s">
        <v>9406</v>
      </c>
      <c r="B5075" s="2" t="s">
        <v>28</v>
      </c>
      <c r="C5075" s="11" t="s">
        <v>3075</v>
      </c>
      <c r="D5075" s="2" t="s">
        <v>99</v>
      </c>
      <c r="E5075" s="2" t="s">
        <v>415</v>
      </c>
      <c r="F5075" s="11" t="s">
        <v>3210</v>
      </c>
      <c r="G5075" s="21">
        <v>34626811021</v>
      </c>
      <c r="H5075" s="2" t="s">
        <v>2796</v>
      </c>
      <c r="I5075" s="12" t="s">
        <v>2321</v>
      </c>
      <c r="J5075" s="22">
        <f>+Tabla1[[#This Row],[FECHA ENTRADA]]</f>
        <v>45714</v>
      </c>
      <c r="K5075" s="22">
        <f ca="1">TODAY()</f>
        <v>46260</v>
      </c>
      <c r="L5075" s="23">
        <f ca="1">_xlfn.DAYS(Tabla1[[#This Row],[FECHA FIN ]],Tabla1[[#This Row],[FECHA INICIO]])</f>
        <v>546</v>
      </c>
      <c r="M5075" s="12">
        <v>150</v>
      </c>
      <c r="N5075" s="20"/>
      <c r="O5075" s="24">
        <f ca="1">(Tabla1[[#This Row],[COSTO FIJO ]]/30)*Tabla1[[#This Row],[TOTAL DIAS PROYECTO]]+(Tabla1[[#This Row],[COSTO TEMPORAL]])</f>
        <v>150</v>
      </c>
      <c r="P5075" s="12">
        <f>542.69/4</f>
        <v>135.67250000000001</v>
      </c>
      <c r="Q5075" s="12">
        <f ca="1">+(Tabla1[[#This Row],[COSTO COCHE]]/30)*Tabla1[[#This Row],[TOTAL DIAS PROYECTO]]</f>
        <v>2469.2395000000006</v>
      </c>
      <c r="R5075" s="12">
        <f ca="1">+Tabla1[[#This Row],[COSTO TOTAL ALOJAMIENTO]]+Tabla1[[#This Row],[COSTO TOTAL COCHE]]</f>
        <v>2619.2395000000006</v>
      </c>
      <c r="S5075" s="2"/>
      <c r="T5075" s="2" t="s">
        <v>44</v>
      </c>
      <c r="U5075" s="14">
        <v>45714</v>
      </c>
      <c r="V5075" s="79">
        <v>45720</v>
      </c>
      <c r="W5075" s="26"/>
      <c r="X5075" s="2"/>
      <c r="Y5075" s="11"/>
      <c r="Z5075" s="2" t="s">
        <v>36</v>
      </c>
      <c r="AA5075" s="13">
        <v>-0.37739</v>
      </c>
      <c r="AB5075" s="13" t="s">
        <v>10372</v>
      </c>
    </row>
    <row r="5076" spans="1:28" ht="15" customHeight="1">
      <c r="A5076" s="2" t="s">
        <v>8692</v>
      </c>
      <c r="B5076" s="2" t="s">
        <v>368</v>
      </c>
      <c r="C5076" s="104" t="s">
        <v>309</v>
      </c>
      <c r="D5076" s="2" t="s">
        <v>30</v>
      </c>
      <c r="E5076" s="2" t="s">
        <v>1987</v>
      </c>
      <c r="F5076" s="11" t="s">
        <v>3227</v>
      </c>
      <c r="G5076" s="49">
        <v>974470654</v>
      </c>
      <c r="H5076" s="2" t="s">
        <v>1990</v>
      </c>
      <c r="I5076" s="12" t="s">
        <v>42</v>
      </c>
      <c r="J5076" s="22">
        <f>+Tabla1[[#This Row],[FECHA ENTRADA]]</f>
        <v>45726</v>
      </c>
      <c r="K5076" s="22">
        <f ca="1">TODAY()</f>
        <v>46260</v>
      </c>
      <c r="L5076" s="23">
        <f ca="1">_xlfn.DAYS(Tabla1[[#This Row],[FECHA FIN ]],Tabla1[[#This Row],[FECHA INICIO]])</f>
        <v>534</v>
      </c>
      <c r="M5076" s="12"/>
      <c r="N5076" s="12">
        <f>140.98/2</f>
        <v>70.489999999999995</v>
      </c>
      <c r="O5076" s="24">
        <f ca="1">(Tabla1[[#This Row],[COSTO FIJO ]]/30)*Tabla1[[#This Row],[TOTAL DIAS PROYECTO]]+(Tabla1[[#This Row],[COSTO TEMPORAL]])</f>
        <v>1254.7219999999998</v>
      </c>
      <c r="P5076" s="12"/>
      <c r="Q5076" s="12">
        <f ca="1">+(Tabla1[[#This Row],[COSTO COCHE]]/30)*Tabla1[[#This Row],[TOTAL DIAS PROYECTO]]</f>
        <v>0</v>
      </c>
      <c r="R5076" s="12">
        <f ca="1">+Tabla1[[#This Row],[COSTO TOTAL ALOJAMIENTO]]+Tabla1[[#This Row],[COSTO TOTAL COCHE]]</f>
        <v>1254.7219999999998</v>
      </c>
      <c r="S5076" s="2"/>
      <c r="T5076" s="2" t="s">
        <v>44</v>
      </c>
      <c r="U5076" s="14">
        <v>45726</v>
      </c>
      <c r="V5076" s="25">
        <v>45729</v>
      </c>
      <c r="W5076" s="26"/>
      <c r="X5076" s="2"/>
      <c r="Y5076" s="11"/>
      <c r="Z5076" s="2" t="s">
        <v>36</v>
      </c>
      <c r="AA5076" s="13" t="s">
        <v>10435</v>
      </c>
      <c r="AB5076" s="13">
        <v>42.136150000000001</v>
      </c>
    </row>
    <row r="5077" spans="1:28" ht="15" customHeight="1">
      <c r="A5077" s="2" t="s">
        <v>10217</v>
      </c>
      <c r="B5077" s="2" t="s">
        <v>711</v>
      </c>
      <c r="C5077" s="31" t="s">
        <v>7202</v>
      </c>
      <c r="D5077" s="2" t="s">
        <v>30</v>
      </c>
      <c r="E5077" s="2" t="s">
        <v>127</v>
      </c>
      <c r="F5077" s="11" t="s">
        <v>820</v>
      </c>
      <c r="G5077" s="46" t="s">
        <v>821</v>
      </c>
      <c r="H5077" s="2" t="s">
        <v>1650</v>
      </c>
      <c r="I5077" s="12" t="s">
        <v>96</v>
      </c>
      <c r="J5077" s="41">
        <f>+Tabla1[[#This Row],[FECHA ENTRADA]]</f>
        <v>45966</v>
      </c>
      <c r="K5077" s="22">
        <v>45968</v>
      </c>
      <c r="L5077" s="42">
        <f>_xlfn.DAYS(Tabla1[[#This Row],[FECHA FIN ]],Tabla1[[#This Row],[FECHA INICIO]])</f>
        <v>2</v>
      </c>
      <c r="M5077" s="12"/>
      <c r="N5077" s="28">
        <v>350</v>
      </c>
      <c r="O5077" s="28">
        <f>(Tabla1[[#This Row],[COSTO FIJO ]]/30)*Tabla1[[#This Row],[TOTAL DIAS PROYECTO]]+(Tabla1[[#This Row],[COSTO TEMPORAL]])</f>
        <v>23.333333333333332</v>
      </c>
      <c r="P5077" s="12"/>
      <c r="Q5077" s="12">
        <f>+(Tabla1[[#This Row],[COSTO COCHE]]/30)*Tabla1[[#This Row],[TOTAL DIAS PROYECTO]]</f>
        <v>0</v>
      </c>
      <c r="R5077" s="12">
        <f>+Tabla1[[#This Row],[COSTO TOTAL ALOJAMIENTO]]+Tabla1[[#This Row],[COSTO TOTAL COCHE]]</f>
        <v>23.333333333333332</v>
      </c>
      <c r="S5077" s="2"/>
      <c r="T5077" s="14" t="s">
        <v>44</v>
      </c>
      <c r="U5077" s="14">
        <v>45966</v>
      </c>
      <c r="V5077" s="43">
        <v>45979</v>
      </c>
      <c r="W5077" s="71"/>
      <c r="X5077" s="2"/>
      <c r="Y5077" s="11" t="s">
        <v>1651</v>
      </c>
      <c r="Z5077" s="2" t="s">
        <v>36</v>
      </c>
      <c r="AA5077" s="13" t="s">
        <v>10342</v>
      </c>
      <c r="AB5077" s="13" t="s">
        <v>10343</v>
      </c>
    </row>
    <row r="5078" spans="1:28" ht="15" customHeight="1">
      <c r="A5078" s="2" t="s">
        <v>10218</v>
      </c>
      <c r="B5078" s="2" t="s">
        <v>368</v>
      </c>
      <c r="C5078" s="87" t="s">
        <v>7203</v>
      </c>
      <c r="D5078" s="2" t="s">
        <v>30</v>
      </c>
      <c r="E5078" s="2" t="s">
        <v>985</v>
      </c>
      <c r="F5078" s="11" t="s">
        <v>1848</v>
      </c>
      <c r="G5078" s="49" t="s">
        <v>1849</v>
      </c>
      <c r="H5078" s="2" t="s">
        <v>1869</v>
      </c>
      <c r="I5078" s="116" t="s">
        <v>3356</v>
      </c>
      <c r="J5078" s="41">
        <f>+Tabla1[[#This Row],[FECHA ENTRADA]]</f>
        <v>45627</v>
      </c>
      <c r="K5078" s="22">
        <v>45733</v>
      </c>
      <c r="L5078" s="42">
        <f>_xlfn.DAYS(Tabla1[[#This Row],[FECHA FIN ]],Tabla1[[#This Row],[FECHA INICIO]])</f>
        <v>106</v>
      </c>
      <c r="M5078" s="12"/>
      <c r="N5078" s="24">
        <v>140</v>
      </c>
      <c r="O5078" s="28">
        <f>(Tabla1[[#This Row],[COSTO FIJO ]]/30)*Tabla1[[#This Row],[TOTAL DIAS PROYECTO]]+(Tabla1[[#This Row],[COSTO TEMPORAL]])</f>
        <v>494.66666666666669</v>
      </c>
      <c r="P5078" s="12"/>
      <c r="Q5078" s="12">
        <f>+(Tabla1[[#This Row],[COSTO COCHE]]/30)*Tabla1[[#This Row],[TOTAL DIAS PROYECTO]]</f>
        <v>0</v>
      </c>
      <c r="R5078" s="12">
        <f>+Tabla1[[#This Row],[COSTO TOTAL ALOJAMIENTO]]+Tabla1[[#This Row],[COSTO TOTAL COCHE]]</f>
        <v>494.66666666666669</v>
      </c>
      <c r="S5078" s="2"/>
      <c r="T5078" s="2" t="s">
        <v>44</v>
      </c>
      <c r="U5078" s="14">
        <v>45627</v>
      </c>
      <c r="V5078" s="43">
        <v>45731</v>
      </c>
      <c r="W5078" s="26"/>
      <c r="X5078" s="2">
        <v>15</v>
      </c>
      <c r="Y5078" s="11" t="s">
        <v>7204</v>
      </c>
      <c r="Z5078" s="2" t="s">
        <v>36</v>
      </c>
      <c r="AA5078" s="13" t="s">
        <v>10407</v>
      </c>
      <c r="AB5078" s="13" t="s">
        <v>10408</v>
      </c>
    </row>
    <row r="5079" spans="1:28" ht="15" customHeight="1">
      <c r="A5079" s="2" t="s">
        <v>8952</v>
      </c>
      <c r="B5079" s="2" t="s">
        <v>978</v>
      </c>
      <c r="C5079" s="11" t="s">
        <v>1442</v>
      </c>
      <c r="D5079" s="2" t="s">
        <v>30</v>
      </c>
      <c r="E5079" s="2" t="s">
        <v>55</v>
      </c>
      <c r="F5079" s="11" t="s">
        <v>1319</v>
      </c>
      <c r="G5079" s="46" t="s">
        <v>1320</v>
      </c>
      <c r="H5079" s="2" t="s">
        <v>1321</v>
      </c>
      <c r="I5079" s="30" t="s">
        <v>1322</v>
      </c>
      <c r="J5079" s="41">
        <f>+Tabla1[[#This Row],[FECHA ENTRADA]]</f>
        <v>45644</v>
      </c>
      <c r="K5079" s="41">
        <f ca="1">TODAY()</f>
        <v>46260</v>
      </c>
      <c r="L5079" s="42">
        <f ca="1">_xlfn.DAYS(Tabla1[[#This Row],[FECHA FIN ]],Tabla1[[#This Row],[FECHA INICIO]])</f>
        <v>616</v>
      </c>
      <c r="M5079" s="12"/>
      <c r="N5079" s="12"/>
      <c r="O5079" s="28">
        <f ca="1">(Tabla1[[#This Row],[COSTO FIJO ]]/30)*Tabla1[[#This Row],[TOTAL DIAS PROYECTO]]+(Tabla1[[#This Row],[COSTO TEMPORAL]])</f>
        <v>0</v>
      </c>
      <c r="P5079" s="12"/>
      <c r="Q5079" s="12">
        <f ca="1">+(Tabla1[[#This Row],[COSTO COCHE]]/30)*Tabla1[[#This Row],[TOTAL DIAS PROYECTO]]</f>
        <v>0</v>
      </c>
      <c r="R5079" s="12">
        <f ca="1">+Tabla1[[#This Row],[COSTO TOTAL ALOJAMIENTO]]+Tabla1[[#This Row],[COSTO TOTAL COCHE]]</f>
        <v>0</v>
      </c>
      <c r="S5079" s="2"/>
      <c r="T5079" s="2" t="s">
        <v>44</v>
      </c>
      <c r="U5079" s="14">
        <v>45644</v>
      </c>
      <c r="V5079" s="43">
        <v>45675</v>
      </c>
      <c r="W5079" s="26"/>
      <c r="X5079" s="2"/>
      <c r="Y5079" s="11" t="s">
        <v>1343</v>
      </c>
      <c r="Z5079" s="2" t="s">
        <v>36</v>
      </c>
      <c r="AA5079" s="13" t="s">
        <v>10327</v>
      </c>
      <c r="AB5079" s="13" t="s">
        <v>10328</v>
      </c>
    </row>
    <row r="5080" spans="1:28" ht="15" customHeight="1">
      <c r="A5080" s="2" t="s">
        <v>9017</v>
      </c>
      <c r="B5080" s="2" t="s">
        <v>711</v>
      </c>
      <c r="C5080" s="31" t="s">
        <v>1705</v>
      </c>
      <c r="D5080" s="2" t="s">
        <v>30</v>
      </c>
      <c r="E5080" s="2" t="s">
        <v>127</v>
      </c>
      <c r="F5080" s="11" t="s">
        <v>820</v>
      </c>
      <c r="G5080" s="21" t="s">
        <v>821</v>
      </c>
      <c r="H5080" s="2" t="s">
        <v>7205</v>
      </c>
      <c r="I5080" s="12" t="s">
        <v>96</v>
      </c>
      <c r="J5080" s="41">
        <f>+Tabla1[[#This Row],[FECHA ENTRADA]]</f>
        <v>45944</v>
      </c>
      <c r="K5080" s="8">
        <v>46022</v>
      </c>
      <c r="L5080" s="42">
        <f>_xlfn.DAYS(Tabla1[[#This Row],[FECHA FIN ]],Tabla1[[#This Row],[FECHA INICIO]])</f>
        <v>78</v>
      </c>
      <c r="M5080" s="12">
        <v>75</v>
      </c>
      <c r="N5080" s="28"/>
      <c r="O5080" s="28">
        <f>(Tabla1[[#This Row],[COSTO FIJO ]]/30)*Tabla1[[#This Row],[TOTAL DIAS PROYECTO]]+(Tabla1[[#This Row],[COSTO TEMPORAL]])</f>
        <v>75</v>
      </c>
      <c r="P5080" s="12"/>
      <c r="Q5080" s="12">
        <f>+(Tabla1[[#This Row],[COSTO COCHE]]/30)*Tabla1[[#This Row],[TOTAL DIAS PROYECTO]]</f>
        <v>0</v>
      </c>
      <c r="R5080" s="12">
        <f>+Tabla1[[#This Row],[COSTO TOTAL ALOJAMIENTO]]+Tabla1[[#This Row],[COSTO TOTAL COCHE]]</f>
        <v>75</v>
      </c>
      <c r="S5080" s="2"/>
      <c r="T5080" s="14" t="s">
        <v>44</v>
      </c>
      <c r="U5080" s="14">
        <v>45944</v>
      </c>
      <c r="V5080" s="79">
        <v>46038</v>
      </c>
      <c r="W5080" s="71"/>
      <c r="X5080" s="2"/>
      <c r="Y5080" s="11" t="s">
        <v>7206</v>
      </c>
      <c r="Z5080" s="2" t="s">
        <v>36</v>
      </c>
      <c r="AA5080" s="13" t="s">
        <v>10342</v>
      </c>
      <c r="AB5080" s="13" t="s">
        <v>10343</v>
      </c>
    </row>
    <row r="5081" spans="1:28" ht="15" customHeight="1">
      <c r="A5081" s="2" t="s">
        <v>10219</v>
      </c>
      <c r="B5081" s="2" t="s">
        <v>978</v>
      </c>
      <c r="C5081" s="11" t="s">
        <v>7207</v>
      </c>
      <c r="D5081" s="2" t="s">
        <v>30</v>
      </c>
      <c r="E5081" s="2" t="s">
        <v>109</v>
      </c>
      <c r="F5081" s="11" t="s">
        <v>1980</v>
      </c>
      <c r="G5081" s="68" t="s">
        <v>1981</v>
      </c>
      <c r="H5081" s="2" t="s">
        <v>7208</v>
      </c>
      <c r="I5081" s="12" t="s">
        <v>6914</v>
      </c>
      <c r="J5081" s="41">
        <f>+Tabla1[[#This Row],[FECHA ENTRADA]]</f>
        <v>45841</v>
      </c>
      <c r="K5081" s="41">
        <f ca="1">TODAY()</f>
        <v>46260</v>
      </c>
      <c r="L5081" s="42">
        <f ca="1">_xlfn.DAYS(Tabla1[[#This Row],[FECHA FIN ]],Tabla1[[#This Row],[FECHA INICIO]])</f>
        <v>419</v>
      </c>
      <c r="M5081" s="12"/>
      <c r="N5081" s="28">
        <v>262.5</v>
      </c>
      <c r="O5081" s="28">
        <f ca="1">(Tabla1[[#This Row],[COSTO FIJO ]]/30)*Tabla1[[#This Row],[TOTAL DIAS PROYECTO]]+(Tabla1[[#This Row],[COSTO TEMPORAL]])</f>
        <v>3666.25</v>
      </c>
      <c r="P5081" s="12"/>
      <c r="Q5081" s="12">
        <f ca="1">+(Tabla1[[#This Row],[COSTO COCHE]]/30)*Tabla1[[#This Row],[TOTAL DIAS PROYECTO]]</f>
        <v>0</v>
      </c>
      <c r="R5081" s="12">
        <f ca="1">+Tabla1[[#This Row],[COSTO TOTAL ALOJAMIENTO]]+Tabla1[[#This Row],[COSTO TOTAL COCHE]]</f>
        <v>3666.25</v>
      </c>
      <c r="S5081" s="2"/>
      <c r="T5081" s="14" t="s">
        <v>35</v>
      </c>
      <c r="U5081" s="14">
        <v>45841</v>
      </c>
      <c r="V5081" s="43">
        <v>45872</v>
      </c>
      <c r="W5081" s="12"/>
      <c r="X5081" s="2">
        <v>1</v>
      </c>
      <c r="Y5081" s="240" t="s">
        <v>6915</v>
      </c>
      <c r="Z5081" s="2" t="s">
        <v>702</v>
      </c>
      <c r="AA5081" s="13">
        <v>0.62217999999999996</v>
      </c>
      <c r="AB5081" s="13" t="s">
        <v>10339</v>
      </c>
    </row>
    <row r="5082" spans="1:28">
      <c r="A5082" s="2" t="s">
        <v>8638</v>
      </c>
      <c r="B5082" s="2" t="s">
        <v>368</v>
      </c>
      <c r="C5082" s="86" t="s">
        <v>4157</v>
      </c>
      <c r="D5082" s="2" t="s">
        <v>30</v>
      </c>
      <c r="E5082" s="2" t="s">
        <v>213</v>
      </c>
      <c r="F5082" s="11" t="s">
        <v>1196</v>
      </c>
      <c r="G5082" s="21" t="s">
        <v>1197</v>
      </c>
      <c r="H5082" s="2" t="s">
        <v>1198</v>
      </c>
      <c r="I5082" s="12" t="s">
        <v>514</v>
      </c>
      <c r="J5082" s="22">
        <f>+Tabla1[[#This Row],[FECHA ENTRADA]]</f>
        <v>45582</v>
      </c>
      <c r="K5082" s="8">
        <f ca="1">TODAY()</f>
        <v>46260</v>
      </c>
      <c r="L5082" s="23">
        <f ca="1">_xlfn.DAYS(Tabla1[[#This Row],[FECHA FIN ]],Tabla1[[#This Row],[FECHA INICIO]])</f>
        <v>678</v>
      </c>
      <c r="M5082" s="12"/>
      <c r="N5082" s="20">
        <v>410</v>
      </c>
      <c r="O5082" s="24">
        <f ca="1">(Tabla1[[#This Row],[COSTO FIJO ]]/30)*Tabla1[[#This Row],[TOTAL DIAS PROYECTO]]+(Tabla1[[#This Row],[COSTO TEMPORAL]])</f>
        <v>9266</v>
      </c>
      <c r="P5082" s="12">
        <f>2134.37/19</f>
        <v>112.33526315789473</v>
      </c>
      <c r="Q5082" s="12">
        <f ca="1">+(Tabla1[[#This Row],[COSTO COCHE]]/30)*Tabla1[[#This Row],[TOTAL DIAS PROYECTO]]</f>
        <v>2538.7769473684207</v>
      </c>
      <c r="R5082" s="12">
        <f ca="1">+Tabla1[[#This Row],[COSTO TOTAL ALOJAMIENTO]]+Tabla1[[#This Row],[COSTO TOTAL COCHE]]</f>
        <v>11804.77694736842</v>
      </c>
      <c r="S5082" s="2"/>
      <c r="T5082" s="2" t="s">
        <v>35</v>
      </c>
      <c r="U5082" s="14">
        <v>45582</v>
      </c>
      <c r="V5082" s="25"/>
      <c r="W5082" s="26"/>
      <c r="X5082" s="2">
        <v>1</v>
      </c>
      <c r="Y5082" s="11" t="s">
        <v>530</v>
      </c>
      <c r="Z5082" s="2" t="s">
        <v>36</v>
      </c>
      <c r="AA5082" s="13" t="s">
        <v>10349</v>
      </c>
      <c r="AB5082" s="13" t="s">
        <v>10350</v>
      </c>
    </row>
    <row r="5083" spans="1:28" ht="15" customHeight="1">
      <c r="A5083" s="2" t="s">
        <v>10220</v>
      </c>
      <c r="B5083" s="2" t="s">
        <v>711</v>
      </c>
      <c r="C5083" s="239" t="s">
        <v>7209</v>
      </c>
      <c r="D5083" s="2" t="s">
        <v>99</v>
      </c>
      <c r="E5083" s="2" t="s">
        <v>1987</v>
      </c>
      <c r="F5083" s="11" t="s">
        <v>3567</v>
      </c>
      <c r="G5083" s="46" t="s">
        <v>3568</v>
      </c>
      <c r="H5083" s="2" t="s">
        <v>7210</v>
      </c>
      <c r="I5083" s="12" t="s">
        <v>96</v>
      </c>
      <c r="J5083" s="41">
        <f>+Tabla1[[#This Row],[FECHA ENTRADA]]</f>
        <v>45956</v>
      </c>
      <c r="K5083" s="22">
        <v>46029</v>
      </c>
      <c r="L5083" s="42">
        <f>_xlfn.DAYS(Tabla1[[#This Row],[FECHA FIN ]],Tabla1[[#This Row],[FECHA INICIO]])</f>
        <v>73</v>
      </c>
      <c r="M5083" s="12"/>
      <c r="N5083" s="28">
        <v>0</v>
      </c>
      <c r="O5083" s="28">
        <f>(Tabla1[[#This Row],[COSTO FIJO ]]/30)*Tabla1[[#This Row],[TOTAL DIAS PROYECTO]]+(Tabla1[[#This Row],[COSTO TEMPORAL]])</f>
        <v>0</v>
      </c>
      <c r="P5083" s="12"/>
      <c r="Q5083" s="12">
        <f>+(Tabla1[[#This Row],[COSTO COCHE]]/30)*Tabla1[[#This Row],[TOTAL DIAS PROYECTO]]</f>
        <v>0</v>
      </c>
      <c r="R5083" s="12">
        <f>+Tabla1[[#This Row],[COSTO TOTAL ALOJAMIENTO]]+Tabla1[[#This Row],[COSTO TOTAL COCHE]]</f>
        <v>0</v>
      </c>
      <c r="S5083" s="2"/>
      <c r="T5083" s="14" t="s">
        <v>44</v>
      </c>
      <c r="U5083" s="14">
        <v>45956</v>
      </c>
      <c r="V5083" s="25">
        <v>46036</v>
      </c>
      <c r="W5083" s="71"/>
      <c r="X5083" s="2"/>
      <c r="Y5083" s="11" t="s">
        <v>7211</v>
      </c>
      <c r="Z5083" s="2" t="s">
        <v>36</v>
      </c>
      <c r="AA5083" s="13" t="s">
        <v>10435</v>
      </c>
      <c r="AB5083" s="13">
        <v>42.136150000000001</v>
      </c>
    </row>
    <row r="5084" spans="1:28" ht="15" customHeight="1">
      <c r="A5084" s="2" t="s">
        <v>8692</v>
      </c>
      <c r="B5084" s="2" t="s">
        <v>368</v>
      </c>
      <c r="C5084" s="11" t="s">
        <v>309</v>
      </c>
      <c r="D5084" s="2" t="s">
        <v>30</v>
      </c>
      <c r="E5084" s="2" t="s">
        <v>1987</v>
      </c>
      <c r="F5084" s="11" t="s">
        <v>3227</v>
      </c>
      <c r="G5084" s="46">
        <v>974470654</v>
      </c>
      <c r="H5084" s="2" t="s">
        <v>1990</v>
      </c>
      <c r="I5084" s="12" t="s">
        <v>42</v>
      </c>
      <c r="J5084" s="41">
        <f>+Tabla1[[#This Row],[FECHA ENTRADA]]</f>
        <v>45730</v>
      </c>
      <c r="K5084" s="41">
        <f ca="1">TODAY()</f>
        <v>46260</v>
      </c>
      <c r="L5084" s="42">
        <f ca="1">_xlfn.DAYS(Tabla1[[#This Row],[FECHA FIN ]],Tabla1[[#This Row],[FECHA INICIO]])</f>
        <v>530</v>
      </c>
      <c r="M5084" s="12"/>
      <c r="N5084" s="12">
        <f>234.96/2</f>
        <v>117.48</v>
      </c>
      <c r="O5084" s="28">
        <f ca="1">(Tabla1[[#This Row],[COSTO FIJO ]]/30)*Tabla1[[#This Row],[TOTAL DIAS PROYECTO]]+(Tabla1[[#This Row],[COSTO TEMPORAL]])</f>
        <v>2075.48</v>
      </c>
      <c r="P5084" s="12"/>
      <c r="Q5084" s="12">
        <f ca="1">+(Tabla1[[#This Row],[COSTO COCHE]]/30)*Tabla1[[#This Row],[TOTAL DIAS PROYECTO]]</f>
        <v>0</v>
      </c>
      <c r="R5084" s="12">
        <f ca="1">+Tabla1[[#This Row],[COSTO TOTAL ALOJAMIENTO]]+Tabla1[[#This Row],[COSTO TOTAL COCHE]]</f>
        <v>2075.48</v>
      </c>
      <c r="S5084" s="2"/>
      <c r="T5084" s="2" t="s">
        <v>528</v>
      </c>
      <c r="U5084" s="14">
        <v>45730</v>
      </c>
      <c r="V5084" s="43">
        <v>45734</v>
      </c>
      <c r="W5084" s="26"/>
      <c r="X5084" s="2"/>
      <c r="Y5084" s="11"/>
      <c r="Z5084" s="2" t="s">
        <v>36</v>
      </c>
      <c r="AA5084" s="13" t="s">
        <v>10435</v>
      </c>
      <c r="AB5084" s="13">
        <v>42.136150000000001</v>
      </c>
    </row>
    <row r="5085" spans="1:28" ht="15" customHeight="1">
      <c r="A5085" s="2" t="s">
        <v>9029</v>
      </c>
      <c r="B5085" s="2" t="s">
        <v>368</v>
      </c>
      <c r="C5085" s="11" t="s">
        <v>1739</v>
      </c>
      <c r="D5085" s="2" t="s">
        <v>30</v>
      </c>
      <c r="E5085" s="2" t="s">
        <v>855</v>
      </c>
      <c r="F5085" s="11" t="s">
        <v>1662</v>
      </c>
      <c r="G5085" s="46" t="s">
        <v>1474</v>
      </c>
      <c r="H5085" s="2" t="s">
        <v>1741</v>
      </c>
      <c r="I5085" s="12" t="s">
        <v>1288</v>
      </c>
      <c r="J5085" s="22">
        <f>+Tabla1[[#This Row],[FECHA ENTRADA]]</f>
        <v>45728</v>
      </c>
      <c r="K5085" s="8">
        <f ca="1">TODAY()</f>
        <v>46260</v>
      </c>
      <c r="L5085" s="23">
        <f ca="1">_xlfn.DAYS(Tabla1[[#This Row],[FECHA FIN ]],Tabla1[[#This Row],[FECHA INICIO]])</f>
        <v>532</v>
      </c>
      <c r="M5085" s="12"/>
      <c r="N5085" s="20"/>
      <c r="O5085" s="24">
        <f ca="1">(Tabla1[[#This Row],[COSTO FIJO ]]/30)*Tabla1[[#This Row],[TOTAL DIAS PROYECTO]]+(Tabla1[[#This Row],[COSTO TEMPORAL]])</f>
        <v>0</v>
      </c>
      <c r="P5085" s="12"/>
      <c r="Q5085" s="12">
        <f ca="1">+(Tabla1[[#This Row],[COSTO COCHE]]/30)*Tabla1[[#This Row],[TOTAL DIAS PROYECTO]]</f>
        <v>0</v>
      </c>
      <c r="R5085" s="12">
        <f ca="1">+Tabla1[[#This Row],[COSTO TOTAL ALOJAMIENTO]]+Tabla1[[#This Row],[COSTO TOTAL COCHE]]</f>
        <v>0</v>
      </c>
      <c r="S5085" s="2"/>
      <c r="T5085" s="2" t="s">
        <v>44</v>
      </c>
      <c r="U5085" s="14">
        <v>45728</v>
      </c>
      <c r="V5085" s="79">
        <v>45737</v>
      </c>
      <c r="W5085" s="26"/>
      <c r="X5085" s="2"/>
      <c r="Y5085" s="11" t="s">
        <v>1166</v>
      </c>
      <c r="Z5085" s="2" t="s">
        <v>36</v>
      </c>
      <c r="AA5085" s="13" t="s">
        <v>10401</v>
      </c>
      <c r="AB5085" s="13" t="s">
        <v>10402</v>
      </c>
    </row>
    <row r="5086" spans="1:28" ht="15" customHeight="1">
      <c r="A5086" s="2" t="s">
        <v>8985</v>
      </c>
      <c r="B5086" s="2" t="s">
        <v>28</v>
      </c>
      <c r="C5086" s="11" t="s">
        <v>1595</v>
      </c>
      <c r="D5086" s="2" t="s">
        <v>99</v>
      </c>
      <c r="E5086" s="2" t="s">
        <v>253</v>
      </c>
      <c r="F5086" s="11" t="s">
        <v>1692</v>
      </c>
      <c r="G5086" s="11" t="s">
        <v>1693</v>
      </c>
      <c r="H5086" s="2" t="s">
        <v>1648</v>
      </c>
      <c r="I5086" s="12" t="s">
        <v>256</v>
      </c>
      <c r="J5086" s="41">
        <f>+Tabla1[[#This Row],[FECHA ENTRADA]]</f>
        <v>45719</v>
      </c>
      <c r="K5086" s="41">
        <f ca="1">TODAY()</f>
        <v>46260</v>
      </c>
      <c r="L5086" s="42">
        <f ca="1">_xlfn.DAYS(Tabla1[[#This Row],[FECHA FIN ]],Tabla1[[#This Row],[FECHA INICIO]])</f>
        <v>541</v>
      </c>
      <c r="M5086" s="20"/>
      <c r="N5086" s="20">
        <v>480</v>
      </c>
      <c r="O5086" s="28">
        <f ca="1">(Tabla1[[#This Row],[COSTO FIJO ]]/30)*Tabla1[[#This Row],[TOTAL DIAS PROYECTO]]+(Tabla1[[#This Row],[COSTO TEMPORAL]])</f>
        <v>8656</v>
      </c>
      <c r="P5086" s="12"/>
      <c r="Q5086" s="12">
        <f ca="1">+(Tabla1[[#This Row],[COSTO COCHE]]/30)*Tabla1[[#This Row],[TOTAL DIAS PROYECTO]]</f>
        <v>0</v>
      </c>
      <c r="R5086" s="12">
        <f ca="1">+Tabla1[[#This Row],[COSTO TOTAL ALOJAMIENTO]]+Tabla1[[#This Row],[COSTO TOTAL COCHE]]</f>
        <v>8656</v>
      </c>
      <c r="S5086" s="2"/>
      <c r="T5086" s="2" t="s">
        <v>44</v>
      </c>
      <c r="U5086" s="14">
        <v>45719</v>
      </c>
      <c r="V5086" s="79">
        <v>45737</v>
      </c>
      <c r="W5086" s="26"/>
      <c r="X5086" s="2"/>
      <c r="Y5086" s="11" t="s">
        <v>7212</v>
      </c>
      <c r="Z5086" s="2" t="s">
        <v>36</v>
      </c>
      <c r="AA5086" s="13" t="s">
        <v>10357</v>
      </c>
      <c r="AB5086" s="13" t="s">
        <v>10358</v>
      </c>
    </row>
    <row r="5087" spans="1:28" ht="15" customHeight="1">
      <c r="A5087" s="2" t="s">
        <v>9030</v>
      </c>
      <c r="B5087" s="2" t="s">
        <v>368</v>
      </c>
      <c r="C5087" s="11" t="s">
        <v>1742</v>
      </c>
      <c r="D5087" s="2" t="s">
        <v>30</v>
      </c>
      <c r="E5087" s="2" t="s">
        <v>855</v>
      </c>
      <c r="F5087" s="11" t="s">
        <v>1662</v>
      </c>
      <c r="G5087" s="46" t="s">
        <v>1474</v>
      </c>
      <c r="H5087" s="2" t="s">
        <v>1741</v>
      </c>
      <c r="I5087" s="12" t="s">
        <v>1288</v>
      </c>
      <c r="J5087" s="22">
        <f>+Tabla1[[#This Row],[FECHA ENTRADA]]</f>
        <v>45728</v>
      </c>
      <c r="K5087" s="8">
        <f ca="1">TODAY()</f>
        <v>46260</v>
      </c>
      <c r="L5087" s="23">
        <f ca="1">_xlfn.DAYS(Tabla1[[#This Row],[FECHA FIN ]],Tabla1[[#This Row],[FECHA INICIO]])</f>
        <v>532</v>
      </c>
      <c r="M5087" s="12">
        <v>110</v>
      </c>
      <c r="N5087" s="20"/>
      <c r="O5087" s="24">
        <f ca="1">(Tabla1[[#This Row],[COSTO FIJO ]]/30)*Tabla1[[#This Row],[TOTAL DIAS PROYECTO]]+(Tabla1[[#This Row],[COSTO TEMPORAL]])</f>
        <v>110</v>
      </c>
      <c r="P5087" s="12"/>
      <c r="Q5087" s="12">
        <f ca="1">+(Tabla1[[#This Row],[COSTO COCHE]]/30)*Tabla1[[#This Row],[TOTAL DIAS PROYECTO]]</f>
        <v>0</v>
      </c>
      <c r="R5087" s="12">
        <f ca="1">+Tabla1[[#This Row],[COSTO TOTAL ALOJAMIENTO]]+Tabla1[[#This Row],[COSTO TOTAL COCHE]]</f>
        <v>110</v>
      </c>
      <c r="S5087" s="2"/>
      <c r="T5087" s="2" t="s">
        <v>44</v>
      </c>
      <c r="U5087" s="14">
        <v>45728</v>
      </c>
      <c r="V5087" s="79">
        <v>45737</v>
      </c>
      <c r="W5087" s="26"/>
      <c r="X5087" s="2"/>
      <c r="Y5087" s="11" t="s">
        <v>1166</v>
      </c>
      <c r="Z5087" s="2" t="s">
        <v>36</v>
      </c>
      <c r="AA5087" s="13" t="s">
        <v>10401</v>
      </c>
      <c r="AB5087" s="13" t="s">
        <v>10402</v>
      </c>
    </row>
    <row r="5088" spans="1:28">
      <c r="A5088" s="2" t="s">
        <v>9284</v>
      </c>
      <c r="B5088" s="2" t="s">
        <v>978</v>
      </c>
      <c r="C5088" s="11" t="s">
        <v>2694</v>
      </c>
      <c r="D5088" s="2" t="s">
        <v>99</v>
      </c>
      <c r="E5088" s="2" t="s">
        <v>422</v>
      </c>
      <c r="F5088" s="11" t="s">
        <v>956</v>
      </c>
      <c r="G5088" s="118" t="s">
        <v>957</v>
      </c>
      <c r="H5088" s="2" t="s">
        <v>1431</v>
      </c>
      <c r="I5088" s="12" t="s">
        <v>2473</v>
      </c>
      <c r="J5088" s="22">
        <f>+Tabla1[[#This Row],[FECHA ENTRADA]]</f>
        <v>45943</v>
      </c>
      <c r="K5088" s="22">
        <v>46142</v>
      </c>
      <c r="L5088" s="23">
        <f>_xlfn.DAYS(Tabla1[[#This Row],[FECHA FIN ]],Tabla1[[#This Row],[FECHA INICIO]])</f>
        <v>199</v>
      </c>
      <c r="M5088" s="12"/>
      <c r="N5088" s="28">
        <v>287.5</v>
      </c>
      <c r="O5088" s="24">
        <f>(Tabla1[[#This Row],[COSTO FIJO ]]/30)*Tabla1[[#This Row],[TOTAL DIAS PROYECTO]]+(Tabla1[[#This Row],[COSTO TEMPORAL]])</f>
        <v>1907.0833333333335</v>
      </c>
      <c r="P5088" s="12"/>
      <c r="Q5088" s="12">
        <f>+(Tabla1[[#This Row],[COSTO COCHE]]/30)*Tabla1[[#This Row],[TOTAL DIAS PROYECTO]]</f>
        <v>0</v>
      </c>
      <c r="R5088" s="12">
        <f>+Tabla1[[#This Row],[COSTO TOTAL ALOJAMIENTO]]+Tabla1[[#This Row],[COSTO TOTAL COCHE]]</f>
        <v>1907.0833333333335</v>
      </c>
      <c r="S5088" s="2"/>
      <c r="T5088" s="14" t="s">
        <v>35</v>
      </c>
      <c r="U5088" s="14">
        <v>45943</v>
      </c>
      <c r="V5088" s="79"/>
      <c r="W5088" s="12">
        <v>2200</v>
      </c>
      <c r="X5088" s="2">
        <v>5</v>
      </c>
      <c r="Y5088" s="11" t="s">
        <v>7213</v>
      </c>
      <c r="Z5088" s="2" t="s">
        <v>36</v>
      </c>
      <c r="AA5088" s="13">
        <v>-326.69799999999998</v>
      </c>
      <c r="AB5088" s="13" t="s">
        <v>10373</v>
      </c>
    </row>
    <row r="5089" spans="1:28" ht="15" customHeight="1">
      <c r="A5089" s="2" t="s">
        <v>8908</v>
      </c>
      <c r="B5089" s="2" t="s">
        <v>368</v>
      </c>
      <c r="C5089" s="11" t="s">
        <v>1236</v>
      </c>
      <c r="D5089" s="2" t="s">
        <v>30</v>
      </c>
      <c r="E5089" s="2" t="s">
        <v>55</v>
      </c>
      <c r="F5089" s="11" t="s">
        <v>1319</v>
      </c>
      <c r="G5089" s="46" t="s">
        <v>1320</v>
      </c>
      <c r="H5089" s="2" t="s">
        <v>1441</v>
      </c>
      <c r="I5089" s="12" t="s">
        <v>233</v>
      </c>
      <c r="J5089" s="41">
        <f>+Tabla1[[#This Row],[FECHA ENTRADA]]</f>
        <v>45652</v>
      </c>
      <c r="K5089" s="41">
        <f t="shared" ref="K5089:K5095" ca="1" si="8">TODAY()</f>
        <v>46260</v>
      </c>
      <c r="L5089" s="42">
        <f ca="1">_xlfn.DAYS(Tabla1[[#This Row],[FECHA FIN ]],Tabla1[[#This Row],[FECHA INICIO]])</f>
        <v>608</v>
      </c>
      <c r="M5089" s="12"/>
      <c r="N5089" s="12"/>
      <c r="O5089" s="28">
        <f ca="1">(Tabla1[[#This Row],[COSTO FIJO ]]/30)*Tabla1[[#This Row],[TOTAL DIAS PROYECTO]]+(Tabla1[[#This Row],[COSTO TEMPORAL]])</f>
        <v>0</v>
      </c>
      <c r="P5089" s="12"/>
      <c r="Q5089" s="12">
        <f ca="1">+(Tabla1[[#This Row],[COSTO COCHE]]/30)*Tabla1[[#This Row],[TOTAL DIAS PROYECTO]]</f>
        <v>0</v>
      </c>
      <c r="R5089" s="12">
        <f ca="1">+Tabla1[[#This Row],[COSTO TOTAL ALOJAMIENTO]]+Tabla1[[#This Row],[COSTO TOTAL COCHE]]</f>
        <v>0</v>
      </c>
      <c r="S5089" s="2"/>
      <c r="T5089" s="2" t="s">
        <v>44</v>
      </c>
      <c r="U5089" s="14">
        <v>45652</v>
      </c>
      <c r="V5089" s="43">
        <v>45674</v>
      </c>
      <c r="W5089" s="26"/>
      <c r="X5089" s="2"/>
      <c r="Y5089" s="11" t="s">
        <v>1166</v>
      </c>
      <c r="Z5089" s="2" t="s">
        <v>36</v>
      </c>
      <c r="AA5089" s="13" t="s">
        <v>10327</v>
      </c>
      <c r="AB5089" s="13" t="s">
        <v>10328</v>
      </c>
    </row>
    <row r="5090" spans="1:28" ht="15" customHeight="1">
      <c r="A5090" s="2" t="s">
        <v>9173</v>
      </c>
      <c r="B5090" s="2" t="s">
        <v>368</v>
      </c>
      <c r="C5090" s="11" t="s">
        <v>2315</v>
      </c>
      <c r="D5090" s="2" t="s">
        <v>30</v>
      </c>
      <c r="E5090" s="2" t="s">
        <v>55</v>
      </c>
      <c r="F5090" s="11" t="s">
        <v>1618</v>
      </c>
      <c r="G5090" s="46" t="s">
        <v>1619</v>
      </c>
      <c r="H5090" s="2" t="s">
        <v>1622</v>
      </c>
      <c r="I5090" s="30" t="s">
        <v>1620</v>
      </c>
      <c r="J5090" s="41">
        <f>+Tabla1[[#This Row],[FECHA ENTRADA]]</f>
        <v>45669</v>
      </c>
      <c r="K5090" s="8">
        <f t="shared" ca="1" si="8"/>
        <v>46260</v>
      </c>
      <c r="L5090" s="42">
        <f ca="1">_xlfn.DAYS(Tabla1[[#This Row],[FECHA FIN ]],Tabla1[[#This Row],[FECHA INICIO]])</f>
        <v>591</v>
      </c>
      <c r="M5090" s="12"/>
      <c r="N5090" s="12"/>
      <c r="O5090" s="28">
        <f ca="1">(Tabla1[[#This Row],[COSTO FIJO ]]/30)*Tabla1[[#This Row],[TOTAL DIAS PROYECTO]]+(Tabla1[[#This Row],[COSTO TEMPORAL]])</f>
        <v>0</v>
      </c>
      <c r="P5090" s="12"/>
      <c r="Q5090" s="12"/>
      <c r="R5090" s="12">
        <f ca="1">+Tabla1[[#This Row],[COSTO TOTAL ALOJAMIENTO]]+Tabla1[[#This Row],[COSTO TOTAL COCHE]]</f>
        <v>0</v>
      </c>
      <c r="S5090" s="2"/>
      <c r="T5090" s="2" t="s">
        <v>44</v>
      </c>
      <c r="U5090" s="14">
        <v>45669</v>
      </c>
      <c r="V5090" s="43">
        <v>45670</v>
      </c>
      <c r="W5090" s="26"/>
      <c r="X5090" s="2"/>
      <c r="Y5090" s="11" t="s">
        <v>1166</v>
      </c>
      <c r="Z5090" s="2" t="s">
        <v>36</v>
      </c>
      <c r="AA5090" s="13" t="s">
        <v>10327</v>
      </c>
      <c r="AB5090" s="13" t="s">
        <v>10328</v>
      </c>
    </row>
    <row r="5091" spans="1:28" ht="15" customHeight="1">
      <c r="A5091" s="2" t="s">
        <v>8994</v>
      </c>
      <c r="B5091" s="2" t="s">
        <v>368</v>
      </c>
      <c r="C5091" s="11" t="s">
        <v>1617</v>
      </c>
      <c r="D5091" s="2" t="s">
        <v>30</v>
      </c>
      <c r="E5091" s="2" t="s">
        <v>55</v>
      </c>
      <c r="F5091" s="11" t="s">
        <v>1319</v>
      </c>
      <c r="G5091" s="46" t="s">
        <v>1320</v>
      </c>
      <c r="H5091" s="2" t="s">
        <v>1360</v>
      </c>
      <c r="I5091" s="30" t="s">
        <v>1620</v>
      </c>
      <c r="J5091" s="41">
        <f>+Tabla1[[#This Row],[FECHA ENTRADA]]</f>
        <v>45669</v>
      </c>
      <c r="K5091" s="41">
        <f t="shared" ca="1" si="8"/>
        <v>46260</v>
      </c>
      <c r="L5091" s="42">
        <f ca="1">_xlfn.DAYS(Tabla1[[#This Row],[FECHA FIN ]],Tabla1[[#This Row],[FECHA INICIO]])</f>
        <v>591</v>
      </c>
      <c r="M5091" s="12"/>
      <c r="N5091" s="12"/>
      <c r="O5091" s="28">
        <f ca="1">(Tabla1[[#This Row],[COSTO FIJO ]]/30)*Tabla1[[#This Row],[TOTAL DIAS PROYECTO]]+(Tabla1[[#This Row],[COSTO TEMPORAL]])</f>
        <v>0</v>
      </c>
      <c r="P5091" s="12"/>
      <c r="Q5091" s="12"/>
      <c r="R5091" s="12">
        <f ca="1">+Tabla1[[#This Row],[COSTO TOTAL ALOJAMIENTO]]+Tabla1[[#This Row],[COSTO TOTAL COCHE]]</f>
        <v>0</v>
      </c>
      <c r="S5091" s="2"/>
      <c r="T5091" s="2" t="s">
        <v>44</v>
      </c>
      <c r="U5091" s="14">
        <v>45669</v>
      </c>
      <c r="V5091" s="43">
        <v>45670</v>
      </c>
      <c r="W5091" s="26"/>
      <c r="X5091" s="2"/>
      <c r="Y5091" s="11" t="s">
        <v>1166</v>
      </c>
      <c r="Z5091" s="2" t="s">
        <v>36</v>
      </c>
      <c r="AA5091" s="13" t="s">
        <v>10327</v>
      </c>
      <c r="AB5091" s="13" t="s">
        <v>10328</v>
      </c>
    </row>
    <row r="5092" spans="1:28" ht="15" customHeight="1">
      <c r="A5092" s="2" t="s">
        <v>8995</v>
      </c>
      <c r="B5092" s="2" t="s">
        <v>368</v>
      </c>
      <c r="C5092" s="11" t="s">
        <v>1621</v>
      </c>
      <c r="D5092" s="2" t="s">
        <v>30</v>
      </c>
      <c r="E5092" s="2" t="s">
        <v>55</v>
      </c>
      <c r="F5092" s="11" t="s">
        <v>1319</v>
      </c>
      <c r="G5092" s="46" t="s">
        <v>1320</v>
      </c>
      <c r="H5092" s="2" t="s">
        <v>1622</v>
      </c>
      <c r="I5092" s="30" t="s">
        <v>1620</v>
      </c>
      <c r="J5092" s="41">
        <f>+Tabla1[[#This Row],[FECHA ENTRADA]]</f>
        <v>45669</v>
      </c>
      <c r="K5092" s="41">
        <f t="shared" ca="1" si="8"/>
        <v>46260</v>
      </c>
      <c r="L5092" s="42">
        <f ca="1">_xlfn.DAYS(Tabla1[[#This Row],[FECHA FIN ]],Tabla1[[#This Row],[FECHA INICIO]])</f>
        <v>591</v>
      </c>
      <c r="M5092" s="12"/>
      <c r="N5092" s="12"/>
      <c r="O5092" s="28">
        <f ca="1">(Tabla1[[#This Row],[COSTO FIJO ]]/30)*Tabla1[[#This Row],[TOTAL DIAS PROYECTO]]+(Tabla1[[#This Row],[COSTO TEMPORAL]])</f>
        <v>0</v>
      </c>
      <c r="P5092" s="12"/>
      <c r="Q5092" s="12"/>
      <c r="R5092" s="12">
        <f ca="1">+Tabla1[[#This Row],[COSTO TOTAL ALOJAMIENTO]]+Tabla1[[#This Row],[COSTO TOTAL COCHE]]</f>
        <v>0</v>
      </c>
      <c r="S5092" s="2"/>
      <c r="T5092" s="2" t="s">
        <v>44</v>
      </c>
      <c r="U5092" s="14">
        <v>45669</v>
      </c>
      <c r="V5092" s="43">
        <v>45670</v>
      </c>
      <c r="W5092" s="26"/>
      <c r="X5092" s="2"/>
      <c r="Y5092" s="11" t="s">
        <v>1166</v>
      </c>
      <c r="Z5092" s="2" t="s">
        <v>36</v>
      </c>
      <c r="AA5092" s="13" t="s">
        <v>10327</v>
      </c>
      <c r="AB5092" s="13" t="s">
        <v>10328</v>
      </c>
    </row>
    <row r="5093" spans="1:28" ht="15" customHeight="1">
      <c r="A5093" s="2" t="s">
        <v>8642</v>
      </c>
      <c r="B5093" s="2" t="s">
        <v>28</v>
      </c>
      <c r="C5093" s="11" t="s">
        <v>7214</v>
      </c>
      <c r="D5093" s="2" t="s">
        <v>30</v>
      </c>
      <c r="E5093" s="2" t="s">
        <v>31</v>
      </c>
      <c r="F5093" s="11" t="s">
        <v>7215</v>
      </c>
      <c r="G5093" s="49" t="s">
        <v>7216</v>
      </c>
      <c r="H5093" s="2" t="s">
        <v>1452</v>
      </c>
      <c r="I5093" s="12" t="s">
        <v>1453</v>
      </c>
      <c r="J5093" s="22">
        <f>+Tabla1[[#This Row],[FECHA ENTRADA]]</f>
        <v>45620</v>
      </c>
      <c r="K5093" s="8">
        <f t="shared" ca="1" si="8"/>
        <v>46260</v>
      </c>
      <c r="L5093" s="23">
        <f ca="1">_xlfn.DAYS(Tabla1[[#This Row],[FECHA FIN ]],Tabla1[[#This Row],[FECHA INICIO]])</f>
        <v>640</v>
      </c>
      <c r="M5093" s="12"/>
      <c r="N5093" s="24">
        <v>480</v>
      </c>
      <c r="O5093" s="24">
        <f ca="1">(Tabla1[[#This Row],[COSTO FIJO ]]/30)*Tabla1[[#This Row],[TOTAL DIAS PROYECTO]]+(Tabla1[[#This Row],[COSTO TEMPORAL]])</f>
        <v>10240</v>
      </c>
      <c r="P5093" s="12"/>
      <c r="Q5093" s="12">
        <f ca="1">+(Tabla1[[#This Row],[COSTO COCHE]]/30)*Tabla1[[#This Row],[TOTAL DIAS PROYECTO]]</f>
        <v>0</v>
      </c>
      <c r="R5093" s="12">
        <f ca="1">+Tabla1[[#This Row],[COSTO TOTAL ALOJAMIENTO]]+Tabla1[[#This Row],[COSTO TOTAL COCHE]]</f>
        <v>10240</v>
      </c>
      <c r="S5093" s="2"/>
      <c r="T5093" s="2" t="s">
        <v>35</v>
      </c>
      <c r="U5093" s="14">
        <v>45620</v>
      </c>
      <c r="V5093" s="25"/>
      <c r="W5093" s="26">
        <v>480</v>
      </c>
      <c r="X5093" s="2">
        <v>1</v>
      </c>
      <c r="Y5093" s="11" t="s">
        <v>7217</v>
      </c>
      <c r="Z5093" s="2" t="s">
        <v>36</v>
      </c>
      <c r="AA5093" s="13" t="s">
        <v>10323</v>
      </c>
      <c r="AB5093" s="13" t="s">
        <v>10324</v>
      </c>
    </row>
    <row r="5094" spans="1:28" ht="15" customHeight="1">
      <c r="A5094" s="2" t="s">
        <v>8700</v>
      </c>
      <c r="B5094" s="2" t="s">
        <v>28</v>
      </c>
      <c r="C5094" s="11" t="s">
        <v>343</v>
      </c>
      <c r="D5094" s="2" t="s">
        <v>30</v>
      </c>
      <c r="E5094" s="2" t="s">
        <v>855</v>
      </c>
      <c r="F5094" s="11" t="s">
        <v>1662</v>
      </c>
      <c r="G5094" s="46" t="s">
        <v>1474</v>
      </c>
      <c r="H5094" s="2" t="s">
        <v>1475</v>
      </c>
      <c r="I5094" s="12" t="s">
        <v>1201</v>
      </c>
      <c r="J5094" s="41">
        <f>+Tabla1[[#This Row],[FECHA ENTRADA]]</f>
        <v>45689</v>
      </c>
      <c r="K5094" s="8">
        <f t="shared" ca="1" si="8"/>
        <v>46260</v>
      </c>
      <c r="L5094" s="42">
        <f ca="1">_xlfn.DAYS(Tabla1[[#This Row],[FECHA FIN ]],Tabla1[[#This Row],[FECHA INICIO]])</f>
        <v>571</v>
      </c>
      <c r="M5094" s="12"/>
      <c r="N5094" s="12"/>
      <c r="O5094" s="28">
        <f ca="1">(Tabla1[[#This Row],[COSTO FIJO ]]/30)*Tabla1[[#This Row],[TOTAL DIAS PROYECTO]]+(Tabla1[[#This Row],[COSTO TEMPORAL]])</f>
        <v>0</v>
      </c>
      <c r="P5094" s="12"/>
      <c r="Q5094" s="12">
        <f ca="1">+(Tabla1[[#This Row],[COSTO COCHE]]/30)*Tabla1[[#This Row],[TOTAL DIAS PROYECTO]]</f>
        <v>0</v>
      </c>
      <c r="R5094" s="12">
        <f ca="1">+Tabla1[[#This Row],[COSTO TOTAL ALOJAMIENTO]]+Tabla1[[#This Row],[COSTO TOTAL COCHE]]</f>
        <v>0</v>
      </c>
      <c r="S5094" s="2"/>
      <c r="T5094" s="2" t="s">
        <v>44</v>
      </c>
      <c r="U5094" s="14">
        <v>45689</v>
      </c>
      <c r="V5094" s="43">
        <v>45743</v>
      </c>
      <c r="W5094" s="26"/>
      <c r="X5094" s="2"/>
      <c r="Y5094" s="11" t="s">
        <v>1166</v>
      </c>
      <c r="Z5094" s="2" t="s">
        <v>36</v>
      </c>
      <c r="AA5094" s="13" t="s">
        <v>10401</v>
      </c>
      <c r="AB5094" s="13" t="s">
        <v>10402</v>
      </c>
    </row>
    <row r="5095" spans="1:28" ht="15" customHeight="1">
      <c r="A5095" s="2" t="s">
        <v>8814</v>
      </c>
      <c r="B5095" s="2" t="s">
        <v>368</v>
      </c>
      <c r="C5095" s="104" t="s">
        <v>870</v>
      </c>
      <c r="D5095" s="2" t="s">
        <v>30</v>
      </c>
      <c r="E5095" s="2" t="s">
        <v>213</v>
      </c>
      <c r="F5095" s="11" t="s">
        <v>1196</v>
      </c>
      <c r="G5095" s="21" t="s">
        <v>1197</v>
      </c>
      <c r="H5095" s="2" t="s">
        <v>1198</v>
      </c>
      <c r="I5095" s="12" t="s">
        <v>514</v>
      </c>
      <c r="J5095" s="22">
        <f>+Tabla1[[#This Row],[FECHA ENTRADA]]</f>
        <v>45582</v>
      </c>
      <c r="K5095" s="8">
        <f t="shared" ca="1" si="8"/>
        <v>46260</v>
      </c>
      <c r="L5095" s="23">
        <f ca="1">_xlfn.DAYS(Tabla1[[#This Row],[FECHA FIN ]],Tabla1[[#This Row],[FECHA INICIO]])</f>
        <v>678</v>
      </c>
      <c r="M5095" s="12"/>
      <c r="N5095" s="20">
        <v>410</v>
      </c>
      <c r="O5095" s="24">
        <f ca="1">(Tabla1[[#This Row],[COSTO FIJO ]]/30)*Tabla1[[#This Row],[TOTAL DIAS PROYECTO]]+(Tabla1[[#This Row],[COSTO TEMPORAL]])</f>
        <v>9266</v>
      </c>
      <c r="P5095" s="12">
        <f>2134.37/19</f>
        <v>112.33526315789473</v>
      </c>
      <c r="Q5095" s="12">
        <f ca="1">+(Tabla1[[#This Row],[COSTO COCHE]]/30)*Tabla1[[#This Row],[TOTAL DIAS PROYECTO]]</f>
        <v>2538.7769473684207</v>
      </c>
      <c r="R5095" s="12">
        <f ca="1">+Tabla1[[#This Row],[COSTO TOTAL ALOJAMIENTO]]+Tabla1[[#This Row],[COSTO TOTAL COCHE]]</f>
        <v>11804.77694736842</v>
      </c>
      <c r="S5095" s="2"/>
      <c r="T5095" s="2" t="s">
        <v>35</v>
      </c>
      <c r="U5095" s="14">
        <v>45582</v>
      </c>
      <c r="V5095" s="25"/>
      <c r="W5095" s="26"/>
      <c r="X5095" s="2">
        <v>1</v>
      </c>
      <c r="Y5095" s="11" t="s">
        <v>2776</v>
      </c>
      <c r="Z5095" s="2" t="s">
        <v>36</v>
      </c>
      <c r="AA5095" s="13" t="s">
        <v>10349</v>
      </c>
      <c r="AB5095" s="13" t="s">
        <v>10350</v>
      </c>
    </row>
    <row r="5096" spans="1:28" ht="15" customHeight="1">
      <c r="A5096" s="2" t="s">
        <v>10221</v>
      </c>
      <c r="B5096" s="2" t="s">
        <v>606</v>
      </c>
      <c r="C5096" s="31" t="s">
        <v>7218</v>
      </c>
      <c r="D5096" s="2" t="s">
        <v>30</v>
      </c>
      <c r="E5096" s="2" t="s">
        <v>109</v>
      </c>
      <c r="F5096" s="11" t="s">
        <v>4434</v>
      </c>
      <c r="G5096" s="49">
        <v>973266788</v>
      </c>
      <c r="H5096" s="2" t="s">
        <v>7192</v>
      </c>
      <c r="I5096" s="12" t="s">
        <v>42</v>
      </c>
      <c r="J5096" s="22">
        <f>+Tabla1[[#This Row],[FECHA ENTRADA]]</f>
        <v>45970</v>
      </c>
      <c r="K5096" s="8">
        <v>46072</v>
      </c>
      <c r="L5096" s="23">
        <f>_xlfn.DAYS(Tabla1[[#This Row],[FECHA FIN ]],Tabla1[[#This Row],[FECHA INICIO]])</f>
        <v>102</v>
      </c>
      <c r="M5096" s="12"/>
      <c r="N5096" s="24"/>
      <c r="O5096" s="24">
        <f>(Tabla1[[#This Row],[COSTO FIJO ]]/30)*Tabla1[[#This Row],[TOTAL DIAS PROYECTO]]+(Tabla1[[#This Row],[COSTO TEMPORAL]])</f>
        <v>0</v>
      </c>
      <c r="P5096" s="12"/>
      <c r="Q5096" s="12">
        <f>+(Tabla1[[#This Row],[COSTO COCHE]]/30)*Tabla1[[#This Row],[TOTAL DIAS PROYECTO]]</f>
        <v>0</v>
      </c>
      <c r="R5096" s="12">
        <f>+Tabla1[[#This Row],[COSTO TOTAL ALOJAMIENTO]]+Tabla1[[#This Row],[COSTO TOTAL COCHE]]</f>
        <v>0</v>
      </c>
      <c r="S5096" s="2"/>
      <c r="T5096" s="14" t="s">
        <v>44</v>
      </c>
      <c r="U5096" s="14">
        <v>45970</v>
      </c>
      <c r="V5096" s="79">
        <v>46072</v>
      </c>
      <c r="W5096" s="71"/>
      <c r="X5096" s="2"/>
      <c r="Y5096" s="11" t="s">
        <v>7219</v>
      </c>
      <c r="Z5096" s="2" t="s">
        <v>36</v>
      </c>
      <c r="AA5096" s="13">
        <v>0.62217999999999996</v>
      </c>
      <c r="AB5096" s="13" t="s">
        <v>10339</v>
      </c>
    </row>
    <row r="5097" spans="1:28" ht="15" customHeight="1">
      <c r="A5097" s="2" t="s">
        <v>10222</v>
      </c>
      <c r="B5097" s="2" t="s">
        <v>978</v>
      </c>
      <c r="C5097" s="69" t="s">
        <v>7220</v>
      </c>
      <c r="D5097" s="2" t="s">
        <v>99</v>
      </c>
      <c r="E5097" s="2" t="s">
        <v>109</v>
      </c>
      <c r="F5097" s="11" t="s">
        <v>2161</v>
      </c>
      <c r="G5097" s="49" t="s">
        <v>2162</v>
      </c>
      <c r="H5097" s="2" t="s">
        <v>7221</v>
      </c>
      <c r="I5097" s="12" t="s">
        <v>4681</v>
      </c>
      <c r="J5097" s="41">
        <f>+Tabla1[[#This Row],[FECHA ENTRADA]]</f>
        <v>45971</v>
      </c>
      <c r="K5097" s="22">
        <v>46065</v>
      </c>
      <c r="L5097" s="42">
        <f>_xlfn.DAYS(Tabla1[[#This Row],[FECHA FIN ]],Tabla1[[#This Row],[FECHA INICIO]])</f>
        <v>94</v>
      </c>
      <c r="M5097" s="12"/>
      <c r="N5097" s="28">
        <v>280</v>
      </c>
      <c r="O5097" s="28">
        <f>(Tabla1[[#This Row],[COSTO FIJO ]]/30)*Tabla1[[#This Row],[TOTAL DIAS PROYECTO]]+(Tabla1[[#This Row],[COSTO TEMPORAL]])</f>
        <v>877.33333333333337</v>
      </c>
      <c r="P5097" s="12"/>
      <c r="Q5097" s="12">
        <f>+(Tabla1[[#This Row],[COSTO COCHE]]/30)*Tabla1[[#This Row],[TOTAL DIAS PROYECTO]]</f>
        <v>0</v>
      </c>
      <c r="R5097" s="12">
        <f>+Tabla1[[#This Row],[COSTO TOTAL ALOJAMIENTO]]+Tabla1[[#This Row],[COSTO TOTAL COCHE]]</f>
        <v>877.33333333333337</v>
      </c>
      <c r="S5097" s="2"/>
      <c r="T5097" s="14" t="s">
        <v>35</v>
      </c>
      <c r="U5097" s="14">
        <v>45971</v>
      </c>
      <c r="V5097" s="43"/>
      <c r="W5097" s="71"/>
      <c r="X5097" s="2">
        <v>10</v>
      </c>
      <c r="Y5097" s="11" t="s">
        <v>6760</v>
      </c>
      <c r="Z5097" s="2" t="s">
        <v>36</v>
      </c>
      <c r="AA5097" s="13">
        <v>0.62217999999999996</v>
      </c>
      <c r="AB5097" s="13" t="s">
        <v>10339</v>
      </c>
    </row>
    <row r="5098" spans="1:28" ht="15" customHeight="1">
      <c r="A5098" s="2" t="s">
        <v>10223</v>
      </c>
      <c r="B5098" s="2" t="s">
        <v>28</v>
      </c>
      <c r="C5098" s="11" t="s">
        <v>7222</v>
      </c>
      <c r="D5098" s="2" t="s">
        <v>30</v>
      </c>
      <c r="E5098" s="2" t="s">
        <v>92</v>
      </c>
      <c r="F5098" s="11" t="s">
        <v>585</v>
      </c>
      <c r="G5098" s="11" t="s">
        <v>94</v>
      </c>
      <c r="H5098" s="2" t="s">
        <v>586</v>
      </c>
      <c r="I5098" s="12" t="s">
        <v>96</v>
      </c>
      <c r="J5098" s="8">
        <f>+Tabla1[[#This Row],[FECHA ENTRADA]]</f>
        <v>45319</v>
      </c>
      <c r="K5098" s="22">
        <v>45821</v>
      </c>
      <c r="L5098" s="13">
        <f>_xlfn.DAYS(Tabla1[[#This Row],[FECHA FIN ]],Tabla1[[#This Row],[FECHA INICIO]])</f>
        <v>502</v>
      </c>
      <c r="M5098" s="12"/>
      <c r="N5098" s="12">
        <f>1811.6/17</f>
        <v>106.56470588235294</v>
      </c>
      <c r="O5098" s="12">
        <f>(Tabla1[[#This Row],[COSTO FIJO ]]/30)*Tabla1[[#This Row],[TOTAL DIAS PROYECTO]]+(Tabla1[[#This Row],[COSTO TEMPORAL]])</f>
        <v>1783.1827450980393</v>
      </c>
      <c r="P5098" s="12"/>
      <c r="Q5098" s="12">
        <f>+(Tabla1[[#This Row],[COSTO COCHE]]/30)*Tabla1[[#This Row],[TOTAL DIAS PROYECTO]]</f>
        <v>0</v>
      </c>
      <c r="R5098" s="12">
        <f>+Tabla1[[#This Row],[COSTO TOTAL ALOJAMIENTO]]+Tabla1[[#This Row],[COSTO TOTAL COCHE]]</f>
        <v>1783.1827450980393</v>
      </c>
      <c r="S5098" s="2"/>
      <c r="T5098" s="2" t="s">
        <v>44</v>
      </c>
      <c r="U5098" s="14">
        <v>45319</v>
      </c>
      <c r="V5098" s="14"/>
      <c r="W5098" s="15"/>
      <c r="X5098" s="16">
        <v>28</v>
      </c>
      <c r="Y5098" s="11"/>
      <c r="Z5098" s="2" t="s">
        <v>36</v>
      </c>
      <c r="AA5098" s="13" t="s">
        <v>10336</v>
      </c>
      <c r="AB5098" s="13" t="s">
        <v>10337</v>
      </c>
    </row>
    <row r="5099" spans="1:28" ht="15" customHeight="1">
      <c r="A5099" s="2" t="s">
        <v>8700</v>
      </c>
      <c r="B5099" s="2" t="s">
        <v>28</v>
      </c>
      <c r="C5099" s="11" t="s">
        <v>343</v>
      </c>
      <c r="D5099" s="2" t="s">
        <v>30</v>
      </c>
      <c r="E5099" s="2" t="s">
        <v>855</v>
      </c>
      <c r="F5099" s="11" t="s">
        <v>7223</v>
      </c>
      <c r="G5099" s="49" t="s">
        <v>1474</v>
      </c>
      <c r="H5099" s="2" t="s">
        <v>1475</v>
      </c>
      <c r="I5099" s="12" t="s">
        <v>1201</v>
      </c>
      <c r="J5099" s="41">
        <f>+Tabla1[[#This Row],[FECHA ENTRADA]]</f>
        <v>45743</v>
      </c>
      <c r="K5099" s="41">
        <f ca="1">TODAY()</f>
        <v>46260</v>
      </c>
      <c r="L5099" s="42">
        <f ca="1">_xlfn.DAYS(Tabla1[[#This Row],[FECHA FIN ]],Tabla1[[#This Row],[FECHA INICIO]])</f>
        <v>517</v>
      </c>
      <c r="M5099" s="12"/>
      <c r="N5099" s="12">
        <v>140</v>
      </c>
      <c r="O5099" s="28">
        <f ca="1">(Tabla1[[#This Row],[COSTO FIJO ]]/30)*Tabla1[[#This Row],[TOTAL DIAS PROYECTO]]+(Tabla1[[#This Row],[COSTO TEMPORAL]])</f>
        <v>2412.666666666667</v>
      </c>
      <c r="P5099" s="12"/>
      <c r="Q5099" s="12">
        <f ca="1">+(Tabla1[[#This Row],[COSTO COCHE]]/30)*Tabla1[[#This Row],[TOTAL DIAS PROYECTO]]</f>
        <v>0</v>
      </c>
      <c r="R5099" s="12">
        <f ca="1">+Tabla1[[#This Row],[COSTO TOTAL ALOJAMIENTO]]+Tabla1[[#This Row],[COSTO TOTAL COCHE]]</f>
        <v>2412.666666666667</v>
      </c>
      <c r="S5099" s="2"/>
      <c r="T5099" s="2" t="s">
        <v>528</v>
      </c>
      <c r="U5099" s="14">
        <v>45743</v>
      </c>
      <c r="V5099" s="43">
        <v>45750</v>
      </c>
      <c r="W5099" s="26"/>
      <c r="X5099" s="2"/>
      <c r="Y5099" s="11"/>
      <c r="Z5099" s="2" t="s">
        <v>36</v>
      </c>
      <c r="AA5099" s="13" t="s">
        <v>10401</v>
      </c>
      <c r="AB5099" s="13" t="s">
        <v>10402</v>
      </c>
    </row>
    <row r="5100" spans="1:28" ht="15" customHeight="1">
      <c r="A5100" s="2" t="s">
        <v>9173</v>
      </c>
      <c r="B5100" s="2" t="s">
        <v>368</v>
      </c>
      <c r="C5100" s="11" t="s">
        <v>2315</v>
      </c>
      <c r="D5100" s="2" t="s">
        <v>30</v>
      </c>
      <c r="E5100" s="2" t="s">
        <v>55</v>
      </c>
      <c r="F5100" s="11" t="s">
        <v>3244</v>
      </c>
      <c r="G5100" s="46" t="s">
        <v>3245</v>
      </c>
      <c r="H5100" s="2" t="s">
        <v>1622</v>
      </c>
      <c r="I5100" s="30" t="s">
        <v>1620</v>
      </c>
      <c r="J5100" s="41">
        <f>+Tabla1[[#This Row],[FECHA ENTRADA]]</f>
        <v>45670</v>
      </c>
      <c r="K5100" s="8">
        <f ca="1">TODAY()</f>
        <v>46260</v>
      </c>
      <c r="L5100" s="42">
        <f ca="1">_xlfn.DAYS(Tabla1[[#This Row],[FECHA FIN ]],Tabla1[[#This Row],[FECHA INICIO]])</f>
        <v>590</v>
      </c>
      <c r="M5100" s="12"/>
      <c r="N5100" s="12"/>
      <c r="O5100" s="28">
        <f ca="1">(Tabla1[[#This Row],[COSTO FIJO ]]/30)*Tabla1[[#This Row],[TOTAL DIAS PROYECTO]]+(Tabla1[[#This Row],[COSTO TEMPORAL]])</f>
        <v>0</v>
      </c>
      <c r="P5100" s="12"/>
      <c r="Q5100" s="12"/>
      <c r="R5100" s="12">
        <f ca="1">+Tabla1[[#This Row],[COSTO TOTAL ALOJAMIENTO]]+Tabla1[[#This Row],[COSTO TOTAL COCHE]]</f>
        <v>0</v>
      </c>
      <c r="S5100" s="2"/>
      <c r="T5100" s="2" t="s">
        <v>44</v>
      </c>
      <c r="U5100" s="14">
        <v>45670</v>
      </c>
      <c r="V5100" s="43">
        <v>45678</v>
      </c>
      <c r="W5100" s="26"/>
      <c r="X5100" s="2"/>
      <c r="Y5100" s="11" t="s">
        <v>1166</v>
      </c>
      <c r="Z5100" s="2" t="s">
        <v>36</v>
      </c>
      <c r="AA5100" s="13" t="s">
        <v>10327</v>
      </c>
      <c r="AB5100" s="13" t="s">
        <v>10328</v>
      </c>
    </row>
    <row r="5101" spans="1:28" ht="15" customHeight="1">
      <c r="A5101" s="2" t="s">
        <v>8943</v>
      </c>
      <c r="B5101" s="2" t="s">
        <v>28</v>
      </c>
      <c r="C5101" s="11" t="s">
        <v>1377</v>
      </c>
      <c r="D5101" s="2" t="s">
        <v>99</v>
      </c>
      <c r="E5101" s="2" t="s">
        <v>939</v>
      </c>
      <c r="F5101" s="11" t="s">
        <v>2440</v>
      </c>
      <c r="G5101" s="49" t="s">
        <v>2441</v>
      </c>
      <c r="H5101" s="2" t="s">
        <v>2698</v>
      </c>
      <c r="I5101" s="10" t="s">
        <v>943</v>
      </c>
      <c r="J5101" s="22">
        <f>+Tabla1[[#This Row],[FECHA ENTRADA]]</f>
        <v>45758</v>
      </c>
      <c r="K5101" s="8">
        <f ca="1">TODAY()</f>
        <v>46260</v>
      </c>
      <c r="L5101" s="23">
        <f ca="1">_xlfn.DAYS(Tabla1[[#This Row],[FECHA FIN ]],Tabla1[[#This Row],[FECHA INICIO]])</f>
        <v>502</v>
      </c>
      <c r="M5101" s="12"/>
      <c r="N5101" s="20"/>
      <c r="O5101" s="24">
        <f ca="1">(Tabla1[[#This Row],[COSTO FIJO ]]/30)*Tabla1[[#This Row],[TOTAL DIAS PROYECTO]]+(Tabla1[[#This Row],[COSTO TEMPORAL]])</f>
        <v>0</v>
      </c>
      <c r="P5101" s="12"/>
      <c r="Q5101" s="12">
        <f ca="1">+(Tabla1[[#This Row],[COSTO COCHE]]/30)*Tabla1[[#This Row],[TOTAL DIAS PROYECTO]]</f>
        <v>0</v>
      </c>
      <c r="R5101" s="12">
        <f ca="1">+Tabla1[[#This Row],[COSTO TOTAL ALOJAMIENTO]]+Tabla1[[#This Row],[COSTO TOTAL COCHE]]</f>
        <v>0</v>
      </c>
      <c r="S5101" s="2"/>
      <c r="T5101" s="14" t="s">
        <v>44</v>
      </c>
      <c r="U5101" s="14">
        <v>45758</v>
      </c>
      <c r="V5101" s="14">
        <v>45760</v>
      </c>
      <c r="W5101" s="2"/>
      <c r="X5101" s="2"/>
      <c r="Y5101" s="11" t="s">
        <v>1166</v>
      </c>
      <c r="Z5101" s="2" t="s">
        <v>36</v>
      </c>
      <c r="AA5101" s="13" t="s">
        <v>10405</v>
      </c>
      <c r="AB5101" s="13" t="s">
        <v>10406</v>
      </c>
    </row>
    <row r="5102" spans="1:28" ht="15" customHeight="1">
      <c r="A5102" s="2" t="s">
        <v>9244</v>
      </c>
      <c r="B5102" s="2" t="s">
        <v>711</v>
      </c>
      <c r="C5102" s="31" t="s">
        <v>2566</v>
      </c>
      <c r="D5102" s="2" t="s">
        <v>30</v>
      </c>
      <c r="E5102" s="2" t="s">
        <v>31</v>
      </c>
      <c r="F5102" s="11" t="s">
        <v>1004</v>
      </c>
      <c r="G5102" s="51" t="s">
        <v>1005</v>
      </c>
      <c r="H5102" s="2" t="s">
        <v>7224</v>
      </c>
      <c r="I5102" s="12" t="s">
        <v>5601</v>
      </c>
      <c r="J5102" s="22">
        <f>+Tabla1[[#This Row],[FECHA ENTRADA]]</f>
        <v>45917</v>
      </c>
      <c r="K5102" s="22">
        <v>45954</v>
      </c>
      <c r="L5102" s="23">
        <f>_xlfn.DAYS(Tabla1[[#This Row],[FECHA FIN ]],Tabla1[[#This Row],[FECHA INICIO]])</f>
        <v>37</v>
      </c>
      <c r="M5102" s="12"/>
      <c r="N5102" s="24">
        <v>320</v>
      </c>
      <c r="O5102" s="24">
        <f>(Tabla1[[#This Row],[COSTO FIJO ]]/30)*Tabla1[[#This Row],[TOTAL DIAS PROYECTO]]+(Tabla1[[#This Row],[COSTO TEMPORAL]])</f>
        <v>394.66666666666663</v>
      </c>
      <c r="P5102" s="12"/>
      <c r="Q5102" s="12">
        <f>+(Tabla1[[#This Row],[COSTO COCHE]]/30)*Tabla1[[#This Row],[TOTAL DIAS PROYECTO]]</f>
        <v>0</v>
      </c>
      <c r="R5102" s="12">
        <f>+Tabla1[[#This Row],[COSTO TOTAL ALOJAMIENTO]]+Tabla1[[#This Row],[COSTO TOTAL COCHE]]</f>
        <v>394.66666666666663</v>
      </c>
      <c r="S5102" s="2"/>
      <c r="T5102" s="14" t="s">
        <v>35</v>
      </c>
      <c r="U5102" s="14">
        <v>45917</v>
      </c>
      <c r="V5102" s="79"/>
      <c r="W5102" s="71"/>
      <c r="X5102" s="2">
        <v>1</v>
      </c>
      <c r="Y5102" s="11" t="s">
        <v>7225</v>
      </c>
      <c r="Z5102" s="2" t="s">
        <v>36</v>
      </c>
      <c r="AA5102" s="13" t="s">
        <v>10323</v>
      </c>
      <c r="AB5102" s="13" t="s">
        <v>10324</v>
      </c>
    </row>
    <row r="5103" spans="1:28" ht="15" customHeight="1">
      <c r="A5103" s="2" t="s">
        <v>8832</v>
      </c>
      <c r="B5103" s="2" t="s">
        <v>28</v>
      </c>
      <c r="C5103" s="11" t="s">
        <v>938</v>
      </c>
      <c r="D5103" s="2" t="s">
        <v>99</v>
      </c>
      <c r="E5103" s="2" t="s">
        <v>939</v>
      </c>
      <c r="F5103" s="11" t="s">
        <v>2440</v>
      </c>
      <c r="G5103" s="49" t="s">
        <v>2441</v>
      </c>
      <c r="H5103" s="2" t="s">
        <v>2698</v>
      </c>
      <c r="I5103" s="10" t="s">
        <v>943</v>
      </c>
      <c r="J5103" s="22">
        <f>+Tabla1[[#This Row],[FECHA ENTRADA]]</f>
        <v>45758</v>
      </c>
      <c r="K5103" s="8">
        <f ca="1">TODAY()</f>
        <v>46260</v>
      </c>
      <c r="L5103" s="23">
        <f ca="1">_xlfn.DAYS(Tabla1[[#This Row],[FECHA FIN ]],Tabla1[[#This Row],[FECHA INICIO]])</f>
        <v>502</v>
      </c>
      <c r="M5103" s="12">
        <f>79.2/2</f>
        <v>39.6</v>
      </c>
      <c r="N5103" s="20"/>
      <c r="O5103" s="24">
        <f ca="1">(Tabla1[[#This Row],[COSTO FIJO ]]/30)*Tabla1[[#This Row],[TOTAL DIAS PROYECTO]]+(Tabla1[[#This Row],[COSTO TEMPORAL]])</f>
        <v>39.6</v>
      </c>
      <c r="P5103" s="12"/>
      <c r="Q5103" s="12">
        <f ca="1">+(Tabla1[[#This Row],[COSTO COCHE]]/30)*Tabla1[[#This Row],[TOTAL DIAS PROYECTO]]</f>
        <v>0</v>
      </c>
      <c r="R5103" s="12">
        <f ca="1">+Tabla1[[#This Row],[COSTO TOTAL ALOJAMIENTO]]+Tabla1[[#This Row],[COSTO TOTAL COCHE]]</f>
        <v>39.6</v>
      </c>
      <c r="S5103" s="2"/>
      <c r="T5103" s="14" t="s">
        <v>44</v>
      </c>
      <c r="U5103" s="14">
        <v>45758</v>
      </c>
      <c r="V5103" s="14">
        <v>45760</v>
      </c>
      <c r="W5103" s="2"/>
      <c r="X5103" s="2"/>
      <c r="Y5103" s="11" t="s">
        <v>1166</v>
      </c>
      <c r="Z5103" s="2" t="s">
        <v>36</v>
      </c>
      <c r="AA5103" s="13" t="s">
        <v>10405</v>
      </c>
      <c r="AB5103" s="13" t="s">
        <v>10406</v>
      </c>
    </row>
    <row r="5104" spans="1:28" ht="15" customHeight="1">
      <c r="A5104" s="2" t="s">
        <v>10168</v>
      </c>
      <c r="B5104" s="2" t="s">
        <v>28</v>
      </c>
      <c r="C5104" s="252" t="s">
        <v>6870</v>
      </c>
      <c r="D5104" s="2" t="s">
        <v>749</v>
      </c>
      <c r="E5104" s="2" t="s">
        <v>288</v>
      </c>
      <c r="F5104" s="11" t="s">
        <v>4873</v>
      </c>
      <c r="G5104" s="21" t="s">
        <v>4752</v>
      </c>
      <c r="H5104" s="2" t="s">
        <v>7195</v>
      </c>
      <c r="I5104" s="12" t="s">
        <v>753</v>
      </c>
      <c r="J5104" s="22">
        <f>+Tabla1[[#This Row],[FECHA ENTRADA]]</f>
        <v>45983</v>
      </c>
      <c r="K5104" s="22">
        <v>46022</v>
      </c>
      <c r="L5104" s="23">
        <f>_xlfn.DAYS(Tabla1[[#This Row],[FECHA FIN ]],Tabla1[[#This Row],[FECHA INICIO]])</f>
        <v>39</v>
      </c>
      <c r="M5104" s="12">
        <v>500</v>
      </c>
      <c r="N5104" s="20"/>
      <c r="O5104" s="24">
        <f>(Tabla1[[#This Row],[COSTO FIJO ]]/30)*Tabla1[[#This Row],[TOTAL DIAS PROYECTO]]+(Tabla1[[#This Row],[COSTO TEMPORAL]])</f>
        <v>500</v>
      </c>
      <c r="P5104" s="12"/>
      <c r="Q5104" s="12">
        <f>+(Tabla1[[#This Row],[COSTO COCHE]]/30)*Tabla1[[#This Row],[TOTAL DIAS PROYECTO]]</f>
        <v>0</v>
      </c>
      <c r="R5104" s="12">
        <f>+Tabla1[[#This Row],[COSTO TOTAL ALOJAMIENTO]]+Tabla1[[#This Row],[COSTO TOTAL COCHE]]</f>
        <v>500</v>
      </c>
      <c r="S5104" s="2"/>
      <c r="T5104" s="14" t="s">
        <v>44</v>
      </c>
      <c r="U5104" s="14">
        <v>45983</v>
      </c>
      <c r="V5104" s="25">
        <v>46023</v>
      </c>
      <c r="W5104" s="71"/>
      <c r="X5104" s="2"/>
      <c r="Y5104" s="11" t="s">
        <v>7226</v>
      </c>
      <c r="Z5104" s="2" t="s">
        <v>36</v>
      </c>
      <c r="AA5104" s="13" t="s">
        <v>10362</v>
      </c>
      <c r="AB5104" s="13" t="s">
        <v>10363</v>
      </c>
    </row>
    <row r="5105" spans="1:28" ht="15" customHeight="1">
      <c r="A5105" s="2" t="s">
        <v>10117</v>
      </c>
      <c r="B5105" s="2" t="s">
        <v>711</v>
      </c>
      <c r="C5105" s="11" t="s">
        <v>6481</v>
      </c>
      <c r="D5105" s="2" t="s">
        <v>99</v>
      </c>
      <c r="E5105" s="2" t="s">
        <v>422</v>
      </c>
      <c r="F5105" s="11" t="s">
        <v>1375</v>
      </c>
      <c r="G5105" t="s">
        <v>1376</v>
      </c>
      <c r="H5105" s="2" t="s">
        <v>7045</v>
      </c>
      <c r="I5105" s="12" t="s">
        <v>3515</v>
      </c>
      <c r="J5105" s="41">
        <f>+Tabla1[[#This Row],[FECHA ENTRADA]]</f>
        <v>45922</v>
      </c>
      <c r="K5105" s="22">
        <v>45943</v>
      </c>
      <c r="L5105" s="42">
        <f>_xlfn.DAYS(Tabla1[[#This Row],[FECHA FIN ]],Tabla1[[#This Row],[FECHA INICIO]])</f>
        <v>21</v>
      </c>
      <c r="M5105" s="12"/>
      <c r="N5105" s="12">
        <v>350</v>
      </c>
      <c r="O5105" s="28">
        <f>(Tabla1[[#This Row],[COSTO FIJO ]]/30)*Tabla1[[#This Row],[TOTAL DIAS PROYECTO]]+(Tabla1[[#This Row],[COSTO TEMPORAL]])</f>
        <v>245</v>
      </c>
      <c r="P5105" s="12"/>
      <c r="Q5105" s="12">
        <f>+(Tabla1[[#This Row],[COSTO COCHE]]/30)*Tabla1[[#This Row],[TOTAL DIAS PROYECTO]]</f>
        <v>0</v>
      </c>
      <c r="R5105" s="12">
        <f>+Tabla1[[#This Row],[COSTO TOTAL ALOJAMIENTO]]+Tabla1[[#This Row],[COSTO TOTAL COCHE]]</f>
        <v>245</v>
      </c>
      <c r="S5105" s="2"/>
      <c r="T5105" s="14" t="s">
        <v>35</v>
      </c>
      <c r="U5105" s="14">
        <v>45922</v>
      </c>
      <c r="V5105" s="43"/>
      <c r="W5105" s="71"/>
      <c r="X5105" s="2">
        <v>5</v>
      </c>
      <c r="Y5105" s="11" t="s">
        <v>7227</v>
      </c>
      <c r="Z5105" s="2" t="s">
        <v>36</v>
      </c>
      <c r="AA5105" s="13">
        <v>-326.69799999999998</v>
      </c>
      <c r="AB5105" s="13" t="s">
        <v>10373</v>
      </c>
    </row>
    <row r="5106" spans="1:28" ht="15" customHeight="1">
      <c r="A5106" s="2" t="s">
        <v>9527</v>
      </c>
      <c r="B5106" s="2" t="s">
        <v>711</v>
      </c>
      <c r="C5106" s="212" t="s">
        <v>3541</v>
      </c>
      <c r="D5106" s="2" t="s">
        <v>30</v>
      </c>
      <c r="E5106" s="2" t="s">
        <v>422</v>
      </c>
      <c r="F5106" s="11" t="s">
        <v>1375</v>
      </c>
      <c r="G5106" s="70" t="s">
        <v>1376</v>
      </c>
      <c r="H5106" s="2" t="s">
        <v>7228</v>
      </c>
      <c r="I5106" s="91" t="s">
        <v>2443</v>
      </c>
      <c r="J5106" s="22">
        <f>+Tabla1[[#This Row],[FECHA ENTRADA]]</f>
        <v>45944</v>
      </c>
      <c r="K5106" s="8">
        <v>46097</v>
      </c>
      <c r="L5106" s="23">
        <f>_xlfn.DAYS(Tabla1[[#This Row],[FECHA FIN ]],Tabla1[[#This Row],[FECHA INICIO]])</f>
        <v>153</v>
      </c>
      <c r="M5106" s="12"/>
      <c r="N5106" s="12">
        <v>262.5</v>
      </c>
      <c r="O5106" s="24">
        <f>(Tabla1[[#This Row],[COSTO FIJO ]]/30)*Tabla1[[#This Row],[TOTAL DIAS PROYECTO]]+(Tabla1[[#This Row],[COSTO TEMPORAL]])</f>
        <v>1338.75</v>
      </c>
      <c r="P5106" s="12"/>
      <c r="Q5106" s="12">
        <f>+(Tabla1[[#This Row],[COSTO COCHE]]/30)*Tabla1[[#This Row],[TOTAL DIAS PROYECTO]]</f>
        <v>0</v>
      </c>
      <c r="R5106" s="12">
        <f>+Tabla1[[#This Row],[COSTO TOTAL ALOJAMIENTO]]+Tabla1[[#This Row],[COSTO TOTAL COCHE]]</f>
        <v>1338.75</v>
      </c>
      <c r="S5106" s="2"/>
      <c r="T5106" s="14" t="s">
        <v>35</v>
      </c>
      <c r="U5106" s="14">
        <v>45944</v>
      </c>
      <c r="V5106" s="25"/>
      <c r="W5106" s="71"/>
      <c r="X5106" s="2">
        <v>5</v>
      </c>
      <c r="Y5106" s="11" t="s">
        <v>7229</v>
      </c>
      <c r="Z5106" s="2" t="s">
        <v>36</v>
      </c>
      <c r="AA5106" s="13">
        <v>-326.69799999999998</v>
      </c>
      <c r="AB5106" s="13" t="s">
        <v>10373</v>
      </c>
    </row>
    <row r="5107" spans="1:28" ht="15" customHeight="1">
      <c r="A5107" s="2" t="s">
        <v>10223</v>
      </c>
      <c r="B5107" s="2" t="s">
        <v>28</v>
      </c>
      <c r="C5107" s="11" t="s">
        <v>7222</v>
      </c>
      <c r="D5107" s="2" t="s">
        <v>30</v>
      </c>
      <c r="E5107" s="2" t="s">
        <v>686</v>
      </c>
      <c r="F5107" s="11" t="s">
        <v>4517</v>
      </c>
      <c r="G5107" s="21" t="s">
        <v>4518</v>
      </c>
      <c r="H5107" s="2" t="s">
        <v>4519</v>
      </c>
      <c r="I5107" s="12" t="s">
        <v>96</v>
      </c>
      <c r="J5107" s="22">
        <f>+Tabla1[[#This Row],[FECHA ENTRADA]]</f>
        <v>45683</v>
      </c>
      <c r="K5107" s="22">
        <v>45821</v>
      </c>
      <c r="L5107" s="23">
        <f>_xlfn.DAYS(Tabla1[[#This Row],[FECHA FIN ]],Tabla1[[#This Row],[FECHA INICIO]])</f>
        <v>138</v>
      </c>
      <c r="M5107" s="12"/>
      <c r="N5107" s="12">
        <f>1811.6/17</f>
        <v>106.56470588235294</v>
      </c>
      <c r="O5107" s="24">
        <f>(Tabla1[[#This Row],[COSTO FIJO ]]/30)*Tabla1[[#This Row],[TOTAL DIAS PROYECTO]]+(Tabla1[[#This Row],[COSTO TEMPORAL]])</f>
        <v>490.19764705882352</v>
      </c>
      <c r="P5107" s="12"/>
      <c r="Q5107" s="12">
        <f>+(Tabla1[[#This Row],[COSTO COCHE]]/30)*Tabla1[[#This Row],[TOTAL DIAS PROYECTO]]</f>
        <v>0</v>
      </c>
      <c r="R5107" s="12">
        <f>+Tabla1[[#This Row],[COSTO TOTAL ALOJAMIENTO]]+Tabla1[[#This Row],[COSTO TOTAL COCHE]]</f>
        <v>490.19764705882352</v>
      </c>
      <c r="S5107" s="2"/>
      <c r="T5107" s="2" t="s">
        <v>44</v>
      </c>
      <c r="U5107" s="14">
        <v>45683</v>
      </c>
      <c r="V5107" s="79">
        <v>45688</v>
      </c>
      <c r="W5107" s="26"/>
      <c r="X5107" s="2"/>
      <c r="Y5107" s="11"/>
      <c r="Z5107" s="2" t="s">
        <v>36</v>
      </c>
      <c r="AA5107" s="13" t="s">
        <v>10393</v>
      </c>
      <c r="AB5107" s="13">
        <v>3834517</v>
      </c>
    </row>
    <row r="5108" spans="1:28" ht="15" customHeight="1">
      <c r="A5108" s="2" t="s">
        <v>9021</v>
      </c>
      <c r="B5108" s="2" t="s">
        <v>368</v>
      </c>
      <c r="C5108" s="11" t="s">
        <v>1715</v>
      </c>
      <c r="D5108" s="2" t="s">
        <v>99</v>
      </c>
      <c r="E5108" s="2" t="s">
        <v>1161</v>
      </c>
      <c r="F5108" s="11" t="s">
        <v>7230</v>
      </c>
      <c r="G5108" s="46">
        <v>956620024</v>
      </c>
      <c r="H5108" s="2" t="s">
        <v>2573</v>
      </c>
      <c r="I5108" s="12" t="s">
        <v>2228</v>
      </c>
      <c r="J5108" s="41">
        <f>+Tabla1[[#This Row],[FECHA ENTRADA]]</f>
        <v>45817</v>
      </c>
      <c r="K5108" s="41">
        <f t="shared" ref="K5108:K5115" ca="1" si="9">TODAY()</f>
        <v>46260</v>
      </c>
      <c r="L5108" s="42">
        <f ca="1">_xlfn.DAYS(Tabla1[[#This Row],[FECHA FIN ]],Tabla1[[#This Row],[FECHA INICIO]])</f>
        <v>443</v>
      </c>
      <c r="M5108" s="12"/>
      <c r="N5108" s="28">
        <v>99</v>
      </c>
      <c r="O5108" s="28">
        <f ca="1">(Tabla1[[#This Row],[COSTO FIJO ]]/30)*Tabla1[[#This Row],[TOTAL DIAS PROYECTO]]+(Tabla1[[#This Row],[COSTO TEMPORAL]])</f>
        <v>1461.8999999999999</v>
      </c>
      <c r="P5108" s="12"/>
      <c r="Q5108" s="12">
        <f ca="1">+(Tabla1[[#This Row],[COSTO COCHE]]/30)*Tabla1[[#This Row],[TOTAL DIAS PROYECTO]]</f>
        <v>0</v>
      </c>
      <c r="R5108" s="12">
        <f ca="1">+Tabla1[[#This Row],[COSTO TOTAL ALOJAMIENTO]]+Tabla1[[#This Row],[COSTO TOTAL COCHE]]</f>
        <v>1461.8999999999999</v>
      </c>
      <c r="S5108" s="2"/>
      <c r="T5108" s="2" t="s">
        <v>44</v>
      </c>
      <c r="U5108" s="14">
        <v>45817</v>
      </c>
      <c r="V5108" s="43">
        <v>45821</v>
      </c>
      <c r="W5108" s="2"/>
      <c r="X5108" s="2"/>
      <c r="Y5108" s="11"/>
      <c r="Z5108" s="2" t="s">
        <v>36</v>
      </c>
      <c r="AA5108" s="13" t="s">
        <v>10413</v>
      </c>
      <c r="AB5108" s="13">
        <v>3652672</v>
      </c>
    </row>
    <row r="5109" spans="1:28" ht="15" customHeight="1">
      <c r="A5109" s="2" t="s">
        <v>8884</v>
      </c>
      <c r="B5109" s="2" t="s">
        <v>28</v>
      </c>
      <c r="C5109" s="31" t="s">
        <v>1160</v>
      </c>
      <c r="D5109" s="2" t="s">
        <v>30</v>
      </c>
      <c r="E5109" s="2" t="s">
        <v>1393</v>
      </c>
      <c r="F5109" s="11" t="s">
        <v>4053</v>
      </c>
      <c r="G5109" s="46" t="s">
        <v>4054</v>
      </c>
      <c r="H5109" s="2" t="s">
        <v>1396</v>
      </c>
      <c r="I5109" s="12" t="s">
        <v>1067</v>
      </c>
      <c r="J5109" s="41">
        <f>+Tabla1[[#This Row],[FECHA ENTRADA]]</f>
        <v>45821</v>
      </c>
      <c r="K5109" s="22">
        <f t="shared" ca="1" si="9"/>
        <v>46260</v>
      </c>
      <c r="L5109" s="42">
        <f ca="1">_xlfn.DAYS(Tabla1[[#This Row],[FECHA FIN ]],Tabla1[[#This Row],[FECHA INICIO]])</f>
        <v>439</v>
      </c>
      <c r="M5109" s="12"/>
      <c r="N5109" s="28"/>
      <c r="O5109" s="28">
        <f ca="1">(Tabla1[[#This Row],[COSTO FIJO ]]/30)*Tabla1[[#This Row],[TOTAL DIAS PROYECTO]]+(Tabla1[[#This Row],[COSTO TEMPORAL]])</f>
        <v>0</v>
      </c>
      <c r="P5109" s="12"/>
      <c r="Q5109" s="12">
        <f ca="1">+(Tabla1[[#This Row],[COSTO COCHE]]/30)*Tabla1[[#This Row],[TOTAL DIAS PROYECTO]]</f>
        <v>0</v>
      </c>
      <c r="R5109" s="12">
        <f ca="1">+Tabla1[[#This Row],[COSTO TOTAL ALOJAMIENTO]]+Tabla1[[#This Row],[COSTO TOTAL COCHE]]</f>
        <v>0</v>
      </c>
      <c r="S5109" s="2"/>
      <c r="T5109" s="2" t="s">
        <v>44</v>
      </c>
      <c r="U5109" s="14">
        <v>45821</v>
      </c>
      <c r="V5109" s="43">
        <v>45828</v>
      </c>
      <c r="W5109" s="2"/>
      <c r="X5109" s="2"/>
      <c r="Y5109" s="11"/>
      <c r="Z5109" s="2" t="s">
        <v>36</v>
      </c>
      <c r="AA5109" s="13" t="s">
        <v>10416</v>
      </c>
      <c r="AB5109" s="13" t="s">
        <v>10417</v>
      </c>
    </row>
    <row r="5110" spans="1:28" ht="15" customHeight="1">
      <c r="A5110" s="2" t="s">
        <v>8642</v>
      </c>
      <c r="B5110" s="2" t="s">
        <v>368</v>
      </c>
      <c r="C5110" s="11" t="s">
        <v>3516</v>
      </c>
      <c r="D5110" s="2" t="s">
        <v>99</v>
      </c>
      <c r="E5110" s="2" t="s">
        <v>855</v>
      </c>
      <c r="F5110" s="11" t="s">
        <v>1662</v>
      </c>
      <c r="G5110" s="49" t="s">
        <v>1474</v>
      </c>
      <c r="H5110" s="2" t="s">
        <v>2196</v>
      </c>
      <c r="I5110" s="12" t="s">
        <v>1288</v>
      </c>
      <c r="J5110" s="41">
        <f>+Tabla1[[#This Row],[FECHA ENTRADA]]</f>
        <v>45808</v>
      </c>
      <c r="K5110" s="8">
        <f t="shared" ca="1" si="9"/>
        <v>46260</v>
      </c>
      <c r="L5110" s="23">
        <f ca="1">_xlfn.DAYS(Tabla1[[#This Row],[FECHA FIN ]],Tabla1[[#This Row],[FECHA INICIO]])</f>
        <v>452</v>
      </c>
      <c r="M5110" s="12"/>
      <c r="N5110" s="12">
        <v>325</v>
      </c>
      <c r="O5110" s="24">
        <f ca="1">(Tabla1[[#This Row],[COSTO FIJO ]]/30)*Tabla1[[#This Row],[TOTAL DIAS PROYECTO]]+(Tabla1[[#This Row],[COSTO TEMPORAL]])</f>
        <v>4896.666666666667</v>
      </c>
      <c r="P5110" s="12"/>
      <c r="Q5110" s="12">
        <f ca="1">+(Tabla1[[#This Row],[COSTO COCHE]]/30)*Tabla1[[#This Row],[TOTAL DIAS PROYECTO]]</f>
        <v>0</v>
      </c>
      <c r="R5110" s="12">
        <f ca="1">+Tabla1[[#This Row],[COSTO TOTAL ALOJAMIENTO]]+Tabla1[[#This Row],[COSTO TOTAL COCHE]]</f>
        <v>4896.666666666667</v>
      </c>
      <c r="S5110" s="2"/>
      <c r="T5110" s="14" t="s">
        <v>44</v>
      </c>
      <c r="U5110" s="14">
        <v>45808</v>
      </c>
      <c r="V5110" s="25">
        <v>45837</v>
      </c>
      <c r="W5110" s="2"/>
      <c r="X5110" s="2"/>
      <c r="Y5110" s="11"/>
      <c r="Z5110" s="2" t="s">
        <v>36</v>
      </c>
      <c r="AA5110" s="13" t="s">
        <v>10401</v>
      </c>
      <c r="AB5110" s="13" t="s">
        <v>10402</v>
      </c>
    </row>
    <row r="5111" spans="1:28" ht="15" customHeight="1">
      <c r="A5111" s="2" t="s">
        <v>9442</v>
      </c>
      <c r="B5111" s="2" t="s">
        <v>368</v>
      </c>
      <c r="C5111" s="11" t="s">
        <v>3191</v>
      </c>
      <c r="D5111" s="2" t="s">
        <v>99</v>
      </c>
      <c r="E5111" s="2" t="s">
        <v>855</v>
      </c>
      <c r="F5111" s="11" t="s">
        <v>1662</v>
      </c>
      <c r="G5111" s="49" t="s">
        <v>1474</v>
      </c>
      <c r="H5111" s="2" t="s">
        <v>2196</v>
      </c>
      <c r="I5111" s="12" t="s">
        <v>1288</v>
      </c>
      <c r="J5111" s="41">
        <f>+Tabla1[[#This Row],[FECHA ENTRADA]]</f>
        <v>45808</v>
      </c>
      <c r="K5111" s="8">
        <f t="shared" ca="1" si="9"/>
        <v>46260</v>
      </c>
      <c r="L5111" s="23">
        <f ca="1">_xlfn.DAYS(Tabla1[[#This Row],[FECHA FIN ]],Tabla1[[#This Row],[FECHA INICIO]])</f>
        <v>452</v>
      </c>
      <c r="M5111" s="12"/>
      <c r="N5111" s="12">
        <v>325</v>
      </c>
      <c r="O5111" s="24">
        <f ca="1">(Tabla1[[#This Row],[COSTO FIJO ]]/30)*Tabla1[[#This Row],[TOTAL DIAS PROYECTO]]+(Tabla1[[#This Row],[COSTO TEMPORAL]])</f>
        <v>4896.666666666667</v>
      </c>
      <c r="P5111" s="12"/>
      <c r="Q5111" s="12">
        <f ca="1">+(Tabla1[[#This Row],[COSTO COCHE]]/30)*Tabla1[[#This Row],[TOTAL DIAS PROYECTO]]</f>
        <v>0</v>
      </c>
      <c r="R5111" s="12">
        <f ca="1">+Tabla1[[#This Row],[COSTO TOTAL ALOJAMIENTO]]+Tabla1[[#This Row],[COSTO TOTAL COCHE]]</f>
        <v>4896.666666666667</v>
      </c>
      <c r="S5111" s="2"/>
      <c r="T5111" s="14" t="s">
        <v>44</v>
      </c>
      <c r="U5111" s="14">
        <v>45808</v>
      </c>
      <c r="V5111" s="25">
        <v>45837</v>
      </c>
      <c r="W5111" s="2"/>
      <c r="X5111" s="2"/>
      <c r="Y5111" s="11"/>
      <c r="Z5111" s="2" t="s">
        <v>36</v>
      </c>
      <c r="AA5111" s="13" t="s">
        <v>10401</v>
      </c>
      <c r="AB5111" s="13" t="s">
        <v>10402</v>
      </c>
    </row>
    <row r="5112" spans="1:28" ht="15" customHeight="1">
      <c r="A5112" s="2" t="s">
        <v>8642</v>
      </c>
      <c r="B5112" s="2" t="s">
        <v>368</v>
      </c>
      <c r="C5112" s="11" t="s">
        <v>2186</v>
      </c>
      <c r="D5112" s="2" t="s">
        <v>99</v>
      </c>
      <c r="E5112" s="2" t="s">
        <v>855</v>
      </c>
      <c r="F5112" s="11" t="s">
        <v>1662</v>
      </c>
      <c r="G5112" s="49" t="s">
        <v>1474</v>
      </c>
      <c r="H5112" s="2" t="s">
        <v>2187</v>
      </c>
      <c r="I5112" s="12" t="s">
        <v>1288</v>
      </c>
      <c r="J5112" s="41">
        <f>+Tabla1[[#This Row],[FECHA ENTRADA]]</f>
        <v>45808</v>
      </c>
      <c r="K5112" s="8">
        <f t="shared" ca="1" si="9"/>
        <v>46260</v>
      </c>
      <c r="L5112" s="23">
        <f ca="1">_xlfn.DAYS(Tabla1[[#This Row],[FECHA FIN ]],Tabla1[[#This Row],[FECHA INICIO]])</f>
        <v>452</v>
      </c>
      <c r="M5112" s="12"/>
      <c r="N5112" s="12">
        <v>325</v>
      </c>
      <c r="O5112" s="24">
        <f ca="1">(Tabla1[[#This Row],[COSTO FIJO ]]/30)*Tabla1[[#This Row],[TOTAL DIAS PROYECTO]]+(Tabla1[[#This Row],[COSTO TEMPORAL]])</f>
        <v>4896.666666666667</v>
      </c>
      <c r="P5112" s="12"/>
      <c r="Q5112" s="12">
        <f ca="1">+(Tabla1[[#This Row],[COSTO COCHE]]/30)*Tabla1[[#This Row],[TOTAL DIAS PROYECTO]]</f>
        <v>0</v>
      </c>
      <c r="R5112" s="12">
        <f ca="1">+Tabla1[[#This Row],[COSTO TOTAL ALOJAMIENTO]]+Tabla1[[#This Row],[COSTO TOTAL COCHE]]</f>
        <v>4896.666666666667</v>
      </c>
      <c r="S5112" s="2"/>
      <c r="T5112" s="14" t="s">
        <v>44</v>
      </c>
      <c r="U5112" s="14">
        <v>45808</v>
      </c>
      <c r="V5112" s="25">
        <v>45837</v>
      </c>
      <c r="W5112" s="2"/>
      <c r="X5112" s="2"/>
      <c r="Y5112" s="11"/>
      <c r="Z5112" s="2" t="s">
        <v>36</v>
      </c>
      <c r="AA5112" s="13" t="s">
        <v>10401</v>
      </c>
      <c r="AB5112" s="13" t="s">
        <v>10402</v>
      </c>
    </row>
    <row r="5113" spans="1:28" ht="15" customHeight="1">
      <c r="A5113" s="2" t="s">
        <v>9143</v>
      </c>
      <c r="B5113" s="2" t="s">
        <v>368</v>
      </c>
      <c r="C5113" s="11" t="s">
        <v>2194</v>
      </c>
      <c r="D5113" s="2" t="s">
        <v>99</v>
      </c>
      <c r="E5113" s="2" t="s">
        <v>855</v>
      </c>
      <c r="F5113" s="11" t="s">
        <v>1662</v>
      </c>
      <c r="G5113" s="49" t="s">
        <v>1474</v>
      </c>
      <c r="H5113" s="2" t="s">
        <v>2196</v>
      </c>
      <c r="I5113" s="12" t="s">
        <v>1288</v>
      </c>
      <c r="J5113" s="41">
        <f>+Tabla1[[#This Row],[FECHA ENTRADA]]</f>
        <v>45808</v>
      </c>
      <c r="K5113" s="8">
        <f t="shared" ca="1" si="9"/>
        <v>46260</v>
      </c>
      <c r="L5113" s="23">
        <f ca="1">_xlfn.DAYS(Tabla1[[#This Row],[FECHA FIN ]],Tabla1[[#This Row],[FECHA INICIO]])</f>
        <v>452</v>
      </c>
      <c r="M5113" s="12"/>
      <c r="N5113" s="12">
        <v>325</v>
      </c>
      <c r="O5113" s="24">
        <f ca="1">(Tabla1[[#This Row],[COSTO FIJO ]]/30)*Tabla1[[#This Row],[TOTAL DIAS PROYECTO]]+(Tabla1[[#This Row],[COSTO TEMPORAL]])</f>
        <v>4896.666666666667</v>
      </c>
      <c r="P5113" s="12"/>
      <c r="Q5113" s="12">
        <f ca="1">+(Tabla1[[#This Row],[COSTO COCHE]]/30)*Tabla1[[#This Row],[TOTAL DIAS PROYECTO]]</f>
        <v>0</v>
      </c>
      <c r="R5113" s="12">
        <f ca="1">+Tabla1[[#This Row],[COSTO TOTAL ALOJAMIENTO]]+Tabla1[[#This Row],[COSTO TOTAL COCHE]]</f>
        <v>4896.666666666667</v>
      </c>
      <c r="S5113" s="2"/>
      <c r="T5113" s="14" t="s">
        <v>44</v>
      </c>
      <c r="U5113" s="14">
        <v>45808</v>
      </c>
      <c r="V5113" s="25">
        <v>45837</v>
      </c>
      <c r="W5113" s="2"/>
      <c r="X5113" s="2"/>
      <c r="Y5113" s="11"/>
      <c r="Z5113" s="2" t="s">
        <v>36</v>
      </c>
      <c r="AA5113" s="13" t="s">
        <v>10401</v>
      </c>
      <c r="AB5113" s="13" t="s">
        <v>10402</v>
      </c>
    </row>
    <row r="5114" spans="1:28" ht="15" customHeight="1">
      <c r="A5114" s="2" t="s">
        <v>9464</v>
      </c>
      <c r="B5114" s="2" t="s">
        <v>368</v>
      </c>
      <c r="C5114" s="11" t="s">
        <v>3280</v>
      </c>
      <c r="D5114" s="2" t="s">
        <v>30</v>
      </c>
      <c r="E5114" s="2" t="s">
        <v>855</v>
      </c>
      <c r="F5114" s="11" t="s">
        <v>4010</v>
      </c>
      <c r="G5114" t="s">
        <v>4011</v>
      </c>
      <c r="H5114" s="2" t="s">
        <v>2988</v>
      </c>
      <c r="I5114" s="2" t="s">
        <v>1288</v>
      </c>
      <c r="J5114" s="22">
        <f>+Tabla1[[#This Row],[FECHA ENTRADA]]</f>
        <v>45750</v>
      </c>
      <c r="K5114" s="8">
        <f t="shared" ca="1" si="9"/>
        <v>46260</v>
      </c>
      <c r="L5114" s="42">
        <f ca="1">_xlfn.DAYS(Tabla1[[#This Row],[FECHA FIN ]],Tabla1[[#This Row],[FECHA INICIO]])</f>
        <v>510</v>
      </c>
      <c r="M5114" s="12"/>
      <c r="N5114" s="24">
        <v>200</v>
      </c>
      <c r="O5114" s="28">
        <f ca="1">(Tabla1[[#This Row],[COSTO FIJO ]]/30)*Tabla1[[#This Row],[TOTAL DIAS PROYECTO]]+(Tabla1[[#This Row],[COSTO TEMPORAL]])</f>
        <v>3400</v>
      </c>
      <c r="P5114" s="12">
        <v>83.333333333333329</v>
      </c>
      <c r="Q5114" s="12">
        <f ca="1">+(Tabla1[[#This Row],[COSTO COCHE]]/30)*Tabla1[[#This Row],[TOTAL DIAS PROYECTO]]</f>
        <v>1416.6666666666665</v>
      </c>
      <c r="R5114" s="12">
        <f ca="1">+Tabla1[[#This Row],[COSTO TOTAL ALOJAMIENTO]]+Tabla1[[#This Row],[COSTO TOTAL COCHE]]</f>
        <v>4816.6666666666661</v>
      </c>
      <c r="S5114" s="2"/>
      <c r="T5114" s="2" t="s">
        <v>44</v>
      </c>
      <c r="U5114" s="14">
        <v>45750</v>
      </c>
      <c r="V5114" s="43">
        <v>45838</v>
      </c>
      <c r="W5114" s="26"/>
      <c r="X5114" s="2">
        <v>2</v>
      </c>
      <c r="Y5114" s="11"/>
      <c r="Z5114" s="2" t="s">
        <v>36</v>
      </c>
      <c r="AA5114" s="13" t="s">
        <v>10401</v>
      </c>
      <c r="AB5114" s="13" t="s">
        <v>10402</v>
      </c>
    </row>
    <row r="5115" spans="1:28" ht="15" customHeight="1">
      <c r="A5115" s="2" t="s">
        <v>9073</v>
      </c>
      <c r="B5115" s="2" t="s">
        <v>368</v>
      </c>
      <c r="C5115" s="11" t="s">
        <v>1897</v>
      </c>
      <c r="D5115" s="2" t="s">
        <v>30</v>
      </c>
      <c r="E5115" s="2" t="s">
        <v>855</v>
      </c>
      <c r="F5115" s="11" t="s">
        <v>4010</v>
      </c>
      <c r="G5115" t="s">
        <v>4011</v>
      </c>
      <c r="H5115" s="2" t="s">
        <v>2988</v>
      </c>
      <c r="I5115" s="2" t="s">
        <v>1288</v>
      </c>
      <c r="J5115" s="22">
        <f>+Tabla1[[#This Row],[FECHA ENTRADA]]</f>
        <v>45750</v>
      </c>
      <c r="K5115" s="8">
        <f t="shared" ca="1" si="9"/>
        <v>46260</v>
      </c>
      <c r="L5115" s="42">
        <f ca="1">_xlfn.DAYS(Tabla1[[#This Row],[FECHA FIN ]],Tabla1[[#This Row],[FECHA INICIO]])</f>
        <v>510</v>
      </c>
      <c r="M5115" s="12"/>
      <c r="N5115" s="24">
        <v>200</v>
      </c>
      <c r="O5115" s="28">
        <f ca="1">(Tabla1[[#This Row],[COSTO FIJO ]]/30)*Tabla1[[#This Row],[TOTAL DIAS PROYECTO]]+(Tabla1[[#This Row],[COSTO TEMPORAL]])</f>
        <v>3400</v>
      </c>
      <c r="P5115" s="12">
        <v>83.333333333333329</v>
      </c>
      <c r="Q5115" s="12">
        <f ca="1">+(Tabla1[[#This Row],[COSTO COCHE]]/30)*Tabla1[[#This Row],[TOTAL DIAS PROYECTO]]</f>
        <v>1416.6666666666665</v>
      </c>
      <c r="R5115" s="12">
        <f ca="1">+Tabla1[[#This Row],[COSTO TOTAL ALOJAMIENTO]]+Tabla1[[#This Row],[COSTO TOTAL COCHE]]</f>
        <v>4816.6666666666661</v>
      </c>
      <c r="S5115" s="2"/>
      <c r="T5115" s="2" t="s">
        <v>44</v>
      </c>
      <c r="U5115" s="14">
        <v>45750</v>
      </c>
      <c r="V5115" s="43">
        <v>45838</v>
      </c>
      <c r="W5115" s="26">
        <v>600</v>
      </c>
      <c r="X5115" s="2">
        <v>2</v>
      </c>
      <c r="Y5115" s="11"/>
      <c r="Z5115" s="2" t="s">
        <v>36</v>
      </c>
      <c r="AA5115" s="13" t="s">
        <v>10401</v>
      </c>
      <c r="AB5115" s="13" t="s">
        <v>10402</v>
      </c>
    </row>
    <row r="5116" spans="1:28" ht="15" customHeight="1">
      <c r="A5116" s="2" t="s">
        <v>9679</v>
      </c>
      <c r="B5116" s="2" t="s">
        <v>28</v>
      </c>
      <c r="C5116" s="11" t="s">
        <v>4190</v>
      </c>
      <c r="D5116" s="2" t="s">
        <v>749</v>
      </c>
      <c r="E5116" s="2" t="s">
        <v>288</v>
      </c>
      <c r="F5116" s="11" t="s">
        <v>4873</v>
      </c>
      <c r="G5116" s="21" t="s">
        <v>4752</v>
      </c>
      <c r="H5116" s="2" t="s">
        <v>7195</v>
      </c>
      <c r="I5116" s="12" t="s">
        <v>753</v>
      </c>
      <c r="J5116" s="22">
        <f>+Tabla1[[#This Row],[FECHA ENTRADA]]</f>
        <v>45983</v>
      </c>
      <c r="K5116" s="22">
        <v>46023</v>
      </c>
      <c r="L5116" s="23">
        <f>_xlfn.DAYS(Tabla1[[#This Row],[FECHA FIN ]],Tabla1[[#This Row],[FECHA INICIO]])</f>
        <v>40</v>
      </c>
      <c r="M5116" s="12">
        <v>500</v>
      </c>
      <c r="N5116" s="20"/>
      <c r="O5116" s="24">
        <f>(Tabla1[[#This Row],[COSTO FIJO ]]/30)*Tabla1[[#This Row],[TOTAL DIAS PROYECTO]]+(Tabla1[[#This Row],[COSTO TEMPORAL]])</f>
        <v>500</v>
      </c>
      <c r="P5116" s="12"/>
      <c r="Q5116" s="12">
        <f>+(Tabla1[[#This Row],[COSTO COCHE]]/30)*Tabla1[[#This Row],[TOTAL DIAS PROYECTO]]</f>
        <v>0</v>
      </c>
      <c r="R5116" s="12">
        <f>+Tabla1[[#This Row],[COSTO TOTAL ALOJAMIENTO]]+Tabla1[[#This Row],[COSTO TOTAL COCHE]]</f>
        <v>500</v>
      </c>
      <c r="S5116" s="2"/>
      <c r="T5116" s="14" t="s">
        <v>44</v>
      </c>
      <c r="U5116" s="14">
        <v>45983</v>
      </c>
      <c r="V5116" s="25">
        <v>46023</v>
      </c>
      <c r="W5116" s="71"/>
      <c r="X5116" s="2"/>
      <c r="Y5116" s="11" t="s">
        <v>7196</v>
      </c>
      <c r="Z5116" s="2" t="s">
        <v>36</v>
      </c>
      <c r="AA5116" s="13" t="s">
        <v>10362</v>
      </c>
      <c r="AB5116" s="13" t="s">
        <v>10363</v>
      </c>
    </row>
    <row r="5117" spans="1:28" ht="15" customHeight="1">
      <c r="A5117" s="2" t="s">
        <v>9052</v>
      </c>
      <c r="B5117" s="2" t="s">
        <v>711</v>
      </c>
      <c r="C5117" s="31" t="s">
        <v>1813</v>
      </c>
      <c r="D5117" s="2" t="s">
        <v>30</v>
      </c>
      <c r="E5117" s="2" t="s">
        <v>109</v>
      </c>
      <c r="F5117" s="11" t="s">
        <v>1106</v>
      </c>
      <c r="G5117" s="46"/>
      <c r="H5117" s="2" t="s">
        <v>7231</v>
      </c>
      <c r="I5117" s="12" t="s">
        <v>6681</v>
      </c>
      <c r="J5117" s="41">
        <f>+Tabla1[[#This Row],[FECHA ENTRADA]]</f>
        <v>45977</v>
      </c>
      <c r="K5117" s="22">
        <v>45989</v>
      </c>
      <c r="L5117" s="42">
        <f>_xlfn.DAYS(Tabla1[[#This Row],[FECHA FIN ]],Tabla1[[#This Row],[FECHA INICIO]])</f>
        <v>12</v>
      </c>
      <c r="M5117" s="12"/>
      <c r="N5117" s="28"/>
      <c r="O5117" s="28">
        <f>(Tabla1[[#This Row],[COSTO FIJO ]]/30)*Tabla1[[#This Row],[TOTAL DIAS PROYECTO]]+(Tabla1[[#This Row],[COSTO TEMPORAL]])</f>
        <v>0</v>
      </c>
      <c r="P5117" s="12"/>
      <c r="Q5117" s="12">
        <f>+(Tabla1[[#This Row],[COSTO COCHE]]/30)*Tabla1[[#This Row],[TOTAL DIAS PROYECTO]]</f>
        <v>0</v>
      </c>
      <c r="R5117" s="12">
        <f>+Tabla1[[#This Row],[COSTO TOTAL ALOJAMIENTO]]+Tabla1[[#This Row],[COSTO TOTAL COCHE]]</f>
        <v>0</v>
      </c>
      <c r="S5117" s="2"/>
      <c r="T5117" s="2" t="s">
        <v>8</v>
      </c>
      <c r="U5117" s="14">
        <v>45977</v>
      </c>
      <c r="V5117" s="43"/>
      <c r="W5117" s="71"/>
      <c r="X5117" s="2"/>
      <c r="Y5117" s="11" t="s">
        <v>7232</v>
      </c>
      <c r="Z5117" s="2" t="s">
        <v>36</v>
      </c>
      <c r="AA5117" s="13">
        <v>0.62217999999999996</v>
      </c>
      <c r="AB5117" s="13" t="s">
        <v>10339</v>
      </c>
    </row>
    <row r="5118" spans="1:28" ht="15" customHeight="1">
      <c r="A5118" s="2" t="s">
        <v>9354</v>
      </c>
      <c r="B5118" s="2" t="s">
        <v>978</v>
      </c>
      <c r="C5118" s="320" t="s">
        <v>2917</v>
      </c>
      <c r="D5118" s="2" t="s">
        <v>30</v>
      </c>
      <c r="E5118" s="2" t="s">
        <v>253</v>
      </c>
      <c r="F5118" s="11" t="s">
        <v>1883</v>
      </c>
      <c r="G5118" s="251" t="s">
        <v>1693</v>
      </c>
      <c r="H5118" s="2" t="s">
        <v>1154</v>
      </c>
      <c r="I5118" s="12" t="s">
        <v>1155</v>
      </c>
      <c r="J5118" s="41">
        <f>+Tabla1[[#This Row],[FECHA ENTRADA]]</f>
        <v>45645</v>
      </c>
      <c r="K5118" s="41">
        <v>45998</v>
      </c>
      <c r="L5118" s="42">
        <f>_xlfn.DAYS(Tabla1[[#This Row],[FECHA FIN ]],Tabla1[[#This Row],[FECHA INICIO]])</f>
        <v>353</v>
      </c>
      <c r="M5118" s="12"/>
      <c r="N5118" s="12">
        <v>480</v>
      </c>
      <c r="O5118" s="28">
        <f>(Tabla1[[#This Row],[COSTO FIJO ]]/30)*Tabla1[[#This Row],[TOTAL DIAS PROYECTO]]+(Tabla1[[#This Row],[COSTO TEMPORAL]])</f>
        <v>5648</v>
      </c>
      <c r="P5118" s="12"/>
      <c r="Q5118" s="12">
        <f>+(Tabla1[[#This Row],[COSTO COCHE]]/30)*Tabla1[[#This Row],[TOTAL DIAS PROYECTO]]</f>
        <v>0</v>
      </c>
      <c r="R5118" s="12">
        <f>+Tabla1[[#This Row],[COSTO TOTAL ALOJAMIENTO]]+Tabla1[[#This Row],[COSTO TOTAL COCHE]]</f>
        <v>5648</v>
      </c>
      <c r="S5118" s="2"/>
      <c r="T5118" s="2" t="s">
        <v>35</v>
      </c>
      <c r="U5118" s="14">
        <v>45645</v>
      </c>
      <c r="V5118" s="43"/>
      <c r="W5118" s="26"/>
      <c r="X5118" s="2">
        <v>1</v>
      </c>
      <c r="Y5118" s="11" t="s">
        <v>7233</v>
      </c>
      <c r="Z5118" s="2" t="s">
        <v>36</v>
      </c>
      <c r="AA5118" s="13" t="s">
        <v>10357</v>
      </c>
      <c r="AB5118" s="13" t="s">
        <v>10358</v>
      </c>
    </row>
    <row r="5119" spans="1:28" ht="15" customHeight="1">
      <c r="A5119" s="2" t="s">
        <v>10224</v>
      </c>
      <c r="B5119" s="2" t="s">
        <v>28</v>
      </c>
      <c r="C5119" s="11" t="s">
        <v>7234</v>
      </c>
      <c r="D5119" s="2" t="s">
        <v>99</v>
      </c>
      <c r="E5119" s="2" t="s">
        <v>3335</v>
      </c>
      <c r="F5119" s="11" t="s">
        <v>3336</v>
      </c>
      <c r="G5119" s="21" t="s">
        <v>3337</v>
      </c>
      <c r="H5119" s="2" t="s">
        <v>3338</v>
      </c>
      <c r="I5119" s="12" t="s">
        <v>228</v>
      </c>
      <c r="J5119" s="22">
        <f>+Tabla1[[#This Row],[FECHA ENTRADA]]</f>
        <v>45753</v>
      </c>
      <c r="K5119" s="22">
        <f ca="1">TODAY()</f>
        <v>46260</v>
      </c>
      <c r="L5119" s="23">
        <f ca="1">_xlfn.DAYS(Tabla1[[#This Row],[FECHA FIN ]],Tabla1[[#This Row],[FECHA INICIO]])</f>
        <v>507</v>
      </c>
      <c r="M5119" s="20"/>
      <c r="N5119" s="24"/>
      <c r="O5119" s="24">
        <f ca="1">(Tabla1[[#This Row],[COSTO FIJO ]]/30)*Tabla1[[#This Row],[TOTAL DIAS PROYECTO]]+(Tabla1[[#This Row],[COSTO TEMPORAL]])</f>
        <v>0</v>
      </c>
      <c r="P5119" s="12"/>
      <c r="Q5119" s="12">
        <f ca="1">+(Tabla1[[#This Row],[COSTO COCHE]]/30)*Tabla1[[#This Row],[TOTAL DIAS PROYECTO]]</f>
        <v>0</v>
      </c>
      <c r="R5119" s="12">
        <f ca="1">+Tabla1[[#This Row],[COSTO TOTAL ALOJAMIENTO]]+Tabla1[[#This Row],[COSTO TOTAL COCHE]]</f>
        <v>0</v>
      </c>
      <c r="S5119" s="2"/>
      <c r="T5119" s="14" t="s">
        <v>44</v>
      </c>
      <c r="U5119" s="14">
        <v>45753</v>
      </c>
      <c r="V5119" s="14">
        <v>45840</v>
      </c>
      <c r="W5119" s="2"/>
      <c r="X5119" s="2"/>
      <c r="Y5119" s="31" t="s">
        <v>4132</v>
      </c>
      <c r="Z5119" s="2" t="s">
        <v>36</v>
      </c>
      <c r="AA5119" s="13" t="e">
        <v>#N/A</v>
      </c>
      <c r="AB5119" s="13" t="e">
        <v>#N/A</v>
      </c>
    </row>
    <row r="5120" spans="1:28">
      <c r="A5120" s="2" t="s">
        <v>9955</v>
      </c>
      <c r="B5120" s="2" t="s">
        <v>978</v>
      </c>
      <c r="C5120" s="239" t="s">
        <v>5684</v>
      </c>
      <c r="D5120" s="2" t="s">
        <v>30</v>
      </c>
      <c r="E5120" s="2" t="s">
        <v>253</v>
      </c>
      <c r="F5120" s="11" t="s">
        <v>1883</v>
      </c>
      <c r="G5120" s="70" t="s">
        <v>1693</v>
      </c>
      <c r="H5120" s="2" t="s">
        <v>5452</v>
      </c>
      <c r="I5120" s="12" t="s">
        <v>4696</v>
      </c>
      <c r="J5120" s="22">
        <f>+Tabla1[[#This Row],[FECHA ENTRADA]]</f>
        <v>45950</v>
      </c>
      <c r="K5120" s="41">
        <v>45998</v>
      </c>
      <c r="L5120" s="23">
        <f>_xlfn.DAYS(Tabla1[[#This Row],[FECHA FIN ]],Tabla1[[#This Row],[FECHA INICIO]])</f>
        <v>48</v>
      </c>
      <c r="M5120" s="12"/>
      <c r="N5120" s="12">
        <v>480</v>
      </c>
      <c r="O5120" s="24">
        <f>(Tabla1[[#This Row],[COSTO FIJO ]]/30)*Tabla1[[#This Row],[TOTAL DIAS PROYECTO]]+(Tabla1[[#This Row],[COSTO TEMPORAL]])</f>
        <v>768</v>
      </c>
      <c r="P5120" s="12"/>
      <c r="Q5120" s="12">
        <f>+(Tabla1[[#This Row],[COSTO COCHE]]/30)*Tabla1[[#This Row],[TOTAL DIAS PROYECTO]]</f>
        <v>0</v>
      </c>
      <c r="R5120" s="12">
        <f>+Tabla1[[#This Row],[COSTO TOTAL ALOJAMIENTO]]+Tabla1[[#This Row],[COSTO TOTAL COCHE]]</f>
        <v>768</v>
      </c>
      <c r="S5120" s="2"/>
      <c r="T5120" s="14" t="s">
        <v>35</v>
      </c>
      <c r="U5120" s="14">
        <v>45950</v>
      </c>
      <c r="V5120" s="25"/>
      <c r="W5120" s="71"/>
      <c r="X5120" s="2">
        <v>1</v>
      </c>
      <c r="Y5120" s="11" t="s">
        <v>5892</v>
      </c>
      <c r="Z5120" s="2" t="s">
        <v>36</v>
      </c>
      <c r="AA5120" s="13" t="s">
        <v>10357</v>
      </c>
      <c r="AB5120" s="13" t="s">
        <v>10358</v>
      </c>
    </row>
    <row r="5121" spans="1:28" ht="15" customHeight="1">
      <c r="A5121" s="2" t="s">
        <v>9121</v>
      </c>
      <c r="B5121" s="2" t="s">
        <v>978</v>
      </c>
      <c r="C5121" s="31" t="s">
        <v>2088</v>
      </c>
      <c r="D5121" s="2" t="s">
        <v>99</v>
      </c>
      <c r="E5121" s="2" t="s">
        <v>259</v>
      </c>
      <c r="F5121" s="11" t="s">
        <v>5261</v>
      </c>
      <c r="G5121" s="197" t="s">
        <v>4207</v>
      </c>
      <c r="H5121" s="2" t="s">
        <v>1869</v>
      </c>
      <c r="I5121" s="12" t="s">
        <v>3356</v>
      </c>
      <c r="J5121" s="41">
        <f>+Tabla1[[#This Row],[FECHA ENTRADA]]</f>
        <v>46081</v>
      </c>
      <c r="K5121" s="41">
        <v>46099</v>
      </c>
      <c r="L5121" s="42">
        <f>_xlfn.DAYS(Tabla1[[#This Row],[FECHA FIN ]],Tabla1[[#This Row],[FECHA INICIO]])</f>
        <v>18</v>
      </c>
      <c r="M5121" s="12"/>
      <c r="N5121" s="20">
        <v>380</v>
      </c>
      <c r="O5121" s="28">
        <f>(Tabla1[[#This Row],[COSTO FIJO ]]/30)*Tabla1[[#This Row],[TOTAL DIAS PROYECTO]]+(Tabla1[[#This Row],[COSTO TEMPORAL]])</f>
        <v>228</v>
      </c>
      <c r="P5121" s="12"/>
      <c r="Q5121" s="12">
        <f>+(Tabla1[[#This Row],[COSTO COCHE]]/30)*Tabla1[[#This Row],[TOTAL DIAS PROYECTO]]</f>
        <v>0</v>
      </c>
      <c r="R5121" s="12">
        <f>+Tabla1[[#This Row],[COSTO TOTAL ALOJAMIENTO]]+Tabla1[[#This Row],[COSTO TOTAL COCHE]]</f>
        <v>228</v>
      </c>
      <c r="S5121" s="2"/>
      <c r="T5121" s="14" t="s">
        <v>35</v>
      </c>
      <c r="U5121" s="14">
        <v>46081</v>
      </c>
      <c r="V5121" s="43"/>
      <c r="W5121" s="12"/>
      <c r="X5121" s="2">
        <v>1</v>
      </c>
      <c r="Y5121" s="11" t="s">
        <v>7235</v>
      </c>
      <c r="Z5121" s="2" t="s">
        <v>36</v>
      </c>
      <c r="AA5121" s="13">
        <v>-0.87734000000000001</v>
      </c>
      <c r="AB5121" s="13" t="s">
        <v>10359</v>
      </c>
    </row>
    <row r="5122" spans="1:28" ht="15" customHeight="1">
      <c r="A5122" s="2" t="s">
        <v>10223</v>
      </c>
      <c r="B5122" s="2" t="s">
        <v>28</v>
      </c>
      <c r="C5122" s="11" t="s">
        <v>7222</v>
      </c>
      <c r="D5122" s="2" t="s">
        <v>30</v>
      </c>
      <c r="E5122" s="2" t="s">
        <v>686</v>
      </c>
      <c r="F5122" s="11" t="s">
        <v>3068</v>
      </c>
      <c r="G5122" s="21" t="s">
        <v>3069</v>
      </c>
      <c r="H5122" s="2" t="s">
        <v>4519</v>
      </c>
      <c r="I5122" s="12" t="s">
        <v>96</v>
      </c>
      <c r="J5122" s="22">
        <f>+Tabla1[[#This Row],[FECHA ENTRADA]]</f>
        <v>45688</v>
      </c>
      <c r="K5122" s="22">
        <v>45821</v>
      </c>
      <c r="L5122" s="23">
        <f>_xlfn.DAYS(Tabla1[[#This Row],[FECHA FIN ]],Tabla1[[#This Row],[FECHA INICIO]])</f>
        <v>133</v>
      </c>
      <c r="M5122" s="12"/>
      <c r="N5122" s="12">
        <f>1811.6/17</f>
        <v>106.56470588235294</v>
      </c>
      <c r="O5122" s="24">
        <f>(Tabla1[[#This Row],[COSTO FIJO ]]/30)*Tabla1[[#This Row],[TOTAL DIAS PROYECTO]]+(Tabla1[[#This Row],[COSTO TEMPORAL]])</f>
        <v>472.43686274509804</v>
      </c>
      <c r="P5122" s="12">
        <f>519.82/2</f>
        <v>259.91000000000003</v>
      </c>
      <c r="Q5122" s="12">
        <f>+(Tabla1[[#This Row],[COSTO COCHE]]/30)*Tabla1[[#This Row],[TOTAL DIAS PROYECTO]]</f>
        <v>1152.2676666666669</v>
      </c>
      <c r="R5122" s="12">
        <f>+Tabla1[[#This Row],[COSTO TOTAL ALOJAMIENTO]]+Tabla1[[#This Row],[COSTO TOTAL COCHE]]</f>
        <v>1624.704529411765</v>
      </c>
      <c r="S5122" s="2" t="s">
        <v>84</v>
      </c>
      <c r="T5122" s="2" t="s">
        <v>44</v>
      </c>
      <c r="U5122" s="14">
        <v>45688</v>
      </c>
      <c r="V5122" s="79">
        <v>45764</v>
      </c>
      <c r="W5122" s="26"/>
      <c r="X5122" s="2"/>
      <c r="Y5122" s="11" t="s">
        <v>4520</v>
      </c>
      <c r="Z5122" s="2" t="s">
        <v>36</v>
      </c>
      <c r="AA5122" s="13" t="s">
        <v>10393</v>
      </c>
      <c r="AB5122" s="13">
        <v>3834517</v>
      </c>
    </row>
    <row r="5123" spans="1:28" ht="15" customHeight="1">
      <c r="A5123" s="2" t="s">
        <v>10225</v>
      </c>
      <c r="B5123" s="2" t="s">
        <v>28</v>
      </c>
      <c r="C5123" s="11" t="s">
        <v>7236</v>
      </c>
      <c r="D5123" s="2" t="s">
        <v>99</v>
      </c>
      <c r="E5123" s="2" t="s">
        <v>3335</v>
      </c>
      <c r="F5123" s="11" t="s">
        <v>3336</v>
      </c>
      <c r="G5123" s="21" t="s">
        <v>3337</v>
      </c>
      <c r="H5123" s="2" t="s">
        <v>3338</v>
      </c>
      <c r="I5123" s="12" t="s">
        <v>228</v>
      </c>
      <c r="J5123" s="22">
        <f>+Tabla1[[#This Row],[FECHA ENTRADA]]</f>
        <v>45753</v>
      </c>
      <c r="K5123" s="22">
        <f ca="1">TODAY()</f>
        <v>46260</v>
      </c>
      <c r="L5123" s="23">
        <f ca="1">_xlfn.DAYS(Tabla1[[#This Row],[FECHA FIN ]],Tabla1[[#This Row],[FECHA INICIO]])</f>
        <v>507</v>
      </c>
      <c r="M5123" s="20"/>
      <c r="N5123" s="24"/>
      <c r="O5123" s="24">
        <f ca="1">(Tabla1[[#This Row],[COSTO FIJO ]]/30)*Tabla1[[#This Row],[TOTAL DIAS PROYECTO]]+(Tabla1[[#This Row],[COSTO TEMPORAL]])</f>
        <v>0</v>
      </c>
      <c r="P5123" s="12"/>
      <c r="Q5123" s="12">
        <f ca="1">+(Tabla1[[#This Row],[COSTO COCHE]]/30)*Tabla1[[#This Row],[TOTAL DIAS PROYECTO]]</f>
        <v>0</v>
      </c>
      <c r="R5123" s="12">
        <f ca="1">+Tabla1[[#This Row],[COSTO TOTAL ALOJAMIENTO]]+Tabla1[[#This Row],[COSTO TOTAL COCHE]]</f>
        <v>0</v>
      </c>
      <c r="S5123" s="2"/>
      <c r="T5123" s="14" t="s">
        <v>44</v>
      </c>
      <c r="U5123" s="14">
        <v>45753</v>
      </c>
      <c r="V5123" s="14">
        <v>45840</v>
      </c>
      <c r="W5123" s="2"/>
      <c r="X5123" s="2"/>
      <c r="Y5123" s="31" t="s">
        <v>7237</v>
      </c>
      <c r="Z5123" s="2" t="s">
        <v>36</v>
      </c>
      <c r="AA5123" s="13" t="e">
        <v>#N/A</v>
      </c>
      <c r="AB5123" s="13" t="e">
        <v>#N/A</v>
      </c>
    </row>
    <row r="5124" spans="1:28" ht="15" customHeight="1">
      <c r="A5124" s="2" t="s">
        <v>8908</v>
      </c>
      <c r="B5124" s="2" t="s">
        <v>368</v>
      </c>
      <c r="C5124" s="11" t="s">
        <v>1236</v>
      </c>
      <c r="D5124" s="2" t="s">
        <v>30</v>
      </c>
      <c r="E5124" s="2" t="s">
        <v>55</v>
      </c>
      <c r="F5124" s="11" t="s">
        <v>1618</v>
      </c>
      <c r="G5124" s="46" t="s">
        <v>1619</v>
      </c>
      <c r="H5124" s="2" t="s">
        <v>1441</v>
      </c>
      <c r="I5124" s="12" t="s">
        <v>233</v>
      </c>
      <c r="J5124" s="41">
        <f>+Tabla1[[#This Row],[FECHA ENTRADA]]</f>
        <v>45675</v>
      </c>
      <c r="K5124" s="41">
        <f ca="1">TODAY()</f>
        <v>46260</v>
      </c>
      <c r="L5124" s="42">
        <f ca="1">_xlfn.DAYS(Tabla1[[#This Row],[FECHA FIN ]],Tabla1[[#This Row],[FECHA INICIO]])</f>
        <v>585</v>
      </c>
      <c r="M5124" s="12"/>
      <c r="N5124" s="12"/>
      <c r="O5124" s="28">
        <f ca="1">(Tabla1[[#This Row],[COSTO FIJO ]]/30)*Tabla1[[#This Row],[TOTAL DIAS PROYECTO]]+(Tabla1[[#This Row],[COSTO TEMPORAL]])</f>
        <v>0</v>
      </c>
      <c r="P5124" s="12"/>
      <c r="Q5124" s="12">
        <f ca="1">+(Tabla1[[#This Row],[COSTO COCHE]]/30)*Tabla1[[#This Row],[TOTAL DIAS PROYECTO]]</f>
        <v>0</v>
      </c>
      <c r="R5124" s="12">
        <f ca="1">+Tabla1[[#This Row],[COSTO TOTAL ALOJAMIENTO]]+Tabla1[[#This Row],[COSTO TOTAL COCHE]]</f>
        <v>0</v>
      </c>
      <c r="S5124" s="2"/>
      <c r="T5124" s="2" t="s">
        <v>44</v>
      </c>
      <c r="U5124" s="14">
        <v>45675</v>
      </c>
      <c r="V5124" s="43">
        <v>45678</v>
      </c>
      <c r="W5124" s="26"/>
      <c r="X5124" s="2"/>
      <c r="Y5124" s="11" t="s">
        <v>1361</v>
      </c>
      <c r="Z5124" s="2" t="s">
        <v>36</v>
      </c>
      <c r="AA5124" s="13" t="s">
        <v>10327</v>
      </c>
      <c r="AB5124" s="13" t="s">
        <v>10328</v>
      </c>
    </row>
    <row r="5125" spans="1:28" ht="15" customHeight="1">
      <c r="A5125" s="2" t="s">
        <v>10226</v>
      </c>
      <c r="B5125" s="2" t="s">
        <v>28</v>
      </c>
      <c r="C5125" s="11" t="s">
        <v>7238</v>
      </c>
      <c r="D5125" s="2" t="s">
        <v>99</v>
      </c>
      <c r="E5125" s="2" t="s">
        <v>3335</v>
      </c>
      <c r="F5125" s="11" t="s">
        <v>3336</v>
      </c>
      <c r="G5125" s="21" t="s">
        <v>3337</v>
      </c>
      <c r="H5125" s="2" t="s">
        <v>3338</v>
      </c>
      <c r="I5125" s="12" t="s">
        <v>228</v>
      </c>
      <c r="J5125" s="22">
        <f>+Tabla1[[#This Row],[FECHA ENTRADA]]</f>
        <v>45753</v>
      </c>
      <c r="K5125" s="22">
        <f ca="1">TODAY()</f>
        <v>46260</v>
      </c>
      <c r="L5125" s="23">
        <f ca="1">_xlfn.DAYS(Tabla1[[#This Row],[FECHA FIN ]],Tabla1[[#This Row],[FECHA INICIO]])</f>
        <v>507</v>
      </c>
      <c r="M5125" s="20"/>
      <c r="N5125" s="24"/>
      <c r="O5125" s="24">
        <f ca="1">(Tabla1[[#This Row],[COSTO FIJO ]]/30)*Tabla1[[#This Row],[TOTAL DIAS PROYECTO]]+(Tabla1[[#This Row],[COSTO TEMPORAL]])</f>
        <v>0</v>
      </c>
      <c r="P5125" s="12"/>
      <c r="Q5125" s="12">
        <f ca="1">+(Tabla1[[#This Row],[COSTO COCHE]]/30)*Tabla1[[#This Row],[TOTAL DIAS PROYECTO]]</f>
        <v>0</v>
      </c>
      <c r="R5125" s="12">
        <f ca="1">+Tabla1[[#This Row],[COSTO TOTAL ALOJAMIENTO]]+Tabla1[[#This Row],[COSTO TOTAL COCHE]]</f>
        <v>0</v>
      </c>
      <c r="S5125" s="2"/>
      <c r="T5125" s="14" t="s">
        <v>44</v>
      </c>
      <c r="U5125" s="14">
        <v>45753</v>
      </c>
      <c r="V5125" s="14">
        <v>45840</v>
      </c>
      <c r="W5125" s="2"/>
      <c r="X5125" s="2"/>
      <c r="Y5125" s="31" t="s">
        <v>4132</v>
      </c>
      <c r="Z5125" s="2" t="s">
        <v>36</v>
      </c>
      <c r="AA5125" s="13" t="e">
        <v>#N/A</v>
      </c>
      <c r="AB5125" s="13" t="e">
        <v>#N/A</v>
      </c>
    </row>
    <row r="5126" spans="1:28" ht="15" customHeight="1">
      <c r="A5126" s="2" t="s">
        <v>10223</v>
      </c>
      <c r="B5126" s="2" t="s">
        <v>28</v>
      </c>
      <c r="C5126" s="11" t="s">
        <v>7222</v>
      </c>
      <c r="D5126" s="2" t="s">
        <v>30</v>
      </c>
      <c r="E5126" s="2" t="s">
        <v>686</v>
      </c>
      <c r="F5126" s="11" t="s">
        <v>4581</v>
      </c>
      <c r="G5126" s="21" t="s">
        <v>4582</v>
      </c>
      <c r="H5126" s="2" t="s">
        <v>4519</v>
      </c>
      <c r="I5126" s="12" t="s">
        <v>96</v>
      </c>
      <c r="J5126" s="22">
        <f>+Tabla1[[#This Row],[FECHA ENTRADA]]</f>
        <v>45769</v>
      </c>
      <c r="K5126" s="22">
        <v>45821</v>
      </c>
      <c r="L5126" s="23">
        <f>_xlfn.DAYS(Tabla1[[#This Row],[FECHA FIN ]],Tabla1[[#This Row],[FECHA INICIO]])</f>
        <v>52</v>
      </c>
      <c r="M5126" s="12"/>
      <c r="N5126" s="12">
        <v>25</v>
      </c>
      <c r="O5126" s="24">
        <f>(Tabla1[[#This Row],[COSTO FIJO ]]/30)*Tabla1[[#This Row],[TOTAL DIAS PROYECTO]]+(Tabla1[[#This Row],[COSTO TEMPORAL]])</f>
        <v>43.333333333333336</v>
      </c>
      <c r="P5126" s="12"/>
      <c r="Q5126" s="12">
        <f>+(Tabla1[[#This Row],[COSTO COCHE]]/30)*Tabla1[[#This Row],[TOTAL DIAS PROYECTO]]</f>
        <v>0</v>
      </c>
      <c r="R5126" s="12">
        <f>+Tabla1[[#This Row],[COSTO TOTAL ALOJAMIENTO]]+Tabla1[[#This Row],[COSTO TOTAL COCHE]]</f>
        <v>43.333333333333336</v>
      </c>
      <c r="S5126" s="2"/>
      <c r="T5126" s="2" t="s">
        <v>44</v>
      </c>
      <c r="U5126" s="14">
        <v>45769</v>
      </c>
      <c r="V5126" s="79">
        <v>45770</v>
      </c>
      <c r="W5126" s="26"/>
      <c r="X5126" s="2"/>
      <c r="Y5126" s="11"/>
      <c r="Z5126" s="2" t="s">
        <v>36</v>
      </c>
      <c r="AA5126" s="13" t="s">
        <v>10393</v>
      </c>
      <c r="AB5126" s="13">
        <v>3834517</v>
      </c>
    </row>
    <row r="5127" spans="1:28" ht="15" customHeight="1">
      <c r="A5127" s="2" t="s">
        <v>10223</v>
      </c>
      <c r="B5127" s="2" t="s">
        <v>28</v>
      </c>
      <c r="C5127" s="11" t="s">
        <v>7222</v>
      </c>
      <c r="D5127" s="2" t="s">
        <v>30</v>
      </c>
      <c r="E5127" s="2" t="s">
        <v>648</v>
      </c>
      <c r="F5127" s="11" t="s">
        <v>649</v>
      </c>
      <c r="G5127" s="46" t="s">
        <v>650</v>
      </c>
      <c r="H5127" s="2" t="s">
        <v>651</v>
      </c>
      <c r="I5127" s="12" t="s">
        <v>96</v>
      </c>
      <c r="J5127" s="41">
        <f>+Tabla1[[#This Row],[FECHA ENTRADA]]</f>
        <v>45578</v>
      </c>
      <c r="K5127" s="22">
        <v>45821</v>
      </c>
      <c r="L5127" s="42">
        <f>_xlfn.DAYS(Tabla1[[#This Row],[FECHA FIN ]],Tabla1[[#This Row],[FECHA INICIO]])</f>
        <v>243</v>
      </c>
      <c r="M5127" s="12"/>
      <c r="N5127" s="12"/>
      <c r="O5127" s="28">
        <f>(Tabla1[[#This Row],[COSTO FIJO ]]/30)*Tabla1[[#This Row],[TOTAL DIAS PROYECTO]]+(Tabla1[[#This Row],[COSTO TEMPORAL]])</f>
        <v>0</v>
      </c>
      <c r="P5127" s="12"/>
      <c r="Q5127" s="12">
        <f>+(Tabla1[[#This Row],[COSTO COCHE]]/30)*Tabla1[[#This Row],[TOTAL DIAS PROYECTO]]</f>
        <v>0</v>
      </c>
      <c r="R5127" s="12">
        <f>+Tabla1[[#This Row],[COSTO TOTAL ALOJAMIENTO]]+Tabla1[[#This Row],[COSTO TOTAL COCHE]]</f>
        <v>0</v>
      </c>
      <c r="S5127" s="2"/>
      <c r="T5127" s="2" t="s">
        <v>35</v>
      </c>
      <c r="U5127" s="14">
        <v>45578</v>
      </c>
      <c r="V5127" s="43"/>
      <c r="W5127" s="26"/>
      <c r="X5127" s="2">
        <v>17</v>
      </c>
      <c r="Y5127" s="11" t="s">
        <v>7239</v>
      </c>
      <c r="Z5127" s="2" t="s">
        <v>36</v>
      </c>
      <c r="AA5127" s="13" t="s">
        <v>10387</v>
      </c>
      <c r="AB5127" s="13" t="s">
        <v>10388</v>
      </c>
    </row>
    <row r="5128" spans="1:28" ht="15" customHeight="1">
      <c r="A5128" s="2" t="s">
        <v>10223</v>
      </c>
      <c r="B5128" s="2" t="s">
        <v>28</v>
      </c>
      <c r="C5128" s="104" t="s">
        <v>7222</v>
      </c>
      <c r="D5128" s="2" t="s">
        <v>30</v>
      </c>
      <c r="E5128" s="2" t="s">
        <v>686</v>
      </c>
      <c r="F5128" s="11" t="s">
        <v>3068</v>
      </c>
      <c r="G5128" s="21" t="s">
        <v>3069</v>
      </c>
      <c r="H5128" s="2" t="s">
        <v>4519</v>
      </c>
      <c r="I5128" s="12" t="s">
        <v>96</v>
      </c>
      <c r="J5128" s="22">
        <f>+Tabla1[[#This Row],[FECHA ENTRADA]]</f>
        <v>45770</v>
      </c>
      <c r="K5128" s="22">
        <v>45841</v>
      </c>
      <c r="L5128" s="23">
        <f>_xlfn.DAYS(Tabla1[[#This Row],[FECHA FIN ]],Tabla1[[#This Row],[FECHA INICIO]])</f>
        <v>71</v>
      </c>
      <c r="M5128" s="12"/>
      <c r="N5128" s="12"/>
      <c r="O5128" s="24">
        <f>(Tabla1[[#This Row],[COSTO FIJO ]]/30)*Tabla1[[#This Row],[TOTAL DIAS PROYECTO]]+(Tabla1[[#This Row],[COSTO TEMPORAL]])</f>
        <v>0</v>
      </c>
      <c r="P5128" s="12">
        <f>519.82/2</f>
        <v>259.91000000000003</v>
      </c>
      <c r="Q5128" s="12">
        <f>+(Tabla1[[#This Row],[COSTO COCHE]]/30)*Tabla1[[#This Row],[TOTAL DIAS PROYECTO]]</f>
        <v>615.12033333333341</v>
      </c>
      <c r="R5128" s="12">
        <f>+Tabla1[[#This Row],[COSTO TOTAL ALOJAMIENTO]]+Tabla1[[#This Row],[COSTO TOTAL COCHE]]</f>
        <v>615.12033333333341</v>
      </c>
      <c r="S5128" s="2"/>
      <c r="T5128" s="2" t="s">
        <v>35</v>
      </c>
      <c r="U5128" s="14">
        <v>45770</v>
      </c>
      <c r="V5128" s="79"/>
      <c r="W5128" s="26"/>
      <c r="X5128" s="2">
        <v>19</v>
      </c>
      <c r="Y5128" s="11" t="s">
        <v>689</v>
      </c>
      <c r="Z5128" s="2" t="s">
        <v>36</v>
      </c>
      <c r="AA5128" s="13" t="s">
        <v>10393</v>
      </c>
      <c r="AB5128" s="13">
        <v>3834517</v>
      </c>
    </row>
    <row r="5129" spans="1:28" ht="15" customHeight="1">
      <c r="A5129" s="2" t="s">
        <v>10227</v>
      </c>
      <c r="B5129" s="2" t="s">
        <v>28</v>
      </c>
      <c r="C5129" s="104" t="s">
        <v>7240</v>
      </c>
      <c r="D5129" s="2" t="s">
        <v>99</v>
      </c>
      <c r="E5129" s="2" t="s">
        <v>3335</v>
      </c>
      <c r="F5129" s="11" t="s">
        <v>3336</v>
      </c>
      <c r="G5129" s="21" t="s">
        <v>3337</v>
      </c>
      <c r="H5129" s="2" t="s">
        <v>3338</v>
      </c>
      <c r="I5129" s="12" t="s">
        <v>228</v>
      </c>
      <c r="J5129" s="22">
        <f>+Tabla1[[#This Row],[FECHA ENTRADA]]</f>
        <v>45753</v>
      </c>
      <c r="K5129" s="22">
        <f ca="1">TODAY()</f>
        <v>46260</v>
      </c>
      <c r="L5129" s="23">
        <f ca="1">_xlfn.DAYS(Tabla1[[#This Row],[FECHA FIN ]],Tabla1[[#This Row],[FECHA INICIO]])</f>
        <v>507</v>
      </c>
      <c r="M5129" s="20"/>
      <c r="N5129" s="24"/>
      <c r="O5129" s="24">
        <f ca="1">(Tabla1[[#This Row],[COSTO FIJO ]]/30)*Tabla1[[#This Row],[TOTAL DIAS PROYECTO]]+(Tabla1[[#This Row],[COSTO TEMPORAL]])</f>
        <v>0</v>
      </c>
      <c r="P5129" s="12"/>
      <c r="Q5129" s="12">
        <f ca="1">+(Tabla1[[#This Row],[COSTO COCHE]]/30)*Tabla1[[#This Row],[TOTAL DIAS PROYECTO]]</f>
        <v>0</v>
      </c>
      <c r="R5129" s="12">
        <f ca="1">+Tabla1[[#This Row],[COSTO TOTAL ALOJAMIENTO]]+Tabla1[[#This Row],[COSTO TOTAL COCHE]]</f>
        <v>0</v>
      </c>
      <c r="S5129" s="2"/>
      <c r="T5129" s="14" t="s">
        <v>44</v>
      </c>
      <c r="U5129" s="14">
        <v>45753</v>
      </c>
      <c r="V5129" s="14">
        <v>45840</v>
      </c>
      <c r="W5129" s="2"/>
      <c r="X5129" s="2"/>
      <c r="Y5129" s="31" t="s">
        <v>4132</v>
      </c>
      <c r="Z5129" s="2" t="s">
        <v>36</v>
      </c>
      <c r="AA5129" s="13" t="e">
        <v>#N/A</v>
      </c>
      <c r="AB5129" s="13" t="e">
        <v>#N/A</v>
      </c>
    </row>
    <row r="5130" spans="1:28" ht="15" customHeight="1">
      <c r="A5130" s="2" t="s">
        <v>10223</v>
      </c>
      <c r="B5130" s="2" t="s">
        <v>28</v>
      </c>
      <c r="C5130" s="11" t="s">
        <v>7222</v>
      </c>
      <c r="D5130" s="2" t="s">
        <v>30</v>
      </c>
      <c r="E5130" s="2" t="s">
        <v>686</v>
      </c>
      <c r="F5130" s="11" t="s">
        <v>4635</v>
      </c>
      <c r="G5130" s="30" t="s">
        <v>4636</v>
      </c>
      <c r="H5130" s="2" t="s">
        <v>4519</v>
      </c>
      <c r="I5130" s="12" t="s">
        <v>96</v>
      </c>
      <c r="J5130" s="41">
        <f>+Tabla1[[#This Row],[FECHA ENTRADA]]</f>
        <v>45841</v>
      </c>
      <c r="K5130" s="41">
        <v>45842</v>
      </c>
      <c r="L5130" s="42">
        <f>_xlfn.DAYS(Tabla1[[#This Row],[FECHA FIN ]],Tabla1[[#This Row],[FECHA INICIO]])</f>
        <v>1</v>
      </c>
      <c r="M5130" s="12"/>
      <c r="N5130" s="12">
        <v>37.5</v>
      </c>
      <c r="O5130" s="28">
        <f>(Tabla1[[#This Row],[COSTO FIJO ]]/30)*Tabla1[[#This Row],[TOTAL DIAS PROYECTO]]+(Tabla1[[#This Row],[COSTO TEMPORAL]])</f>
        <v>1.25</v>
      </c>
      <c r="P5130" s="12"/>
      <c r="Q5130" s="12">
        <f>+(Tabla1[[#This Row],[COSTO COCHE]]/30)*Tabla1[[#This Row],[TOTAL DIAS PROYECTO]]</f>
        <v>0</v>
      </c>
      <c r="R5130" s="12">
        <f>+Tabla1[[#This Row],[COSTO TOTAL ALOJAMIENTO]]+Tabla1[[#This Row],[COSTO TOTAL COCHE]]</f>
        <v>1.25</v>
      </c>
      <c r="S5130" s="2"/>
      <c r="T5130" s="14" t="s">
        <v>44</v>
      </c>
      <c r="U5130" s="14">
        <v>45841</v>
      </c>
      <c r="V5130" s="43">
        <v>45842</v>
      </c>
      <c r="W5130" s="12"/>
      <c r="X5130" s="2"/>
      <c r="Y5130" s="11" t="s">
        <v>689</v>
      </c>
      <c r="Z5130" s="2" t="s">
        <v>36</v>
      </c>
      <c r="AA5130" s="13" t="s">
        <v>10393</v>
      </c>
      <c r="AB5130" s="13">
        <v>3834517</v>
      </c>
    </row>
    <row r="5131" spans="1:28" ht="15" customHeight="1">
      <c r="A5131" s="2" t="s">
        <v>10005</v>
      </c>
      <c r="B5131" s="2" t="s">
        <v>978</v>
      </c>
      <c r="C5131" s="11" t="s">
        <v>5914</v>
      </c>
      <c r="D5131" s="2" t="s">
        <v>30</v>
      </c>
      <c r="E5131" s="2" t="s">
        <v>855</v>
      </c>
      <c r="F5131" s="11" t="s">
        <v>6466</v>
      </c>
      <c r="G5131" s="49" t="s">
        <v>1474</v>
      </c>
      <c r="H5131" s="2" t="s">
        <v>5807</v>
      </c>
      <c r="I5131" s="12" t="s">
        <v>5808</v>
      </c>
      <c r="J5131" s="22">
        <f>+Tabla1[[#This Row],[FECHA ENTRADA]]</f>
        <v>45963</v>
      </c>
      <c r="K5131" s="22">
        <v>46132</v>
      </c>
      <c r="L5131" s="23">
        <f>_xlfn.DAYS(Tabla1[[#This Row],[FECHA FIN ]],Tabla1[[#This Row],[FECHA INICIO]])</f>
        <v>169</v>
      </c>
      <c r="M5131" s="12">
        <v>302.5</v>
      </c>
      <c r="N5131" s="20"/>
      <c r="O5131" s="24">
        <f>(Tabla1[[#This Row],[COSTO FIJO ]]/30)*Tabla1[[#This Row],[TOTAL DIAS PROYECTO]]+(Tabla1[[#This Row],[COSTO TEMPORAL]])</f>
        <v>302.5</v>
      </c>
      <c r="P5131" s="12"/>
      <c r="Q5131" s="12">
        <f>+(Tabla1[[#This Row],[COSTO COCHE]]/30)*Tabla1[[#This Row],[TOTAL DIAS PROYECTO]]</f>
        <v>0</v>
      </c>
      <c r="R5131" s="12">
        <f>+Tabla1[[#This Row],[COSTO TOTAL ALOJAMIENTO]]+Tabla1[[#This Row],[COSTO TOTAL COCHE]]</f>
        <v>302.5</v>
      </c>
      <c r="S5131" s="2"/>
      <c r="T5131" s="14" t="s">
        <v>44</v>
      </c>
      <c r="U5131" s="14">
        <v>45963</v>
      </c>
      <c r="V5131" s="25">
        <v>46132</v>
      </c>
      <c r="W5131" s="71"/>
      <c r="X5131" s="2"/>
      <c r="Y5131" s="11" t="s">
        <v>7241</v>
      </c>
      <c r="Z5131" s="2" t="s">
        <v>36</v>
      </c>
      <c r="AA5131" s="13" t="s">
        <v>10401</v>
      </c>
      <c r="AB5131" s="13" t="s">
        <v>10402</v>
      </c>
    </row>
    <row r="5132" spans="1:28">
      <c r="A5132" s="117" t="s">
        <v>10017</v>
      </c>
      <c r="B5132" s="117" t="s">
        <v>711</v>
      </c>
      <c r="C5132" s="101" t="s">
        <v>5974</v>
      </c>
      <c r="D5132" s="117" t="s">
        <v>30</v>
      </c>
      <c r="E5132" s="117" t="s">
        <v>259</v>
      </c>
      <c r="F5132" s="11" t="s">
        <v>691</v>
      </c>
      <c r="G5132" s="197" t="s">
        <v>692</v>
      </c>
      <c r="H5132" s="117" t="s">
        <v>5975</v>
      </c>
      <c r="I5132" s="119" t="s">
        <v>292</v>
      </c>
      <c r="J5132" s="121">
        <f>+Tabla1[[#This Row],[FECHA ENTRADA]]</f>
        <v>45950</v>
      </c>
      <c r="K5132" s="121">
        <f ca="1">TODAY()</f>
        <v>46260</v>
      </c>
      <c r="L5132" s="129">
        <f ca="1">_xlfn.DAYS(Tabla1[[#This Row],[FECHA FIN ]],Tabla1[[#This Row],[FECHA INICIO]])</f>
        <v>310</v>
      </c>
      <c r="M5132" s="119"/>
      <c r="N5132" s="119">
        <v>297</v>
      </c>
      <c r="O5132" s="131">
        <f ca="1">(Tabla1[[#This Row],[COSTO FIJO ]]/30)*Tabla1[[#This Row],[TOTAL DIAS PROYECTO]]+(Tabla1[[#This Row],[COSTO TEMPORAL]])</f>
        <v>3069</v>
      </c>
      <c r="P5132" s="119"/>
      <c r="Q5132" s="119">
        <f ca="1">+(Tabla1[[#This Row],[COSTO COCHE]]/30)*Tabla1[[#This Row],[TOTAL DIAS PROYECTO]]</f>
        <v>0</v>
      </c>
      <c r="R5132" s="119">
        <f ca="1">+Tabla1[[#This Row],[COSTO TOTAL ALOJAMIENTO]]+Tabla1[[#This Row],[COSTO TOTAL COCHE]]</f>
        <v>3069</v>
      </c>
      <c r="S5132" s="117"/>
      <c r="T5132" s="124" t="s">
        <v>35</v>
      </c>
      <c r="U5132" s="124">
        <v>45950</v>
      </c>
      <c r="V5132" s="125"/>
      <c r="W5132" s="126"/>
      <c r="X5132" s="117">
        <v>1</v>
      </c>
      <c r="Y5132" s="118" t="s">
        <v>7242</v>
      </c>
      <c r="Z5132" s="117" t="s">
        <v>36</v>
      </c>
      <c r="AA5132" s="127">
        <v>-0.87734000000000001</v>
      </c>
      <c r="AB5132" s="127" t="s">
        <v>10359</v>
      </c>
    </row>
    <row r="5133" spans="1:28">
      <c r="A5133" s="117" t="s">
        <v>10042</v>
      </c>
      <c r="B5133" s="117" t="s">
        <v>711</v>
      </c>
      <c r="C5133" s="101" t="s">
        <v>6038</v>
      </c>
      <c r="D5133" s="117" t="s">
        <v>30</v>
      </c>
      <c r="E5133" s="117" t="s">
        <v>259</v>
      </c>
      <c r="F5133" s="11" t="s">
        <v>691</v>
      </c>
      <c r="G5133" s="197" t="s">
        <v>692</v>
      </c>
      <c r="H5133" s="117" t="s">
        <v>5975</v>
      </c>
      <c r="I5133" s="119" t="s">
        <v>292</v>
      </c>
      <c r="J5133" s="121">
        <f>+Tabla1[[#This Row],[FECHA ENTRADA]]</f>
        <v>45950</v>
      </c>
      <c r="K5133" s="121">
        <f ca="1">TODAY()</f>
        <v>46260</v>
      </c>
      <c r="L5133" s="129">
        <f ca="1">_xlfn.DAYS(Tabla1[[#This Row],[FECHA FIN ]],Tabla1[[#This Row],[FECHA INICIO]])</f>
        <v>310</v>
      </c>
      <c r="M5133" s="119"/>
      <c r="N5133" s="119">
        <v>297</v>
      </c>
      <c r="O5133" s="131">
        <f ca="1">(Tabla1[[#This Row],[COSTO FIJO ]]/30)*Tabla1[[#This Row],[TOTAL DIAS PROYECTO]]+(Tabla1[[#This Row],[COSTO TEMPORAL]])</f>
        <v>3069</v>
      </c>
      <c r="P5133" s="119"/>
      <c r="Q5133" s="119">
        <f ca="1">+(Tabla1[[#This Row],[COSTO COCHE]]/30)*Tabla1[[#This Row],[TOTAL DIAS PROYECTO]]</f>
        <v>0</v>
      </c>
      <c r="R5133" s="119">
        <f ca="1">+Tabla1[[#This Row],[COSTO TOTAL ALOJAMIENTO]]+Tabla1[[#This Row],[COSTO TOTAL COCHE]]</f>
        <v>3069</v>
      </c>
      <c r="S5133" s="117"/>
      <c r="T5133" s="124" t="s">
        <v>35</v>
      </c>
      <c r="U5133" s="124">
        <v>45950</v>
      </c>
      <c r="V5133" s="125"/>
      <c r="W5133" s="126"/>
      <c r="X5133" s="117">
        <v>1</v>
      </c>
      <c r="Y5133" s="118" t="s">
        <v>7243</v>
      </c>
      <c r="Z5133" s="117" t="s">
        <v>36</v>
      </c>
      <c r="AA5133" s="127">
        <v>-0.87734000000000001</v>
      </c>
      <c r="AB5133" s="127" t="s">
        <v>10359</v>
      </c>
    </row>
    <row r="5134" spans="1:28" ht="15" customHeight="1">
      <c r="A5134" s="2" t="s">
        <v>9459</v>
      </c>
      <c r="B5134" s="2" t="s">
        <v>28</v>
      </c>
      <c r="C5134" s="31" t="s">
        <v>3249</v>
      </c>
      <c r="D5134" s="2" t="s">
        <v>30</v>
      </c>
      <c r="E5134" s="2" t="s">
        <v>253</v>
      </c>
      <c r="F5134" s="11" t="s">
        <v>2576</v>
      </c>
      <c r="G5134" s="197" t="s">
        <v>981</v>
      </c>
      <c r="H5134" s="184" t="s">
        <v>3248</v>
      </c>
      <c r="I5134" s="47" t="s">
        <v>256</v>
      </c>
      <c r="J5134" s="22">
        <f>+Tabla1[[#This Row],[FECHA ENTRADA]]</f>
        <v>45850</v>
      </c>
      <c r="K5134" s="22">
        <f ca="1">TODAY()</f>
        <v>46260</v>
      </c>
      <c r="L5134" s="23">
        <f ca="1">_xlfn.DAYS(Tabla1[[#This Row],[FECHA FIN ]],Tabla1[[#This Row],[FECHA INICIO]])</f>
        <v>410</v>
      </c>
      <c r="M5134" s="12"/>
      <c r="N5134" s="12">
        <v>500</v>
      </c>
      <c r="O5134" s="24">
        <f ca="1">(Tabla1[[#This Row],[COSTO FIJO ]]/30)*Tabla1[[#This Row],[TOTAL DIAS PROYECTO]]+(Tabla1[[#This Row],[COSTO TEMPORAL]])</f>
        <v>6833.3333333333339</v>
      </c>
      <c r="P5134" s="12"/>
      <c r="Q5134" s="12">
        <f ca="1">+(Tabla1[[#This Row],[COSTO COCHE]]/30)*Tabla1[[#This Row],[TOTAL DIAS PROYECTO]]</f>
        <v>0</v>
      </c>
      <c r="R5134" s="12">
        <f ca="1">+Tabla1[[#This Row],[COSTO TOTAL ALOJAMIENTO]]+Tabla1[[#This Row],[COSTO TOTAL COCHE]]</f>
        <v>6833.3333333333339</v>
      </c>
      <c r="S5134" s="2"/>
      <c r="T5134" s="2" t="s">
        <v>35</v>
      </c>
      <c r="U5134" s="14">
        <v>45850</v>
      </c>
      <c r="V5134" s="25"/>
      <c r="W5134" s="12"/>
      <c r="X5134" s="2">
        <v>1</v>
      </c>
      <c r="Y5134" s="11" t="s">
        <v>7244</v>
      </c>
      <c r="Z5134" s="2" t="s">
        <v>36</v>
      </c>
      <c r="AA5134" s="13" t="s">
        <v>10357</v>
      </c>
      <c r="AB5134" s="13" t="s">
        <v>10358</v>
      </c>
    </row>
    <row r="5135" spans="1:28" ht="15" customHeight="1">
      <c r="A5135" s="2" t="s">
        <v>10228</v>
      </c>
      <c r="B5135" s="2" t="s">
        <v>28</v>
      </c>
      <c r="C5135" s="11" t="s">
        <v>7245</v>
      </c>
      <c r="D5135" s="2" t="s">
        <v>99</v>
      </c>
      <c r="E5135" s="2" t="s">
        <v>3335</v>
      </c>
      <c r="F5135" s="11" t="s">
        <v>3336</v>
      </c>
      <c r="G5135" s="21" t="s">
        <v>3337</v>
      </c>
      <c r="H5135" s="2" t="s">
        <v>3338</v>
      </c>
      <c r="I5135" s="12" t="s">
        <v>228</v>
      </c>
      <c r="J5135" s="22">
        <f>+Tabla1[[#This Row],[FECHA ENTRADA]]</f>
        <v>45753</v>
      </c>
      <c r="K5135" s="22">
        <f ca="1">TODAY()</f>
        <v>46260</v>
      </c>
      <c r="L5135" s="23">
        <f ca="1">_xlfn.DAYS(Tabla1[[#This Row],[FECHA FIN ]],Tabla1[[#This Row],[FECHA INICIO]])</f>
        <v>507</v>
      </c>
      <c r="M5135" s="20"/>
      <c r="N5135" s="24"/>
      <c r="O5135" s="24">
        <f ca="1">(Tabla1[[#This Row],[COSTO FIJO ]]/30)*Tabla1[[#This Row],[TOTAL DIAS PROYECTO]]+(Tabla1[[#This Row],[COSTO TEMPORAL]])</f>
        <v>0</v>
      </c>
      <c r="P5135" s="12"/>
      <c r="Q5135" s="12">
        <f ca="1">+(Tabla1[[#This Row],[COSTO COCHE]]/30)*Tabla1[[#This Row],[TOTAL DIAS PROYECTO]]</f>
        <v>0</v>
      </c>
      <c r="R5135" s="12">
        <f ca="1">+Tabla1[[#This Row],[COSTO TOTAL ALOJAMIENTO]]+Tabla1[[#This Row],[COSTO TOTAL COCHE]]</f>
        <v>0</v>
      </c>
      <c r="S5135" s="2"/>
      <c r="T5135" s="14" t="s">
        <v>528</v>
      </c>
      <c r="U5135" s="14">
        <v>45753</v>
      </c>
      <c r="V5135" s="14">
        <v>45840</v>
      </c>
      <c r="W5135" s="2"/>
      <c r="X5135" s="2"/>
      <c r="Y5135" s="31" t="s">
        <v>4132</v>
      </c>
      <c r="Z5135" s="2" t="s">
        <v>36</v>
      </c>
      <c r="AA5135" s="13" t="e">
        <v>#N/A</v>
      </c>
      <c r="AB5135" s="13" t="e">
        <v>#N/A</v>
      </c>
    </row>
    <row r="5136" spans="1:28" ht="15" customHeight="1">
      <c r="A5136" s="2" t="s">
        <v>9131</v>
      </c>
      <c r="B5136" s="2" t="s">
        <v>978</v>
      </c>
      <c r="C5136" s="11" t="s">
        <v>2131</v>
      </c>
      <c r="D5136" s="2" t="s">
        <v>30</v>
      </c>
      <c r="E5136" s="2" t="s">
        <v>855</v>
      </c>
      <c r="F5136" s="11" t="s">
        <v>6466</v>
      </c>
      <c r="G5136" s="49" t="s">
        <v>1474</v>
      </c>
      <c r="H5136" s="2" t="s">
        <v>5807</v>
      </c>
      <c r="I5136" s="12" t="s">
        <v>5808</v>
      </c>
      <c r="J5136" s="22">
        <f>+Tabla1[[#This Row],[FECHA ENTRADA]]</f>
        <v>45963</v>
      </c>
      <c r="K5136" s="22">
        <v>46132</v>
      </c>
      <c r="L5136" s="23">
        <f>_xlfn.DAYS(Tabla1[[#This Row],[FECHA FIN ]],Tabla1[[#This Row],[FECHA INICIO]])</f>
        <v>169</v>
      </c>
      <c r="M5136" s="12">
        <v>302.5</v>
      </c>
      <c r="N5136" s="20"/>
      <c r="O5136" s="24">
        <f>(Tabla1[[#This Row],[COSTO FIJO ]]/30)*Tabla1[[#This Row],[TOTAL DIAS PROYECTO]]+(Tabla1[[#This Row],[COSTO TEMPORAL]])</f>
        <v>302.5</v>
      </c>
      <c r="P5136" s="12"/>
      <c r="Q5136" s="12">
        <f>+(Tabla1[[#This Row],[COSTO COCHE]]/30)*Tabla1[[#This Row],[TOTAL DIAS PROYECTO]]</f>
        <v>0</v>
      </c>
      <c r="R5136" s="12">
        <f>+Tabla1[[#This Row],[COSTO TOTAL ALOJAMIENTO]]+Tabla1[[#This Row],[COSTO TOTAL COCHE]]</f>
        <v>302.5</v>
      </c>
      <c r="S5136" s="2"/>
      <c r="T5136" s="14" t="s">
        <v>44</v>
      </c>
      <c r="U5136" s="14">
        <v>45963</v>
      </c>
      <c r="V5136" s="25">
        <v>46132</v>
      </c>
      <c r="W5136" s="71"/>
      <c r="X5136" s="2"/>
      <c r="Y5136" s="11" t="s">
        <v>7246</v>
      </c>
      <c r="Z5136" s="2" t="s">
        <v>36</v>
      </c>
      <c r="AA5136" s="13" t="s">
        <v>10401</v>
      </c>
      <c r="AB5136" s="13" t="s">
        <v>10402</v>
      </c>
    </row>
    <row r="5137" spans="1:28" ht="15" customHeight="1">
      <c r="A5137" s="2" t="s">
        <v>8737</v>
      </c>
      <c r="B5137" s="2" t="s">
        <v>28</v>
      </c>
      <c r="C5137" s="104" t="s">
        <v>510</v>
      </c>
      <c r="D5137" s="2" t="s">
        <v>30</v>
      </c>
      <c r="E5137" s="2" t="s">
        <v>259</v>
      </c>
      <c r="F5137" s="11" t="s">
        <v>7247</v>
      </c>
      <c r="G5137" s="46">
        <v>976401821</v>
      </c>
      <c r="H5137" s="2" t="s">
        <v>5072</v>
      </c>
      <c r="I5137" s="12" t="s">
        <v>292</v>
      </c>
      <c r="J5137" s="41">
        <f>+Tabla1[[#This Row],[FECHA ENTRADA]]</f>
        <v>45846</v>
      </c>
      <c r="K5137" s="41">
        <f t="shared" ref="K5137:K5142" ca="1" si="10">TODAY()</f>
        <v>46260</v>
      </c>
      <c r="L5137" s="42">
        <f ca="1">_xlfn.DAYS(Tabla1[[#This Row],[FECHA FIN ]],Tabla1[[#This Row],[FECHA INICIO]])</f>
        <v>414</v>
      </c>
      <c r="M5137" s="12">
        <v>160</v>
      </c>
      <c r="N5137" s="12"/>
      <c r="O5137" s="28">
        <f ca="1">(Tabla1[[#This Row],[COSTO FIJO ]]/30)*Tabla1[[#This Row],[TOTAL DIAS PROYECTO]]+(Tabla1[[#This Row],[COSTO TEMPORAL]])</f>
        <v>160</v>
      </c>
      <c r="P5137" s="12"/>
      <c r="Q5137" s="12">
        <f ca="1">+(Tabla1[[#This Row],[COSTO COCHE]]/30)*Tabla1[[#This Row],[TOTAL DIAS PROYECTO]]</f>
        <v>0</v>
      </c>
      <c r="R5137" s="12">
        <f ca="1">+Tabla1[[#This Row],[COSTO TOTAL ALOJAMIENTO]]+Tabla1[[#This Row],[COSTO TOTAL COCHE]]</f>
        <v>160</v>
      </c>
      <c r="S5137" s="2"/>
      <c r="T5137" s="14" t="s">
        <v>44</v>
      </c>
      <c r="U5137" s="14">
        <v>45846</v>
      </c>
      <c r="V5137" s="43">
        <v>45860</v>
      </c>
      <c r="W5137" s="12"/>
      <c r="X5137" s="2"/>
      <c r="Y5137" s="11" t="s">
        <v>4968</v>
      </c>
      <c r="Z5137" s="2" t="s">
        <v>36</v>
      </c>
      <c r="AA5137" s="13">
        <v>-0.87734000000000001</v>
      </c>
      <c r="AB5137" s="13" t="s">
        <v>10359</v>
      </c>
    </row>
    <row r="5138" spans="1:28" ht="15" customHeight="1">
      <c r="A5138" s="117" t="s">
        <v>10196</v>
      </c>
      <c r="B5138" s="117" t="s">
        <v>606</v>
      </c>
      <c r="C5138" s="118" t="s">
        <v>7064</v>
      </c>
      <c r="D5138" s="117" t="s">
        <v>30</v>
      </c>
      <c r="E5138" s="117" t="s">
        <v>648</v>
      </c>
      <c r="F5138" s="11" t="s">
        <v>7065</v>
      </c>
      <c r="G5138" s="128" t="s">
        <v>7066</v>
      </c>
      <c r="H5138" s="117" t="s">
        <v>4662</v>
      </c>
      <c r="I5138" s="119" t="s">
        <v>4663</v>
      </c>
      <c r="J5138" s="121">
        <f>+Tabla1[[#This Row],[FECHA ENTRADA]]</f>
        <v>46103</v>
      </c>
      <c r="K5138" s="121">
        <f t="shared" ca="1" si="10"/>
        <v>46260</v>
      </c>
      <c r="L5138" s="129">
        <f ca="1">_xlfn.DAYS(Tabla1[[#This Row],[FECHA FIN ]],Tabla1[[#This Row],[FECHA INICIO]])</f>
        <v>157</v>
      </c>
      <c r="M5138" s="119">
        <f>731.72/4</f>
        <v>182.93</v>
      </c>
      <c r="N5138" s="130"/>
      <c r="O5138" s="131">
        <f ca="1">(Tabla1[[#This Row],[COSTO FIJO ]]/30)*Tabla1[[#This Row],[TOTAL DIAS PROYECTO]]+(Tabla1[[#This Row],[COSTO TEMPORAL]])</f>
        <v>182.93</v>
      </c>
      <c r="P5138" s="119"/>
      <c r="Q5138" s="119">
        <f ca="1">+(Tabla1[[#This Row],[COSTO COCHE]]/30)*Tabla1[[#This Row],[TOTAL DIAS PROYECTO]]</f>
        <v>0</v>
      </c>
      <c r="R5138" s="119">
        <f ca="1">+Tabla1[[#This Row],[COSTO TOTAL ALOJAMIENTO]]+Tabla1[[#This Row],[COSTO TOTAL COCHE]]</f>
        <v>182.93</v>
      </c>
      <c r="S5138" s="117" t="s">
        <v>84</v>
      </c>
      <c r="T5138" s="124" t="s">
        <v>44</v>
      </c>
      <c r="U5138" s="124">
        <v>46103</v>
      </c>
      <c r="V5138" s="132">
        <v>46111</v>
      </c>
      <c r="W5138" s="119"/>
      <c r="X5138" s="117"/>
      <c r="Y5138" s="118" t="s">
        <v>7248</v>
      </c>
      <c r="Z5138" s="117" t="s">
        <v>36</v>
      </c>
      <c r="AA5138" s="127" t="s">
        <v>10387</v>
      </c>
      <c r="AB5138" s="127" t="s">
        <v>10388</v>
      </c>
    </row>
    <row r="5139" spans="1:28" ht="15" customHeight="1">
      <c r="A5139" s="117" t="s">
        <v>9770</v>
      </c>
      <c r="B5139" s="117" t="s">
        <v>606</v>
      </c>
      <c r="C5139" s="118" t="s">
        <v>4661</v>
      </c>
      <c r="D5139" s="117" t="s">
        <v>30</v>
      </c>
      <c r="E5139" s="117" t="s">
        <v>648</v>
      </c>
      <c r="F5139" s="11" t="s">
        <v>7065</v>
      </c>
      <c r="G5139" s="197" t="s">
        <v>7066</v>
      </c>
      <c r="H5139" s="117" t="s">
        <v>4662</v>
      </c>
      <c r="I5139" s="119" t="s">
        <v>4663</v>
      </c>
      <c r="J5139" s="121">
        <f>+Tabla1[[#This Row],[FECHA ENTRADA]]</f>
        <v>46103</v>
      </c>
      <c r="K5139" s="121">
        <f t="shared" ca="1" si="10"/>
        <v>46260</v>
      </c>
      <c r="L5139" s="129">
        <f ca="1">_xlfn.DAYS(Tabla1[[#This Row],[FECHA FIN ]],Tabla1[[#This Row],[FECHA INICIO]])</f>
        <v>157</v>
      </c>
      <c r="M5139" s="119">
        <f>731.72/4</f>
        <v>182.93</v>
      </c>
      <c r="N5139" s="130"/>
      <c r="O5139" s="131">
        <f ca="1">(Tabla1[[#This Row],[COSTO FIJO ]]/30)*Tabla1[[#This Row],[TOTAL DIAS PROYECTO]]+(Tabla1[[#This Row],[COSTO TEMPORAL]])</f>
        <v>182.93</v>
      </c>
      <c r="P5139" s="119"/>
      <c r="Q5139" s="119">
        <f ca="1">+(Tabla1[[#This Row],[COSTO COCHE]]/30)*Tabla1[[#This Row],[TOTAL DIAS PROYECTO]]</f>
        <v>0</v>
      </c>
      <c r="R5139" s="119">
        <f ca="1">+Tabla1[[#This Row],[COSTO TOTAL ALOJAMIENTO]]+Tabla1[[#This Row],[COSTO TOTAL COCHE]]</f>
        <v>182.93</v>
      </c>
      <c r="S5139" s="117" t="s">
        <v>84</v>
      </c>
      <c r="T5139" s="124" t="s">
        <v>44</v>
      </c>
      <c r="U5139" s="124">
        <v>46103</v>
      </c>
      <c r="V5139" s="132">
        <v>46111</v>
      </c>
      <c r="W5139" s="119"/>
      <c r="X5139" s="117"/>
      <c r="Y5139" s="118" t="s">
        <v>7249</v>
      </c>
      <c r="Z5139" s="117" t="s">
        <v>36</v>
      </c>
      <c r="AA5139" s="127" t="s">
        <v>10387</v>
      </c>
      <c r="AB5139" s="127" t="s">
        <v>10388</v>
      </c>
    </row>
    <row r="5140" spans="1:28" ht="15" customHeight="1">
      <c r="A5140" s="2" t="s">
        <v>8989</v>
      </c>
      <c r="B5140" s="2" t="s">
        <v>28</v>
      </c>
      <c r="C5140" s="11" t="s">
        <v>1606</v>
      </c>
      <c r="D5140" s="2" t="s">
        <v>30</v>
      </c>
      <c r="E5140" s="2" t="s">
        <v>259</v>
      </c>
      <c r="F5140" s="11" t="s">
        <v>7247</v>
      </c>
      <c r="G5140" s="46">
        <v>976401821</v>
      </c>
      <c r="H5140" s="2" t="s">
        <v>5072</v>
      </c>
      <c r="I5140" s="12" t="s">
        <v>292</v>
      </c>
      <c r="J5140" s="41">
        <f>+Tabla1[[#This Row],[FECHA ENTRADA]]</f>
        <v>45846</v>
      </c>
      <c r="K5140" s="41">
        <f t="shared" ca="1" si="10"/>
        <v>46260</v>
      </c>
      <c r="L5140" s="42">
        <f ca="1">_xlfn.DAYS(Tabla1[[#This Row],[FECHA FIN ]],Tabla1[[#This Row],[FECHA INICIO]])</f>
        <v>414</v>
      </c>
      <c r="M5140" s="12">
        <v>160</v>
      </c>
      <c r="N5140" s="12"/>
      <c r="O5140" s="28">
        <f ca="1">(Tabla1[[#This Row],[COSTO FIJO ]]/30)*Tabla1[[#This Row],[TOTAL DIAS PROYECTO]]+(Tabla1[[#This Row],[COSTO TEMPORAL]])</f>
        <v>160</v>
      </c>
      <c r="P5140" s="12"/>
      <c r="Q5140" s="12">
        <f ca="1">+(Tabla1[[#This Row],[COSTO COCHE]]/30)*Tabla1[[#This Row],[TOTAL DIAS PROYECTO]]</f>
        <v>0</v>
      </c>
      <c r="R5140" s="12">
        <f ca="1">+Tabla1[[#This Row],[COSTO TOTAL ALOJAMIENTO]]+Tabla1[[#This Row],[COSTO TOTAL COCHE]]</f>
        <v>160</v>
      </c>
      <c r="S5140" s="2"/>
      <c r="T5140" s="14" t="s">
        <v>44</v>
      </c>
      <c r="U5140" s="14">
        <v>45846</v>
      </c>
      <c r="V5140" s="43">
        <v>45860</v>
      </c>
      <c r="W5140" s="12"/>
      <c r="X5140" s="2"/>
      <c r="Y5140" s="11" t="s">
        <v>4968</v>
      </c>
      <c r="Z5140" s="2" t="s">
        <v>36</v>
      </c>
      <c r="AA5140" s="13">
        <v>-0.87734000000000001</v>
      </c>
      <c r="AB5140" s="13" t="s">
        <v>10359</v>
      </c>
    </row>
    <row r="5141" spans="1:28" ht="15" customHeight="1">
      <c r="A5141" s="117" t="s">
        <v>9431</v>
      </c>
      <c r="B5141" s="117" t="s">
        <v>606</v>
      </c>
      <c r="C5141" s="224" t="s">
        <v>3165</v>
      </c>
      <c r="D5141" s="117" t="s">
        <v>30</v>
      </c>
      <c r="E5141" s="117" t="s">
        <v>648</v>
      </c>
      <c r="F5141" s="11" t="s">
        <v>7065</v>
      </c>
      <c r="G5141" s="128" t="s">
        <v>7066</v>
      </c>
      <c r="H5141" s="117" t="s">
        <v>6822</v>
      </c>
      <c r="I5141" s="119" t="s">
        <v>4663</v>
      </c>
      <c r="J5141" s="121">
        <f>+Tabla1[[#This Row],[FECHA ENTRADA]]</f>
        <v>46103</v>
      </c>
      <c r="K5141" s="121">
        <f t="shared" ca="1" si="10"/>
        <v>46260</v>
      </c>
      <c r="L5141" s="129">
        <f ca="1">_xlfn.DAYS(Tabla1[[#This Row],[FECHA FIN ]],Tabla1[[#This Row],[FECHA INICIO]])</f>
        <v>157</v>
      </c>
      <c r="M5141" s="119">
        <f>731.72/4</f>
        <v>182.93</v>
      </c>
      <c r="N5141" s="130"/>
      <c r="O5141" s="131">
        <f ca="1">(Tabla1[[#This Row],[COSTO FIJO ]]/30)*Tabla1[[#This Row],[TOTAL DIAS PROYECTO]]+(Tabla1[[#This Row],[COSTO TEMPORAL]])</f>
        <v>182.93</v>
      </c>
      <c r="P5141" s="119"/>
      <c r="Q5141" s="119">
        <f ca="1">+(Tabla1[[#This Row],[COSTO COCHE]]/30)*Tabla1[[#This Row],[TOTAL DIAS PROYECTO]]</f>
        <v>0</v>
      </c>
      <c r="R5141" s="119">
        <f ca="1">+Tabla1[[#This Row],[COSTO TOTAL ALOJAMIENTO]]+Tabla1[[#This Row],[COSTO TOTAL COCHE]]</f>
        <v>182.93</v>
      </c>
      <c r="S5141" s="117" t="s">
        <v>84</v>
      </c>
      <c r="T5141" s="124" t="s">
        <v>44</v>
      </c>
      <c r="U5141" s="124">
        <v>46103</v>
      </c>
      <c r="V5141" s="132">
        <v>46111</v>
      </c>
      <c r="W5141" s="119"/>
      <c r="X5141" s="117"/>
      <c r="Y5141" s="118" t="s">
        <v>7249</v>
      </c>
      <c r="Z5141" s="117" t="s">
        <v>36</v>
      </c>
      <c r="AA5141" s="127" t="s">
        <v>10387</v>
      </c>
      <c r="AB5141" s="127" t="s">
        <v>10388</v>
      </c>
    </row>
    <row r="5142" spans="1:28" ht="15" customHeight="1">
      <c r="A5142" s="117" t="s">
        <v>8885</v>
      </c>
      <c r="B5142" s="117" t="s">
        <v>606</v>
      </c>
      <c r="C5142" s="118" t="s">
        <v>1167</v>
      </c>
      <c r="D5142" s="117" t="s">
        <v>30</v>
      </c>
      <c r="E5142" s="117" t="s">
        <v>648</v>
      </c>
      <c r="F5142" s="11" t="s">
        <v>7065</v>
      </c>
      <c r="G5142" s="128" t="s">
        <v>7066</v>
      </c>
      <c r="H5142" s="117" t="s">
        <v>6822</v>
      </c>
      <c r="I5142" s="119" t="s">
        <v>4663</v>
      </c>
      <c r="J5142" s="121">
        <f>+Tabla1[[#This Row],[FECHA ENTRADA]]</f>
        <v>46103</v>
      </c>
      <c r="K5142" s="121">
        <f t="shared" ca="1" si="10"/>
        <v>46260</v>
      </c>
      <c r="L5142" s="129">
        <f ca="1">_xlfn.DAYS(Tabla1[[#This Row],[FECHA FIN ]],Tabla1[[#This Row],[FECHA INICIO]])</f>
        <v>157</v>
      </c>
      <c r="M5142" s="119">
        <f>731.72/4</f>
        <v>182.93</v>
      </c>
      <c r="N5142" s="130"/>
      <c r="O5142" s="131">
        <f ca="1">(Tabla1[[#This Row],[COSTO FIJO ]]/30)*Tabla1[[#This Row],[TOTAL DIAS PROYECTO]]+(Tabla1[[#This Row],[COSTO TEMPORAL]])</f>
        <v>182.93</v>
      </c>
      <c r="P5142" s="119"/>
      <c r="Q5142" s="119">
        <f ca="1">+(Tabla1[[#This Row],[COSTO COCHE]]/30)*Tabla1[[#This Row],[TOTAL DIAS PROYECTO]]</f>
        <v>0</v>
      </c>
      <c r="R5142" s="119">
        <f ca="1">+Tabla1[[#This Row],[COSTO TOTAL ALOJAMIENTO]]+Tabla1[[#This Row],[COSTO TOTAL COCHE]]</f>
        <v>182.93</v>
      </c>
      <c r="S5142" s="117" t="s">
        <v>84</v>
      </c>
      <c r="T5142" s="124" t="s">
        <v>44</v>
      </c>
      <c r="U5142" s="124">
        <v>46103</v>
      </c>
      <c r="V5142" s="132">
        <v>46111</v>
      </c>
      <c r="W5142" s="119"/>
      <c r="X5142" s="117"/>
      <c r="Y5142" s="118" t="s">
        <v>7250</v>
      </c>
      <c r="Z5142" s="117" t="s">
        <v>36</v>
      </c>
      <c r="AA5142" s="127" t="s">
        <v>10387</v>
      </c>
      <c r="AB5142" s="127" t="s">
        <v>10388</v>
      </c>
    </row>
    <row r="5143" spans="1:28" ht="15" customHeight="1">
      <c r="A5143" s="2" t="s">
        <v>10223</v>
      </c>
      <c r="B5143" s="2" t="s">
        <v>28</v>
      </c>
      <c r="C5143" s="11" t="s">
        <v>7222</v>
      </c>
      <c r="D5143" s="2" t="s">
        <v>30</v>
      </c>
      <c r="E5143" s="2" t="s">
        <v>686</v>
      </c>
      <c r="F5143" s="11" t="s">
        <v>4233</v>
      </c>
      <c r="G5143" s="46" t="s">
        <v>4234</v>
      </c>
      <c r="H5143" s="2" t="s">
        <v>4519</v>
      </c>
      <c r="I5143" s="12" t="s">
        <v>96</v>
      </c>
      <c r="J5143" s="41">
        <f>+Tabla1[[#This Row],[FECHA ENTRADA]]</f>
        <v>45842</v>
      </c>
      <c r="K5143" s="41">
        <v>45855</v>
      </c>
      <c r="L5143" s="42">
        <f>_xlfn.DAYS(Tabla1[[#This Row],[FECHA FIN ]],Tabla1[[#This Row],[FECHA INICIO]])</f>
        <v>13</v>
      </c>
      <c r="M5143" s="12"/>
      <c r="N5143" s="12">
        <f>1556.67/3</f>
        <v>518.89</v>
      </c>
      <c r="O5143" s="28">
        <f>(Tabla1[[#This Row],[COSTO FIJO ]]/30)*Tabla1[[#This Row],[TOTAL DIAS PROYECTO]]+(Tabla1[[#This Row],[COSTO TEMPORAL]])</f>
        <v>224.85233333333332</v>
      </c>
      <c r="P5143" s="12"/>
      <c r="Q5143" s="12">
        <f>+(Tabla1[[#This Row],[COSTO COCHE]]/30)*Tabla1[[#This Row],[TOTAL DIAS PROYECTO]]</f>
        <v>0</v>
      </c>
      <c r="R5143" s="12">
        <f>+Tabla1[[#This Row],[COSTO TOTAL ALOJAMIENTO]]+Tabla1[[#This Row],[COSTO TOTAL COCHE]]</f>
        <v>224.85233333333332</v>
      </c>
      <c r="S5143" s="2"/>
      <c r="T5143" s="14" t="s">
        <v>44</v>
      </c>
      <c r="U5143" s="14">
        <v>45842</v>
      </c>
      <c r="V5143" s="43">
        <v>45872</v>
      </c>
      <c r="W5143" s="12"/>
      <c r="X5143" s="2"/>
      <c r="Y5143" s="238" t="s">
        <v>689</v>
      </c>
      <c r="Z5143" s="2" t="s">
        <v>36</v>
      </c>
      <c r="AA5143" s="13" t="s">
        <v>10393</v>
      </c>
      <c r="AB5143" s="13">
        <v>3834517</v>
      </c>
    </row>
    <row r="5144" spans="1:28" ht="15" customHeight="1">
      <c r="A5144" s="2" t="s">
        <v>10229</v>
      </c>
      <c r="B5144" s="2" t="s">
        <v>28</v>
      </c>
      <c r="C5144" s="31" t="s">
        <v>7251</v>
      </c>
      <c r="D5144" s="2" t="s">
        <v>30</v>
      </c>
      <c r="E5144" s="2" t="s">
        <v>648</v>
      </c>
      <c r="F5144" s="11" t="s">
        <v>2103</v>
      </c>
      <c r="G5144" s="11" t="s">
        <v>1545</v>
      </c>
      <c r="H5144" s="2" t="s">
        <v>5176</v>
      </c>
      <c r="I5144" s="12" t="s">
        <v>96</v>
      </c>
      <c r="J5144" s="8">
        <f>+Tabla1[[#This Row],[FECHA ENTRADA]]</f>
        <v>45468</v>
      </c>
      <c r="K5144" s="22">
        <v>45992</v>
      </c>
      <c r="L5144" s="13">
        <f>_xlfn.DAYS(Tabla1[[#This Row],[FECHA FIN ]],Tabla1[[#This Row],[FECHA INICIO]])</f>
        <v>524</v>
      </c>
      <c r="M5144" s="12"/>
      <c r="N5144" s="12">
        <v>300</v>
      </c>
      <c r="O5144" s="12">
        <f>(Tabla1[[#This Row],[COSTO FIJO ]]/30)*Tabla1[[#This Row],[TOTAL DIAS PROYECTO]]+(Tabla1[[#This Row],[COSTO TEMPORAL]])</f>
        <v>5240</v>
      </c>
      <c r="P5144" s="12"/>
      <c r="Q5144" s="12">
        <f>+(Tabla1[[#This Row],[COSTO COCHE]]/30)*Tabla1[[#This Row],[TOTAL DIAS PROYECTO]]</f>
        <v>0</v>
      </c>
      <c r="R5144" s="12">
        <f>+Tabla1[[#This Row],[COSTO TOTAL ALOJAMIENTO]]+Tabla1[[#This Row],[COSTO TOTAL COCHE]]</f>
        <v>5240</v>
      </c>
      <c r="S5144" s="2"/>
      <c r="T5144" s="2" t="s">
        <v>35</v>
      </c>
      <c r="U5144" s="14">
        <v>45468</v>
      </c>
      <c r="V5144" s="14">
        <v>45470</v>
      </c>
      <c r="W5144" s="26"/>
      <c r="X5144" s="2">
        <v>1</v>
      </c>
      <c r="Y5144" s="11" t="s">
        <v>7252</v>
      </c>
      <c r="Z5144" s="2" t="s">
        <v>36</v>
      </c>
      <c r="AA5144" s="13" t="s">
        <v>10387</v>
      </c>
      <c r="AB5144" s="13" t="s">
        <v>10388</v>
      </c>
    </row>
    <row r="5145" spans="1:28" ht="15" customHeight="1">
      <c r="A5145" s="117" t="s">
        <v>9740</v>
      </c>
      <c r="B5145" s="117" t="s">
        <v>606</v>
      </c>
      <c r="C5145" s="118" t="s">
        <v>4508</v>
      </c>
      <c r="D5145" s="117" t="s">
        <v>30</v>
      </c>
      <c r="E5145" s="117" t="s">
        <v>213</v>
      </c>
      <c r="F5145" s="11" t="s">
        <v>6353</v>
      </c>
      <c r="G5145" s="70" t="s">
        <v>1197</v>
      </c>
      <c r="H5145" s="117" t="s">
        <v>5149</v>
      </c>
      <c r="I5145" s="119" t="s">
        <v>1043</v>
      </c>
      <c r="J5145" s="121">
        <f>+Tabla1[[#This Row],[FECHA ENTRADA]]</f>
        <v>46036</v>
      </c>
      <c r="K5145" s="121">
        <v>46126</v>
      </c>
      <c r="L5145" s="129">
        <f>_xlfn.DAYS(Tabla1[[#This Row],[FECHA FIN ]],Tabla1[[#This Row],[FECHA INICIO]])</f>
        <v>90</v>
      </c>
      <c r="M5145" s="119"/>
      <c r="N5145" s="130">
        <v>475</v>
      </c>
      <c r="O5145" s="131">
        <f>(Tabla1[[#This Row],[COSTO FIJO ]]/30)*Tabla1[[#This Row],[TOTAL DIAS PROYECTO]]+(Tabla1[[#This Row],[COSTO TEMPORAL]])</f>
        <v>1425</v>
      </c>
      <c r="P5145" s="119"/>
      <c r="Q5145" s="119">
        <f>+(Tabla1[[#This Row],[COSTO COCHE]]/30)*Tabla1[[#This Row],[TOTAL DIAS PROYECTO]]</f>
        <v>0</v>
      </c>
      <c r="R5145" s="119">
        <f>+Tabla1[[#This Row],[COSTO TOTAL ALOJAMIENTO]]+Tabla1[[#This Row],[COSTO TOTAL COCHE]]</f>
        <v>1425</v>
      </c>
      <c r="S5145" s="117"/>
      <c r="T5145" s="124" t="s">
        <v>44</v>
      </c>
      <c r="U5145" s="124">
        <v>46036</v>
      </c>
      <c r="V5145" s="25">
        <v>46126</v>
      </c>
      <c r="W5145" s="119"/>
      <c r="X5145" s="117">
        <v>10</v>
      </c>
      <c r="Y5145" s="118" t="s">
        <v>7253</v>
      </c>
      <c r="Z5145" s="117" t="s">
        <v>36</v>
      </c>
      <c r="AA5145" s="127" t="s">
        <v>10349</v>
      </c>
      <c r="AB5145" s="127" t="s">
        <v>10350</v>
      </c>
    </row>
    <row r="5146" spans="1:28" ht="15" customHeight="1">
      <c r="A5146" s="117" t="s">
        <v>9871</v>
      </c>
      <c r="B5146" s="117" t="s">
        <v>606</v>
      </c>
      <c r="C5146" s="118" t="s">
        <v>5150</v>
      </c>
      <c r="D5146" s="117" t="s">
        <v>30</v>
      </c>
      <c r="E5146" s="117" t="s">
        <v>213</v>
      </c>
      <c r="F5146" s="11" t="s">
        <v>6353</v>
      </c>
      <c r="G5146" s="70" t="s">
        <v>1197</v>
      </c>
      <c r="H5146" s="117" t="s">
        <v>5151</v>
      </c>
      <c r="I5146" s="119" t="s">
        <v>1043</v>
      </c>
      <c r="J5146" s="121">
        <f>+Tabla1[[#This Row],[FECHA ENTRADA]]</f>
        <v>46036</v>
      </c>
      <c r="K5146" s="121">
        <v>46126</v>
      </c>
      <c r="L5146" s="129">
        <f>_xlfn.DAYS(Tabla1[[#This Row],[FECHA FIN ]],Tabla1[[#This Row],[FECHA INICIO]])</f>
        <v>90</v>
      </c>
      <c r="M5146" s="119"/>
      <c r="N5146" s="130">
        <v>475</v>
      </c>
      <c r="O5146" s="131">
        <f>(Tabla1[[#This Row],[COSTO FIJO ]]/30)*Tabla1[[#This Row],[TOTAL DIAS PROYECTO]]+(Tabla1[[#This Row],[COSTO TEMPORAL]])</f>
        <v>1425</v>
      </c>
      <c r="P5146" s="119"/>
      <c r="Q5146" s="119">
        <f>+(Tabla1[[#This Row],[COSTO COCHE]]/30)*Tabla1[[#This Row],[TOTAL DIAS PROYECTO]]</f>
        <v>0</v>
      </c>
      <c r="R5146" s="119">
        <f>+Tabla1[[#This Row],[COSTO TOTAL ALOJAMIENTO]]+Tabla1[[#This Row],[COSTO TOTAL COCHE]]</f>
        <v>1425</v>
      </c>
      <c r="S5146" s="117"/>
      <c r="T5146" s="124" t="s">
        <v>44</v>
      </c>
      <c r="U5146" s="124">
        <v>46036</v>
      </c>
      <c r="V5146" s="25">
        <v>46126</v>
      </c>
      <c r="W5146" s="119"/>
      <c r="X5146" s="117">
        <v>10</v>
      </c>
      <c r="Y5146" s="118" t="s">
        <v>7254</v>
      </c>
      <c r="Z5146" s="117" t="s">
        <v>36</v>
      </c>
      <c r="AA5146" s="127" t="s">
        <v>10349</v>
      </c>
      <c r="AB5146" s="127" t="s">
        <v>10350</v>
      </c>
    </row>
    <row r="5147" spans="1:28" ht="15" customHeight="1">
      <c r="A5147" s="2" t="s">
        <v>10230</v>
      </c>
      <c r="B5147" s="2" t="s">
        <v>711</v>
      </c>
      <c r="C5147" s="11" t="s">
        <v>7255</v>
      </c>
      <c r="D5147" s="2" t="s">
        <v>99</v>
      </c>
      <c r="E5147" s="2" t="s">
        <v>686</v>
      </c>
      <c r="F5147" s="11" t="s">
        <v>3235</v>
      </c>
      <c r="G5147" s="21" t="s">
        <v>3236</v>
      </c>
      <c r="H5147" s="2" t="s">
        <v>3237</v>
      </c>
      <c r="I5147" s="12" t="s">
        <v>96</v>
      </c>
      <c r="J5147" s="41">
        <f>+Tabla1[[#This Row],[FECHA ENTRADA]]</f>
        <v>45922</v>
      </c>
      <c r="K5147" s="22">
        <v>45937</v>
      </c>
      <c r="L5147" s="42">
        <f>_xlfn.DAYS(Tabla1[[#This Row],[FECHA FIN ]],Tabla1[[#This Row],[FECHA INICIO]])</f>
        <v>15</v>
      </c>
      <c r="M5147" s="12">
        <v>292</v>
      </c>
      <c r="N5147" s="28"/>
      <c r="O5147" s="28">
        <f>(Tabla1[[#This Row],[COSTO FIJO ]]/30)*Tabla1[[#This Row],[TOTAL DIAS PROYECTO]]+(Tabla1[[#This Row],[COSTO TEMPORAL]])</f>
        <v>292</v>
      </c>
      <c r="P5147" s="12"/>
      <c r="Q5147" s="12">
        <f>+(Tabla1[[#This Row],[COSTO COCHE]]/30)*Tabla1[[#This Row],[TOTAL DIAS PROYECTO]]</f>
        <v>0</v>
      </c>
      <c r="R5147" s="12">
        <f>+Tabla1[[#This Row],[COSTO TOTAL ALOJAMIENTO]]+Tabla1[[#This Row],[COSTO TOTAL COCHE]]</f>
        <v>292</v>
      </c>
      <c r="S5147" s="2" t="s">
        <v>84</v>
      </c>
      <c r="T5147" s="14" t="s">
        <v>44</v>
      </c>
      <c r="U5147" s="14">
        <v>45922</v>
      </c>
      <c r="V5147" s="43">
        <v>45938</v>
      </c>
      <c r="W5147" s="71"/>
      <c r="X5147" s="2"/>
      <c r="Y5147" s="11" t="s">
        <v>1166</v>
      </c>
      <c r="Z5147" s="2" t="s">
        <v>36</v>
      </c>
      <c r="AA5147" s="13" t="s">
        <v>10393</v>
      </c>
      <c r="AB5147" s="13">
        <v>3834517</v>
      </c>
    </row>
    <row r="5148" spans="1:28" ht="15" customHeight="1">
      <c r="A5148" s="2" t="s">
        <v>10230</v>
      </c>
      <c r="B5148" s="2" t="s">
        <v>711</v>
      </c>
      <c r="C5148" s="31" t="s">
        <v>7255</v>
      </c>
      <c r="D5148" s="2" t="s">
        <v>99</v>
      </c>
      <c r="E5148" s="2" t="s">
        <v>686</v>
      </c>
      <c r="F5148" s="11" t="s">
        <v>3238</v>
      </c>
      <c r="G5148" s="21" t="s">
        <v>3239</v>
      </c>
      <c r="H5148" s="2" t="s">
        <v>3237</v>
      </c>
      <c r="I5148" s="12" t="s">
        <v>96</v>
      </c>
      <c r="J5148" s="22">
        <f>+Tabla1[[#This Row],[FECHA ENTRADA]]</f>
        <v>45937</v>
      </c>
      <c r="K5148" s="22">
        <v>45984</v>
      </c>
      <c r="L5148" s="23">
        <f>_xlfn.DAYS(Tabla1[[#This Row],[FECHA FIN ]],Tabla1[[#This Row],[FECHA INICIO]])</f>
        <v>47</v>
      </c>
      <c r="M5148" s="12">
        <v>375</v>
      </c>
      <c r="N5148" s="20"/>
      <c r="O5148" s="24">
        <f>(Tabla1[[#This Row],[COSTO FIJO ]]/30)*Tabla1[[#This Row],[TOTAL DIAS PROYECTO]]+(Tabla1[[#This Row],[COSTO TEMPORAL]])</f>
        <v>375</v>
      </c>
      <c r="P5148" s="12"/>
      <c r="Q5148" s="12">
        <f>+(Tabla1[[#This Row],[COSTO COCHE]]/30)*Tabla1[[#This Row],[TOTAL DIAS PROYECTO]]</f>
        <v>0</v>
      </c>
      <c r="R5148" s="12">
        <f>+Tabla1[[#This Row],[COSTO TOTAL ALOJAMIENTO]]+Tabla1[[#This Row],[COSTO TOTAL COCHE]]</f>
        <v>375</v>
      </c>
      <c r="S5148" s="2"/>
      <c r="T5148" s="14" t="s">
        <v>44</v>
      </c>
      <c r="U5148" s="14">
        <v>45937</v>
      </c>
      <c r="V5148" s="25">
        <v>45987</v>
      </c>
      <c r="W5148" s="71"/>
      <c r="X5148" s="2"/>
      <c r="Y5148" s="11" t="s">
        <v>7256</v>
      </c>
      <c r="Z5148" s="2" t="s">
        <v>36</v>
      </c>
      <c r="AA5148" s="13" t="s">
        <v>10393</v>
      </c>
      <c r="AB5148" s="13">
        <v>3834517</v>
      </c>
    </row>
    <row r="5149" spans="1:28" ht="15" customHeight="1">
      <c r="A5149" s="2" t="s">
        <v>10230</v>
      </c>
      <c r="B5149" s="2" t="s">
        <v>711</v>
      </c>
      <c r="C5149" s="69" t="s">
        <v>7255</v>
      </c>
      <c r="D5149" s="2" t="s">
        <v>99</v>
      </c>
      <c r="E5149" s="2" t="s">
        <v>648</v>
      </c>
      <c r="F5149" s="11" t="s">
        <v>2103</v>
      </c>
      <c r="G5149" s="118" t="s">
        <v>1545</v>
      </c>
      <c r="H5149" s="2" t="s">
        <v>7257</v>
      </c>
      <c r="I5149" s="12" t="s">
        <v>96</v>
      </c>
      <c r="J5149" s="22">
        <f>+Tabla1[[#This Row],[FECHA ENTRADA]]</f>
        <v>45984</v>
      </c>
      <c r="K5149" s="22">
        <v>46159</v>
      </c>
      <c r="L5149" s="23">
        <f>_xlfn.DAYS(Tabla1[[#This Row],[FECHA FIN ]],Tabla1[[#This Row],[FECHA INICIO]])</f>
        <v>175</v>
      </c>
      <c r="M5149" s="12"/>
      <c r="N5149" s="20">
        <v>240</v>
      </c>
      <c r="O5149" s="24">
        <f>(Tabla1[[#This Row],[COSTO FIJO ]]/30)*Tabla1[[#This Row],[TOTAL DIAS PROYECTO]]+(Tabla1[[#This Row],[COSTO TEMPORAL]])</f>
        <v>1400</v>
      </c>
      <c r="P5149" s="12"/>
      <c r="Q5149" s="12">
        <f>+(Tabla1[[#This Row],[COSTO COCHE]]/30)*Tabla1[[#This Row],[TOTAL DIAS PROYECTO]]</f>
        <v>0</v>
      </c>
      <c r="R5149" s="12">
        <f>+Tabla1[[#This Row],[COSTO TOTAL ALOJAMIENTO]]+Tabla1[[#This Row],[COSTO TOTAL COCHE]]</f>
        <v>1400</v>
      </c>
      <c r="S5149" s="2"/>
      <c r="T5149" s="14" t="s">
        <v>35</v>
      </c>
      <c r="U5149" s="14">
        <v>45984</v>
      </c>
      <c r="V5149" s="79"/>
      <c r="W5149" s="12"/>
      <c r="X5149" s="2">
        <v>1</v>
      </c>
      <c r="Y5149" s="11" t="s">
        <v>7258</v>
      </c>
      <c r="Z5149" s="2" t="s">
        <v>36</v>
      </c>
      <c r="AA5149" s="13" t="s">
        <v>10387</v>
      </c>
      <c r="AB5149" s="13" t="s">
        <v>10388</v>
      </c>
    </row>
    <row r="5150" spans="1:28" ht="15" customHeight="1">
      <c r="A5150" s="2" t="s">
        <v>9328</v>
      </c>
      <c r="B5150" s="2" t="s">
        <v>368</v>
      </c>
      <c r="C5150" s="11" t="s">
        <v>2837</v>
      </c>
      <c r="D5150" s="2" t="s">
        <v>30</v>
      </c>
      <c r="E5150" s="2" t="s">
        <v>855</v>
      </c>
      <c r="F5150" s="11" t="s">
        <v>4604</v>
      </c>
      <c r="G5150" t="s">
        <v>4011</v>
      </c>
      <c r="H5150" s="2" t="s">
        <v>1741</v>
      </c>
      <c r="I5150" s="2" t="s">
        <v>1288</v>
      </c>
      <c r="J5150" s="22">
        <f>+Tabla1[[#This Row],[FECHA ENTRADA]]</f>
        <v>45750</v>
      </c>
      <c r="K5150" s="8">
        <f ca="1">TODAY()</f>
        <v>46260</v>
      </c>
      <c r="L5150" s="23">
        <f ca="1">_xlfn.DAYS(Tabla1[[#This Row],[FECHA FIN ]],Tabla1[[#This Row],[FECHA INICIO]])</f>
        <v>510</v>
      </c>
      <c r="M5150" s="12"/>
      <c r="N5150" s="12"/>
      <c r="O5150" s="24">
        <f ca="1">(Tabla1[[#This Row],[COSTO FIJO ]]/30)*Tabla1[[#This Row],[TOTAL DIAS PROYECTO]]+(Tabla1[[#This Row],[COSTO TEMPORAL]])</f>
        <v>0</v>
      </c>
      <c r="P5150" s="12">
        <v>83.333333333333329</v>
      </c>
      <c r="Q5150" s="12">
        <f ca="1">+(Tabla1[[#This Row],[COSTO COCHE]]/30)*Tabla1[[#This Row],[TOTAL DIAS PROYECTO]]</f>
        <v>1416.6666666666665</v>
      </c>
      <c r="R5150" s="12">
        <f ca="1">+Tabla1[[#This Row],[COSTO TOTAL ALOJAMIENTO]]+Tabla1[[#This Row],[COSTO TOTAL COCHE]]</f>
        <v>1416.6666666666665</v>
      </c>
      <c r="S5150" s="2"/>
      <c r="T5150" s="2" t="s">
        <v>44</v>
      </c>
      <c r="U5150" s="14">
        <v>45750</v>
      </c>
      <c r="V5150" s="25">
        <v>45869</v>
      </c>
      <c r="W5150" s="26"/>
      <c r="X5150" s="2">
        <v>2</v>
      </c>
      <c r="Y5150" s="11" t="s">
        <v>4605</v>
      </c>
      <c r="Z5150" s="2" t="s">
        <v>36</v>
      </c>
      <c r="AA5150" s="13" t="s">
        <v>10401</v>
      </c>
      <c r="AB5150" s="13" t="s">
        <v>10402</v>
      </c>
    </row>
    <row r="5151" spans="1:28" ht="15" customHeight="1">
      <c r="A5151" s="2" t="s">
        <v>10230</v>
      </c>
      <c r="B5151" s="2" t="s">
        <v>711</v>
      </c>
      <c r="C5151" s="11" t="s">
        <v>7255</v>
      </c>
      <c r="D5151" s="2" t="s">
        <v>99</v>
      </c>
      <c r="E5151" s="2" t="s">
        <v>686</v>
      </c>
      <c r="F5151" s="11" t="s">
        <v>3260</v>
      </c>
      <c r="G5151" s="46" t="s">
        <v>3261</v>
      </c>
      <c r="H5151" s="2" t="s">
        <v>3237</v>
      </c>
      <c r="I5151" s="12" t="s">
        <v>96</v>
      </c>
      <c r="J5151" s="41">
        <f>+Tabla1[[#This Row],[FECHA ENTRADA]]</f>
        <v>45921</v>
      </c>
      <c r="K5151" s="22">
        <f ca="1">TODAY()</f>
        <v>46260</v>
      </c>
      <c r="L5151" s="42">
        <f ca="1">_xlfn.DAYS(Tabla1[[#This Row],[FECHA FIN ]],Tabla1[[#This Row],[FECHA INICIO]])</f>
        <v>339</v>
      </c>
      <c r="M5151" s="12"/>
      <c r="N5151" s="12">
        <v>42.5</v>
      </c>
      <c r="O5151" s="28">
        <f ca="1">(Tabla1[[#This Row],[COSTO FIJO ]]/30)*Tabla1[[#This Row],[TOTAL DIAS PROYECTO]]+(Tabla1[[#This Row],[COSTO TEMPORAL]])</f>
        <v>480.25</v>
      </c>
      <c r="P5151" s="12"/>
      <c r="Q5151" s="12">
        <f ca="1">+(Tabla1[[#This Row],[COSTO COCHE]]/30)*Tabla1[[#This Row],[TOTAL DIAS PROYECTO]]</f>
        <v>0</v>
      </c>
      <c r="R5151" s="12">
        <f ca="1">+Tabla1[[#This Row],[COSTO TOTAL ALOJAMIENTO]]+Tabla1[[#This Row],[COSTO TOTAL COCHE]]</f>
        <v>480.25</v>
      </c>
      <c r="S5151" s="2" t="s">
        <v>84</v>
      </c>
      <c r="T5151" s="14" t="s">
        <v>44</v>
      </c>
      <c r="U5151" s="14">
        <v>45921</v>
      </c>
      <c r="V5151" s="43">
        <v>45922</v>
      </c>
      <c r="W5151" s="71"/>
      <c r="X5151" s="2"/>
      <c r="Y5151" s="11" t="s">
        <v>1361</v>
      </c>
      <c r="Z5151" s="2" t="s">
        <v>36</v>
      </c>
      <c r="AA5151" s="13" t="s">
        <v>10393</v>
      </c>
      <c r="AB5151" s="13">
        <v>3834517</v>
      </c>
    </row>
    <row r="5152" spans="1:28" ht="15" customHeight="1">
      <c r="A5152" s="117" t="s">
        <v>9028</v>
      </c>
      <c r="B5152" s="117" t="s">
        <v>606</v>
      </c>
      <c r="C5152" s="118" t="s">
        <v>1737</v>
      </c>
      <c r="D5152" s="117" t="s">
        <v>30</v>
      </c>
      <c r="E5152" s="117" t="s">
        <v>213</v>
      </c>
      <c r="F5152" s="11" t="s">
        <v>6353</v>
      </c>
      <c r="G5152" s="251" t="s">
        <v>1197</v>
      </c>
      <c r="H5152" s="117" t="s">
        <v>1738</v>
      </c>
      <c r="I5152" s="119" t="s">
        <v>1043</v>
      </c>
      <c r="J5152" s="121">
        <f>+Tabla1[[#This Row],[FECHA ENTRADA]]</f>
        <v>46036</v>
      </c>
      <c r="K5152" s="121">
        <v>46126</v>
      </c>
      <c r="L5152" s="129">
        <f>_xlfn.DAYS(Tabla1[[#This Row],[FECHA FIN ]],Tabla1[[#This Row],[FECHA INICIO]])</f>
        <v>90</v>
      </c>
      <c r="M5152" s="119"/>
      <c r="N5152" s="130">
        <v>475</v>
      </c>
      <c r="O5152" s="131">
        <f>(Tabla1[[#This Row],[COSTO FIJO ]]/30)*Tabla1[[#This Row],[TOTAL DIAS PROYECTO]]+(Tabla1[[#This Row],[COSTO TEMPORAL]])</f>
        <v>1425</v>
      </c>
      <c r="P5152" s="119"/>
      <c r="Q5152" s="119">
        <f>+(Tabla1[[#This Row],[COSTO COCHE]]/30)*Tabla1[[#This Row],[TOTAL DIAS PROYECTO]]</f>
        <v>0</v>
      </c>
      <c r="R5152" s="119">
        <f>+Tabla1[[#This Row],[COSTO TOTAL ALOJAMIENTO]]+Tabla1[[#This Row],[COSTO TOTAL COCHE]]</f>
        <v>1425</v>
      </c>
      <c r="S5152" s="117"/>
      <c r="T5152" s="124" t="s">
        <v>44</v>
      </c>
      <c r="U5152" s="124">
        <v>46036</v>
      </c>
      <c r="V5152" s="25">
        <v>46126</v>
      </c>
      <c r="W5152" s="119"/>
      <c r="X5152" s="117">
        <v>10</v>
      </c>
      <c r="Y5152" s="118" t="s">
        <v>7254</v>
      </c>
      <c r="Z5152" s="117" t="s">
        <v>36</v>
      </c>
      <c r="AA5152" s="127" t="s">
        <v>10349</v>
      </c>
      <c r="AB5152" s="127" t="s">
        <v>10350</v>
      </c>
    </row>
    <row r="5153" spans="1:28" ht="15" customHeight="1">
      <c r="A5153" s="2" t="s">
        <v>9266</v>
      </c>
      <c r="B5153" s="2" t="s">
        <v>28</v>
      </c>
      <c r="C5153" s="11" t="s">
        <v>2650</v>
      </c>
      <c r="D5153" s="2" t="s">
        <v>78</v>
      </c>
      <c r="E5153" s="2" t="s">
        <v>79</v>
      </c>
      <c r="F5153" s="11" t="s">
        <v>142</v>
      </c>
      <c r="G5153" s="11" t="s">
        <v>143</v>
      </c>
      <c r="H5153" s="2" t="s">
        <v>2658</v>
      </c>
      <c r="I5153" s="29" t="s">
        <v>145</v>
      </c>
      <c r="J5153" s="8">
        <f>+Tabla1[[#This Row],[FECHA ENTRADA]]</f>
        <v>45366</v>
      </c>
      <c r="K5153" s="8">
        <f ca="1">TODAY()</f>
        <v>46260</v>
      </c>
      <c r="L5153" s="13">
        <f ca="1">_xlfn.DAYS(Tabla1[[#This Row],[FECHA FIN ]],Tabla1[[#This Row],[FECHA INICIO]])</f>
        <v>894</v>
      </c>
      <c r="M5153" s="2"/>
      <c r="N5153" s="24">
        <v>732.5</v>
      </c>
      <c r="O5153" s="12">
        <f ca="1">(Tabla1[[#This Row],[COSTO FIJO ]]/30)*Tabla1[[#This Row],[TOTAL DIAS PROYECTO]]+(Tabla1[[#This Row],[COSTO TEMPORAL]])</f>
        <v>21828.5</v>
      </c>
      <c r="P5153" s="12"/>
      <c r="Q5153" s="12">
        <f ca="1">+(Tabla1[[#This Row],[COSTO COCHE]]/30)*Tabla1[[#This Row],[TOTAL DIAS PROYECTO]]</f>
        <v>0</v>
      </c>
      <c r="R5153" s="12">
        <f ca="1">+Tabla1[[#This Row],[COSTO TOTAL ALOJAMIENTO]]+Tabla1[[#This Row],[COSTO TOTAL COCHE]]</f>
        <v>21828.5</v>
      </c>
      <c r="S5153" s="2"/>
      <c r="T5153" s="2" t="s">
        <v>44</v>
      </c>
      <c r="U5153" s="60">
        <v>45366</v>
      </c>
      <c r="V5153" s="43">
        <v>45879</v>
      </c>
      <c r="W5153" s="15"/>
      <c r="X5153" s="16"/>
      <c r="Y5153" t="s">
        <v>7259</v>
      </c>
      <c r="Z5153" s="2" t="s">
        <v>36</v>
      </c>
      <c r="AA5153" s="13" t="s">
        <v>10333</v>
      </c>
      <c r="AB5153" s="13" t="s">
        <v>10334</v>
      </c>
    </row>
    <row r="5154" spans="1:28" ht="15" customHeight="1">
      <c r="A5154" s="2" t="s">
        <v>9781</v>
      </c>
      <c r="B5154" s="2" t="s">
        <v>711</v>
      </c>
      <c r="C5154" s="11" t="s">
        <v>4720</v>
      </c>
      <c r="D5154" s="2" t="s">
        <v>30</v>
      </c>
      <c r="E5154" s="2" t="s">
        <v>608</v>
      </c>
      <c r="F5154" s="11" t="s">
        <v>7260</v>
      </c>
      <c r="G5154" s="11" t="s">
        <v>7261</v>
      </c>
      <c r="H5154" s="2" t="s">
        <v>7008</v>
      </c>
      <c r="I5154" s="12" t="s">
        <v>570</v>
      </c>
      <c r="J5154" s="22">
        <f>+Tabla1[[#This Row],[FECHA ENTRADA]]</f>
        <v>46118</v>
      </c>
      <c r="K5154" s="22">
        <v>46123</v>
      </c>
      <c r="L5154" s="23">
        <f>_xlfn.DAYS(Tabla1[[#This Row],[FECHA FIN ]],Tabla1[[#This Row],[FECHA INICIO]])</f>
        <v>5</v>
      </c>
      <c r="M5154" s="12">
        <v>253.34</v>
      </c>
      <c r="N5154" s="20"/>
      <c r="O5154" s="24">
        <f>(Tabla1[[#This Row],[COSTO FIJO ]]/30)*Tabla1[[#This Row],[TOTAL DIAS PROYECTO]]+(Tabla1[[#This Row],[COSTO TEMPORAL]])</f>
        <v>253.34</v>
      </c>
      <c r="P5154" s="12"/>
      <c r="Q5154" s="12">
        <f>+(Tabla1[[#This Row],[COSTO COCHE]]/30)*Tabla1[[#This Row],[TOTAL DIAS PROYECTO]]</f>
        <v>0</v>
      </c>
      <c r="R5154" s="12">
        <f>+Tabla1[[#This Row],[COSTO TOTAL ALOJAMIENTO]]+Tabla1[[#This Row],[COSTO TOTAL COCHE]]</f>
        <v>253.34</v>
      </c>
      <c r="S5154" s="2" t="s">
        <v>84</v>
      </c>
      <c r="T5154" s="14" t="s">
        <v>44</v>
      </c>
      <c r="U5154" s="14">
        <v>46118</v>
      </c>
      <c r="V5154" s="79">
        <v>46126</v>
      </c>
      <c r="W5154" s="12"/>
      <c r="X5154" s="2"/>
      <c r="Y5154" s="11" t="s">
        <v>7262</v>
      </c>
      <c r="Z5154" s="2" t="s">
        <v>36</v>
      </c>
      <c r="AA5154" s="13" t="s">
        <v>10383</v>
      </c>
      <c r="AB5154" s="13" t="s">
        <v>10384</v>
      </c>
    </row>
    <row r="5155" spans="1:28" ht="15" customHeight="1">
      <c r="A5155" s="117" t="s">
        <v>10032</v>
      </c>
      <c r="B5155" s="117" t="s">
        <v>711</v>
      </c>
      <c r="C5155" s="118" t="s">
        <v>6001</v>
      </c>
      <c r="D5155" s="117" t="s">
        <v>30</v>
      </c>
      <c r="E5155" s="117" t="s">
        <v>2378</v>
      </c>
      <c r="F5155" s="11" t="s">
        <v>7263</v>
      </c>
      <c r="G5155" s="251" t="s">
        <v>7264</v>
      </c>
      <c r="H5155" s="117" t="s">
        <v>6755</v>
      </c>
      <c r="I5155" s="119" t="s">
        <v>1392</v>
      </c>
      <c r="J5155" s="120">
        <f>+Tabla1[[#This Row],[FECHA ENTRADA]]</f>
        <v>46063</v>
      </c>
      <c r="K5155" s="120">
        <v>46126</v>
      </c>
      <c r="L5155" s="122">
        <f>_xlfn.DAYS(Tabla1[[#This Row],[FECHA FIN ]],Tabla1[[#This Row],[FECHA INICIO]])</f>
        <v>63</v>
      </c>
      <c r="M5155" s="119">
        <v>600</v>
      </c>
      <c r="N5155" s="123"/>
      <c r="O5155" s="123">
        <f>(Tabla1[[#This Row],[COSTO FIJO ]]/30)*Tabla1[[#This Row],[TOTAL DIAS PROYECTO]]+(Tabla1[[#This Row],[COSTO TEMPORAL]])</f>
        <v>600</v>
      </c>
      <c r="P5155" s="119"/>
      <c r="Q5155" s="119">
        <f>+(Tabla1[[#This Row],[COSTO COCHE]]/30)*Tabla1[[#This Row],[TOTAL DIAS PROYECTO]]</f>
        <v>0</v>
      </c>
      <c r="R5155" s="119">
        <f>+Tabla1[[#This Row],[COSTO TOTAL ALOJAMIENTO]]+Tabla1[[#This Row],[COSTO TOTAL COCHE]]</f>
        <v>600</v>
      </c>
      <c r="S5155" s="117"/>
      <c r="T5155" s="124" t="s">
        <v>44</v>
      </c>
      <c r="U5155" s="124">
        <v>46063</v>
      </c>
      <c r="V5155" s="132">
        <v>46122</v>
      </c>
      <c r="W5155" s="119"/>
      <c r="X5155" s="117"/>
      <c r="Y5155" s="118" t="s">
        <v>7265</v>
      </c>
      <c r="Z5155" s="117" t="s">
        <v>36</v>
      </c>
      <c r="AA5155" s="127" t="e">
        <v>#N/A</v>
      </c>
      <c r="AB5155" s="127" t="e">
        <v>#N/A</v>
      </c>
    </row>
    <row r="5156" spans="1:28" ht="15" customHeight="1">
      <c r="A5156" s="117" t="s">
        <v>10134</v>
      </c>
      <c r="B5156" s="117" t="s">
        <v>711</v>
      </c>
      <c r="C5156" s="118" t="s">
        <v>6567</v>
      </c>
      <c r="D5156" s="117" t="s">
        <v>30</v>
      </c>
      <c r="E5156" s="117" t="s">
        <v>2378</v>
      </c>
      <c r="F5156" s="11" t="s">
        <v>7263</v>
      </c>
      <c r="G5156" s="251" t="s">
        <v>7264</v>
      </c>
      <c r="H5156" s="117" t="s">
        <v>6757</v>
      </c>
      <c r="I5156" s="119" t="s">
        <v>1392</v>
      </c>
      <c r="J5156" s="120">
        <f>+Tabla1[[#This Row],[FECHA ENTRADA]]</f>
        <v>46063</v>
      </c>
      <c r="K5156" s="120">
        <v>46126</v>
      </c>
      <c r="L5156" s="122">
        <f>_xlfn.DAYS(Tabla1[[#This Row],[FECHA FIN ]],Tabla1[[#This Row],[FECHA INICIO]])</f>
        <v>63</v>
      </c>
      <c r="M5156" s="119">
        <v>600</v>
      </c>
      <c r="N5156" s="123"/>
      <c r="O5156" s="123">
        <f>(Tabla1[[#This Row],[COSTO FIJO ]]/30)*Tabla1[[#This Row],[TOTAL DIAS PROYECTO]]+(Tabla1[[#This Row],[COSTO TEMPORAL]])</f>
        <v>600</v>
      </c>
      <c r="P5156" s="119"/>
      <c r="Q5156" s="119">
        <f>+(Tabla1[[#This Row],[COSTO COCHE]]/30)*Tabla1[[#This Row],[TOTAL DIAS PROYECTO]]</f>
        <v>0</v>
      </c>
      <c r="R5156" s="119">
        <f>+Tabla1[[#This Row],[COSTO TOTAL ALOJAMIENTO]]+Tabla1[[#This Row],[COSTO TOTAL COCHE]]</f>
        <v>600</v>
      </c>
      <c r="S5156" s="117"/>
      <c r="T5156" s="124" t="s">
        <v>44</v>
      </c>
      <c r="U5156" s="124">
        <v>46063</v>
      </c>
      <c r="V5156" s="132">
        <v>46122</v>
      </c>
      <c r="W5156" s="119"/>
      <c r="X5156" s="117"/>
      <c r="Y5156" s="118" t="s">
        <v>7265</v>
      </c>
      <c r="Z5156" s="117" t="s">
        <v>36</v>
      </c>
      <c r="AA5156" s="127" t="e">
        <v>#N/A</v>
      </c>
      <c r="AB5156" s="127" t="e">
        <v>#N/A</v>
      </c>
    </row>
    <row r="5157" spans="1:28" ht="15" customHeight="1">
      <c r="A5157" s="2" t="s">
        <v>8636</v>
      </c>
      <c r="B5157" s="2" t="s">
        <v>28</v>
      </c>
      <c r="C5157" s="11" t="s">
        <v>49</v>
      </c>
      <c r="D5157" s="2" t="s">
        <v>78</v>
      </c>
      <c r="E5157" s="2" t="s">
        <v>79</v>
      </c>
      <c r="F5157" s="11" t="s">
        <v>142</v>
      </c>
      <c r="G5157" s="30" t="s">
        <v>156</v>
      </c>
      <c r="H5157" s="2" t="s">
        <v>2658</v>
      </c>
      <c r="I5157" s="29" t="s">
        <v>145</v>
      </c>
      <c r="J5157" s="8">
        <f>+Tabla1[[#This Row],[FECHA ENTRADA]]</f>
        <v>45366</v>
      </c>
      <c r="K5157" s="8">
        <f ca="1">TODAY()</f>
        <v>46260</v>
      </c>
      <c r="L5157" s="13">
        <f ca="1">_xlfn.DAYS(Tabla1[[#This Row],[FECHA FIN ]],Tabla1[[#This Row],[FECHA INICIO]])</f>
        <v>894</v>
      </c>
      <c r="M5157" s="12"/>
      <c r="N5157" s="24">
        <v>732.5</v>
      </c>
      <c r="O5157" s="12">
        <f ca="1">(Tabla1[[#This Row],[COSTO FIJO ]]/30)*Tabla1[[#This Row],[TOTAL DIAS PROYECTO]]+(Tabla1[[#This Row],[COSTO TEMPORAL]])</f>
        <v>21828.5</v>
      </c>
      <c r="P5157" s="12"/>
      <c r="Q5157" s="12">
        <f ca="1">+(Tabla1[[#This Row],[COSTO COCHE]]/30)*Tabla1[[#This Row],[TOTAL DIAS PROYECTO]]</f>
        <v>0</v>
      </c>
      <c r="R5157" s="12">
        <f ca="1">+Tabla1[[#This Row],[COSTO TOTAL ALOJAMIENTO]]+Tabla1[[#This Row],[COSTO TOTAL COCHE]]</f>
        <v>21828.5</v>
      </c>
      <c r="S5157" s="2"/>
      <c r="T5157" s="2" t="s">
        <v>44</v>
      </c>
      <c r="U5157" s="60">
        <v>45366</v>
      </c>
      <c r="V5157" s="43">
        <v>45879</v>
      </c>
      <c r="W5157" s="15"/>
      <c r="X5157" s="16"/>
      <c r="Y5157" t="s">
        <v>7259</v>
      </c>
      <c r="Z5157" s="2" t="s">
        <v>36</v>
      </c>
      <c r="AA5157" s="13" t="s">
        <v>10333</v>
      </c>
      <c r="AB5157" s="13" t="s">
        <v>10334</v>
      </c>
    </row>
    <row r="5158" spans="1:28" ht="15" customHeight="1">
      <c r="A5158" s="2" t="s">
        <v>9821</v>
      </c>
      <c r="B5158" s="2" t="s">
        <v>711</v>
      </c>
      <c r="C5158" s="11" t="s">
        <v>4918</v>
      </c>
      <c r="D5158" s="2" t="s">
        <v>30</v>
      </c>
      <c r="E5158" s="2" t="s">
        <v>608</v>
      </c>
      <c r="F5158" s="11" t="s">
        <v>4913</v>
      </c>
      <c r="G5158" s="21">
        <v>947270205</v>
      </c>
      <c r="H5158" s="2" t="s">
        <v>4921</v>
      </c>
      <c r="I5158" s="12" t="s">
        <v>4825</v>
      </c>
      <c r="J5158" s="22">
        <f>+Tabla1[[#This Row],[FECHA ENTRADA]]</f>
        <v>45880</v>
      </c>
      <c r="K5158" s="22">
        <f ca="1">TODAY()</f>
        <v>46260</v>
      </c>
      <c r="L5158" s="23">
        <f ca="1">_xlfn.DAYS(Tabla1[[#This Row],[FECHA FIN ]],Tabla1[[#This Row],[FECHA INICIO]])</f>
        <v>380</v>
      </c>
      <c r="M5158" s="12">
        <f>805.2/10</f>
        <v>80.52000000000001</v>
      </c>
      <c r="N5158" s="20"/>
      <c r="O5158" s="24">
        <f ca="1">(Tabla1[[#This Row],[COSTO FIJO ]]/30)*Tabla1[[#This Row],[TOTAL DIAS PROYECTO]]+(Tabla1[[#This Row],[COSTO TEMPORAL]])</f>
        <v>80.52000000000001</v>
      </c>
      <c r="P5158" s="12"/>
      <c r="Q5158" s="12">
        <f ca="1">+(Tabla1[[#This Row],[COSTO COCHE]]/30)*Tabla1[[#This Row],[TOTAL DIAS PROYECTO]]</f>
        <v>0</v>
      </c>
      <c r="R5158" s="12">
        <f ca="1">+Tabla1[[#This Row],[COSTO TOTAL ALOJAMIENTO]]+Tabla1[[#This Row],[COSTO TOTAL COCHE]]</f>
        <v>80.52000000000001</v>
      </c>
      <c r="S5158" s="2"/>
      <c r="T5158" s="14" t="s">
        <v>44</v>
      </c>
      <c r="U5158" s="14">
        <v>45880</v>
      </c>
      <c r="V5158" s="79">
        <v>45891</v>
      </c>
      <c r="W5158" s="12"/>
      <c r="X5158" s="2"/>
      <c r="Y5158" s="11" t="s">
        <v>7266</v>
      </c>
      <c r="Z5158" s="2" t="s">
        <v>36</v>
      </c>
      <c r="AA5158" s="13" t="s">
        <v>10383</v>
      </c>
      <c r="AB5158" s="13" t="s">
        <v>10384</v>
      </c>
    </row>
    <row r="5159" spans="1:28" ht="15" customHeight="1">
      <c r="A5159" s="117" t="s">
        <v>9244</v>
      </c>
      <c r="B5159" s="117" t="s">
        <v>711</v>
      </c>
      <c r="C5159" s="118" t="s">
        <v>2566</v>
      </c>
      <c r="D5159" s="117" t="s">
        <v>30</v>
      </c>
      <c r="E5159" s="117" t="s">
        <v>2378</v>
      </c>
      <c r="F5159" s="11" t="s">
        <v>7263</v>
      </c>
      <c r="G5159" s="251" t="s">
        <v>7264</v>
      </c>
      <c r="H5159" s="117" t="s">
        <v>6757</v>
      </c>
      <c r="I5159" s="119" t="s">
        <v>1392</v>
      </c>
      <c r="J5159" s="120">
        <f>+Tabla1[[#This Row],[FECHA ENTRADA]]</f>
        <v>46063</v>
      </c>
      <c r="K5159" s="120">
        <v>46126</v>
      </c>
      <c r="L5159" s="122">
        <f>_xlfn.DAYS(Tabla1[[#This Row],[FECHA FIN ]],Tabla1[[#This Row],[FECHA INICIO]])</f>
        <v>63</v>
      </c>
      <c r="M5159" s="119">
        <v>600</v>
      </c>
      <c r="N5159" s="123"/>
      <c r="O5159" s="123">
        <f>(Tabla1[[#This Row],[COSTO FIJO ]]/30)*Tabla1[[#This Row],[TOTAL DIAS PROYECTO]]+(Tabla1[[#This Row],[COSTO TEMPORAL]])</f>
        <v>600</v>
      </c>
      <c r="P5159" s="119"/>
      <c r="Q5159" s="119">
        <f>+(Tabla1[[#This Row],[COSTO COCHE]]/30)*Tabla1[[#This Row],[TOTAL DIAS PROYECTO]]</f>
        <v>0</v>
      </c>
      <c r="R5159" s="119">
        <f>+Tabla1[[#This Row],[COSTO TOTAL ALOJAMIENTO]]+Tabla1[[#This Row],[COSTO TOTAL COCHE]]</f>
        <v>600</v>
      </c>
      <c r="S5159" s="117"/>
      <c r="T5159" s="124" t="s">
        <v>44</v>
      </c>
      <c r="U5159" s="124">
        <v>46063</v>
      </c>
      <c r="V5159" s="132">
        <v>46122</v>
      </c>
      <c r="W5159" s="119"/>
      <c r="X5159" s="117"/>
      <c r="Y5159" s="118" t="s">
        <v>7265</v>
      </c>
      <c r="Z5159" s="117" t="s">
        <v>36</v>
      </c>
      <c r="AA5159" s="127" t="e">
        <v>#N/A</v>
      </c>
      <c r="AB5159" s="127" t="e">
        <v>#N/A</v>
      </c>
    </row>
    <row r="5160" spans="1:28" ht="15" customHeight="1">
      <c r="A5160" s="117" t="s">
        <v>9027</v>
      </c>
      <c r="B5160" s="117" t="s">
        <v>606</v>
      </c>
      <c r="C5160" s="118" t="s">
        <v>1732</v>
      </c>
      <c r="D5160" s="117" t="s">
        <v>30</v>
      </c>
      <c r="E5160" s="117" t="s">
        <v>213</v>
      </c>
      <c r="F5160" s="11" t="s">
        <v>6353</v>
      </c>
      <c r="G5160" s="70" t="s">
        <v>1197</v>
      </c>
      <c r="H5160" s="117" t="s">
        <v>1735</v>
      </c>
      <c r="I5160" s="119" t="s">
        <v>1043</v>
      </c>
      <c r="J5160" s="121">
        <f>+Tabla1[[#This Row],[FECHA ENTRADA]]</f>
        <v>46036</v>
      </c>
      <c r="K5160" s="121">
        <v>46126</v>
      </c>
      <c r="L5160" s="129">
        <f>_xlfn.DAYS(Tabla1[[#This Row],[FECHA FIN ]],Tabla1[[#This Row],[FECHA INICIO]])</f>
        <v>90</v>
      </c>
      <c r="M5160" s="119"/>
      <c r="N5160" s="130">
        <v>475</v>
      </c>
      <c r="O5160" s="131">
        <f>(Tabla1[[#This Row],[COSTO FIJO ]]/30)*Tabla1[[#This Row],[TOTAL DIAS PROYECTO]]+(Tabla1[[#This Row],[COSTO TEMPORAL]])</f>
        <v>1425</v>
      </c>
      <c r="P5160" s="119"/>
      <c r="Q5160" s="119">
        <f>+(Tabla1[[#This Row],[COSTO COCHE]]/30)*Tabla1[[#This Row],[TOTAL DIAS PROYECTO]]</f>
        <v>0</v>
      </c>
      <c r="R5160" s="119">
        <f>+Tabla1[[#This Row],[COSTO TOTAL ALOJAMIENTO]]+Tabla1[[#This Row],[COSTO TOTAL COCHE]]</f>
        <v>1425</v>
      </c>
      <c r="S5160" s="117"/>
      <c r="T5160" s="124" t="s">
        <v>44</v>
      </c>
      <c r="U5160" s="124">
        <v>46036</v>
      </c>
      <c r="V5160" s="25">
        <v>46126</v>
      </c>
      <c r="W5160" s="119"/>
      <c r="X5160" s="117">
        <v>10</v>
      </c>
      <c r="Y5160" s="118" t="s">
        <v>7254</v>
      </c>
      <c r="Z5160" s="117" t="s">
        <v>36</v>
      </c>
      <c r="AA5160" s="127" t="s">
        <v>10349</v>
      </c>
      <c r="AB5160" s="127" t="s">
        <v>10350</v>
      </c>
    </row>
    <row r="5161" spans="1:28" ht="15" customHeight="1">
      <c r="A5161" s="2" t="s">
        <v>9822</v>
      </c>
      <c r="B5161" s="2" t="s">
        <v>711</v>
      </c>
      <c r="C5161" s="11" t="s">
        <v>4922</v>
      </c>
      <c r="D5161" s="2" t="s">
        <v>30</v>
      </c>
      <c r="E5161" s="2" t="s">
        <v>608</v>
      </c>
      <c r="F5161" s="11" t="s">
        <v>4913</v>
      </c>
      <c r="G5161" s="21">
        <v>947270205</v>
      </c>
      <c r="H5161" s="2" t="s">
        <v>4921</v>
      </c>
      <c r="I5161" s="12" t="s">
        <v>4825</v>
      </c>
      <c r="J5161" s="22">
        <f>+Tabla1[[#This Row],[FECHA ENTRADA]]</f>
        <v>45880</v>
      </c>
      <c r="K5161" s="22">
        <f ca="1">TODAY()</f>
        <v>46260</v>
      </c>
      <c r="L5161" s="23">
        <f ca="1">_xlfn.DAYS(Tabla1[[#This Row],[FECHA FIN ]],Tabla1[[#This Row],[FECHA INICIO]])</f>
        <v>380</v>
      </c>
      <c r="M5161" s="12">
        <f>805.2/10</f>
        <v>80.52000000000001</v>
      </c>
      <c r="N5161" s="20"/>
      <c r="O5161" s="24">
        <f ca="1">(Tabla1[[#This Row],[COSTO FIJO ]]/30)*Tabla1[[#This Row],[TOTAL DIAS PROYECTO]]+(Tabla1[[#This Row],[COSTO TEMPORAL]])</f>
        <v>80.52000000000001</v>
      </c>
      <c r="P5161" s="12"/>
      <c r="Q5161" s="12">
        <f ca="1">+(Tabla1[[#This Row],[COSTO COCHE]]/30)*Tabla1[[#This Row],[TOTAL DIAS PROYECTO]]</f>
        <v>0</v>
      </c>
      <c r="R5161" s="12">
        <f ca="1">+Tabla1[[#This Row],[COSTO TOTAL ALOJAMIENTO]]+Tabla1[[#This Row],[COSTO TOTAL COCHE]]</f>
        <v>80.52000000000001</v>
      </c>
      <c r="S5161" s="2"/>
      <c r="T5161" s="14" t="s">
        <v>44</v>
      </c>
      <c r="U5161" s="14">
        <v>45880</v>
      </c>
      <c r="V5161" s="79">
        <v>45891</v>
      </c>
      <c r="W5161" s="12"/>
      <c r="X5161" s="2"/>
      <c r="Y5161" s="11" t="s">
        <v>7267</v>
      </c>
      <c r="Z5161" s="2" t="s">
        <v>36</v>
      </c>
      <c r="AA5161" s="13" t="s">
        <v>10383</v>
      </c>
      <c r="AB5161" s="13" t="s">
        <v>10384</v>
      </c>
    </row>
    <row r="5162" spans="1:28" ht="15" customHeight="1">
      <c r="A5162" s="2" t="s">
        <v>9823</v>
      </c>
      <c r="B5162" s="2" t="s">
        <v>711</v>
      </c>
      <c r="C5162" s="11" t="s">
        <v>4923</v>
      </c>
      <c r="D5162" s="2" t="s">
        <v>30</v>
      </c>
      <c r="E5162" s="2" t="s">
        <v>608</v>
      </c>
      <c r="F5162" s="11" t="s">
        <v>4913</v>
      </c>
      <c r="G5162" s="21">
        <v>947270205</v>
      </c>
      <c r="H5162" s="2" t="s">
        <v>4921</v>
      </c>
      <c r="I5162" s="12" t="s">
        <v>4825</v>
      </c>
      <c r="J5162" s="22">
        <f>+Tabla1[[#This Row],[FECHA ENTRADA]]</f>
        <v>45880</v>
      </c>
      <c r="K5162" s="22">
        <f ca="1">TODAY()</f>
        <v>46260</v>
      </c>
      <c r="L5162" s="23">
        <f ca="1">_xlfn.DAYS(Tabla1[[#This Row],[FECHA FIN ]],Tabla1[[#This Row],[FECHA INICIO]])</f>
        <v>380</v>
      </c>
      <c r="M5162" s="12">
        <f>805.2/10</f>
        <v>80.52000000000001</v>
      </c>
      <c r="N5162" s="20"/>
      <c r="O5162" s="24">
        <f ca="1">(Tabla1[[#This Row],[COSTO FIJO ]]/30)*Tabla1[[#This Row],[TOTAL DIAS PROYECTO]]+(Tabla1[[#This Row],[COSTO TEMPORAL]])</f>
        <v>80.52000000000001</v>
      </c>
      <c r="P5162" s="12"/>
      <c r="Q5162" s="12">
        <f ca="1">+(Tabla1[[#This Row],[COSTO COCHE]]/30)*Tabla1[[#This Row],[TOTAL DIAS PROYECTO]]</f>
        <v>0</v>
      </c>
      <c r="R5162" s="12">
        <f ca="1">+Tabla1[[#This Row],[COSTO TOTAL ALOJAMIENTO]]+Tabla1[[#This Row],[COSTO TOTAL COCHE]]</f>
        <v>80.52000000000001</v>
      </c>
      <c r="S5162" s="2"/>
      <c r="T5162" s="14" t="s">
        <v>44</v>
      </c>
      <c r="U5162" s="14">
        <v>45880</v>
      </c>
      <c r="V5162" s="79">
        <v>45891</v>
      </c>
      <c r="W5162" s="12"/>
      <c r="X5162" s="2"/>
      <c r="Y5162" s="11" t="s">
        <v>7267</v>
      </c>
      <c r="Z5162" s="2" t="s">
        <v>36</v>
      </c>
      <c r="AA5162" s="13" t="s">
        <v>10383</v>
      </c>
      <c r="AB5162" s="13" t="s">
        <v>10384</v>
      </c>
    </row>
    <row r="5163" spans="1:28" ht="15" customHeight="1">
      <c r="A5163" s="2" t="s">
        <v>9716</v>
      </c>
      <c r="B5163" s="2" t="s">
        <v>978</v>
      </c>
      <c r="C5163" s="11" t="s">
        <v>4377</v>
      </c>
      <c r="D5163" s="2" t="s">
        <v>30</v>
      </c>
      <c r="E5163" s="2" t="s">
        <v>855</v>
      </c>
      <c r="F5163" s="11" t="s">
        <v>6466</v>
      </c>
      <c r="G5163" s="49" t="s">
        <v>1474</v>
      </c>
      <c r="H5163" s="2" t="s">
        <v>5917</v>
      </c>
      <c r="I5163" s="12" t="s">
        <v>5808</v>
      </c>
      <c r="J5163" s="22">
        <f>+Tabla1[[#This Row],[FECHA ENTRADA]]</f>
        <v>45963</v>
      </c>
      <c r="K5163" s="22">
        <v>46132</v>
      </c>
      <c r="L5163" s="23">
        <f>_xlfn.DAYS(Tabla1[[#This Row],[FECHA FIN ]],Tabla1[[#This Row],[FECHA INICIO]])</f>
        <v>169</v>
      </c>
      <c r="M5163" s="12">
        <v>302.5</v>
      </c>
      <c r="N5163" s="20"/>
      <c r="O5163" s="24">
        <f>(Tabla1[[#This Row],[COSTO FIJO ]]/30)*Tabla1[[#This Row],[TOTAL DIAS PROYECTO]]+(Tabla1[[#This Row],[COSTO TEMPORAL]])</f>
        <v>302.5</v>
      </c>
      <c r="P5163" s="12"/>
      <c r="Q5163" s="12">
        <f>+(Tabla1[[#This Row],[COSTO COCHE]]/30)*Tabla1[[#This Row],[TOTAL DIAS PROYECTO]]</f>
        <v>0</v>
      </c>
      <c r="R5163" s="12">
        <f>+Tabla1[[#This Row],[COSTO TOTAL ALOJAMIENTO]]+Tabla1[[#This Row],[COSTO TOTAL COCHE]]</f>
        <v>302.5</v>
      </c>
      <c r="S5163" s="2"/>
      <c r="T5163" s="14" t="s">
        <v>44</v>
      </c>
      <c r="U5163" s="14">
        <v>45963</v>
      </c>
      <c r="V5163" s="25">
        <v>46132</v>
      </c>
      <c r="W5163" s="71"/>
      <c r="X5163" s="2"/>
      <c r="Y5163" s="11" t="s">
        <v>7241</v>
      </c>
      <c r="Z5163" s="2" t="s">
        <v>36</v>
      </c>
      <c r="AA5163" s="13" t="s">
        <v>10401</v>
      </c>
      <c r="AB5163" s="13" t="s">
        <v>10402</v>
      </c>
    </row>
    <row r="5164" spans="1:28" ht="15" customHeight="1">
      <c r="A5164" s="2" t="s">
        <v>9696</v>
      </c>
      <c r="B5164" s="2" t="s">
        <v>978</v>
      </c>
      <c r="C5164" s="31" t="s">
        <v>4278</v>
      </c>
      <c r="D5164" s="2" t="s">
        <v>30</v>
      </c>
      <c r="E5164" s="2" t="s">
        <v>380</v>
      </c>
      <c r="F5164" s="11" t="s">
        <v>5110</v>
      </c>
      <c r="G5164" s="21" t="s">
        <v>5111</v>
      </c>
      <c r="H5164" s="2" t="s">
        <v>4279</v>
      </c>
      <c r="I5164" s="12" t="s">
        <v>4276</v>
      </c>
      <c r="J5164" s="41">
        <f>+Tabla1[[#This Row],[FECHA ENTRADA]]</f>
        <v>45928</v>
      </c>
      <c r="K5164" s="22">
        <v>46030</v>
      </c>
      <c r="L5164" s="42">
        <f>_xlfn.DAYS(Tabla1[[#This Row],[FECHA FIN ]],Tabla1[[#This Row],[FECHA INICIO]])</f>
        <v>102</v>
      </c>
      <c r="M5164" s="12">
        <v>440</v>
      </c>
      <c r="N5164" s="28"/>
      <c r="O5164" s="28">
        <f>(Tabla1[[#This Row],[COSTO FIJO ]]/30)*Tabla1[[#This Row],[TOTAL DIAS PROYECTO]]+(Tabla1[[#This Row],[COSTO TEMPORAL]])</f>
        <v>440</v>
      </c>
      <c r="P5164" s="12"/>
      <c r="Q5164" s="12">
        <f>+(Tabla1[[#This Row],[COSTO COCHE]]/30)*Tabla1[[#This Row],[TOTAL DIAS PROYECTO]]</f>
        <v>0</v>
      </c>
      <c r="R5164" s="12">
        <f>+Tabla1[[#This Row],[COSTO TOTAL ALOJAMIENTO]]+Tabla1[[#This Row],[COSTO TOTAL COCHE]]</f>
        <v>440</v>
      </c>
      <c r="S5164" s="2"/>
      <c r="T5164" s="14" t="s">
        <v>44</v>
      </c>
      <c r="U5164" s="14">
        <v>45928</v>
      </c>
      <c r="V5164" s="25">
        <v>46030</v>
      </c>
      <c r="W5164" s="71"/>
      <c r="X5164" s="2"/>
      <c r="Y5164" s="11" t="s">
        <v>7268</v>
      </c>
      <c r="Z5164" s="2" t="s">
        <v>36</v>
      </c>
      <c r="AA5164" s="13" t="s">
        <v>10370</v>
      </c>
      <c r="AB5164" s="13" t="s">
        <v>10371</v>
      </c>
    </row>
    <row r="5165" spans="1:28" ht="15" customHeight="1">
      <c r="A5165" s="2" t="s">
        <v>9882</v>
      </c>
      <c r="B5165" s="2" t="s">
        <v>711</v>
      </c>
      <c r="C5165" s="11" t="s">
        <v>5210</v>
      </c>
      <c r="D5165" s="2" t="s">
        <v>30</v>
      </c>
      <c r="E5165" s="2" t="s">
        <v>608</v>
      </c>
      <c r="F5165" s="11" t="s">
        <v>4913</v>
      </c>
      <c r="G5165" s="21">
        <v>947270205</v>
      </c>
      <c r="H5165" s="2" t="s">
        <v>4833</v>
      </c>
      <c r="I5165" s="12" t="s">
        <v>4825</v>
      </c>
      <c r="J5165" s="22">
        <f>+Tabla1[[#This Row],[FECHA ENTRADA]]</f>
        <v>45880</v>
      </c>
      <c r="K5165" s="22">
        <f ca="1">TODAY()</f>
        <v>46260</v>
      </c>
      <c r="L5165" s="23">
        <f ca="1">_xlfn.DAYS(Tabla1[[#This Row],[FECHA FIN ]],Tabla1[[#This Row],[FECHA INICIO]])</f>
        <v>380</v>
      </c>
      <c r="M5165" s="12">
        <f>805.2/10</f>
        <v>80.52000000000001</v>
      </c>
      <c r="N5165" s="20"/>
      <c r="O5165" s="24">
        <f ca="1">(Tabla1[[#This Row],[COSTO FIJO ]]/30)*Tabla1[[#This Row],[TOTAL DIAS PROYECTO]]+(Tabla1[[#This Row],[COSTO TEMPORAL]])</f>
        <v>80.52000000000001</v>
      </c>
      <c r="P5165" s="12"/>
      <c r="Q5165" s="12">
        <f ca="1">+(Tabla1[[#This Row],[COSTO COCHE]]/30)*Tabla1[[#This Row],[TOTAL DIAS PROYECTO]]</f>
        <v>0</v>
      </c>
      <c r="R5165" s="12">
        <f ca="1">+Tabla1[[#This Row],[COSTO TOTAL ALOJAMIENTO]]+Tabla1[[#This Row],[COSTO TOTAL COCHE]]</f>
        <v>80.52000000000001</v>
      </c>
      <c r="S5165" s="2"/>
      <c r="T5165" s="14" t="s">
        <v>44</v>
      </c>
      <c r="U5165" s="14">
        <v>45880</v>
      </c>
      <c r="V5165" s="79">
        <v>45891</v>
      </c>
      <c r="W5165" s="12"/>
      <c r="X5165" s="2"/>
      <c r="Y5165" s="11" t="s">
        <v>7269</v>
      </c>
      <c r="Z5165" s="2" t="s">
        <v>36</v>
      </c>
      <c r="AA5165" s="13" t="s">
        <v>10383</v>
      </c>
      <c r="AB5165" s="13" t="s">
        <v>10384</v>
      </c>
    </row>
    <row r="5166" spans="1:28" ht="15" customHeight="1">
      <c r="A5166" s="2" t="s">
        <v>9695</v>
      </c>
      <c r="B5166" s="2" t="s">
        <v>978</v>
      </c>
      <c r="C5166" s="11" t="s">
        <v>4277</v>
      </c>
      <c r="D5166" s="2" t="s">
        <v>30</v>
      </c>
      <c r="E5166" s="2" t="s">
        <v>380</v>
      </c>
      <c r="F5166" s="11" t="s">
        <v>5110</v>
      </c>
      <c r="G5166" s="11" t="s">
        <v>5111</v>
      </c>
      <c r="H5166" s="2" t="s">
        <v>1363</v>
      </c>
      <c r="I5166" s="12" t="s">
        <v>4276</v>
      </c>
      <c r="J5166" s="41">
        <f>+Tabla1[[#This Row],[FECHA ENTRADA]]</f>
        <v>45928</v>
      </c>
      <c r="K5166" s="22">
        <v>46067</v>
      </c>
      <c r="L5166" s="42">
        <f>_xlfn.DAYS(Tabla1[[#This Row],[FECHA FIN ]],Tabla1[[#This Row],[FECHA INICIO]])</f>
        <v>139</v>
      </c>
      <c r="M5166" s="12">
        <v>300</v>
      </c>
      <c r="N5166" s="28"/>
      <c r="O5166" s="28">
        <f>(Tabla1[[#This Row],[COSTO FIJO ]]/30)*Tabla1[[#This Row],[TOTAL DIAS PROYECTO]]+(Tabla1[[#This Row],[COSTO TEMPORAL]])</f>
        <v>300</v>
      </c>
      <c r="P5166" s="12"/>
      <c r="Q5166" s="12">
        <f>+(Tabla1[[#This Row],[COSTO COCHE]]/30)*Tabla1[[#This Row],[TOTAL DIAS PROYECTO]]</f>
        <v>0</v>
      </c>
      <c r="R5166" s="12">
        <f>+Tabla1[[#This Row],[COSTO TOTAL ALOJAMIENTO]]+Tabla1[[#This Row],[COSTO TOTAL COCHE]]</f>
        <v>300</v>
      </c>
      <c r="S5166" s="2"/>
      <c r="T5166" s="14" t="s">
        <v>44</v>
      </c>
      <c r="U5166" s="14">
        <v>45928</v>
      </c>
      <c r="V5166" s="79">
        <v>46067</v>
      </c>
      <c r="W5166" s="71"/>
      <c r="X5166" s="2"/>
      <c r="Y5166" s="11" t="s">
        <v>7270</v>
      </c>
      <c r="Z5166" s="2" t="s">
        <v>36</v>
      </c>
      <c r="AA5166" s="13" t="s">
        <v>10370</v>
      </c>
      <c r="AB5166" s="13" t="s">
        <v>10371</v>
      </c>
    </row>
    <row r="5167" spans="1:28" ht="15" customHeight="1">
      <c r="A5167" s="2" t="s">
        <v>9883</v>
      </c>
      <c r="B5167" s="2" t="s">
        <v>711</v>
      </c>
      <c r="C5167" s="11" t="s">
        <v>5211</v>
      </c>
      <c r="D5167" s="2" t="s">
        <v>30</v>
      </c>
      <c r="E5167" s="2" t="s">
        <v>608</v>
      </c>
      <c r="F5167" s="11" t="s">
        <v>4913</v>
      </c>
      <c r="G5167" s="21">
        <v>947270205</v>
      </c>
      <c r="H5167" s="2" t="s">
        <v>4833</v>
      </c>
      <c r="I5167" s="12" t="s">
        <v>4825</v>
      </c>
      <c r="J5167" s="22">
        <f>+Tabla1[[#This Row],[FECHA ENTRADA]]</f>
        <v>45880</v>
      </c>
      <c r="K5167" s="22">
        <f ca="1">TODAY()</f>
        <v>46260</v>
      </c>
      <c r="L5167" s="23">
        <f ca="1">_xlfn.DAYS(Tabla1[[#This Row],[FECHA FIN ]],Tabla1[[#This Row],[FECHA INICIO]])</f>
        <v>380</v>
      </c>
      <c r="M5167" s="12">
        <f>805.2/10</f>
        <v>80.52000000000001</v>
      </c>
      <c r="N5167" s="20"/>
      <c r="O5167" s="24">
        <f ca="1">(Tabla1[[#This Row],[COSTO FIJO ]]/30)*Tabla1[[#This Row],[TOTAL DIAS PROYECTO]]+(Tabla1[[#This Row],[COSTO TEMPORAL]])</f>
        <v>80.52000000000001</v>
      </c>
      <c r="P5167" s="12"/>
      <c r="Q5167" s="12">
        <f ca="1">+(Tabla1[[#This Row],[COSTO COCHE]]/30)*Tabla1[[#This Row],[TOTAL DIAS PROYECTO]]</f>
        <v>0</v>
      </c>
      <c r="R5167" s="12">
        <f ca="1">+Tabla1[[#This Row],[COSTO TOTAL ALOJAMIENTO]]+Tabla1[[#This Row],[COSTO TOTAL COCHE]]</f>
        <v>80.52000000000001</v>
      </c>
      <c r="S5167" s="2"/>
      <c r="T5167" s="14" t="s">
        <v>44</v>
      </c>
      <c r="U5167" s="14">
        <v>45880</v>
      </c>
      <c r="V5167" s="79">
        <v>45891</v>
      </c>
      <c r="W5167" s="12"/>
      <c r="X5167" s="2"/>
      <c r="Y5167" s="11" t="s">
        <v>7269</v>
      </c>
      <c r="Z5167" s="2" t="s">
        <v>36</v>
      </c>
      <c r="AA5167" s="13" t="s">
        <v>10383</v>
      </c>
      <c r="AB5167" s="13" t="s">
        <v>10384</v>
      </c>
    </row>
    <row r="5168" spans="1:28" ht="15" customHeight="1">
      <c r="A5168" s="2" t="s">
        <v>9804</v>
      </c>
      <c r="B5168" s="2" t="s">
        <v>711</v>
      </c>
      <c r="C5168" s="11" t="s">
        <v>4822</v>
      </c>
      <c r="D5168" s="2" t="s">
        <v>30</v>
      </c>
      <c r="E5168" s="2" t="s">
        <v>608</v>
      </c>
      <c r="F5168" s="11" t="s">
        <v>4823</v>
      </c>
      <c r="G5168" s="21">
        <v>947201640</v>
      </c>
      <c r="H5168" s="2" t="s">
        <v>4824</v>
      </c>
      <c r="I5168" s="12" t="s">
        <v>4825</v>
      </c>
      <c r="J5168" s="22">
        <f>+Tabla1[[#This Row],[FECHA ENTRADA]]</f>
        <v>45887</v>
      </c>
      <c r="K5168" s="22">
        <f ca="1">TODAY()</f>
        <v>46260</v>
      </c>
      <c r="L5168" s="23">
        <f ca="1">_xlfn.DAYS(Tabla1[[#This Row],[FECHA FIN ]],Tabla1[[#This Row],[FECHA INICIO]])</f>
        <v>373</v>
      </c>
      <c r="M5168" s="12"/>
      <c r="N5168" s="20"/>
      <c r="O5168" s="24">
        <f ca="1">(Tabla1[[#This Row],[COSTO FIJO ]]/30)*Tabla1[[#This Row],[TOTAL DIAS PROYECTO]]+(Tabla1[[#This Row],[COSTO TEMPORAL]])</f>
        <v>0</v>
      </c>
      <c r="P5168" s="12"/>
      <c r="Q5168" s="12">
        <f ca="1">+(Tabla1[[#This Row],[COSTO COCHE]]/30)*Tabla1[[#This Row],[TOTAL DIAS PROYECTO]]</f>
        <v>0</v>
      </c>
      <c r="R5168" s="12">
        <f ca="1">+Tabla1[[#This Row],[COSTO TOTAL ALOJAMIENTO]]+Tabla1[[#This Row],[COSTO TOTAL COCHE]]</f>
        <v>0</v>
      </c>
      <c r="S5168" s="2"/>
      <c r="T5168" s="14" t="s">
        <v>44</v>
      </c>
      <c r="U5168" s="14">
        <v>45887</v>
      </c>
      <c r="V5168" s="79">
        <v>45891</v>
      </c>
      <c r="W5168" s="12"/>
      <c r="X5168" s="2"/>
      <c r="Y5168" s="11" t="s">
        <v>4889</v>
      </c>
      <c r="Z5168" s="2" t="s">
        <v>36</v>
      </c>
      <c r="AA5168" s="13" t="s">
        <v>10383</v>
      </c>
      <c r="AB5168" s="13" t="s">
        <v>10384</v>
      </c>
    </row>
    <row r="5169" spans="1:28" ht="15" customHeight="1">
      <c r="A5169" s="2" t="s">
        <v>9044</v>
      </c>
      <c r="B5169" s="2" t="s">
        <v>978</v>
      </c>
      <c r="C5169" s="31" t="s">
        <v>1789</v>
      </c>
      <c r="D5169" s="2" t="s">
        <v>30</v>
      </c>
      <c r="E5169" s="2" t="s">
        <v>380</v>
      </c>
      <c r="F5169" s="11" t="s">
        <v>6790</v>
      </c>
      <c r="G5169" s="21" t="s">
        <v>6791</v>
      </c>
      <c r="H5169" s="2" t="s">
        <v>7271</v>
      </c>
      <c r="I5169" s="12" t="s">
        <v>4681</v>
      </c>
      <c r="J5169" s="41">
        <f>+Tabla1[[#This Row],[FECHA ENTRADA]]</f>
        <v>45930</v>
      </c>
      <c r="K5169" s="22">
        <v>45973</v>
      </c>
      <c r="L5169" s="42">
        <f>_xlfn.DAYS(Tabla1[[#This Row],[FECHA FIN ]],Tabla1[[#This Row],[FECHA INICIO]])</f>
        <v>43</v>
      </c>
      <c r="M5169" s="12"/>
      <c r="N5169" s="20">
        <v>295</v>
      </c>
      <c r="O5169" s="28">
        <f>(Tabla1[[#This Row],[COSTO FIJO ]]/30)*Tabla1[[#This Row],[TOTAL DIAS PROYECTO]]+(Tabla1[[#This Row],[COSTO TEMPORAL]])</f>
        <v>422.83333333333337</v>
      </c>
      <c r="P5169" s="12"/>
      <c r="Q5169" s="12">
        <f>+(Tabla1[[#This Row],[COSTO COCHE]]/30)*Tabla1[[#This Row],[TOTAL DIAS PROYECTO]]</f>
        <v>0</v>
      </c>
      <c r="R5169" s="12">
        <f>+Tabla1[[#This Row],[COSTO TOTAL ALOJAMIENTO]]+Tabla1[[#This Row],[COSTO TOTAL COCHE]]</f>
        <v>422.83333333333337</v>
      </c>
      <c r="S5169" s="2"/>
      <c r="T5169" s="14" t="s">
        <v>35</v>
      </c>
      <c r="U5169" s="14">
        <v>45930</v>
      </c>
      <c r="V5169" s="79"/>
      <c r="W5169" s="71"/>
      <c r="X5169" s="2">
        <v>20</v>
      </c>
      <c r="Y5169" s="11" t="s">
        <v>6792</v>
      </c>
      <c r="Z5169" s="2" t="s">
        <v>36</v>
      </c>
      <c r="AA5169" s="13" t="s">
        <v>10370</v>
      </c>
      <c r="AB5169" s="13" t="s">
        <v>10371</v>
      </c>
    </row>
    <row r="5170" spans="1:28" ht="15" customHeight="1">
      <c r="A5170" s="2" t="s">
        <v>9943</v>
      </c>
      <c r="B5170" s="2" t="s">
        <v>606</v>
      </c>
      <c r="C5170" s="31" t="s">
        <v>5589</v>
      </c>
      <c r="D5170" s="2" t="s">
        <v>30</v>
      </c>
      <c r="E5170" s="2" t="s">
        <v>1130</v>
      </c>
      <c r="F5170" s="11" t="s">
        <v>5440</v>
      </c>
      <c r="G5170" s="49" t="s">
        <v>5441</v>
      </c>
      <c r="H5170" s="2" t="s">
        <v>7272</v>
      </c>
      <c r="I5170" s="12" t="s">
        <v>5443</v>
      </c>
      <c r="J5170" s="22">
        <f>+Tabla1[[#This Row],[FECHA ENTRADA]]</f>
        <v>46089</v>
      </c>
      <c r="K5170" s="22">
        <v>46172</v>
      </c>
      <c r="L5170" s="23">
        <f>_xlfn.DAYS(Tabla1[[#This Row],[FECHA FIN ]],Tabla1[[#This Row],[FECHA INICIO]])</f>
        <v>83</v>
      </c>
      <c r="M5170" s="12">
        <v>400</v>
      </c>
      <c r="N5170" s="20"/>
      <c r="O5170" s="24">
        <f>(Tabla1[[#This Row],[COSTO FIJO ]]/30)*Tabla1[[#This Row],[TOTAL DIAS PROYECTO]]+(Tabla1[[#This Row],[COSTO TEMPORAL]])</f>
        <v>400</v>
      </c>
      <c r="P5170" s="12"/>
      <c r="Q5170" s="12">
        <f>+(Tabla1[[#This Row],[COSTO COCHE]]/30)*Tabla1[[#This Row],[TOTAL DIAS PROYECTO]]</f>
        <v>0</v>
      </c>
      <c r="R5170" s="12">
        <f>+Tabla1[[#This Row],[COSTO TOTAL ALOJAMIENTO]]+Tabla1[[#This Row],[COSTO TOTAL COCHE]]</f>
        <v>400</v>
      </c>
      <c r="S5170" s="2"/>
      <c r="T5170" s="14" t="s">
        <v>44</v>
      </c>
      <c r="U5170" s="14">
        <v>46089</v>
      </c>
      <c r="V5170" s="79">
        <v>46172</v>
      </c>
      <c r="W5170" s="12"/>
      <c r="X5170" s="2"/>
      <c r="Y5170" s="11" t="s">
        <v>7273</v>
      </c>
      <c r="Z5170" s="2" t="s">
        <v>36</v>
      </c>
      <c r="AA5170" s="13" t="s">
        <v>10412</v>
      </c>
      <c r="AB5170" s="13">
        <v>4200955</v>
      </c>
    </row>
    <row r="5171" spans="1:28" ht="15" customHeight="1">
      <c r="A5171" s="2" t="s">
        <v>9805</v>
      </c>
      <c r="B5171" s="2" t="s">
        <v>711</v>
      </c>
      <c r="C5171" s="11" t="s">
        <v>4827</v>
      </c>
      <c r="D5171" s="2" t="s">
        <v>30</v>
      </c>
      <c r="E5171" s="2" t="s">
        <v>608</v>
      </c>
      <c r="F5171" s="11" t="s">
        <v>4823</v>
      </c>
      <c r="G5171" s="21">
        <v>947201640</v>
      </c>
      <c r="H5171" s="2" t="s">
        <v>4824</v>
      </c>
      <c r="I5171" s="12" t="s">
        <v>4825</v>
      </c>
      <c r="J5171" s="22">
        <f>+Tabla1[[#This Row],[FECHA ENTRADA]]</f>
        <v>45887</v>
      </c>
      <c r="K5171" s="22">
        <f ca="1">TODAY()</f>
        <v>46260</v>
      </c>
      <c r="L5171" s="23">
        <f ca="1">_xlfn.DAYS(Tabla1[[#This Row],[FECHA FIN ]],Tabla1[[#This Row],[FECHA INICIO]])</f>
        <v>373</v>
      </c>
      <c r="M5171" s="12"/>
      <c r="N5171" s="20"/>
      <c r="O5171" s="24">
        <f ca="1">(Tabla1[[#This Row],[COSTO FIJO ]]/30)*Tabla1[[#This Row],[TOTAL DIAS PROYECTO]]+(Tabla1[[#This Row],[COSTO TEMPORAL]])</f>
        <v>0</v>
      </c>
      <c r="P5171" s="12"/>
      <c r="Q5171" s="12">
        <f ca="1">+(Tabla1[[#This Row],[COSTO COCHE]]/30)*Tabla1[[#This Row],[TOTAL DIAS PROYECTO]]</f>
        <v>0</v>
      </c>
      <c r="R5171" s="12">
        <f ca="1">+Tabla1[[#This Row],[COSTO TOTAL ALOJAMIENTO]]+Tabla1[[#This Row],[COSTO TOTAL COCHE]]</f>
        <v>0</v>
      </c>
      <c r="S5171" s="2"/>
      <c r="T5171" s="14" t="s">
        <v>44</v>
      </c>
      <c r="U5171" s="14">
        <v>45887</v>
      </c>
      <c r="V5171" s="79">
        <v>45891</v>
      </c>
      <c r="W5171" s="12"/>
      <c r="X5171" s="2"/>
      <c r="Y5171" s="11" t="s">
        <v>4889</v>
      </c>
      <c r="Z5171" s="2" t="s">
        <v>36</v>
      </c>
      <c r="AA5171" s="13" t="s">
        <v>10383</v>
      </c>
      <c r="AB5171" s="13" t="s">
        <v>10384</v>
      </c>
    </row>
    <row r="5172" spans="1:28" ht="15" customHeight="1">
      <c r="A5172" s="2" t="s">
        <v>9308</v>
      </c>
      <c r="B5172" s="2" t="s">
        <v>28</v>
      </c>
      <c r="C5172" s="11" t="s">
        <v>2777</v>
      </c>
      <c r="D5172" s="2" t="s">
        <v>749</v>
      </c>
      <c r="E5172" s="2" t="s">
        <v>288</v>
      </c>
      <c r="F5172" s="11" t="s">
        <v>6601</v>
      </c>
      <c r="G5172" s="70" t="s">
        <v>1142</v>
      </c>
      <c r="H5172" s="2" t="s">
        <v>6602</v>
      </c>
      <c r="I5172" s="12" t="s">
        <v>753</v>
      </c>
      <c r="J5172" s="22">
        <f>+Tabla1[[#This Row],[FECHA ENTRADA]]</f>
        <v>46023</v>
      </c>
      <c r="K5172" s="22">
        <f ca="1">TODAY()</f>
        <v>46260</v>
      </c>
      <c r="L5172" s="23">
        <f ca="1">_xlfn.DAYS(Tabla1[[#This Row],[FECHA FIN ]],Tabla1[[#This Row],[FECHA INICIO]])</f>
        <v>237</v>
      </c>
      <c r="M5172" s="12"/>
      <c r="N5172" s="20">
        <v>325.5</v>
      </c>
      <c r="O5172" s="24">
        <f ca="1">(Tabla1[[#This Row],[COSTO FIJO ]]/30)*Tabla1[[#This Row],[TOTAL DIAS PROYECTO]]+(Tabla1[[#This Row],[COSTO TEMPORAL]])</f>
        <v>2571.4499999999998</v>
      </c>
      <c r="P5172" s="12"/>
      <c r="Q5172" s="12">
        <f ca="1">+(Tabla1[[#This Row],[COSTO COCHE]]/30)*Tabla1[[#This Row],[TOTAL DIAS PROYECTO]]</f>
        <v>0</v>
      </c>
      <c r="R5172" s="12">
        <f ca="1">+Tabla1[[#This Row],[COSTO TOTAL ALOJAMIENTO]]+Tabla1[[#This Row],[COSTO TOTAL COCHE]]</f>
        <v>2571.4499999999998</v>
      </c>
      <c r="S5172" s="2"/>
      <c r="T5172" s="14" t="s">
        <v>35</v>
      </c>
      <c r="U5172" s="14">
        <v>46023</v>
      </c>
      <c r="V5172" s="79"/>
      <c r="W5172" s="12"/>
      <c r="X5172" s="2">
        <v>1</v>
      </c>
      <c r="Y5172" s="11"/>
      <c r="Z5172" s="2" t="s">
        <v>702</v>
      </c>
      <c r="AA5172" s="13" t="s">
        <v>10362</v>
      </c>
      <c r="AB5172" s="13" t="s">
        <v>10363</v>
      </c>
    </row>
    <row r="5173" spans="1:28" ht="15" customHeight="1">
      <c r="A5173" s="2" t="s">
        <v>9519</v>
      </c>
      <c r="B5173" s="2" t="s">
        <v>28</v>
      </c>
      <c r="C5173" s="104" t="s">
        <v>3513</v>
      </c>
      <c r="D5173" s="2" t="s">
        <v>30</v>
      </c>
      <c r="E5173" s="2" t="s">
        <v>608</v>
      </c>
      <c r="F5173" s="11" t="s">
        <v>4823</v>
      </c>
      <c r="G5173" s="21">
        <v>947201640</v>
      </c>
      <c r="H5173" s="2" t="s">
        <v>4830</v>
      </c>
      <c r="I5173" s="12" t="s">
        <v>570</v>
      </c>
      <c r="J5173" s="22">
        <f>+Tabla1[[#This Row],[FECHA ENTRADA]]</f>
        <v>45887</v>
      </c>
      <c r="K5173" s="22">
        <v>45891</v>
      </c>
      <c r="L5173" s="23">
        <f>_xlfn.DAYS(Tabla1[[#This Row],[FECHA FIN ]],Tabla1[[#This Row],[FECHA INICIO]])</f>
        <v>4</v>
      </c>
      <c r="M5173" s="12"/>
      <c r="N5173" s="20"/>
      <c r="O5173" s="24">
        <f>(Tabla1[[#This Row],[COSTO FIJO ]]/30)*Tabla1[[#This Row],[TOTAL DIAS PROYECTO]]+(Tabla1[[#This Row],[COSTO TEMPORAL]])</f>
        <v>0</v>
      </c>
      <c r="P5173" s="12"/>
      <c r="Q5173" s="12">
        <f>+(Tabla1[[#This Row],[COSTO COCHE]]/30)*Tabla1[[#This Row],[TOTAL DIAS PROYECTO]]</f>
        <v>0</v>
      </c>
      <c r="R5173" s="12">
        <f>+Tabla1[[#This Row],[COSTO TOTAL ALOJAMIENTO]]+Tabla1[[#This Row],[COSTO TOTAL COCHE]]</f>
        <v>0</v>
      </c>
      <c r="S5173" s="2"/>
      <c r="T5173" s="14" t="s">
        <v>44</v>
      </c>
      <c r="U5173" s="14">
        <v>45887</v>
      </c>
      <c r="V5173" s="79">
        <v>45891</v>
      </c>
      <c r="W5173" s="12"/>
      <c r="X5173" s="2"/>
      <c r="Y5173" s="11" t="s">
        <v>4889</v>
      </c>
      <c r="Z5173" s="2" t="s">
        <v>36</v>
      </c>
      <c r="AA5173" s="13" t="s">
        <v>10383</v>
      </c>
      <c r="AB5173" s="13" t="s">
        <v>10384</v>
      </c>
    </row>
    <row r="5174" spans="1:28" ht="15" customHeight="1">
      <c r="A5174" s="117" t="s">
        <v>9406</v>
      </c>
      <c r="B5174" s="117" t="s">
        <v>711</v>
      </c>
      <c r="C5174" s="118" t="s">
        <v>3075</v>
      </c>
      <c r="D5174" s="117" t="s">
        <v>30</v>
      </c>
      <c r="E5174" s="117" t="s">
        <v>608</v>
      </c>
      <c r="F5174" s="11" t="s">
        <v>7260</v>
      </c>
      <c r="G5174" s="118" t="s">
        <v>7261</v>
      </c>
      <c r="H5174" s="117" t="s">
        <v>7165</v>
      </c>
      <c r="I5174" s="119" t="s">
        <v>2321</v>
      </c>
      <c r="J5174" s="120">
        <f>+Tabla1[[#This Row],[FECHA ENTRADA]]</f>
        <v>46123</v>
      </c>
      <c r="K5174" s="121">
        <f ca="1">TODAY()</f>
        <v>46260</v>
      </c>
      <c r="L5174" s="122">
        <f ca="1">_xlfn.DAYS(Tabla1[[#This Row],[FECHA FIN ]],Tabla1[[#This Row],[FECHA INICIO]])</f>
        <v>137</v>
      </c>
      <c r="M5174" s="119">
        <f>219.11/2</f>
        <v>109.55500000000001</v>
      </c>
      <c r="N5174" s="123"/>
      <c r="O5174" s="123">
        <f ca="1">(Tabla1[[#This Row],[COSTO FIJO ]]/30)*Tabla1[[#This Row],[TOTAL DIAS PROYECTO]]+(Tabla1[[#This Row],[COSTO TEMPORAL]])</f>
        <v>109.55500000000001</v>
      </c>
      <c r="P5174" s="119"/>
      <c r="Q5174" s="119">
        <f ca="1">+(Tabla1[[#This Row],[COSTO COCHE]]/30)*Tabla1[[#This Row],[TOTAL DIAS PROYECTO]]</f>
        <v>0</v>
      </c>
      <c r="R5174" s="119">
        <f ca="1">+Tabla1[[#This Row],[COSTO TOTAL ALOJAMIENTO]]+Tabla1[[#This Row],[COSTO TOTAL COCHE]]</f>
        <v>109.55500000000001</v>
      </c>
      <c r="S5174" s="117" t="s">
        <v>84</v>
      </c>
      <c r="T5174" s="124" t="s">
        <v>44</v>
      </c>
      <c r="U5174" s="124">
        <v>46123</v>
      </c>
      <c r="V5174" s="125">
        <v>46129</v>
      </c>
      <c r="W5174" s="119"/>
      <c r="X5174" s="117"/>
      <c r="Y5174" s="118" t="s">
        <v>7274</v>
      </c>
      <c r="Z5174" s="117" t="s">
        <v>36</v>
      </c>
      <c r="AA5174" s="127" t="s">
        <v>10383</v>
      </c>
      <c r="AB5174" s="127" t="s">
        <v>10384</v>
      </c>
    </row>
    <row r="5175" spans="1:28" ht="15" customHeight="1">
      <c r="A5175" s="117" t="s">
        <v>9834</v>
      </c>
      <c r="B5175" s="117" t="s">
        <v>711</v>
      </c>
      <c r="C5175" s="118" t="s">
        <v>4960</v>
      </c>
      <c r="D5175" s="117" t="s">
        <v>99</v>
      </c>
      <c r="E5175" s="117" t="s">
        <v>608</v>
      </c>
      <c r="F5175" s="11" t="s">
        <v>7260</v>
      </c>
      <c r="G5175" s="118" t="s">
        <v>7261</v>
      </c>
      <c r="H5175" s="117" t="s">
        <v>7165</v>
      </c>
      <c r="I5175" s="119" t="s">
        <v>7167</v>
      </c>
      <c r="J5175" s="120">
        <f>+Tabla1[[#This Row],[FECHA ENTRADA]]</f>
        <v>46123</v>
      </c>
      <c r="K5175" s="121">
        <f ca="1">TODAY()</f>
        <v>46260</v>
      </c>
      <c r="L5175" s="122">
        <f ca="1">_xlfn.DAYS(Tabla1[[#This Row],[FECHA FIN ]],Tabla1[[#This Row],[FECHA INICIO]])</f>
        <v>137</v>
      </c>
      <c r="M5175" s="119">
        <f>219.11/2</f>
        <v>109.55500000000001</v>
      </c>
      <c r="N5175" s="123"/>
      <c r="O5175" s="123">
        <f ca="1">(Tabla1[[#This Row],[COSTO FIJO ]]/30)*Tabla1[[#This Row],[TOTAL DIAS PROYECTO]]+(Tabla1[[#This Row],[COSTO TEMPORAL]])</f>
        <v>109.55500000000001</v>
      </c>
      <c r="P5175" s="119"/>
      <c r="Q5175" s="119">
        <f ca="1">+(Tabla1[[#This Row],[COSTO COCHE]]/30)*Tabla1[[#This Row],[TOTAL DIAS PROYECTO]]</f>
        <v>0</v>
      </c>
      <c r="R5175" s="119">
        <f ca="1">+Tabla1[[#This Row],[COSTO TOTAL ALOJAMIENTO]]+Tabla1[[#This Row],[COSTO TOTAL COCHE]]</f>
        <v>109.55500000000001</v>
      </c>
      <c r="S5175" s="117" t="s">
        <v>84</v>
      </c>
      <c r="T5175" s="124" t="s">
        <v>44</v>
      </c>
      <c r="U5175" s="124">
        <v>46123</v>
      </c>
      <c r="V5175" s="125">
        <v>46129</v>
      </c>
      <c r="W5175" s="119"/>
      <c r="X5175" s="117"/>
      <c r="Y5175" s="118" t="s">
        <v>7274</v>
      </c>
      <c r="Z5175" s="117" t="s">
        <v>36</v>
      </c>
      <c r="AA5175" s="127" t="s">
        <v>10383</v>
      </c>
      <c r="AB5175" s="127" t="s">
        <v>10384</v>
      </c>
    </row>
    <row r="5176" spans="1:28" ht="15" customHeight="1">
      <c r="A5176" s="2" t="s">
        <v>9807</v>
      </c>
      <c r="B5176" s="2" t="s">
        <v>711</v>
      </c>
      <c r="C5176" s="11" t="s">
        <v>4832</v>
      </c>
      <c r="D5176" s="2" t="s">
        <v>30</v>
      </c>
      <c r="E5176" s="2" t="s">
        <v>608</v>
      </c>
      <c r="F5176" s="11" t="s">
        <v>4823</v>
      </c>
      <c r="G5176" s="21">
        <v>947201640</v>
      </c>
      <c r="H5176" s="2" t="s">
        <v>4833</v>
      </c>
      <c r="I5176" s="12" t="s">
        <v>4825</v>
      </c>
      <c r="J5176" s="22">
        <f>+Tabla1[[#This Row],[FECHA ENTRADA]]</f>
        <v>45887</v>
      </c>
      <c r="K5176" s="22">
        <f ca="1">TODAY()</f>
        <v>46260</v>
      </c>
      <c r="L5176" s="23">
        <f ca="1">_xlfn.DAYS(Tabla1[[#This Row],[FECHA FIN ]],Tabla1[[#This Row],[FECHA INICIO]])</f>
        <v>373</v>
      </c>
      <c r="M5176" s="12"/>
      <c r="N5176" s="20"/>
      <c r="O5176" s="24">
        <f ca="1">(Tabla1[[#This Row],[COSTO FIJO ]]/30)*Tabla1[[#This Row],[TOTAL DIAS PROYECTO]]+(Tabla1[[#This Row],[COSTO TEMPORAL]])</f>
        <v>0</v>
      </c>
      <c r="P5176" s="12"/>
      <c r="Q5176" s="12">
        <f ca="1">+(Tabla1[[#This Row],[COSTO COCHE]]/30)*Tabla1[[#This Row],[TOTAL DIAS PROYECTO]]</f>
        <v>0</v>
      </c>
      <c r="R5176" s="12">
        <f ca="1">+Tabla1[[#This Row],[COSTO TOTAL ALOJAMIENTO]]+Tabla1[[#This Row],[COSTO TOTAL COCHE]]</f>
        <v>0</v>
      </c>
      <c r="S5176" s="2"/>
      <c r="T5176" s="14" t="s">
        <v>44</v>
      </c>
      <c r="U5176" s="14">
        <v>45887</v>
      </c>
      <c r="V5176" s="79">
        <v>45891</v>
      </c>
      <c r="W5176" s="12"/>
      <c r="X5176" s="2"/>
      <c r="Y5176" s="11" t="s">
        <v>4889</v>
      </c>
      <c r="Z5176" s="2" t="s">
        <v>36</v>
      </c>
      <c r="AA5176" s="13" t="s">
        <v>10383</v>
      </c>
      <c r="AB5176" s="13" t="s">
        <v>10384</v>
      </c>
    </row>
    <row r="5177" spans="1:28" ht="15" customHeight="1">
      <c r="A5177" s="2" t="s">
        <v>9519</v>
      </c>
      <c r="B5177" s="2" t="s">
        <v>28</v>
      </c>
      <c r="C5177" s="11" t="s">
        <v>3513</v>
      </c>
      <c r="D5177" s="2" t="s">
        <v>30</v>
      </c>
      <c r="E5177" s="2" t="s">
        <v>608</v>
      </c>
      <c r="F5177" s="11" t="s">
        <v>4913</v>
      </c>
      <c r="G5177" s="21">
        <v>947270205</v>
      </c>
      <c r="H5177" s="2" t="s">
        <v>4830</v>
      </c>
      <c r="I5177" s="12" t="s">
        <v>570</v>
      </c>
      <c r="J5177" s="41">
        <f>+Tabla1[[#This Row],[FECHA ENTRADA]]</f>
        <v>45891</v>
      </c>
      <c r="K5177" s="41">
        <v>45895</v>
      </c>
      <c r="L5177" s="42">
        <f>_xlfn.DAYS(Tabla1[[#This Row],[FECHA FIN ]],Tabla1[[#This Row],[FECHA INICIO]])</f>
        <v>4</v>
      </c>
      <c r="M5177" s="12">
        <f>805.2/10</f>
        <v>80.52000000000001</v>
      </c>
      <c r="N5177" s="28"/>
      <c r="O5177" s="28">
        <f>(Tabla1[[#This Row],[COSTO FIJO ]]/30)*Tabla1[[#This Row],[TOTAL DIAS PROYECTO]]+(Tabla1[[#This Row],[COSTO TEMPORAL]])</f>
        <v>80.52000000000001</v>
      </c>
      <c r="P5177" s="12"/>
      <c r="Q5177" s="12">
        <f>+(Tabla1[[#This Row],[COSTO COCHE]]/30)*Tabla1[[#This Row],[TOTAL DIAS PROYECTO]]</f>
        <v>0</v>
      </c>
      <c r="R5177" s="12">
        <f>+Tabla1[[#This Row],[COSTO TOTAL ALOJAMIENTO]]+Tabla1[[#This Row],[COSTO TOTAL COCHE]]</f>
        <v>80.52000000000001</v>
      </c>
      <c r="S5177" s="2"/>
      <c r="T5177" s="14" t="s">
        <v>44</v>
      </c>
      <c r="U5177" s="14">
        <v>45891</v>
      </c>
      <c r="V5177" s="43">
        <v>45895</v>
      </c>
      <c r="W5177" s="12"/>
      <c r="X5177" s="2"/>
      <c r="Y5177" s="50" t="s">
        <v>7275</v>
      </c>
      <c r="Z5177" s="2" t="s">
        <v>36</v>
      </c>
      <c r="AA5177" s="13" t="s">
        <v>10383</v>
      </c>
      <c r="AB5177" s="13" t="s">
        <v>10384</v>
      </c>
    </row>
    <row r="5178" spans="1:28" ht="15" customHeight="1">
      <c r="A5178" s="2" t="s">
        <v>9807</v>
      </c>
      <c r="B5178" s="2" t="s">
        <v>711</v>
      </c>
      <c r="C5178" s="11" t="s">
        <v>4832</v>
      </c>
      <c r="D5178" s="2" t="s">
        <v>30</v>
      </c>
      <c r="E5178" s="2" t="s">
        <v>608</v>
      </c>
      <c r="F5178" s="11" t="s">
        <v>4913</v>
      </c>
      <c r="G5178" s="21">
        <v>947270205</v>
      </c>
      <c r="H5178" s="2" t="s">
        <v>4833</v>
      </c>
      <c r="I5178" s="12" t="s">
        <v>4825</v>
      </c>
      <c r="J5178" s="41">
        <f>+Tabla1[[#This Row],[FECHA ENTRADA]]</f>
        <v>45891</v>
      </c>
      <c r="K5178" s="41">
        <f ca="1">TODAY()</f>
        <v>46260</v>
      </c>
      <c r="L5178" s="42">
        <f ca="1">_xlfn.DAYS(Tabla1[[#This Row],[FECHA FIN ]],Tabla1[[#This Row],[FECHA INICIO]])</f>
        <v>369</v>
      </c>
      <c r="M5178" s="12">
        <f>805.2/10</f>
        <v>80.52000000000001</v>
      </c>
      <c r="N5178" s="28"/>
      <c r="O5178" s="28">
        <f ca="1">(Tabla1[[#This Row],[COSTO FIJO ]]/30)*Tabla1[[#This Row],[TOTAL DIAS PROYECTO]]+(Tabla1[[#This Row],[COSTO TEMPORAL]])</f>
        <v>80.52000000000001</v>
      </c>
      <c r="P5178" s="12"/>
      <c r="Q5178" s="12">
        <f ca="1">+(Tabla1[[#This Row],[COSTO COCHE]]/30)*Tabla1[[#This Row],[TOTAL DIAS PROYECTO]]</f>
        <v>0</v>
      </c>
      <c r="R5178" s="12">
        <f ca="1">+Tabla1[[#This Row],[COSTO TOTAL ALOJAMIENTO]]+Tabla1[[#This Row],[COSTO TOTAL COCHE]]</f>
        <v>80.52000000000001</v>
      </c>
      <c r="S5178" s="2"/>
      <c r="T5178" s="14" t="s">
        <v>44</v>
      </c>
      <c r="U5178" s="14">
        <v>45891</v>
      </c>
      <c r="V5178" s="43">
        <v>45895</v>
      </c>
      <c r="W5178" s="12"/>
      <c r="X5178" s="2"/>
      <c r="Y5178" s="254" t="s">
        <v>7276</v>
      </c>
      <c r="Z5178" s="2" t="s">
        <v>36</v>
      </c>
      <c r="AA5178" s="13" t="s">
        <v>10383</v>
      </c>
      <c r="AB5178" s="13" t="s">
        <v>10384</v>
      </c>
    </row>
    <row r="5179" spans="1:28" ht="15" customHeight="1">
      <c r="A5179" s="2" t="s">
        <v>9848</v>
      </c>
      <c r="B5179" s="2" t="s">
        <v>28</v>
      </c>
      <c r="C5179" s="31" t="s">
        <v>5030</v>
      </c>
      <c r="D5179" s="2" t="s">
        <v>99</v>
      </c>
      <c r="E5179" s="2" t="s">
        <v>61</v>
      </c>
      <c r="F5179" s="11" t="s">
        <v>4915</v>
      </c>
      <c r="G5179" s="11" t="s">
        <v>4807</v>
      </c>
      <c r="H5179" s="2" t="s">
        <v>4887</v>
      </c>
      <c r="I5179" s="12" t="s">
        <v>118</v>
      </c>
      <c r="J5179" s="22">
        <f>+Tabla1[[#This Row],[FECHA ENTRADA]]</f>
        <v>45886</v>
      </c>
      <c r="K5179" s="22">
        <f ca="1">TODAY()</f>
        <v>46260</v>
      </c>
      <c r="L5179" s="23">
        <f ca="1">_xlfn.DAYS(Tabla1[[#This Row],[FECHA FIN ]],Tabla1[[#This Row],[FECHA INICIO]])</f>
        <v>374</v>
      </c>
      <c r="M5179" s="12"/>
      <c r="N5179" s="20"/>
      <c r="O5179" s="24">
        <f ca="1">(Tabla1[[#This Row],[COSTO FIJO ]]/30)*Tabla1[[#This Row],[TOTAL DIAS PROYECTO]]+(Tabla1[[#This Row],[COSTO TEMPORAL]])</f>
        <v>0</v>
      </c>
      <c r="P5179" s="12"/>
      <c r="Q5179" s="12">
        <f ca="1">+(Tabla1[[#This Row],[COSTO COCHE]]/30)*Tabla1[[#This Row],[TOTAL DIAS PROYECTO]]</f>
        <v>0</v>
      </c>
      <c r="R5179" s="12">
        <f ca="1">+Tabla1[[#This Row],[COSTO TOTAL ALOJAMIENTO]]+Tabla1[[#This Row],[COSTO TOTAL COCHE]]</f>
        <v>0</v>
      </c>
      <c r="S5179" s="2"/>
      <c r="T5179" s="14" t="s">
        <v>44</v>
      </c>
      <c r="U5179" s="14">
        <v>45886</v>
      </c>
      <c r="V5179" s="79">
        <v>45899</v>
      </c>
      <c r="W5179" s="12"/>
      <c r="X5179" s="2"/>
      <c r="Y5179" s="11" t="s">
        <v>5081</v>
      </c>
      <c r="Z5179" s="2" t="s">
        <v>36</v>
      </c>
      <c r="AA5179" s="13" t="s">
        <v>10329</v>
      </c>
      <c r="AB5179" s="13" t="s">
        <v>10330</v>
      </c>
    </row>
    <row r="5180" spans="1:28" ht="15" customHeight="1">
      <c r="A5180" s="2" t="s">
        <v>9688</v>
      </c>
      <c r="B5180" s="2" t="s">
        <v>368</v>
      </c>
      <c r="C5180" s="31" t="s">
        <v>4244</v>
      </c>
      <c r="D5180" s="2" t="s">
        <v>99</v>
      </c>
      <c r="E5180" s="2" t="s">
        <v>87</v>
      </c>
      <c r="F5180" s="11" t="s">
        <v>946</v>
      </c>
      <c r="G5180" s="11" t="s">
        <v>947</v>
      </c>
      <c r="H5180" s="2" t="s">
        <v>7277</v>
      </c>
      <c r="I5180" s="12" t="s">
        <v>1288</v>
      </c>
      <c r="J5180" s="22">
        <f>+Tabla1[[#This Row],[FECHA ENTRADA]]</f>
        <v>45796</v>
      </c>
      <c r="K5180" s="8">
        <f ca="1">TODAY()</f>
        <v>46260</v>
      </c>
      <c r="L5180" s="23">
        <f ca="1">_xlfn.DAYS(Tabla1[[#This Row],[FECHA FIN ]],Tabla1[[#This Row],[FECHA INICIO]])</f>
        <v>464</v>
      </c>
      <c r="M5180" s="12"/>
      <c r="N5180" s="12"/>
      <c r="O5180" s="24">
        <f ca="1">(Tabla1[[#This Row],[COSTO FIJO ]]/30)*Tabla1[[#This Row],[TOTAL DIAS PROYECTO]]+(Tabla1[[#This Row],[COSTO TEMPORAL]])</f>
        <v>0</v>
      </c>
      <c r="P5180" s="12"/>
      <c r="Q5180" s="12">
        <f ca="1">+(Tabla1[[#This Row],[COSTO COCHE]]/30)*Tabla1[[#This Row],[TOTAL DIAS PROYECTO]]</f>
        <v>0</v>
      </c>
      <c r="R5180" s="12">
        <f ca="1">+Tabla1[[#This Row],[COSTO TOTAL ALOJAMIENTO]]+Tabla1[[#This Row],[COSTO TOTAL COCHE]]</f>
        <v>0</v>
      </c>
      <c r="S5180" s="2"/>
      <c r="T5180" s="2" t="s">
        <v>35</v>
      </c>
      <c r="U5180" s="14">
        <v>45796</v>
      </c>
      <c r="V5180" s="25"/>
      <c r="W5180" s="26"/>
      <c r="X5180" s="2">
        <v>4</v>
      </c>
      <c r="Y5180" s="11" t="s">
        <v>7278</v>
      </c>
      <c r="Z5180" s="2" t="s">
        <v>36</v>
      </c>
      <c r="AA5180" s="13" t="s">
        <v>10335</v>
      </c>
      <c r="AB5180" s="13">
        <v>404.16500000000002</v>
      </c>
    </row>
    <row r="5181" spans="1:28" ht="15" customHeight="1">
      <c r="A5181" s="2" t="s">
        <v>9849</v>
      </c>
      <c r="B5181" s="2" t="s">
        <v>28</v>
      </c>
      <c r="C5181" s="31" t="s">
        <v>5033</v>
      </c>
      <c r="D5181" s="2" t="s">
        <v>99</v>
      </c>
      <c r="E5181" s="2" t="s">
        <v>61</v>
      </c>
      <c r="F5181" s="11" t="s">
        <v>4915</v>
      </c>
      <c r="G5181" s="11" t="s">
        <v>4807</v>
      </c>
      <c r="H5181" s="2" t="s">
        <v>4887</v>
      </c>
      <c r="I5181" s="12" t="s">
        <v>118</v>
      </c>
      <c r="J5181" s="22">
        <f>+Tabla1[[#This Row],[FECHA ENTRADA]]</f>
        <v>45886</v>
      </c>
      <c r="K5181" s="22">
        <f ca="1">TODAY()</f>
        <v>46260</v>
      </c>
      <c r="L5181" s="23">
        <f ca="1">_xlfn.DAYS(Tabla1[[#This Row],[FECHA FIN ]],Tabla1[[#This Row],[FECHA INICIO]])</f>
        <v>374</v>
      </c>
      <c r="M5181" s="12"/>
      <c r="N5181" s="20"/>
      <c r="O5181" s="24">
        <f ca="1">(Tabla1[[#This Row],[COSTO FIJO ]]/30)*Tabla1[[#This Row],[TOTAL DIAS PROYECTO]]+(Tabla1[[#This Row],[COSTO TEMPORAL]])</f>
        <v>0</v>
      </c>
      <c r="P5181" s="12"/>
      <c r="Q5181" s="12">
        <f ca="1">+(Tabla1[[#This Row],[COSTO COCHE]]/30)*Tabla1[[#This Row],[TOTAL DIAS PROYECTO]]</f>
        <v>0</v>
      </c>
      <c r="R5181" s="12">
        <f ca="1">+Tabla1[[#This Row],[COSTO TOTAL ALOJAMIENTO]]+Tabla1[[#This Row],[COSTO TOTAL COCHE]]</f>
        <v>0</v>
      </c>
      <c r="S5181" s="2"/>
      <c r="T5181" s="14" t="s">
        <v>44</v>
      </c>
      <c r="U5181" s="14">
        <v>45886</v>
      </c>
      <c r="V5181" s="79">
        <v>45899</v>
      </c>
      <c r="W5181" s="12"/>
      <c r="X5181" s="2"/>
      <c r="Y5181" s="11" t="s">
        <v>5081</v>
      </c>
      <c r="Z5181" s="2" t="s">
        <v>36</v>
      </c>
      <c r="AA5181" s="13" t="s">
        <v>10329</v>
      </c>
      <c r="AB5181" s="13" t="s">
        <v>10330</v>
      </c>
    </row>
    <row r="5182" spans="1:28" ht="15" customHeight="1">
      <c r="A5182" s="2" t="s">
        <v>10230</v>
      </c>
      <c r="B5182" s="2" t="s">
        <v>711</v>
      </c>
      <c r="C5182" s="11" t="s">
        <v>7255</v>
      </c>
      <c r="D5182" s="2" t="s">
        <v>99</v>
      </c>
      <c r="E5182" s="2" t="s">
        <v>127</v>
      </c>
      <c r="F5182" s="11" t="s">
        <v>820</v>
      </c>
      <c r="G5182" s="21" t="s">
        <v>821</v>
      </c>
      <c r="H5182" s="2" t="s">
        <v>3440</v>
      </c>
      <c r="I5182" s="12" t="s">
        <v>96</v>
      </c>
      <c r="J5182" s="22">
        <f>+Tabla1[[#This Row],[FECHA ENTRADA]]</f>
        <v>46159</v>
      </c>
      <c r="K5182" s="22">
        <v>46174</v>
      </c>
      <c r="L5182" s="23">
        <f>_xlfn.DAYS(Tabla1[[#This Row],[FECHA FIN ]],Tabla1[[#This Row],[FECHA INICIO]])</f>
        <v>15</v>
      </c>
      <c r="M5182" s="20">
        <f>80*15/4</f>
        <v>300</v>
      </c>
      <c r="N5182" s="24"/>
      <c r="O5182" s="24">
        <f>(Tabla1[[#This Row],[COSTO FIJO ]]/30)*Tabla1[[#This Row],[TOTAL DIAS PROYECTO]]+(Tabla1[[#This Row],[COSTO TEMPORAL]])</f>
        <v>300</v>
      </c>
      <c r="P5182" s="12"/>
      <c r="Q5182" s="12">
        <f>+(Tabla1[[#This Row],[COSTO COCHE]]/30)*Tabla1[[#This Row],[TOTAL DIAS PROYECTO]]</f>
        <v>0</v>
      </c>
      <c r="R5182" s="12">
        <f>+Tabla1[[#This Row],[COSTO TOTAL ALOJAMIENTO]]+Tabla1[[#This Row],[COSTO TOTAL COCHE]]</f>
        <v>300</v>
      </c>
      <c r="S5182" s="2"/>
      <c r="T5182" s="14" t="s">
        <v>44</v>
      </c>
      <c r="U5182" s="14">
        <v>46159</v>
      </c>
      <c r="V5182" s="79">
        <v>46174</v>
      </c>
      <c r="W5182" s="12"/>
      <c r="X5182" s="2"/>
      <c r="Y5182" s="11" t="s">
        <v>1364</v>
      </c>
      <c r="Z5182" s="2" t="s">
        <v>36</v>
      </c>
      <c r="AA5182" s="13" t="s">
        <v>10342</v>
      </c>
      <c r="AB5182" s="13" t="s">
        <v>10343</v>
      </c>
    </row>
    <row r="5183" spans="1:28" ht="15" customHeight="1">
      <c r="A5183" s="2" t="s">
        <v>9933</v>
      </c>
      <c r="B5183" s="2" t="s">
        <v>606</v>
      </c>
      <c r="C5183" s="11" t="s">
        <v>5533</v>
      </c>
      <c r="D5183" s="2" t="s">
        <v>30</v>
      </c>
      <c r="E5183" s="2" t="s">
        <v>855</v>
      </c>
      <c r="F5183" s="11" t="s">
        <v>6925</v>
      </c>
      <c r="G5183" s="49" t="s">
        <v>6926</v>
      </c>
      <c r="H5183" s="2" t="s">
        <v>3273</v>
      </c>
      <c r="I5183" s="12" t="s">
        <v>3274</v>
      </c>
      <c r="J5183" s="22">
        <f>+Tabla1[[#This Row],[FECHA ENTRADA]]</f>
        <v>46187</v>
      </c>
      <c r="K5183" s="22">
        <f ca="1">TODAY()</f>
        <v>46260</v>
      </c>
      <c r="L5183" s="23">
        <f ca="1">_xlfn.DAYS(Tabla1[[#This Row],[FECHA FIN ]],Tabla1[[#This Row],[FECHA INICIO]])</f>
        <v>73</v>
      </c>
      <c r="M5183" s="12">
        <f>1704.92/4</f>
        <v>426.23</v>
      </c>
      <c r="N5183" s="24"/>
      <c r="O5183" s="24">
        <f ca="1">(Tabla1[[#This Row],[COSTO FIJO ]]/30)*Tabla1[[#This Row],[TOTAL DIAS PROYECTO]]+(Tabla1[[#This Row],[COSTO TEMPORAL]])</f>
        <v>426.23</v>
      </c>
      <c r="P5183" s="12"/>
      <c r="Q5183" s="12">
        <f ca="1">+(Tabla1[[#This Row],[COSTO COCHE]]/30)*Tabla1[[#This Row],[TOTAL DIAS PROYECTO]]</f>
        <v>0</v>
      </c>
      <c r="R5183" s="12">
        <f ca="1">+Tabla1[[#This Row],[COSTO TOTAL ALOJAMIENTO]]+Tabla1[[#This Row],[COSTO TOTAL COCHE]]</f>
        <v>426.23</v>
      </c>
      <c r="S5183" s="2" t="s">
        <v>84</v>
      </c>
      <c r="T5183" s="14" t="s">
        <v>44</v>
      </c>
      <c r="U5183" s="14">
        <v>46187</v>
      </c>
      <c r="V5183" s="25">
        <v>46204</v>
      </c>
      <c r="W5183" s="12"/>
      <c r="X5183" s="2"/>
      <c r="Y5183" s="11" t="s">
        <v>6927</v>
      </c>
      <c r="Z5183" s="2" t="s">
        <v>36</v>
      </c>
      <c r="AA5183" s="13" t="s">
        <v>10401</v>
      </c>
      <c r="AB5183" s="13" t="s">
        <v>10402</v>
      </c>
    </row>
    <row r="5184" spans="1:28" ht="15" customHeight="1">
      <c r="A5184" s="2" t="s">
        <v>9949</v>
      </c>
      <c r="B5184" s="2" t="s">
        <v>711</v>
      </c>
      <c r="C5184" s="31" t="s">
        <v>5642</v>
      </c>
      <c r="D5184" s="2" t="s">
        <v>30</v>
      </c>
      <c r="E5184" s="2" t="s">
        <v>109</v>
      </c>
      <c r="F5184" s="11" t="s">
        <v>1106</v>
      </c>
      <c r="G5184" s="46"/>
      <c r="H5184" s="2" t="s">
        <v>7231</v>
      </c>
      <c r="I5184" s="12" t="s">
        <v>6681</v>
      </c>
      <c r="J5184" s="41">
        <f>+Tabla1[[#This Row],[FECHA ENTRADA]]</f>
        <v>45977</v>
      </c>
      <c r="K5184" s="22">
        <v>45989</v>
      </c>
      <c r="L5184" s="42">
        <f>_xlfn.DAYS(Tabla1[[#This Row],[FECHA FIN ]],Tabla1[[#This Row],[FECHA INICIO]])</f>
        <v>12</v>
      </c>
      <c r="M5184" s="12"/>
      <c r="N5184" s="28"/>
      <c r="O5184" s="28">
        <f>(Tabla1[[#This Row],[COSTO FIJO ]]/30)*Tabla1[[#This Row],[TOTAL DIAS PROYECTO]]+(Tabla1[[#This Row],[COSTO TEMPORAL]])</f>
        <v>0</v>
      </c>
      <c r="P5184" s="12"/>
      <c r="Q5184" s="12">
        <f>+(Tabla1[[#This Row],[COSTO COCHE]]/30)*Tabla1[[#This Row],[TOTAL DIAS PROYECTO]]</f>
        <v>0</v>
      </c>
      <c r="R5184" s="12">
        <f>+Tabla1[[#This Row],[COSTO TOTAL ALOJAMIENTO]]+Tabla1[[#This Row],[COSTO TOTAL COCHE]]</f>
        <v>0</v>
      </c>
      <c r="S5184" s="2"/>
      <c r="T5184" s="2" t="s">
        <v>8</v>
      </c>
      <c r="U5184" s="14">
        <v>45977</v>
      </c>
      <c r="V5184" s="43"/>
      <c r="W5184" s="71"/>
      <c r="X5184" s="2"/>
      <c r="Y5184" s="11" t="s">
        <v>7232</v>
      </c>
      <c r="Z5184" s="2" t="s">
        <v>36</v>
      </c>
      <c r="AA5184" s="13">
        <v>0.62217999999999996</v>
      </c>
      <c r="AB5184" s="13" t="s">
        <v>10339</v>
      </c>
    </row>
    <row r="5185" spans="1:28" ht="15" customHeight="1">
      <c r="A5185" s="2" t="s">
        <v>10032</v>
      </c>
      <c r="B5185" s="2" t="s">
        <v>711</v>
      </c>
      <c r="C5185" s="31" t="s">
        <v>6001</v>
      </c>
      <c r="D5185" s="2" t="s">
        <v>30</v>
      </c>
      <c r="E5185" s="2" t="s">
        <v>2378</v>
      </c>
      <c r="F5185" s="31" t="s">
        <v>7279</v>
      </c>
      <c r="G5185" s="21" t="s">
        <v>7280</v>
      </c>
      <c r="H5185" s="2" t="s">
        <v>6755</v>
      </c>
      <c r="I5185" s="12" t="s">
        <v>1392</v>
      </c>
      <c r="J5185" s="22">
        <f>+Tabla1[[#This Row],[FECHA ENTRADA]]</f>
        <v>46134</v>
      </c>
      <c r="K5185" s="22">
        <v>46239</v>
      </c>
      <c r="L5185" s="23">
        <f>_xlfn.DAYS(Tabla1[[#This Row],[FECHA FIN ]],Tabla1[[#This Row],[FECHA INICIO]])</f>
        <v>105</v>
      </c>
      <c r="M5185" s="12"/>
      <c r="N5185" s="24">
        <v>400</v>
      </c>
      <c r="O5185" s="24">
        <f>(Tabla1[[#This Row],[COSTO FIJO ]]/30)*Tabla1[[#This Row],[TOTAL DIAS PROYECTO]]+(Tabla1[[#This Row],[COSTO TEMPORAL]])</f>
        <v>1400</v>
      </c>
      <c r="P5185" s="12"/>
      <c r="Q5185" s="12">
        <f>+(Tabla1[[#This Row],[COSTO COCHE]]/30)*Tabla1[[#This Row],[TOTAL DIAS PROYECTO]]</f>
        <v>0</v>
      </c>
      <c r="R5185" s="12">
        <f>+Tabla1[[#This Row],[COSTO TOTAL ALOJAMIENTO]]+Tabla1[[#This Row],[COSTO TOTAL COCHE]]</f>
        <v>1400</v>
      </c>
      <c r="S5185" s="2"/>
      <c r="T5185" s="14" t="s">
        <v>35</v>
      </c>
      <c r="U5185" s="14">
        <v>46134</v>
      </c>
      <c r="V5185" s="25"/>
      <c r="W5185" s="12"/>
      <c r="X5185" s="2">
        <v>1</v>
      </c>
      <c r="Y5185" s="11" t="s">
        <v>7281</v>
      </c>
      <c r="Z5185" s="2" t="s">
        <v>36</v>
      </c>
      <c r="AA5185" s="13" t="e">
        <v>#N/A</v>
      </c>
      <c r="AB5185" s="13" t="e">
        <v>#N/A</v>
      </c>
    </row>
    <row r="5186" spans="1:28">
      <c r="A5186" s="2" t="s">
        <v>10211</v>
      </c>
      <c r="B5186" s="2" t="s">
        <v>368</v>
      </c>
      <c r="C5186" s="11" t="s">
        <v>7183</v>
      </c>
      <c r="D5186" s="2" t="s">
        <v>30</v>
      </c>
      <c r="E5186" s="2" t="s">
        <v>151</v>
      </c>
      <c r="F5186" s="11" t="s">
        <v>1499</v>
      </c>
      <c r="G5186" s="11" t="s">
        <v>1500</v>
      </c>
      <c r="H5186" s="2" t="s">
        <v>2446</v>
      </c>
      <c r="I5186" s="12" t="s">
        <v>152</v>
      </c>
      <c r="J5186" s="41">
        <f>+Tabla1[[#This Row],[FECHA ENTRADA]]</f>
        <v>45664</v>
      </c>
      <c r="K5186" s="8">
        <f ca="1">TODAY()</f>
        <v>46260</v>
      </c>
      <c r="L5186" s="42">
        <f ca="1">_xlfn.DAYS(Tabla1[[#This Row],[FECHA FIN ]],Tabla1[[#This Row],[FECHA INICIO]])</f>
        <v>596</v>
      </c>
      <c r="M5186" s="12"/>
      <c r="N5186" s="28">
        <v>350</v>
      </c>
      <c r="O5186" s="28">
        <f ca="1">(Tabla1[[#This Row],[COSTO FIJO ]]/30)*Tabla1[[#This Row],[TOTAL DIAS PROYECTO]]+(Tabla1[[#This Row],[COSTO TEMPORAL]])</f>
        <v>6953.333333333333</v>
      </c>
      <c r="P5186" s="12"/>
      <c r="Q5186" s="12">
        <f ca="1">+(Tabla1[[#This Row],[COSTO COCHE]]/30)*Tabla1[[#This Row],[TOTAL DIAS PROYECTO]]</f>
        <v>0</v>
      </c>
      <c r="R5186" s="12">
        <f ca="1">+Tabla1[[#This Row],[COSTO TOTAL ALOJAMIENTO]]+Tabla1[[#This Row],[COSTO TOTAL COCHE]]</f>
        <v>6953.333333333333</v>
      </c>
      <c r="S5186" s="2"/>
      <c r="T5186" s="2" t="s">
        <v>35</v>
      </c>
      <c r="U5186" s="14">
        <v>45664</v>
      </c>
      <c r="V5186" s="43"/>
      <c r="W5186" s="26"/>
      <c r="X5186" s="2">
        <v>5</v>
      </c>
      <c r="Y5186" s="11"/>
      <c r="Z5186" s="2" t="s">
        <v>36</v>
      </c>
      <c r="AA5186" s="13" t="s">
        <v>10345</v>
      </c>
      <c r="AB5186" s="13" t="s">
        <v>10346</v>
      </c>
    </row>
    <row r="5187" spans="1:28" ht="15" customHeight="1">
      <c r="A5187" s="2" t="s">
        <v>10211</v>
      </c>
      <c r="B5187" s="2" t="s">
        <v>28</v>
      </c>
      <c r="C5187" s="11" t="s">
        <v>7183</v>
      </c>
      <c r="D5187" s="2" t="s">
        <v>30</v>
      </c>
      <c r="E5187" s="2" t="s">
        <v>151</v>
      </c>
      <c r="F5187" s="11" t="s">
        <v>1499</v>
      </c>
      <c r="G5187" s="11" t="s">
        <v>1500</v>
      </c>
      <c r="H5187" s="2" t="s">
        <v>1501</v>
      </c>
      <c r="I5187" s="12" t="s">
        <v>152</v>
      </c>
      <c r="J5187" s="8">
        <f>+Tabla1[[#This Row],[FECHA ENTRADA]]</f>
        <v>45550</v>
      </c>
      <c r="K5187" s="8">
        <f ca="1">TODAY()</f>
        <v>46260</v>
      </c>
      <c r="L5187" s="13">
        <f ca="1">_xlfn.DAYS(Tabla1[[#This Row],[FECHA FIN ]],Tabla1[[#This Row],[FECHA INICIO]])</f>
        <v>710</v>
      </c>
      <c r="M5187" s="12"/>
      <c r="N5187" s="12">
        <v>350</v>
      </c>
      <c r="O5187" s="12">
        <f ca="1">(Tabla1[[#This Row],[COSTO FIJO ]]/30)*Tabla1[[#This Row],[TOTAL DIAS PROYECTO]]+(Tabla1[[#This Row],[COSTO TEMPORAL]])</f>
        <v>8283.3333333333321</v>
      </c>
      <c r="P5187" s="12"/>
      <c r="Q5187" s="12">
        <f ca="1">+(Tabla1[[#This Row],[COSTO COCHE]]/30)*Tabla1[[#This Row],[TOTAL DIAS PROYECTO]]</f>
        <v>0</v>
      </c>
      <c r="R5187" s="12">
        <f ca="1">+Tabla1[[#This Row],[COSTO TOTAL ALOJAMIENTO]]+Tabla1[[#This Row],[COSTO TOTAL COCHE]]</f>
        <v>8283.3333333333321</v>
      </c>
      <c r="S5187" s="2"/>
      <c r="T5187" s="2" t="s">
        <v>35</v>
      </c>
      <c r="U5187" s="14">
        <v>45550</v>
      </c>
      <c r="V5187" s="14"/>
      <c r="W5187" s="26"/>
      <c r="X5187" s="2">
        <v>5</v>
      </c>
      <c r="Y5187" s="11"/>
      <c r="Z5187" s="2" t="s">
        <v>36</v>
      </c>
      <c r="AA5187" s="13" t="s">
        <v>10345</v>
      </c>
      <c r="AB5187" s="13" t="s">
        <v>10346</v>
      </c>
    </row>
    <row r="5188" spans="1:28" ht="15" customHeight="1">
      <c r="A5188" s="2" t="s">
        <v>9011</v>
      </c>
      <c r="B5188" s="2" t="s">
        <v>28</v>
      </c>
      <c r="C5188" s="11" t="s">
        <v>1694</v>
      </c>
      <c r="D5188" s="2" t="s">
        <v>30</v>
      </c>
      <c r="E5188" s="2" t="s">
        <v>259</v>
      </c>
      <c r="F5188" s="11"/>
      <c r="G5188" s="11" t="s">
        <v>7282</v>
      </c>
      <c r="H5188" s="2" t="s">
        <v>554</v>
      </c>
      <c r="I5188" s="2" t="s">
        <v>57</v>
      </c>
      <c r="J5188" s="8">
        <f>+Tabla1[[#This Row],[FECHA ENTRADA]]</f>
        <v>45396</v>
      </c>
      <c r="K5188" s="8">
        <f ca="1">TODAY()</f>
        <v>46260</v>
      </c>
      <c r="L5188" s="13">
        <f ca="1">_xlfn.DAYS(Tabla1[[#This Row],[FECHA FIN ]],Tabla1[[#This Row],[FECHA INICIO]])</f>
        <v>864</v>
      </c>
      <c r="M5188" s="12"/>
      <c r="N5188" s="12"/>
      <c r="O5188" s="12">
        <f ca="1">(Tabla1[[#This Row],[COSTO FIJO ]]/30)*Tabla1[[#This Row],[TOTAL DIAS PROYECTO]]+(Tabla1[[#This Row],[COSTO TEMPORAL]])</f>
        <v>0</v>
      </c>
      <c r="P5188" s="2"/>
      <c r="Q5188" s="12">
        <f ca="1">+(Tabla1[[#This Row],[COSTO COCHE]]/30)*Tabla1[[#This Row],[TOTAL DIAS PROYECTO]]</f>
        <v>0</v>
      </c>
      <c r="R5188" s="12">
        <f ca="1">+Tabla1[[#This Row],[COSTO TOTAL ALOJAMIENTO]]+Tabla1[[#This Row],[COSTO TOTAL COCHE]]</f>
        <v>0</v>
      </c>
      <c r="S5188" s="2"/>
      <c r="T5188" s="2" t="s">
        <v>35</v>
      </c>
      <c r="U5188" s="14">
        <v>45396</v>
      </c>
      <c r="V5188" s="14"/>
      <c r="W5188" s="15"/>
      <c r="X5188" s="16">
        <v>5</v>
      </c>
      <c r="Y5188" s="11" t="s">
        <v>7283</v>
      </c>
      <c r="Z5188" s="2" t="s">
        <v>36</v>
      </c>
      <c r="AA5188" s="13">
        <v>-0.87734000000000001</v>
      </c>
      <c r="AB5188" s="13" t="s">
        <v>10359</v>
      </c>
    </row>
    <row r="5189" spans="1:28" ht="15" customHeight="1">
      <c r="A5189" s="2" t="s">
        <v>8642</v>
      </c>
      <c r="B5189" s="2" t="s">
        <v>368</v>
      </c>
      <c r="C5189" s="11" t="s">
        <v>7284</v>
      </c>
      <c r="D5189" s="2" t="s">
        <v>30</v>
      </c>
      <c r="E5189" s="2" t="s">
        <v>31</v>
      </c>
      <c r="F5189" s="11" t="s">
        <v>4982</v>
      </c>
      <c r="G5189" s="21" t="s">
        <v>4983</v>
      </c>
      <c r="H5189" s="2" t="s">
        <v>7285</v>
      </c>
      <c r="I5189" s="12" t="s">
        <v>1642</v>
      </c>
      <c r="J5189" s="22">
        <f>+Tabla1[[#This Row],[FECHA ENTRADA]]</f>
        <v>45888</v>
      </c>
      <c r="K5189" s="22">
        <f ca="1">TODAY()</f>
        <v>46260</v>
      </c>
      <c r="L5189" s="23">
        <f ca="1">_xlfn.DAYS(Tabla1[[#This Row],[FECHA FIN ]],Tabla1[[#This Row],[FECHA INICIO]])</f>
        <v>372</v>
      </c>
      <c r="M5189" s="12"/>
      <c r="N5189" s="20">
        <v>375</v>
      </c>
      <c r="O5189" s="24">
        <f ca="1">(Tabla1[[#This Row],[COSTO FIJO ]]/30)*Tabla1[[#This Row],[TOTAL DIAS PROYECTO]]+(Tabla1[[#This Row],[COSTO TEMPORAL]])</f>
        <v>4650</v>
      </c>
      <c r="P5189" s="12"/>
      <c r="Q5189" s="12">
        <f ca="1">+(Tabla1[[#This Row],[COSTO COCHE]]/30)*Tabla1[[#This Row],[TOTAL DIAS PROYECTO]]</f>
        <v>0</v>
      </c>
      <c r="R5189" s="12">
        <f ca="1">+Tabla1[[#This Row],[COSTO TOTAL ALOJAMIENTO]]+Tabla1[[#This Row],[COSTO TOTAL COCHE]]</f>
        <v>4650</v>
      </c>
      <c r="S5189" s="2"/>
      <c r="T5189" s="14" t="s">
        <v>44</v>
      </c>
      <c r="U5189" s="14">
        <v>45888</v>
      </c>
      <c r="V5189" s="79">
        <v>45901</v>
      </c>
      <c r="W5189" s="12"/>
      <c r="X5189" s="2"/>
      <c r="Y5189" s="11" t="s">
        <v>7286</v>
      </c>
      <c r="Z5189" s="2" t="s">
        <v>36</v>
      </c>
      <c r="AA5189" s="13" t="s">
        <v>10323</v>
      </c>
      <c r="AB5189" s="13" t="s">
        <v>10324</v>
      </c>
    </row>
    <row r="5190" spans="1:28" ht="15" customHeight="1">
      <c r="A5190" s="2" t="s">
        <v>8642</v>
      </c>
      <c r="B5190" s="2" t="s">
        <v>28</v>
      </c>
      <c r="C5190" s="11" t="s">
        <v>7287</v>
      </c>
      <c r="D5190" s="2" t="s">
        <v>30</v>
      </c>
      <c r="E5190" s="2" t="s">
        <v>790</v>
      </c>
      <c r="F5190" s="11" t="s">
        <v>4316</v>
      </c>
      <c r="G5190" s="30" t="s">
        <v>4317</v>
      </c>
      <c r="H5190" s="2" t="s">
        <v>4315</v>
      </c>
      <c r="I5190" s="12" t="s">
        <v>292</v>
      </c>
      <c r="J5190" s="41">
        <f>+Tabla1[[#This Row],[FECHA ENTRADA]]</f>
        <v>45830</v>
      </c>
      <c r="K5190" s="41">
        <f ca="1">TODAY()</f>
        <v>46260</v>
      </c>
      <c r="L5190" s="42">
        <f ca="1">_xlfn.DAYS(Tabla1[[#This Row],[FECHA FIN ]],Tabla1[[#This Row],[FECHA INICIO]])</f>
        <v>430</v>
      </c>
      <c r="M5190" s="12"/>
      <c r="N5190" s="28">
        <v>200</v>
      </c>
      <c r="O5190" s="28">
        <f ca="1">(Tabla1[[#This Row],[COSTO FIJO ]]/30)*Tabla1[[#This Row],[TOTAL DIAS PROYECTO]]+(Tabla1[[#This Row],[COSTO TEMPORAL]])</f>
        <v>2866.666666666667</v>
      </c>
      <c r="P5190" s="12"/>
      <c r="Q5190" s="12">
        <f ca="1">+(Tabla1[[#This Row],[COSTO COCHE]]/30)*Tabla1[[#This Row],[TOTAL DIAS PROYECTO]]</f>
        <v>0</v>
      </c>
      <c r="R5190" s="12">
        <f ca="1">+Tabla1[[#This Row],[COSTO TOTAL ALOJAMIENTO]]+Tabla1[[#This Row],[COSTO TOTAL COCHE]]</f>
        <v>2866.666666666667</v>
      </c>
      <c r="S5190" s="2"/>
      <c r="T5190" s="14" t="s">
        <v>35</v>
      </c>
      <c r="U5190" s="14">
        <v>45830</v>
      </c>
      <c r="V5190" s="43"/>
      <c r="W5190" s="2"/>
      <c r="X5190" s="2">
        <v>5</v>
      </c>
      <c r="Y5190" s="11"/>
      <c r="Z5190" s="2" t="s">
        <v>36</v>
      </c>
      <c r="AA5190" s="13">
        <v>-574377</v>
      </c>
      <c r="AB5190" s="13">
        <v>4150368</v>
      </c>
    </row>
    <row r="5191" spans="1:28" ht="15" customHeight="1">
      <c r="A5191" s="2" t="s">
        <v>9798</v>
      </c>
      <c r="B5191" s="2" t="s">
        <v>28</v>
      </c>
      <c r="C5191" s="11" t="s">
        <v>4800</v>
      </c>
      <c r="D5191" s="2" t="s">
        <v>99</v>
      </c>
      <c r="E5191" s="2" t="s">
        <v>213</v>
      </c>
      <c r="F5191" s="11" t="s">
        <v>916</v>
      </c>
      <c r="G5191" s="11" t="s">
        <v>917</v>
      </c>
      <c r="H5191" s="2" t="s">
        <v>7288</v>
      </c>
      <c r="I5191" s="2" t="s">
        <v>918</v>
      </c>
      <c r="J5191" s="22">
        <f>+Tabla1[[#This Row],[FECHA ENTRADA]]</f>
        <v>45860</v>
      </c>
      <c r="K5191" s="22">
        <v>45874</v>
      </c>
      <c r="L5191" s="23">
        <f>_xlfn.DAYS(Tabla1[[#This Row],[FECHA FIN ]],Tabla1[[#This Row],[FECHA INICIO]])</f>
        <v>14</v>
      </c>
      <c r="M5191" s="12"/>
      <c r="N5191" s="12"/>
      <c r="O5191" s="24">
        <f>(Tabla1[[#This Row],[COSTO FIJO ]]/30)*Tabla1[[#This Row],[TOTAL DIAS PROYECTO]]+(Tabla1[[#This Row],[COSTO TEMPORAL]])</f>
        <v>0</v>
      </c>
      <c r="P5191" s="12"/>
      <c r="Q5191" s="12">
        <f>+(Tabla1[[#This Row],[COSTO COCHE]]/30)*Tabla1[[#This Row],[TOTAL DIAS PROYECTO]]</f>
        <v>0</v>
      </c>
      <c r="R5191" s="12">
        <f>+Tabla1[[#This Row],[COSTO TOTAL ALOJAMIENTO]]+Tabla1[[#This Row],[COSTO TOTAL COCHE]]</f>
        <v>0</v>
      </c>
      <c r="S5191" s="2"/>
      <c r="T5191" s="14" t="s">
        <v>35</v>
      </c>
      <c r="U5191" s="14">
        <v>45860</v>
      </c>
      <c r="V5191" s="79"/>
      <c r="W5191" s="12"/>
      <c r="X5191" s="2"/>
      <c r="Y5191" s="11" t="s">
        <v>7289</v>
      </c>
      <c r="Z5191" s="2" t="s">
        <v>36</v>
      </c>
      <c r="AA5191" s="13" t="s">
        <v>10349</v>
      </c>
      <c r="AB5191" s="13" t="s">
        <v>10350</v>
      </c>
    </row>
    <row r="5192" spans="1:28" ht="15.75">
      <c r="A5192" s="2" t="s">
        <v>10231</v>
      </c>
      <c r="B5192" s="2" t="s">
        <v>978</v>
      </c>
      <c r="C5192" s="31" t="s">
        <v>7290</v>
      </c>
      <c r="D5192" s="2" t="s">
        <v>30</v>
      </c>
      <c r="E5192" s="2" t="s">
        <v>253</v>
      </c>
      <c r="F5192" s="11" t="s">
        <v>5811</v>
      </c>
      <c r="G5192" s="68" t="s">
        <v>981</v>
      </c>
      <c r="H5192" s="2" t="s">
        <v>1530</v>
      </c>
      <c r="I5192" s="12" t="s">
        <v>1155</v>
      </c>
      <c r="J5192" s="22">
        <f>+Tabla1[[#This Row],[FECHA ENTRADA]]</f>
        <v>45574</v>
      </c>
      <c r="K5192" s="8">
        <f ca="1">TODAY()</f>
        <v>46260</v>
      </c>
      <c r="L5192" s="42">
        <f ca="1">_xlfn.DAYS(Tabla1[[#This Row],[FECHA FIN ]],Tabla1[[#This Row],[FECHA INICIO]])</f>
        <v>686</v>
      </c>
      <c r="M5192" s="12"/>
      <c r="N5192" s="12">
        <v>550</v>
      </c>
      <c r="O5192" s="28">
        <f ca="1">(Tabla1[[#This Row],[COSTO FIJO ]]/30)*Tabla1[[#This Row],[TOTAL DIAS PROYECTO]]+(Tabla1[[#This Row],[COSTO TEMPORAL]])</f>
        <v>12576.666666666666</v>
      </c>
      <c r="P5192" s="12"/>
      <c r="Q5192" s="12">
        <f ca="1">+(Tabla1[[#This Row],[COSTO COCHE]]/30)*Tabla1[[#This Row],[TOTAL DIAS PROYECTO]]</f>
        <v>0</v>
      </c>
      <c r="R5192" s="12">
        <f ca="1">+Tabla1[[#This Row],[COSTO TOTAL ALOJAMIENTO]]+Tabla1[[#This Row],[COSTO TOTAL COCHE]]</f>
        <v>12576.666666666666</v>
      </c>
      <c r="S5192" s="2"/>
      <c r="T5192" s="2" t="s">
        <v>35</v>
      </c>
      <c r="U5192" s="14">
        <v>45574</v>
      </c>
      <c r="V5192" s="43"/>
      <c r="W5192" s="26"/>
      <c r="X5192" s="2">
        <v>5</v>
      </c>
      <c r="Y5192" s="202" t="s">
        <v>7291</v>
      </c>
      <c r="Z5192" s="2" t="s">
        <v>36</v>
      </c>
      <c r="AA5192" s="13" t="s">
        <v>10357</v>
      </c>
      <c r="AB5192" s="13" t="s">
        <v>10358</v>
      </c>
    </row>
    <row r="5193" spans="1:28" ht="15" customHeight="1">
      <c r="A5193" s="2" t="s">
        <v>8854</v>
      </c>
      <c r="B5193" s="2" t="s">
        <v>711</v>
      </c>
      <c r="C5193" s="11" t="s">
        <v>1036</v>
      </c>
      <c r="D5193" s="2" t="s">
        <v>30</v>
      </c>
      <c r="E5193" s="2" t="s">
        <v>1664</v>
      </c>
      <c r="F5193" s="11" t="s">
        <v>7292</v>
      </c>
      <c r="G5193" s="49" t="s">
        <v>7293</v>
      </c>
      <c r="H5193" s="2" t="s">
        <v>7294</v>
      </c>
      <c r="I5193" s="2" t="s">
        <v>570</v>
      </c>
      <c r="J5193" s="22">
        <f>+Tabla1[[#This Row],[FECHA ENTRADA]]</f>
        <v>46089</v>
      </c>
      <c r="K5193" s="22">
        <v>46122</v>
      </c>
      <c r="L5193" s="23">
        <f>_xlfn.DAYS(Tabla1[[#This Row],[FECHA FIN ]],Tabla1[[#This Row],[FECHA INICIO]])</f>
        <v>33</v>
      </c>
      <c r="M5193" s="12">
        <f>360+517.5+60</f>
        <v>937.5</v>
      </c>
      <c r="N5193" s="24"/>
      <c r="O5193" s="24">
        <f>(Tabla1[[#This Row],[COSTO FIJO ]]/30)*Tabla1[[#This Row],[TOTAL DIAS PROYECTO]]+(Tabla1[[#This Row],[COSTO TEMPORAL]])</f>
        <v>937.5</v>
      </c>
      <c r="P5193" s="12"/>
      <c r="Q5193" s="12">
        <f>+(Tabla1[[#This Row],[COSTO COCHE]]/30)*Tabla1[[#This Row],[TOTAL DIAS PROYECTO]]</f>
        <v>0</v>
      </c>
      <c r="R5193" s="12">
        <f>+Tabla1[[#This Row],[COSTO TOTAL ALOJAMIENTO]]+Tabla1[[#This Row],[COSTO TOTAL COCHE]]</f>
        <v>937.5</v>
      </c>
      <c r="S5193" s="2"/>
      <c r="T5193" s="14" t="s">
        <v>44</v>
      </c>
      <c r="U5193" s="14">
        <v>46089</v>
      </c>
      <c r="V5193" s="25">
        <v>46133</v>
      </c>
      <c r="W5193" s="12"/>
      <c r="X5193" s="2"/>
      <c r="Y5193" s="11" t="s">
        <v>7295</v>
      </c>
      <c r="Z5193" s="2" t="s">
        <v>36</v>
      </c>
      <c r="AA5193" s="13" t="s">
        <v>10425</v>
      </c>
      <c r="AB5193" s="13" t="s">
        <v>10426</v>
      </c>
    </row>
    <row r="5194" spans="1:28" ht="15" customHeight="1">
      <c r="A5194" s="2" t="s">
        <v>9908</v>
      </c>
      <c r="B5194" s="2" t="s">
        <v>711</v>
      </c>
      <c r="C5194" s="11" t="s">
        <v>5337</v>
      </c>
      <c r="D5194" s="2" t="s">
        <v>30</v>
      </c>
      <c r="E5194" s="2" t="s">
        <v>1664</v>
      </c>
      <c r="F5194" s="11" t="s">
        <v>7292</v>
      </c>
      <c r="G5194" s="49" t="s">
        <v>7293</v>
      </c>
      <c r="H5194" s="2" t="s">
        <v>7294</v>
      </c>
      <c r="I5194" s="2" t="s">
        <v>570</v>
      </c>
      <c r="J5194" s="22">
        <f>+Tabla1[[#This Row],[FECHA ENTRADA]]</f>
        <v>46089</v>
      </c>
      <c r="K5194" s="22">
        <v>46122</v>
      </c>
      <c r="L5194" s="23">
        <f>_xlfn.DAYS(Tabla1[[#This Row],[FECHA FIN ]],Tabla1[[#This Row],[FECHA INICIO]])</f>
        <v>33</v>
      </c>
      <c r="M5194" s="12">
        <f>360+517.5+60</f>
        <v>937.5</v>
      </c>
      <c r="N5194" s="24"/>
      <c r="O5194" s="24">
        <f>(Tabla1[[#This Row],[COSTO FIJO ]]/30)*Tabla1[[#This Row],[TOTAL DIAS PROYECTO]]+(Tabla1[[#This Row],[COSTO TEMPORAL]])</f>
        <v>937.5</v>
      </c>
      <c r="P5194" s="12"/>
      <c r="Q5194" s="12">
        <f>+(Tabla1[[#This Row],[COSTO COCHE]]/30)*Tabla1[[#This Row],[TOTAL DIAS PROYECTO]]</f>
        <v>0</v>
      </c>
      <c r="R5194" s="12">
        <f>+Tabla1[[#This Row],[COSTO TOTAL ALOJAMIENTO]]+Tabla1[[#This Row],[COSTO TOTAL COCHE]]</f>
        <v>937.5</v>
      </c>
      <c r="S5194" s="2"/>
      <c r="T5194" s="14" t="s">
        <v>44</v>
      </c>
      <c r="U5194" s="14">
        <v>46089</v>
      </c>
      <c r="V5194" s="25">
        <v>46133</v>
      </c>
      <c r="W5194" s="12"/>
      <c r="X5194" s="2"/>
      <c r="Y5194" s="11" t="s">
        <v>7295</v>
      </c>
      <c r="Z5194" s="2" t="s">
        <v>36</v>
      </c>
      <c r="AA5194" s="13" t="s">
        <v>10425</v>
      </c>
      <c r="AB5194" s="13" t="s">
        <v>10426</v>
      </c>
    </row>
    <row r="5195" spans="1:28" ht="15" customHeight="1">
      <c r="A5195" s="2" t="s">
        <v>9313</v>
      </c>
      <c r="B5195" s="2" t="s">
        <v>711</v>
      </c>
      <c r="C5195" s="11" t="s">
        <v>2791</v>
      </c>
      <c r="D5195" s="2" t="s">
        <v>30</v>
      </c>
      <c r="E5195" s="2" t="s">
        <v>1664</v>
      </c>
      <c r="F5195" s="11" t="s">
        <v>7292</v>
      </c>
      <c r="G5195" s="49" t="s">
        <v>7293</v>
      </c>
      <c r="H5195" s="2" t="s">
        <v>7080</v>
      </c>
      <c r="I5195" s="12" t="s">
        <v>570</v>
      </c>
      <c r="J5195" s="22">
        <f>+Tabla1[[#This Row],[FECHA ENTRADA]]</f>
        <v>46104</v>
      </c>
      <c r="K5195" s="22">
        <v>46122</v>
      </c>
      <c r="L5195" s="23">
        <f>_xlfn.DAYS(Tabla1[[#This Row],[FECHA FIN ]],Tabla1[[#This Row],[FECHA INICIO]])</f>
        <v>18</v>
      </c>
      <c r="M5195" s="12">
        <f>517.5+60</f>
        <v>577.5</v>
      </c>
      <c r="N5195" s="24"/>
      <c r="O5195" s="24">
        <f>(Tabla1[[#This Row],[COSTO FIJO ]]/30)*Tabla1[[#This Row],[TOTAL DIAS PROYECTO]]+(Tabla1[[#This Row],[COSTO TEMPORAL]])</f>
        <v>577.5</v>
      </c>
      <c r="P5195" s="12"/>
      <c r="Q5195" s="12">
        <f>+(Tabla1[[#This Row],[COSTO COCHE]]/30)*Tabla1[[#This Row],[TOTAL DIAS PROYECTO]]</f>
        <v>0</v>
      </c>
      <c r="R5195" s="12">
        <f>+Tabla1[[#This Row],[COSTO TOTAL ALOJAMIENTO]]+Tabla1[[#This Row],[COSTO TOTAL COCHE]]</f>
        <v>577.5</v>
      </c>
      <c r="S5195" s="2"/>
      <c r="T5195" s="14" t="s">
        <v>44</v>
      </c>
      <c r="U5195" s="14">
        <v>46104</v>
      </c>
      <c r="V5195" s="25">
        <v>46133</v>
      </c>
      <c r="W5195" s="12"/>
      <c r="X5195" s="2"/>
      <c r="Y5195" s="11" t="s">
        <v>7295</v>
      </c>
      <c r="Z5195" s="2" t="s">
        <v>36</v>
      </c>
      <c r="AA5195" s="13" t="s">
        <v>10425</v>
      </c>
      <c r="AB5195" s="13" t="s">
        <v>10426</v>
      </c>
    </row>
    <row r="5196" spans="1:28" ht="15" customHeight="1">
      <c r="A5196" s="2" t="s">
        <v>10198</v>
      </c>
      <c r="B5196" s="2" t="s">
        <v>711</v>
      </c>
      <c r="C5196" s="11" t="s">
        <v>7081</v>
      </c>
      <c r="D5196" s="2" t="s">
        <v>30</v>
      </c>
      <c r="E5196" s="2" t="s">
        <v>1664</v>
      </c>
      <c r="F5196" s="11" t="s">
        <v>7292</v>
      </c>
      <c r="G5196" s="49" t="s">
        <v>7293</v>
      </c>
      <c r="H5196" s="2" t="s">
        <v>7080</v>
      </c>
      <c r="I5196" s="12" t="s">
        <v>570</v>
      </c>
      <c r="J5196" s="22">
        <f>+Tabla1[[#This Row],[FECHA ENTRADA]]</f>
        <v>46104</v>
      </c>
      <c r="K5196" s="22">
        <v>46122</v>
      </c>
      <c r="L5196" s="23">
        <f>_xlfn.DAYS(Tabla1[[#This Row],[FECHA FIN ]],Tabla1[[#This Row],[FECHA INICIO]])</f>
        <v>18</v>
      </c>
      <c r="M5196" s="12">
        <f>517.5+60</f>
        <v>577.5</v>
      </c>
      <c r="N5196" s="24"/>
      <c r="O5196" s="24">
        <f>(Tabla1[[#This Row],[COSTO FIJO ]]/30)*Tabla1[[#This Row],[TOTAL DIAS PROYECTO]]+(Tabla1[[#This Row],[COSTO TEMPORAL]])</f>
        <v>577.5</v>
      </c>
      <c r="P5196" s="12"/>
      <c r="Q5196" s="12">
        <f>+(Tabla1[[#This Row],[COSTO COCHE]]/30)*Tabla1[[#This Row],[TOTAL DIAS PROYECTO]]</f>
        <v>0</v>
      </c>
      <c r="R5196" s="12">
        <f>+Tabla1[[#This Row],[COSTO TOTAL ALOJAMIENTO]]+Tabla1[[#This Row],[COSTO TOTAL COCHE]]</f>
        <v>577.5</v>
      </c>
      <c r="S5196" s="2"/>
      <c r="T5196" s="14" t="s">
        <v>44</v>
      </c>
      <c r="U5196" s="14">
        <v>46104</v>
      </c>
      <c r="V5196" s="25">
        <v>46133</v>
      </c>
      <c r="W5196" s="12"/>
      <c r="X5196" s="2"/>
      <c r="Y5196" s="11" t="s">
        <v>7295</v>
      </c>
      <c r="Z5196" s="2" t="s">
        <v>36</v>
      </c>
      <c r="AA5196" s="13" t="s">
        <v>10425</v>
      </c>
      <c r="AB5196" s="13" t="s">
        <v>10426</v>
      </c>
    </row>
    <row r="5197" spans="1:28" ht="15" customHeight="1">
      <c r="A5197" s="117" t="s">
        <v>10032</v>
      </c>
      <c r="B5197" s="117" t="s">
        <v>711</v>
      </c>
      <c r="C5197" s="118" t="s">
        <v>6001</v>
      </c>
      <c r="D5197" s="117" t="s">
        <v>30</v>
      </c>
      <c r="E5197" s="117" t="s">
        <v>2378</v>
      </c>
      <c r="F5197" s="11" t="s">
        <v>7296</v>
      </c>
      <c r="G5197" s="128" t="s">
        <v>7297</v>
      </c>
      <c r="H5197" s="117" t="s">
        <v>6755</v>
      </c>
      <c r="I5197" s="119" t="s">
        <v>1392</v>
      </c>
      <c r="J5197" s="121">
        <f>+Tabla1[[#This Row],[FECHA ENTRADA]]</f>
        <v>46122</v>
      </c>
      <c r="K5197" s="120">
        <v>46134</v>
      </c>
      <c r="L5197" s="129">
        <f>_xlfn.DAYS(Tabla1[[#This Row],[FECHA FIN ]],Tabla1[[#This Row],[FECHA INICIO]])</f>
        <v>12</v>
      </c>
      <c r="M5197" s="119">
        <v>209.66666666666666</v>
      </c>
      <c r="N5197" s="130"/>
      <c r="O5197" s="131">
        <f>(Tabla1[[#This Row],[COSTO FIJO ]]/30)*Tabla1[[#This Row],[TOTAL DIAS PROYECTO]]+(Tabla1[[#This Row],[COSTO TEMPORAL]])</f>
        <v>209.66666666666666</v>
      </c>
      <c r="P5197" s="119"/>
      <c r="Q5197" s="119">
        <f>+(Tabla1[[#This Row],[COSTO COCHE]]/30)*Tabla1[[#This Row],[TOTAL DIAS PROYECTO]]</f>
        <v>0</v>
      </c>
      <c r="R5197" s="119">
        <f>+Tabla1[[#This Row],[COSTO TOTAL ALOJAMIENTO]]+Tabla1[[#This Row],[COSTO TOTAL COCHE]]</f>
        <v>209.66666666666666</v>
      </c>
      <c r="S5197" s="117"/>
      <c r="T5197" s="124" t="s">
        <v>44</v>
      </c>
      <c r="U5197" s="124">
        <v>46122</v>
      </c>
      <c r="V5197" s="125">
        <v>46134</v>
      </c>
      <c r="W5197" s="119"/>
      <c r="X5197" s="117"/>
      <c r="Y5197" s="118" t="s">
        <v>7298</v>
      </c>
      <c r="Z5197" s="117" t="s">
        <v>36</v>
      </c>
      <c r="AA5197" s="127" t="e">
        <v>#N/A</v>
      </c>
      <c r="AB5197" s="127" t="e">
        <v>#N/A</v>
      </c>
    </row>
    <row r="5198" spans="1:28" ht="15" customHeight="1">
      <c r="A5198" s="117" t="s">
        <v>10134</v>
      </c>
      <c r="B5198" s="117" t="s">
        <v>711</v>
      </c>
      <c r="C5198" s="118" t="s">
        <v>6567</v>
      </c>
      <c r="D5198" s="117" t="s">
        <v>30</v>
      </c>
      <c r="E5198" s="117" t="s">
        <v>2378</v>
      </c>
      <c r="F5198" s="11" t="s">
        <v>7296</v>
      </c>
      <c r="G5198" s="128" t="s">
        <v>7297</v>
      </c>
      <c r="H5198" s="117" t="s">
        <v>6757</v>
      </c>
      <c r="I5198" s="119" t="s">
        <v>1392</v>
      </c>
      <c r="J5198" s="121">
        <f>+Tabla1[[#This Row],[FECHA ENTRADA]]</f>
        <v>46122</v>
      </c>
      <c r="K5198" s="120">
        <v>46134</v>
      </c>
      <c r="L5198" s="129">
        <f>_xlfn.DAYS(Tabla1[[#This Row],[FECHA FIN ]],Tabla1[[#This Row],[FECHA INICIO]])</f>
        <v>12</v>
      </c>
      <c r="M5198" s="119">
        <v>209.66666666666666</v>
      </c>
      <c r="N5198" s="130"/>
      <c r="O5198" s="131">
        <f>(Tabla1[[#This Row],[COSTO FIJO ]]/30)*Tabla1[[#This Row],[TOTAL DIAS PROYECTO]]+(Tabla1[[#This Row],[COSTO TEMPORAL]])</f>
        <v>209.66666666666666</v>
      </c>
      <c r="P5198" s="119"/>
      <c r="Q5198" s="119">
        <f>+(Tabla1[[#This Row],[COSTO COCHE]]/30)*Tabla1[[#This Row],[TOTAL DIAS PROYECTO]]</f>
        <v>0</v>
      </c>
      <c r="R5198" s="119">
        <f>+Tabla1[[#This Row],[COSTO TOTAL ALOJAMIENTO]]+Tabla1[[#This Row],[COSTO TOTAL COCHE]]</f>
        <v>209.66666666666666</v>
      </c>
      <c r="S5198" s="117"/>
      <c r="T5198" s="124" t="s">
        <v>44</v>
      </c>
      <c r="U5198" s="124">
        <v>46122</v>
      </c>
      <c r="V5198" s="125">
        <v>46134</v>
      </c>
      <c r="W5198" s="119"/>
      <c r="X5198" s="117"/>
      <c r="Y5198" s="118" t="s">
        <v>7298</v>
      </c>
      <c r="Z5198" s="117" t="s">
        <v>36</v>
      </c>
      <c r="AA5198" s="127" t="e">
        <v>#N/A</v>
      </c>
      <c r="AB5198" s="127" t="e">
        <v>#N/A</v>
      </c>
    </row>
    <row r="5199" spans="1:28" ht="15" customHeight="1">
      <c r="A5199" s="117" t="s">
        <v>9244</v>
      </c>
      <c r="B5199" s="117" t="s">
        <v>711</v>
      </c>
      <c r="C5199" s="118" t="s">
        <v>2566</v>
      </c>
      <c r="D5199" s="117" t="s">
        <v>30</v>
      </c>
      <c r="E5199" s="117" t="s">
        <v>2378</v>
      </c>
      <c r="F5199" s="11" t="s">
        <v>7296</v>
      </c>
      <c r="G5199" s="128" t="s">
        <v>7297</v>
      </c>
      <c r="H5199" s="117" t="s">
        <v>6757</v>
      </c>
      <c r="I5199" s="119" t="s">
        <v>1392</v>
      </c>
      <c r="J5199" s="121">
        <f>+Tabla1[[#This Row],[FECHA ENTRADA]]</f>
        <v>46122</v>
      </c>
      <c r="K5199" s="120">
        <v>46134</v>
      </c>
      <c r="L5199" s="129">
        <f>_xlfn.DAYS(Tabla1[[#This Row],[FECHA FIN ]],Tabla1[[#This Row],[FECHA INICIO]])</f>
        <v>12</v>
      </c>
      <c r="M5199" s="119">
        <v>209.66666666666666</v>
      </c>
      <c r="N5199" s="130"/>
      <c r="O5199" s="131">
        <f>(Tabla1[[#This Row],[COSTO FIJO ]]/30)*Tabla1[[#This Row],[TOTAL DIAS PROYECTO]]+(Tabla1[[#This Row],[COSTO TEMPORAL]])</f>
        <v>209.66666666666666</v>
      </c>
      <c r="P5199" s="119"/>
      <c r="Q5199" s="119">
        <f>+(Tabla1[[#This Row],[COSTO COCHE]]/30)*Tabla1[[#This Row],[TOTAL DIAS PROYECTO]]</f>
        <v>0</v>
      </c>
      <c r="R5199" s="119">
        <f>+Tabla1[[#This Row],[COSTO TOTAL ALOJAMIENTO]]+Tabla1[[#This Row],[COSTO TOTAL COCHE]]</f>
        <v>209.66666666666666</v>
      </c>
      <c r="S5199" s="117"/>
      <c r="T5199" s="124" t="s">
        <v>44</v>
      </c>
      <c r="U5199" s="124">
        <v>46122</v>
      </c>
      <c r="V5199" s="125">
        <v>46134</v>
      </c>
      <c r="W5199" s="119"/>
      <c r="X5199" s="117"/>
      <c r="Y5199" s="118" t="s">
        <v>7298</v>
      </c>
      <c r="Z5199" s="117" t="s">
        <v>36</v>
      </c>
      <c r="AA5199" s="127" t="e">
        <v>#N/A</v>
      </c>
      <c r="AB5199" s="127" t="e">
        <v>#N/A</v>
      </c>
    </row>
    <row r="5200" spans="1:28" ht="15" customHeight="1">
      <c r="A5200" s="2" t="s">
        <v>9674</v>
      </c>
      <c r="B5200" s="2" t="s">
        <v>28</v>
      </c>
      <c r="C5200" s="11" t="s">
        <v>4180</v>
      </c>
      <c r="D5200" s="2" t="s">
        <v>99</v>
      </c>
      <c r="E5200" s="2" t="s">
        <v>213</v>
      </c>
      <c r="F5200" s="11" t="s">
        <v>1971</v>
      </c>
      <c r="G5200" s="11" t="s">
        <v>1972</v>
      </c>
      <c r="H5200" s="2" t="s">
        <v>7288</v>
      </c>
      <c r="I5200" s="2" t="s">
        <v>918</v>
      </c>
      <c r="J5200" s="22">
        <f>+Tabla1[[#This Row],[FECHA ENTRADA]]</f>
        <v>45860</v>
      </c>
      <c r="K5200" s="22">
        <v>45897</v>
      </c>
      <c r="L5200" s="23">
        <f>_xlfn.DAYS(Tabla1[[#This Row],[FECHA FIN ]],Tabla1[[#This Row],[FECHA INICIO]])</f>
        <v>37</v>
      </c>
      <c r="M5200" s="12"/>
      <c r="N5200" s="20">
        <v>500</v>
      </c>
      <c r="O5200" s="24">
        <f>(Tabla1[[#This Row],[COSTO FIJO ]]/30)*Tabla1[[#This Row],[TOTAL DIAS PROYECTO]]+(Tabla1[[#This Row],[COSTO TEMPORAL]])</f>
        <v>616.66666666666674</v>
      </c>
      <c r="P5200" s="12"/>
      <c r="Q5200" s="12">
        <f>+(Tabla1[[#This Row],[COSTO COCHE]]/30)*Tabla1[[#This Row],[TOTAL DIAS PROYECTO]]</f>
        <v>0</v>
      </c>
      <c r="R5200" s="12">
        <f>+Tabla1[[#This Row],[COSTO TOTAL ALOJAMIENTO]]+Tabla1[[#This Row],[COSTO TOTAL COCHE]]</f>
        <v>616.66666666666674</v>
      </c>
      <c r="S5200" s="2"/>
      <c r="T5200" s="14" t="s">
        <v>35</v>
      </c>
      <c r="U5200" s="14">
        <v>45860</v>
      </c>
      <c r="V5200" s="79"/>
      <c r="W5200" s="12">
        <v>1500</v>
      </c>
      <c r="X5200" s="2">
        <v>29</v>
      </c>
      <c r="Y5200" s="11"/>
      <c r="Z5200" s="2" t="s">
        <v>36</v>
      </c>
      <c r="AA5200" s="13" t="s">
        <v>10349</v>
      </c>
      <c r="AB5200" s="13" t="s">
        <v>10350</v>
      </c>
    </row>
    <row r="5201" spans="1:28" ht="15" customHeight="1">
      <c r="A5201" s="2" t="s">
        <v>9554</v>
      </c>
      <c r="B5201" s="2" t="s">
        <v>606</v>
      </c>
      <c r="C5201" s="31" t="s">
        <v>3603</v>
      </c>
      <c r="D5201" s="2" t="s">
        <v>30</v>
      </c>
      <c r="E5201" s="2" t="s">
        <v>1130</v>
      </c>
      <c r="F5201" s="11" t="s">
        <v>5440</v>
      </c>
      <c r="G5201" s="49" t="s">
        <v>5441</v>
      </c>
      <c r="H5201" s="2" t="s">
        <v>5442</v>
      </c>
      <c r="I5201" s="158" t="s">
        <v>5443</v>
      </c>
      <c r="J5201" s="22">
        <f>+Tabla1[[#This Row],[FECHA ENTRADA]]</f>
        <v>45946</v>
      </c>
      <c r="K5201" s="22">
        <v>46138</v>
      </c>
      <c r="L5201" s="23">
        <f>_xlfn.DAYS(Tabla1[[#This Row],[FECHA FIN ]],Tabla1[[#This Row],[FECHA INICIO]])</f>
        <v>192</v>
      </c>
      <c r="M5201" s="12">
        <f>435+600+175+325</f>
        <v>1535</v>
      </c>
      <c r="N5201" s="24"/>
      <c r="O5201" s="24">
        <f>(Tabla1[[#This Row],[COSTO FIJO ]]/30)*Tabla1[[#This Row],[TOTAL DIAS PROYECTO]]+(Tabla1[[#This Row],[COSTO TEMPORAL]])</f>
        <v>1535</v>
      </c>
      <c r="P5201" s="12"/>
      <c r="Q5201" s="12">
        <f>+(Tabla1[[#This Row],[COSTO COCHE]]/30)*Tabla1[[#This Row],[TOTAL DIAS PROYECTO]]</f>
        <v>0</v>
      </c>
      <c r="R5201" s="12">
        <f>+Tabla1[[#This Row],[COSTO TOTAL ALOJAMIENTO]]+Tabla1[[#This Row],[COSTO TOTAL COCHE]]</f>
        <v>1535</v>
      </c>
      <c r="S5201" s="2"/>
      <c r="T5201" s="14" t="s">
        <v>44</v>
      </c>
      <c r="U5201" s="14">
        <v>45946</v>
      </c>
      <c r="V5201" s="25">
        <v>46138</v>
      </c>
      <c r="W5201" s="71"/>
      <c r="X5201" s="2"/>
      <c r="Y5201" s="178" t="s">
        <v>7299</v>
      </c>
      <c r="Z5201" s="2" t="s">
        <v>36</v>
      </c>
      <c r="AA5201" s="13" t="s">
        <v>10412</v>
      </c>
      <c r="AB5201" s="13">
        <v>4200955</v>
      </c>
    </row>
    <row r="5202" spans="1:28" ht="15" customHeight="1">
      <c r="A5202" s="2" t="s">
        <v>9962</v>
      </c>
      <c r="B5202" s="2" t="s">
        <v>606</v>
      </c>
      <c r="C5202" s="11" t="s">
        <v>5744</v>
      </c>
      <c r="D5202" s="2" t="s">
        <v>30</v>
      </c>
      <c r="E5202" s="2" t="s">
        <v>31</v>
      </c>
      <c r="F5202" s="11" t="s">
        <v>1206</v>
      </c>
      <c r="G5202" s="167" t="s">
        <v>1005</v>
      </c>
      <c r="H5202" s="2" t="s">
        <v>7300</v>
      </c>
      <c r="I5202" s="12" t="s">
        <v>2391</v>
      </c>
      <c r="J5202" s="41">
        <f>+Tabla1[[#This Row],[FECHA ENTRADA]]</f>
        <v>46057</v>
      </c>
      <c r="K5202" s="22">
        <v>46265</v>
      </c>
      <c r="L5202" s="42">
        <f>_xlfn.DAYS(Tabla1[[#This Row],[FECHA FIN ]],Tabla1[[#This Row],[FECHA INICIO]])</f>
        <v>208</v>
      </c>
      <c r="M5202" s="12"/>
      <c r="N5202" s="12">
        <v>357.14285714285717</v>
      </c>
      <c r="O5202" s="28">
        <f>(Tabla1[[#This Row],[COSTO FIJO ]]/30)*Tabla1[[#This Row],[TOTAL DIAS PROYECTO]]+(Tabla1[[#This Row],[COSTO TEMPORAL]])</f>
        <v>2476.1904761904761</v>
      </c>
      <c r="P5202" s="12"/>
      <c r="Q5202" s="12">
        <f>+(Tabla1[[#This Row],[COSTO COCHE]]/30)*Tabla1[[#This Row],[TOTAL DIAS PROYECTO]]</f>
        <v>0</v>
      </c>
      <c r="R5202" s="12">
        <f>+Tabla1[[#This Row],[COSTO TOTAL ALOJAMIENTO]]+Tabla1[[#This Row],[COSTO TOTAL COCHE]]</f>
        <v>2476.1904761904761</v>
      </c>
      <c r="S5202" s="2"/>
      <c r="T5202" s="14" t="s">
        <v>35</v>
      </c>
      <c r="U5202" s="14">
        <v>46057</v>
      </c>
      <c r="V5202" s="43">
        <v>46241</v>
      </c>
      <c r="W5202" s="12">
        <v>2500</v>
      </c>
      <c r="X5202" s="2">
        <v>1</v>
      </c>
      <c r="Y5202" s="11" t="s">
        <v>7301</v>
      </c>
      <c r="Z5202" s="2" t="s">
        <v>36</v>
      </c>
      <c r="AA5202" s="13" t="s">
        <v>10323</v>
      </c>
      <c r="AB5202" s="13" t="s">
        <v>10324</v>
      </c>
    </row>
    <row r="5203" spans="1:28" ht="15" customHeight="1">
      <c r="A5203" s="2" t="s">
        <v>9516</v>
      </c>
      <c r="B5203" s="2" t="s">
        <v>606</v>
      </c>
      <c r="C5203" s="104" t="s">
        <v>3495</v>
      </c>
      <c r="D5203" s="2" t="s">
        <v>99</v>
      </c>
      <c r="E5203" s="2" t="s">
        <v>3533</v>
      </c>
      <c r="F5203" s="11" t="s">
        <v>7302</v>
      </c>
      <c r="G5203" s="46" t="s">
        <v>7303</v>
      </c>
      <c r="H5203" s="2" t="s">
        <v>7304</v>
      </c>
      <c r="I5203" s="12" t="s">
        <v>2638</v>
      </c>
      <c r="J5203" s="41">
        <f>+Tabla1[[#This Row],[FECHA ENTRADA]]</f>
        <v>46149</v>
      </c>
      <c r="K5203" s="22">
        <v>46157</v>
      </c>
      <c r="L5203" s="42">
        <f>_xlfn.DAYS(Tabla1[[#This Row],[FECHA FIN ]],Tabla1[[#This Row],[FECHA INICIO]])</f>
        <v>8</v>
      </c>
      <c r="M5203" s="12">
        <f>448.4/2</f>
        <v>224.2</v>
      </c>
      <c r="N5203" s="12">
        <v>500</v>
      </c>
      <c r="O5203" s="28">
        <f>(Tabla1[[#This Row],[COSTO FIJO ]]/30)*Tabla1[[#This Row],[TOTAL DIAS PROYECTO]]+(Tabla1[[#This Row],[COSTO TEMPORAL]])</f>
        <v>357.5333333333333</v>
      </c>
      <c r="P5203" s="12"/>
      <c r="Q5203" s="12">
        <f>+(Tabla1[[#This Row],[COSTO COCHE]]/30)*Tabla1[[#This Row],[TOTAL DIAS PROYECTO]]</f>
        <v>0</v>
      </c>
      <c r="R5203" s="12">
        <f>+Tabla1[[#This Row],[COSTO TOTAL ALOJAMIENTO]]+Tabla1[[#This Row],[COSTO TOTAL COCHE]]</f>
        <v>357.5333333333333</v>
      </c>
      <c r="S5203" s="2" t="s">
        <v>403</v>
      </c>
      <c r="T5203" s="14" t="s">
        <v>44</v>
      </c>
      <c r="U5203" s="14">
        <v>46149</v>
      </c>
      <c r="V5203" s="43">
        <v>46157</v>
      </c>
      <c r="W5203" s="12"/>
      <c r="X5203" s="2"/>
      <c r="Y5203" s="11" t="s">
        <v>7305</v>
      </c>
      <c r="Z5203" s="2" t="s">
        <v>36</v>
      </c>
      <c r="AA5203" s="13">
        <v>-164692</v>
      </c>
      <c r="AB5203" s="13">
        <v>4266807</v>
      </c>
    </row>
    <row r="5204" spans="1:28" ht="15" customHeight="1">
      <c r="A5204" s="2" t="s">
        <v>9019</v>
      </c>
      <c r="B5204" s="2" t="s">
        <v>606</v>
      </c>
      <c r="C5204" s="11" t="s">
        <v>1710</v>
      </c>
      <c r="D5204" s="2" t="s">
        <v>99</v>
      </c>
      <c r="E5204" s="2" t="s">
        <v>3533</v>
      </c>
      <c r="F5204" s="11" t="s">
        <v>7302</v>
      </c>
      <c r="G5204" s="46" t="s">
        <v>7303</v>
      </c>
      <c r="H5204" s="2" t="s">
        <v>7304</v>
      </c>
      <c r="I5204" s="12" t="s">
        <v>2638</v>
      </c>
      <c r="J5204" s="41">
        <f>+Tabla1[[#This Row],[FECHA ENTRADA]]</f>
        <v>46149</v>
      </c>
      <c r="K5204" s="22">
        <v>46157</v>
      </c>
      <c r="L5204" s="42">
        <f>_xlfn.DAYS(Tabla1[[#This Row],[FECHA FIN ]],Tabla1[[#This Row],[FECHA INICIO]])</f>
        <v>8</v>
      </c>
      <c r="M5204" s="12">
        <f>448.4/2</f>
        <v>224.2</v>
      </c>
      <c r="N5204" s="12">
        <v>500</v>
      </c>
      <c r="O5204" s="28">
        <f>(Tabla1[[#This Row],[COSTO FIJO ]]/30)*Tabla1[[#This Row],[TOTAL DIAS PROYECTO]]+(Tabla1[[#This Row],[COSTO TEMPORAL]])</f>
        <v>357.5333333333333</v>
      </c>
      <c r="P5204" s="12"/>
      <c r="Q5204" s="12">
        <f>+(Tabla1[[#This Row],[COSTO COCHE]]/30)*Tabla1[[#This Row],[TOTAL DIAS PROYECTO]]</f>
        <v>0</v>
      </c>
      <c r="R5204" s="12">
        <f>+Tabla1[[#This Row],[COSTO TOTAL ALOJAMIENTO]]+Tabla1[[#This Row],[COSTO TOTAL COCHE]]</f>
        <v>357.5333333333333</v>
      </c>
      <c r="S5204" s="2" t="s">
        <v>403</v>
      </c>
      <c r="T5204" s="14" t="s">
        <v>44</v>
      </c>
      <c r="U5204" s="14">
        <v>46149</v>
      </c>
      <c r="V5204" s="25">
        <v>46157</v>
      </c>
      <c r="W5204" s="12"/>
      <c r="X5204" s="2"/>
      <c r="Y5204" s="11" t="s">
        <v>7305</v>
      </c>
      <c r="Z5204" s="2" t="s">
        <v>36</v>
      </c>
      <c r="AA5204" s="13">
        <v>-164692</v>
      </c>
      <c r="AB5204" s="13">
        <v>4266807</v>
      </c>
    </row>
    <row r="5205" spans="1:28" ht="15" customHeight="1">
      <c r="A5205" s="117" t="s">
        <v>9740</v>
      </c>
      <c r="B5205" s="117" t="s">
        <v>606</v>
      </c>
      <c r="C5205" s="118" t="s">
        <v>4508</v>
      </c>
      <c r="D5205" s="117" t="s">
        <v>30</v>
      </c>
      <c r="E5205" s="117" t="s">
        <v>213</v>
      </c>
      <c r="F5205" s="11" t="s">
        <v>7306</v>
      </c>
      <c r="G5205" s="251" t="s">
        <v>7307</v>
      </c>
      <c r="H5205" s="117" t="s">
        <v>5149</v>
      </c>
      <c r="I5205" s="119" t="s">
        <v>1043</v>
      </c>
      <c r="J5205" s="120">
        <f>+Tabla1[[#This Row],[FECHA ENTRADA]]</f>
        <v>46125</v>
      </c>
      <c r="K5205" s="120">
        <v>46133</v>
      </c>
      <c r="L5205" s="122">
        <f>_xlfn.DAYS(Tabla1[[#This Row],[FECHA FIN ]],Tabla1[[#This Row],[FECHA INICIO]])</f>
        <v>8</v>
      </c>
      <c r="M5205" s="119">
        <f>840.29/4</f>
        <v>210.07249999999999</v>
      </c>
      <c r="N5205" s="12">
        <v>500</v>
      </c>
      <c r="O5205" s="123">
        <f>(Tabla1[[#This Row],[COSTO FIJO ]]/30)*Tabla1[[#This Row],[TOTAL DIAS PROYECTO]]+(Tabla1[[#This Row],[COSTO TEMPORAL]])</f>
        <v>343.40583333333336</v>
      </c>
      <c r="P5205" s="119"/>
      <c r="Q5205" s="119">
        <f>+(Tabla1[[#This Row],[COSTO COCHE]]/30)*Tabla1[[#This Row],[TOTAL DIAS PROYECTO]]</f>
        <v>0</v>
      </c>
      <c r="R5205" s="119">
        <f>+Tabla1[[#This Row],[COSTO TOTAL ALOJAMIENTO]]+Tabla1[[#This Row],[COSTO TOTAL COCHE]]</f>
        <v>343.40583333333336</v>
      </c>
      <c r="S5205" s="117" t="s">
        <v>403</v>
      </c>
      <c r="T5205" s="124" t="s">
        <v>44</v>
      </c>
      <c r="U5205" s="124">
        <v>46125</v>
      </c>
      <c r="V5205" s="125">
        <v>46134</v>
      </c>
      <c r="W5205" s="119"/>
      <c r="X5205" s="117"/>
      <c r="Y5205" s="118" t="s">
        <v>7308</v>
      </c>
      <c r="Z5205" s="117" t="s">
        <v>36</v>
      </c>
      <c r="AA5205" s="127" t="s">
        <v>10349</v>
      </c>
      <c r="AB5205" s="127" t="s">
        <v>10350</v>
      </c>
    </row>
    <row r="5206" spans="1:28" ht="15" customHeight="1">
      <c r="A5206" s="117" t="s">
        <v>9871</v>
      </c>
      <c r="B5206" s="117" t="s">
        <v>606</v>
      </c>
      <c r="C5206" s="118" t="s">
        <v>5150</v>
      </c>
      <c r="D5206" s="117" t="s">
        <v>30</v>
      </c>
      <c r="E5206" s="117" t="s">
        <v>213</v>
      </c>
      <c r="F5206" s="11" t="s">
        <v>7306</v>
      </c>
      <c r="G5206" s="251" t="s">
        <v>7307</v>
      </c>
      <c r="H5206" s="117" t="s">
        <v>5151</v>
      </c>
      <c r="I5206" s="119" t="s">
        <v>1043</v>
      </c>
      <c r="J5206" s="120">
        <f>+Tabla1[[#This Row],[FECHA ENTRADA]]</f>
        <v>46125</v>
      </c>
      <c r="K5206" s="120">
        <v>46133</v>
      </c>
      <c r="L5206" s="122">
        <f>_xlfn.DAYS(Tabla1[[#This Row],[FECHA FIN ]],Tabla1[[#This Row],[FECHA INICIO]])</f>
        <v>8</v>
      </c>
      <c r="M5206" s="119">
        <f>840.29/4</f>
        <v>210.07249999999999</v>
      </c>
      <c r="N5206" s="12">
        <v>500</v>
      </c>
      <c r="O5206" s="123">
        <f>(Tabla1[[#This Row],[COSTO FIJO ]]/30)*Tabla1[[#This Row],[TOTAL DIAS PROYECTO]]+(Tabla1[[#This Row],[COSTO TEMPORAL]])</f>
        <v>343.40583333333336</v>
      </c>
      <c r="P5206" s="119"/>
      <c r="Q5206" s="119">
        <f>+(Tabla1[[#This Row],[COSTO COCHE]]/30)*Tabla1[[#This Row],[TOTAL DIAS PROYECTO]]</f>
        <v>0</v>
      </c>
      <c r="R5206" s="119">
        <f>+Tabla1[[#This Row],[COSTO TOTAL ALOJAMIENTO]]+Tabla1[[#This Row],[COSTO TOTAL COCHE]]</f>
        <v>343.40583333333336</v>
      </c>
      <c r="S5206" s="117" t="s">
        <v>403</v>
      </c>
      <c r="T5206" s="124" t="s">
        <v>44</v>
      </c>
      <c r="U5206" s="124">
        <v>46125</v>
      </c>
      <c r="V5206" s="125">
        <v>46134</v>
      </c>
      <c r="W5206" s="119"/>
      <c r="X5206" s="117"/>
      <c r="Y5206" s="118" t="s">
        <v>7308</v>
      </c>
      <c r="Z5206" s="117" t="s">
        <v>36</v>
      </c>
      <c r="AA5206" s="127" t="s">
        <v>10349</v>
      </c>
      <c r="AB5206" s="127" t="s">
        <v>10350</v>
      </c>
    </row>
    <row r="5207" spans="1:28" ht="15" customHeight="1">
      <c r="A5207" s="2" t="s">
        <v>10232</v>
      </c>
      <c r="B5207" s="2" t="s">
        <v>28</v>
      </c>
      <c r="C5207" s="11" t="s">
        <v>7309</v>
      </c>
      <c r="D5207" s="2" t="s">
        <v>30</v>
      </c>
      <c r="E5207" s="2" t="s">
        <v>92</v>
      </c>
      <c r="F5207" s="11" t="s">
        <v>93</v>
      </c>
      <c r="G5207" s="11" t="s">
        <v>94</v>
      </c>
      <c r="H5207" s="2" t="s">
        <v>95</v>
      </c>
      <c r="I5207" s="12" t="s">
        <v>96</v>
      </c>
      <c r="J5207" s="8">
        <f>+Tabla1[[#This Row],[FECHA ENTRADA]]</f>
        <v>45363</v>
      </c>
      <c r="K5207" s="22">
        <v>45821</v>
      </c>
      <c r="L5207" s="13">
        <f>_xlfn.DAYS(Tabla1[[#This Row],[FECHA FIN ]],Tabla1[[#This Row],[FECHA INICIO]])</f>
        <v>458</v>
      </c>
      <c r="M5207" s="12"/>
      <c r="N5207" s="12">
        <f>1811.6/17</f>
        <v>106.56470588235294</v>
      </c>
      <c r="O5207" s="12">
        <f>(Tabla1[[#This Row],[COSTO FIJO ]]/30)*Tabla1[[#This Row],[TOTAL DIAS PROYECTO]]+(Tabla1[[#This Row],[COSTO TEMPORAL]])</f>
        <v>1626.887843137255</v>
      </c>
      <c r="P5207" s="12"/>
      <c r="Q5207" s="12">
        <f>+(Tabla1[[#This Row],[COSTO COCHE]]/30)*Tabla1[[#This Row],[TOTAL DIAS PROYECTO]]</f>
        <v>0</v>
      </c>
      <c r="R5207" s="12">
        <f>+Tabla1[[#This Row],[COSTO TOTAL ALOJAMIENTO]]+Tabla1[[#This Row],[COSTO TOTAL COCHE]]</f>
        <v>1626.887843137255</v>
      </c>
      <c r="S5207" s="2"/>
      <c r="T5207" s="2" t="s">
        <v>35</v>
      </c>
      <c r="U5207" s="14">
        <v>45363</v>
      </c>
      <c r="V5207" s="14">
        <v>45365</v>
      </c>
      <c r="W5207" s="15"/>
      <c r="X5207" s="16">
        <v>11</v>
      </c>
      <c r="Y5207" s="11" t="s">
        <v>3081</v>
      </c>
      <c r="Z5207" s="2" t="s">
        <v>36</v>
      </c>
      <c r="AA5207" s="13" t="s">
        <v>10336</v>
      </c>
      <c r="AB5207" s="13" t="s">
        <v>10337</v>
      </c>
    </row>
    <row r="5208" spans="1:28" ht="15" customHeight="1">
      <c r="A5208" s="2" t="s">
        <v>10196</v>
      </c>
      <c r="B5208" s="2" t="s">
        <v>606</v>
      </c>
      <c r="C5208" s="11" t="s">
        <v>7064</v>
      </c>
      <c r="D5208" s="2" t="s">
        <v>30</v>
      </c>
      <c r="E5208" s="2" t="s">
        <v>648</v>
      </c>
      <c r="F5208" s="11" t="s">
        <v>3681</v>
      </c>
      <c r="G5208" s="11" t="s">
        <v>1545</v>
      </c>
      <c r="H5208" s="2" t="s">
        <v>4662</v>
      </c>
      <c r="I5208" s="12" t="s">
        <v>4663</v>
      </c>
      <c r="J5208" s="22">
        <f>+Tabla1[[#This Row],[FECHA ENTRADA]]</f>
        <v>46110</v>
      </c>
      <c r="K5208" s="22">
        <v>46172</v>
      </c>
      <c r="L5208" s="23">
        <f>_xlfn.DAYS(Tabla1[[#This Row],[FECHA FIN ]],Tabla1[[#This Row],[FECHA INICIO]])</f>
        <v>62</v>
      </c>
      <c r="M5208" s="12"/>
      <c r="N5208" s="12">
        <v>183.33333333333334</v>
      </c>
      <c r="O5208" s="24">
        <f>(Tabla1[[#This Row],[COSTO FIJO ]]/30)*Tabla1[[#This Row],[TOTAL DIAS PROYECTO]]+(Tabla1[[#This Row],[COSTO TEMPORAL]])</f>
        <v>378.88888888888891</v>
      </c>
      <c r="P5208" s="12"/>
      <c r="Q5208" s="12">
        <f>+(Tabla1[[#This Row],[COSTO COCHE]]/30)*Tabla1[[#This Row],[TOTAL DIAS PROYECTO]]</f>
        <v>0</v>
      </c>
      <c r="R5208" s="12">
        <f>+Tabla1[[#This Row],[COSTO TOTAL ALOJAMIENTO]]+Tabla1[[#This Row],[COSTO TOTAL COCHE]]</f>
        <v>378.88888888888891</v>
      </c>
      <c r="S5208" s="2"/>
      <c r="T5208" s="14" t="s">
        <v>35</v>
      </c>
      <c r="U5208" s="14">
        <v>46110</v>
      </c>
      <c r="V5208" s="79"/>
      <c r="W5208" s="12"/>
      <c r="X5208" s="2">
        <v>1</v>
      </c>
      <c r="Y5208" s="11" t="s">
        <v>4664</v>
      </c>
      <c r="Z5208" s="2" t="s">
        <v>36</v>
      </c>
      <c r="AA5208" s="13" t="s">
        <v>10387</v>
      </c>
      <c r="AB5208" s="13" t="s">
        <v>10388</v>
      </c>
    </row>
    <row r="5209" spans="1:28" ht="15" customHeight="1">
      <c r="A5209" s="2" t="s">
        <v>10203</v>
      </c>
      <c r="B5209" s="2" t="s">
        <v>606</v>
      </c>
      <c r="C5209" s="11" t="s">
        <v>7137</v>
      </c>
      <c r="D5209" s="2" t="s">
        <v>30</v>
      </c>
      <c r="E5209" s="2" t="s">
        <v>31</v>
      </c>
      <c r="F5209" s="11" t="s">
        <v>451</v>
      </c>
      <c r="G5209" s="118" t="s">
        <v>452</v>
      </c>
      <c r="H5209" s="2" t="s">
        <v>6968</v>
      </c>
      <c r="I5209" s="12" t="s">
        <v>6969</v>
      </c>
      <c r="J5209" s="41">
        <f>+Tabla1[[#This Row],[FECHA ENTRADA]]</f>
        <v>46112</v>
      </c>
      <c r="K5209" s="22">
        <v>46190</v>
      </c>
      <c r="L5209" s="42">
        <f>_xlfn.DAYS(Tabla1[[#This Row],[FECHA FIN ]],Tabla1[[#This Row],[FECHA INICIO]])</f>
        <v>78</v>
      </c>
      <c r="M5209" s="12"/>
      <c r="N5209" s="12">
        <v>425</v>
      </c>
      <c r="O5209" s="28">
        <f>(Tabla1[[#This Row],[COSTO FIJO ]]/30)*Tabla1[[#This Row],[TOTAL DIAS PROYECTO]]+(Tabla1[[#This Row],[COSTO TEMPORAL]])</f>
        <v>1105</v>
      </c>
      <c r="P5209" s="12"/>
      <c r="Q5209" s="12">
        <f>+(Tabla1[[#This Row],[COSTO COCHE]]/30)*Tabla1[[#This Row],[TOTAL DIAS PROYECTO]]</f>
        <v>0</v>
      </c>
      <c r="R5209" s="12">
        <f>+Tabla1[[#This Row],[COSTO TOTAL ALOJAMIENTO]]+Tabla1[[#This Row],[COSTO TOTAL COCHE]]</f>
        <v>1105</v>
      </c>
      <c r="S5209" s="2"/>
      <c r="T5209" s="14" t="s">
        <v>35</v>
      </c>
      <c r="U5209" s="14">
        <v>46112</v>
      </c>
      <c r="V5209" s="43"/>
      <c r="W5209" s="12"/>
      <c r="X5209" s="2">
        <v>1</v>
      </c>
      <c r="Y5209" s="11" t="s">
        <v>7310</v>
      </c>
      <c r="Z5209" s="2" t="s">
        <v>36</v>
      </c>
      <c r="AA5209" s="13" t="s">
        <v>10323</v>
      </c>
      <c r="AB5209" s="13" t="s">
        <v>10324</v>
      </c>
    </row>
    <row r="5210" spans="1:28" ht="15" customHeight="1">
      <c r="A5210" s="2" t="s">
        <v>8895</v>
      </c>
      <c r="B5210" s="2" t="s">
        <v>711</v>
      </c>
      <c r="C5210" s="212" t="s">
        <v>1189</v>
      </c>
      <c r="D5210" s="2" t="s">
        <v>30</v>
      </c>
      <c r="E5210" s="2" t="s">
        <v>422</v>
      </c>
      <c r="F5210" s="11" t="s">
        <v>1375</v>
      </c>
      <c r="G5210" s="70" t="s">
        <v>1376</v>
      </c>
      <c r="H5210" s="2" t="s">
        <v>7228</v>
      </c>
      <c r="I5210" s="91" t="s">
        <v>2443</v>
      </c>
      <c r="J5210" s="22">
        <f>+Tabla1[[#This Row],[FECHA ENTRADA]]</f>
        <v>45944</v>
      </c>
      <c r="K5210" s="8">
        <v>46097</v>
      </c>
      <c r="L5210" s="23">
        <f>_xlfn.DAYS(Tabla1[[#This Row],[FECHA FIN ]],Tabla1[[#This Row],[FECHA INICIO]])</f>
        <v>153</v>
      </c>
      <c r="M5210" s="12"/>
      <c r="N5210" s="12">
        <v>500</v>
      </c>
      <c r="O5210" s="24">
        <f>(Tabla1[[#This Row],[COSTO FIJO ]]/30)*Tabla1[[#This Row],[TOTAL DIAS PROYECTO]]+(Tabla1[[#This Row],[COSTO TEMPORAL]])</f>
        <v>2550</v>
      </c>
      <c r="P5210" s="12"/>
      <c r="Q5210" s="12">
        <f>+(Tabla1[[#This Row],[COSTO COCHE]]/30)*Tabla1[[#This Row],[TOTAL DIAS PROYECTO]]</f>
        <v>0</v>
      </c>
      <c r="R5210" s="12">
        <f>+Tabla1[[#This Row],[COSTO TOTAL ALOJAMIENTO]]+Tabla1[[#This Row],[COSTO TOTAL COCHE]]</f>
        <v>2550</v>
      </c>
      <c r="S5210" s="2"/>
      <c r="T5210" s="14" t="s">
        <v>35</v>
      </c>
      <c r="U5210" s="14">
        <v>45944</v>
      </c>
      <c r="V5210" s="25"/>
      <c r="W5210" s="71"/>
      <c r="X5210" s="2">
        <v>5</v>
      </c>
      <c r="Y5210" s="11" t="s">
        <v>7311</v>
      </c>
      <c r="Z5210" s="2" t="s">
        <v>36</v>
      </c>
      <c r="AA5210" s="13">
        <v>-326.69799999999998</v>
      </c>
      <c r="AB5210" s="13" t="s">
        <v>10373</v>
      </c>
    </row>
    <row r="5211" spans="1:28" ht="15" customHeight="1">
      <c r="A5211" s="2" t="s">
        <v>9828</v>
      </c>
      <c r="B5211" s="2" t="s">
        <v>606</v>
      </c>
      <c r="C5211" s="31" t="s">
        <v>4931</v>
      </c>
      <c r="D5211" s="2" t="s">
        <v>99</v>
      </c>
      <c r="E5211" s="2" t="s">
        <v>109</v>
      </c>
      <c r="F5211" s="11" t="s">
        <v>4434</v>
      </c>
      <c r="G5211" s="49">
        <v>973266788</v>
      </c>
      <c r="H5211" s="2" t="s">
        <v>7312</v>
      </c>
      <c r="I5211" s="12" t="s">
        <v>42</v>
      </c>
      <c r="J5211" s="22">
        <f>+Tabla1[[#This Row],[FECHA ENTRADA]]</f>
        <v>45981</v>
      </c>
      <c r="K5211" s="22">
        <v>46072</v>
      </c>
      <c r="L5211" s="23">
        <f>_xlfn.DAYS(Tabla1[[#This Row],[FECHA FIN ]],Tabla1[[#This Row],[FECHA INICIO]])</f>
        <v>91</v>
      </c>
      <c r="M5211" s="12"/>
      <c r="N5211" s="12">
        <v>500</v>
      </c>
      <c r="O5211" s="24">
        <f>(Tabla1[[#This Row],[COSTO FIJO ]]/30)*Tabla1[[#This Row],[TOTAL DIAS PROYECTO]]+(Tabla1[[#This Row],[COSTO TEMPORAL]])</f>
        <v>1516.6666666666667</v>
      </c>
      <c r="P5211" s="12"/>
      <c r="Q5211" s="12">
        <f>+(Tabla1[[#This Row],[COSTO COCHE]]/30)*Tabla1[[#This Row],[TOTAL DIAS PROYECTO]]</f>
        <v>0</v>
      </c>
      <c r="R5211" s="12">
        <f>+Tabla1[[#This Row],[COSTO TOTAL ALOJAMIENTO]]+Tabla1[[#This Row],[COSTO TOTAL COCHE]]</f>
        <v>1516.6666666666667</v>
      </c>
      <c r="S5211" s="2"/>
      <c r="T5211" s="14" t="s">
        <v>44</v>
      </c>
      <c r="U5211" s="14">
        <v>45981</v>
      </c>
      <c r="V5211" s="79">
        <v>46072</v>
      </c>
      <c r="W5211" s="71"/>
      <c r="X5211" s="2"/>
      <c r="Y5211" s="11" t="s">
        <v>7219</v>
      </c>
      <c r="Z5211" s="2" t="s">
        <v>36</v>
      </c>
      <c r="AA5211" s="13">
        <v>0.62217999999999996</v>
      </c>
      <c r="AB5211" s="13" t="s">
        <v>10339</v>
      </c>
    </row>
    <row r="5212" spans="1:28" ht="15" customHeight="1">
      <c r="A5212" s="2" t="s">
        <v>10204</v>
      </c>
      <c r="B5212" s="2" t="s">
        <v>606</v>
      </c>
      <c r="C5212" s="11" t="s">
        <v>7138</v>
      </c>
      <c r="D5212" s="2" t="s">
        <v>30</v>
      </c>
      <c r="E5212" s="2" t="s">
        <v>31</v>
      </c>
      <c r="F5212" s="11" t="s">
        <v>451</v>
      </c>
      <c r="G5212" s="118" t="s">
        <v>452</v>
      </c>
      <c r="H5212" s="2" t="s">
        <v>6968</v>
      </c>
      <c r="I5212" s="12" t="s">
        <v>6969</v>
      </c>
      <c r="J5212" s="41">
        <f>+Tabla1[[#This Row],[FECHA ENTRADA]]</f>
        <v>46112</v>
      </c>
      <c r="K5212" s="22">
        <v>46190</v>
      </c>
      <c r="L5212" s="42">
        <f>_xlfn.DAYS(Tabla1[[#This Row],[FECHA FIN ]],Tabla1[[#This Row],[FECHA INICIO]])</f>
        <v>78</v>
      </c>
      <c r="M5212" s="12"/>
      <c r="N5212" s="12">
        <v>425</v>
      </c>
      <c r="O5212" s="28">
        <f>(Tabla1[[#This Row],[COSTO FIJO ]]/30)*Tabla1[[#This Row],[TOTAL DIAS PROYECTO]]+(Tabla1[[#This Row],[COSTO TEMPORAL]])</f>
        <v>1105</v>
      </c>
      <c r="P5212" s="12"/>
      <c r="Q5212" s="12">
        <f>+(Tabla1[[#This Row],[COSTO COCHE]]/30)*Tabla1[[#This Row],[TOTAL DIAS PROYECTO]]</f>
        <v>0</v>
      </c>
      <c r="R5212" s="12">
        <f>+Tabla1[[#This Row],[COSTO TOTAL ALOJAMIENTO]]+Tabla1[[#This Row],[COSTO TOTAL COCHE]]</f>
        <v>1105</v>
      </c>
      <c r="S5212" s="2"/>
      <c r="T5212" s="14" t="s">
        <v>35</v>
      </c>
      <c r="U5212" s="14">
        <v>46112</v>
      </c>
      <c r="V5212" s="43"/>
      <c r="W5212" s="12"/>
      <c r="X5212" s="2">
        <v>1</v>
      </c>
      <c r="Y5212" s="11" t="s">
        <v>7310</v>
      </c>
      <c r="Z5212" s="2" t="s">
        <v>36</v>
      </c>
      <c r="AA5212" s="13" t="s">
        <v>10323</v>
      </c>
      <c r="AB5212" s="13" t="s">
        <v>10324</v>
      </c>
    </row>
    <row r="5213" spans="1:28" ht="15" customHeight="1">
      <c r="A5213" s="2" t="s">
        <v>10233</v>
      </c>
      <c r="B5213" s="2" t="s">
        <v>606</v>
      </c>
      <c r="C5213" s="11" t="s">
        <v>7313</v>
      </c>
      <c r="D5213" s="2" t="s">
        <v>30</v>
      </c>
      <c r="E5213" s="2" t="s">
        <v>31</v>
      </c>
      <c r="F5213" s="11" t="s">
        <v>451</v>
      </c>
      <c r="G5213" s="289" t="s">
        <v>452</v>
      </c>
      <c r="H5213" s="2" t="s">
        <v>7314</v>
      </c>
      <c r="I5213" s="12" t="s">
        <v>2391</v>
      </c>
      <c r="J5213" s="41">
        <f>+Tabla1[[#This Row],[FECHA ENTRADA]]</f>
        <v>46062</v>
      </c>
      <c r="K5213" s="22">
        <v>46191</v>
      </c>
      <c r="L5213" s="42">
        <f>_xlfn.DAYS(Tabla1[[#This Row],[FECHA FIN ]],Tabla1[[#This Row],[FECHA INICIO]])</f>
        <v>129</v>
      </c>
      <c r="M5213" s="12"/>
      <c r="N5213" s="12">
        <v>425</v>
      </c>
      <c r="O5213" s="28">
        <f>(Tabla1[[#This Row],[COSTO FIJO ]]/30)*Tabla1[[#This Row],[TOTAL DIAS PROYECTO]]+(Tabla1[[#This Row],[COSTO TEMPORAL]])</f>
        <v>1827.5</v>
      </c>
      <c r="P5213" s="12"/>
      <c r="Q5213" s="12">
        <f>+(Tabla1[[#This Row],[COSTO COCHE]]/30)*Tabla1[[#This Row],[TOTAL DIAS PROYECTO]]</f>
        <v>0</v>
      </c>
      <c r="R5213" s="12">
        <f>+Tabla1[[#This Row],[COSTO TOTAL ALOJAMIENTO]]+Tabla1[[#This Row],[COSTO TOTAL COCHE]]</f>
        <v>1827.5</v>
      </c>
      <c r="S5213" s="2"/>
      <c r="T5213" s="14" t="s">
        <v>35</v>
      </c>
      <c r="U5213" s="14">
        <v>46062</v>
      </c>
      <c r="V5213" s="43"/>
      <c r="W5213" s="12">
        <v>1700</v>
      </c>
      <c r="X5213" s="2">
        <v>1</v>
      </c>
      <c r="Y5213" s="11" t="s">
        <v>7315</v>
      </c>
      <c r="Z5213" s="2" t="s">
        <v>36</v>
      </c>
      <c r="AA5213" s="13" t="s">
        <v>10323</v>
      </c>
      <c r="AB5213" s="13" t="s">
        <v>10324</v>
      </c>
    </row>
    <row r="5214" spans="1:28" ht="15" customHeight="1">
      <c r="A5214" s="2" t="s">
        <v>9979</v>
      </c>
      <c r="B5214" s="2" t="s">
        <v>978</v>
      </c>
      <c r="C5214" s="118" t="s">
        <v>5819</v>
      </c>
      <c r="D5214" s="2" t="s">
        <v>30</v>
      </c>
      <c r="E5214" s="2" t="s">
        <v>31</v>
      </c>
      <c r="F5214" s="11" t="s">
        <v>6583</v>
      </c>
      <c r="G5214" s="128" t="s">
        <v>6584</v>
      </c>
      <c r="H5214" s="2" t="s">
        <v>5789</v>
      </c>
      <c r="I5214" s="12" t="s">
        <v>5790</v>
      </c>
      <c r="J5214" s="22">
        <f>+Tabla1[[#This Row],[FECHA ENTRADA]]</f>
        <v>46037</v>
      </c>
      <c r="K5214" s="41">
        <v>46138</v>
      </c>
      <c r="L5214" s="23">
        <f>_xlfn.DAYS(Tabla1[[#This Row],[FECHA FIN ]],Tabla1[[#This Row],[FECHA INICIO]])</f>
        <v>101</v>
      </c>
      <c r="M5214" s="12"/>
      <c r="N5214" s="12">
        <v>500</v>
      </c>
      <c r="O5214" s="24">
        <f>(Tabla1[[#This Row],[COSTO FIJO ]]/30)*Tabla1[[#This Row],[TOTAL DIAS PROYECTO]]+(Tabla1[[#This Row],[COSTO TEMPORAL]])</f>
        <v>1683.3333333333335</v>
      </c>
      <c r="P5214" s="12"/>
      <c r="Q5214" s="12">
        <f>+(Tabla1[[#This Row],[COSTO COCHE]]/30)*Tabla1[[#This Row],[TOTAL DIAS PROYECTO]]</f>
        <v>0</v>
      </c>
      <c r="R5214" s="12">
        <f>+Tabla1[[#This Row],[COSTO TOTAL ALOJAMIENTO]]+Tabla1[[#This Row],[COSTO TOTAL COCHE]]</f>
        <v>1683.3333333333335</v>
      </c>
      <c r="S5214" s="2"/>
      <c r="T5214" s="14" t="s">
        <v>35</v>
      </c>
      <c r="U5214" s="14">
        <v>46037</v>
      </c>
      <c r="V5214" s="79"/>
      <c r="W5214" s="12"/>
      <c r="X5214" s="2">
        <v>1</v>
      </c>
      <c r="Y5214" s="11" t="s">
        <v>7316</v>
      </c>
      <c r="Z5214" s="2" t="s">
        <v>36</v>
      </c>
      <c r="AA5214" s="13" t="s">
        <v>10323</v>
      </c>
      <c r="AB5214" s="13" t="s">
        <v>10324</v>
      </c>
    </row>
    <row r="5215" spans="1:28" ht="15" customHeight="1">
      <c r="A5215" s="2" t="s">
        <v>9700</v>
      </c>
      <c r="B5215" s="2" t="s">
        <v>711</v>
      </c>
      <c r="C5215" s="11" t="s">
        <v>4306</v>
      </c>
      <c r="D5215" s="2" t="s">
        <v>30</v>
      </c>
      <c r="E5215" s="2" t="s">
        <v>415</v>
      </c>
      <c r="F5215" s="11" t="s">
        <v>6089</v>
      </c>
      <c r="G5215" s="49" t="s">
        <v>1413</v>
      </c>
      <c r="H5215" s="2" t="s">
        <v>4307</v>
      </c>
      <c r="I5215" s="12" t="s">
        <v>800</v>
      </c>
      <c r="J5215" s="41">
        <f>+Tabla1[[#This Row],[FECHA ENTRADA]]</f>
        <v>46110</v>
      </c>
      <c r="K5215" s="22">
        <v>46204</v>
      </c>
      <c r="L5215" s="42">
        <f>_xlfn.DAYS(Tabla1[[#This Row],[FECHA FIN ]],Tabla1[[#This Row],[FECHA INICIO]])</f>
        <v>94</v>
      </c>
      <c r="M5215" s="12"/>
      <c r="N5215" s="12">
        <v>666.66666666666663</v>
      </c>
      <c r="O5215" s="28">
        <f>(Tabla1[[#This Row],[COSTO FIJO ]]/30)*Tabla1[[#This Row],[TOTAL DIAS PROYECTO]]+(Tabla1[[#This Row],[COSTO TEMPORAL]])</f>
        <v>2088.8888888888887</v>
      </c>
      <c r="P5215" s="12"/>
      <c r="Q5215" s="12">
        <f>+(Tabla1[[#This Row],[COSTO COCHE]]/30)*Tabla1[[#This Row],[TOTAL DIAS PROYECTO]]</f>
        <v>0</v>
      </c>
      <c r="R5215" s="12">
        <f>+Tabla1[[#This Row],[COSTO TOTAL ALOJAMIENTO]]+Tabla1[[#This Row],[COSTO TOTAL COCHE]]</f>
        <v>2088.8888888888887</v>
      </c>
      <c r="S5215" s="2"/>
      <c r="T5215" s="14" t="s">
        <v>35</v>
      </c>
      <c r="U5215" s="14">
        <v>46110</v>
      </c>
      <c r="V5215" s="43"/>
      <c r="W5215" s="12">
        <v>2000</v>
      </c>
      <c r="X5215" s="2">
        <v>1</v>
      </c>
      <c r="Y5215" s="11" t="s">
        <v>7317</v>
      </c>
      <c r="Z5215" s="2" t="s">
        <v>36</v>
      </c>
      <c r="AA5215" s="13">
        <v>-0.37739</v>
      </c>
      <c r="AB5215" s="13" t="s">
        <v>10372</v>
      </c>
    </row>
    <row r="5216" spans="1:28" ht="15" customHeight="1">
      <c r="A5216" s="2" t="s">
        <v>10153</v>
      </c>
      <c r="B5216" s="2" t="s">
        <v>606</v>
      </c>
      <c r="C5216" s="31" t="s">
        <v>6726</v>
      </c>
      <c r="D5216" s="2" t="s">
        <v>30</v>
      </c>
      <c r="E5216" s="2" t="s">
        <v>31</v>
      </c>
      <c r="F5216" s="11" t="s">
        <v>7318</v>
      </c>
      <c r="G5216" s="21" t="s">
        <v>833</v>
      </c>
      <c r="H5216" s="2" t="s">
        <v>7319</v>
      </c>
      <c r="I5216" s="12" t="s">
        <v>1642</v>
      </c>
      <c r="J5216" s="22">
        <f>+Tabla1[[#This Row],[FECHA ENTRADA]]</f>
        <v>46118</v>
      </c>
      <c r="K5216" s="22">
        <v>46152</v>
      </c>
      <c r="L5216" s="23">
        <f>_xlfn.DAYS(Tabla1[[#This Row],[FECHA FIN ]],Tabla1[[#This Row],[FECHA INICIO]])</f>
        <v>34</v>
      </c>
      <c r="M5216" s="12"/>
      <c r="N5216" s="24">
        <v>400</v>
      </c>
      <c r="O5216" s="24">
        <f>(Tabla1[[#This Row],[COSTO FIJO ]]/30)*Tabla1[[#This Row],[TOTAL DIAS PROYECTO]]+(Tabla1[[#This Row],[COSTO TEMPORAL]])</f>
        <v>453.33333333333337</v>
      </c>
      <c r="P5216" s="12"/>
      <c r="Q5216" s="12">
        <f>+(Tabla1[[#This Row],[COSTO COCHE]]/30)*Tabla1[[#This Row],[TOTAL DIAS PROYECTO]]</f>
        <v>0</v>
      </c>
      <c r="R5216" s="12">
        <f>+Tabla1[[#This Row],[COSTO TOTAL ALOJAMIENTO]]+Tabla1[[#This Row],[COSTO TOTAL COCHE]]</f>
        <v>453.33333333333337</v>
      </c>
      <c r="S5216" s="2"/>
      <c r="T5216" s="14" t="s">
        <v>35</v>
      </c>
      <c r="U5216" s="14">
        <v>46118</v>
      </c>
      <c r="V5216" s="25"/>
      <c r="W5216" s="12"/>
      <c r="X5216" s="2">
        <v>1</v>
      </c>
      <c r="Y5216" s="11" t="s">
        <v>7320</v>
      </c>
      <c r="Z5216" s="2" t="s">
        <v>36</v>
      </c>
      <c r="AA5216" s="13" t="s">
        <v>10323</v>
      </c>
      <c r="AB5216" s="13" t="s">
        <v>10324</v>
      </c>
    </row>
    <row r="5217" spans="1:28" ht="15" customHeight="1">
      <c r="A5217" s="2" t="s">
        <v>10134</v>
      </c>
      <c r="B5217" s="2" t="s">
        <v>711</v>
      </c>
      <c r="C5217" s="195" t="s">
        <v>6567</v>
      </c>
      <c r="D5217" s="2" t="s">
        <v>30</v>
      </c>
      <c r="E5217" s="2" t="s">
        <v>2378</v>
      </c>
      <c r="F5217" s="31" t="s">
        <v>7279</v>
      </c>
      <c r="G5217" s="21" t="s">
        <v>7280</v>
      </c>
      <c r="H5217" s="2" t="s">
        <v>6757</v>
      </c>
      <c r="I5217" s="12" t="s">
        <v>1392</v>
      </c>
      <c r="J5217" s="22">
        <f>+Tabla1[[#This Row],[FECHA ENTRADA]]</f>
        <v>46134</v>
      </c>
      <c r="K5217" s="22">
        <v>46239</v>
      </c>
      <c r="L5217" s="23">
        <f>_xlfn.DAYS(Tabla1[[#This Row],[FECHA FIN ]],Tabla1[[#This Row],[FECHA INICIO]])</f>
        <v>105</v>
      </c>
      <c r="M5217" s="12"/>
      <c r="N5217" s="24">
        <v>400</v>
      </c>
      <c r="O5217" s="24">
        <f>(Tabla1[[#This Row],[COSTO FIJO ]]/30)*Tabla1[[#This Row],[TOTAL DIAS PROYECTO]]+(Tabla1[[#This Row],[COSTO TEMPORAL]])</f>
        <v>1400</v>
      </c>
      <c r="P5217" s="12"/>
      <c r="Q5217" s="12">
        <f>+(Tabla1[[#This Row],[COSTO COCHE]]/30)*Tabla1[[#This Row],[TOTAL DIAS PROYECTO]]</f>
        <v>0</v>
      </c>
      <c r="R5217" s="12">
        <f>+Tabla1[[#This Row],[COSTO TOTAL ALOJAMIENTO]]+Tabla1[[#This Row],[COSTO TOTAL COCHE]]</f>
        <v>1400</v>
      </c>
      <c r="S5217" s="2"/>
      <c r="T5217" s="14" t="s">
        <v>35</v>
      </c>
      <c r="U5217" s="14">
        <v>46134</v>
      </c>
      <c r="V5217" s="25"/>
      <c r="W5217" s="12"/>
      <c r="X5217" s="2">
        <v>1</v>
      </c>
      <c r="Y5217" s="11" t="s">
        <v>7321</v>
      </c>
      <c r="Z5217" s="2" t="s">
        <v>36</v>
      </c>
      <c r="AA5217" s="13" t="e">
        <v>#N/A</v>
      </c>
      <c r="AB5217" s="13" t="e">
        <v>#N/A</v>
      </c>
    </row>
    <row r="5218" spans="1:28" ht="15" customHeight="1">
      <c r="A5218" s="2" t="s">
        <v>10234</v>
      </c>
      <c r="B5218" s="2" t="s">
        <v>711</v>
      </c>
      <c r="C5218" s="321" t="s">
        <v>7322</v>
      </c>
      <c r="D5218" s="2" t="s">
        <v>30</v>
      </c>
      <c r="E5218" s="2" t="s">
        <v>127</v>
      </c>
      <c r="F5218" s="11" t="s">
        <v>820</v>
      </c>
      <c r="G5218" s="46" t="s">
        <v>821</v>
      </c>
      <c r="H5218" s="2" t="s">
        <v>1650</v>
      </c>
      <c r="I5218" s="12" t="s">
        <v>96</v>
      </c>
      <c r="J5218" s="41">
        <f>+Tabla1[[#This Row],[FECHA ENTRADA]]</f>
        <v>45966</v>
      </c>
      <c r="K5218" s="22">
        <v>45968</v>
      </c>
      <c r="L5218" s="42">
        <f>_xlfn.DAYS(Tabla1[[#This Row],[FECHA FIN ]],Tabla1[[#This Row],[FECHA INICIO]])</f>
        <v>2</v>
      </c>
      <c r="M5218" s="12"/>
      <c r="N5218" s="28">
        <v>350</v>
      </c>
      <c r="O5218" s="28">
        <f>(Tabla1[[#This Row],[COSTO FIJO ]]/30)*Tabla1[[#This Row],[TOTAL DIAS PROYECTO]]+(Tabla1[[#This Row],[COSTO TEMPORAL]])</f>
        <v>23.333333333333332</v>
      </c>
      <c r="P5218" s="12"/>
      <c r="Q5218" s="12">
        <f>+(Tabla1[[#This Row],[COSTO COCHE]]/30)*Tabla1[[#This Row],[TOTAL DIAS PROYECTO]]</f>
        <v>0</v>
      </c>
      <c r="R5218" s="12">
        <f>+Tabla1[[#This Row],[COSTO TOTAL ALOJAMIENTO]]+Tabla1[[#This Row],[COSTO TOTAL COCHE]]</f>
        <v>23.333333333333332</v>
      </c>
      <c r="S5218" s="2"/>
      <c r="T5218" s="14" t="s">
        <v>44</v>
      </c>
      <c r="U5218" s="14">
        <v>45966</v>
      </c>
      <c r="V5218" s="43">
        <v>45979</v>
      </c>
      <c r="W5218" s="71"/>
      <c r="X5218" s="2"/>
      <c r="Y5218" s="11" t="s">
        <v>1651</v>
      </c>
      <c r="Z5218" s="2" t="s">
        <v>36</v>
      </c>
      <c r="AA5218" s="13" t="s">
        <v>10342</v>
      </c>
      <c r="AB5218" s="13" t="s">
        <v>10343</v>
      </c>
    </row>
    <row r="5219" spans="1:28" ht="15" customHeight="1">
      <c r="A5219" s="2" t="s">
        <v>9802</v>
      </c>
      <c r="B5219" s="2" t="s">
        <v>711</v>
      </c>
      <c r="C5219" s="239" t="s">
        <v>4815</v>
      </c>
      <c r="D5219" s="2" t="s">
        <v>30</v>
      </c>
      <c r="E5219" s="2" t="s">
        <v>415</v>
      </c>
      <c r="F5219" s="11" t="s">
        <v>6089</v>
      </c>
      <c r="G5219" s="197" t="s">
        <v>1413</v>
      </c>
      <c r="H5219" s="315" t="s">
        <v>6965</v>
      </c>
      <c r="I5219" s="12" t="s">
        <v>800</v>
      </c>
      <c r="J5219" s="41">
        <f>+Tabla1[[#This Row],[FECHA ENTRADA]]</f>
        <v>46054</v>
      </c>
      <c r="K5219" s="22">
        <v>46089</v>
      </c>
      <c r="L5219" s="42">
        <f>_xlfn.DAYS(Tabla1[[#This Row],[FECHA FIN ]],Tabla1[[#This Row],[FECHA INICIO]])</f>
        <v>35</v>
      </c>
      <c r="M5219" s="12"/>
      <c r="N5219" s="12">
        <v>500</v>
      </c>
      <c r="O5219" s="28">
        <f>(Tabla1[[#This Row],[COSTO FIJO ]]/30)*Tabla1[[#This Row],[TOTAL DIAS PROYECTO]]+(Tabla1[[#This Row],[COSTO TEMPORAL]])</f>
        <v>583.33333333333337</v>
      </c>
      <c r="P5219" s="12"/>
      <c r="Q5219" s="12">
        <f>+(Tabla1[[#This Row],[COSTO COCHE]]/30)*Tabla1[[#This Row],[TOTAL DIAS PROYECTO]]</f>
        <v>0</v>
      </c>
      <c r="R5219" s="12">
        <f>+Tabla1[[#This Row],[COSTO TOTAL ALOJAMIENTO]]+Tabla1[[#This Row],[COSTO TOTAL COCHE]]</f>
        <v>583.33333333333337</v>
      </c>
      <c r="S5219" s="2"/>
      <c r="T5219" s="14" t="s">
        <v>35</v>
      </c>
      <c r="U5219" s="14">
        <v>46054</v>
      </c>
      <c r="V5219" s="43"/>
      <c r="W5219" s="12"/>
      <c r="X5219" s="2">
        <v>1</v>
      </c>
      <c r="Y5219" s="11" t="s">
        <v>7323</v>
      </c>
      <c r="Z5219" s="2" t="s">
        <v>36</v>
      </c>
      <c r="AA5219" s="13">
        <v>-0.37739</v>
      </c>
      <c r="AB5219" s="13" t="s">
        <v>10372</v>
      </c>
    </row>
    <row r="5220" spans="1:28" ht="15" customHeight="1">
      <c r="A5220" s="2" t="s">
        <v>9796</v>
      </c>
      <c r="B5220" s="2" t="s">
        <v>711</v>
      </c>
      <c r="C5220" s="239" t="s">
        <v>4773</v>
      </c>
      <c r="D5220" s="2" t="s">
        <v>99</v>
      </c>
      <c r="E5220" s="2" t="s">
        <v>415</v>
      </c>
      <c r="F5220" s="11" t="s">
        <v>6089</v>
      </c>
      <c r="G5220" s="197" t="s">
        <v>1413</v>
      </c>
      <c r="H5220" s="2" t="s">
        <v>6901</v>
      </c>
      <c r="I5220" s="12" t="s">
        <v>800</v>
      </c>
      <c r="J5220" s="22">
        <f>+Tabla1[[#This Row],[FECHA ENTRADA]]</f>
        <v>46075</v>
      </c>
      <c r="K5220" s="22">
        <v>46089</v>
      </c>
      <c r="L5220" s="23">
        <f>_xlfn.DAYS(Tabla1[[#This Row],[FECHA FIN ]],Tabla1[[#This Row],[FECHA INICIO]])</f>
        <v>14</v>
      </c>
      <c r="M5220" s="12"/>
      <c r="N5220" s="24">
        <v>500</v>
      </c>
      <c r="O5220" s="24">
        <f>(Tabla1[[#This Row],[COSTO FIJO ]]/30)*Tabla1[[#This Row],[TOTAL DIAS PROYECTO]]+(Tabla1[[#This Row],[COSTO TEMPORAL]])</f>
        <v>233.33333333333334</v>
      </c>
      <c r="P5220" s="12"/>
      <c r="Q5220" s="12">
        <f>+(Tabla1[[#This Row],[COSTO COCHE]]/30)*Tabla1[[#This Row],[TOTAL DIAS PROYECTO]]</f>
        <v>0</v>
      </c>
      <c r="R5220" s="12">
        <f>+Tabla1[[#This Row],[COSTO TOTAL ALOJAMIENTO]]+Tabla1[[#This Row],[COSTO TOTAL COCHE]]</f>
        <v>233.33333333333334</v>
      </c>
      <c r="S5220" s="2"/>
      <c r="T5220" s="14" t="s">
        <v>35</v>
      </c>
      <c r="U5220" s="14">
        <v>46075</v>
      </c>
      <c r="V5220" s="25"/>
      <c r="W5220" s="12"/>
      <c r="X5220" s="2">
        <v>1</v>
      </c>
      <c r="Y5220" s="11" t="s">
        <v>7324</v>
      </c>
      <c r="Z5220" s="2" t="s">
        <v>36</v>
      </c>
      <c r="AA5220" s="13">
        <v>-0.37739</v>
      </c>
      <c r="AB5220" s="13" t="s">
        <v>10372</v>
      </c>
    </row>
    <row r="5221" spans="1:28" ht="15" customHeight="1">
      <c r="A5221" s="2" t="s">
        <v>9656</v>
      </c>
      <c r="B5221" s="2" t="s">
        <v>28</v>
      </c>
      <c r="C5221" s="118" t="s">
        <v>4088</v>
      </c>
      <c r="D5221" s="2" t="s">
        <v>749</v>
      </c>
      <c r="E5221" s="2" t="s">
        <v>288</v>
      </c>
      <c r="F5221" s="11" t="s">
        <v>3464</v>
      </c>
      <c r="G5221" s="30" t="s">
        <v>1142</v>
      </c>
      <c r="H5221" s="2" t="s">
        <v>3675</v>
      </c>
      <c r="I5221" s="29" t="s">
        <v>753</v>
      </c>
      <c r="J5221" s="41">
        <f>+Tabla1[[#This Row],[FECHA ENTRADA]]</f>
        <v>45877</v>
      </c>
      <c r="K5221" s="41">
        <v>46191</v>
      </c>
      <c r="L5221" s="42">
        <f>_xlfn.DAYS(Tabla1[[#This Row],[FECHA FIN ]],Tabla1[[#This Row],[FECHA INICIO]])</f>
        <v>314</v>
      </c>
      <c r="M5221" s="12"/>
      <c r="N5221" s="28">
        <v>500</v>
      </c>
      <c r="O5221" s="28">
        <f>(Tabla1[[#This Row],[COSTO FIJO ]]/30)*Tabla1[[#This Row],[TOTAL DIAS PROYECTO]]+(Tabla1[[#This Row],[COSTO TEMPORAL]])</f>
        <v>5233.3333333333339</v>
      </c>
      <c r="P5221" s="12"/>
      <c r="Q5221" s="12">
        <f>+(Tabla1[[#This Row],[COSTO COCHE]]/30)*Tabla1[[#This Row],[TOTAL DIAS PROYECTO]]</f>
        <v>0</v>
      </c>
      <c r="R5221" s="12">
        <f>+Tabla1[[#This Row],[COSTO TOTAL ALOJAMIENTO]]+Tabla1[[#This Row],[COSTO TOTAL COCHE]]</f>
        <v>5233.3333333333339</v>
      </c>
      <c r="S5221" s="2"/>
      <c r="T5221" s="14" t="s">
        <v>35</v>
      </c>
      <c r="U5221" s="14">
        <v>45877</v>
      </c>
      <c r="V5221" s="79">
        <v>46143</v>
      </c>
      <c r="W5221" s="12"/>
      <c r="X5221" s="2"/>
      <c r="Y5221" s="11"/>
      <c r="Z5221" s="2" t="s">
        <v>36</v>
      </c>
      <c r="AA5221" s="13" t="s">
        <v>10362</v>
      </c>
      <c r="AB5221" s="13" t="s">
        <v>10363</v>
      </c>
    </row>
    <row r="5222" spans="1:28" ht="15" customHeight="1">
      <c r="A5222" s="2" t="s">
        <v>10235</v>
      </c>
      <c r="B5222" s="2" t="s">
        <v>28</v>
      </c>
      <c r="C5222" s="86" t="s">
        <v>7325</v>
      </c>
      <c r="D5222" s="2" t="s">
        <v>30</v>
      </c>
      <c r="E5222" s="2" t="s">
        <v>648</v>
      </c>
      <c r="F5222" s="11" t="s">
        <v>1386</v>
      </c>
      <c r="G5222" s="30" t="s">
        <v>1387</v>
      </c>
      <c r="H5222" s="2" t="s">
        <v>7326</v>
      </c>
      <c r="I5222" s="12" t="s">
        <v>96</v>
      </c>
      <c r="J5222" s="8">
        <f>+Tabla1[[#This Row],[FECHA ENTRADA]]</f>
        <v>45481</v>
      </c>
      <c r="K5222" s="22">
        <v>45848</v>
      </c>
      <c r="L5222" s="13">
        <f>_xlfn.DAYS(Tabla1[[#This Row],[FECHA FIN ]],Tabla1[[#This Row],[FECHA INICIO]])</f>
        <v>367</v>
      </c>
      <c r="M5222" s="12"/>
      <c r="N5222" s="12">
        <v>350</v>
      </c>
      <c r="O5222" s="12">
        <f>(Tabla1[[#This Row],[COSTO FIJO ]]/30)*Tabla1[[#This Row],[TOTAL DIAS PROYECTO]]+(Tabla1[[#This Row],[COSTO TEMPORAL]])</f>
        <v>4281.6666666666661</v>
      </c>
      <c r="P5222" s="12"/>
      <c r="Q5222" s="12">
        <f>+(Tabla1[[#This Row],[COSTO COCHE]]/30)*Tabla1[[#This Row],[TOTAL DIAS PROYECTO]]</f>
        <v>0</v>
      </c>
      <c r="R5222" s="12">
        <f>+Tabla1[[#This Row],[COSTO TOTAL ALOJAMIENTO]]+Tabla1[[#This Row],[COSTO TOTAL COCHE]]</f>
        <v>4281.6666666666661</v>
      </c>
      <c r="S5222" s="2"/>
      <c r="T5222" s="2" t="s">
        <v>35</v>
      </c>
      <c r="U5222" s="14">
        <v>45481</v>
      </c>
      <c r="V5222" s="14"/>
      <c r="W5222" s="26"/>
      <c r="X5222" s="2">
        <v>10</v>
      </c>
      <c r="Y5222" s="11"/>
      <c r="Z5222" s="2" t="s">
        <v>36</v>
      </c>
      <c r="AA5222" s="13" t="s">
        <v>10387</v>
      </c>
      <c r="AB5222" s="13" t="s">
        <v>10388</v>
      </c>
    </row>
    <row r="5223" spans="1:28" ht="15" customHeight="1">
      <c r="A5223" s="2" t="s">
        <v>9194</v>
      </c>
      <c r="B5223" s="2" t="s">
        <v>28</v>
      </c>
      <c r="C5223" s="11" t="s">
        <v>2396</v>
      </c>
      <c r="D5223" s="2" t="s">
        <v>30</v>
      </c>
      <c r="E5223" s="2" t="s">
        <v>599</v>
      </c>
      <c r="F5223" s="11" t="s">
        <v>600</v>
      </c>
      <c r="G5223" s="11" t="s">
        <v>601</v>
      </c>
      <c r="H5223" s="2" t="s">
        <v>602</v>
      </c>
      <c r="I5223" s="2" t="s">
        <v>603</v>
      </c>
      <c r="J5223" s="8">
        <f>+Tabla1[[#This Row],[FECHA ENTRADA]]</f>
        <v>45504</v>
      </c>
      <c r="K5223" s="8">
        <v>45534</v>
      </c>
      <c r="L5223" s="13">
        <f>_xlfn.DAYS(Tabla1[[#This Row],[FECHA FIN ]],Tabla1[[#This Row],[FECHA INICIO]])</f>
        <v>30</v>
      </c>
      <c r="M5223" s="12"/>
      <c r="N5223" s="12">
        <v>192.5</v>
      </c>
      <c r="O5223" s="12">
        <f>(Tabla1[[#This Row],[COSTO FIJO ]]/30)*Tabla1[[#This Row],[TOTAL DIAS PROYECTO]]+(Tabla1[[#This Row],[COSTO TEMPORAL]])</f>
        <v>192.5</v>
      </c>
      <c r="P5223" s="12"/>
      <c r="Q5223" s="12">
        <f>+(Tabla1[[#This Row],[COSTO COCHE]]/30)*Tabla1[[#This Row],[TOTAL DIAS PROYECTO]]</f>
        <v>0</v>
      </c>
      <c r="R5223" s="12">
        <f>+Tabla1[[#This Row],[COSTO TOTAL ALOJAMIENTO]]+Tabla1[[#This Row],[COSTO TOTAL COCHE]]</f>
        <v>192.5</v>
      </c>
      <c r="S5223" s="2"/>
      <c r="T5223" s="2" t="s">
        <v>35</v>
      </c>
      <c r="U5223" s="14">
        <v>45504</v>
      </c>
      <c r="V5223" s="14"/>
      <c r="W5223" s="26"/>
      <c r="X5223" s="2">
        <v>6</v>
      </c>
      <c r="Y5223" s="18" t="s">
        <v>604</v>
      </c>
      <c r="Z5223" s="2" t="s">
        <v>36</v>
      </c>
      <c r="AA5223" s="13" t="s">
        <v>10382</v>
      </c>
      <c r="AB5223" s="13">
        <v>4038884</v>
      </c>
    </row>
    <row r="5224" spans="1:28">
      <c r="A5224" s="2" t="s">
        <v>10236</v>
      </c>
      <c r="B5224" s="2" t="s">
        <v>28</v>
      </c>
      <c r="C5224" s="11" t="s">
        <v>7327</v>
      </c>
      <c r="D5224" s="2" t="s">
        <v>30</v>
      </c>
      <c r="E5224" s="2" t="s">
        <v>301</v>
      </c>
      <c r="F5224" s="11" t="s">
        <v>1864</v>
      </c>
      <c r="G5224" s="11" t="s">
        <v>2195</v>
      </c>
      <c r="H5224" s="2" t="s">
        <v>569</v>
      </c>
      <c r="I5224" s="2" t="s">
        <v>570</v>
      </c>
      <c r="J5224" s="8">
        <f>+Tabla1[[#This Row],[FECHA ENTRADA]]</f>
        <v>45487</v>
      </c>
      <c r="K5224" s="8">
        <f ca="1">TODAY()</f>
        <v>46260</v>
      </c>
      <c r="L5224" s="13">
        <f ca="1">_xlfn.DAYS(Tabla1[[#This Row],[FECHA FIN ]],Tabla1[[#This Row],[FECHA INICIO]])</f>
        <v>773</v>
      </c>
      <c r="M5224" s="12"/>
      <c r="N5224" s="12"/>
      <c r="O5224" s="12">
        <f ca="1">(Tabla1[[#This Row],[COSTO FIJO ]]/30)*Tabla1[[#This Row],[TOTAL DIAS PROYECTO]]+(Tabla1[[#This Row],[COSTO TEMPORAL]])</f>
        <v>0</v>
      </c>
      <c r="P5224" s="12"/>
      <c r="Q5224" s="12">
        <f ca="1">+(Tabla1[[#This Row],[COSTO COCHE]]/30)*Tabla1[[#This Row],[TOTAL DIAS PROYECTO]]</f>
        <v>0</v>
      </c>
      <c r="R5224" s="12">
        <f ca="1">+Tabla1[[#This Row],[COSTO TOTAL ALOJAMIENTO]]+Tabla1[[#This Row],[COSTO TOTAL COCHE]]</f>
        <v>0</v>
      </c>
      <c r="S5224" s="2"/>
      <c r="T5224" s="2" t="s">
        <v>35</v>
      </c>
      <c r="U5224" s="14">
        <v>45487</v>
      </c>
      <c r="V5224" s="14"/>
      <c r="W5224" s="26">
        <v>950</v>
      </c>
      <c r="X5224" s="2">
        <v>7</v>
      </c>
      <c r="Y5224" s="11" t="s">
        <v>7328</v>
      </c>
      <c r="Z5224" s="2" t="s">
        <v>36</v>
      </c>
      <c r="AA5224" s="13" t="s">
        <v>10364</v>
      </c>
      <c r="AB5224" s="13" t="s">
        <v>10365</v>
      </c>
    </row>
    <row r="5225" spans="1:28" ht="15" customHeight="1">
      <c r="A5225" s="2" t="s">
        <v>10237</v>
      </c>
      <c r="B5225" s="2" t="s">
        <v>711</v>
      </c>
      <c r="C5225" s="31" t="s">
        <v>7329</v>
      </c>
      <c r="D5225" s="2" t="s">
        <v>99</v>
      </c>
      <c r="E5225" s="2" t="s">
        <v>31</v>
      </c>
      <c r="F5225" s="11" t="s">
        <v>758</v>
      </c>
      <c r="G5225" s="11" t="s">
        <v>759</v>
      </c>
      <c r="H5225" s="2" t="s">
        <v>6531</v>
      </c>
      <c r="I5225" s="2" t="s">
        <v>5085</v>
      </c>
      <c r="J5225" s="41">
        <f>+Tabla1[[#This Row],[FECHA ENTRADA]]</f>
        <v>45895</v>
      </c>
      <c r="K5225" s="22">
        <v>46140</v>
      </c>
      <c r="L5225" s="42">
        <f>_xlfn.DAYS(Tabla1[[#This Row],[FECHA FIN ]],Tabla1[[#This Row],[FECHA INICIO]])</f>
        <v>245</v>
      </c>
      <c r="M5225" s="12"/>
      <c r="N5225" s="20">
        <v>212.5</v>
      </c>
      <c r="O5225" s="28">
        <f>(Tabla1[[#This Row],[COSTO FIJO ]]/30)*Tabla1[[#This Row],[TOTAL DIAS PROYECTO]]+(Tabla1[[#This Row],[COSTO TEMPORAL]])</f>
        <v>1735.4166666666665</v>
      </c>
      <c r="P5225" s="12"/>
      <c r="Q5225" s="12">
        <f>+(Tabla1[[#This Row],[COSTO COCHE]]/30)*Tabla1[[#This Row],[TOTAL DIAS PROYECTO]]</f>
        <v>0</v>
      </c>
      <c r="R5225" s="12">
        <f>+Tabla1[[#This Row],[COSTO TOTAL ALOJAMIENTO]]+Tabla1[[#This Row],[COSTO TOTAL COCHE]]</f>
        <v>1735.4166666666665</v>
      </c>
      <c r="S5225" s="2"/>
      <c r="T5225" s="14" t="s">
        <v>35</v>
      </c>
      <c r="U5225" s="14">
        <v>45895</v>
      </c>
      <c r="V5225" s="43"/>
      <c r="W5225" s="12"/>
      <c r="X5225" s="2">
        <v>1</v>
      </c>
      <c r="Y5225" s="11" t="s">
        <v>7330</v>
      </c>
      <c r="Z5225" s="2" t="s">
        <v>36</v>
      </c>
      <c r="AA5225" s="13" t="s">
        <v>10323</v>
      </c>
      <c r="AB5225" s="13" t="s">
        <v>10324</v>
      </c>
    </row>
    <row r="5226" spans="1:28" ht="15" customHeight="1">
      <c r="A5226" s="2" t="s">
        <v>9838</v>
      </c>
      <c r="B5226" s="2" t="s">
        <v>606</v>
      </c>
      <c r="C5226" s="69" t="s">
        <v>4975</v>
      </c>
      <c r="D5226" s="2" t="s">
        <v>30</v>
      </c>
      <c r="E5226" s="2" t="s">
        <v>55</v>
      </c>
      <c r="F5226" s="11" t="s">
        <v>4473</v>
      </c>
      <c r="G5226" s="118" t="s">
        <v>106</v>
      </c>
      <c r="H5226" s="2" t="s">
        <v>5930</v>
      </c>
      <c r="I5226" s="10" t="s">
        <v>3364</v>
      </c>
      <c r="J5226" s="22">
        <f>+Tabla1[[#This Row],[FECHA ENTRADA]]</f>
        <v>46112</v>
      </c>
      <c r="K5226" s="22">
        <v>46117</v>
      </c>
      <c r="L5226" s="23">
        <f>_xlfn.DAYS(Tabla1[[#This Row],[FECHA FIN ]],Tabla1[[#This Row],[FECHA INICIO]])</f>
        <v>5</v>
      </c>
      <c r="M5226" s="12"/>
      <c r="N5226" s="20">
        <v>483.33333333333331</v>
      </c>
      <c r="O5226" s="24">
        <f>(Tabla1[[#This Row],[COSTO FIJO ]]/30)*Tabla1[[#This Row],[TOTAL DIAS PROYECTO]]+(Tabla1[[#This Row],[COSTO TEMPORAL]])</f>
        <v>80.555555555555557</v>
      </c>
      <c r="P5226" s="12"/>
      <c r="Q5226" s="12">
        <f>+(Tabla1[[#This Row],[COSTO COCHE]]/30)*Tabla1[[#This Row],[TOTAL DIAS PROYECTO]]</f>
        <v>0</v>
      </c>
      <c r="R5226" s="12">
        <f>+Tabla1[[#This Row],[COSTO TOTAL ALOJAMIENTO]]+Tabla1[[#This Row],[COSTO TOTAL COCHE]]</f>
        <v>80.555555555555557</v>
      </c>
      <c r="S5226" s="2"/>
      <c r="T5226" s="14" t="s">
        <v>35</v>
      </c>
      <c r="U5226" s="14">
        <v>46112</v>
      </c>
      <c r="V5226" s="79"/>
      <c r="W5226" s="12"/>
      <c r="X5226" s="2">
        <v>1</v>
      </c>
      <c r="Y5226" t="s">
        <v>7331</v>
      </c>
      <c r="Z5226" s="2" t="s">
        <v>36</v>
      </c>
      <c r="AA5226" s="13" t="s">
        <v>10327</v>
      </c>
      <c r="AB5226" s="13" t="s">
        <v>10328</v>
      </c>
    </row>
    <row r="5227" spans="1:28">
      <c r="A5227" s="2" t="s">
        <v>8975</v>
      </c>
      <c r="B5227" s="2" t="s">
        <v>28</v>
      </c>
      <c r="C5227" s="11" t="s">
        <v>1567</v>
      </c>
      <c r="D5227" s="2" t="s">
        <v>30</v>
      </c>
      <c r="E5227" s="2" t="s">
        <v>87</v>
      </c>
      <c r="F5227" s="11" t="s">
        <v>567</v>
      </c>
      <c r="G5227" s="11" t="s">
        <v>568</v>
      </c>
      <c r="H5227" s="2" t="s">
        <v>7332</v>
      </c>
      <c r="I5227" s="2" t="s">
        <v>34</v>
      </c>
      <c r="J5227" s="22">
        <f>+Tabla1[[#This Row],[FECHA ENTRADA]]</f>
        <v>45645</v>
      </c>
      <c r="K5227" s="8">
        <f ca="1">TODAY()</f>
        <v>46260</v>
      </c>
      <c r="L5227" s="23">
        <f ca="1">_xlfn.DAYS(Tabla1[[#This Row],[FECHA FIN ]],Tabla1[[#This Row],[FECHA INICIO]])</f>
        <v>615</v>
      </c>
      <c r="M5227" s="12"/>
      <c r="N5227" s="12"/>
      <c r="O5227" s="24">
        <f ca="1">(Tabla1[[#This Row],[COSTO FIJO ]]/30)*Tabla1[[#This Row],[TOTAL DIAS PROYECTO]]+(Tabla1[[#This Row],[COSTO TEMPORAL]])</f>
        <v>0</v>
      </c>
      <c r="P5227" s="12"/>
      <c r="Q5227" s="12">
        <f ca="1">+(Tabla1[[#This Row],[COSTO COCHE]]/30)*Tabla1[[#This Row],[TOTAL DIAS PROYECTO]]</f>
        <v>0</v>
      </c>
      <c r="R5227" s="12">
        <f ca="1">+Tabla1[[#This Row],[COSTO TOTAL ALOJAMIENTO]]+Tabla1[[#This Row],[COSTO TOTAL COCHE]]</f>
        <v>0</v>
      </c>
      <c r="S5227" s="2"/>
      <c r="T5227" s="2" t="s">
        <v>35</v>
      </c>
      <c r="U5227" s="14">
        <v>45645</v>
      </c>
      <c r="V5227" s="25"/>
      <c r="W5227" s="26"/>
      <c r="X5227" s="16">
        <v>9</v>
      </c>
      <c r="Y5227" s="11"/>
      <c r="Z5227" s="2" t="s">
        <v>36</v>
      </c>
      <c r="AA5227" s="13" t="s">
        <v>10335</v>
      </c>
      <c r="AB5227" s="13">
        <v>404.16500000000002</v>
      </c>
    </row>
    <row r="5228" spans="1:28" ht="15" customHeight="1">
      <c r="A5228" s="2" t="s">
        <v>9120</v>
      </c>
      <c r="B5228" s="2" t="s">
        <v>978</v>
      </c>
      <c r="C5228" s="31" t="s">
        <v>2082</v>
      </c>
      <c r="D5228" s="2" t="s">
        <v>30</v>
      </c>
      <c r="E5228" s="2" t="s">
        <v>1393</v>
      </c>
      <c r="F5228" s="11" t="s">
        <v>7333</v>
      </c>
      <c r="G5228" t="s">
        <v>7334</v>
      </c>
      <c r="H5228" s="2" t="s">
        <v>5140</v>
      </c>
      <c r="I5228" s="2" t="s">
        <v>5141</v>
      </c>
      <c r="J5228" s="22">
        <f>+Tabla1[[#This Row],[FECHA ENTRADA]]</f>
        <v>45912</v>
      </c>
      <c r="K5228" s="22">
        <f ca="1">TODAY()</f>
        <v>46260</v>
      </c>
      <c r="L5228" s="23">
        <f ca="1">_xlfn.DAYS(Tabla1[[#This Row],[FECHA FIN ]],Tabla1[[#This Row],[FECHA INICIO]])</f>
        <v>348</v>
      </c>
      <c r="M5228" s="12"/>
      <c r="N5228" s="12">
        <v>282</v>
      </c>
      <c r="O5228" s="24">
        <f ca="1">(Tabla1[[#This Row],[COSTO FIJO ]]/30)*Tabla1[[#This Row],[TOTAL DIAS PROYECTO]]+(Tabla1[[#This Row],[COSTO TEMPORAL]])</f>
        <v>3271.2000000000003</v>
      </c>
      <c r="P5228" s="12"/>
      <c r="Q5228" s="12">
        <f ca="1">+(Tabla1[[#This Row],[COSTO COCHE]]/30)*Tabla1[[#This Row],[TOTAL DIAS PROYECTO]]</f>
        <v>0</v>
      </c>
      <c r="R5228" s="12">
        <f ca="1">+Tabla1[[#This Row],[COSTO TOTAL ALOJAMIENTO]]+Tabla1[[#This Row],[COSTO TOTAL COCHE]]</f>
        <v>3271.2000000000003</v>
      </c>
      <c r="S5228" s="2"/>
      <c r="T5228" s="14" t="s">
        <v>44</v>
      </c>
      <c r="U5228" s="14">
        <v>45912</v>
      </c>
      <c r="V5228" s="25">
        <v>45916</v>
      </c>
      <c r="W5228" s="71"/>
      <c r="X5228" s="2"/>
      <c r="Y5228" s="11" t="s">
        <v>7335</v>
      </c>
      <c r="Z5228" s="2" t="s">
        <v>36</v>
      </c>
      <c r="AA5228" s="13" t="s">
        <v>10416</v>
      </c>
      <c r="AB5228" s="13" t="s">
        <v>10417</v>
      </c>
    </row>
    <row r="5229" spans="1:28" ht="15" customHeight="1">
      <c r="A5229" s="2" t="s">
        <v>8691</v>
      </c>
      <c r="B5229" s="2" t="s">
        <v>711</v>
      </c>
      <c r="C5229" s="31" t="s">
        <v>307</v>
      </c>
      <c r="D5229" s="2" t="s">
        <v>30</v>
      </c>
      <c r="E5229" s="2" t="s">
        <v>626</v>
      </c>
      <c r="F5229" s="11" t="s">
        <v>1037</v>
      </c>
      <c r="G5229" s="11" t="s">
        <v>1038</v>
      </c>
      <c r="H5229" s="2" t="s">
        <v>4731</v>
      </c>
      <c r="I5229" s="12" t="s">
        <v>570</v>
      </c>
      <c r="J5229" s="22">
        <f>+Tabla1[[#This Row],[FECHA ENTRADA]]</f>
        <v>46086</v>
      </c>
      <c r="K5229" s="22">
        <v>46149</v>
      </c>
      <c r="L5229" s="23">
        <f>_xlfn.DAYS(Tabla1[[#This Row],[FECHA FIN ]],Tabla1[[#This Row],[FECHA INICIO]])</f>
        <v>63</v>
      </c>
      <c r="M5229" s="12"/>
      <c r="N5229" s="24">
        <v>550</v>
      </c>
      <c r="O5229" s="24">
        <f>(Tabla1[[#This Row],[COSTO FIJO ]]/30)*Tabla1[[#This Row],[TOTAL DIAS PROYECTO]]+(Tabla1[[#This Row],[COSTO TEMPORAL]])</f>
        <v>1155</v>
      </c>
      <c r="P5229" s="12"/>
      <c r="Q5229" s="12">
        <f>+(Tabla1[[#This Row],[COSTO COCHE]]/30)*Tabla1[[#This Row],[TOTAL DIAS PROYECTO]]</f>
        <v>0</v>
      </c>
      <c r="R5229" s="12">
        <f>+Tabla1[[#This Row],[COSTO TOTAL ALOJAMIENTO]]+Tabla1[[#This Row],[COSTO TOTAL COCHE]]</f>
        <v>1155</v>
      </c>
      <c r="S5229" s="2"/>
      <c r="T5229" s="14" t="s">
        <v>35</v>
      </c>
      <c r="U5229" s="14">
        <v>46086</v>
      </c>
      <c r="V5229" s="25"/>
      <c r="W5229" s="12">
        <v>200</v>
      </c>
      <c r="X5229" s="2">
        <v>1</v>
      </c>
      <c r="Y5229" s="11" t="s">
        <v>7336</v>
      </c>
      <c r="Z5229" s="2" t="s">
        <v>36</v>
      </c>
      <c r="AA5229" s="13" t="s">
        <v>10385</v>
      </c>
      <c r="AB5229" s="13" t="s">
        <v>10386</v>
      </c>
    </row>
    <row r="5230" spans="1:28" ht="15" customHeight="1">
      <c r="A5230" s="2" t="s">
        <v>9094</v>
      </c>
      <c r="B5230" s="2" t="s">
        <v>978</v>
      </c>
      <c r="C5230" s="11" t="s">
        <v>1992</v>
      </c>
      <c r="D5230" s="2" t="s">
        <v>99</v>
      </c>
      <c r="E5230" s="2" t="s">
        <v>3400</v>
      </c>
      <c r="F5230" s="11" t="s">
        <v>5351</v>
      </c>
      <c r="G5230" s="21" t="s">
        <v>5352</v>
      </c>
      <c r="H5230" s="2" t="s">
        <v>4996</v>
      </c>
      <c r="I5230" s="2" t="s">
        <v>4296</v>
      </c>
      <c r="J5230" s="22">
        <f>+Tabla1[[#This Row],[FECHA ENTRADA]]</f>
        <v>45899</v>
      </c>
      <c r="K5230" s="22">
        <f ca="1">TODAY()</f>
        <v>46260</v>
      </c>
      <c r="L5230" s="23">
        <f ca="1">_xlfn.DAYS(Tabla1[[#This Row],[FECHA FIN ]],Tabla1[[#This Row],[FECHA INICIO]])</f>
        <v>361</v>
      </c>
      <c r="M5230" s="12"/>
      <c r="N5230" s="12">
        <v>416.5</v>
      </c>
      <c r="O5230" s="24">
        <f ca="1">(Tabla1[[#This Row],[COSTO FIJO ]]/30)*Tabla1[[#This Row],[TOTAL DIAS PROYECTO]]+(Tabla1[[#This Row],[COSTO TEMPORAL]])</f>
        <v>5011.8833333333332</v>
      </c>
      <c r="P5230" s="12"/>
      <c r="Q5230" s="12">
        <f ca="1">+(Tabla1[[#This Row],[COSTO COCHE]]/30)*Tabla1[[#This Row],[TOTAL DIAS PROYECTO]]</f>
        <v>0</v>
      </c>
      <c r="R5230" s="12">
        <f ca="1">+Tabla1[[#This Row],[COSTO TOTAL ALOJAMIENTO]]+Tabla1[[#This Row],[COSTO TOTAL COCHE]]</f>
        <v>5011.8833333333332</v>
      </c>
      <c r="S5230" s="2" t="s">
        <v>403</v>
      </c>
      <c r="T5230" s="14" t="s">
        <v>44</v>
      </c>
      <c r="U5230" s="14">
        <v>45899</v>
      </c>
      <c r="V5230" s="79">
        <v>45920</v>
      </c>
      <c r="W5230" s="71"/>
      <c r="X5230" s="2"/>
      <c r="Y5230" s="11" t="s">
        <v>7337</v>
      </c>
      <c r="Z5230" s="2" t="s">
        <v>36</v>
      </c>
      <c r="AA5230" s="13" t="e">
        <v>#N/A</v>
      </c>
      <c r="AB5230" s="13" t="e">
        <v>#N/A</v>
      </c>
    </row>
    <row r="5231" spans="1:28" ht="15" customHeight="1">
      <c r="A5231" s="2" t="s">
        <v>9812</v>
      </c>
      <c r="B5231" s="2" t="s">
        <v>711</v>
      </c>
      <c r="C5231" s="31" t="s">
        <v>4866</v>
      </c>
      <c r="D5231" s="2" t="s">
        <v>99</v>
      </c>
      <c r="E5231" s="2" t="s">
        <v>626</v>
      </c>
      <c r="F5231" s="11" t="s">
        <v>7338</v>
      </c>
      <c r="G5231" s="11" t="s">
        <v>1038</v>
      </c>
      <c r="H5231" s="2" t="s">
        <v>4731</v>
      </c>
      <c r="I5231" s="12" t="s">
        <v>570</v>
      </c>
      <c r="J5231" s="22">
        <f>+Tabla1[[#This Row],[FECHA ENTRADA]]</f>
        <v>46096</v>
      </c>
      <c r="K5231" s="22">
        <v>46149</v>
      </c>
      <c r="L5231" s="23">
        <f>_xlfn.DAYS(Tabla1[[#This Row],[FECHA FIN ]],Tabla1[[#This Row],[FECHA INICIO]])</f>
        <v>53</v>
      </c>
      <c r="M5231" s="12"/>
      <c r="N5231" s="20">
        <v>333.33333333333331</v>
      </c>
      <c r="O5231" s="24">
        <f>(Tabla1[[#This Row],[COSTO FIJO ]]/30)*Tabla1[[#This Row],[TOTAL DIAS PROYECTO]]+(Tabla1[[#This Row],[COSTO TEMPORAL]])</f>
        <v>588.88888888888891</v>
      </c>
      <c r="P5231" s="12"/>
      <c r="Q5231" s="12">
        <f>+(Tabla1[[#This Row],[COSTO COCHE]]/30)*Tabla1[[#This Row],[TOTAL DIAS PROYECTO]]</f>
        <v>0</v>
      </c>
      <c r="R5231" s="12">
        <f>+Tabla1[[#This Row],[COSTO TOTAL ALOJAMIENTO]]+Tabla1[[#This Row],[COSTO TOTAL COCHE]]</f>
        <v>588.88888888888891</v>
      </c>
      <c r="S5231" s="2"/>
      <c r="T5231" s="14" t="s">
        <v>35</v>
      </c>
      <c r="U5231" s="14">
        <v>46096</v>
      </c>
      <c r="V5231" s="79"/>
      <c r="W5231" s="12">
        <v>500</v>
      </c>
      <c r="X5231" s="2">
        <v>1</v>
      </c>
      <c r="Y5231" s="11" t="s">
        <v>7336</v>
      </c>
      <c r="Z5231" s="2" t="s">
        <v>36</v>
      </c>
      <c r="AA5231" s="13" t="s">
        <v>10385</v>
      </c>
      <c r="AB5231" s="13" t="s">
        <v>10386</v>
      </c>
    </row>
    <row r="5232" spans="1:28" ht="15" customHeight="1">
      <c r="A5232" s="2" t="s">
        <v>9336</v>
      </c>
      <c r="B5232" s="2" t="s">
        <v>711</v>
      </c>
      <c r="C5232" s="31" t="s">
        <v>2850</v>
      </c>
      <c r="D5232" s="2" t="s">
        <v>99</v>
      </c>
      <c r="E5232" s="2" t="s">
        <v>626</v>
      </c>
      <c r="F5232" s="11" t="s">
        <v>7338</v>
      </c>
      <c r="G5232" s="11" t="s">
        <v>1038</v>
      </c>
      <c r="H5232" s="2" t="s">
        <v>7018</v>
      </c>
      <c r="I5232" s="12" t="s">
        <v>570</v>
      </c>
      <c r="J5232" s="22">
        <f>+Tabla1[[#This Row],[FECHA ENTRADA]]</f>
        <v>46096</v>
      </c>
      <c r="K5232" s="22">
        <v>46149</v>
      </c>
      <c r="L5232" s="23">
        <f>_xlfn.DAYS(Tabla1[[#This Row],[FECHA FIN ]],Tabla1[[#This Row],[FECHA INICIO]])</f>
        <v>53</v>
      </c>
      <c r="M5232" s="12"/>
      <c r="N5232" s="20">
        <v>333.33333333333331</v>
      </c>
      <c r="O5232" s="24">
        <f>(Tabla1[[#This Row],[COSTO FIJO ]]/30)*Tabla1[[#This Row],[TOTAL DIAS PROYECTO]]+(Tabla1[[#This Row],[COSTO TEMPORAL]])</f>
        <v>588.88888888888891</v>
      </c>
      <c r="P5232" s="12"/>
      <c r="Q5232" s="12">
        <f>+(Tabla1[[#This Row],[COSTO COCHE]]/30)*Tabla1[[#This Row],[TOTAL DIAS PROYECTO]]</f>
        <v>0</v>
      </c>
      <c r="R5232" s="12">
        <f>+Tabla1[[#This Row],[COSTO TOTAL ALOJAMIENTO]]+Tabla1[[#This Row],[COSTO TOTAL COCHE]]</f>
        <v>588.88888888888891</v>
      </c>
      <c r="S5232" s="2"/>
      <c r="T5232" s="14" t="s">
        <v>35</v>
      </c>
      <c r="U5232" s="14">
        <v>46096</v>
      </c>
      <c r="V5232" s="79"/>
      <c r="W5232" s="12"/>
      <c r="X5232" s="2">
        <v>1</v>
      </c>
      <c r="Y5232" s="11" t="s">
        <v>7339</v>
      </c>
      <c r="Z5232" s="2" t="s">
        <v>36</v>
      </c>
      <c r="AA5232" s="13" t="s">
        <v>10385</v>
      </c>
      <c r="AB5232" s="13" t="s">
        <v>10386</v>
      </c>
    </row>
    <row r="5233" spans="1:28" ht="15" customHeight="1">
      <c r="A5233" s="2" t="s">
        <v>9725</v>
      </c>
      <c r="B5233" s="2" t="s">
        <v>978</v>
      </c>
      <c r="C5233" s="31" t="s">
        <v>4416</v>
      </c>
      <c r="D5233" s="2" t="s">
        <v>30</v>
      </c>
      <c r="E5233" s="2" t="s">
        <v>109</v>
      </c>
      <c r="F5233" s="11"/>
      <c r="G5233" s="21"/>
      <c r="H5233" s="2" t="s">
        <v>4417</v>
      </c>
      <c r="I5233" s="12" t="s">
        <v>4415</v>
      </c>
      <c r="J5233" s="22">
        <v>46047</v>
      </c>
      <c r="K5233" s="22">
        <v>46157</v>
      </c>
      <c r="L5233" s="23">
        <f>_xlfn.DAYS(Tabla1[[#This Row],[FECHA FIN ]],Tabla1[[#This Row],[FECHA INICIO]])</f>
        <v>110</v>
      </c>
      <c r="M5233" s="12"/>
      <c r="N5233" s="20">
        <v>300</v>
      </c>
      <c r="O5233" s="24">
        <f>(Tabla1[[#This Row],[COSTO FIJO ]]/30)*Tabla1[[#This Row],[TOTAL DIAS PROYECTO]]+(Tabla1[[#This Row],[COSTO TEMPORAL]])</f>
        <v>1100</v>
      </c>
      <c r="P5233" s="12"/>
      <c r="Q5233" s="12">
        <f>+(Tabla1[[#This Row],[COSTO COCHE]]/30)*Tabla1[[#This Row],[TOTAL DIAS PROYECTO]]</f>
        <v>0</v>
      </c>
      <c r="R5233" s="12">
        <f>+Tabla1[[#This Row],[COSTO TOTAL ALOJAMIENTO]]+Tabla1[[#This Row],[COSTO TOTAL COCHE]]</f>
        <v>1100</v>
      </c>
      <c r="S5233" s="2"/>
      <c r="T5233" s="14" t="s">
        <v>58</v>
      </c>
      <c r="U5233" s="14">
        <v>46045</v>
      </c>
      <c r="V5233" s="79"/>
      <c r="W5233" s="12"/>
      <c r="X5233" s="2"/>
      <c r="Y5233" s="11" t="s">
        <v>7340</v>
      </c>
      <c r="Z5233" s="2" t="s">
        <v>36</v>
      </c>
      <c r="AA5233" s="13">
        <v>0.62217999999999996</v>
      </c>
      <c r="AB5233" s="13" t="s">
        <v>10339</v>
      </c>
    </row>
    <row r="5234" spans="1:28" ht="15" customHeight="1">
      <c r="A5234" s="2" t="s">
        <v>9842</v>
      </c>
      <c r="B5234" s="2" t="s">
        <v>28</v>
      </c>
      <c r="C5234" s="101" t="s">
        <v>5016</v>
      </c>
      <c r="D5234" s="2" t="s">
        <v>749</v>
      </c>
      <c r="E5234" s="2" t="s">
        <v>288</v>
      </c>
      <c r="F5234" s="11" t="s">
        <v>3464</v>
      </c>
      <c r="G5234" s="251" t="s">
        <v>1142</v>
      </c>
      <c r="H5234" s="2" t="s">
        <v>7341</v>
      </c>
      <c r="I5234" s="10" t="s">
        <v>753</v>
      </c>
      <c r="J5234" s="41">
        <f>+Tabla1[[#This Row],[FECHA ENTRADA]]</f>
        <v>45901</v>
      </c>
      <c r="K5234" s="41">
        <v>46052</v>
      </c>
      <c r="L5234" s="42">
        <f>_xlfn.DAYS(Tabla1[[#This Row],[FECHA FIN ]],Tabla1[[#This Row],[FECHA INICIO]])</f>
        <v>151</v>
      </c>
      <c r="M5234" s="12"/>
      <c r="N5234" s="28">
        <v>625.5</v>
      </c>
      <c r="O5234" s="28">
        <f>(Tabla1[[#This Row],[COSTO FIJO ]]/30)*Tabla1[[#This Row],[TOTAL DIAS PROYECTO]]+(Tabla1[[#This Row],[COSTO TEMPORAL]])</f>
        <v>3148.3500000000004</v>
      </c>
      <c r="P5234" s="12"/>
      <c r="Q5234" s="12">
        <f>+(Tabla1[[#This Row],[COSTO COCHE]]/30)*Tabla1[[#This Row],[TOTAL DIAS PROYECTO]]</f>
        <v>0</v>
      </c>
      <c r="R5234" s="12">
        <f>+Tabla1[[#This Row],[COSTO TOTAL ALOJAMIENTO]]+Tabla1[[#This Row],[COSTO TOTAL COCHE]]</f>
        <v>3148.3500000000004</v>
      </c>
      <c r="S5234" s="2"/>
      <c r="T5234" s="14" t="s">
        <v>35</v>
      </c>
      <c r="U5234" s="14">
        <v>45901</v>
      </c>
      <c r="V5234" s="25"/>
      <c r="W5234" s="71"/>
      <c r="X5234" s="2">
        <v>1</v>
      </c>
      <c r="Y5234" s="11" t="s">
        <v>7342</v>
      </c>
      <c r="Z5234" s="2" t="s">
        <v>36</v>
      </c>
      <c r="AA5234" s="13" t="s">
        <v>10362</v>
      </c>
      <c r="AB5234" s="13" t="s">
        <v>10363</v>
      </c>
    </row>
    <row r="5235" spans="1:28" ht="15" customHeight="1">
      <c r="A5235" s="2" t="s">
        <v>10115</v>
      </c>
      <c r="B5235" s="2" t="s">
        <v>606</v>
      </c>
      <c r="C5235" s="31" t="s">
        <v>6470</v>
      </c>
      <c r="D5235" s="2" t="s">
        <v>30</v>
      </c>
      <c r="E5235" s="2" t="s">
        <v>31</v>
      </c>
      <c r="F5235" s="11" t="s">
        <v>715</v>
      </c>
      <c r="G5235" s="11" t="s">
        <v>716</v>
      </c>
      <c r="H5235" s="2" t="s">
        <v>6619</v>
      </c>
      <c r="I5235" s="12" t="s">
        <v>6620</v>
      </c>
      <c r="J5235" s="41">
        <f>+Tabla1[[#This Row],[FECHA ENTRADA]]</f>
        <v>46105</v>
      </c>
      <c r="K5235" s="22">
        <v>46133</v>
      </c>
      <c r="L5235" s="42">
        <f>_xlfn.DAYS(Tabla1[[#This Row],[FECHA FIN ]],Tabla1[[#This Row],[FECHA INICIO]])</f>
        <v>28</v>
      </c>
      <c r="M5235" s="12"/>
      <c r="N5235" s="12">
        <v>160</v>
      </c>
      <c r="O5235" s="28">
        <f>(Tabla1[[#This Row],[COSTO FIJO ]]/30)*Tabla1[[#This Row],[TOTAL DIAS PROYECTO]]+(Tabla1[[#This Row],[COSTO TEMPORAL]])</f>
        <v>149.33333333333331</v>
      </c>
      <c r="P5235" s="12"/>
      <c r="Q5235" s="12">
        <f>+(Tabla1[[#This Row],[COSTO COCHE]]/30)*Tabla1[[#This Row],[TOTAL DIAS PROYECTO]]</f>
        <v>0</v>
      </c>
      <c r="R5235" s="12">
        <f>+Tabla1[[#This Row],[COSTO TOTAL ALOJAMIENTO]]+Tabla1[[#This Row],[COSTO TOTAL COCHE]]</f>
        <v>149.33333333333331</v>
      </c>
      <c r="S5235" s="2"/>
      <c r="T5235" s="14" t="s">
        <v>35</v>
      </c>
      <c r="U5235" s="14">
        <v>46105</v>
      </c>
      <c r="V5235" s="43"/>
      <c r="W5235" s="12"/>
      <c r="X5235" s="2"/>
      <c r="Y5235" s="11" t="s">
        <v>7343</v>
      </c>
      <c r="Z5235" s="2" t="s">
        <v>36</v>
      </c>
      <c r="AA5235" s="13" t="s">
        <v>10323</v>
      </c>
      <c r="AB5235" s="13" t="s">
        <v>10324</v>
      </c>
    </row>
    <row r="5236" spans="1:28" ht="15" customHeight="1">
      <c r="A5236" s="2" t="s">
        <v>9701</v>
      </c>
      <c r="B5236" s="2" t="s">
        <v>978</v>
      </c>
      <c r="C5236" s="11" t="s">
        <v>4309</v>
      </c>
      <c r="D5236" s="2" t="s">
        <v>99</v>
      </c>
      <c r="E5236" s="2" t="s">
        <v>3400</v>
      </c>
      <c r="F5236" s="11" t="s">
        <v>5351</v>
      </c>
      <c r="G5236" s="21" t="s">
        <v>5352</v>
      </c>
      <c r="H5236" s="2" t="s">
        <v>4997</v>
      </c>
      <c r="I5236" s="12" t="s">
        <v>4296</v>
      </c>
      <c r="J5236" s="22">
        <f>+Tabla1[[#This Row],[FECHA ENTRADA]]</f>
        <v>45899</v>
      </c>
      <c r="K5236" s="22">
        <f ca="1">TODAY()</f>
        <v>46260</v>
      </c>
      <c r="L5236" s="23">
        <f ca="1">_xlfn.DAYS(Tabla1[[#This Row],[FECHA FIN ]],Tabla1[[#This Row],[FECHA INICIO]])</f>
        <v>361</v>
      </c>
      <c r="M5236" s="12"/>
      <c r="N5236" s="12">
        <v>416.5</v>
      </c>
      <c r="O5236" s="24">
        <f ca="1">(Tabla1[[#This Row],[COSTO FIJO ]]/30)*Tabla1[[#This Row],[TOTAL DIAS PROYECTO]]+(Tabla1[[#This Row],[COSTO TEMPORAL]])</f>
        <v>5011.8833333333332</v>
      </c>
      <c r="P5236" s="12"/>
      <c r="Q5236" s="12">
        <f ca="1">+(Tabla1[[#This Row],[COSTO COCHE]]/30)*Tabla1[[#This Row],[TOTAL DIAS PROYECTO]]</f>
        <v>0</v>
      </c>
      <c r="R5236" s="12">
        <f ca="1">+Tabla1[[#This Row],[COSTO TOTAL ALOJAMIENTO]]+Tabla1[[#This Row],[COSTO TOTAL COCHE]]</f>
        <v>5011.8833333333332</v>
      </c>
      <c r="S5236" s="2" t="s">
        <v>403</v>
      </c>
      <c r="T5236" s="14" t="s">
        <v>44</v>
      </c>
      <c r="U5236" s="14">
        <v>45899</v>
      </c>
      <c r="V5236" s="25">
        <v>45920</v>
      </c>
      <c r="W5236" s="71"/>
      <c r="X5236" s="2"/>
      <c r="Y5236" s="11" t="s">
        <v>7344</v>
      </c>
      <c r="Z5236" s="2" t="s">
        <v>36</v>
      </c>
      <c r="AA5236" s="13" t="e">
        <v>#N/A</v>
      </c>
      <c r="AB5236" s="13" t="e">
        <v>#N/A</v>
      </c>
    </row>
    <row r="5237" spans="1:28" ht="15" customHeight="1">
      <c r="A5237" s="2" t="s">
        <v>10235</v>
      </c>
      <c r="B5237" s="2" t="s">
        <v>28</v>
      </c>
      <c r="C5237" s="11" t="s">
        <v>7325</v>
      </c>
      <c r="D5237" s="2" t="s">
        <v>30</v>
      </c>
      <c r="E5237" s="2" t="s">
        <v>648</v>
      </c>
      <c r="F5237" s="11"/>
      <c r="G5237" s="46"/>
      <c r="H5237" s="2" t="s">
        <v>7326</v>
      </c>
      <c r="I5237" s="12" t="s">
        <v>96</v>
      </c>
      <c r="J5237" s="41">
        <f>+Tabla1[[#This Row],[FECHA ENTRADA]]</f>
        <v>45846</v>
      </c>
      <c r="K5237" s="41">
        <v>45899</v>
      </c>
      <c r="L5237" s="42">
        <f>_xlfn.DAYS(Tabla1[[#This Row],[FECHA FIN ]],Tabla1[[#This Row],[FECHA INICIO]])</f>
        <v>53</v>
      </c>
      <c r="M5237" s="12"/>
      <c r="N5237" s="12"/>
      <c r="O5237" s="28">
        <f>(Tabla1[[#This Row],[COSTO FIJO ]]/30)*Tabla1[[#This Row],[TOTAL DIAS PROYECTO]]+(Tabla1[[#This Row],[COSTO TEMPORAL]])</f>
        <v>0</v>
      </c>
      <c r="P5237" s="12"/>
      <c r="Q5237" s="12">
        <f>+(Tabla1[[#This Row],[COSTO COCHE]]/30)*Tabla1[[#This Row],[TOTAL DIAS PROYECTO]]</f>
        <v>0</v>
      </c>
      <c r="R5237" s="12">
        <f>+Tabla1[[#This Row],[COSTO TOTAL ALOJAMIENTO]]+Tabla1[[#This Row],[COSTO TOTAL COCHE]]</f>
        <v>0</v>
      </c>
      <c r="S5237" s="2"/>
      <c r="T5237" s="14" t="s">
        <v>58</v>
      </c>
      <c r="U5237" s="14">
        <v>45846</v>
      </c>
      <c r="V5237" s="43"/>
      <c r="W5237" s="12"/>
      <c r="X5237" s="2"/>
      <c r="Y5237" s="11" t="s">
        <v>7345</v>
      </c>
      <c r="Z5237" s="2" t="s">
        <v>36</v>
      </c>
      <c r="AA5237" s="13" t="s">
        <v>10387</v>
      </c>
      <c r="AB5237" s="13" t="s">
        <v>10388</v>
      </c>
    </row>
    <row r="5238" spans="1:28" ht="15" customHeight="1">
      <c r="A5238" s="2" t="s">
        <v>9840</v>
      </c>
      <c r="B5238" s="2" t="s">
        <v>978</v>
      </c>
      <c r="C5238" s="11" t="s">
        <v>5002</v>
      </c>
      <c r="D5238" s="2" t="s">
        <v>99</v>
      </c>
      <c r="E5238" s="2" t="s">
        <v>3400</v>
      </c>
      <c r="F5238" s="11" t="s">
        <v>5351</v>
      </c>
      <c r="G5238" s="21" t="s">
        <v>5352</v>
      </c>
      <c r="H5238" s="2" t="s">
        <v>1568</v>
      </c>
      <c r="I5238" s="12" t="s">
        <v>4296</v>
      </c>
      <c r="J5238" s="22">
        <f>+Tabla1[[#This Row],[FECHA ENTRADA]]</f>
        <v>45899</v>
      </c>
      <c r="K5238" s="22">
        <f ca="1">TODAY()</f>
        <v>46260</v>
      </c>
      <c r="L5238" s="23">
        <f ca="1">_xlfn.DAYS(Tabla1[[#This Row],[FECHA FIN ]],Tabla1[[#This Row],[FECHA INICIO]])</f>
        <v>361</v>
      </c>
      <c r="M5238" s="12"/>
      <c r="N5238" s="12">
        <v>416.5</v>
      </c>
      <c r="O5238" s="24">
        <f ca="1">(Tabla1[[#This Row],[COSTO FIJO ]]/30)*Tabla1[[#This Row],[TOTAL DIAS PROYECTO]]+(Tabla1[[#This Row],[COSTO TEMPORAL]])</f>
        <v>5011.8833333333332</v>
      </c>
      <c r="P5238" s="12"/>
      <c r="Q5238" s="12">
        <f ca="1">+(Tabla1[[#This Row],[COSTO COCHE]]/30)*Tabla1[[#This Row],[TOTAL DIAS PROYECTO]]</f>
        <v>0</v>
      </c>
      <c r="R5238" s="12">
        <f ca="1">+Tabla1[[#This Row],[COSTO TOTAL ALOJAMIENTO]]+Tabla1[[#This Row],[COSTO TOTAL COCHE]]</f>
        <v>5011.8833333333332</v>
      </c>
      <c r="S5238" s="2" t="s">
        <v>403</v>
      </c>
      <c r="T5238" s="14" t="s">
        <v>44</v>
      </c>
      <c r="U5238" s="14">
        <v>45899</v>
      </c>
      <c r="V5238" s="25">
        <v>45920</v>
      </c>
      <c r="W5238" s="71"/>
      <c r="X5238" s="2"/>
      <c r="Y5238" s="11" t="s">
        <v>7346</v>
      </c>
      <c r="Z5238" s="2" t="s">
        <v>36</v>
      </c>
      <c r="AA5238" s="13" t="e">
        <v>#N/A</v>
      </c>
      <c r="AB5238" s="13" t="e">
        <v>#N/A</v>
      </c>
    </row>
    <row r="5239" spans="1:28" ht="15" customHeight="1">
      <c r="A5239" s="2" t="s">
        <v>8781</v>
      </c>
      <c r="B5239" s="2" t="s">
        <v>978</v>
      </c>
      <c r="C5239" s="11" t="s">
        <v>746</v>
      </c>
      <c r="D5239" s="2" t="s">
        <v>99</v>
      </c>
      <c r="E5239" s="2" t="s">
        <v>3400</v>
      </c>
      <c r="F5239" s="11" t="s">
        <v>5351</v>
      </c>
      <c r="G5239" s="21" t="s">
        <v>5352</v>
      </c>
      <c r="H5239" s="2" t="s">
        <v>4994</v>
      </c>
      <c r="I5239" s="12" t="s">
        <v>4296</v>
      </c>
      <c r="J5239" s="22">
        <f>+Tabla1[[#This Row],[FECHA ENTRADA]]</f>
        <v>45899</v>
      </c>
      <c r="K5239" s="22">
        <f ca="1">TODAY()</f>
        <v>46260</v>
      </c>
      <c r="L5239" s="23">
        <f ca="1">_xlfn.DAYS(Tabla1[[#This Row],[FECHA FIN ]],Tabla1[[#This Row],[FECHA INICIO]])</f>
        <v>361</v>
      </c>
      <c r="M5239" s="12"/>
      <c r="N5239" s="12">
        <v>416.5</v>
      </c>
      <c r="O5239" s="24">
        <f ca="1">(Tabla1[[#This Row],[COSTO FIJO ]]/30)*Tabla1[[#This Row],[TOTAL DIAS PROYECTO]]+(Tabla1[[#This Row],[COSTO TEMPORAL]])</f>
        <v>5011.8833333333332</v>
      </c>
      <c r="P5239" s="12"/>
      <c r="Q5239" s="12">
        <f ca="1">+(Tabla1[[#This Row],[COSTO COCHE]]/30)*Tabla1[[#This Row],[TOTAL DIAS PROYECTO]]</f>
        <v>0</v>
      </c>
      <c r="R5239" s="12">
        <f ca="1">+Tabla1[[#This Row],[COSTO TOTAL ALOJAMIENTO]]+Tabla1[[#This Row],[COSTO TOTAL COCHE]]</f>
        <v>5011.8833333333332</v>
      </c>
      <c r="S5239" s="2" t="s">
        <v>403</v>
      </c>
      <c r="T5239" s="14" t="s">
        <v>44</v>
      </c>
      <c r="U5239" s="14">
        <v>45899</v>
      </c>
      <c r="V5239" s="79">
        <v>45920</v>
      </c>
      <c r="W5239" s="71"/>
      <c r="X5239" s="2"/>
      <c r="Y5239" s="11" t="s">
        <v>7344</v>
      </c>
      <c r="Z5239" s="2" t="s">
        <v>36</v>
      </c>
      <c r="AA5239" s="13" t="e">
        <v>#N/A</v>
      </c>
      <c r="AB5239" s="13" t="e">
        <v>#N/A</v>
      </c>
    </row>
    <row r="5240" spans="1:28" ht="15" customHeight="1">
      <c r="A5240" s="2" t="s">
        <v>10238</v>
      </c>
      <c r="B5240" s="2" t="s">
        <v>28</v>
      </c>
      <c r="C5240" s="104" t="s">
        <v>7347</v>
      </c>
      <c r="D5240" s="2" t="s">
        <v>30</v>
      </c>
      <c r="E5240" s="2" t="s">
        <v>92</v>
      </c>
      <c r="F5240" s="11" t="s">
        <v>5957</v>
      </c>
      <c r="G5240" s="11" t="s">
        <v>94</v>
      </c>
      <c r="H5240" s="2" t="s">
        <v>7348</v>
      </c>
      <c r="I5240" s="12" t="s">
        <v>96</v>
      </c>
      <c r="J5240" s="8">
        <f>+Tabla1[[#This Row],[FECHA ENTRADA]]</f>
        <v>45425</v>
      </c>
      <c r="K5240" s="22">
        <v>45821</v>
      </c>
      <c r="L5240" s="13">
        <f>_xlfn.DAYS(Tabla1[[#This Row],[FECHA FIN ]],Tabla1[[#This Row],[FECHA INICIO]])</f>
        <v>396</v>
      </c>
      <c r="M5240" s="12"/>
      <c r="N5240" s="12">
        <f>1811.6/17</f>
        <v>106.56470588235294</v>
      </c>
      <c r="O5240" s="12">
        <f>(Tabla1[[#This Row],[COSTO FIJO ]]/30)*Tabla1[[#This Row],[TOTAL DIAS PROYECTO]]+(Tabla1[[#This Row],[COSTO TEMPORAL]])</f>
        <v>1406.6541176470589</v>
      </c>
      <c r="P5240" s="12"/>
      <c r="Q5240" s="12">
        <f>+(Tabla1[[#This Row],[COSTO COCHE]]/30)*Tabla1[[#This Row],[TOTAL DIAS PROYECTO]]</f>
        <v>0</v>
      </c>
      <c r="R5240" s="12">
        <f>+Tabla1[[#This Row],[COSTO TOTAL ALOJAMIENTO]]+Tabla1[[#This Row],[COSTO TOTAL COCHE]]</f>
        <v>1406.6541176470589</v>
      </c>
      <c r="S5240" s="2" t="s">
        <v>84</v>
      </c>
      <c r="T5240" s="2" t="s">
        <v>44</v>
      </c>
      <c r="U5240" s="14">
        <v>45425</v>
      </c>
      <c r="V5240" s="14"/>
      <c r="W5240" s="26"/>
      <c r="X5240" s="2">
        <v>1</v>
      </c>
      <c r="Y5240" s="11"/>
      <c r="Z5240" s="2" t="s">
        <v>36</v>
      </c>
      <c r="AA5240" s="13" t="s">
        <v>10336</v>
      </c>
      <c r="AB5240" s="13" t="s">
        <v>10337</v>
      </c>
    </row>
    <row r="5241" spans="1:28" ht="15" customHeight="1">
      <c r="A5241" s="2" t="s">
        <v>10211</v>
      </c>
      <c r="B5241" s="2" t="s">
        <v>28</v>
      </c>
      <c r="C5241" s="104" t="s">
        <v>7183</v>
      </c>
      <c r="D5241" s="2" t="s">
        <v>30</v>
      </c>
      <c r="E5241" s="2" t="s">
        <v>1719</v>
      </c>
      <c r="F5241" s="11" t="s">
        <v>3712</v>
      </c>
      <c r="G5241" s="21" t="s">
        <v>3709</v>
      </c>
      <c r="H5241" s="2" t="s">
        <v>3710</v>
      </c>
      <c r="I5241" s="12" t="s">
        <v>152</v>
      </c>
      <c r="J5241" s="41">
        <f>+Tabla1[[#This Row],[FECHA ENTRADA]]</f>
        <v>45559</v>
      </c>
      <c r="K5241" s="8">
        <v>45653</v>
      </c>
      <c r="L5241" s="42">
        <f>_xlfn.DAYS(Tabla1[[#This Row],[FECHA FIN ]],Tabla1[[#This Row],[FECHA INICIO]])</f>
        <v>94</v>
      </c>
      <c r="M5241" s="12"/>
      <c r="N5241" s="12">
        <v>240</v>
      </c>
      <c r="O5241" s="28">
        <f>(Tabla1[[#This Row],[COSTO FIJO ]]/30)*Tabla1[[#This Row],[TOTAL DIAS PROYECTO]]+(Tabla1[[#This Row],[COSTO TEMPORAL]])</f>
        <v>752</v>
      </c>
      <c r="P5241" s="12"/>
      <c r="Q5241" s="12">
        <f>+(Tabla1[[#This Row],[COSTO COCHE]]/30)*Tabla1[[#This Row],[TOTAL DIAS PROYECTO]]</f>
        <v>0</v>
      </c>
      <c r="R5241" s="12">
        <f>+Tabla1[[#This Row],[COSTO TOTAL ALOJAMIENTO]]+Tabla1[[#This Row],[COSTO TOTAL COCHE]]</f>
        <v>752</v>
      </c>
      <c r="S5241" s="2"/>
      <c r="T5241" s="2" t="s">
        <v>35</v>
      </c>
      <c r="U5241" s="14">
        <v>45559</v>
      </c>
      <c r="V5241" s="43"/>
      <c r="W5241" s="26"/>
      <c r="X5241" s="2">
        <v>12</v>
      </c>
      <c r="Y5241" s="11" t="s">
        <v>7349</v>
      </c>
      <c r="Z5241" s="2" t="s">
        <v>36</v>
      </c>
      <c r="AA5241" s="13" t="s">
        <v>10427</v>
      </c>
      <c r="AB5241" s="13">
        <v>4260003</v>
      </c>
    </row>
    <row r="5242" spans="1:28" ht="15" customHeight="1">
      <c r="A5242" s="2" t="s">
        <v>10239</v>
      </c>
      <c r="B5242" s="2" t="s">
        <v>28</v>
      </c>
      <c r="C5242" s="322" t="s">
        <v>7350</v>
      </c>
      <c r="D5242" s="2" t="s">
        <v>30</v>
      </c>
      <c r="E5242" s="2" t="s">
        <v>92</v>
      </c>
      <c r="F5242" s="11" t="s">
        <v>5957</v>
      </c>
      <c r="G5242" s="11" t="s">
        <v>94</v>
      </c>
      <c r="H5242" s="2" t="s">
        <v>7348</v>
      </c>
      <c r="I5242" s="12" t="s">
        <v>96</v>
      </c>
      <c r="J5242" s="8">
        <f>+Tabla1[[#This Row],[FECHA ENTRADA]]</f>
        <v>45425</v>
      </c>
      <c r="K5242" s="22">
        <v>45821</v>
      </c>
      <c r="L5242" s="13">
        <f>_xlfn.DAYS(Tabla1[[#This Row],[FECHA FIN ]],Tabla1[[#This Row],[FECHA INICIO]])</f>
        <v>396</v>
      </c>
      <c r="M5242" s="12"/>
      <c r="N5242" s="12">
        <f>1811.6/17</f>
        <v>106.56470588235294</v>
      </c>
      <c r="O5242" s="12">
        <f>(Tabla1[[#This Row],[COSTO FIJO ]]/30)*Tabla1[[#This Row],[TOTAL DIAS PROYECTO]]+(Tabla1[[#This Row],[COSTO TEMPORAL]])</f>
        <v>1406.6541176470589</v>
      </c>
      <c r="P5242" s="12"/>
      <c r="Q5242" s="12">
        <f>+(Tabla1[[#This Row],[COSTO COCHE]]/30)*Tabla1[[#This Row],[TOTAL DIAS PROYECTO]]</f>
        <v>0</v>
      </c>
      <c r="R5242" s="12">
        <f>+Tabla1[[#This Row],[COSTO TOTAL ALOJAMIENTO]]+Tabla1[[#This Row],[COSTO TOTAL COCHE]]</f>
        <v>1406.6541176470589</v>
      </c>
      <c r="S5242" s="2" t="s">
        <v>84</v>
      </c>
      <c r="T5242" s="2" t="s">
        <v>44</v>
      </c>
      <c r="U5242" s="14">
        <v>45425</v>
      </c>
      <c r="V5242" s="14"/>
      <c r="W5242" s="26"/>
      <c r="X5242" s="2">
        <v>1</v>
      </c>
      <c r="Y5242" s="11"/>
      <c r="Z5242" s="2" t="s">
        <v>36</v>
      </c>
      <c r="AA5242" s="13" t="s">
        <v>10336</v>
      </c>
      <c r="AB5242" s="13" t="s">
        <v>10337</v>
      </c>
    </row>
    <row r="5243" spans="1:28" ht="15" customHeight="1">
      <c r="A5243" s="2" t="s">
        <v>9782</v>
      </c>
      <c r="B5243" s="2" t="s">
        <v>711</v>
      </c>
      <c r="C5243" s="239" t="s">
        <v>4725</v>
      </c>
      <c r="D5243" s="2" t="s">
        <v>99</v>
      </c>
      <c r="E5243" s="2" t="s">
        <v>626</v>
      </c>
      <c r="F5243" s="11" t="s">
        <v>7338</v>
      </c>
      <c r="G5243" s="11" t="s">
        <v>1038</v>
      </c>
      <c r="H5243" s="2" t="s">
        <v>7015</v>
      </c>
      <c r="I5243" s="12" t="s">
        <v>570</v>
      </c>
      <c r="J5243" s="22">
        <f>+Tabla1[[#This Row],[FECHA ENTRADA]]</f>
        <v>46096</v>
      </c>
      <c r="K5243" s="22">
        <v>46137</v>
      </c>
      <c r="L5243" s="23">
        <f>_xlfn.DAYS(Tabla1[[#This Row],[FECHA FIN ]],Tabla1[[#This Row],[FECHA INICIO]])</f>
        <v>41</v>
      </c>
      <c r="M5243" s="12"/>
      <c r="N5243" s="20">
        <v>333.33333333333331</v>
      </c>
      <c r="O5243" s="24">
        <f>(Tabla1[[#This Row],[COSTO FIJO ]]/30)*Tabla1[[#This Row],[TOTAL DIAS PROYECTO]]+(Tabla1[[#This Row],[COSTO TEMPORAL]])</f>
        <v>455.55555555555554</v>
      </c>
      <c r="P5243" s="12"/>
      <c r="Q5243" s="12">
        <f>+(Tabla1[[#This Row],[COSTO COCHE]]/30)*Tabla1[[#This Row],[TOTAL DIAS PROYECTO]]</f>
        <v>0</v>
      </c>
      <c r="R5243" s="12">
        <f>+Tabla1[[#This Row],[COSTO TOTAL ALOJAMIENTO]]+Tabla1[[#This Row],[COSTO TOTAL COCHE]]</f>
        <v>455.55555555555554</v>
      </c>
      <c r="S5243" s="2"/>
      <c r="T5243" s="14" t="s">
        <v>35</v>
      </c>
      <c r="U5243" s="14">
        <v>46096</v>
      </c>
      <c r="V5243" s="79"/>
      <c r="W5243" s="12">
        <v>500</v>
      </c>
      <c r="X5243" s="2">
        <v>1</v>
      </c>
      <c r="Y5243" s="11" t="s">
        <v>7339</v>
      </c>
      <c r="Z5243" s="2" t="s">
        <v>36</v>
      </c>
      <c r="AA5243" s="13" t="s">
        <v>10385</v>
      </c>
      <c r="AB5243" s="13" t="s">
        <v>10386</v>
      </c>
    </row>
    <row r="5244" spans="1:28" ht="15" customHeight="1">
      <c r="A5244" s="2" t="s">
        <v>10240</v>
      </c>
      <c r="B5244" s="2" t="s">
        <v>711</v>
      </c>
      <c r="C5244" s="11" t="s">
        <v>7351</v>
      </c>
      <c r="D5244" s="2" t="s">
        <v>30</v>
      </c>
      <c r="E5244" s="2" t="s">
        <v>213</v>
      </c>
      <c r="F5244" s="11" t="s">
        <v>6730</v>
      </c>
      <c r="G5244" s="46" t="s">
        <v>6731</v>
      </c>
      <c r="H5244" s="2" t="s">
        <v>6732</v>
      </c>
      <c r="I5244" s="12" t="s">
        <v>4464</v>
      </c>
      <c r="J5244" s="41">
        <f>+Tabla1[[#This Row],[FECHA ENTRADA]]</f>
        <v>45951</v>
      </c>
      <c r="K5244" s="22">
        <v>45953</v>
      </c>
      <c r="L5244" s="42">
        <f>_xlfn.DAYS(Tabla1[[#This Row],[FECHA FIN ]],Tabla1[[#This Row],[FECHA INICIO]])</f>
        <v>2</v>
      </c>
      <c r="M5244" s="12">
        <v>92.5</v>
      </c>
      <c r="N5244" s="28"/>
      <c r="O5244" s="28">
        <f>(Tabla1[[#This Row],[COSTO FIJO ]]/30)*Tabla1[[#This Row],[TOTAL DIAS PROYECTO]]+(Tabla1[[#This Row],[COSTO TEMPORAL]])</f>
        <v>92.5</v>
      </c>
      <c r="P5244" s="12"/>
      <c r="Q5244" s="12">
        <f>+(Tabla1[[#This Row],[COSTO COCHE]]/30)*Tabla1[[#This Row],[TOTAL DIAS PROYECTO]]</f>
        <v>0</v>
      </c>
      <c r="R5244" s="12">
        <f>+Tabla1[[#This Row],[COSTO TOTAL ALOJAMIENTO]]+Tabla1[[#This Row],[COSTO TOTAL COCHE]]</f>
        <v>92.5</v>
      </c>
      <c r="S5244" s="2" t="s">
        <v>403</v>
      </c>
      <c r="T5244" s="14" t="s">
        <v>44</v>
      </c>
      <c r="U5244" s="14">
        <v>45951</v>
      </c>
      <c r="V5244" s="43">
        <v>45954</v>
      </c>
      <c r="W5244" s="71"/>
      <c r="X5244" s="2"/>
      <c r="Y5244" s="11" t="s">
        <v>6733</v>
      </c>
      <c r="Z5244" s="2" t="s">
        <v>36</v>
      </c>
      <c r="AA5244" s="13" t="s">
        <v>10349</v>
      </c>
      <c r="AB5244" s="13" t="s">
        <v>10350</v>
      </c>
    </row>
    <row r="5245" spans="1:28" ht="15" customHeight="1">
      <c r="A5245" s="2" t="s">
        <v>9692</v>
      </c>
      <c r="B5245" s="184" t="s">
        <v>606</v>
      </c>
      <c r="C5245" s="239" t="s">
        <v>4270</v>
      </c>
      <c r="D5245" s="2" t="s">
        <v>99</v>
      </c>
      <c r="E5245" s="2" t="s">
        <v>31</v>
      </c>
      <c r="F5245" s="11" t="s">
        <v>1325</v>
      </c>
      <c r="G5245" s="49" t="s">
        <v>1326</v>
      </c>
      <c r="H5245" s="2" t="s">
        <v>7352</v>
      </c>
      <c r="I5245" s="12" t="s">
        <v>3791</v>
      </c>
      <c r="J5245" s="22">
        <f>+Tabla1[[#This Row],[FECHA ENTRADA]]</f>
        <v>46048</v>
      </c>
      <c r="K5245" s="22">
        <v>46050</v>
      </c>
      <c r="L5245" s="23">
        <f>_xlfn.DAYS(Tabla1[[#This Row],[FECHA FIN ]],Tabla1[[#This Row],[FECHA INICIO]])</f>
        <v>2</v>
      </c>
      <c r="M5245" s="12"/>
      <c r="N5245" s="20">
        <v>400</v>
      </c>
      <c r="O5245" s="24">
        <f>(Tabla1[[#This Row],[COSTO FIJO ]]/30)*Tabla1[[#This Row],[TOTAL DIAS PROYECTO]]+(Tabla1[[#This Row],[COSTO TEMPORAL]])</f>
        <v>26.666666666666668</v>
      </c>
      <c r="P5245" s="12"/>
      <c r="Q5245" s="12">
        <f>+(Tabla1[[#This Row],[COSTO COCHE]]/30)*Tabla1[[#This Row],[TOTAL DIAS PROYECTO]]</f>
        <v>0</v>
      </c>
      <c r="R5245" s="12">
        <f>+Tabla1[[#This Row],[COSTO TOTAL ALOJAMIENTO]]+Tabla1[[#This Row],[COSTO TOTAL COCHE]]</f>
        <v>26.666666666666668</v>
      </c>
      <c r="S5245" s="2"/>
      <c r="T5245" s="14" t="s">
        <v>613</v>
      </c>
      <c r="U5245" s="14">
        <v>46048</v>
      </c>
      <c r="V5245" s="79"/>
      <c r="W5245" s="12">
        <v>100</v>
      </c>
      <c r="X5245" s="2">
        <v>22</v>
      </c>
      <c r="Y5245" s="11" t="s">
        <v>7353</v>
      </c>
      <c r="Z5245" s="2" t="s">
        <v>36</v>
      </c>
      <c r="AA5245" s="13" t="s">
        <v>10323</v>
      </c>
      <c r="AB5245" s="13" t="s">
        <v>10324</v>
      </c>
    </row>
    <row r="5246" spans="1:28" ht="15" customHeight="1">
      <c r="A5246" s="2" t="s">
        <v>8642</v>
      </c>
      <c r="B5246" s="2" t="s">
        <v>28</v>
      </c>
      <c r="C5246" s="11" t="s">
        <v>7354</v>
      </c>
      <c r="D5246" s="2" t="s">
        <v>749</v>
      </c>
      <c r="E5246" s="2" t="s">
        <v>288</v>
      </c>
      <c r="F5246" s="11" t="s">
        <v>3464</v>
      </c>
      <c r="G5246" s="70" t="s">
        <v>1142</v>
      </c>
      <c r="H5246" s="2"/>
      <c r="I5246" s="12" t="s">
        <v>753</v>
      </c>
      <c r="J5246" s="22">
        <f>+Tabla1[[#This Row],[FECHA ENTRADA]]</f>
        <v>45996</v>
      </c>
      <c r="K5246" s="22">
        <v>46023</v>
      </c>
      <c r="L5246" s="23">
        <f>_xlfn.DAYS(Tabla1[[#This Row],[FECHA FIN ]],Tabla1[[#This Row],[FECHA INICIO]])</f>
        <v>27</v>
      </c>
      <c r="M5246" s="12"/>
      <c r="N5246" s="20"/>
      <c r="O5246" s="24">
        <f>(Tabla1[[#This Row],[COSTO FIJO ]]/30)*Tabla1[[#This Row],[TOTAL DIAS PROYECTO]]+(Tabla1[[#This Row],[COSTO TEMPORAL]])</f>
        <v>0</v>
      </c>
      <c r="P5246" s="12"/>
      <c r="Q5246" s="12">
        <f>+(Tabla1[[#This Row],[COSTO COCHE]]/30)*Tabla1[[#This Row],[TOTAL DIAS PROYECTO]]</f>
        <v>0</v>
      </c>
      <c r="R5246" s="12">
        <f>+Tabla1[[#This Row],[COSTO TOTAL ALOJAMIENTO]]+Tabla1[[#This Row],[COSTO TOTAL COCHE]]</f>
        <v>0</v>
      </c>
      <c r="S5246" s="2"/>
      <c r="T5246" s="14" t="s">
        <v>35</v>
      </c>
      <c r="U5246" s="14">
        <v>45996</v>
      </c>
      <c r="V5246" s="79"/>
      <c r="W5246" s="12"/>
      <c r="X5246" s="2">
        <v>1</v>
      </c>
      <c r="Y5246" s="11" t="s">
        <v>1166</v>
      </c>
      <c r="Z5246" s="2" t="s">
        <v>36</v>
      </c>
      <c r="AA5246" s="13" t="s">
        <v>10362</v>
      </c>
      <c r="AB5246" s="13" t="s">
        <v>10363</v>
      </c>
    </row>
    <row r="5247" spans="1:28" ht="15" customHeight="1">
      <c r="A5247" s="2" t="s">
        <v>9244</v>
      </c>
      <c r="B5247" s="2" t="s">
        <v>711</v>
      </c>
      <c r="C5247" s="321" t="s">
        <v>2566</v>
      </c>
      <c r="D5247" s="2" t="s">
        <v>30</v>
      </c>
      <c r="E5247" s="2" t="s">
        <v>2378</v>
      </c>
      <c r="F5247" s="31" t="s">
        <v>7279</v>
      </c>
      <c r="G5247" s="21" t="s">
        <v>7280</v>
      </c>
      <c r="H5247" s="2" t="s">
        <v>6757</v>
      </c>
      <c r="I5247" s="12" t="s">
        <v>1392</v>
      </c>
      <c r="J5247" s="22">
        <f>+Tabla1[[#This Row],[FECHA ENTRADA]]</f>
        <v>46134</v>
      </c>
      <c r="K5247" s="22">
        <v>46239</v>
      </c>
      <c r="L5247" s="23">
        <f>_xlfn.DAYS(Tabla1[[#This Row],[FECHA FIN ]],Tabla1[[#This Row],[FECHA INICIO]])</f>
        <v>105</v>
      </c>
      <c r="M5247" s="12"/>
      <c r="N5247" s="24">
        <v>400</v>
      </c>
      <c r="O5247" s="24">
        <f>(Tabla1[[#This Row],[COSTO FIJO ]]/30)*Tabla1[[#This Row],[TOTAL DIAS PROYECTO]]+(Tabla1[[#This Row],[COSTO TEMPORAL]])</f>
        <v>1400</v>
      </c>
      <c r="P5247" s="12"/>
      <c r="Q5247" s="12">
        <f>+(Tabla1[[#This Row],[COSTO COCHE]]/30)*Tabla1[[#This Row],[TOTAL DIAS PROYECTO]]</f>
        <v>0</v>
      </c>
      <c r="R5247" s="12">
        <f>+Tabla1[[#This Row],[COSTO TOTAL ALOJAMIENTO]]+Tabla1[[#This Row],[COSTO TOTAL COCHE]]</f>
        <v>1400</v>
      </c>
      <c r="S5247" s="2"/>
      <c r="T5247" s="14" t="s">
        <v>35</v>
      </c>
      <c r="U5247" s="14">
        <v>46134</v>
      </c>
      <c r="V5247" s="25"/>
      <c r="W5247" s="12"/>
      <c r="X5247" s="2">
        <v>1</v>
      </c>
      <c r="Y5247" s="11" t="s">
        <v>7321</v>
      </c>
      <c r="Z5247" s="2" t="s">
        <v>36</v>
      </c>
      <c r="AA5247" s="13" t="e">
        <v>#N/A</v>
      </c>
      <c r="AB5247" s="13" t="e">
        <v>#N/A</v>
      </c>
    </row>
    <row r="5248" spans="1:28" ht="15" customHeight="1">
      <c r="A5248" s="2" t="s">
        <v>9881</v>
      </c>
      <c r="B5248" s="323" t="s">
        <v>28</v>
      </c>
      <c r="C5248" s="31" t="s">
        <v>5205</v>
      </c>
      <c r="D5248" s="2" t="s">
        <v>99</v>
      </c>
      <c r="E5248" s="2" t="s">
        <v>253</v>
      </c>
      <c r="F5248" s="11" t="s">
        <v>1688</v>
      </c>
      <c r="G5248" s="49" t="s">
        <v>1689</v>
      </c>
      <c r="H5248" s="2" t="s">
        <v>5206</v>
      </c>
      <c r="I5248" s="12" t="s">
        <v>5169</v>
      </c>
      <c r="J5248" s="22">
        <f>+Tabla1[[#This Row],[FECHA ENTRADA]]</f>
        <v>45916</v>
      </c>
      <c r="K5248" s="22">
        <f ca="1">TODAY()</f>
        <v>46260</v>
      </c>
      <c r="L5248" s="23">
        <f ca="1">_xlfn.DAYS(Tabla1[[#This Row],[FECHA FIN ]],Tabla1[[#This Row],[FECHA INICIO]])</f>
        <v>344</v>
      </c>
      <c r="M5248" s="12"/>
      <c r="N5248" s="24">
        <v>480</v>
      </c>
      <c r="O5248" s="24">
        <f ca="1">(Tabla1[[#This Row],[COSTO FIJO ]]/30)*Tabla1[[#This Row],[TOTAL DIAS PROYECTO]]+(Tabla1[[#This Row],[COSTO TEMPORAL]])</f>
        <v>5504</v>
      </c>
      <c r="P5248" s="12"/>
      <c r="Q5248" s="12">
        <f ca="1">+(Tabla1[[#This Row],[COSTO COCHE]]/30)*Tabla1[[#This Row],[TOTAL DIAS PROYECTO]]</f>
        <v>0</v>
      </c>
      <c r="R5248" s="12">
        <f ca="1">+Tabla1[[#This Row],[COSTO TOTAL ALOJAMIENTO]]+Tabla1[[#This Row],[COSTO TOTAL COCHE]]</f>
        <v>5504</v>
      </c>
      <c r="S5248" s="2"/>
      <c r="T5248" s="14" t="s">
        <v>35</v>
      </c>
      <c r="U5248" s="14">
        <v>45916</v>
      </c>
      <c r="V5248" s="25"/>
      <c r="W5248" s="71"/>
      <c r="X5248" s="2">
        <v>15</v>
      </c>
      <c r="Y5248" s="11" t="s">
        <v>7355</v>
      </c>
      <c r="Z5248" s="2" t="s">
        <v>36</v>
      </c>
      <c r="AA5248" s="13" t="s">
        <v>10357</v>
      </c>
      <c r="AB5248" s="13" t="s">
        <v>10358</v>
      </c>
    </row>
    <row r="5249" spans="1:28" ht="15" customHeight="1">
      <c r="A5249" s="2" t="s">
        <v>10211</v>
      </c>
      <c r="B5249" s="2" t="s">
        <v>28</v>
      </c>
      <c r="C5249" s="11" t="s">
        <v>7183</v>
      </c>
      <c r="D5249" s="2" t="s">
        <v>30</v>
      </c>
      <c r="E5249" s="2" t="s">
        <v>720</v>
      </c>
      <c r="F5249" s="11" t="s">
        <v>3772</v>
      </c>
      <c r="G5249" s="11" t="s">
        <v>3773</v>
      </c>
      <c r="H5249" s="2" t="s">
        <v>3774</v>
      </c>
      <c r="I5249" s="12" t="s">
        <v>279</v>
      </c>
      <c r="J5249" s="8">
        <f>+Tabla1[[#This Row],[FECHA ENTRADA]]</f>
        <v>45430</v>
      </c>
      <c r="K5249" s="8">
        <f ca="1">TODAY()</f>
        <v>46260</v>
      </c>
      <c r="L5249" s="13">
        <f ca="1">_xlfn.DAYS(Tabla1[[#This Row],[FECHA FIN ]],Tabla1[[#This Row],[FECHA INICIO]])</f>
        <v>830</v>
      </c>
      <c r="M5249" s="12"/>
      <c r="N5249" s="12">
        <v>150</v>
      </c>
      <c r="O5249" s="12">
        <f ca="1">(Tabla1[[#This Row],[COSTO FIJO ]]/30)*Tabla1[[#This Row],[TOTAL DIAS PROYECTO]]+(Tabla1[[#This Row],[COSTO TEMPORAL]])</f>
        <v>4150</v>
      </c>
      <c r="P5249" s="12"/>
      <c r="Q5249" s="12">
        <f ca="1">+(Tabla1[[#This Row],[COSTO COCHE]]/30)*Tabla1[[#This Row],[TOTAL DIAS PROYECTO]]</f>
        <v>0</v>
      </c>
      <c r="R5249" s="12">
        <f ca="1">+Tabla1[[#This Row],[COSTO TOTAL ALOJAMIENTO]]+Tabla1[[#This Row],[COSTO TOTAL COCHE]]</f>
        <v>4150</v>
      </c>
      <c r="S5249" s="2"/>
      <c r="T5249" s="2" t="s">
        <v>35</v>
      </c>
      <c r="U5249" s="14">
        <v>45430</v>
      </c>
      <c r="V5249" s="14"/>
      <c r="W5249" s="26"/>
      <c r="X5249" s="2">
        <v>15</v>
      </c>
      <c r="Y5249" s="18"/>
      <c r="Z5249" s="2" t="s">
        <v>36</v>
      </c>
      <c r="AA5249" s="13" t="s">
        <v>10394</v>
      </c>
      <c r="AB5249" s="13" t="s">
        <v>10395</v>
      </c>
    </row>
    <row r="5250" spans="1:28" ht="15" customHeight="1">
      <c r="A5250" s="2" t="s">
        <v>10241</v>
      </c>
      <c r="B5250" s="2" t="s">
        <v>368</v>
      </c>
      <c r="C5250" s="31" t="s">
        <v>7356</v>
      </c>
      <c r="D5250" s="2" t="s">
        <v>30</v>
      </c>
      <c r="E5250" s="2" t="s">
        <v>380</v>
      </c>
      <c r="F5250" s="11" t="s">
        <v>7357</v>
      </c>
      <c r="G5250" s="46" t="s">
        <v>7358</v>
      </c>
      <c r="H5250" s="2" t="s">
        <v>7359</v>
      </c>
      <c r="I5250" s="12" t="s">
        <v>3054</v>
      </c>
      <c r="J5250" s="41">
        <f>+Tabla1[[#This Row],[FECHA ENTRADA]]</f>
        <v>45942</v>
      </c>
      <c r="K5250" s="41">
        <v>45953</v>
      </c>
      <c r="L5250" s="42">
        <f>_xlfn.DAYS(Tabla1[[#This Row],[FECHA FIN ]],Tabla1[[#This Row],[FECHA INICIO]])</f>
        <v>11</v>
      </c>
      <c r="M5250" s="12">
        <f>(802+30.8)/3</f>
        <v>277.59999999999997</v>
      </c>
      <c r="N5250" s="28"/>
      <c r="O5250" s="28">
        <f>(Tabla1[[#This Row],[COSTO FIJO ]]/30)*Tabla1[[#This Row],[TOTAL DIAS PROYECTO]]+(Tabla1[[#This Row],[COSTO TEMPORAL]])</f>
        <v>277.59999999999997</v>
      </c>
      <c r="P5250" s="12"/>
      <c r="Q5250" s="12">
        <f>+(Tabla1[[#This Row],[COSTO COCHE]]/30)*Tabla1[[#This Row],[TOTAL DIAS PROYECTO]]</f>
        <v>0</v>
      </c>
      <c r="R5250" s="12">
        <f>+Tabla1[[#This Row],[COSTO TOTAL ALOJAMIENTO]]+Tabla1[[#This Row],[COSTO TOTAL COCHE]]</f>
        <v>277.59999999999997</v>
      </c>
      <c r="S5250" s="2" t="s">
        <v>403</v>
      </c>
      <c r="T5250" s="14" t="s">
        <v>44</v>
      </c>
      <c r="U5250" s="14">
        <v>45942</v>
      </c>
      <c r="V5250" s="43">
        <v>45958</v>
      </c>
      <c r="W5250" s="71"/>
      <c r="X5250" s="2"/>
      <c r="Y5250" s="11" t="s">
        <v>7360</v>
      </c>
      <c r="Z5250" s="2" t="s">
        <v>36</v>
      </c>
      <c r="AA5250" s="13" t="s">
        <v>10370</v>
      </c>
      <c r="AB5250" s="13" t="s">
        <v>10371</v>
      </c>
    </row>
    <row r="5251" spans="1:28" ht="15" customHeight="1">
      <c r="A5251" s="2" t="s">
        <v>9946</v>
      </c>
      <c r="B5251" s="2" t="s">
        <v>978</v>
      </c>
      <c r="C5251" s="11" t="s">
        <v>5625</v>
      </c>
      <c r="D5251" s="2" t="s">
        <v>99</v>
      </c>
      <c r="E5251" s="2" t="s">
        <v>31</v>
      </c>
      <c r="F5251" s="11" t="s">
        <v>6382</v>
      </c>
      <c r="G5251" s="21" t="s">
        <v>6372</v>
      </c>
      <c r="H5251" s="2" t="s">
        <v>5628</v>
      </c>
      <c r="I5251" s="12" t="s">
        <v>5629</v>
      </c>
      <c r="J5251" s="41">
        <f>+Tabla1[[#This Row],[FECHA ENTRADA]]</f>
        <v>46191</v>
      </c>
      <c r="K5251" s="41">
        <f ca="1">TODAY()</f>
        <v>46260</v>
      </c>
      <c r="L5251" s="42">
        <f ca="1">_xlfn.DAYS(Tabla1[[#This Row],[FECHA FIN ]],Tabla1[[#This Row],[FECHA INICIO]])</f>
        <v>69</v>
      </c>
      <c r="M5251" s="12">
        <v>440</v>
      </c>
      <c r="N5251" s="28"/>
      <c r="O5251" s="28">
        <f ca="1">(Tabla1[[#This Row],[COSTO FIJO ]]/30)*Tabla1[[#This Row],[TOTAL DIAS PROYECTO]]+(Tabla1[[#This Row],[COSTO TEMPORAL]])</f>
        <v>440</v>
      </c>
      <c r="P5251" s="12"/>
      <c r="Q5251" s="12">
        <f ca="1">+(Tabla1[[#This Row],[COSTO COCHE]]/30)*Tabla1[[#This Row],[TOTAL DIAS PROYECTO]]</f>
        <v>0</v>
      </c>
      <c r="R5251" s="12">
        <f ca="1">+Tabla1[[#This Row],[COSTO TOTAL ALOJAMIENTO]]+Tabla1[[#This Row],[COSTO TOTAL COCHE]]</f>
        <v>440</v>
      </c>
      <c r="S5251" s="2"/>
      <c r="T5251" s="14" t="s">
        <v>44</v>
      </c>
      <c r="U5251" s="14">
        <v>46191</v>
      </c>
      <c r="V5251" s="25">
        <v>46251</v>
      </c>
      <c r="W5251" s="12"/>
      <c r="X5251" s="2"/>
      <c r="Y5251" s="11" t="s">
        <v>7361</v>
      </c>
      <c r="Z5251" s="2" t="s">
        <v>702</v>
      </c>
      <c r="AA5251" s="13" t="s">
        <v>10323</v>
      </c>
      <c r="AB5251" s="13" t="s">
        <v>10324</v>
      </c>
    </row>
    <row r="5252" spans="1:28" ht="15" customHeight="1">
      <c r="A5252" s="2" t="s">
        <v>9746</v>
      </c>
      <c r="B5252" s="2" t="s">
        <v>606</v>
      </c>
      <c r="C5252" s="239" t="s">
        <v>4546</v>
      </c>
      <c r="D5252" s="2" t="s">
        <v>30</v>
      </c>
      <c r="E5252" s="2" t="s">
        <v>259</v>
      </c>
      <c r="F5252" s="11" t="s">
        <v>7362</v>
      </c>
      <c r="G5252" s="46" t="s">
        <v>4207</v>
      </c>
      <c r="H5252" s="2" t="s">
        <v>7363</v>
      </c>
      <c r="I5252" s="12" t="s">
        <v>57</v>
      </c>
      <c r="J5252" s="41">
        <f>+Tabla1[[#This Row],[FECHA ENTRADA]]</f>
        <v>46189</v>
      </c>
      <c r="K5252" s="22">
        <v>46236</v>
      </c>
      <c r="L5252" s="42">
        <f>_xlfn.DAYS(Tabla1[[#This Row],[FECHA FIN ]],Tabla1[[#This Row],[FECHA INICIO]])</f>
        <v>47</v>
      </c>
      <c r="M5252" s="12"/>
      <c r="N5252" s="28">
        <v>323.33333333333331</v>
      </c>
      <c r="O5252" s="28">
        <f>(Tabla1[[#This Row],[COSTO FIJO ]]/30)*Tabla1[[#This Row],[TOTAL DIAS PROYECTO]]+(Tabla1[[#This Row],[COSTO TEMPORAL]])</f>
        <v>506.55555555555549</v>
      </c>
      <c r="P5252" s="12"/>
      <c r="Q5252" s="12">
        <f>+(Tabla1[[#This Row],[COSTO COCHE]]/30)*Tabla1[[#This Row],[TOTAL DIAS PROYECTO]]</f>
        <v>0</v>
      </c>
      <c r="R5252" s="12">
        <f>+Tabla1[[#This Row],[COSTO TOTAL ALOJAMIENTO]]+Tabla1[[#This Row],[COSTO TOTAL COCHE]]</f>
        <v>506.55555555555549</v>
      </c>
      <c r="S5252" s="2"/>
      <c r="T5252" s="14" t="s">
        <v>35</v>
      </c>
      <c r="U5252" s="14">
        <v>46189</v>
      </c>
      <c r="V5252" s="43"/>
      <c r="W5252" s="12">
        <v>970</v>
      </c>
      <c r="X5252" s="2">
        <v>1</v>
      </c>
      <c r="Y5252" s="11" t="s">
        <v>7364</v>
      </c>
      <c r="Z5252" s="2" t="s">
        <v>36</v>
      </c>
      <c r="AA5252" s="13">
        <v>-0.87734000000000001</v>
      </c>
      <c r="AB5252" s="13" t="s">
        <v>10359</v>
      </c>
    </row>
    <row r="5253" spans="1:28" ht="15" customHeight="1">
      <c r="A5253" s="2" t="s">
        <v>9947</v>
      </c>
      <c r="B5253" s="11" t="s">
        <v>3133</v>
      </c>
      <c r="C5253" s="11" t="s">
        <v>5635</v>
      </c>
      <c r="D5253" s="2" t="s">
        <v>30</v>
      </c>
      <c r="E5253" s="2" t="s">
        <v>826</v>
      </c>
      <c r="F5253" s="11" t="s">
        <v>7365</v>
      </c>
      <c r="G5253" s="21" t="s">
        <v>6844</v>
      </c>
      <c r="H5253" s="2" t="s">
        <v>7366</v>
      </c>
      <c r="I5253" s="12" t="s">
        <v>1994</v>
      </c>
      <c r="J5253" s="22">
        <f>+Tabla1[[#This Row],[FECHA ENTRADA]]</f>
        <v>46128</v>
      </c>
      <c r="K5253" s="22">
        <f ca="1">TODAY()</f>
        <v>46260</v>
      </c>
      <c r="L5253" s="23">
        <f ca="1">_xlfn.DAYS(Tabla1[[#This Row],[FECHA FIN ]],Tabla1[[#This Row],[FECHA INICIO]])</f>
        <v>132</v>
      </c>
      <c r="M5253" s="12">
        <v>350</v>
      </c>
      <c r="N5253" s="20"/>
      <c r="O5253" s="24">
        <f ca="1">(Tabla1[[#This Row],[COSTO FIJO ]]/30)*Tabla1[[#This Row],[TOTAL DIAS PROYECTO]]+(Tabla1[[#This Row],[COSTO TEMPORAL]])</f>
        <v>350</v>
      </c>
      <c r="P5253" s="12"/>
      <c r="Q5253" s="12">
        <f ca="1">+(Tabla1[[#This Row],[COSTO COCHE]]/30)*Tabla1[[#This Row],[TOTAL DIAS PROYECTO]]</f>
        <v>0</v>
      </c>
      <c r="R5253" s="12">
        <f ca="1">+Tabla1[[#This Row],[COSTO TOTAL ALOJAMIENTO]]+Tabla1[[#This Row],[COSTO TOTAL COCHE]]</f>
        <v>350</v>
      </c>
      <c r="S5253" s="2"/>
      <c r="T5253" s="14" t="s">
        <v>44</v>
      </c>
      <c r="U5253" s="14">
        <v>46128</v>
      </c>
      <c r="V5253" s="25">
        <v>46258</v>
      </c>
      <c r="W5253" s="12"/>
      <c r="X5253" s="2"/>
      <c r="Y5253" s="11" t="s">
        <v>7367</v>
      </c>
      <c r="Z5253" s="2" t="s">
        <v>702</v>
      </c>
      <c r="AA5253" s="13" t="s">
        <v>10399</v>
      </c>
      <c r="AB5253" s="13" t="s">
        <v>10400</v>
      </c>
    </row>
    <row r="5254" spans="1:28" ht="15" customHeight="1">
      <c r="A5254" s="2" t="s">
        <v>8749</v>
      </c>
      <c r="B5254" s="2" t="s">
        <v>711</v>
      </c>
      <c r="C5254" s="11" t="s">
        <v>584</v>
      </c>
      <c r="D5254" s="2" t="s">
        <v>30</v>
      </c>
      <c r="E5254" s="2" t="s">
        <v>734</v>
      </c>
      <c r="F5254" s="11" t="s">
        <v>735</v>
      </c>
      <c r="G5254" s="46"/>
      <c r="H5254" s="2" t="s">
        <v>737</v>
      </c>
      <c r="I5254" s="12" t="s">
        <v>96</v>
      </c>
      <c r="J5254" s="41">
        <f>+Tabla1[[#This Row],[FECHA ENTRADA]]</f>
        <v>46174</v>
      </c>
      <c r="K5254" s="41">
        <f ca="1">TODAY()</f>
        <v>46260</v>
      </c>
      <c r="L5254" s="42">
        <f ca="1">_xlfn.DAYS(Tabla1[[#This Row],[FECHA FIN ]],Tabla1[[#This Row],[FECHA INICIO]])</f>
        <v>86</v>
      </c>
      <c r="M5254" s="12"/>
      <c r="N5254" s="28">
        <v>0</v>
      </c>
      <c r="O5254" s="28">
        <f ca="1">(Tabla1[[#This Row],[COSTO FIJO ]]/30)*Tabla1[[#This Row],[TOTAL DIAS PROYECTO]]+(Tabla1[[#This Row],[COSTO TEMPORAL]])</f>
        <v>0</v>
      </c>
      <c r="P5254" s="12"/>
      <c r="Q5254" s="12">
        <f ca="1">+(Tabla1[[#This Row],[COSTO COCHE]]/30)*Tabla1[[#This Row],[TOTAL DIAS PROYECTO]]</f>
        <v>0</v>
      </c>
      <c r="R5254" s="12">
        <f ca="1">+Tabla1[[#This Row],[COSTO TOTAL ALOJAMIENTO]]+Tabla1[[#This Row],[COSTO TOTAL COCHE]]</f>
        <v>0</v>
      </c>
      <c r="S5254" s="2"/>
      <c r="T5254" s="14" t="s">
        <v>8</v>
      </c>
      <c r="U5254" s="14">
        <v>46174</v>
      </c>
      <c r="V5254" s="43"/>
      <c r="W5254" s="12"/>
      <c r="X5254" s="2"/>
      <c r="Y5254" s="11" t="s">
        <v>7368</v>
      </c>
      <c r="Z5254" s="2" t="s">
        <v>702</v>
      </c>
      <c r="AA5254" s="13" t="s">
        <v>10396</v>
      </c>
      <c r="AB5254" s="13" t="s">
        <v>10397</v>
      </c>
    </row>
    <row r="5255" spans="1:28" ht="15" customHeight="1">
      <c r="A5255" s="2" t="s">
        <v>9319</v>
      </c>
      <c r="B5255" s="2" t="s">
        <v>711</v>
      </c>
      <c r="C5255" s="11" t="s">
        <v>2812</v>
      </c>
      <c r="D5255" s="2" t="s">
        <v>30</v>
      </c>
      <c r="E5255" s="2" t="s">
        <v>114</v>
      </c>
      <c r="F5255" s="11" t="s">
        <v>7140</v>
      </c>
      <c r="G5255" s="21" t="s">
        <v>7141</v>
      </c>
      <c r="H5255" s="2" t="s">
        <v>6775</v>
      </c>
      <c r="I5255" s="12" t="s">
        <v>118</v>
      </c>
      <c r="J5255" s="22">
        <f>+Tabla1[[#This Row],[FECHA ENTRADA]]</f>
        <v>46113</v>
      </c>
      <c r="K5255" s="22">
        <v>46131</v>
      </c>
      <c r="L5255" s="23">
        <f>_xlfn.DAYS(Tabla1[[#This Row],[FECHA FIN ]],Tabla1[[#This Row],[FECHA INICIO]])</f>
        <v>18</v>
      </c>
      <c r="M5255" s="12"/>
      <c r="N5255" s="24">
        <v>350</v>
      </c>
      <c r="O5255" s="24">
        <f>(Tabla1[[#This Row],[COSTO FIJO ]]/30)*Tabla1[[#This Row],[TOTAL DIAS PROYECTO]]+(Tabla1[[#This Row],[COSTO TEMPORAL]])</f>
        <v>210</v>
      </c>
      <c r="P5255" s="12"/>
      <c r="Q5255" s="12">
        <f>+(Tabla1[[#This Row],[COSTO COCHE]]/30)*Tabla1[[#This Row],[TOTAL DIAS PROYECTO]]</f>
        <v>0</v>
      </c>
      <c r="R5255" s="12">
        <f>+Tabla1[[#This Row],[COSTO TOTAL ALOJAMIENTO]]+Tabla1[[#This Row],[COSTO TOTAL COCHE]]</f>
        <v>210</v>
      </c>
      <c r="S5255" s="2"/>
      <c r="T5255" s="14" t="s">
        <v>35</v>
      </c>
      <c r="U5255" s="14">
        <v>46113</v>
      </c>
      <c r="V5255" s="25"/>
      <c r="W5255" s="12"/>
      <c r="X5255" s="2">
        <v>1</v>
      </c>
      <c r="Y5255" s="11" t="s">
        <v>1166</v>
      </c>
      <c r="Z5255" s="2" t="s">
        <v>36</v>
      </c>
      <c r="AA5255" s="13" t="s">
        <v>10340</v>
      </c>
      <c r="AB5255" s="13" t="s">
        <v>10341</v>
      </c>
    </row>
    <row r="5256" spans="1:28" s="70" customFormat="1" ht="15" customHeight="1">
      <c r="A5256" s="2" t="s">
        <v>8642</v>
      </c>
      <c r="B5256" s="2" t="s">
        <v>711</v>
      </c>
      <c r="C5256" s="11" t="s">
        <v>7369</v>
      </c>
      <c r="D5256" s="2" t="s">
        <v>99</v>
      </c>
      <c r="E5256" s="2" t="s">
        <v>648</v>
      </c>
      <c r="F5256" s="11"/>
      <c r="G5256" s="21"/>
      <c r="H5256" s="2" t="s">
        <v>7370</v>
      </c>
      <c r="I5256" s="12" t="s">
        <v>96</v>
      </c>
      <c r="J5256" s="22">
        <f>+Tabla1[[#This Row],[FECHA ENTRADA]]</f>
        <v>46209</v>
      </c>
      <c r="K5256" s="22">
        <f ca="1">TODAY()</f>
        <v>46260</v>
      </c>
      <c r="L5256" s="23">
        <f ca="1">_xlfn.DAYS(Tabla1[[#This Row],[FECHA FIN ]],Tabla1[[#This Row],[FECHA INICIO]])</f>
        <v>51</v>
      </c>
      <c r="M5256" s="12"/>
      <c r="N5256" s="20">
        <v>0</v>
      </c>
      <c r="O5256" s="24">
        <f ca="1">(Tabla1[[#This Row],[COSTO FIJO ]]/30)*Tabla1[[#This Row],[TOTAL DIAS PROYECTO]]+(Tabla1[[#This Row],[COSTO TEMPORAL]])</f>
        <v>0</v>
      </c>
      <c r="P5256" s="12"/>
      <c r="Q5256" s="12">
        <f ca="1">+(Tabla1[[#This Row],[COSTO COCHE]]/30)*Tabla1[[#This Row],[TOTAL DIAS PROYECTO]]</f>
        <v>0</v>
      </c>
      <c r="R5256" s="12">
        <f ca="1">+Tabla1[[#This Row],[COSTO TOTAL ALOJAMIENTO]]+Tabla1[[#This Row],[COSTO TOTAL COCHE]]</f>
        <v>0</v>
      </c>
      <c r="S5256" s="2"/>
      <c r="T5256" s="14" t="s">
        <v>8</v>
      </c>
      <c r="U5256" s="14">
        <v>46209</v>
      </c>
      <c r="V5256" s="79"/>
      <c r="W5256" s="12"/>
      <c r="X5256" s="2"/>
      <c r="Y5256" s="11" t="s">
        <v>7371</v>
      </c>
      <c r="Z5256" s="2" t="s">
        <v>702</v>
      </c>
      <c r="AA5256" s="13" t="s">
        <v>10387</v>
      </c>
      <c r="AB5256" s="13" t="s">
        <v>10388</v>
      </c>
    </row>
    <row r="5257" spans="1:28" ht="15" customHeight="1">
      <c r="A5257" s="2" t="s">
        <v>8725</v>
      </c>
      <c r="B5257" s="2" t="s">
        <v>711</v>
      </c>
      <c r="C5257" s="11" t="s">
        <v>458</v>
      </c>
      <c r="D5257" s="2" t="s">
        <v>30</v>
      </c>
      <c r="E5257" s="2" t="s">
        <v>648</v>
      </c>
      <c r="F5257" s="11" t="s">
        <v>712</v>
      </c>
      <c r="G5257" s="46"/>
      <c r="H5257" s="2" t="s">
        <v>1363</v>
      </c>
      <c r="I5257" s="12" t="s">
        <v>96</v>
      </c>
      <c r="J5257" s="41">
        <f>+Tabla1[[#This Row],[FECHA ENTRADA]]</f>
        <v>46174</v>
      </c>
      <c r="K5257" s="41">
        <f ca="1">TODAY()</f>
        <v>46260</v>
      </c>
      <c r="L5257" s="42">
        <f ca="1">_xlfn.DAYS(Tabla1[[#This Row],[FECHA FIN ]],Tabla1[[#This Row],[FECHA INICIO]])</f>
        <v>86</v>
      </c>
      <c r="M5257" s="12"/>
      <c r="N5257" s="28">
        <v>0</v>
      </c>
      <c r="O5257" s="28">
        <f ca="1">(Tabla1[[#This Row],[COSTO FIJO ]]/30)*Tabla1[[#This Row],[TOTAL DIAS PROYECTO]]+(Tabla1[[#This Row],[COSTO TEMPORAL]])</f>
        <v>0</v>
      </c>
      <c r="P5257" s="12"/>
      <c r="Q5257" s="12">
        <f ca="1">+(Tabla1[[#This Row],[COSTO COCHE]]/30)*Tabla1[[#This Row],[TOTAL DIAS PROYECTO]]</f>
        <v>0</v>
      </c>
      <c r="R5257" s="12">
        <f ca="1">+Tabla1[[#This Row],[COSTO TOTAL ALOJAMIENTO]]+Tabla1[[#This Row],[COSTO TOTAL COCHE]]</f>
        <v>0</v>
      </c>
      <c r="S5257" s="2"/>
      <c r="T5257" s="14" t="s">
        <v>8</v>
      </c>
      <c r="U5257" s="14">
        <v>46174</v>
      </c>
      <c r="V5257" s="43"/>
      <c r="W5257" s="12"/>
      <c r="X5257" s="2"/>
      <c r="Y5257" s="11" t="s">
        <v>7371</v>
      </c>
      <c r="Z5257" s="2" t="s">
        <v>702</v>
      </c>
      <c r="AA5257" s="13" t="s">
        <v>10387</v>
      </c>
      <c r="AB5257" s="13" t="s">
        <v>10388</v>
      </c>
    </row>
    <row r="5258" spans="1:28" ht="15" customHeight="1">
      <c r="A5258" s="2" t="s">
        <v>9126</v>
      </c>
      <c r="B5258" s="2" t="s">
        <v>711</v>
      </c>
      <c r="C5258" s="11" t="s">
        <v>2102</v>
      </c>
      <c r="D5258" s="2" t="s">
        <v>30</v>
      </c>
      <c r="E5258" s="2" t="s">
        <v>648</v>
      </c>
      <c r="F5258" s="11"/>
      <c r="G5258" s="11"/>
      <c r="H5258" s="2" t="s">
        <v>2104</v>
      </c>
      <c r="I5258" s="12" t="s">
        <v>96</v>
      </c>
      <c r="J5258" s="41">
        <f>+Tabla1[[#This Row],[FECHA ENTRADA]]</f>
        <v>46082</v>
      </c>
      <c r="K5258" s="22">
        <f ca="1">TODAY()</f>
        <v>46260</v>
      </c>
      <c r="L5258" s="42">
        <f ca="1">_xlfn.DAYS(Tabla1[[#This Row],[FECHA FIN ]],Tabla1[[#This Row],[FECHA INICIO]])</f>
        <v>178</v>
      </c>
      <c r="M5258" s="12"/>
      <c r="N5258" s="20">
        <v>300</v>
      </c>
      <c r="O5258" s="28">
        <f ca="1">(Tabla1[[#This Row],[COSTO FIJO ]]/30)*Tabla1[[#This Row],[TOTAL DIAS PROYECTO]]+(Tabla1[[#This Row],[COSTO TEMPORAL]])</f>
        <v>1780</v>
      </c>
      <c r="P5258" s="12"/>
      <c r="Q5258" s="12">
        <f ca="1">+(Tabla1[[#This Row],[COSTO COCHE]]/30)*Tabla1[[#This Row],[TOTAL DIAS PROYECTO]]</f>
        <v>0</v>
      </c>
      <c r="R5258" s="12">
        <f ca="1">+Tabla1[[#This Row],[COSTO TOTAL ALOJAMIENTO]]+Tabla1[[#This Row],[COSTO TOTAL COCHE]]</f>
        <v>1780</v>
      </c>
      <c r="S5258" s="2"/>
      <c r="T5258" s="14" t="s">
        <v>58</v>
      </c>
      <c r="U5258" s="14">
        <v>46082</v>
      </c>
      <c r="V5258" s="43"/>
      <c r="W5258" s="12"/>
      <c r="X5258" s="2"/>
      <c r="Y5258" s="11"/>
      <c r="Z5258" s="2" t="s">
        <v>702</v>
      </c>
      <c r="AA5258" s="13" t="s">
        <v>10387</v>
      </c>
      <c r="AB5258" s="13" t="s">
        <v>10388</v>
      </c>
    </row>
    <row r="5259" spans="1:28" ht="15" customHeight="1">
      <c r="A5259" s="2" t="s">
        <v>8882</v>
      </c>
      <c r="B5259" s="2" t="s">
        <v>606</v>
      </c>
      <c r="C5259" s="104" t="s">
        <v>1151</v>
      </c>
      <c r="D5259" s="2" t="s">
        <v>30</v>
      </c>
      <c r="E5259" s="2" t="s">
        <v>109</v>
      </c>
      <c r="F5259" s="11" t="s">
        <v>898</v>
      </c>
      <c r="G5259" s="128" t="s">
        <v>899</v>
      </c>
      <c r="H5259" s="2" t="s">
        <v>1829</v>
      </c>
      <c r="I5259" s="12" t="s">
        <v>1830</v>
      </c>
      <c r="J5259" s="41">
        <f>+Tabla1[[#This Row],[FECHA ENTRADA]]</f>
        <v>45799</v>
      </c>
      <c r="K5259" s="41">
        <v>46193</v>
      </c>
      <c r="L5259" s="42">
        <f>_xlfn.DAYS(Tabla1[[#This Row],[FECHA FIN ]],Tabla1[[#This Row],[FECHA INICIO]])</f>
        <v>394</v>
      </c>
      <c r="M5259" s="12"/>
      <c r="N5259" s="12">
        <v>200</v>
      </c>
      <c r="O5259" s="28">
        <f>(Tabla1[[#This Row],[COSTO FIJO ]]/30)*Tabla1[[#This Row],[TOTAL DIAS PROYECTO]]+(Tabla1[[#This Row],[COSTO TEMPORAL]])</f>
        <v>2626.666666666667</v>
      </c>
      <c r="P5259" s="12"/>
      <c r="Q5259" s="12">
        <f>+(Tabla1[[#This Row],[COSTO COCHE]]/30)*Tabla1[[#This Row],[TOTAL DIAS PROYECTO]]</f>
        <v>0</v>
      </c>
      <c r="R5259" s="12">
        <f>+Tabla1[[#This Row],[COSTO TOTAL ALOJAMIENTO]]+Tabla1[[#This Row],[COSTO TOTAL COCHE]]</f>
        <v>2626.666666666667</v>
      </c>
      <c r="S5259" s="2"/>
      <c r="T5259" s="14" t="s">
        <v>35</v>
      </c>
      <c r="U5259" s="14">
        <v>45799</v>
      </c>
      <c r="V5259" s="43"/>
      <c r="W5259" s="12"/>
      <c r="X5259" s="2">
        <v>1</v>
      </c>
      <c r="Y5259" s="11" t="s">
        <v>7372</v>
      </c>
      <c r="Z5259" s="2" t="s">
        <v>36</v>
      </c>
      <c r="AA5259" s="13">
        <v>0.62217999999999996</v>
      </c>
      <c r="AB5259" s="13" t="s">
        <v>10339</v>
      </c>
    </row>
    <row r="5260" spans="1:28" ht="15" customHeight="1">
      <c r="A5260" s="2" t="s">
        <v>9992</v>
      </c>
      <c r="B5260" s="2" t="s">
        <v>606</v>
      </c>
      <c r="C5260" s="11" t="s">
        <v>5856</v>
      </c>
      <c r="D5260" s="2" t="s">
        <v>30</v>
      </c>
      <c r="E5260" s="2" t="s">
        <v>259</v>
      </c>
      <c r="F5260" s="11" t="s">
        <v>5261</v>
      </c>
      <c r="G5260" s="197" t="s">
        <v>4207</v>
      </c>
      <c r="H5260" s="2" t="s">
        <v>6463</v>
      </c>
      <c r="I5260" s="12" t="s">
        <v>57</v>
      </c>
      <c r="J5260" s="41">
        <f>+Tabla1[[#This Row],[FECHA ENTRADA]]</f>
        <v>46141</v>
      </c>
      <c r="K5260" s="22">
        <v>46235</v>
      </c>
      <c r="L5260" s="42">
        <f>_xlfn.DAYS(Tabla1[[#This Row],[FECHA FIN ]],Tabla1[[#This Row],[FECHA INICIO]])</f>
        <v>94</v>
      </c>
      <c r="M5260" s="12"/>
      <c r="N5260" s="20">
        <v>250</v>
      </c>
      <c r="O5260" s="28">
        <f>(Tabla1[[#This Row],[COSTO FIJO ]]/30)*Tabla1[[#This Row],[TOTAL DIAS PROYECTO]]+(Tabla1[[#This Row],[COSTO TEMPORAL]])</f>
        <v>783.33333333333337</v>
      </c>
      <c r="P5260" s="12"/>
      <c r="Q5260" s="12">
        <f>+(Tabla1[[#This Row],[COSTO COCHE]]/30)*Tabla1[[#This Row],[TOTAL DIAS PROYECTO]]</f>
        <v>0</v>
      </c>
      <c r="R5260" s="12">
        <f>+Tabla1[[#This Row],[COSTO TOTAL ALOJAMIENTO]]+Tabla1[[#This Row],[COSTO TOTAL COCHE]]</f>
        <v>783.33333333333337</v>
      </c>
      <c r="S5260" s="2"/>
      <c r="T5260" s="14" t="s">
        <v>35</v>
      </c>
      <c r="U5260" s="14">
        <v>46141</v>
      </c>
      <c r="V5260" s="43"/>
      <c r="W5260" s="12"/>
      <c r="X5260" s="2">
        <v>1</v>
      </c>
      <c r="Y5260" s="11" t="s">
        <v>7373</v>
      </c>
      <c r="Z5260" s="2" t="s">
        <v>36</v>
      </c>
      <c r="AA5260" s="13">
        <v>-0.87734000000000001</v>
      </c>
      <c r="AB5260" s="13" t="s">
        <v>10359</v>
      </c>
    </row>
    <row r="5261" spans="1:28" s="70" customFormat="1" ht="15" customHeight="1">
      <c r="A5261" s="2" t="s">
        <v>10105</v>
      </c>
      <c r="B5261" s="2" t="s">
        <v>606</v>
      </c>
      <c r="C5261" s="31" t="s">
        <v>6412</v>
      </c>
      <c r="D5261" s="2" t="s">
        <v>30</v>
      </c>
      <c r="E5261" s="2" t="s">
        <v>259</v>
      </c>
      <c r="F5261" s="11" t="s">
        <v>7362</v>
      </c>
      <c r="G5261" s="21" t="s">
        <v>7374</v>
      </c>
      <c r="H5261" s="2" t="s">
        <v>7363</v>
      </c>
      <c r="I5261" s="12" t="s">
        <v>57</v>
      </c>
      <c r="J5261" s="41">
        <f>+Tabla1[[#This Row],[FECHA ENTRADA]]</f>
        <v>46189</v>
      </c>
      <c r="K5261" s="22">
        <v>46236</v>
      </c>
      <c r="L5261" s="42">
        <f>_xlfn.DAYS(Tabla1[[#This Row],[FECHA FIN ]],Tabla1[[#This Row],[FECHA INICIO]])</f>
        <v>47</v>
      </c>
      <c r="M5261" s="12"/>
      <c r="N5261" s="28">
        <v>323.33333333333331</v>
      </c>
      <c r="O5261" s="28">
        <f>(Tabla1[[#This Row],[COSTO FIJO ]]/30)*Tabla1[[#This Row],[TOTAL DIAS PROYECTO]]+(Tabla1[[#This Row],[COSTO TEMPORAL]])</f>
        <v>506.55555555555549</v>
      </c>
      <c r="P5261" s="12"/>
      <c r="Q5261" s="12">
        <f>+(Tabla1[[#This Row],[COSTO COCHE]]/30)*Tabla1[[#This Row],[TOTAL DIAS PROYECTO]]</f>
        <v>0</v>
      </c>
      <c r="R5261" s="12">
        <f>+Tabla1[[#This Row],[COSTO TOTAL ALOJAMIENTO]]+Tabla1[[#This Row],[COSTO TOTAL COCHE]]</f>
        <v>506.55555555555549</v>
      </c>
      <c r="S5261" s="2"/>
      <c r="T5261" s="14" t="s">
        <v>35</v>
      </c>
      <c r="U5261" s="14">
        <v>46189</v>
      </c>
      <c r="V5261" s="43"/>
      <c r="W5261" s="12">
        <v>970</v>
      </c>
      <c r="X5261" s="2">
        <v>1</v>
      </c>
      <c r="Y5261" s="11" t="s">
        <v>7375</v>
      </c>
      <c r="Z5261" s="2" t="s">
        <v>36</v>
      </c>
      <c r="AA5261" s="13">
        <v>-0.87734000000000001</v>
      </c>
      <c r="AB5261" s="13" t="s">
        <v>10359</v>
      </c>
    </row>
    <row r="5262" spans="1:28" ht="15" customHeight="1">
      <c r="A5262" s="2" t="s">
        <v>10005</v>
      </c>
      <c r="B5262" s="2" t="s">
        <v>711</v>
      </c>
      <c r="C5262" s="169" t="s">
        <v>5914</v>
      </c>
      <c r="D5262" s="2" t="s">
        <v>30</v>
      </c>
      <c r="E5262" s="2" t="s">
        <v>92</v>
      </c>
      <c r="F5262" s="11"/>
      <c r="G5262" s="46"/>
      <c r="H5262" s="2" t="s">
        <v>5174</v>
      </c>
      <c r="I5262" s="12" t="s">
        <v>96</v>
      </c>
      <c r="J5262" s="41">
        <f>+Tabla1[[#This Row],[FECHA ENTRADA]]</f>
        <v>46173</v>
      </c>
      <c r="K5262" s="22">
        <f ca="1">TODAY()</f>
        <v>46260</v>
      </c>
      <c r="L5262" s="42">
        <f ca="1">_xlfn.DAYS(Tabla1[[#This Row],[FECHA FIN ]],Tabla1[[#This Row],[FECHA INICIO]])</f>
        <v>87</v>
      </c>
      <c r="M5262" s="12"/>
      <c r="N5262" s="28">
        <v>0</v>
      </c>
      <c r="O5262" s="28">
        <f ca="1">(Tabla1[[#This Row],[COSTO FIJO ]]/30)*Tabla1[[#This Row],[TOTAL DIAS PROYECTO]]+(Tabla1[[#This Row],[COSTO TEMPORAL]])</f>
        <v>0</v>
      </c>
      <c r="P5262" s="12"/>
      <c r="Q5262" s="12">
        <f ca="1">+(Tabla1[[#This Row],[COSTO COCHE]]/30)*Tabla1[[#This Row],[TOTAL DIAS PROYECTO]]</f>
        <v>0</v>
      </c>
      <c r="R5262" s="12">
        <f ca="1">+Tabla1[[#This Row],[COSTO TOTAL ALOJAMIENTO]]+Tabla1[[#This Row],[COSTO TOTAL COCHE]]</f>
        <v>0</v>
      </c>
      <c r="S5262" s="2"/>
      <c r="T5262" s="14" t="s">
        <v>8</v>
      </c>
      <c r="U5262" s="14">
        <v>46173</v>
      </c>
      <c r="V5262" s="43"/>
      <c r="W5262" s="12"/>
      <c r="X5262" s="2"/>
      <c r="Y5262" s="11" t="s">
        <v>7371</v>
      </c>
      <c r="Z5262" s="2" t="s">
        <v>702</v>
      </c>
      <c r="AA5262" s="13" t="s">
        <v>10336</v>
      </c>
      <c r="AB5262" s="13" t="s">
        <v>10337</v>
      </c>
    </row>
    <row r="5263" spans="1:28" s="70" customFormat="1" ht="15" customHeight="1">
      <c r="A5263" s="2" t="s">
        <v>9369</v>
      </c>
      <c r="B5263" s="2" t="s">
        <v>28</v>
      </c>
      <c r="C5263" s="169" t="s">
        <v>2953</v>
      </c>
      <c r="D5263" s="2" t="s">
        <v>30</v>
      </c>
      <c r="E5263" s="2" t="s">
        <v>648</v>
      </c>
      <c r="F5263" s="11" t="s">
        <v>1544</v>
      </c>
      <c r="G5263" s="11" t="s">
        <v>1545</v>
      </c>
      <c r="H5263" s="2" t="s">
        <v>7326</v>
      </c>
      <c r="I5263" s="12" t="s">
        <v>96</v>
      </c>
      <c r="J5263" s="8">
        <f>+Tabla1[[#This Row],[FECHA ENTRADA]]</f>
        <v>45481</v>
      </c>
      <c r="K5263" s="22">
        <v>45646</v>
      </c>
      <c r="L5263" s="13">
        <f>_xlfn.DAYS(Tabla1[[#This Row],[FECHA FIN ]],Tabla1[[#This Row],[FECHA INICIO]])</f>
        <v>165</v>
      </c>
      <c r="M5263" s="12"/>
      <c r="N5263" s="12"/>
      <c r="O5263" s="12">
        <f>(Tabla1[[#This Row],[COSTO FIJO ]]/30)*Tabla1[[#This Row],[TOTAL DIAS PROYECTO]]+(Tabla1[[#This Row],[COSTO TEMPORAL]])</f>
        <v>0</v>
      </c>
      <c r="P5263" s="12"/>
      <c r="Q5263" s="12">
        <f>+(Tabla1[[#This Row],[COSTO COCHE]]/30)*Tabla1[[#This Row],[TOTAL DIAS PROYECTO]]</f>
        <v>0</v>
      </c>
      <c r="R5263" s="12">
        <f>+Tabla1[[#This Row],[COSTO TOTAL ALOJAMIENTO]]+Tabla1[[#This Row],[COSTO TOTAL COCHE]]</f>
        <v>0</v>
      </c>
      <c r="S5263" s="2"/>
      <c r="T5263" s="2" t="s">
        <v>35</v>
      </c>
      <c r="U5263" s="14">
        <v>45481</v>
      </c>
      <c r="V5263" s="14"/>
      <c r="W5263" s="26">
        <v>550</v>
      </c>
      <c r="X5263" s="2">
        <v>1</v>
      </c>
      <c r="Y5263" s="11"/>
      <c r="Z5263" s="2" t="s">
        <v>36</v>
      </c>
      <c r="AA5263" s="13" t="s">
        <v>10387</v>
      </c>
      <c r="AB5263" s="13" t="s">
        <v>10388</v>
      </c>
    </row>
    <row r="5264" spans="1:28" s="70" customFormat="1" ht="15" customHeight="1">
      <c r="A5264" s="2" t="s">
        <v>9369</v>
      </c>
      <c r="B5264" s="2" t="s">
        <v>28</v>
      </c>
      <c r="C5264" s="169" t="s">
        <v>2953</v>
      </c>
      <c r="D5264" s="2" t="s">
        <v>30</v>
      </c>
      <c r="E5264" s="2" t="s">
        <v>127</v>
      </c>
      <c r="F5264" s="11" t="s">
        <v>820</v>
      </c>
      <c r="G5264" s="21" t="s">
        <v>1234</v>
      </c>
      <c r="H5264" s="2" t="s">
        <v>1509</v>
      </c>
      <c r="I5264" s="12" t="s">
        <v>96</v>
      </c>
      <c r="J5264" s="22">
        <f>+Tabla1[[#This Row],[FECHA ENTRADA]]</f>
        <v>45700</v>
      </c>
      <c r="K5264" s="22">
        <v>45721</v>
      </c>
      <c r="L5264" s="23">
        <f>_xlfn.DAYS(Tabla1[[#This Row],[FECHA FIN ]],Tabla1[[#This Row],[FECHA INICIO]])</f>
        <v>21</v>
      </c>
      <c r="M5264" s="12"/>
      <c r="N5264" s="12"/>
      <c r="O5264" s="24">
        <f>(Tabla1[[#This Row],[COSTO FIJO ]]/30)*Tabla1[[#This Row],[TOTAL DIAS PROYECTO]]+(Tabla1[[#This Row],[COSTO TEMPORAL]])</f>
        <v>0</v>
      </c>
      <c r="P5264" s="12"/>
      <c r="Q5264" s="12">
        <f>+(Tabla1[[#This Row],[COSTO COCHE]]/30)*Tabla1[[#This Row],[TOTAL DIAS PROYECTO]]</f>
        <v>0</v>
      </c>
      <c r="R5264" s="12">
        <f>+Tabla1[[#This Row],[COSTO TOTAL ALOJAMIENTO]]+Tabla1[[#This Row],[COSTO TOTAL COCHE]]</f>
        <v>0</v>
      </c>
      <c r="S5264" s="2"/>
      <c r="T5264" s="2" t="s">
        <v>44</v>
      </c>
      <c r="U5264" s="14">
        <v>45700</v>
      </c>
      <c r="V5264" s="25">
        <v>45768</v>
      </c>
      <c r="W5264" s="26"/>
      <c r="X5264" s="2"/>
      <c r="Y5264" s="11" t="s">
        <v>7376</v>
      </c>
      <c r="Z5264" s="2" t="s">
        <v>36</v>
      </c>
      <c r="AA5264" s="13" t="s">
        <v>10342</v>
      </c>
      <c r="AB5264" s="13" t="s">
        <v>10343</v>
      </c>
    </row>
    <row r="5265" spans="1:28" ht="15" customHeight="1">
      <c r="A5265" s="2" t="s">
        <v>8642</v>
      </c>
      <c r="B5265" s="2" t="s">
        <v>606</v>
      </c>
      <c r="C5265" s="195" t="s">
        <v>7377</v>
      </c>
      <c r="D5265" s="2" t="s">
        <v>30</v>
      </c>
      <c r="E5265" s="2" t="s">
        <v>422</v>
      </c>
      <c r="F5265" s="11" t="s">
        <v>697</v>
      </c>
      <c r="G5265" s="49" t="s">
        <v>698</v>
      </c>
      <c r="H5265" s="2" t="s">
        <v>7378</v>
      </c>
      <c r="I5265" s="12" t="s">
        <v>700</v>
      </c>
      <c r="J5265" s="22">
        <f>+Tabla1[[#This Row],[FECHA ENTRADA]]</f>
        <v>46076</v>
      </c>
      <c r="K5265" s="22">
        <v>46192</v>
      </c>
      <c r="L5265" s="23">
        <f>_xlfn.DAYS(Tabla1[[#This Row],[FECHA FIN ]],Tabla1[[#This Row],[FECHA INICIO]])</f>
        <v>116</v>
      </c>
      <c r="M5265" s="12"/>
      <c r="N5265" s="12">
        <v>345</v>
      </c>
      <c r="O5265" s="24">
        <f>(Tabla1[[#This Row],[COSTO FIJO ]]/30)*Tabla1[[#This Row],[TOTAL DIAS PROYECTO]]+(Tabla1[[#This Row],[COSTO TEMPORAL]])</f>
        <v>1334</v>
      </c>
      <c r="P5265" s="12"/>
      <c r="Q5265" s="12">
        <f>+(Tabla1[[#This Row],[COSTO COCHE]]/30)*Tabla1[[#This Row],[TOTAL DIAS PROYECTO]]</f>
        <v>0</v>
      </c>
      <c r="R5265" s="12">
        <f>+Tabla1[[#This Row],[COSTO TOTAL ALOJAMIENTO]]+Tabla1[[#This Row],[COSTO TOTAL COCHE]]</f>
        <v>1334</v>
      </c>
      <c r="S5265" s="2"/>
      <c r="T5265" s="14" t="s">
        <v>613</v>
      </c>
      <c r="U5265" s="14">
        <v>46076</v>
      </c>
      <c r="V5265" s="79"/>
      <c r="W5265" s="12"/>
      <c r="X5265" s="2">
        <v>1</v>
      </c>
      <c r="Y5265" s="11" t="s">
        <v>7379</v>
      </c>
      <c r="Z5265" s="2" t="s">
        <v>36</v>
      </c>
      <c r="AA5265" s="13">
        <v>-326.69799999999998</v>
      </c>
      <c r="AB5265" s="13" t="s">
        <v>10373</v>
      </c>
    </row>
    <row r="5266" spans="1:28" s="70" customFormat="1" ht="15" customHeight="1">
      <c r="A5266" s="2" t="s">
        <v>9927</v>
      </c>
      <c r="B5266" s="2" t="s">
        <v>711</v>
      </c>
      <c r="C5266" s="195" t="s">
        <v>5495</v>
      </c>
      <c r="D5266" s="2" t="s">
        <v>30</v>
      </c>
      <c r="E5266" s="2" t="s">
        <v>422</v>
      </c>
      <c r="F5266" s="11" t="s">
        <v>697</v>
      </c>
      <c r="G5266" s="49" t="s">
        <v>698</v>
      </c>
      <c r="H5266" s="2" t="s">
        <v>7228</v>
      </c>
      <c r="I5266" s="12" t="s">
        <v>2443</v>
      </c>
      <c r="J5266" s="41">
        <f>+Tabla1[[#This Row],[FECHA ENTRADA]]</f>
        <v>46124</v>
      </c>
      <c r="K5266" s="41">
        <v>46172</v>
      </c>
      <c r="L5266" s="42">
        <f>_xlfn.DAYS(Tabla1[[#This Row],[FECHA FIN ]],Tabla1[[#This Row],[FECHA INICIO]])</f>
        <v>48</v>
      </c>
      <c r="M5266" s="12"/>
      <c r="N5266" s="12">
        <v>345</v>
      </c>
      <c r="O5266" s="28">
        <f>(Tabla1[[#This Row],[COSTO FIJO ]]/30)*Tabla1[[#This Row],[TOTAL DIAS PROYECTO]]+(Tabla1[[#This Row],[COSTO TEMPORAL]])</f>
        <v>552</v>
      </c>
      <c r="P5266" s="12"/>
      <c r="Q5266" s="12">
        <f>+(Tabla1[[#This Row],[COSTO COCHE]]/30)*Tabla1[[#This Row],[TOTAL DIAS PROYECTO]]</f>
        <v>0</v>
      </c>
      <c r="R5266" s="12">
        <f>+Tabla1[[#This Row],[COSTO TOTAL ALOJAMIENTO]]+Tabla1[[#This Row],[COSTO TOTAL COCHE]]</f>
        <v>552</v>
      </c>
      <c r="S5266" s="2"/>
      <c r="T5266" s="14" t="s">
        <v>35</v>
      </c>
      <c r="U5266" s="14">
        <v>46124</v>
      </c>
      <c r="V5266" s="43"/>
      <c r="W5266" s="12"/>
      <c r="X5266" s="2">
        <v>1</v>
      </c>
      <c r="Y5266" s="11" t="s">
        <v>7380</v>
      </c>
      <c r="Z5266" s="2" t="s">
        <v>36</v>
      </c>
      <c r="AA5266" s="13">
        <v>-326.69799999999998</v>
      </c>
      <c r="AB5266" s="13" t="s">
        <v>10373</v>
      </c>
    </row>
    <row r="5267" spans="1:28" s="70" customFormat="1" ht="15" customHeight="1">
      <c r="A5267" s="2" t="s">
        <v>9904</v>
      </c>
      <c r="B5267" s="2" t="s">
        <v>711</v>
      </c>
      <c r="C5267" s="195" t="s">
        <v>5318</v>
      </c>
      <c r="D5267" s="2" t="s">
        <v>99</v>
      </c>
      <c r="E5267" s="2" t="s">
        <v>55</v>
      </c>
      <c r="F5267" s="11" t="s">
        <v>2127</v>
      </c>
      <c r="G5267" s="11" t="s">
        <v>2128</v>
      </c>
      <c r="H5267" s="2" t="s">
        <v>5404</v>
      </c>
      <c r="I5267" s="12" t="s">
        <v>1067</v>
      </c>
      <c r="J5267" s="22">
        <f>+Tabla1[[#This Row],[FECHA ENTRADA]]</f>
        <v>46173</v>
      </c>
      <c r="K5267" s="22">
        <v>46190</v>
      </c>
      <c r="L5267" s="23">
        <f>_xlfn.DAYS(Tabla1[[#This Row],[FECHA FIN ]],Tabla1[[#This Row],[FECHA INICIO]])</f>
        <v>17</v>
      </c>
      <c r="M5267" s="12"/>
      <c r="N5267" s="24">
        <v>400</v>
      </c>
      <c r="O5267" s="24">
        <f>(Tabla1[[#This Row],[COSTO FIJO ]]/30)*Tabla1[[#This Row],[TOTAL DIAS PROYECTO]]+(Tabla1[[#This Row],[COSTO TEMPORAL]])</f>
        <v>226.66666666666669</v>
      </c>
      <c r="P5267" s="12"/>
      <c r="Q5267" s="12">
        <f>+(Tabla1[[#This Row],[COSTO COCHE]]/30)*Tabla1[[#This Row],[TOTAL DIAS PROYECTO]]</f>
        <v>0</v>
      </c>
      <c r="R5267" s="12">
        <f>+Tabla1[[#This Row],[COSTO TOTAL ALOJAMIENTO]]+Tabla1[[#This Row],[COSTO TOTAL COCHE]]</f>
        <v>226.66666666666669</v>
      </c>
      <c r="S5267" s="2"/>
      <c r="T5267" s="14" t="s">
        <v>35</v>
      </c>
      <c r="U5267" s="14">
        <v>46173</v>
      </c>
      <c r="V5267" s="25"/>
      <c r="W5267" s="12"/>
      <c r="X5267" s="2">
        <v>1</v>
      </c>
      <c r="Y5267" s="11" t="s">
        <v>7381</v>
      </c>
      <c r="Z5267" s="2" t="s">
        <v>36</v>
      </c>
      <c r="AA5267" s="13" t="s">
        <v>10327</v>
      </c>
      <c r="AB5267" s="13" t="s">
        <v>10328</v>
      </c>
    </row>
    <row r="5268" spans="1:28" s="70" customFormat="1" ht="15" customHeight="1">
      <c r="A5268" s="2" t="s">
        <v>9083</v>
      </c>
      <c r="B5268" s="2" t="s">
        <v>711</v>
      </c>
      <c r="C5268" s="324" t="s">
        <v>1941</v>
      </c>
      <c r="D5268" s="2" t="s">
        <v>30</v>
      </c>
      <c r="E5268" s="2" t="s">
        <v>422</v>
      </c>
      <c r="F5268" s="11" t="s">
        <v>1375</v>
      </c>
      <c r="G5268" s="70" t="s">
        <v>1376</v>
      </c>
      <c r="H5268" s="2" t="s">
        <v>7228</v>
      </c>
      <c r="I5268" s="91" t="s">
        <v>2443</v>
      </c>
      <c r="J5268" s="22">
        <f>+Tabla1[[#This Row],[FECHA ENTRADA]]</f>
        <v>45944</v>
      </c>
      <c r="K5268" s="8">
        <v>46097</v>
      </c>
      <c r="L5268" s="23">
        <f>_xlfn.DAYS(Tabla1[[#This Row],[FECHA FIN ]],Tabla1[[#This Row],[FECHA INICIO]])</f>
        <v>153</v>
      </c>
      <c r="M5268" s="12"/>
      <c r="N5268" s="12">
        <v>262.5</v>
      </c>
      <c r="O5268" s="24">
        <f>(Tabla1[[#This Row],[COSTO FIJO ]]/30)*Tabla1[[#This Row],[TOTAL DIAS PROYECTO]]+(Tabla1[[#This Row],[COSTO TEMPORAL]])</f>
        <v>1338.75</v>
      </c>
      <c r="P5268" s="12"/>
      <c r="Q5268" s="12">
        <f>+(Tabla1[[#This Row],[COSTO COCHE]]/30)*Tabla1[[#This Row],[TOTAL DIAS PROYECTO]]</f>
        <v>0</v>
      </c>
      <c r="R5268" s="12">
        <f>+Tabla1[[#This Row],[COSTO TOTAL ALOJAMIENTO]]+Tabla1[[#This Row],[COSTO TOTAL COCHE]]</f>
        <v>1338.75</v>
      </c>
      <c r="S5268" s="2"/>
      <c r="T5268" s="14" t="s">
        <v>35</v>
      </c>
      <c r="U5268" s="14">
        <v>45944</v>
      </c>
      <c r="V5268" s="25"/>
      <c r="W5268" s="71"/>
      <c r="X5268" s="2">
        <v>5</v>
      </c>
      <c r="Y5268" s="11" t="s">
        <v>7229</v>
      </c>
      <c r="Z5268" s="2" t="s">
        <v>36</v>
      </c>
      <c r="AA5268" s="13">
        <v>-326.69799999999998</v>
      </c>
      <c r="AB5268" s="13" t="s">
        <v>10373</v>
      </c>
    </row>
    <row r="5269" spans="1:28" s="70" customFormat="1" ht="15" customHeight="1">
      <c r="A5269" s="2" t="s">
        <v>10236</v>
      </c>
      <c r="B5269" s="2" t="s">
        <v>28</v>
      </c>
      <c r="C5269" s="169" t="s">
        <v>7327</v>
      </c>
      <c r="D5269" s="2" t="s">
        <v>30</v>
      </c>
      <c r="E5269" s="2" t="s">
        <v>253</v>
      </c>
      <c r="F5269" s="11" t="s">
        <v>1261</v>
      </c>
      <c r="G5269" s="11" t="s">
        <v>772</v>
      </c>
      <c r="H5269" s="2" t="s">
        <v>1262</v>
      </c>
      <c r="I5269" s="12" t="s">
        <v>1263</v>
      </c>
      <c r="J5269" s="41">
        <f>+Tabla1[[#This Row],[FECHA ENTRADA]]</f>
        <v>45616</v>
      </c>
      <c r="K5269" s="8">
        <f ca="1">TODAY()</f>
        <v>46260</v>
      </c>
      <c r="L5269" s="42">
        <f ca="1">_xlfn.DAYS(Tabla1[[#This Row],[FECHA FIN ]],Tabla1[[#This Row],[FECHA INICIO]])</f>
        <v>644</v>
      </c>
      <c r="M5269" s="12"/>
      <c r="N5269" s="12"/>
      <c r="O5269" s="28">
        <f ca="1">(Tabla1[[#This Row],[COSTO FIJO ]]/30)*Tabla1[[#This Row],[TOTAL DIAS PROYECTO]]+(Tabla1[[#This Row],[COSTO TEMPORAL]])</f>
        <v>0</v>
      </c>
      <c r="P5269" s="12"/>
      <c r="Q5269" s="12">
        <f ca="1">+(Tabla1[[#This Row],[COSTO COCHE]]/30)*Tabla1[[#This Row],[TOTAL DIAS PROYECTO]]</f>
        <v>0</v>
      </c>
      <c r="R5269" s="12">
        <f ca="1">+Tabla1[[#This Row],[COSTO TOTAL ALOJAMIENTO]]+Tabla1[[#This Row],[COSTO TOTAL COCHE]]</f>
        <v>0</v>
      </c>
      <c r="S5269" s="2"/>
      <c r="T5269" s="2" t="s">
        <v>35</v>
      </c>
      <c r="U5269" s="14">
        <v>45616</v>
      </c>
      <c r="V5269" s="43"/>
      <c r="W5269" s="26"/>
      <c r="X5269" s="2">
        <v>20</v>
      </c>
      <c r="Y5269" s="11"/>
      <c r="Z5269" s="2" t="s">
        <v>36</v>
      </c>
      <c r="AA5269" s="13" t="s">
        <v>10357</v>
      </c>
      <c r="AB5269" s="13" t="s">
        <v>10358</v>
      </c>
    </row>
    <row r="5270" spans="1:28" ht="15" customHeight="1">
      <c r="A5270" s="2" t="s">
        <v>9799</v>
      </c>
      <c r="B5270" s="2" t="s">
        <v>711</v>
      </c>
      <c r="C5270" s="11" t="s">
        <v>4801</v>
      </c>
      <c r="D5270" s="2" t="s">
        <v>99</v>
      </c>
      <c r="E5270" s="2" t="s">
        <v>1719</v>
      </c>
      <c r="F5270" s="11" t="s">
        <v>5401</v>
      </c>
      <c r="G5270" s="21" t="s">
        <v>5402</v>
      </c>
      <c r="H5270" s="2" t="s">
        <v>5138</v>
      </c>
      <c r="I5270" s="12" t="s">
        <v>5139</v>
      </c>
      <c r="J5270" s="22">
        <f>+Tabla1[[#This Row],[FECHA ENTRADA]]</f>
        <v>45914</v>
      </c>
      <c r="K5270" s="22">
        <f ca="1">TODAY()</f>
        <v>46260</v>
      </c>
      <c r="L5270" s="23">
        <f ca="1">_xlfn.DAYS(Tabla1[[#This Row],[FECHA FIN ]],Tabla1[[#This Row],[FECHA INICIO]])</f>
        <v>346</v>
      </c>
      <c r="M5270" s="12">
        <f>423.66/2</f>
        <v>211.83</v>
      </c>
      <c r="N5270" s="20"/>
      <c r="O5270" s="24">
        <f ca="1">(Tabla1[[#This Row],[COSTO FIJO ]]/30)*Tabla1[[#This Row],[TOTAL DIAS PROYECTO]]+(Tabla1[[#This Row],[COSTO TEMPORAL]])</f>
        <v>211.83</v>
      </c>
      <c r="P5270" s="12"/>
      <c r="Q5270" s="12">
        <f ca="1">+(Tabla1[[#This Row],[COSTO COCHE]]/30)*Tabla1[[#This Row],[TOTAL DIAS PROYECTO]]</f>
        <v>0</v>
      </c>
      <c r="R5270" s="12">
        <f ca="1">+Tabla1[[#This Row],[COSTO TOTAL ALOJAMIENTO]]+Tabla1[[#This Row],[COSTO TOTAL COCHE]]</f>
        <v>211.83</v>
      </c>
      <c r="S5270" s="2" t="s">
        <v>84</v>
      </c>
      <c r="T5270" s="14" t="s">
        <v>44</v>
      </c>
      <c r="U5270" s="14">
        <v>45914</v>
      </c>
      <c r="V5270" s="25">
        <v>45931</v>
      </c>
      <c r="W5270" s="71"/>
      <c r="X5270" s="2"/>
      <c r="Y5270" s="11" t="s">
        <v>7382</v>
      </c>
      <c r="Z5270" s="2" t="s">
        <v>36</v>
      </c>
      <c r="AA5270" s="13" t="s">
        <v>10427</v>
      </c>
      <c r="AB5270" s="13">
        <v>4260003</v>
      </c>
    </row>
    <row r="5271" spans="1:28" ht="15" customHeight="1">
      <c r="A5271" s="2" t="s">
        <v>9059</v>
      </c>
      <c r="B5271" s="2" t="s">
        <v>606</v>
      </c>
      <c r="C5271" s="165" t="s">
        <v>1827</v>
      </c>
      <c r="D5271" s="2" t="s">
        <v>30</v>
      </c>
      <c r="E5271" s="2" t="s">
        <v>109</v>
      </c>
      <c r="F5271" s="11" t="s">
        <v>898</v>
      </c>
      <c r="G5271" s="128" t="s">
        <v>899</v>
      </c>
      <c r="H5271" s="2" t="s">
        <v>1829</v>
      </c>
      <c r="I5271" s="12" t="s">
        <v>1830</v>
      </c>
      <c r="J5271" s="41">
        <f>+Tabla1[[#This Row],[FECHA ENTRADA]]</f>
        <v>45799</v>
      </c>
      <c r="K5271" s="41">
        <v>46193</v>
      </c>
      <c r="L5271" s="42">
        <f>_xlfn.DAYS(Tabla1[[#This Row],[FECHA FIN ]],Tabla1[[#This Row],[FECHA INICIO]])</f>
        <v>394</v>
      </c>
      <c r="M5271" s="12"/>
      <c r="N5271" s="12">
        <v>200</v>
      </c>
      <c r="O5271" s="28">
        <f>(Tabla1[[#This Row],[COSTO FIJO ]]/30)*Tabla1[[#This Row],[TOTAL DIAS PROYECTO]]+(Tabla1[[#This Row],[COSTO TEMPORAL]])</f>
        <v>2626.666666666667</v>
      </c>
      <c r="P5271" s="12"/>
      <c r="Q5271" s="12">
        <f>+(Tabla1[[#This Row],[COSTO COCHE]]/30)*Tabla1[[#This Row],[TOTAL DIAS PROYECTO]]</f>
        <v>0</v>
      </c>
      <c r="R5271" s="12">
        <f>+Tabla1[[#This Row],[COSTO TOTAL ALOJAMIENTO]]+Tabla1[[#This Row],[COSTO TOTAL COCHE]]</f>
        <v>2626.666666666667</v>
      </c>
      <c r="S5271" s="2"/>
      <c r="T5271" s="14" t="s">
        <v>35</v>
      </c>
      <c r="U5271" s="14">
        <v>45799</v>
      </c>
      <c r="V5271" s="43"/>
      <c r="W5271" s="12"/>
      <c r="X5271" s="2">
        <v>1</v>
      </c>
      <c r="Y5271" s="11" t="s">
        <v>7383</v>
      </c>
      <c r="Z5271" s="2" t="s">
        <v>36</v>
      </c>
      <c r="AA5271" s="13">
        <v>0.62217999999999996</v>
      </c>
      <c r="AB5271" s="13" t="s">
        <v>10339</v>
      </c>
    </row>
    <row r="5272" spans="1:28" ht="15" customHeight="1">
      <c r="A5272" s="2" t="s">
        <v>9680</v>
      </c>
      <c r="B5272" s="2" t="s">
        <v>606</v>
      </c>
      <c r="C5272" s="169" t="s">
        <v>4198</v>
      </c>
      <c r="D5272" s="2" t="s">
        <v>99</v>
      </c>
      <c r="E5272" s="2" t="s">
        <v>109</v>
      </c>
      <c r="F5272" s="11" t="s">
        <v>898</v>
      </c>
      <c r="G5272" s="128" t="s">
        <v>899</v>
      </c>
      <c r="H5272" s="2" t="s">
        <v>4090</v>
      </c>
      <c r="I5272" s="12" t="s">
        <v>1830</v>
      </c>
      <c r="J5272" s="22">
        <f>+Tabla1[[#This Row],[FECHA ENTRADA]]</f>
        <v>45803</v>
      </c>
      <c r="K5272" s="41">
        <v>46193</v>
      </c>
      <c r="L5272" s="23">
        <f>_xlfn.DAYS(Tabla1[[#This Row],[FECHA FIN ]],Tabla1[[#This Row],[FECHA INICIO]])</f>
        <v>390</v>
      </c>
      <c r="M5272" s="12"/>
      <c r="N5272" s="12">
        <v>200</v>
      </c>
      <c r="O5272" s="24">
        <f>(Tabla1[[#This Row],[COSTO FIJO ]]/30)*Tabla1[[#This Row],[TOTAL DIAS PROYECTO]]+(Tabla1[[#This Row],[COSTO TEMPORAL]])</f>
        <v>2600</v>
      </c>
      <c r="P5272" s="12"/>
      <c r="Q5272" s="12">
        <f>+(Tabla1[[#This Row],[COSTO COCHE]]/30)*Tabla1[[#This Row],[TOTAL DIAS PROYECTO]]</f>
        <v>0</v>
      </c>
      <c r="R5272" s="12">
        <f>+Tabla1[[#This Row],[COSTO TOTAL ALOJAMIENTO]]+Tabla1[[#This Row],[COSTO TOTAL COCHE]]</f>
        <v>2600</v>
      </c>
      <c r="S5272" s="2"/>
      <c r="T5272" s="2" t="s">
        <v>35</v>
      </c>
      <c r="U5272" s="14">
        <v>45803</v>
      </c>
      <c r="V5272" s="79"/>
      <c r="W5272" s="12">
        <v>2800</v>
      </c>
      <c r="X5272" s="2">
        <v>1</v>
      </c>
      <c r="Y5272" s="11" t="s">
        <v>7383</v>
      </c>
      <c r="Z5272" s="2" t="s">
        <v>36</v>
      </c>
      <c r="AA5272" s="13">
        <v>0.62217999999999996</v>
      </c>
      <c r="AB5272" s="13" t="s">
        <v>10339</v>
      </c>
    </row>
    <row r="5273" spans="1:28" ht="15" customHeight="1">
      <c r="A5273" s="2" t="s">
        <v>9207</v>
      </c>
      <c r="B5273" s="2" t="s">
        <v>978</v>
      </c>
      <c r="C5273" s="169" t="s">
        <v>2430</v>
      </c>
      <c r="D5273" s="2" t="s">
        <v>99</v>
      </c>
      <c r="E5273" s="2" t="s">
        <v>109</v>
      </c>
      <c r="F5273" s="11" t="s">
        <v>898</v>
      </c>
      <c r="G5273" s="128" t="s">
        <v>899</v>
      </c>
      <c r="H5273" s="2" t="s">
        <v>1686</v>
      </c>
      <c r="I5273" s="12" t="s">
        <v>4420</v>
      </c>
      <c r="J5273" s="22">
        <f>+Tabla1[[#This Row],[FECHA ENTRADA]]</f>
        <v>46072</v>
      </c>
      <c r="K5273" s="41">
        <v>46193</v>
      </c>
      <c r="L5273" s="23">
        <f>_xlfn.DAYS(Tabla1[[#This Row],[FECHA FIN ]],Tabla1[[#This Row],[FECHA INICIO]])</f>
        <v>121</v>
      </c>
      <c r="M5273" s="12"/>
      <c r="N5273" s="12">
        <v>200</v>
      </c>
      <c r="O5273" s="24">
        <f>(Tabla1[[#This Row],[COSTO FIJO ]]/30)*Tabla1[[#This Row],[TOTAL DIAS PROYECTO]]+(Tabla1[[#This Row],[COSTO TEMPORAL]])</f>
        <v>806.66666666666674</v>
      </c>
      <c r="P5273" s="12"/>
      <c r="Q5273" s="12">
        <f>+(Tabla1[[#This Row],[COSTO COCHE]]/30)*Tabla1[[#This Row],[TOTAL DIAS PROYECTO]]</f>
        <v>0</v>
      </c>
      <c r="R5273" s="12">
        <f>+Tabla1[[#This Row],[COSTO TOTAL ALOJAMIENTO]]+Tabla1[[#This Row],[COSTO TOTAL COCHE]]</f>
        <v>806.66666666666674</v>
      </c>
      <c r="S5273" s="2"/>
      <c r="T5273" s="14" t="s">
        <v>35</v>
      </c>
      <c r="U5273" s="14">
        <v>46072</v>
      </c>
      <c r="V5273" s="79"/>
      <c r="W5273" s="12"/>
      <c r="X5273" s="2">
        <v>1</v>
      </c>
      <c r="Y5273" s="11" t="s">
        <v>6280</v>
      </c>
      <c r="Z5273" s="2" t="s">
        <v>36</v>
      </c>
      <c r="AA5273" s="13">
        <v>0.62217999999999996</v>
      </c>
      <c r="AB5273" s="13" t="s">
        <v>10339</v>
      </c>
    </row>
    <row r="5274" spans="1:28" ht="15" customHeight="1">
      <c r="A5274" s="2" t="s">
        <v>8642</v>
      </c>
      <c r="B5274" s="2" t="s">
        <v>606</v>
      </c>
      <c r="C5274" s="322" t="s">
        <v>7384</v>
      </c>
      <c r="D5274" s="2" t="s">
        <v>30</v>
      </c>
      <c r="E5274" s="2" t="s">
        <v>109</v>
      </c>
      <c r="F5274" s="11" t="s">
        <v>898</v>
      </c>
      <c r="G5274" s="128" t="s">
        <v>899</v>
      </c>
      <c r="H5274" s="2" t="s">
        <v>3508</v>
      </c>
      <c r="I5274" s="12" t="s">
        <v>1562</v>
      </c>
      <c r="J5274" s="41">
        <f>+Tabla1[[#This Row],[FECHA ENTRADA]]</f>
        <v>46140</v>
      </c>
      <c r="K5274" s="41">
        <v>46193</v>
      </c>
      <c r="L5274" s="42">
        <f>_xlfn.DAYS(Tabla1[[#This Row],[FECHA FIN ]],Tabla1[[#This Row],[FECHA INICIO]])</f>
        <v>53</v>
      </c>
      <c r="M5274" s="12"/>
      <c r="N5274" s="28">
        <v>200</v>
      </c>
      <c r="O5274" s="28">
        <f>(Tabla1[[#This Row],[COSTO FIJO ]]/30)*Tabla1[[#This Row],[TOTAL DIAS PROYECTO]]+(Tabla1[[#This Row],[COSTO TEMPORAL]])</f>
        <v>353.33333333333337</v>
      </c>
      <c r="P5274" s="12"/>
      <c r="Q5274" s="12">
        <f>+(Tabla1[[#This Row],[COSTO COCHE]]/30)*Tabla1[[#This Row],[TOTAL DIAS PROYECTO]]</f>
        <v>0</v>
      </c>
      <c r="R5274" s="12">
        <f>+Tabla1[[#This Row],[COSTO TOTAL ALOJAMIENTO]]+Tabla1[[#This Row],[COSTO TOTAL COCHE]]</f>
        <v>353.33333333333337</v>
      </c>
      <c r="S5274" s="2"/>
      <c r="T5274" s="14" t="s">
        <v>35</v>
      </c>
      <c r="U5274" s="14">
        <v>46140</v>
      </c>
      <c r="V5274" s="43"/>
      <c r="W5274" s="12"/>
      <c r="X5274" s="2">
        <v>1</v>
      </c>
      <c r="Y5274" s="11"/>
      <c r="Z5274" s="2" t="s">
        <v>36</v>
      </c>
      <c r="AA5274" s="13">
        <v>0.62217999999999996</v>
      </c>
      <c r="AB5274" s="13" t="s">
        <v>10339</v>
      </c>
    </row>
    <row r="5275" spans="1:28" s="70" customFormat="1" ht="15" customHeight="1">
      <c r="A5275" s="2" t="s">
        <v>9727</v>
      </c>
      <c r="B5275" s="2" t="s">
        <v>978</v>
      </c>
      <c r="C5275" s="325" t="s">
        <v>4433</v>
      </c>
      <c r="D5275" s="2" t="s">
        <v>99</v>
      </c>
      <c r="E5275" s="2" t="s">
        <v>109</v>
      </c>
      <c r="F5275" s="11" t="s">
        <v>898</v>
      </c>
      <c r="G5275" s="128" t="s">
        <v>899</v>
      </c>
      <c r="H5275" s="2" t="s">
        <v>1686</v>
      </c>
      <c r="I5275" s="12" t="s">
        <v>4420</v>
      </c>
      <c r="J5275" s="22">
        <f>+Tabla1[[#This Row],[FECHA ENTRADA]]</f>
        <v>46072</v>
      </c>
      <c r="K5275" s="22">
        <f ca="1">TODAY()</f>
        <v>46260</v>
      </c>
      <c r="L5275" s="23">
        <f ca="1">_xlfn.DAYS(Tabla1[[#This Row],[FECHA FIN ]],Tabla1[[#This Row],[FECHA INICIO]])</f>
        <v>188</v>
      </c>
      <c r="M5275" s="12"/>
      <c r="N5275" s="12">
        <v>200</v>
      </c>
      <c r="O5275" s="24">
        <f ca="1">(Tabla1[[#This Row],[COSTO FIJO ]]/30)*Tabla1[[#This Row],[TOTAL DIAS PROYECTO]]+(Tabla1[[#This Row],[COSTO TEMPORAL]])</f>
        <v>1253.3333333333335</v>
      </c>
      <c r="P5275" s="12"/>
      <c r="Q5275" s="12">
        <f ca="1">+(Tabla1[[#This Row],[COSTO COCHE]]/30)*Tabla1[[#This Row],[TOTAL DIAS PROYECTO]]</f>
        <v>0</v>
      </c>
      <c r="R5275" s="12">
        <f ca="1">+Tabla1[[#This Row],[COSTO TOTAL ALOJAMIENTO]]+Tabla1[[#This Row],[COSTO TOTAL COCHE]]</f>
        <v>1253.3333333333335</v>
      </c>
      <c r="S5275" s="2"/>
      <c r="T5275" s="14" t="s">
        <v>35</v>
      </c>
      <c r="U5275" s="14">
        <v>46072</v>
      </c>
      <c r="V5275" s="79"/>
      <c r="W5275" s="12">
        <v>2800</v>
      </c>
      <c r="X5275" s="2">
        <v>1</v>
      </c>
      <c r="Y5275" s="11" t="s">
        <v>7385</v>
      </c>
      <c r="Z5275" s="2" t="s">
        <v>36</v>
      </c>
      <c r="AA5275" s="13">
        <v>0.62217999999999996</v>
      </c>
      <c r="AB5275" s="13" t="s">
        <v>10339</v>
      </c>
    </row>
    <row r="5276" spans="1:28" ht="15" customHeight="1">
      <c r="A5276" s="2" t="s">
        <v>9343</v>
      </c>
      <c r="B5276" s="2" t="s">
        <v>606</v>
      </c>
      <c r="C5276" s="321" t="s">
        <v>2875</v>
      </c>
      <c r="D5276" s="2" t="s">
        <v>99</v>
      </c>
      <c r="E5276" s="2" t="s">
        <v>109</v>
      </c>
      <c r="F5276" s="11" t="s">
        <v>3066</v>
      </c>
      <c r="G5276" s="100" t="s">
        <v>3067</v>
      </c>
      <c r="H5276" s="2" t="s">
        <v>2827</v>
      </c>
      <c r="I5276" s="12" t="s">
        <v>42</v>
      </c>
      <c r="J5276" s="41">
        <f>+Tabla1[[#This Row],[FECHA ENTRADA]]</f>
        <v>45737</v>
      </c>
      <c r="K5276" s="41">
        <v>46170</v>
      </c>
      <c r="L5276" s="42">
        <f>_xlfn.DAYS(Tabla1[[#This Row],[FECHA FIN ]],Tabla1[[#This Row],[FECHA INICIO]])</f>
        <v>433</v>
      </c>
      <c r="M5276" s="12"/>
      <c r="N5276" s="12">
        <v>206</v>
      </c>
      <c r="O5276" s="24">
        <f>(Tabla1[[#This Row],[COSTO FIJO ]]/30)*Tabla1[[#This Row],[TOTAL DIAS PROYECTO]]+(Tabla1[[#This Row],[COSTO TEMPORAL]])</f>
        <v>2973.2666666666664</v>
      </c>
      <c r="P5276" s="12">
        <v>100</v>
      </c>
      <c r="Q5276" s="12">
        <f>+(Tabla1[[#This Row],[COSTO COCHE]]/30)*Tabla1[[#This Row],[TOTAL DIAS PROYECTO]]</f>
        <v>1443.3333333333335</v>
      </c>
      <c r="R5276" s="12">
        <f>+Tabla1[[#This Row],[COSTO TOTAL ALOJAMIENTO]]+Tabla1[[#This Row],[COSTO TOTAL COCHE]]</f>
        <v>4416.6000000000004</v>
      </c>
      <c r="S5276" s="2"/>
      <c r="T5276" s="2" t="s">
        <v>35</v>
      </c>
      <c r="U5276" s="14">
        <v>45737</v>
      </c>
      <c r="V5276" s="43"/>
      <c r="W5276" s="12"/>
      <c r="X5276" s="2">
        <v>4</v>
      </c>
      <c r="Y5276" s="11" t="s">
        <v>7386</v>
      </c>
      <c r="Z5276" s="2" t="s">
        <v>36</v>
      </c>
      <c r="AA5276" s="13">
        <v>0.62217999999999996</v>
      </c>
      <c r="AB5276" s="13" t="s">
        <v>10339</v>
      </c>
    </row>
    <row r="5277" spans="1:28" ht="15" customHeight="1">
      <c r="A5277" s="2" t="s">
        <v>9877</v>
      </c>
      <c r="B5277" s="2" t="s">
        <v>711</v>
      </c>
      <c r="C5277" s="322" t="s">
        <v>5183</v>
      </c>
      <c r="D5277" s="2" t="s">
        <v>30</v>
      </c>
      <c r="E5277" s="2" t="s">
        <v>1130</v>
      </c>
      <c r="F5277" s="11" t="s">
        <v>7387</v>
      </c>
      <c r="G5277" s="49" t="s">
        <v>7388</v>
      </c>
      <c r="H5277" s="2" t="s">
        <v>5468</v>
      </c>
      <c r="I5277" s="12" t="s">
        <v>5469</v>
      </c>
      <c r="J5277" s="22">
        <f>+Tabla1[[#This Row],[FECHA ENTRADA]]</f>
        <v>45937</v>
      </c>
      <c r="K5277" s="22">
        <f t="shared" ref="K5277:K5289" ca="1" si="11">TODAY()</f>
        <v>46260</v>
      </c>
      <c r="L5277" s="23">
        <f ca="1">_xlfn.DAYS(Tabla1[[#This Row],[FECHA FIN ]],Tabla1[[#This Row],[FECHA INICIO]])</f>
        <v>323</v>
      </c>
      <c r="M5277" s="12">
        <v>50</v>
      </c>
      <c r="N5277" s="24"/>
      <c r="O5277" s="24">
        <f ca="1">(Tabla1[[#This Row],[COSTO FIJO ]]/30)*Tabla1[[#This Row],[TOTAL DIAS PROYECTO]]+(Tabla1[[#This Row],[COSTO TEMPORAL]])</f>
        <v>50</v>
      </c>
      <c r="P5277" s="12"/>
      <c r="Q5277" s="12">
        <f ca="1">+(Tabla1[[#This Row],[COSTO COCHE]]/30)*Tabla1[[#This Row],[TOTAL DIAS PROYECTO]]</f>
        <v>0</v>
      </c>
      <c r="R5277" s="12">
        <f ca="1">+Tabla1[[#This Row],[COSTO TOTAL ALOJAMIENTO]]+Tabla1[[#This Row],[COSTO TOTAL COCHE]]</f>
        <v>50</v>
      </c>
      <c r="S5277" s="2"/>
      <c r="T5277" s="14" t="s">
        <v>44</v>
      </c>
      <c r="U5277" s="14">
        <v>45937</v>
      </c>
      <c r="V5277" s="25">
        <v>45939</v>
      </c>
      <c r="W5277" s="71"/>
      <c r="X5277" s="2"/>
      <c r="Y5277" s="11" t="s">
        <v>7389</v>
      </c>
      <c r="Z5277" s="2" t="s">
        <v>36</v>
      </c>
      <c r="AA5277" s="13" t="s">
        <v>10412</v>
      </c>
      <c r="AB5277" s="13">
        <v>4200955</v>
      </c>
    </row>
    <row r="5278" spans="1:28" ht="15" customHeight="1">
      <c r="A5278" s="2" t="s">
        <v>9923</v>
      </c>
      <c r="B5278" s="2" t="s">
        <v>711</v>
      </c>
      <c r="C5278" s="322" t="s">
        <v>5470</v>
      </c>
      <c r="D5278" s="2" t="s">
        <v>30</v>
      </c>
      <c r="E5278" s="2" t="s">
        <v>1130</v>
      </c>
      <c r="F5278" s="11" t="s">
        <v>7387</v>
      </c>
      <c r="G5278" s="49" t="s">
        <v>7388</v>
      </c>
      <c r="H5278" s="2" t="s">
        <v>5468</v>
      </c>
      <c r="I5278" s="12" t="s">
        <v>5469</v>
      </c>
      <c r="J5278" s="22">
        <f>+Tabla1[[#This Row],[FECHA ENTRADA]]</f>
        <v>45937</v>
      </c>
      <c r="K5278" s="22">
        <f t="shared" ca="1" si="11"/>
        <v>46260</v>
      </c>
      <c r="L5278" s="23">
        <f ca="1">_xlfn.DAYS(Tabla1[[#This Row],[FECHA FIN ]],Tabla1[[#This Row],[FECHA INICIO]])</f>
        <v>323</v>
      </c>
      <c r="M5278" s="12">
        <v>50</v>
      </c>
      <c r="N5278" s="24"/>
      <c r="O5278" s="24">
        <f ca="1">(Tabla1[[#This Row],[COSTO FIJO ]]/30)*Tabla1[[#This Row],[TOTAL DIAS PROYECTO]]+(Tabla1[[#This Row],[COSTO TEMPORAL]])</f>
        <v>50</v>
      </c>
      <c r="P5278" s="12"/>
      <c r="Q5278" s="12">
        <f ca="1">+(Tabla1[[#This Row],[COSTO COCHE]]/30)*Tabla1[[#This Row],[TOTAL DIAS PROYECTO]]</f>
        <v>0</v>
      </c>
      <c r="R5278" s="12">
        <f ca="1">+Tabla1[[#This Row],[COSTO TOTAL ALOJAMIENTO]]+Tabla1[[#This Row],[COSTO TOTAL COCHE]]</f>
        <v>50</v>
      </c>
      <c r="S5278" s="2"/>
      <c r="T5278" s="14" t="s">
        <v>44</v>
      </c>
      <c r="U5278" s="14">
        <v>45937</v>
      </c>
      <c r="V5278" s="25">
        <v>45939</v>
      </c>
      <c r="W5278" s="71"/>
      <c r="X5278" s="2"/>
      <c r="Y5278" s="11" t="s">
        <v>7389</v>
      </c>
      <c r="Z5278" s="2" t="s">
        <v>36</v>
      </c>
      <c r="AA5278" s="13" t="s">
        <v>10412</v>
      </c>
      <c r="AB5278" s="13">
        <v>4200955</v>
      </c>
    </row>
    <row r="5279" spans="1:28" ht="15" customHeight="1">
      <c r="A5279" s="2" t="s">
        <v>9023</v>
      </c>
      <c r="B5279" s="2" t="s">
        <v>978</v>
      </c>
      <c r="C5279" s="11" t="s">
        <v>1718</v>
      </c>
      <c r="D5279" s="2" t="s">
        <v>99</v>
      </c>
      <c r="E5279" s="2" t="s">
        <v>1443</v>
      </c>
      <c r="F5279" s="11" t="s">
        <v>7390</v>
      </c>
      <c r="G5279" s="11" t="s">
        <v>7391</v>
      </c>
      <c r="H5279" s="2" t="s">
        <v>4608</v>
      </c>
      <c r="I5279" s="12" t="s">
        <v>4477</v>
      </c>
      <c r="J5279" s="41">
        <f>+Tabla1[[#This Row],[FECHA ENTRADA]]</f>
        <v>45899</v>
      </c>
      <c r="K5279" s="22">
        <f t="shared" ca="1" si="11"/>
        <v>46260</v>
      </c>
      <c r="L5279" s="42">
        <f ca="1">_xlfn.DAYS(Tabla1[[#This Row],[FECHA FIN ]],Tabla1[[#This Row],[FECHA INICIO]])</f>
        <v>361</v>
      </c>
      <c r="M5279" s="12">
        <f>376+390+350</f>
        <v>1116</v>
      </c>
      <c r="N5279" s="28"/>
      <c r="O5279" s="28">
        <f ca="1">(Tabla1[[#This Row],[COSTO FIJO ]]/30)*Tabla1[[#This Row],[TOTAL DIAS PROYECTO]]+(Tabla1[[#This Row],[COSTO TEMPORAL]])</f>
        <v>1116</v>
      </c>
      <c r="P5279" s="12"/>
      <c r="Q5279" s="12">
        <f ca="1">+(Tabla1[[#This Row],[COSTO COCHE]]/30)*Tabla1[[#This Row],[TOTAL DIAS PROYECTO]]</f>
        <v>0</v>
      </c>
      <c r="R5279" s="12">
        <f ca="1">+Tabla1[[#This Row],[COSTO TOTAL ALOJAMIENTO]]+Tabla1[[#This Row],[COSTO TOTAL COCHE]]</f>
        <v>1116</v>
      </c>
      <c r="S5279" s="2" t="s">
        <v>403</v>
      </c>
      <c r="T5279" s="14" t="s">
        <v>44</v>
      </c>
      <c r="U5279" s="14">
        <v>45899</v>
      </c>
      <c r="V5279" s="25">
        <v>45941</v>
      </c>
      <c r="W5279" s="12"/>
      <c r="X5279" s="2"/>
      <c r="Y5279" s="11" t="s">
        <v>7392</v>
      </c>
      <c r="Z5279" s="2" t="s">
        <v>36</v>
      </c>
      <c r="AA5279" s="13" t="s">
        <v>10420</v>
      </c>
      <c r="AB5279" s="13">
        <v>3907741</v>
      </c>
    </row>
    <row r="5280" spans="1:28" ht="15" customHeight="1">
      <c r="A5280" s="2" t="s">
        <v>8929</v>
      </c>
      <c r="B5280" s="2" t="s">
        <v>978</v>
      </c>
      <c r="C5280" s="11" t="s">
        <v>1323</v>
      </c>
      <c r="D5280" s="2" t="s">
        <v>99</v>
      </c>
      <c r="E5280" s="2" t="s">
        <v>1443</v>
      </c>
      <c r="F5280" s="11" t="s">
        <v>7390</v>
      </c>
      <c r="G5280" s="11" t="s">
        <v>7391</v>
      </c>
      <c r="H5280" s="2" t="s">
        <v>4188</v>
      </c>
      <c r="I5280" s="12" t="s">
        <v>4477</v>
      </c>
      <c r="J5280" s="41">
        <f>+Tabla1[[#This Row],[FECHA ENTRADA]]</f>
        <v>45899</v>
      </c>
      <c r="K5280" s="22">
        <f t="shared" ca="1" si="11"/>
        <v>46260</v>
      </c>
      <c r="L5280" s="42">
        <f ca="1">_xlfn.DAYS(Tabla1[[#This Row],[FECHA FIN ]],Tabla1[[#This Row],[FECHA INICIO]])</f>
        <v>361</v>
      </c>
      <c r="M5280" s="12">
        <f>376+390+350</f>
        <v>1116</v>
      </c>
      <c r="N5280" s="28"/>
      <c r="O5280" s="28">
        <f ca="1">(Tabla1[[#This Row],[COSTO FIJO ]]/30)*Tabla1[[#This Row],[TOTAL DIAS PROYECTO]]+(Tabla1[[#This Row],[COSTO TEMPORAL]])</f>
        <v>1116</v>
      </c>
      <c r="P5280" s="12"/>
      <c r="Q5280" s="12">
        <f ca="1">+(Tabla1[[#This Row],[COSTO COCHE]]/30)*Tabla1[[#This Row],[TOTAL DIAS PROYECTO]]</f>
        <v>0</v>
      </c>
      <c r="R5280" s="12">
        <f ca="1">+Tabla1[[#This Row],[COSTO TOTAL ALOJAMIENTO]]+Tabla1[[#This Row],[COSTO TOTAL COCHE]]</f>
        <v>1116</v>
      </c>
      <c r="S5280" s="2" t="s">
        <v>403</v>
      </c>
      <c r="T5280" s="14" t="s">
        <v>44</v>
      </c>
      <c r="U5280" s="14">
        <v>45899</v>
      </c>
      <c r="V5280" s="25">
        <v>45941</v>
      </c>
      <c r="W5280" s="12"/>
      <c r="X5280" s="2"/>
      <c r="Y5280" s="11" t="s">
        <v>7393</v>
      </c>
      <c r="Z5280" s="2" t="s">
        <v>36</v>
      </c>
      <c r="AA5280" s="13" t="s">
        <v>10420</v>
      </c>
      <c r="AB5280" s="13">
        <v>3907741</v>
      </c>
    </row>
    <row r="5281" spans="1:28" ht="15" customHeight="1">
      <c r="A5281" s="2" t="s">
        <v>8708</v>
      </c>
      <c r="B5281" s="2" t="s">
        <v>978</v>
      </c>
      <c r="C5281" s="11" t="s">
        <v>388</v>
      </c>
      <c r="D5281" s="2" t="s">
        <v>99</v>
      </c>
      <c r="E5281" s="2" t="s">
        <v>1443</v>
      </c>
      <c r="F5281" s="11" t="s">
        <v>7390</v>
      </c>
      <c r="G5281" s="11" t="s">
        <v>7391</v>
      </c>
      <c r="H5281" s="2" t="s">
        <v>4188</v>
      </c>
      <c r="I5281" s="12" t="s">
        <v>4477</v>
      </c>
      <c r="J5281" s="41">
        <f>+Tabla1[[#This Row],[FECHA ENTRADA]]</f>
        <v>45899</v>
      </c>
      <c r="K5281" s="22">
        <f t="shared" ca="1" si="11"/>
        <v>46260</v>
      </c>
      <c r="L5281" s="42">
        <f ca="1">_xlfn.DAYS(Tabla1[[#This Row],[FECHA FIN ]],Tabla1[[#This Row],[FECHA INICIO]])</f>
        <v>361</v>
      </c>
      <c r="M5281" s="12">
        <f>376+390+350</f>
        <v>1116</v>
      </c>
      <c r="N5281" s="28"/>
      <c r="O5281" s="28">
        <f ca="1">(Tabla1[[#This Row],[COSTO FIJO ]]/30)*Tabla1[[#This Row],[TOTAL DIAS PROYECTO]]+(Tabla1[[#This Row],[COSTO TEMPORAL]])</f>
        <v>1116</v>
      </c>
      <c r="P5281" s="12"/>
      <c r="Q5281" s="12">
        <f ca="1">+(Tabla1[[#This Row],[COSTO COCHE]]/30)*Tabla1[[#This Row],[TOTAL DIAS PROYECTO]]</f>
        <v>0</v>
      </c>
      <c r="R5281" s="12">
        <f ca="1">+Tabla1[[#This Row],[COSTO TOTAL ALOJAMIENTO]]+Tabla1[[#This Row],[COSTO TOTAL COCHE]]</f>
        <v>1116</v>
      </c>
      <c r="S5281" s="2" t="s">
        <v>403</v>
      </c>
      <c r="T5281" s="14" t="s">
        <v>44</v>
      </c>
      <c r="U5281" s="14">
        <v>45899</v>
      </c>
      <c r="V5281" s="25">
        <v>45941</v>
      </c>
      <c r="W5281" s="12"/>
      <c r="X5281" s="2"/>
      <c r="Y5281" s="11" t="s">
        <v>7392</v>
      </c>
      <c r="Z5281" s="2" t="s">
        <v>36</v>
      </c>
      <c r="AA5281" s="13" t="s">
        <v>10420</v>
      </c>
      <c r="AB5281" s="13">
        <v>3907741</v>
      </c>
    </row>
    <row r="5282" spans="1:28" ht="15" customHeight="1">
      <c r="A5282" s="2" t="s">
        <v>9924</v>
      </c>
      <c r="B5282" s="2" t="s">
        <v>711</v>
      </c>
      <c r="C5282" s="11" t="s">
        <v>5471</v>
      </c>
      <c r="D5282" s="2" t="s">
        <v>30</v>
      </c>
      <c r="E5282" s="2" t="s">
        <v>1130</v>
      </c>
      <c r="F5282" s="11" t="s">
        <v>7387</v>
      </c>
      <c r="G5282" s="49" t="s">
        <v>7388</v>
      </c>
      <c r="H5282" s="2" t="s">
        <v>5468</v>
      </c>
      <c r="I5282" s="12" t="s">
        <v>5469</v>
      </c>
      <c r="J5282" s="22">
        <f>+Tabla1[[#This Row],[FECHA ENTRADA]]</f>
        <v>45937</v>
      </c>
      <c r="K5282" s="22">
        <f t="shared" ca="1" si="11"/>
        <v>46260</v>
      </c>
      <c r="L5282" s="23">
        <f ca="1">_xlfn.DAYS(Tabla1[[#This Row],[FECHA FIN ]],Tabla1[[#This Row],[FECHA INICIO]])</f>
        <v>323</v>
      </c>
      <c r="M5282" s="12">
        <v>50</v>
      </c>
      <c r="N5282" s="24"/>
      <c r="O5282" s="24">
        <f ca="1">(Tabla1[[#This Row],[COSTO FIJO ]]/30)*Tabla1[[#This Row],[TOTAL DIAS PROYECTO]]+(Tabla1[[#This Row],[COSTO TEMPORAL]])</f>
        <v>50</v>
      </c>
      <c r="P5282" s="12"/>
      <c r="Q5282" s="12">
        <f ca="1">+(Tabla1[[#This Row],[COSTO COCHE]]/30)*Tabla1[[#This Row],[TOTAL DIAS PROYECTO]]</f>
        <v>0</v>
      </c>
      <c r="R5282" s="12">
        <f ca="1">+Tabla1[[#This Row],[COSTO TOTAL ALOJAMIENTO]]+Tabla1[[#This Row],[COSTO TOTAL COCHE]]</f>
        <v>50</v>
      </c>
      <c r="S5282" s="2"/>
      <c r="T5282" s="14" t="s">
        <v>44</v>
      </c>
      <c r="U5282" s="14">
        <v>45937</v>
      </c>
      <c r="V5282" s="25">
        <v>45939</v>
      </c>
      <c r="W5282" s="71"/>
      <c r="X5282" s="2"/>
      <c r="Y5282" s="11" t="s">
        <v>7389</v>
      </c>
      <c r="Z5282" s="2" t="s">
        <v>36</v>
      </c>
      <c r="AA5282" s="13" t="s">
        <v>10412</v>
      </c>
      <c r="AB5282" s="13">
        <v>4200955</v>
      </c>
    </row>
    <row r="5283" spans="1:28" ht="15" customHeight="1">
      <c r="A5283" s="2" t="s">
        <v>9781</v>
      </c>
      <c r="B5283" s="2" t="s">
        <v>711</v>
      </c>
      <c r="C5283" s="169" t="s">
        <v>4720</v>
      </c>
      <c r="D5283" s="2" t="s">
        <v>30</v>
      </c>
      <c r="E5283" s="2" t="s">
        <v>626</v>
      </c>
      <c r="F5283" s="11" t="s">
        <v>4726</v>
      </c>
      <c r="G5283" s="21" t="s">
        <v>4727</v>
      </c>
      <c r="H5283" s="2" t="s">
        <v>4916</v>
      </c>
      <c r="I5283" s="2" t="s">
        <v>570</v>
      </c>
      <c r="J5283" s="22">
        <f>+Tabla1[[#This Row],[FECHA ENTRADA]]</f>
        <v>45876</v>
      </c>
      <c r="K5283" s="22">
        <f t="shared" ca="1" si="11"/>
        <v>46260</v>
      </c>
      <c r="L5283" s="23">
        <f ca="1">_xlfn.DAYS(Tabla1[[#This Row],[FECHA FIN ]],Tabla1[[#This Row],[FECHA INICIO]])</f>
        <v>384</v>
      </c>
      <c r="M5283" s="12"/>
      <c r="N5283" s="24"/>
      <c r="O5283" s="24">
        <f ca="1">(Tabla1[[#This Row],[COSTO FIJO ]]/30)*Tabla1[[#This Row],[TOTAL DIAS PROYECTO]]+(Tabla1[[#This Row],[COSTO TEMPORAL]])</f>
        <v>0</v>
      </c>
      <c r="P5283" s="12"/>
      <c r="Q5283" s="12">
        <f ca="1">+(Tabla1[[#This Row],[COSTO COCHE]]/30)*Tabla1[[#This Row],[TOTAL DIAS PROYECTO]]</f>
        <v>0</v>
      </c>
      <c r="R5283" s="12">
        <f ca="1">+Tabla1[[#This Row],[COSTO TOTAL ALOJAMIENTO]]+Tabla1[[#This Row],[COSTO TOTAL COCHE]]</f>
        <v>0</v>
      </c>
      <c r="S5283" s="2"/>
      <c r="T5283" s="14" t="s">
        <v>44</v>
      </c>
      <c r="U5283" s="14">
        <v>45876</v>
      </c>
      <c r="V5283" s="25">
        <v>45941</v>
      </c>
      <c r="W5283" s="12"/>
      <c r="X5283" s="2"/>
      <c r="Y5283" s="11" t="s">
        <v>7394</v>
      </c>
      <c r="Z5283" s="2" t="s">
        <v>36</v>
      </c>
      <c r="AA5283" s="13" t="s">
        <v>10385</v>
      </c>
      <c r="AB5283" s="13" t="s">
        <v>10386</v>
      </c>
    </row>
    <row r="5284" spans="1:28">
      <c r="A5284" s="2" t="s">
        <v>9144</v>
      </c>
      <c r="B5284" s="2" t="s">
        <v>368</v>
      </c>
      <c r="C5284" s="322" t="s">
        <v>2197</v>
      </c>
      <c r="D5284" s="2" t="s">
        <v>30</v>
      </c>
      <c r="E5284" s="2" t="s">
        <v>415</v>
      </c>
      <c r="F5284" s="11" t="s">
        <v>3894</v>
      </c>
      <c r="G5284" s="46" t="s">
        <v>1390</v>
      </c>
      <c r="H5284" s="2" t="s">
        <v>2199</v>
      </c>
      <c r="I5284" s="12" t="s">
        <v>2200</v>
      </c>
      <c r="J5284" s="22">
        <f>+Tabla1[[#This Row],[FECHA ENTRADA]]</f>
        <v>45725</v>
      </c>
      <c r="K5284" s="22">
        <f t="shared" ca="1" si="11"/>
        <v>46260</v>
      </c>
      <c r="L5284" s="23">
        <f ca="1">_xlfn.DAYS(Tabla1[[#This Row],[FECHA FIN ]],Tabla1[[#This Row],[FECHA INICIO]])</f>
        <v>535</v>
      </c>
      <c r="M5284" s="12"/>
      <c r="N5284" s="12"/>
      <c r="O5284" s="24">
        <f ca="1">(Tabla1[[#This Row],[COSTO FIJO ]]/30)*Tabla1[[#This Row],[TOTAL DIAS PROYECTO]]+(Tabla1[[#This Row],[COSTO TEMPORAL]])</f>
        <v>0</v>
      </c>
      <c r="P5284" s="12"/>
      <c r="Q5284" s="12">
        <f ca="1">+(Tabla1[[#This Row],[COSTO COCHE]]/30)*Tabla1[[#This Row],[TOTAL DIAS PROYECTO]]</f>
        <v>0</v>
      </c>
      <c r="R5284" s="12">
        <f ca="1">+Tabla1[[#This Row],[COSTO TOTAL ALOJAMIENTO]]+Tabla1[[#This Row],[COSTO TOTAL COCHE]]</f>
        <v>0</v>
      </c>
      <c r="S5284" s="2"/>
      <c r="T5284" s="2" t="s">
        <v>35</v>
      </c>
      <c r="U5284" s="14">
        <v>45725</v>
      </c>
      <c r="V5284" s="25">
        <v>45726</v>
      </c>
      <c r="W5284" s="26"/>
      <c r="X5284" s="2">
        <v>23</v>
      </c>
      <c r="Y5284" s="11" t="s">
        <v>1166</v>
      </c>
      <c r="Z5284" s="2" t="s">
        <v>36</v>
      </c>
      <c r="AA5284" s="13">
        <v>-0.37739</v>
      </c>
      <c r="AB5284" s="13" t="s">
        <v>10372</v>
      </c>
    </row>
    <row r="5285" spans="1:28" ht="15" customHeight="1">
      <c r="A5285" s="2" t="s">
        <v>9036</v>
      </c>
      <c r="B5285" s="2" t="s">
        <v>368</v>
      </c>
      <c r="C5285" s="11" t="s">
        <v>1765</v>
      </c>
      <c r="D5285" s="2" t="s">
        <v>99</v>
      </c>
      <c r="E5285" s="2" t="s">
        <v>415</v>
      </c>
      <c r="F5285" s="11" t="s">
        <v>5331</v>
      </c>
      <c r="G5285" s="21" t="s">
        <v>5332</v>
      </c>
      <c r="H5285" s="2" t="s">
        <v>5333</v>
      </c>
      <c r="I5285" s="10" t="s">
        <v>4165</v>
      </c>
      <c r="J5285" s="22">
        <f>+Tabla1[[#This Row],[FECHA ENTRADA]]</f>
        <v>45914</v>
      </c>
      <c r="K5285" s="22">
        <f t="shared" ca="1" si="11"/>
        <v>46260</v>
      </c>
      <c r="L5285" s="23">
        <f ca="1">_xlfn.DAYS(Tabla1[[#This Row],[FECHA FIN ]],Tabla1[[#This Row],[FECHA INICIO]])</f>
        <v>346</v>
      </c>
      <c r="M5285" s="12">
        <v>600</v>
      </c>
      <c r="N5285" s="20"/>
      <c r="O5285" s="24">
        <f ca="1">(Tabla1[[#This Row],[COSTO FIJO ]]/30)*Tabla1[[#This Row],[TOTAL DIAS PROYECTO]]+(Tabla1[[#This Row],[COSTO TEMPORAL]])</f>
        <v>600</v>
      </c>
      <c r="P5285" s="12"/>
      <c r="Q5285" s="12">
        <f ca="1">+(Tabla1[[#This Row],[COSTO COCHE]]/30)*Tabla1[[#This Row],[TOTAL DIAS PROYECTO]]</f>
        <v>0</v>
      </c>
      <c r="R5285" s="12">
        <f ca="1">+Tabla1[[#This Row],[COSTO TOTAL ALOJAMIENTO]]+Tabla1[[#This Row],[COSTO TOTAL COCHE]]</f>
        <v>600</v>
      </c>
      <c r="S5285" s="2"/>
      <c r="T5285" s="14" t="s">
        <v>44</v>
      </c>
      <c r="U5285" s="14">
        <v>45914</v>
      </c>
      <c r="V5285" s="79">
        <v>45944</v>
      </c>
      <c r="W5285" s="71"/>
      <c r="X5285" s="2"/>
      <c r="Y5285" s="11" t="s">
        <v>1361</v>
      </c>
      <c r="Z5285" s="2" t="s">
        <v>36</v>
      </c>
      <c r="AA5285" s="13">
        <v>-0.37739</v>
      </c>
      <c r="AB5285" s="13" t="s">
        <v>10372</v>
      </c>
    </row>
    <row r="5286" spans="1:28" ht="15" customHeight="1">
      <c r="A5286" s="2" t="s">
        <v>9835</v>
      </c>
      <c r="B5286" s="2" t="s">
        <v>368</v>
      </c>
      <c r="C5286" s="322" t="s">
        <v>4962</v>
      </c>
      <c r="D5286" s="2" t="s">
        <v>30</v>
      </c>
      <c r="E5286" s="2" t="s">
        <v>415</v>
      </c>
      <c r="F5286" s="11" t="s">
        <v>5331</v>
      </c>
      <c r="G5286" s="11" t="s">
        <v>5332</v>
      </c>
      <c r="H5286" s="2" t="s">
        <v>5333</v>
      </c>
      <c r="I5286" s="10" t="s">
        <v>4165</v>
      </c>
      <c r="J5286" s="22">
        <f>+Tabla1[[#This Row],[FECHA ENTRADA]]</f>
        <v>45914</v>
      </c>
      <c r="K5286" s="22">
        <f t="shared" ca="1" si="11"/>
        <v>46260</v>
      </c>
      <c r="L5286" s="23">
        <f ca="1">_xlfn.DAYS(Tabla1[[#This Row],[FECHA FIN ]],Tabla1[[#This Row],[FECHA INICIO]])</f>
        <v>346</v>
      </c>
      <c r="M5286" s="12">
        <v>600</v>
      </c>
      <c r="N5286" s="20"/>
      <c r="O5286" s="24">
        <f ca="1">(Tabla1[[#This Row],[COSTO FIJO ]]/30)*Tabla1[[#This Row],[TOTAL DIAS PROYECTO]]+(Tabla1[[#This Row],[COSTO TEMPORAL]])</f>
        <v>600</v>
      </c>
      <c r="P5286" s="12"/>
      <c r="Q5286" s="12">
        <f ca="1">+(Tabla1[[#This Row],[COSTO COCHE]]/30)*Tabla1[[#This Row],[TOTAL DIAS PROYECTO]]</f>
        <v>0</v>
      </c>
      <c r="R5286" s="12">
        <f ca="1">+Tabla1[[#This Row],[COSTO TOTAL ALOJAMIENTO]]+Tabla1[[#This Row],[COSTO TOTAL COCHE]]</f>
        <v>600</v>
      </c>
      <c r="S5286" s="2"/>
      <c r="T5286" s="14" t="s">
        <v>44</v>
      </c>
      <c r="U5286" s="14">
        <v>45914</v>
      </c>
      <c r="V5286" s="79">
        <v>45944</v>
      </c>
      <c r="W5286" s="71"/>
      <c r="X5286" s="2"/>
      <c r="Y5286" s="11" t="s">
        <v>1361</v>
      </c>
      <c r="Z5286" s="2" t="s">
        <v>36</v>
      </c>
      <c r="AA5286" s="13">
        <v>-0.37739</v>
      </c>
      <c r="AB5286" s="13" t="s">
        <v>10372</v>
      </c>
    </row>
    <row r="5287" spans="1:28" ht="15" customHeight="1">
      <c r="A5287" s="2" t="s">
        <v>8642</v>
      </c>
      <c r="B5287" s="2" t="s">
        <v>368</v>
      </c>
      <c r="C5287" s="11" t="s">
        <v>5728</v>
      </c>
      <c r="D5287" s="2" t="s">
        <v>30</v>
      </c>
      <c r="E5287" s="2" t="s">
        <v>415</v>
      </c>
      <c r="F5287" s="11" t="s">
        <v>5331</v>
      </c>
      <c r="G5287" s="21" t="s">
        <v>5332</v>
      </c>
      <c r="H5287" s="2" t="s">
        <v>5731</v>
      </c>
      <c r="I5287" s="10" t="s">
        <v>4165</v>
      </c>
      <c r="J5287" s="22">
        <f>+Tabla1[[#This Row],[FECHA ENTRADA]]</f>
        <v>45928</v>
      </c>
      <c r="K5287" s="22">
        <f t="shared" ca="1" si="11"/>
        <v>46260</v>
      </c>
      <c r="L5287" s="23">
        <f ca="1">_xlfn.DAYS(Tabla1[[#This Row],[FECHA FIN ]],Tabla1[[#This Row],[FECHA INICIO]])</f>
        <v>332</v>
      </c>
      <c r="M5287" s="12">
        <v>600</v>
      </c>
      <c r="N5287" s="24"/>
      <c r="O5287" s="24">
        <f ca="1">(Tabla1[[#This Row],[COSTO FIJO ]]/30)*Tabla1[[#This Row],[TOTAL DIAS PROYECTO]]+(Tabla1[[#This Row],[COSTO TEMPORAL]])</f>
        <v>600</v>
      </c>
      <c r="P5287" s="12"/>
      <c r="Q5287" s="12">
        <f ca="1">+(Tabla1[[#This Row],[COSTO COCHE]]/30)*Tabla1[[#This Row],[TOTAL DIAS PROYECTO]]</f>
        <v>0</v>
      </c>
      <c r="R5287" s="12">
        <f ca="1">+Tabla1[[#This Row],[COSTO TOTAL ALOJAMIENTO]]+Tabla1[[#This Row],[COSTO TOTAL COCHE]]</f>
        <v>600</v>
      </c>
      <c r="S5287" s="2"/>
      <c r="T5287" s="14" t="s">
        <v>44</v>
      </c>
      <c r="U5287" s="14">
        <v>45928</v>
      </c>
      <c r="V5287" s="79">
        <v>45944</v>
      </c>
      <c r="W5287" s="71"/>
      <c r="X5287" s="2"/>
      <c r="Y5287" s="11" t="s">
        <v>1361</v>
      </c>
      <c r="Z5287" s="2" t="s">
        <v>36</v>
      </c>
      <c r="AA5287" s="13">
        <v>-0.37739</v>
      </c>
      <c r="AB5287" s="13" t="s">
        <v>10372</v>
      </c>
    </row>
    <row r="5288" spans="1:28" ht="15" customHeight="1">
      <c r="A5288" s="2" t="s">
        <v>9603</v>
      </c>
      <c r="B5288" s="2" t="s">
        <v>368</v>
      </c>
      <c r="C5288" s="11" t="s">
        <v>3830</v>
      </c>
      <c r="D5288" s="2" t="s">
        <v>99</v>
      </c>
      <c r="E5288" s="2" t="s">
        <v>415</v>
      </c>
      <c r="F5288" s="11" t="s">
        <v>5729</v>
      </c>
      <c r="G5288" s="46" t="s">
        <v>5730</v>
      </c>
      <c r="H5288" s="2" t="s">
        <v>6102</v>
      </c>
      <c r="I5288" s="10" t="s">
        <v>4165</v>
      </c>
      <c r="J5288" s="41">
        <f>+Tabla1[[#This Row],[FECHA ENTRADA]]</f>
        <v>45922</v>
      </c>
      <c r="K5288" s="22">
        <f t="shared" ca="1" si="11"/>
        <v>46260</v>
      </c>
      <c r="L5288" s="42">
        <f ca="1">_xlfn.DAYS(Tabla1[[#This Row],[FECHA FIN ]],Tabla1[[#This Row],[FECHA INICIO]])</f>
        <v>338</v>
      </c>
      <c r="M5288" s="12">
        <v>566.95000000000005</v>
      </c>
      <c r="N5288" s="28"/>
      <c r="O5288" s="28">
        <f ca="1">(Tabla1[[#This Row],[COSTO FIJO ]]/30)*Tabla1[[#This Row],[TOTAL DIAS PROYECTO]]+(Tabla1[[#This Row],[COSTO TEMPORAL]])</f>
        <v>566.95000000000005</v>
      </c>
      <c r="P5288" s="12"/>
      <c r="Q5288" s="12">
        <f ca="1">+(Tabla1[[#This Row],[COSTO COCHE]]/30)*Tabla1[[#This Row],[TOTAL DIAS PROYECTO]]</f>
        <v>0</v>
      </c>
      <c r="R5288" s="12">
        <f ca="1">+Tabla1[[#This Row],[COSTO TOTAL ALOJAMIENTO]]+Tabla1[[#This Row],[COSTO TOTAL COCHE]]</f>
        <v>566.95000000000005</v>
      </c>
      <c r="S5288" s="2" t="s">
        <v>403</v>
      </c>
      <c r="T5288" s="14" t="s">
        <v>44</v>
      </c>
      <c r="U5288" s="14">
        <v>45922</v>
      </c>
      <c r="V5288" s="43">
        <v>45945</v>
      </c>
      <c r="W5288" s="71"/>
      <c r="X5288" s="2"/>
      <c r="Y5288" s="11" t="s">
        <v>1361</v>
      </c>
      <c r="Z5288" s="2" t="s">
        <v>36</v>
      </c>
      <c r="AA5288" s="13">
        <v>-0.37739</v>
      </c>
      <c r="AB5288" s="13" t="s">
        <v>10372</v>
      </c>
    </row>
    <row r="5289" spans="1:28" ht="15" customHeight="1">
      <c r="A5289" s="2" t="s">
        <v>9636</v>
      </c>
      <c r="B5289" s="2" t="s">
        <v>368</v>
      </c>
      <c r="C5289" s="322" t="s">
        <v>4018</v>
      </c>
      <c r="D5289" s="2" t="s">
        <v>30</v>
      </c>
      <c r="E5289" s="2" t="s">
        <v>626</v>
      </c>
      <c r="F5289" s="11" t="s">
        <v>1041</v>
      </c>
      <c r="G5289" s="11" t="s">
        <v>628</v>
      </c>
      <c r="H5289" s="2" t="s">
        <v>1042</v>
      </c>
      <c r="I5289" s="12" t="s">
        <v>1043</v>
      </c>
      <c r="J5289" s="22">
        <v>45572</v>
      </c>
      <c r="K5289" s="8">
        <f t="shared" ca="1" si="11"/>
        <v>46260</v>
      </c>
      <c r="L5289" s="23">
        <f ca="1">_xlfn.DAYS(Tabla1[[#This Row],[FECHA FIN ]],Tabla1[[#This Row],[FECHA INICIO]])</f>
        <v>688</v>
      </c>
      <c r="M5289" s="12"/>
      <c r="N5289" s="12"/>
      <c r="O5289" s="24">
        <f ca="1">(Tabla1[[#This Row],[COSTO FIJO ]]/30)*Tabla1[[#This Row],[TOTAL DIAS PROYECTO]]+(Tabla1[[#This Row],[COSTO TEMPORAL]])</f>
        <v>0</v>
      </c>
      <c r="P5289" s="12"/>
      <c r="Q5289" s="12">
        <f ca="1">+(Tabla1[[#This Row],[COSTO COCHE]]/30)*Tabla1[[#This Row],[TOTAL DIAS PROYECTO]]</f>
        <v>0</v>
      </c>
      <c r="R5289" s="12">
        <f ca="1">+Tabla1[[#This Row],[COSTO TOTAL ALOJAMIENTO]]+Tabla1[[#This Row],[COSTO TOTAL COCHE]]</f>
        <v>0</v>
      </c>
      <c r="S5289" s="2"/>
      <c r="T5289" s="2" t="s">
        <v>35</v>
      </c>
      <c r="U5289" s="14">
        <v>45572</v>
      </c>
      <c r="V5289" s="79"/>
      <c r="W5289" s="26"/>
      <c r="X5289" s="2">
        <v>24</v>
      </c>
      <c r="Y5289" s="11"/>
      <c r="Z5289" s="2" t="s">
        <v>36</v>
      </c>
      <c r="AA5289" s="13" t="s">
        <v>10385</v>
      </c>
      <c r="AB5289" s="13" t="s">
        <v>10386</v>
      </c>
    </row>
    <row r="5290" spans="1:28" ht="15" customHeight="1">
      <c r="A5290" s="2" t="s">
        <v>9826</v>
      </c>
      <c r="B5290" s="2" t="s">
        <v>606</v>
      </c>
      <c r="C5290" s="11" t="s">
        <v>4927</v>
      </c>
      <c r="D5290" s="2" t="s">
        <v>30</v>
      </c>
      <c r="E5290" s="2" t="s">
        <v>31</v>
      </c>
      <c r="F5290" s="11" t="s">
        <v>32</v>
      </c>
      <c r="G5290" s="11" t="s">
        <v>33</v>
      </c>
      <c r="H5290" s="2" t="s">
        <v>4926</v>
      </c>
      <c r="I5290" s="12" t="s">
        <v>412</v>
      </c>
      <c r="J5290" s="41">
        <f>+Tabla1[[#This Row],[FECHA ENTRADA]]</f>
        <v>46112</v>
      </c>
      <c r="K5290" s="22">
        <v>46114</v>
      </c>
      <c r="L5290" s="42">
        <f>_xlfn.DAYS(Tabla1[[#This Row],[FECHA FIN ]],Tabla1[[#This Row],[FECHA INICIO]])</f>
        <v>2</v>
      </c>
      <c r="M5290" s="12"/>
      <c r="N5290" s="12">
        <f>875.5/4</f>
        <v>218.875</v>
      </c>
      <c r="O5290" s="28">
        <f>(Tabla1[[#This Row],[COSTO FIJO ]]/30)*Tabla1[[#This Row],[TOTAL DIAS PROYECTO]]+(Tabla1[[#This Row],[COSTO TEMPORAL]])</f>
        <v>14.591666666666667</v>
      </c>
      <c r="P5290" s="12"/>
      <c r="Q5290" s="12">
        <f>+(Tabla1[[#This Row],[COSTO COCHE]]/30)*Tabla1[[#This Row],[TOTAL DIAS PROYECTO]]</f>
        <v>0</v>
      </c>
      <c r="R5290" s="12">
        <f>+Tabla1[[#This Row],[COSTO TOTAL ALOJAMIENTO]]+Tabla1[[#This Row],[COSTO TOTAL COCHE]]</f>
        <v>14.591666666666667</v>
      </c>
      <c r="S5290" s="2"/>
      <c r="T5290" s="14" t="s">
        <v>35</v>
      </c>
      <c r="U5290" s="14">
        <v>46112</v>
      </c>
      <c r="V5290" s="43"/>
      <c r="W5290" s="12"/>
      <c r="X5290" s="2">
        <v>1</v>
      </c>
      <c r="Y5290" s="11" t="s">
        <v>7395</v>
      </c>
      <c r="Z5290" s="2" t="s">
        <v>36</v>
      </c>
      <c r="AA5290" s="13" t="s">
        <v>10323</v>
      </c>
      <c r="AB5290" s="13" t="s">
        <v>10324</v>
      </c>
    </row>
    <row r="5291" spans="1:28" ht="15" customHeight="1">
      <c r="A5291" s="2" t="s">
        <v>10242</v>
      </c>
      <c r="B5291" s="2" t="s">
        <v>606</v>
      </c>
      <c r="C5291" s="31" t="s">
        <v>7396</v>
      </c>
      <c r="D5291" s="2" t="s">
        <v>99</v>
      </c>
      <c r="E5291" s="2" t="s">
        <v>109</v>
      </c>
      <c r="F5291" s="11" t="s">
        <v>3066</v>
      </c>
      <c r="G5291" s="100" t="s">
        <v>3067</v>
      </c>
      <c r="H5291" s="2" t="s">
        <v>7397</v>
      </c>
      <c r="I5291" s="12" t="s">
        <v>42</v>
      </c>
      <c r="J5291" s="41">
        <f>+Tabla1[[#This Row],[FECHA ENTRADA]]</f>
        <v>45739</v>
      </c>
      <c r="K5291" s="41">
        <v>46172</v>
      </c>
      <c r="L5291" s="42">
        <f>_xlfn.DAYS(Tabla1[[#This Row],[FECHA FIN ]],Tabla1[[#This Row],[FECHA INICIO]])</f>
        <v>433</v>
      </c>
      <c r="M5291" s="12"/>
      <c r="N5291" s="12">
        <v>206</v>
      </c>
      <c r="O5291" s="28">
        <f>(Tabla1[[#This Row],[COSTO FIJO ]]/30)*Tabla1[[#This Row],[TOTAL DIAS PROYECTO]]+(Tabla1[[#This Row],[COSTO TEMPORAL]])</f>
        <v>2973.2666666666664</v>
      </c>
      <c r="P5291" s="12">
        <v>100</v>
      </c>
      <c r="Q5291" s="12">
        <f>+(Tabla1[[#This Row],[COSTO COCHE]]/30)*Tabla1[[#This Row],[TOTAL DIAS PROYECTO]]</f>
        <v>1443.3333333333335</v>
      </c>
      <c r="R5291" s="12">
        <f>+Tabla1[[#This Row],[COSTO TOTAL ALOJAMIENTO]]+Tabla1[[#This Row],[COSTO TOTAL COCHE]]</f>
        <v>4416.6000000000004</v>
      </c>
      <c r="S5291" s="2"/>
      <c r="T5291" s="2" t="s">
        <v>35</v>
      </c>
      <c r="U5291" s="14">
        <v>45739</v>
      </c>
      <c r="V5291" s="43"/>
      <c r="W5291" s="12"/>
      <c r="X5291" s="2">
        <v>4</v>
      </c>
      <c r="Y5291" s="11" t="s">
        <v>7398</v>
      </c>
      <c r="Z5291" s="2" t="s">
        <v>36</v>
      </c>
      <c r="AA5291" s="13">
        <v>0.62217999999999996</v>
      </c>
      <c r="AB5291" s="13" t="s">
        <v>10339</v>
      </c>
    </row>
    <row r="5292" spans="1:28" ht="15" customHeight="1">
      <c r="A5292" s="2" t="s">
        <v>9205</v>
      </c>
      <c r="B5292" s="2" t="s">
        <v>711</v>
      </c>
      <c r="C5292" s="11" t="s">
        <v>2425</v>
      </c>
      <c r="D5292" s="2" t="s">
        <v>30</v>
      </c>
      <c r="E5292" s="2" t="s">
        <v>5690</v>
      </c>
      <c r="F5292" s="11" t="s">
        <v>7399</v>
      </c>
      <c r="G5292" t="s">
        <v>5706</v>
      </c>
      <c r="H5292" s="2" t="s">
        <v>5962</v>
      </c>
      <c r="I5292" s="6" t="s">
        <v>5694</v>
      </c>
      <c r="J5292" s="22">
        <f>+Tabla1[[#This Row],[FECHA ENTRADA]]</f>
        <v>45946</v>
      </c>
      <c r="K5292" s="22">
        <f t="shared" ref="K5292:K5301" ca="1" si="12">TODAY()</f>
        <v>46260</v>
      </c>
      <c r="L5292" s="23">
        <f ca="1">_xlfn.DAYS(Tabla1[[#This Row],[FECHA FIN ]],Tabla1[[#This Row],[FECHA INICIO]])</f>
        <v>314</v>
      </c>
      <c r="M5292" s="12">
        <v>271.25</v>
      </c>
      <c r="N5292" s="20"/>
      <c r="O5292" s="24">
        <f ca="1">(Tabla1[[#This Row],[COSTO FIJO ]]/30)*Tabla1[[#This Row],[TOTAL DIAS PROYECTO]]+(Tabla1[[#This Row],[COSTO TEMPORAL]])</f>
        <v>271.25</v>
      </c>
      <c r="P5292" s="12"/>
      <c r="Q5292" s="12">
        <f ca="1">+(Tabla1[[#This Row],[COSTO COCHE]]/30)*Tabla1[[#This Row],[TOTAL DIAS PROYECTO]]</f>
        <v>0</v>
      </c>
      <c r="R5292" s="12">
        <f ca="1">+Tabla1[[#This Row],[COSTO TOTAL ALOJAMIENTO]]+Tabla1[[#This Row],[COSTO TOTAL COCHE]]</f>
        <v>271.25</v>
      </c>
      <c r="S5292" s="2" t="s">
        <v>84</v>
      </c>
      <c r="T5292" s="14" t="s">
        <v>44</v>
      </c>
      <c r="U5292" s="14">
        <v>45946</v>
      </c>
      <c r="V5292" s="79">
        <v>45960</v>
      </c>
      <c r="W5292" s="71"/>
      <c r="X5292" s="2"/>
      <c r="Y5292" s="11" t="s">
        <v>1166</v>
      </c>
      <c r="Z5292" s="2" t="s">
        <v>36</v>
      </c>
      <c r="AA5292" s="13" t="e">
        <v>#N/A</v>
      </c>
      <c r="AB5292" s="13" t="e">
        <v>#N/A</v>
      </c>
    </row>
    <row r="5293" spans="1:28" ht="15" customHeight="1">
      <c r="A5293" s="2" t="s">
        <v>10014</v>
      </c>
      <c r="B5293" s="2" t="s">
        <v>711</v>
      </c>
      <c r="C5293" s="11" t="s">
        <v>5967</v>
      </c>
      <c r="D5293" s="2" t="s">
        <v>30</v>
      </c>
      <c r="E5293" s="2" t="s">
        <v>5690</v>
      </c>
      <c r="F5293" s="11" t="s">
        <v>7399</v>
      </c>
      <c r="G5293" s="49" t="s">
        <v>5706</v>
      </c>
      <c r="H5293" s="2" t="s">
        <v>5962</v>
      </c>
      <c r="I5293" s="6" t="s">
        <v>5694</v>
      </c>
      <c r="J5293" s="22">
        <f>+Tabla1[[#This Row],[FECHA ENTRADA]]</f>
        <v>45946</v>
      </c>
      <c r="K5293" s="22">
        <f t="shared" ca="1" si="12"/>
        <v>46260</v>
      </c>
      <c r="L5293" s="23">
        <f ca="1">_xlfn.DAYS(Tabla1[[#This Row],[FECHA FIN ]],Tabla1[[#This Row],[FECHA INICIO]])</f>
        <v>314</v>
      </c>
      <c r="M5293" s="12">
        <v>271.25</v>
      </c>
      <c r="N5293" s="20"/>
      <c r="O5293" s="24">
        <f ca="1">(Tabla1[[#This Row],[COSTO FIJO ]]/30)*Tabla1[[#This Row],[TOTAL DIAS PROYECTO]]+(Tabla1[[#This Row],[COSTO TEMPORAL]])</f>
        <v>271.25</v>
      </c>
      <c r="P5293" s="12"/>
      <c r="Q5293" s="12">
        <f ca="1">+(Tabla1[[#This Row],[COSTO COCHE]]/30)*Tabla1[[#This Row],[TOTAL DIAS PROYECTO]]</f>
        <v>0</v>
      </c>
      <c r="R5293" s="12">
        <f ca="1">+Tabla1[[#This Row],[COSTO TOTAL ALOJAMIENTO]]+Tabla1[[#This Row],[COSTO TOTAL COCHE]]</f>
        <v>271.25</v>
      </c>
      <c r="S5293" s="2" t="s">
        <v>84</v>
      </c>
      <c r="T5293" s="14" t="s">
        <v>44</v>
      </c>
      <c r="U5293" s="14">
        <v>45946</v>
      </c>
      <c r="V5293" s="79">
        <v>45960</v>
      </c>
      <c r="W5293" s="71"/>
      <c r="X5293" s="2"/>
      <c r="Y5293" s="11" t="s">
        <v>1166</v>
      </c>
      <c r="Z5293" s="2" t="s">
        <v>36</v>
      </c>
      <c r="AA5293" s="13" t="e">
        <v>#N/A</v>
      </c>
      <c r="AB5293" s="13" t="e">
        <v>#N/A</v>
      </c>
    </row>
    <row r="5294" spans="1:28" ht="15" customHeight="1">
      <c r="A5294" s="2" t="s">
        <v>9916</v>
      </c>
      <c r="B5294" s="2" t="s">
        <v>711</v>
      </c>
      <c r="C5294" s="11" t="s">
        <v>5400</v>
      </c>
      <c r="D5294" s="2" t="s">
        <v>30</v>
      </c>
      <c r="E5294" s="2" t="s">
        <v>5690</v>
      </c>
      <c r="F5294" s="11" t="s">
        <v>7399</v>
      </c>
      <c r="G5294" s="49" t="s">
        <v>5706</v>
      </c>
      <c r="H5294" s="2" t="s">
        <v>5962</v>
      </c>
      <c r="I5294" s="6" t="s">
        <v>5694</v>
      </c>
      <c r="J5294" s="22">
        <f>+Tabla1[[#This Row],[FECHA ENTRADA]]</f>
        <v>45946</v>
      </c>
      <c r="K5294" s="22">
        <f t="shared" ca="1" si="12"/>
        <v>46260</v>
      </c>
      <c r="L5294" s="23">
        <f ca="1">_xlfn.DAYS(Tabla1[[#This Row],[FECHA FIN ]],Tabla1[[#This Row],[FECHA INICIO]])</f>
        <v>314</v>
      </c>
      <c r="M5294" s="12">
        <v>271.25</v>
      </c>
      <c r="N5294" s="20"/>
      <c r="O5294" s="24">
        <f ca="1">(Tabla1[[#This Row],[COSTO FIJO ]]/30)*Tabla1[[#This Row],[TOTAL DIAS PROYECTO]]+(Tabla1[[#This Row],[COSTO TEMPORAL]])</f>
        <v>271.25</v>
      </c>
      <c r="P5294" s="12"/>
      <c r="Q5294" s="12">
        <f ca="1">+(Tabla1[[#This Row],[COSTO COCHE]]/30)*Tabla1[[#This Row],[TOTAL DIAS PROYECTO]]</f>
        <v>0</v>
      </c>
      <c r="R5294" s="12">
        <f ca="1">+Tabla1[[#This Row],[COSTO TOTAL ALOJAMIENTO]]+Tabla1[[#This Row],[COSTO TOTAL COCHE]]</f>
        <v>271.25</v>
      </c>
      <c r="S5294" s="2" t="s">
        <v>84</v>
      </c>
      <c r="T5294" s="14" t="s">
        <v>44</v>
      </c>
      <c r="U5294" s="14">
        <v>45946</v>
      </c>
      <c r="V5294" s="79">
        <v>45960</v>
      </c>
      <c r="W5294" s="71"/>
      <c r="X5294" s="2"/>
      <c r="Y5294" s="11" t="s">
        <v>1166</v>
      </c>
      <c r="Z5294" s="2" t="s">
        <v>36</v>
      </c>
      <c r="AA5294" s="13" t="e">
        <v>#N/A</v>
      </c>
      <c r="AB5294" s="13" t="e">
        <v>#N/A</v>
      </c>
    </row>
    <row r="5295" spans="1:28" ht="15" customHeight="1">
      <c r="A5295" s="2" t="s">
        <v>9799</v>
      </c>
      <c r="B5295" s="2" t="s">
        <v>711</v>
      </c>
      <c r="C5295" s="11" t="s">
        <v>4801</v>
      </c>
      <c r="D5295" s="2" t="s">
        <v>30</v>
      </c>
      <c r="E5295" s="2" t="s">
        <v>5690</v>
      </c>
      <c r="F5295" s="11" t="s">
        <v>7399</v>
      </c>
      <c r="G5295" s="49" t="s">
        <v>5706</v>
      </c>
      <c r="H5295" s="2" t="s">
        <v>5962</v>
      </c>
      <c r="I5295" s="6" t="s">
        <v>5694</v>
      </c>
      <c r="J5295" s="22">
        <f>+Tabla1[[#This Row],[FECHA ENTRADA]]</f>
        <v>45946</v>
      </c>
      <c r="K5295" s="22">
        <f t="shared" ca="1" si="12"/>
        <v>46260</v>
      </c>
      <c r="L5295" s="23">
        <f ca="1">_xlfn.DAYS(Tabla1[[#This Row],[FECHA FIN ]],Tabla1[[#This Row],[FECHA INICIO]])</f>
        <v>314</v>
      </c>
      <c r="M5295" s="12">
        <v>271.25</v>
      </c>
      <c r="N5295" s="20"/>
      <c r="O5295" s="24">
        <f ca="1">(Tabla1[[#This Row],[COSTO FIJO ]]/30)*Tabla1[[#This Row],[TOTAL DIAS PROYECTO]]+(Tabla1[[#This Row],[COSTO TEMPORAL]])</f>
        <v>271.25</v>
      </c>
      <c r="P5295" s="12"/>
      <c r="Q5295" s="12">
        <f ca="1">+(Tabla1[[#This Row],[COSTO COCHE]]/30)*Tabla1[[#This Row],[TOTAL DIAS PROYECTO]]</f>
        <v>0</v>
      </c>
      <c r="R5295" s="12">
        <f ca="1">+Tabla1[[#This Row],[COSTO TOTAL ALOJAMIENTO]]+Tabla1[[#This Row],[COSTO TOTAL COCHE]]</f>
        <v>271.25</v>
      </c>
      <c r="S5295" s="2" t="s">
        <v>84</v>
      </c>
      <c r="T5295" s="14" t="s">
        <v>44</v>
      </c>
      <c r="U5295" s="14">
        <v>45946</v>
      </c>
      <c r="V5295" s="79">
        <v>45960</v>
      </c>
      <c r="W5295" s="71"/>
      <c r="X5295" s="2"/>
      <c r="Y5295" s="11" t="s">
        <v>1166</v>
      </c>
      <c r="Z5295" s="2" t="s">
        <v>36</v>
      </c>
      <c r="AA5295" s="13" t="e">
        <v>#N/A</v>
      </c>
      <c r="AB5295" s="13" t="e">
        <v>#N/A</v>
      </c>
    </row>
    <row r="5296" spans="1:28" ht="15" customHeight="1">
      <c r="A5296" s="2" t="s">
        <v>10211</v>
      </c>
      <c r="B5296" s="2" t="s">
        <v>368</v>
      </c>
      <c r="C5296" s="322" t="s">
        <v>7183</v>
      </c>
      <c r="D5296" s="2" t="s">
        <v>30</v>
      </c>
      <c r="E5296" s="2" t="s">
        <v>151</v>
      </c>
      <c r="F5296" s="11" t="s">
        <v>1499</v>
      </c>
      <c r="G5296" s="11" t="s">
        <v>1500</v>
      </c>
      <c r="H5296" s="2" t="s">
        <v>2446</v>
      </c>
      <c r="I5296" s="12" t="s">
        <v>152</v>
      </c>
      <c r="J5296" s="41">
        <f>+Tabla1[[#This Row],[FECHA ENTRADA]]</f>
        <v>45650</v>
      </c>
      <c r="K5296" s="8">
        <f t="shared" ca="1" si="12"/>
        <v>46260</v>
      </c>
      <c r="L5296" s="42">
        <f ca="1">_xlfn.DAYS(Tabla1[[#This Row],[FECHA FIN ]],Tabla1[[#This Row],[FECHA INICIO]])</f>
        <v>610</v>
      </c>
      <c r="M5296" s="12"/>
      <c r="N5296" s="12">
        <v>200</v>
      </c>
      <c r="O5296" s="28">
        <f ca="1">(Tabla1[[#This Row],[COSTO FIJO ]]/30)*Tabla1[[#This Row],[TOTAL DIAS PROYECTO]]+(Tabla1[[#This Row],[COSTO TEMPORAL]])</f>
        <v>4066.666666666667</v>
      </c>
      <c r="P5296" s="12"/>
      <c r="Q5296" s="12">
        <f ca="1">+(Tabla1[[#This Row],[COSTO COCHE]]/30)*Tabla1[[#This Row],[TOTAL DIAS PROYECTO]]</f>
        <v>0</v>
      </c>
      <c r="R5296" s="12">
        <f ca="1">+Tabla1[[#This Row],[COSTO TOTAL ALOJAMIENTO]]+Tabla1[[#This Row],[COSTO TOTAL COCHE]]</f>
        <v>4066.666666666667</v>
      </c>
      <c r="S5296" s="2"/>
      <c r="T5296" s="2" t="s">
        <v>44</v>
      </c>
      <c r="U5296" s="14">
        <v>45650</v>
      </c>
      <c r="V5296" s="43"/>
      <c r="W5296" s="26"/>
      <c r="X5296" s="2">
        <v>23</v>
      </c>
      <c r="Y5296" s="11"/>
      <c r="Z5296" s="2" t="s">
        <v>36</v>
      </c>
      <c r="AA5296" s="13" t="s">
        <v>10345</v>
      </c>
      <c r="AB5296" s="13" t="s">
        <v>10346</v>
      </c>
    </row>
    <row r="5297" spans="1:28" ht="15" customHeight="1">
      <c r="A5297" s="117" t="s">
        <v>9951</v>
      </c>
      <c r="B5297" s="117" t="s">
        <v>978</v>
      </c>
      <c r="C5297" s="326" t="s">
        <v>5666</v>
      </c>
      <c r="D5297" s="117" t="s">
        <v>30</v>
      </c>
      <c r="E5297" s="117" t="s">
        <v>1161</v>
      </c>
      <c r="F5297" s="11" t="s">
        <v>7400</v>
      </c>
      <c r="G5297" s="197" t="s">
        <v>7401</v>
      </c>
      <c r="H5297" s="117" t="s">
        <v>7402</v>
      </c>
      <c r="I5297" s="119" t="s">
        <v>1165</v>
      </c>
      <c r="J5297" s="121">
        <f>+Tabla1[[#This Row],[FECHA ENTRADA]]</f>
        <v>45952</v>
      </c>
      <c r="K5297" s="121">
        <f t="shared" ca="1" si="12"/>
        <v>46260</v>
      </c>
      <c r="L5297" s="129">
        <f ca="1">_xlfn.DAYS(Tabla1[[#This Row],[FECHA FIN ]],Tabla1[[#This Row],[FECHA INICIO]])</f>
        <v>308</v>
      </c>
      <c r="M5297" s="119">
        <f>1266.71/4</f>
        <v>316.67750000000001</v>
      </c>
      <c r="N5297" s="131"/>
      <c r="O5297" s="131">
        <f ca="1">(Tabla1[[#This Row],[COSTO FIJO ]]/30)*Tabla1[[#This Row],[TOTAL DIAS PROYECTO]]+(Tabla1[[#This Row],[COSTO TEMPORAL]])</f>
        <v>316.67750000000001</v>
      </c>
      <c r="P5297" s="119"/>
      <c r="Q5297" s="119">
        <f ca="1">+(Tabla1[[#This Row],[COSTO COCHE]]/30)*Tabla1[[#This Row],[TOTAL DIAS PROYECTO]]</f>
        <v>0</v>
      </c>
      <c r="R5297" s="119">
        <f ca="1">+Tabla1[[#This Row],[COSTO TOTAL ALOJAMIENTO]]+Tabla1[[#This Row],[COSTO TOTAL COCHE]]</f>
        <v>316.67750000000001</v>
      </c>
      <c r="S5297" s="117" t="s">
        <v>84</v>
      </c>
      <c r="T5297" s="124" t="s">
        <v>44</v>
      </c>
      <c r="U5297" s="124">
        <v>45952</v>
      </c>
      <c r="V5297" s="125">
        <v>45966</v>
      </c>
      <c r="W5297" s="126"/>
      <c r="X5297" s="117"/>
      <c r="Y5297" s="118" t="s">
        <v>7403</v>
      </c>
      <c r="Z5297" s="117" t="s">
        <v>36</v>
      </c>
      <c r="AA5297" s="127" t="s">
        <v>10413</v>
      </c>
      <c r="AB5297" s="127">
        <v>3652672</v>
      </c>
    </row>
    <row r="5298" spans="1:28" ht="15" customHeight="1">
      <c r="A5298" s="117" t="s">
        <v>8642</v>
      </c>
      <c r="B5298" s="117" t="s">
        <v>978</v>
      </c>
      <c r="C5298" s="326" t="s">
        <v>6203</v>
      </c>
      <c r="D5298" s="117" t="s">
        <v>30</v>
      </c>
      <c r="E5298" s="117" t="s">
        <v>1161</v>
      </c>
      <c r="F5298" s="11" t="s">
        <v>7400</v>
      </c>
      <c r="G5298" s="197" t="s">
        <v>7401</v>
      </c>
      <c r="H5298" s="117" t="s">
        <v>7402</v>
      </c>
      <c r="I5298" s="119" t="s">
        <v>1165</v>
      </c>
      <c r="J5298" s="121">
        <f>+Tabla1[[#This Row],[FECHA ENTRADA]]</f>
        <v>45952</v>
      </c>
      <c r="K5298" s="121">
        <f t="shared" ca="1" si="12"/>
        <v>46260</v>
      </c>
      <c r="L5298" s="129">
        <f ca="1">_xlfn.DAYS(Tabla1[[#This Row],[FECHA FIN ]],Tabla1[[#This Row],[FECHA INICIO]])</f>
        <v>308</v>
      </c>
      <c r="M5298" s="119">
        <f>1266.71/4</f>
        <v>316.67750000000001</v>
      </c>
      <c r="N5298" s="131"/>
      <c r="O5298" s="131">
        <f ca="1">(Tabla1[[#This Row],[COSTO FIJO ]]/30)*Tabla1[[#This Row],[TOTAL DIAS PROYECTO]]+(Tabla1[[#This Row],[COSTO TEMPORAL]])</f>
        <v>316.67750000000001</v>
      </c>
      <c r="P5298" s="119"/>
      <c r="Q5298" s="119">
        <f ca="1">+(Tabla1[[#This Row],[COSTO COCHE]]/30)*Tabla1[[#This Row],[TOTAL DIAS PROYECTO]]</f>
        <v>0</v>
      </c>
      <c r="R5298" s="119">
        <f ca="1">+Tabla1[[#This Row],[COSTO TOTAL ALOJAMIENTO]]+Tabla1[[#This Row],[COSTO TOTAL COCHE]]</f>
        <v>316.67750000000001</v>
      </c>
      <c r="S5298" s="117" t="s">
        <v>84</v>
      </c>
      <c r="T5298" s="124" t="s">
        <v>44</v>
      </c>
      <c r="U5298" s="124">
        <v>45952</v>
      </c>
      <c r="V5298" s="125">
        <v>45966</v>
      </c>
      <c r="W5298" s="126"/>
      <c r="X5298" s="117"/>
      <c r="Y5298" s="118" t="s">
        <v>7403</v>
      </c>
      <c r="Z5298" s="117" t="s">
        <v>36</v>
      </c>
      <c r="AA5298" s="127" t="s">
        <v>10413</v>
      </c>
      <c r="AB5298" s="127">
        <v>3652672</v>
      </c>
    </row>
    <row r="5299" spans="1:28" ht="15" customHeight="1">
      <c r="A5299" s="117" t="s">
        <v>10072</v>
      </c>
      <c r="B5299" s="117" t="s">
        <v>978</v>
      </c>
      <c r="C5299" s="118" t="s">
        <v>6205</v>
      </c>
      <c r="D5299" s="117" t="s">
        <v>30</v>
      </c>
      <c r="E5299" s="117" t="s">
        <v>1161</v>
      </c>
      <c r="F5299" s="11" t="s">
        <v>7400</v>
      </c>
      <c r="G5299" s="197" t="s">
        <v>7401</v>
      </c>
      <c r="H5299" s="117" t="s">
        <v>7402</v>
      </c>
      <c r="I5299" s="119" t="s">
        <v>1165</v>
      </c>
      <c r="J5299" s="121">
        <f>+Tabla1[[#This Row],[FECHA ENTRADA]]</f>
        <v>45952</v>
      </c>
      <c r="K5299" s="121">
        <f t="shared" ca="1" si="12"/>
        <v>46260</v>
      </c>
      <c r="L5299" s="129">
        <f ca="1">_xlfn.DAYS(Tabla1[[#This Row],[FECHA FIN ]],Tabla1[[#This Row],[FECHA INICIO]])</f>
        <v>308</v>
      </c>
      <c r="M5299" s="119">
        <f>1266.71/4</f>
        <v>316.67750000000001</v>
      </c>
      <c r="N5299" s="131"/>
      <c r="O5299" s="131">
        <f ca="1">(Tabla1[[#This Row],[COSTO FIJO ]]/30)*Tabla1[[#This Row],[TOTAL DIAS PROYECTO]]+(Tabla1[[#This Row],[COSTO TEMPORAL]])</f>
        <v>316.67750000000001</v>
      </c>
      <c r="P5299" s="119"/>
      <c r="Q5299" s="119">
        <f ca="1">+(Tabla1[[#This Row],[COSTO COCHE]]/30)*Tabla1[[#This Row],[TOTAL DIAS PROYECTO]]</f>
        <v>0</v>
      </c>
      <c r="R5299" s="119">
        <f ca="1">+Tabla1[[#This Row],[COSTO TOTAL ALOJAMIENTO]]+Tabla1[[#This Row],[COSTO TOTAL COCHE]]</f>
        <v>316.67750000000001</v>
      </c>
      <c r="S5299" s="117" t="s">
        <v>84</v>
      </c>
      <c r="T5299" s="124" t="s">
        <v>44</v>
      </c>
      <c r="U5299" s="124">
        <v>45952</v>
      </c>
      <c r="V5299" s="125">
        <v>45966</v>
      </c>
      <c r="W5299" s="126"/>
      <c r="X5299" s="117"/>
      <c r="Y5299" s="118" t="s">
        <v>7403</v>
      </c>
      <c r="Z5299" s="117" t="s">
        <v>36</v>
      </c>
      <c r="AA5299" s="127" t="s">
        <v>10413</v>
      </c>
      <c r="AB5299" s="127">
        <v>3652672</v>
      </c>
    </row>
    <row r="5300" spans="1:28" ht="15" customHeight="1">
      <c r="A5300" s="117" t="s">
        <v>10052</v>
      </c>
      <c r="B5300" s="117" t="s">
        <v>978</v>
      </c>
      <c r="C5300" s="118" t="s">
        <v>6096</v>
      </c>
      <c r="D5300" s="117" t="s">
        <v>30</v>
      </c>
      <c r="E5300" s="117" t="s">
        <v>1161</v>
      </c>
      <c r="F5300" s="11" t="s">
        <v>7400</v>
      </c>
      <c r="G5300" s="197" t="s">
        <v>7401</v>
      </c>
      <c r="H5300" s="117" t="s">
        <v>7402</v>
      </c>
      <c r="I5300" s="119" t="s">
        <v>1165</v>
      </c>
      <c r="J5300" s="121">
        <f>+Tabla1[[#This Row],[FECHA ENTRADA]]</f>
        <v>45952</v>
      </c>
      <c r="K5300" s="121">
        <f t="shared" ca="1" si="12"/>
        <v>46260</v>
      </c>
      <c r="L5300" s="129">
        <f ca="1">_xlfn.DAYS(Tabla1[[#This Row],[FECHA FIN ]],Tabla1[[#This Row],[FECHA INICIO]])</f>
        <v>308</v>
      </c>
      <c r="M5300" s="119">
        <f>1266.71/4</f>
        <v>316.67750000000001</v>
      </c>
      <c r="N5300" s="131"/>
      <c r="O5300" s="131">
        <f ca="1">(Tabla1[[#This Row],[COSTO FIJO ]]/30)*Tabla1[[#This Row],[TOTAL DIAS PROYECTO]]+(Tabla1[[#This Row],[COSTO TEMPORAL]])</f>
        <v>316.67750000000001</v>
      </c>
      <c r="P5300" s="119"/>
      <c r="Q5300" s="119">
        <f ca="1">+(Tabla1[[#This Row],[COSTO COCHE]]/30)*Tabla1[[#This Row],[TOTAL DIAS PROYECTO]]</f>
        <v>0</v>
      </c>
      <c r="R5300" s="119">
        <f ca="1">+Tabla1[[#This Row],[COSTO TOTAL ALOJAMIENTO]]+Tabla1[[#This Row],[COSTO TOTAL COCHE]]</f>
        <v>316.67750000000001</v>
      </c>
      <c r="S5300" s="117" t="s">
        <v>84</v>
      </c>
      <c r="T5300" s="124" t="s">
        <v>44</v>
      </c>
      <c r="U5300" s="124">
        <v>45952</v>
      </c>
      <c r="V5300" s="125">
        <v>45966</v>
      </c>
      <c r="W5300" s="126"/>
      <c r="X5300" s="117"/>
      <c r="Y5300" s="118" t="s">
        <v>7403</v>
      </c>
      <c r="Z5300" s="117" t="s">
        <v>36</v>
      </c>
      <c r="AA5300" s="127" t="s">
        <v>10413</v>
      </c>
      <c r="AB5300" s="127">
        <v>3652672</v>
      </c>
    </row>
    <row r="5301" spans="1:28" ht="15" customHeight="1">
      <c r="A5301" s="2" t="s">
        <v>9011</v>
      </c>
      <c r="B5301" s="2" t="s">
        <v>978</v>
      </c>
      <c r="C5301" s="11" t="s">
        <v>1694</v>
      </c>
      <c r="D5301" s="1" t="s">
        <v>30</v>
      </c>
      <c r="E5301" s="2" t="s">
        <v>31</v>
      </c>
      <c r="F5301" s="11" t="s">
        <v>1206</v>
      </c>
      <c r="G5301" t="s">
        <v>1005</v>
      </c>
      <c r="H5301" s="2" t="s">
        <v>2909</v>
      </c>
      <c r="I5301" s="12" t="s">
        <v>1540</v>
      </c>
      <c r="J5301" s="41">
        <f>+Tabla1[[#This Row],[FECHA ENTRADA]]</f>
        <v>45626</v>
      </c>
      <c r="K5301" s="8">
        <f t="shared" ca="1" si="12"/>
        <v>46260</v>
      </c>
      <c r="L5301" s="42">
        <f ca="1">_xlfn.DAYS(Tabla1[[#This Row],[FECHA FIN ]],Tabla1[[#This Row],[FECHA INICIO]])</f>
        <v>634</v>
      </c>
      <c r="M5301" s="12"/>
      <c r="N5301" s="12"/>
      <c r="O5301" s="28">
        <f ca="1">(Tabla1[[#This Row],[COSTO FIJO ]]/30)*Tabla1[[#This Row],[TOTAL DIAS PROYECTO]]+(Tabla1[[#This Row],[COSTO TEMPORAL]])</f>
        <v>0</v>
      </c>
      <c r="P5301" s="12">
        <f>800/4</f>
        <v>200</v>
      </c>
      <c r="Q5301" s="12">
        <f ca="1">+(Tabla1[[#This Row],[COSTO COCHE]]/30)*Tabla1[[#This Row],[TOTAL DIAS PROYECTO]]</f>
        <v>4226.666666666667</v>
      </c>
      <c r="R5301" s="12">
        <f ca="1">+Tabla1[[#This Row],[COSTO TOTAL ALOJAMIENTO]]+Tabla1[[#This Row],[COSTO TOTAL COCHE]]</f>
        <v>4226.666666666667</v>
      </c>
      <c r="S5301" s="2"/>
      <c r="T5301" s="2" t="s">
        <v>35</v>
      </c>
      <c r="U5301" s="14">
        <v>45626</v>
      </c>
      <c r="V5301" s="25"/>
      <c r="W5301" s="26"/>
      <c r="X5301" s="2">
        <v>27</v>
      </c>
      <c r="Y5301" s="11" t="s">
        <v>1120</v>
      </c>
      <c r="Z5301" s="2" t="s">
        <v>36</v>
      </c>
      <c r="AA5301" s="13" t="s">
        <v>10323</v>
      </c>
      <c r="AB5301" s="13" t="s">
        <v>10324</v>
      </c>
    </row>
    <row r="5302" spans="1:28" ht="15" customHeight="1">
      <c r="A5302" s="2" t="s">
        <v>10180</v>
      </c>
      <c r="B5302" s="2" t="s">
        <v>606</v>
      </c>
      <c r="C5302" s="321" t="s">
        <v>6967</v>
      </c>
      <c r="D5302" s="2" t="s">
        <v>30</v>
      </c>
      <c r="E5302" s="2" t="s">
        <v>626</v>
      </c>
      <c r="F5302" s="11" t="s">
        <v>1037</v>
      </c>
      <c r="G5302" s="11" t="s">
        <v>6745</v>
      </c>
      <c r="H5302" s="2" t="s">
        <v>7404</v>
      </c>
      <c r="I5302" s="12" t="s">
        <v>6969</v>
      </c>
      <c r="J5302" s="22">
        <f>+Tabla1[[#This Row],[FECHA ENTRADA]]</f>
        <v>46180</v>
      </c>
      <c r="K5302" s="22">
        <v>46208</v>
      </c>
      <c r="L5302" s="23">
        <f>_xlfn.DAYS(Tabla1[[#This Row],[FECHA FIN ]],Tabla1[[#This Row],[FECHA INICIO]])</f>
        <v>28</v>
      </c>
      <c r="M5302" s="12"/>
      <c r="N5302" s="24">
        <v>300</v>
      </c>
      <c r="O5302" s="24">
        <f>(Tabla1[[#This Row],[COSTO FIJO ]]/30)*Tabla1[[#This Row],[TOTAL DIAS PROYECTO]]+(Tabla1[[#This Row],[COSTO TEMPORAL]])</f>
        <v>280</v>
      </c>
      <c r="P5302" s="12"/>
      <c r="Q5302" s="12">
        <f>+(Tabla1[[#This Row],[COSTO COCHE]]/30)*Tabla1[[#This Row],[TOTAL DIAS PROYECTO]]</f>
        <v>0</v>
      </c>
      <c r="R5302" s="12">
        <f>+Tabla1[[#This Row],[COSTO TOTAL ALOJAMIENTO]]+Tabla1[[#This Row],[COSTO TOTAL COCHE]]</f>
        <v>280</v>
      </c>
      <c r="S5302" s="2"/>
      <c r="T5302" s="14" t="s">
        <v>35</v>
      </c>
      <c r="U5302" s="14">
        <v>46180</v>
      </c>
      <c r="V5302" s="25"/>
      <c r="W5302" s="12">
        <v>300</v>
      </c>
      <c r="X5302" s="2">
        <v>1</v>
      </c>
      <c r="Y5302" s="11" t="s">
        <v>7405</v>
      </c>
      <c r="Z5302" s="2" t="s">
        <v>36</v>
      </c>
      <c r="AA5302" s="13" t="s">
        <v>10385</v>
      </c>
      <c r="AB5302" s="13" t="s">
        <v>10386</v>
      </c>
    </row>
    <row r="5303" spans="1:28" ht="15" customHeight="1">
      <c r="A5303" s="2" t="s">
        <v>10243</v>
      </c>
      <c r="B5303" s="2" t="s">
        <v>711</v>
      </c>
      <c r="C5303" s="11" t="s">
        <v>7406</v>
      </c>
      <c r="D5303" s="2" t="s">
        <v>99</v>
      </c>
      <c r="E5303" s="2" t="s">
        <v>422</v>
      </c>
      <c r="F5303" s="11" t="s">
        <v>4617</v>
      </c>
      <c r="G5303" s="49" t="s">
        <v>4618</v>
      </c>
      <c r="H5303" s="2" t="s">
        <v>7407</v>
      </c>
      <c r="I5303" s="91" t="s">
        <v>2443</v>
      </c>
      <c r="J5303" s="22">
        <f>+Tabla1[[#This Row],[FECHA ENTRADA]]</f>
        <v>45944</v>
      </c>
      <c r="K5303" s="22">
        <v>46124</v>
      </c>
      <c r="L5303" s="23">
        <f>_xlfn.DAYS(Tabla1[[#This Row],[FECHA FIN ]],Tabla1[[#This Row],[FECHA INICIO]])</f>
        <v>180</v>
      </c>
      <c r="M5303" s="12"/>
      <c r="N5303" s="12">
        <v>396</v>
      </c>
      <c r="O5303" s="24">
        <f>(Tabla1[[#This Row],[COSTO FIJO ]]/30)*Tabla1[[#This Row],[TOTAL DIAS PROYECTO]]+(Tabla1[[#This Row],[COSTO TEMPORAL]])</f>
        <v>2376</v>
      </c>
      <c r="P5303" s="12"/>
      <c r="Q5303" s="12">
        <f>+(Tabla1[[#This Row],[COSTO COCHE]]/30)*Tabla1[[#This Row],[TOTAL DIAS PROYECTO]]</f>
        <v>0</v>
      </c>
      <c r="R5303" s="12">
        <f>+Tabla1[[#This Row],[COSTO TOTAL ALOJAMIENTO]]+Tabla1[[#This Row],[COSTO TOTAL COCHE]]</f>
        <v>2376</v>
      </c>
      <c r="S5303" s="2"/>
      <c r="T5303" s="14" t="s">
        <v>35</v>
      </c>
      <c r="U5303" s="14">
        <v>45944</v>
      </c>
      <c r="V5303" s="25"/>
      <c r="W5303" s="12"/>
      <c r="X5303" s="2">
        <v>5</v>
      </c>
      <c r="Y5303" s="11" t="s">
        <v>4672</v>
      </c>
      <c r="Z5303" s="2" t="s">
        <v>36</v>
      </c>
      <c r="AA5303" s="13">
        <v>-326.69799999999998</v>
      </c>
      <c r="AB5303" s="13" t="s">
        <v>10373</v>
      </c>
    </row>
    <row r="5304" spans="1:28" ht="15" customHeight="1">
      <c r="A5304" s="2" t="s">
        <v>10148</v>
      </c>
      <c r="B5304" s="2" t="s">
        <v>606</v>
      </c>
      <c r="C5304" s="11" t="s">
        <v>6672</v>
      </c>
      <c r="D5304" s="2" t="s">
        <v>30</v>
      </c>
      <c r="E5304" s="2" t="s">
        <v>422</v>
      </c>
      <c r="F5304" s="11" t="s">
        <v>5502</v>
      </c>
      <c r="G5304" s="11" t="s">
        <v>5428</v>
      </c>
      <c r="H5304" s="2" t="s">
        <v>7408</v>
      </c>
      <c r="I5304" s="12" t="s">
        <v>4327</v>
      </c>
      <c r="J5304" s="22">
        <f>+Tabla1[[#This Row],[FECHA ENTRADA]]</f>
        <v>45949</v>
      </c>
      <c r="K5304" s="22">
        <v>45956</v>
      </c>
      <c r="L5304" s="23">
        <f>_xlfn.DAYS(Tabla1[[#This Row],[FECHA FIN ]],Tabla1[[#This Row],[FECHA INICIO]])</f>
        <v>7</v>
      </c>
      <c r="M5304" s="12"/>
      <c r="N5304" s="12"/>
      <c r="O5304" s="24">
        <f>(Tabla1[[#This Row],[COSTO FIJO ]]/30)*Tabla1[[#This Row],[TOTAL DIAS PROYECTO]]+(Tabla1[[#This Row],[COSTO TEMPORAL]])</f>
        <v>0</v>
      </c>
      <c r="P5304" s="12"/>
      <c r="Q5304" s="12">
        <f>+(Tabla1[[#This Row],[COSTO COCHE]]/30)*Tabla1[[#This Row],[TOTAL DIAS PROYECTO]]</f>
        <v>0</v>
      </c>
      <c r="R5304" s="12">
        <f>+Tabla1[[#This Row],[COSTO TOTAL ALOJAMIENTO]]+Tabla1[[#This Row],[COSTO TOTAL COCHE]]</f>
        <v>0</v>
      </c>
      <c r="S5304" s="2"/>
      <c r="T5304" s="14" t="s">
        <v>35</v>
      </c>
      <c r="U5304" s="14">
        <v>45949</v>
      </c>
      <c r="V5304" s="79"/>
      <c r="W5304" s="12">
        <v>300</v>
      </c>
      <c r="X5304" s="2">
        <v>1</v>
      </c>
      <c r="Y5304" s="11" t="s">
        <v>7409</v>
      </c>
      <c r="Z5304" s="2" t="s">
        <v>36</v>
      </c>
      <c r="AA5304" s="13">
        <v>-326.69799999999998</v>
      </c>
      <c r="AB5304" s="13" t="s">
        <v>10373</v>
      </c>
    </row>
    <row r="5305" spans="1:28" ht="15" customHeight="1">
      <c r="A5305" s="2" t="s">
        <v>8841</v>
      </c>
      <c r="B5305" s="2" t="s">
        <v>28</v>
      </c>
      <c r="C5305" s="11" t="s">
        <v>975</v>
      </c>
      <c r="D5305" s="2" t="s">
        <v>99</v>
      </c>
      <c r="E5305" s="2" t="s">
        <v>31</v>
      </c>
      <c r="F5305" s="11" t="s">
        <v>1222</v>
      </c>
      <c r="G5305" s="49" t="s">
        <v>1223</v>
      </c>
      <c r="H5305" s="2" t="s">
        <v>4537</v>
      </c>
      <c r="I5305" s="12" t="s">
        <v>357</v>
      </c>
      <c r="J5305" s="41">
        <f>+Tabla1[[#This Row],[FECHA ENTRADA]]</f>
        <v>45864</v>
      </c>
      <c r="K5305" s="41">
        <v>45863</v>
      </c>
      <c r="L5305" s="42">
        <f>_xlfn.DAYS(Tabla1[[#This Row],[FECHA FIN ]],Tabla1[[#This Row],[FECHA INICIO]])</f>
        <v>-1</v>
      </c>
      <c r="M5305" s="12"/>
      <c r="N5305" s="28">
        <v>173.75</v>
      </c>
      <c r="O5305" s="28">
        <f>(Tabla1[[#This Row],[COSTO FIJO ]]/30)*Tabla1[[#This Row],[TOTAL DIAS PROYECTO]]+(Tabla1[[#This Row],[COSTO TEMPORAL]])</f>
        <v>-5.791666666666667</v>
      </c>
      <c r="P5305" s="12"/>
      <c r="Q5305" s="12">
        <f>+(Tabla1[[#This Row],[COSTO COCHE]]/30)*Tabla1[[#This Row],[TOTAL DIAS PROYECTO]]</f>
        <v>0</v>
      </c>
      <c r="R5305" s="12">
        <f>+Tabla1[[#This Row],[COSTO TOTAL ALOJAMIENTO]]+Tabla1[[#This Row],[COSTO TOTAL COCHE]]</f>
        <v>-5.791666666666667</v>
      </c>
      <c r="S5305" s="2"/>
      <c r="T5305" s="14" t="s">
        <v>35</v>
      </c>
      <c r="U5305" s="14">
        <v>45864</v>
      </c>
      <c r="V5305" s="43"/>
      <c r="W5305" s="12">
        <v>695</v>
      </c>
      <c r="X5305" s="2">
        <v>1</v>
      </c>
      <c r="Y5305" s="11" t="s">
        <v>7410</v>
      </c>
      <c r="Z5305" s="2" t="s">
        <v>36</v>
      </c>
      <c r="AA5305" s="13" t="s">
        <v>10323</v>
      </c>
      <c r="AB5305" s="13" t="s">
        <v>10324</v>
      </c>
    </row>
    <row r="5306" spans="1:28" ht="15" customHeight="1">
      <c r="A5306" s="2" t="s">
        <v>10148</v>
      </c>
      <c r="B5306" s="2" t="s">
        <v>606</v>
      </c>
      <c r="C5306" s="11" t="s">
        <v>6672</v>
      </c>
      <c r="D5306" s="2" t="s">
        <v>30</v>
      </c>
      <c r="E5306" s="2" t="s">
        <v>422</v>
      </c>
      <c r="F5306" s="11" t="s">
        <v>4837</v>
      </c>
      <c r="G5306" s="70" t="s">
        <v>4838</v>
      </c>
      <c r="H5306" s="2" t="s">
        <v>7408</v>
      </c>
      <c r="I5306" s="12" t="s">
        <v>4327</v>
      </c>
      <c r="J5306" s="41">
        <f>+Tabla1[[#This Row],[FECHA ENTRADA]]</f>
        <v>45956</v>
      </c>
      <c r="K5306" s="22">
        <v>45990</v>
      </c>
      <c r="L5306" s="42">
        <f>_xlfn.DAYS(Tabla1[[#This Row],[FECHA FIN ]],Tabla1[[#This Row],[FECHA INICIO]])</f>
        <v>34</v>
      </c>
      <c r="M5306" s="12"/>
      <c r="N5306" s="24">
        <v>466.66666666666669</v>
      </c>
      <c r="O5306" s="28">
        <f>(Tabla1[[#This Row],[COSTO FIJO ]]/30)*Tabla1[[#This Row],[TOTAL DIAS PROYECTO]]+(Tabla1[[#This Row],[COSTO TEMPORAL]])</f>
        <v>528.88888888888891</v>
      </c>
      <c r="P5306" s="12"/>
      <c r="Q5306" s="12">
        <f>+(Tabla1[[#This Row],[COSTO COCHE]]/30)*Tabla1[[#This Row],[TOTAL DIAS PROYECTO]]</f>
        <v>0</v>
      </c>
      <c r="R5306" s="12">
        <f>+Tabla1[[#This Row],[COSTO TOTAL ALOJAMIENTO]]+Tabla1[[#This Row],[COSTO TOTAL COCHE]]</f>
        <v>528.88888888888891</v>
      </c>
      <c r="S5306" s="2"/>
      <c r="T5306" s="14" t="s">
        <v>35</v>
      </c>
      <c r="U5306" s="14">
        <v>45956</v>
      </c>
      <c r="V5306" s="43"/>
      <c r="W5306" s="71"/>
      <c r="X5306" s="2">
        <v>5</v>
      </c>
      <c r="Y5306" s="11" t="s">
        <v>1361</v>
      </c>
      <c r="Z5306" s="2" t="s">
        <v>36</v>
      </c>
      <c r="AA5306" s="13">
        <v>-326.69799999999998</v>
      </c>
      <c r="AB5306" s="13" t="s">
        <v>10373</v>
      </c>
    </row>
    <row r="5307" spans="1:28" ht="15" customHeight="1">
      <c r="A5307" s="2" t="s">
        <v>10244</v>
      </c>
      <c r="B5307" s="2" t="s">
        <v>978</v>
      </c>
      <c r="C5307" s="31" t="s">
        <v>7411</v>
      </c>
      <c r="D5307" s="2" t="s">
        <v>99</v>
      </c>
      <c r="E5307" s="2" t="s">
        <v>626</v>
      </c>
      <c r="F5307" s="11" t="s">
        <v>1037</v>
      </c>
      <c r="G5307" s="11" t="s">
        <v>6745</v>
      </c>
      <c r="H5307" s="2" t="s">
        <v>7404</v>
      </c>
      <c r="I5307" s="12" t="s">
        <v>6969</v>
      </c>
      <c r="J5307" s="22">
        <f>+Tabla1[[#This Row],[FECHA ENTRADA]]</f>
        <v>46180</v>
      </c>
      <c r="K5307" s="22">
        <v>46208</v>
      </c>
      <c r="L5307" s="23">
        <f>_xlfn.DAYS(Tabla1[[#This Row],[FECHA FIN ]],Tabla1[[#This Row],[FECHA INICIO]])</f>
        <v>28</v>
      </c>
      <c r="M5307" s="12"/>
      <c r="N5307" s="24">
        <v>300</v>
      </c>
      <c r="O5307" s="24">
        <f>(Tabla1[[#This Row],[COSTO FIJO ]]/30)*Tabla1[[#This Row],[TOTAL DIAS PROYECTO]]+(Tabla1[[#This Row],[COSTO TEMPORAL]])</f>
        <v>280</v>
      </c>
      <c r="P5307" s="12"/>
      <c r="Q5307" s="12">
        <f>+(Tabla1[[#This Row],[COSTO COCHE]]/30)*Tabla1[[#This Row],[TOTAL DIAS PROYECTO]]</f>
        <v>0</v>
      </c>
      <c r="R5307" s="12">
        <f>+Tabla1[[#This Row],[COSTO TOTAL ALOJAMIENTO]]+Tabla1[[#This Row],[COSTO TOTAL COCHE]]</f>
        <v>280</v>
      </c>
      <c r="S5307" s="2"/>
      <c r="T5307" s="14" t="s">
        <v>35</v>
      </c>
      <c r="U5307" s="14">
        <v>46180</v>
      </c>
      <c r="V5307" s="25"/>
      <c r="W5307" s="12"/>
      <c r="X5307" s="2">
        <v>1</v>
      </c>
      <c r="Y5307" s="11" t="s">
        <v>7412</v>
      </c>
      <c r="Z5307" s="2" t="s">
        <v>36</v>
      </c>
      <c r="AA5307" s="13" t="s">
        <v>10385</v>
      </c>
      <c r="AB5307" s="13" t="s">
        <v>10386</v>
      </c>
    </row>
    <row r="5308" spans="1:28" ht="15" customHeight="1">
      <c r="A5308" s="2" t="s">
        <v>9359</v>
      </c>
      <c r="B5308" s="2" t="s">
        <v>28</v>
      </c>
      <c r="C5308" s="31" t="s">
        <v>2925</v>
      </c>
      <c r="D5308" s="2" t="s">
        <v>99</v>
      </c>
      <c r="E5308" s="2" t="s">
        <v>422</v>
      </c>
      <c r="F5308" s="11" t="s">
        <v>697</v>
      </c>
      <c r="G5308" s="197" t="s">
        <v>698</v>
      </c>
      <c r="H5308" s="2" t="s">
        <v>4326</v>
      </c>
      <c r="I5308" s="12" t="s">
        <v>4327</v>
      </c>
      <c r="J5308" s="22">
        <f>+Tabla1[[#This Row],[FECHA ENTRADA]]</f>
        <v>45990</v>
      </c>
      <c r="K5308" s="22">
        <v>46033</v>
      </c>
      <c r="L5308" s="23">
        <f>_xlfn.DAYS(Tabla1[[#This Row],[FECHA FIN ]],Tabla1[[#This Row],[FECHA INICIO]])</f>
        <v>43</v>
      </c>
      <c r="M5308" s="12"/>
      <c r="N5308" s="12">
        <v>276</v>
      </c>
      <c r="O5308" s="24">
        <f>(Tabla1[[#This Row],[COSTO FIJO ]]/30)*Tabla1[[#This Row],[TOTAL DIAS PROYECTO]]+(Tabla1[[#This Row],[COSTO TEMPORAL]])</f>
        <v>395.59999999999997</v>
      </c>
      <c r="P5308" s="12"/>
      <c r="Q5308" s="12">
        <f>+(Tabla1[[#This Row],[COSTO COCHE]]/30)*Tabla1[[#This Row],[TOTAL DIAS PROYECTO]]</f>
        <v>0</v>
      </c>
      <c r="R5308" s="12">
        <f>+Tabla1[[#This Row],[COSTO TOTAL ALOJAMIENTO]]+Tabla1[[#This Row],[COSTO TOTAL COCHE]]</f>
        <v>395.59999999999997</v>
      </c>
      <c r="S5308" s="2"/>
      <c r="T5308" s="14" t="s">
        <v>35</v>
      </c>
      <c r="U5308" s="14">
        <v>45990</v>
      </c>
      <c r="V5308" s="79"/>
      <c r="W5308" s="12"/>
      <c r="X5308" s="2">
        <v>1</v>
      </c>
      <c r="Y5308" s="11" t="s">
        <v>4348</v>
      </c>
      <c r="Z5308" s="2" t="s">
        <v>36</v>
      </c>
      <c r="AA5308" s="13">
        <v>-326.69799999999998</v>
      </c>
      <c r="AB5308" s="13" t="s">
        <v>10373</v>
      </c>
    </row>
    <row r="5309" spans="1:28" ht="15" customHeight="1">
      <c r="A5309" s="2" t="s">
        <v>9942</v>
      </c>
      <c r="B5309" s="2" t="s">
        <v>28</v>
      </c>
      <c r="C5309" s="31" t="s">
        <v>5584</v>
      </c>
      <c r="D5309" s="2" t="s">
        <v>30</v>
      </c>
      <c r="E5309" s="2" t="s">
        <v>422</v>
      </c>
      <c r="F5309" s="11" t="s">
        <v>697</v>
      </c>
      <c r="G5309" s="197" t="s">
        <v>698</v>
      </c>
      <c r="H5309" s="2" t="s">
        <v>6253</v>
      </c>
      <c r="I5309" s="12" t="s">
        <v>4327</v>
      </c>
      <c r="J5309" s="22">
        <f>+Tabla1[[#This Row],[FECHA ENTRADA]]</f>
        <v>45990</v>
      </c>
      <c r="K5309" s="22">
        <v>46033</v>
      </c>
      <c r="L5309" s="23">
        <f>_xlfn.DAYS(Tabla1[[#This Row],[FECHA FIN ]],Tabla1[[#This Row],[FECHA INICIO]])</f>
        <v>43</v>
      </c>
      <c r="M5309" s="12"/>
      <c r="N5309" s="12">
        <v>276</v>
      </c>
      <c r="O5309" s="24">
        <f>(Tabla1[[#This Row],[COSTO FIJO ]]/30)*Tabla1[[#This Row],[TOTAL DIAS PROYECTO]]+(Tabla1[[#This Row],[COSTO TEMPORAL]])</f>
        <v>395.59999999999997</v>
      </c>
      <c r="P5309" s="12"/>
      <c r="Q5309" s="12">
        <f>+(Tabla1[[#This Row],[COSTO COCHE]]/30)*Tabla1[[#This Row],[TOTAL DIAS PROYECTO]]</f>
        <v>0</v>
      </c>
      <c r="R5309" s="12">
        <f>+Tabla1[[#This Row],[COSTO TOTAL ALOJAMIENTO]]+Tabla1[[#This Row],[COSTO TOTAL COCHE]]</f>
        <v>395.59999999999997</v>
      </c>
      <c r="S5309" s="2"/>
      <c r="T5309" s="14" t="s">
        <v>35</v>
      </c>
      <c r="U5309" s="14">
        <v>45990</v>
      </c>
      <c r="V5309" s="79"/>
      <c r="W5309" s="12"/>
      <c r="X5309" s="2">
        <v>1</v>
      </c>
      <c r="Y5309" s="11" t="s">
        <v>4348</v>
      </c>
      <c r="Z5309" s="2" t="s">
        <v>36</v>
      </c>
      <c r="AA5309" s="13">
        <v>-326.69799999999998</v>
      </c>
      <c r="AB5309" s="13" t="s">
        <v>10373</v>
      </c>
    </row>
    <row r="5310" spans="1:28" ht="15" customHeight="1">
      <c r="A5310" s="2" t="s">
        <v>9485</v>
      </c>
      <c r="B5310" s="2" t="s">
        <v>606</v>
      </c>
      <c r="C5310" s="31" t="s">
        <v>3352</v>
      </c>
      <c r="D5310" s="2" t="s">
        <v>30</v>
      </c>
      <c r="E5310" s="2" t="s">
        <v>109</v>
      </c>
      <c r="F5310" s="11" t="s">
        <v>3066</v>
      </c>
      <c r="G5310" s="100" t="s">
        <v>3067</v>
      </c>
      <c r="H5310" s="2" t="s">
        <v>7192</v>
      </c>
      <c r="I5310" s="12" t="s">
        <v>42</v>
      </c>
      <c r="J5310" s="22">
        <f>+Tabla1[[#This Row],[FECHA ENTRADA]]</f>
        <v>46098</v>
      </c>
      <c r="K5310" s="22">
        <v>46175</v>
      </c>
      <c r="L5310" s="23">
        <f>_xlfn.DAYS(Tabla1[[#This Row],[FECHA FIN ]],Tabla1[[#This Row],[FECHA INICIO]])</f>
        <v>77</v>
      </c>
      <c r="M5310" s="12"/>
      <c r="N5310" s="12">
        <v>206</v>
      </c>
      <c r="O5310" s="24">
        <f>(Tabla1[[#This Row],[COSTO FIJO ]]/30)*Tabla1[[#This Row],[TOTAL DIAS PROYECTO]]+(Tabla1[[#This Row],[COSTO TEMPORAL]])</f>
        <v>528.73333333333335</v>
      </c>
      <c r="P5310" s="12"/>
      <c r="Q5310" s="12">
        <f>+(Tabla1[[#This Row],[COSTO COCHE]]/30)*Tabla1[[#This Row],[TOTAL DIAS PROYECTO]]</f>
        <v>0</v>
      </c>
      <c r="R5310" s="12">
        <f>+Tabla1[[#This Row],[COSTO TOTAL ALOJAMIENTO]]+Tabla1[[#This Row],[COSTO TOTAL COCHE]]</f>
        <v>528.73333333333335</v>
      </c>
      <c r="S5310" s="2"/>
      <c r="T5310" s="14" t="s">
        <v>35</v>
      </c>
      <c r="U5310" s="14">
        <v>46098</v>
      </c>
      <c r="V5310" s="79"/>
      <c r="W5310" s="12"/>
      <c r="X5310" s="2">
        <v>4</v>
      </c>
      <c r="Y5310" s="11" t="s">
        <v>7413</v>
      </c>
      <c r="Z5310" s="2" t="s">
        <v>36</v>
      </c>
      <c r="AA5310" s="13">
        <v>0.62217999999999996</v>
      </c>
      <c r="AB5310" s="13" t="s">
        <v>10339</v>
      </c>
    </row>
    <row r="5311" spans="1:28" ht="15" customHeight="1">
      <c r="A5311" s="2" t="s">
        <v>9572</v>
      </c>
      <c r="B5311" s="2" t="s">
        <v>711</v>
      </c>
      <c r="C5311" s="31" t="s">
        <v>3695</v>
      </c>
      <c r="D5311" s="2" t="s">
        <v>30</v>
      </c>
      <c r="E5311" s="2" t="s">
        <v>3335</v>
      </c>
      <c r="F5311" s="11" t="s">
        <v>6651</v>
      </c>
      <c r="G5311" s="21" t="s">
        <v>6652</v>
      </c>
      <c r="H5311" s="2" t="s">
        <v>6649</v>
      </c>
      <c r="I5311" s="12" t="s">
        <v>118</v>
      </c>
      <c r="J5311" s="22">
        <f>+Tabla1[[#This Row],[FECHA ENTRADA]]</f>
        <v>46047</v>
      </c>
      <c r="K5311" s="41">
        <v>46086</v>
      </c>
      <c r="L5311" s="23">
        <f>_xlfn.DAYS(Tabla1[[#This Row],[FECHA FIN ]],Tabla1[[#This Row],[FECHA INICIO]])</f>
        <v>39</v>
      </c>
      <c r="M5311" s="12">
        <f>(778.5+386)</f>
        <v>1164.5</v>
      </c>
      <c r="N5311" s="20"/>
      <c r="O5311" s="24">
        <f>(Tabla1[[#This Row],[COSTO FIJO ]]/30)*Tabla1[[#This Row],[TOTAL DIAS PROYECTO]]+(Tabla1[[#This Row],[COSTO TEMPORAL]])</f>
        <v>1164.5</v>
      </c>
      <c r="P5311" s="12"/>
      <c r="Q5311" s="12">
        <f>+(Tabla1[[#This Row],[COSTO COCHE]]/30)*Tabla1[[#This Row],[TOTAL DIAS PROYECTO]]</f>
        <v>0</v>
      </c>
      <c r="R5311" s="12">
        <f>+Tabla1[[#This Row],[COSTO TOTAL ALOJAMIENTO]]+Tabla1[[#This Row],[COSTO TOTAL COCHE]]</f>
        <v>1164.5</v>
      </c>
      <c r="S5311" s="2" t="s">
        <v>403</v>
      </c>
      <c r="T5311" s="14" t="s">
        <v>44</v>
      </c>
      <c r="U5311" s="14">
        <v>46047</v>
      </c>
      <c r="V5311" s="79">
        <v>46086</v>
      </c>
      <c r="W5311" s="12"/>
      <c r="X5311" s="2"/>
      <c r="Y5311" s="11" t="s">
        <v>6949</v>
      </c>
      <c r="Z5311" s="2" t="s">
        <v>36</v>
      </c>
      <c r="AA5311" s="13" t="e">
        <v>#N/A</v>
      </c>
      <c r="AB5311" s="13" t="e">
        <v>#N/A</v>
      </c>
    </row>
    <row r="5312" spans="1:28" ht="15" customHeight="1">
      <c r="A5312" s="2" t="s">
        <v>8969</v>
      </c>
      <c r="B5312" s="241" t="s">
        <v>606</v>
      </c>
      <c r="C5312" s="11" t="s">
        <v>1533</v>
      </c>
      <c r="D5312" s="2" t="s">
        <v>99</v>
      </c>
      <c r="E5312" s="2" t="s">
        <v>109</v>
      </c>
      <c r="F5312" s="11" t="s">
        <v>3066</v>
      </c>
      <c r="G5312" s="100" t="s">
        <v>3067</v>
      </c>
      <c r="H5312" s="2" t="s">
        <v>2007</v>
      </c>
      <c r="I5312" s="12" t="s">
        <v>42</v>
      </c>
      <c r="J5312" s="41">
        <f>+Tabla1[[#This Row],[FECHA ENTRADA]]</f>
        <v>45782</v>
      </c>
      <c r="K5312" s="41">
        <v>46085</v>
      </c>
      <c r="L5312" s="23">
        <f>_xlfn.DAYS(Tabla1[[#This Row],[FECHA FIN ]],Tabla1[[#This Row],[FECHA INICIO]])</f>
        <v>303</v>
      </c>
      <c r="M5312" s="12"/>
      <c r="N5312" s="12">
        <v>200</v>
      </c>
      <c r="O5312" s="24">
        <f>(Tabla1[[#This Row],[COSTO FIJO ]]/30)*Tabla1[[#This Row],[TOTAL DIAS PROYECTO]]+(Tabla1[[#This Row],[COSTO TEMPORAL]])</f>
        <v>2020</v>
      </c>
      <c r="P5312" s="12"/>
      <c r="Q5312" s="12">
        <f>+(Tabla1[[#This Row],[COSTO COCHE]]/30)*Tabla1[[#This Row],[TOTAL DIAS PROYECTO]]</f>
        <v>0</v>
      </c>
      <c r="R5312" s="12">
        <f>+Tabla1[[#This Row],[COSTO TOTAL ALOJAMIENTO]]+Tabla1[[#This Row],[COSTO TOTAL COCHE]]</f>
        <v>2020</v>
      </c>
      <c r="S5312" s="2"/>
      <c r="T5312" s="2" t="s">
        <v>35</v>
      </c>
      <c r="U5312" s="14">
        <v>45782</v>
      </c>
      <c r="V5312" s="25"/>
      <c r="W5312" s="26"/>
      <c r="X5312" s="2">
        <v>4</v>
      </c>
      <c r="Y5312" s="11" t="s">
        <v>7414</v>
      </c>
      <c r="Z5312" s="2" t="s">
        <v>36</v>
      </c>
      <c r="AA5312" s="13">
        <v>0.62217999999999996</v>
      </c>
      <c r="AB5312" s="13" t="s">
        <v>10339</v>
      </c>
    </row>
    <row r="5313" spans="1:28" ht="15" customHeight="1">
      <c r="A5313" s="2" t="s">
        <v>9122</v>
      </c>
      <c r="B5313" s="2" t="s">
        <v>368</v>
      </c>
      <c r="C5313" s="11" t="s">
        <v>2093</v>
      </c>
      <c r="D5313" s="2" t="s">
        <v>99</v>
      </c>
      <c r="E5313" s="2" t="s">
        <v>109</v>
      </c>
      <c r="F5313" s="11" t="s">
        <v>3066</v>
      </c>
      <c r="G5313" s="100" t="s">
        <v>3067</v>
      </c>
      <c r="H5313" s="2" t="s">
        <v>2007</v>
      </c>
      <c r="I5313" s="12" t="s">
        <v>42</v>
      </c>
      <c r="J5313" s="41">
        <f>+Tabla1[[#This Row],[FECHA ENTRADA]]</f>
        <v>45789</v>
      </c>
      <c r="K5313" s="22">
        <v>45821</v>
      </c>
      <c r="L5313" s="23">
        <f>_xlfn.DAYS(Tabla1[[#This Row],[FECHA FIN ]],Tabla1[[#This Row],[FECHA INICIO]])</f>
        <v>32</v>
      </c>
      <c r="M5313" s="12"/>
      <c r="N5313" s="24">
        <v>200</v>
      </c>
      <c r="O5313" s="12">
        <f>(Tabla1[[#This Row],[COSTO FIJO ]]/30)*Tabla1[[#This Row],[TOTAL DIAS PROYECTO]]+(Tabla1[[#This Row],[COSTO TEMPORAL]])</f>
        <v>213.33333333333334</v>
      </c>
      <c r="Q5313" s="12">
        <f>+(Tabla1[[#This Row],[COSTO COCHE]]/30)*Tabla1[[#This Row],[TOTAL DIAS PROYECTO]]</f>
        <v>0</v>
      </c>
      <c r="R5313" s="12">
        <f>+Tabla1[[#This Row],[COSTO TOTAL ALOJAMIENTO]]+Tabla1[[#This Row],[COSTO TOTAL COCHE]]</f>
        <v>213.33333333333334</v>
      </c>
      <c r="S5313" s="12"/>
      <c r="T5313" s="2" t="s">
        <v>35</v>
      </c>
      <c r="U5313" s="14">
        <v>45789</v>
      </c>
      <c r="V5313" s="14"/>
      <c r="W5313" s="25"/>
      <c r="X5313" s="2">
        <v>4</v>
      </c>
      <c r="Y5313" s="2"/>
      <c r="Z5313" s="2" t="s">
        <v>36</v>
      </c>
      <c r="AA5313" s="13">
        <v>0.62217999999999996</v>
      </c>
      <c r="AB5313" s="13" t="s">
        <v>10339</v>
      </c>
    </row>
    <row r="5314" spans="1:28" ht="15" customHeight="1">
      <c r="A5314" s="2" t="s">
        <v>8642</v>
      </c>
      <c r="B5314" s="2" t="s">
        <v>711</v>
      </c>
      <c r="C5314" s="169" t="s">
        <v>7415</v>
      </c>
      <c r="D5314" s="2" t="s">
        <v>30</v>
      </c>
      <c r="E5314" s="2" t="s">
        <v>87</v>
      </c>
      <c r="F5314" s="11"/>
      <c r="G5314" s="21"/>
      <c r="H5314" s="2" t="s">
        <v>7416</v>
      </c>
      <c r="I5314" s="12" t="s">
        <v>96</v>
      </c>
      <c r="J5314" s="22">
        <f>+Tabla1[[#This Row],[FECHA ENTRADA]]</f>
        <v>46196</v>
      </c>
      <c r="K5314" s="22">
        <f ca="1">TODAY()</f>
        <v>46260</v>
      </c>
      <c r="L5314" s="23">
        <f ca="1">_xlfn.DAYS(Tabla1[[#This Row],[FECHA FIN ]],Tabla1[[#This Row],[FECHA INICIO]])</f>
        <v>64</v>
      </c>
      <c r="M5314" s="12"/>
      <c r="N5314" s="20">
        <v>0</v>
      </c>
      <c r="O5314" s="24">
        <f ca="1">(Tabla1[[#This Row],[COSTO FIJO ]]/30)*Tabla1[[#This Row],[TOTAL DIAS PROYECTO]]+(Tabla1[[#This Row],[COSTO TEMPORAL]])</f>
        <v>0</v>
      </c>
      <c r="P5314" s="12"/>
      <c r="Q5314" s="12">
        <f ca="1">+(Tabla1[[#This Row],[COSTO COCHE]]/30)*Tabla1[[#This Row],[TOTAL DIAS PROYECTO]]</f>
        <v>0</v>
      </c>
      <c r="R5314" s="12">
        <f ca="1">+Tabla1[[#This Row],[COSTO TOTAL ALOJAMIENTO]]+Tabla1[[#This Row],[COSTO TOTAL COCHE]]</f>
        <v>0</v>
      </c>
      <c r="S5314" s="2"/>
      <c r="T5314" s="14" t="s">
        <v>8</v>
      </c>
      <c r="U5314" s="14">
        <v>46196</v>
      </c>
      <c r="V5314" s="79"/>
      <c r="W5314" s="12"/>
      <c r="X5314" s="2"/>
      <c r="Y5314" s="11" t="s">
        <v>7371</v>
      </c>
      <c r="Z5314" s="2" t="s">
        <v>702</v>
      </c>
      <c r="AA5314" s="13" t="s">
        <v>10335</v>
      </c>
      <c r="AB5314" s="13">
        <v>404.16500000000002</v>
      </c>
    </row>
    <row r="5315" spans="1:28" ht="15" customHeight="1">
      <c r="A5315" s="2" t="s">
        <v>9247</v>
      </c>
      <c r="B5315" s="2" t="s">
        <v>978</v>
      </c>
      <c r="C5315" s="169" t="s">
        <v>2579</v>
      </c>
      <c r="D5315" s="2" t="s">
        <v>30</v>
      </c>
      <c r="E5315" s="2" t="s">
        <v>422</v>
      </c>
      <c r="F5315" s="11" t="s">
        <v>7417</v>
      </c>
      <c r="G5315" s="118" t="s">
        <v>5428</v>
      </c>
      <c r="H5315" s="2" t="s">
        <v>7418</v>
      </c>
      <c r="I5315" s="12" t="s">
        <v>5430</v>
      </c>
      <c r="J5315" s="41">
        <f>+Tabla1[[#This Row],[FECHA ENTRADA]]</f>
        <v>45956</v>
      </c>
      <c r="K5315" s="22">
        <v>46039</v>
      </c>
      <c r="L5315" s="42">
        <f>_xlfn.DAYS(Tabla1[[#This Row],[FECHA FIN ]],Tabla1[[#This Row],[FECHA INICIO]])</f>
        <v>83</v>
      </c>
      <c r="M5315" s="12"/>
      <c r="N5315" s="12">
        <v>450</v>
      </c>
      <c r="O5315" s="28">
        <f>(Tabla1[[#This Row],[COSTO FIJO ]]/30)*Tabla1[[#This Row],[TOTAL DIAS PROYECTO]]+(Tabla1[[#This Row],[COSTO TEMPORAL]])</f>
        <v>1245</v>
      </c>
      <c r="P5315" s="12"/>
      <c r="Q5315" s="12">
        <f>+(Tabla1[[#This Row],[COSTO COCHE]]/30)*Tabla1[[#This Row],[TOTAL DIAS PROYECTO]]</f>
        <v>0</v>
      </c>
      <c r="R5315" s="12">
        <f>+Tabla1[[#This Row],[COSTO TOTAL ALOJAMIENTO]]+Tabla1[[#This Row],[COSTO TOTAL COCHE]]</f>
        <v>1245</v>
      </c>
      <c r="S5315" s="2"/>
      <c r="T5315" s="14" t="s">
        <v>35</v>
      </c>
      <c r="U5315" s="14">
        <v>45956</v>
      </c>
      <c r="V5315" s="43"/>
      <c r="W5315" s="12">
        <v>450</v>
      </c>
      <c r="X5315" s="2">
        <v>1</v>
      </c>
      <c r="Y5315" s="11" t="s">
        <v>7419</v>
      </c>
      <c r="Z5315" s="2" t="s">
        <v>36</v>
      </c>
      <c r="AA5315" s="13">
        <v>-326.69799999999998</v>
      </c>
      <c r="AB5315" s="13" t="s">
        <v>10373</v>
      </c>
    </row>
    <row r="5316" spans="1:28" ht="15" customHeight="1">
      <c r="A5316" s="2" t="s">
        <v>9413</v>
      </c>
      <c r="B5316" s="2" t="s">
        <v>711</v>
      </c>
      <c r="C5316" s="169" t="s">
        <v>3096</v>
      </c>
      <c r="D5316" s="2" t="s">
        <v>30</v>
      </c>
      <c r="E5316" s="2" t="s">
        <v>648</v>
      </c>
      <c r="F5316" s="11"/>
      <c r="G5316" s="11"/>
      <c r="H5316" s="2" t="s">
        <v>7420</v>
      </c>
      <c r="I5316" s="12" t="s">
        <v>96</v>
      </c>
      <c r="J5316" s="22">
        <f>+Tabla1[[#This Row],[FECHA ENTRADA]]</f>
        <v>46117</v>
      </c>
      <c r="K5316" s="22">
        <f ca="1">TODAY()</f>
        <v>46260</v>
      </c>
      <c r="L5316" s="23">
        <f ca="1">_xlfn.DAYS(Tabla1[[#This Row],[FECHA FIN ]],Tabla1[[#This Row],[FECHA INICIO]])</f>
        <v>143</v>
      </c>
      <c r="M5316" s="12"/>
      <c r="N5316" s="24">
        <v>300</v>
      </c>
      <c r="O5316" s="24">
        <f ca="1">(Tabla1[[#This Row],[COSTO FIJO ]]/30)*Tabla1[[#This Row],[TOTAL DIAS PROYECTO]]+(Tabla1[[#This Row],[COSTO TEMPORAL]])</f>
        <v>1430</v>
      </c>
      <c r="P5316" s="12"/>
      <c r="Q5316" s="12">
        <f ca="1">+(Tabla1[[#This Row],[COSTO COCHE]]/30)*Tabla1[[#This Row],[TOTAL DIAS PROYECTO]]</f>
        <v>0</v>
      </c>
      <c r="R5316" s="12">
        <f ca="1">+Tabla1[[#This Row],[COSTO TOTAL ALOJAMIENTO]]+Tabla1[[#This Row],[COSTO TOTAL COCHE]]</f>
        <v>1430</v>
      </c>
      <c r="S5316" s="2"/>
      <c r="T5316" s="14" t="s">
        <v>646</v>
      </c>
      <c r="U5316" s="14">
        <v>46117</v>
      </c>
      <c r="V5316" s="25"/>
      <c r="W5316" s="12"/>
      <c r="X5316" s="2"/>
      <c r="Y5316" s="11"/>
      <c r="Z5316" s="2" t="s">
        <v>702</v>
      </c>
      <c r="AA5316" s="13" t="s">
        <v>10387</v>
      </c>
      <c r="AB5316" s="13" t="s">
        <v>10388</v>
      </c>
    </row>
    <row r="5317" spans="1:28" ht="15" customHeight="1">
      <c r="A5317" s="2" t="s">
        <v>8642</v>
      </c>
      <c r="B5317" s="2" t="s">
        <v>711</v>
      </c>
      <c r="C5317" s="169" t="s">
        <v>7421</v>
      </c>
      <c r="D5317" s="2" t="s">
        <v>30</v>
      </c>
      <c r="E5317" s="2" t="s">
        <v>127</v>
      </c>
      <c r="F5317" s="11"/>
      <c r="G5317" s="21"/>
      <c r="H5317" s="2" t="s">
        <v>7422</v>
      </c>
      <c r="I5317" s="12" t="s">
        <v>96</v>
      </c>
      <c r="J5317" s="22">
        <f>+Tabla1[[#This Row],[FECHA ENTRADA]]</f>
        <v>46209</v>
      </c>
      <c r="K5317" s="22">
        <f ca="1">TODAY()</f>
        <v>46260</v>
      </c>
      <c r="L5317" s="23">
        <f ca="1">_xlfn.DAYS(Tabla1[[#This Row],[FECHA FIN ]],Tabla1[[#This Row],[FECHA INICIO]])</f>
        <v>51</v>
      </c>
      <c r="M5317" s="12"/>
      <c r="N5317" s="20">
        <v>0</v>
      </c>
      <c r="O5317" s="24">
        <f ca="1">(Tabla1[[#This Row],[COSTO FIJO ]]/30)*Tabla1[[#This Row],[TOTAL DIAS PROYECTO]]+(Tabla1[[#This Row],[COSTO TEMPORAL]])</f>
        <v>0</v>
      </c>
      <c r="P5317" s="12"/>
      <c r="Q5317" s="12">
        <f ca="1">+(Tabla1[[#This Row],[COSTO COCHE]]/30)*Tabla1[[#This Row],[TOTAL DIAS PROYECTO]]</f>
        <v>0</v>
      </c>
      <c r="R5317" s="12">
        <f ca="1">+Tabla1[[#This Row],[COSTO TOTAL ALOJAMIENTO]]+Tabla1[[#This Row],[COSTO TOTAL COCHE]]</f>
        <v>0</v>
      </c>
      <c r="S5317" s="2"/>
      <c r="T5317" s="14" t="s">
        <v>8</v>
      </c>
      <c r="U5317" s="14">
        <v>46209</v>
      </c>
      <c r="V5317" s="79"/>
      <c r="W5317" s="12"/>
      <c r="X5317" s="2"/>
      <c r="Y5317" s="11" t="s">
        <v>7371</v>
      </c>
      <c r="Z5317" s="2" t="s">
        <v>702</v>
      </c>
      <c r="AA5317" s="13" t="s">
        <v>10342</v>
      </c>
      <c r="AB5317" s="13" t="s">
        <v>10343</v>
      </c>
    </row>
    <row r="5318" spans="1:28" ht="15" customHeight="1">
      <c r="A5318" s="2" t="s">
        <v>9456</v>
      </c>
      <c r="B5318" s="2" t="s">
        <v>711</v>
      </c>
      <c r="C5318" s="169" t="s">
        <v>3234</v>
      </c>
      <c r="D5318" s="2" t="s">
        <v>99</v>
      </c>
      <c r="E5318" s="2" t="s">
        <v>686</v>
      </c>
      <c r="F5318" s="11" t="s">
        <v>7423</v>
      </c>
      <c r="G5318" s="46"/>
      <c r="H5318" s="2" t="s">
        <v>3237</v>
      </c>
      <c r="I5318" s="12" t="s">
        <v>96</v>
      </c>
      <c r="J5318" s="41">
        <f>+Tabla1[[#This Row],[FECHA ENTRADA]]</f>
        <v>46174</v>
      </c>
      <c r="K5318" s="22">
        <f ca="1">TODAY()</f>
        <v>46260</v>
      </c>
      <c r="L5318" s="42">
        <f ca="1">_xlfn.DAYS(Tabla1[[#This Row],[FECHA FIN ]],Tabla1[[#This Row],[FECHA INICIO]])</f>
        <v>86</v>
      </c>
      <c r="M5318" s="12"/>
      <c r="N5318" s="28">
        <v>0</v>
      </c>
      <c r="O5318" s="28">
        <f ca="1">(Tabla1[[#This Row],[COSTO FIJO ]]/30)*Tabla1[[#This Row],[TOTAL DIAS PROYECTO]]+(Tabla1[[#This Row],[COSTO TEMPORAL]])</f>
        <v>0</v>
      </c>
      <c r="P5318" s="12"/>
      <c r="Q5318" s="12">
        <f ca="1">+(Tabla1[[#This Row],[COSTO COCHE]]/30)*Tabla1[[#This Row],[TOTAL DIAS PROYECTO]]</f>
        <v>0</v>
      </c>
      <c r="R5318" s="12">
        <f ca="1">+Tabla1[[#This Row],[COSTO TOTAL ALOJAMIENTO]]+Tabla1[[#This Row],[COSTO TOTAL COCHE]]</f>
        <v>0</v>
      </c>
      <c r="S5318" s="2"/>
      <c r="T5318" s="14" t="s">
        <v>8</v>
      </c>
      <c r="U5318" s="14">
        <v>46174</v>
      </c>
      <c r="V5318" s="43"/>
      <c r="W5318" s="12"/>
      <c r="X5318" s="2"/>
      <c r="Y5318" s="11" t="s">
        <v>7371</v>
      </c>
      <c r="Z5318" s="2" t="s">
        <v>702</v>
      </c>
      <c r="AA5318" s="13" t="s">
        <v>10393</v>
      </c>
      <c r="AB5318" s="13">
        <v>3834517</v>
      </c>
    </row>
    <row r="5319" spans="1:28" ht="15" customHeight="1">
      <c r="A5319" s="117" t="s">
        <v>9737</v>
      </c>
      <c r="B5319" s="117" t="s">
        <v>978</v>
      </c>
      <c r="C5319" s="327" t="s">
        <v>4500</v>
      </c>
      <c r="D5319" s="117" t="s">
        <v>30</v>
      </c>
      <c r="E5319" s="117" t="s">
        <v>5074</v>
      </c>
      <c r="F5319" s="11" t="s">
        <v>7424</v>
      </c>
      <c r="G5319" s="128" t="s">
        <v>7425</v>
      </c>
      <c r="H5319" s="117" t="s">
        <v>5077</v>
      </c>
      <c r="I5319" s="119" t="s">
        <v>4504</v>
      </c>
      <c r="J5319" s="121">
        <f>+Tabla1[[#This Row],[FECHA ENTRADA]]</f>
        <v>46009</v>
      </c>
      <c r="K5319" s="121">
        <v>46029</v>
      </c>
      <c r="L5319" s="129">
        <f>_xlfn.DAYS(Tabla1[[#This Row],[FECHA FIN ]],Tabla1[[#This Row],[FECHA INICIO]])</f>
        <v>20</v>
      </c>
      <c r="M5319" s="119"/>
      <c r="N5319" s="130"/>
      <c r="O5319" s="131">
        <f>(Tabla1[[#This Row],[COSTO FIJO ]]/30)*Tabla1[[#This Row],[TOTAL DIAS PROYECTO]]+(Tabla1[[#This Row],[COSTO TEMPORAL]])</f>
        <v>0</v>
      </c>
      <c r="P5319" s="119"/>
      <c r="Q5319" s="119">
        <f>+(Tabla1[[#This Row],[COSTO COCHE]]/30)*Tabla1[[#This Row],[TOTAL DIAS PROYECTO]]</f>
        <v>0</v>
      </c>
      <c r="R5319" s="119">
        <f>+Tabla1[[#This Row],[COSTO TOTAL ALOJAMIENTO]]+Tabla1[[#This Row],[COSTO TOTAL COCHE]]</f>
        <v>0</v>
      </c>
      <c r="S5319" s="117" t="s">
        <v>84</v>
      </c>
      <c r="T5319" s="124" t="s">
        <v>44</v>
      </c>
      <c r="U5319" s="124">
        <v>46009</v>
      </c>
      <c r="V5319" s="132">
        <v>46030</v>
      </c>
      <c r="W5319" s="119"/>
      <c r="X5319" s="117"/>
      <c r="Y5319" s="118" t="s">
        <v>1361</v>
      </c>
      <c r="Z5319" s="117" t="s">
        <v>36</v>
      </c>
      <c r="AA5319" s="127" t="e">
        <v>#N/A</v>
      </c>
      <c r="AB5319" s="127" t="e">
        <v>#N/A</v>
      </c>
    </row>
    <row r="5320" spans="1:28" ht="15" customHeight="1">
      <c r="A5320" s="117" t="s">
        <v>9860</v>
      </c>
      <c r="B5320" s="117" t="s">
        <v>978</v>
      </c>
      <c r="C5320" s="327" t="s">
        <v>5079</v>
      </c>
      <c r="D5320" s="117" t="s">
        <v>30</v>
      </c>
      <c r="E5320" s="117" t="s">
        <v>5074</v>
      </c>
      <c r="F5320" s="11" t="s">
        <v>7424</v>
      </c>
      <c r="G5320" s="128" t="s">
        <v>7425</v>
      </c>
      <c r="H5320" s="117" t="s">
        <v>5077</v>
      </c>
      <c r="I5320" s="119" t="s">
        <v>4504</v>
      </c>
      <c r="J5320" s="121">
        <f>+Tabla1[[#This Row],[FECHA ENTRADA]]</f>
        <v>46009</v>
      </c>
      <c r="K5320" s="121">
        <v>46029</v>
      </c>
      <c r="L5320" s="129">
        <f>_xlfn.DAYS(Tabla1[[#This Row],[FECHA FIN ]],Tabla1[[#This Row],[FECHA INICIO]])</f>
        <v>20</v>
      </c>
      <c r="M5320" s="119"/>
      <c r="N5320" s="130"/>
      <c r="O5320" s="131">
        <f>(Tabla1[[#This Row],[COSTO FIJO ]]/30)*Tabla1[[#This Row],[TOTAL DIAS PROYECTO]]+(Tabla1[[#This Row],[COSTO TEMPORAL]])</f>
        <v>0</v>
      </c>
      <c r="P5320" s="119"/>
      <c r="Q5320" s="119">
        <f>+(Tabla1[[#This Row],[COSTO COCHE]]/30)*Tabla1[[#This Row],[TOTAL DIAS PROYECTO]]</f>
        <v>0</v>
      </c>
      <c r="R5320" s="119">
        <f>+Tabla1[[#This Row],[COSTO TOTAL ALOJAMIENTO]]+Tabla1[[#This Row],[COSTO TOTAL COCHE]]</f>
        <v>0</v>
      </c>
      <c r="S5320" s="117" t="s">
        <v>84</v>
      </c>
      <c r="T5320" s="124" t="s">
        <v>44</v>
      </c>
      <c r="U5320" s="124">
        <v>46009</v>
      </c>
      <c r="V5320" s="132">
        <v>46030</v>
      </c>
      <c r="W5320" s="119"/>
      <c r="X5320" s="117"/>
      <c r="Y5320" s="118" t="s">
        <v>1361</v>
      </c>
      <c r="Z5320" s="117" t="s">
        <v>36</v>
      </c>
      <c r="AA5320" s="127" t="e">
        <v>#N/A</v>
      </c>
      <c r="AB5320" s="127" t="e">
        <v>#N/A</v>
      </c>
    </row>
    <row r="5321" spans="1:28" ht="15" customHeight="1">
      <c r="A5321" s="117" t="s">
        <v>9210</v>
      </c>
      <c r="B5321" s="117" t="s">
        <v>978</v>
      </c>
      <c r="C5321" s="327" t="s">
        <v>2447</v>
      </c>
      <c r="D5321" s="117" t="s">
        <v>30</v>
      </c>
      <c r="E5321" s="117" t="s">
        <v>5074</v>
      </c>
      <c r="F5321" s="11" t="s">
        <v>7424</v>
      </c>
      <c r="G5321" s="128" t="s">
        <v>7425</v>
      </c>
      <c r="H5321" s="117" t="s">
        <v>5077</v>
      </c>
      <c r="I5321" s="119" t="s">
        <v>4504</v>
      </c>
      <c r="J5321" s="121">
        <f>+Tabla1[[#This Row],[FECHA ENTRADA]]</f>
        <v>46009</v>
      </c>
      <c r="K5321" s="121">
        <v>46029</v>
      </c>
      <c r="L5321" s="129">
        <f>_xlfn.DAYS(Tabla1[[#This Row],[FECHA FIN ]],Tabla1[[#This Row],[FECHA INICIO]])</f>
        <v>20</v>
      </c>
      <c r="M5321" s="119"/>
      <c r="N5321" s="130"/>
      <c r="O5321" s="131">
        <f>(Tabla1[[#This Row],[COSTO FIJO ]]/30)*Tabla1[[#This Row],[TOTAL DIAS PROYECTO]]+(Tabla1[[#This Row],[COSTO TEMPORAL]])</f>
        <v>0</v>
      </c>
      <c r="P5321" s="119"/>
      <c r="Q5321" s="119">
        <f>+(Tabla1[[#This Row],[COSTO COCHE]]/30)*Tabla1[[#This Row],[TOTAL DIAS PROYECTO]]</f>
        <v>0</v>
      </c>
      <c r="R5321" s="119">
        <f>+Tabla1[[#This Row],[COSTO TOTAL ALOJAMIENTO]]+Tabla1[[#This Row],[COSTO TOTAL COCHE]]</f>
        <v>0</v>
      </c>
      <c r="S5321" s="117" t="s">
        <v>84</v>
      </c>
      <c r="T5321" s="124" t="s">
        <v>44</v>
      </c>
      <c r="U5321" s="124">
        <v>46009</v>
      </c>
      <c r="V5321" s="132">
        <v>46030</v>
      </c>
      <c r="W5321" s="119"/>
      <c r="X5321" s="117"/>
      <c r="Y5321" s="118" t="s">
        <v>1361</v>
      </c>
      <c r="Z5321" s="117" t="s">
        <v>36</v>
      </c>
      <c r="AA5321" s="127" t="e">
        <v>#N/A</v>
      </c>
      <c r="AB5321" s="127" t="e">
        <v>#N/A</v>
      </c>
    </row>
    <row r="5322" spans="1:28" ht="15" customHeight="1">
      <c r="A5322" s="117" t="s">
        <v>9862</v>
      </c>
      <c r="B5322" s="117" t="s">
        <v>978</v>
      </c>
      <c r="C5322" s="327" t="s">
        <v>5097</v>
      </c>
      <c r="D5322" s="117" t="s">
        <v>30</v>
      </c>
      <c r="E5322" s="117" t="s">
        <v>5074</v>
      </c>
      <c r="F5322" s="11" t="s">
        <v>7424</v>
      </c>
      <c r="G5322" s="128" t="s">
        <v>7425</v>
      </c>
      <c r="H5322" s="117" t="s">
        <v>5077</v>
      </c>
      <c r="I5322" s="119" t="s">
        <v>4504</v>
      </c>
      <c r="J5322" s="121">
        <f>+Tabla1[[#This Row],[FECHA ENTRADA]]</f>
        <v>46009</v>
      </c>
      <c r="K5322" s="121">
        <v>46029</v>
      </c>
      <c r="L5322" s="129">
        <f>_xlfn.DAYS(Tabla1[[#This Row],[FECHA FIN ]],Tabla1[[#This Row],[FECHA INICIO]])</f>
        <v>20</v>
      </c>
      <c r="M5322" s="119"/>
      <c r="N5322" s="130"/>
      <c r="O5322" s="131">
        <f>(Tabla1[[#This Row],[COSTO FIJO ]]/30)*Tabla1[[#This Row],[TOTAL DIAS PROYECTO]]+(Tabla1[[#This Row],[COSTO TEMPORAL]])</f>
        <v>0</v>
      </c>
      <c r="P5322" s="119"/>
      <c r="Q5322" s="119">
        <f>+(Tabla1[[#This Row],[COSTO COCHE]]/30)*Tabla1[[#This Row],[TOTAL DIAS PROYECTO]]</f>
        <v>0</v>
      </c>
      <c r="R5322" s="119">
        <f>+Tabla1[[#This Row],[COSTO TOTAL ALOJAMIENTO]]+Tabla1[[#This Row],[COSTO TOTAL COCHE]]</f>
        <v>0</v>
      </c>
      <c r="S5322" s="117" t="s">
        <v>84</v>
      </c>
      <c r="T5322" s="124" t="s">
        <v>44</v>
      </c>
      <c r="U5322" s="124">
        <v>46009</v>
      </c>
      <c r="V5322" s="132">
        <v>46030</v>
      </c>
      <c r="W5322" s="119"/>
      <c r="X5322" s="117"/>
      <c r="Y5322" s="118" t="s">
        <v>1361</v>
      </c>
      <c r="Z5322" s="117" t="s">
        <v>36</v>
      </c>
      <c r="AA5322" s="127" t="e">
        <v>#N/A</v>
      </c>
      <c r="AB5322" s="127" t="e">
        <v>#N/A</v>
      </c>
    </row>
    <row r="5323" spans="1:28" ht="15" customHeight="1">
      <c r="A5323" s="117" t="s">
        <v>10055</v>
      </c>
      <c r="B5323" s="117" t="s">
        <v>711</v>
      </c>
      <c r="C5323" s="327" t="s">
        <v>6110</v>
      </c>
      <c r="D5323" s="117" t="s">
        <v>99</v>
      </c>
      <c r="E5323" s="117" t="s">
        <v>1514</v>
      </c>
      <c r="F5323" s="11" t="s">
        <v>6398</v>
      </c>
      <c r="G5323" s="68" t="s">
        <v>7426</v>
      </c>
      <c r="H5323" s="117" t="s">
        <v>6351</v>
      </c>
      <c r="I5323" s="119" t="s">
        <v>989</v>
      </c>
      <c r="J5323" s="120">
        <f>+Tabla1[[#This Row],[FECHA ENTRADA]]</f>
        <v>45973</v>
      </c>
      <c r="K5323" s="121">
        <f t="shared" ref="K5323:K5328" ca="1" si="13">TODAY()</f>
        <v>46260</v>
      </c>
      <c r="L5323" s="122">
        <f ca="1">_xlfn.DAYS(Tabla1[[#This Row],[FECHA FIN ]],Tabla1[[#This Row],[FECHA INICIO]])</f>
        <v>287</v>
      </c>
      <c r="M5323" s="119">
        <v>155.25</v>
      </c>
      <c r="N5323" s="123"/>
      <c r="O5323" s="123">
        <f ca="1">(Tabla1[[#This Row],[COSTO FIJO ]]/30)*Tabla1[[#This Row],[TOTAL DIAS PROYECTO]]+(Tabla1[[#This Row],[COSTO TEMPORAL]])</f>
        <v>155.25</v>
      </c>
      <c r="P5323" s="119"/>
      <c r="Q5323" s="119">
        <f ca="1">+(Tabla1[[#This Row],[COSTO COCHE]]/30)*Tabla1[[#This Row],[TOTAL DIAS PROYECTO]]</f>
        <v>0</v>
      </c>
      <c r="R5323" s="119">
        <f ca="1">+Tabla1[[#This Row],[COSTO TOTAL ALOJAMIENTO]]+Tabla1[[#This Row],[COSTO TOTAL COCHE]]</f>
        <v>155.25</v>
      </c>
      <c r="S5323" s="117"/>
      <c r="T5323" s="124" t="s">
        <v>44</v>
      </c>
      <c r="U5323" s="124">
        <v>45973</v>
      </c>
      <c r="V5323" s="25">
        <v>45996</v>
      </c>
      <c r="W5323" s="126"/>
      <c r="X5323" s="117"/>
      <c r="Y5323" s="118" t="s">
        <v>7427</v>
      </c>
      <c r="Z5323" s="117" t="s">
        <v>36</v>
      </c>
      <c r="AA5323" s="127" t="s">
        <v>10424</v>
      </c>
      <c r="AB5323" s="127">
        <v>398581</v>
      </c>
    </row>
    <row r="5324" spans="1:28" ht="15" customHeight="1">
      <c r="A5324" s="2" t="s">
        <v>9636</v>
      </c>
      <c r="B5324" s="2" t="s">
        <v>28</v>
      </c>
      <c r="C5324" s="169" t="s">
        <v>4018</v>
      </c>
      <c r="D5324" s="2" t="s">
        <v>30</v>
      </c>
      <c r="E5324" s="2" t="s">
        <v>301</v>
      </c>
      <c r="F5324" s="11" t="s">
        <v>567</v>
      </c>
      <c r="G5324" s="11" t="s">
        <v>947</v>
      </c>
      <c r="H5324" s="2" t="s">
        <v>569</v>
      </c>
      <c r="I5324" s="12" t="s">
        <v>570</v>
      </c>
      <c r="J5324" s="8">
        <f>+Tabla1[[#This Row],[FECHA ENTRADA]]</f>
        <v>45487</v>
      </c>
      <c r="K5324" s="8">
        <f t="shared" ca="1" si="13"/>
        <v>46260</v>
      </c>
      <c r="L5324" s="13">
        <f ca="1">_xlfn.DAYS(Tabla1[[#This Row],[FECHA FIN ]],Tabla1[[#This Row],[FECHA INICIO]])</f>
        <v>773</v>
      </c>
      <c r="M5324" s="12"/>
      <c r="N5324" s="12"/>
      <c r="O5324" s="12">
        <f ca="1">(Tabla1[[#This Row],[COSTO FIJO ]]/30)*Tabla1[[#This Row],[TOTAL DIAS PROYECTO]]+(Tabla1[[#This Row],[COSTO TEMPORAL]])</f>
        <v>0</v>
      </c>
      <c r="P5324" s="12"/>
      <c r="Q5324" s="12">
        <f ca="1">+(Tabla1[[#This Row],[COSTO COCHE]]/30)*Tabla1[[#This Row],[TOTAL DIAS PROYECTO]]</f>
        <v>0</v>
      </c>
      <c r="R5324" s="12">
        <f ca="1">+Tabla1[[#This Row],[COSTO TOTAL ALOJAMIENTO]]+Tabla1[[#This Row],[COSTO TOTAL COCHE]]</f>
        <v>0</v>
      </c>
      <c r="S5324" s="2"/>
      <c r="T5324" s="2" t="s">
        <v>35</v>
      </c>
      <c r="U5324" s="14">
        <v>45487</v>
      </c>
      <c r="V5324" s="14"/>
      <c r="W5324" s="26"/>
      <c r="X5324" s="2"/>
      <c r="Y5324" s="11" t="s">
        <v>7428</v>
      </c>
      <c r="Z5324" s="2" t="s">
        <v>36</v>
      </c>
      <c r="AA5324" s="13" t="s">
        <v>10364</v>
      </c>
      <c r="AB5324" s="13" t="s">
        <v>10365</v>
      </c>
    </row>
    <row r="5325" spans="1:28" ht="15" customHeight="1">
      <c r="A5325" s="117" t="s">
        <v>10103</v>
      </c>
      <c r="B5325" s="117" t="s">
        <v>711</v>
      </c>
      <c r="C5325" s="327" t="s">
        <v>6401</v>
      </c>
      <c r="D5325" s="117" t="s">
        <v>30</v>
      </c>
      <c r="E5325" s="117" t="s">
        <v>1514</v>
      </c>
      <c r="F5325" s="11" t="s">
        <v>6398</v>
      </c>
      <c r="G5325" s="68" t="s">
        <v>7426</v>
      </c>
      <c r="H5325" s="117" t="s">
        <v>6351</v>
      </c>
      <c r="I5325" s="119" t="s">
        <v>989</v>
      </c>
      <c r="J5325" s="120">
        <f>+Tabla1[[#This Row],[FECHA ENTRADA]]</f>
        <v>45973</v>
      </c>
      <c r="K5325" s="121">
        <f t="shared" ca="1" si="13"/>
        <v>46260</v>
      </c>
      <c r="L5325" s="122">
        <f ca="1">_xlfn.DAYS(Tabla1[[#This Row],[FECHA FIN ]],Tabla1[[#This Row],[FECHA INICIO]])</f>
        <v>287</v>
      </c>
      <c r="M5325" s="119">
        <v>155.25</v>
      </c>
      <c r="N5325" s="123"/>
      <c r="O5325" s="123">
        <f ca="1">(Tabla1[[#This Row],[COSTO FIJO ]]/30)*Tabla1[[#This Row],[TOTAL DIAS PROYECTO]]+(Tabla1[[#This Row],[COSTO TEMPORAL]])</f>
        <v>155.25</v>
      </c>
      <c r="P5325" s="119"/>
      <c r="Q5325" s="119">
        <f ca="1">+(Tabla1[[#This Row],[COSTO COCHE]]/30)*Tabla1[[#This Row],[TOTAL DIAS PROYECTO]]</f>
        <v>0</v>
      </c>
      <c r="R5325" s="119">
        <f ca="1">+Tabla1[[#This Row],[COSTO TOTAL ALOJAMIENTO]]+Tabla1[[#This Row],[COSTO TOTAL COCHE]]</f>
        <v>155.25</v>
      </c>
      <c r="S5325" s="117"/>
      <c r="T5325" s="124" t="s">
        <v>44</v>
      </c>
      <c r="U5325" s="124">
        <v>45973</v>
      </c>
      <c r="V5325" s="25">
        <v>45996</v>
      </c>
      <c r="W5325" s="126"/>
      <c r="X5325" s="117"/>
      <c r="Y5325" s="118" t="s">
        <v>7427</v>
      </c>
      <c r="Z5325" s="117" t="s">
        <v>36</v>
      </c>
      <c r="AA5325" s="127" t="s">
        <v>10424</v>
      </c>
      <c r="AB5325" s="127">
        <v>398581</v>
      </c>
    </row>
    <row r="5326" spans="1:28" ht="15" customHeight="1">
      <c r="A5326" s="117" t="s">
        <v>9759</v>
      </c>
      <c r="B5326" s="117" t="s">
        <v>711</v>
      </c>
      <c r="C5326" s="327" t="s">
        <v>4589</v>
      </c>
      <c r="D5326" s="117" t="s">
        <v>30</v>
      </c>
      <c r="E5326" s="117" t="s">
        <v>1514</v>
      </c>
      <c r="F5326" s="11" t="s">
        <v>6398</v>
      </c>
      <c r="G5326" s="68" t="s">
        <v>7426</v>
      </c>
      <c r="H5326" s="117" t="s">
        <v>6351</v>
      </c>
      <c r="I5326" s="119" t="s">
        <v>989</v>
      </c>
      <c r="J5326" s="120">
        <f>+Tabla1[[#This Row],[FECHA ENTRADA]]</f>
        <v>45973</v>
      </c>
      <c r="K5326" s="121">
        <f t="shared" ca="1" si="13"/>
        <v>46260</v>
      </c>
      <c r="L5326" s="122">
        <f ca="1">_xlfn.DAYS(Tabla1[[#This Row],[FECHA FIN ]],Tabla1[[#This Row],[FECHA INICIO]])</f>
        <v>287</v>
      </c>
      <c r="M5326" s="119">
        <v>155.25</v>
      </c>
      <c r="N5326" s="123"/>
      <c r="O5326" s="123">
        <f ca="1">(Tabla1[[#This Row],[COSTO FIJO ]]/30)*Tabla1[[#This Row],[TOTAL DIAS PROYECTO]]+(Tabla1[[#This Row],[COSTO TEMPORAL]])</f>
        <v>155.25</v>
      </c>
      <c r="P5326" s="119"/>
      <c r="Q5326" s="119">
        <f ca="1">+(Tabla1[[#This Row],[COSTO COCHE]]/30)*Tabla1[[#This Row],[TOTAL DIAS PROYECTO]]</f>
        <v>0</v>
      </c>
      <c r="R5326" s="119">
        <f ca="1">+Tabla1[[#This Row],[COSTO TOTAL ALOJAMIENTO]]+Tabla1[[#This Row],[COSTO TOTAL COCHE]]</f>
        <v>155.25</v>
      </c>
      <c r="S5326" s="117"/>
      <c r="T5326" s="124" t="s">
        <v>44</v>
      </c>
      <c r="U5326" s="124">
        <v>45973</v>
      </c>
      <c r="V5326" s="25">
        <v>45996</v>
      </c>
      <c r="W5326" s="126"/>
      <c r="X5326" s="117"/>
      <c r="Y5326" s="118" t="s">
        <v>7427</v>
      </c>
      <c r="Z5326" s="117" t="s">
        <v>36</v>
      </c>
      <c r="AA5326" s="127" t="s">
        <v>10424</v>
      </c>
      <c r="AB5326" s="127">
        <v>398581</v>
      </c>
    </row>
    <row r="5327" spans="1:28" ht="15" customHeight="1">
      <c r="A5327" s="117" t="s">
        <v>9962</v>
      </c>
      <c r="B5327" s="117" t="s">
        <v>711</v>
      </c>
      <c r="C5327" s="327" t="s">
        <v>5744</v>
      </c>
      <c r="D5327" s="117" t="s">
        <v>30</v>
      </c>
      <c r="E5327" s="117" t="s">
        <v>1514</v>
      </c>
      <c r="F5327" s="11" t="s">
        <v>6398</v>
      </c>
      <c r="G5327" s="68" t="s">
        <v>7426</v>
      </c>
      <c r="H5327" s="117" t="s">
        <v>6351</v>
      </c>
      <c r="I5327" s="119" t="s">
        <v>989</v>
      </c>
      <c r="J5327" s="120">
        <f>+Tabla1[[#This Row],[FECHA ENTRADA]]</f>
        <v>45973</v>
      </c>
      <c r="K5327" s="121">
        <f t="shared" ca="1" si="13"/>
        <v>46260</v>
      </c>
      <c r="L5327" s="122">
        <f ca="1">_xlfn.DAYS(Tabla1[[#This Row],[FECHA FIN ]],Tabla1[[#This Row],[FECHA INICIO]])</f>
        <v>287</v>
      </c>
      <c r="M5327" s="119">
        <v>155.25</v>
      </c>
      <c r="N5327" s="123"/>
      <c r="O5327" s="123">
        <f ca="1">(Tabla1[[#This Row],[COSTO FIJO ]]/30)*Tabla1[[#This Row],[TOTAL DIAS PROYECTO]]+(Tabla1[[#This Row],[COSTO TEMPORAL]])</f>
        <v>155.25</v>
      </c>
      <c r="P5327" s="119"/>
      <c r="Q5327" s="119">
        <f ca="1">+(Tabla1[[#This Row],[COSTO COCHE]]/30)*Tabla1[[#This Row],[TOTAL DIAS PROYECTO]]</f>
        <v>0</v>
      </c>
      <c r="R5327" s="119">
        <f ca="1">+Tabla1[[#This Row],[COSTO TOTAL ALOJAMIENTO]]+Tabla1[[#This Row],[COSTO TOTAL COCHE]]</f>
        <v>155.25</v>
      </c>
      <c r="S5327" s="117"/>
      <c r="T5327" s="124" t="s">
        <v>44</v>
      </c>
      <c r="U5327" s="124">
        <v>45973</v>
      </c>
      <c r="V5327" s="25">
        <v>45996</v>
      </c>
      <c r="W5327" s="126"/>
      <c r="X5327" s="117"/>
      <c r="Y5327" s="118" t="s">
        <v>7427</v>
      </c>
      <c r="Z5327" s="117" t="s">
        <v>36</v>
      </c>
      <c r="AA5327" s="127" t="s">
        <v>10424</v>
      </c>
      <c r="AB5327" s="127">
        <v>398581</v>
      </c>
    </row>
    <row r="5328" spans="1:28" ht="15" customHeight="1">
      <c r="A5328" s="2" t="s">
        <v>9474</v>
      </c>
      <c r="B5328" s="2" t="s">
        <v>711</v>
      </c>
      <c r="C5328" s="169" t="s">
        <v>3324</v>
      </c>
      <c r="D5328" s="2" t="s">
        <v>30</v>
      </c>
      <c r="E5328" s="2" t="s">
        <v>127</v>
      </c>
      <c r="F5328" s="11" t="s">
        <v>5013</v>
      </c>
      <c r="G5328" s="46"/>
      <c r="H5328" s="2" t="s">
        <v>3440</v>
      </c>
      <c r="I5328" s="12" t="s">
        <v>96</v>
      </c>
      <c r="J5328" s="41">
        <f>+Tabla1[[#This Row],[FECHA ENTRADA]]</f>
        <v>46174</v>
      </c>
      <c r="K5328" s="41">
        <f t="shared" ca="1" si="13"/>
        <v>46260</v>
      </c>
      <c r="L5328" s="42">
        <f ca="1">_xlfn.DAYS(Tabla1[[#This Row],[FECHA FIN ]],Tabla1[[#This Row],[FECHA INICIO]])</f>
        <v>86</v>
      </c>
      <c r="M5328" s="12"/>
      <c r="N5328" s="28">
        <v>0</v>
      </c>
      <c r="O5328" s="28">
        <f ca="1">(Tabla1[[#This Row],[COSTO FIJO ]]/30)*Tabla1[[#This Row],[TOTAL DIAS PROYECTO]]+(Tabla1[[#This Row],[COSTO TEMPORAL]])</f>
        <v>0</v>
      </c>
      <c r="P5328" s="12"/>
      <c r="Q5328" s="12">
        <f ca="1">+(Tabla1[[#This Row],[COSTO COCHE]]/30)*Tabla1[[#This Row],[TOTAL DIAS PROYECTO]]</f>
        <v>0</v>
      </c>
      <c r="R5328" s="12">
        <f ca="1">+Tabla1[[#This Row],[COSTO TOTAL ALOJAMIENTO]]+Tabla1[[#This Row],[COSTO TOTAL COCHE]]</f>
        <v>0</v>
      </c>
      <c r="S5328" s="2"/>
      <c r="T5328" s="14" t="s">
        <v>8</v>
      </c>
      <c r="U5328" s="14">
        <v>46174</v>
      </c>
      <c r="V5328" s="43"/>
      <c r="W5328" s="12"/>
      <c r="X5328" s="2"/>
      <c r="Y5328" s="11" t="s">
        <v>7371</v>
      </c>
      <c r="Z5328" s="2" t="s">
        <v>702</v>
      </c>
      <c r="AA5328" s="13" t="s">
        <v>10342</v>
      </c>
      <c r="AB5328" s="13" t="s">
        <v>10343</v>
      </c>
    </row>
    <row r="5329" spans="1:28" ht="15" customHeight="1">
      <c r="A5329" s="2" t="s">
        <v>10113</v>
      </c>
      <c r="B5329" s="2" t="s">
        <v>606</v>
      </c>
      <c r="C5329" s="195" t="s">
        <v>6460</v>
      </c>
      <c r="D5329" s="2" t="s">
        <v>30</v>
      </c>
      <c r="E5329" s="2" t="s">
        <v>31</v>
      </c>
      <c r="F5329" s="11" t="s">
        <v>715</v>
      </c>
      <c r="G5329" s="11" t="s">
        <v>716</v>
      </c>
      <c r="H5329" s="2" t="s">
        <v>6619</v>
      </c>
      <c r="I5329" s="12" t="s">
        <v>6620</v>
      </c>
      <c r="J5329" s="41">
        <f>+Tabla1[[#This Row],[FECHA ENTRADA]]</f>
        <v>46105</v>
      </c>
      <c r="K5329" s="22">
        <v>46133</v>
      </c>
      <c r="L5329" s="42">
        <f>_xlfn.DAYS(Tabla1[[#This Row],[FECHA FIN ]],Tabla1[[#This Row],[FECHA INICIO]])</f>
        <v>28</v>
      </c>
      <c r="M5329" s="12"/>
      <c r="N5329" s="12">
        <v>160</v>
      </c>
      <c r="O5329" s="28">
        <f>(Tabla1[[#This Row],[COSTO FIJO ]]/30)*Tabla1[[#This Row],[TOTAL DIAS PROYECTO]]+(Tabla1[[#This Row],[COSTO TEMPORAL]])</f>
        <v>149.33333333333331</v>
      </c>
      <c r="P5329" s="12"/>
      <c r="Q5329" s="12">
        <f>+(Tabla1[[#This Row],[COSTO COCHE]]/30)*Tabla1[[#This Row],[TOTAL DIAS PROYECTO]]</f>
        <v>0</v>
      </c>
      <c r="R5329" s="12">
        <f>+Tabla1[[#This Row],[COSTO TOTAL ALOJAMIENTO]]+Tabla1[[#This Row],[COSTO TOTAL COCHE]]</f>
        <v>149.33333333333331</v>
      </c>
      <c r="S5329" s="2"/>
      <c r="T5329" s="14" t="s">
        <v>35</v>
      </c>
      <c r="U5329" s="14">
        <v>46105</v>
      </c>
      <c r="V5329" s="43"/>
      <c r="W5329" s="12"/>
      <c r="X5329" s="2"/>
      <c r="Y5329" s="11" t="s">
        <v>7343</v>
      </c>
      <c r="Z5329" s="2" t="s">
        <v>36</v>
      </c>
      <c r="AA5329" s="13" t="s">
        <v>10323</v>
      </c>
      <c r="AB5329" s="13" t="s">
        <v>10324</v>
      </c>
    </row>
    <row r="5330" spans="1:28" ht="15" customHeight="1">
      <c r="A5330" s="2" t="s">
        <v>10245</v>
      </c>
      <c r="B5330" s="2" t="s">
        <v>28</v>
      </c>
      <c r="C5330" s="169" t="s">
        <v>7429</v>
      </c>
      <c r="D5330" s="2" t="s">
        <v>30</v>
      </c>
      <c r="E5330" s="2" t="s">
        <v>92</v>
      </c>
      <c r="F5330" s="11" t="s">
        <v>93</v>
      </c>
      <c r="G5330" s="11" t="s">
        <v>94</v>
      </c>
      <c r="H5330" s="2" t="s">
        <v>95</v>
      </c>
      <c r="I5330" s="12" t="s">
        <v>96</v>
      </c>
      <c r="J5330" s="8">
        <f>+Tabla1[[#This Row],[FECHA ENTRADA]]</f>
        <v>45363</v>
      </c>
      <c r="K5330" s="22">
        <v>45821</v>
      </c>
      <c r="L5330" s="13">
        <f>_xlfn.DAYS(Tabla1[[#This Row],[FECHA FIN ]],Tabla1[[#This Row],[FECHA INICIO]])</f>
        <v>458</v>
      </c>
      <c r="M5330" s="12"/>
      <c r="N5330" s="12">
        <f>1811.6/17</f>
        <v>106.56470588235294</v>
      </c>
      <c r="O5330" s="12">
        <f>(Tabla1[[#This Row],[COSTO FIJO ]]/30)*Tabla1[[#This Row],[TOTAL DIAS PROYECTO]]+(Tabla1[[#This Row],[COSTO TEMPORAL]])</f>
        <v>1626.887843137255</v>
      </c>
      <c r="P5330" s="12"/>
      <c r="Q5330" s="12">
        <f>+(Tabla1[[#This Row],[COSTO COCHE]]/30)*Tabla1[[#This Row],[TOTAL DIAS PROYECTO]]</f>
        <v>0</v>
      </c>
      <c r="R5330" s="12">
        <f>+Tabla1[[#This Row],[COSTO TOTAL ALOJAMIENTO]]+Tabla1[[#This Row],[COSTO TOTAL COCHE]]</f>
        <v>1626.887843137255</v>
      </c>
      <c r="S5330" s="2"/>
      <c r="T5330" s="2" t="s">
        <v>35</v>
      </c>
      <c r="U5330" s="14">
        <v>45363</v>
      </c>
      <c r="V5330" s="14">
        <v>45365</v>
      </c>
      <c r="W5330" s="15"/>
      <c r="X5330" s="16">
        <v>11</v>
      </c>
      <c r="Y5330" s="11" t="s">
        <v>2960</v>
      </c>
      <c r="Z5330" s="2" t="s">
        <v>36</v>
      </c>
      <c r="AA5330" s="13" t="s">
        <v>10336</v>
      </c>
      <c r="AB5330" s="13" t="s">
        <v>10337</v>
      </c>
    </row>
    <row r="5331" spans="1:28" ht="15" customHeight="1">
      <c r="A5331" s="2" t="s">
        <v>10246</v>
      </c>
      <c r="B5331" s="2" t="s">
        <v>711</v>
      </c>
      <c r="C5331" s="169" t="s">
        <v>7430</v>
      </c>
      <c r="D5331" s="2" t="s">
        <v>30</v>
      </c>
      <c r="E5331" s="2" t="s">
        <v>127</v>
      </c>
      <c r="F5331" s="11" t="s">
        <v>128</v>
      </c>
      <c r="G5331" s="49" t="s">
        <v>2111</v>
      </c>
      <c r="H5331" s="2" t="s">
        <v>7431</v>
      </c>
      <c r="I5331" s="12" t="s">
        <v>96</v>
      </c>
      <c r="J5331" s="22">
        <f>+Tabla1[[#This Row],[FECHA ENTRADA]]</f>
        <v>45938</v>
      </c>
      <c r="K5331" s="41">
        <v>45943</v>
      </c>
      <c r="L5331" s="23">
        <f>_xlfn.DAYS(Tabla1[[#This Row],[FECHA FIN ]],Tabla1[[#This Row],[FECHA INICIO]])</f>
        <v>5</v>
      </c>
      <c r="M5331" s="12"/>
      <c r="N5331" s="12"/>
      <c r="O5331" s="24">
        <f>(Tabla1[[#This Row],[COSTO FIJO ]]/30)*Tabla1[[#This Row],[TOTAL DIAS PROYECTO]]+(Tabla1[[#This Row],[COSTO TEMPORAL]])</f>
        <v>0</v>
      </c>
      <c r="P5331" s="12"/>
      <c r="Q5331" s="12">
        <f>+(Tabla1[[#This Row],[COSTO COCHE]]/30)*Tabla1[[#This Row],[TOTAL DIAS PROYECTO]]</f>
        <v>0</v>
      </c>
      <c r="R5331" s="12">
        <f>+Tabla1[[#This Row],[COSTO TOTAL ALOJAMIENTO]]+Tabla1[[#This Row],[COSTO TOTAL COCHE]]</f>
        <v>0</v>
      </c>
      <c r="S5331" s="2"/>
      <c r="T5331" s="14" t="s">
        <v>35</v>
      </c>
      <c r="U5331" s="14">
        <v>45938</v>
      </c>
      <c r="V5331" s="79"/>
      <c r="W5331" s="71"/>
      <c r="X5331" s="2">
        <v>1</v>
      </c>
      <c r="Y5331" s="11" t="s">
        <v>7432</v>
      </c>
      <c r="Z5331" s="2" t="s">
        <v>36</v>
      </c>
      <c r="AA5331" s="13" t="s">
        <v>10342</v>
      </c>
      <c r="AB5331" s="13" t="s">
        <v>10343</v>
      </c>
    </row>
    <row r="5332" spans="1:28" ht="15" customHeight="1">
      <c r="A5332" s="2" t="s">
        <v>10247</v>
      </c>
      <c r="B5332" s="2" t="s">
        <v>711</v>
      </c>
      <c r="C5332" s="195" t="s">
        <v>7433</v>
      </c>
      <c r="D5332" s="2" t="s">
        <v>30</v>
      </c>
      <c r="E5332" s="2" t="s">
        <v>648</v>
      </c>
      <c r="F5332" s="11" t="s">
        <v>2329</v>
      </c>
      <c r="G5332" s="49" t="s">
        <v>2330</v>
      </c>
      <c r="H5332" s="2" t="s">
        <v>2331</v>
      </c>
      <c r="I5332" s="12" t="s">
        <v>96</v>
      </c>
      <c r="J5332" s="22">
        <f>+Tabla1[[#This Row],[FECHA ENTRADA]]</f>
        <v>45943</v>
      </c>
      <c r="K5332" s="8">
        <v>45951</v>
      </c>
      <c r="L5332" s="23">
        <f>_xlfn.DAYS(Tabla1[[#This Row],[FECHA FIN ]],Tabla1[[#This Row],[FECHA INICIO]])</f>
        <v>8</v>
      </c>
      <c r="M5332" s="12">
        <f>1106.94/3</f>
        <v>368.98</v>
      </c>
      <c r="N5332" s="24"/>
      <c r="O5332" s="24">
        <f>(Tabla1[[#This Row],[COSTO FIJO ]]/30)*Tabla1[[#This Row],[TOTAL DIAS PROYECTO]]+(Tabla1[[#This Row],[COSTO TEMPORAL]])</f>
        <v>368.98</v>
      </c>
      <c r="P5332" s="12"/>
      <c r="Q5332" s="12">
        <f>+(Tabla1[[#This Row],[COSTO COCHE]]/30)*Tabla1[[#This Row],[TOTAL DIAS PROYECTO]]</f>
        <v>0</v>
      </c>
      <c r="R5332" s="12">
        <f>+Tabla1[[#This Row],[COSTO TOTAL ALOJAMIENTO]]+Tabla1[[#This Row],[COSTO TOTAL COCHE]]</f>
        <v>368.98</v>
      </c>
      <c r="S5332" s="2" t="s">
        <v>84</v>
      </c>
      <c r="T5332" s="14" t="s">
        <v>44</v>
      </c>
      <c r="U5332" s="14">
        <v>45943</v>
      </c>
      <c r="V5332" s="25">
        <v>45959</v>
      </c>
      <c r="W5332" s="71"/>
      <c r="X5332" s="2"/>
      <c r="Y5332" s="11" t="s">
        <v>2332</v>
      </c>
      <c r="Z5332" s="2" t="s">
        <v>36</v>
      </c>
      <c r="AA5332" s="13" t="s">
        <v>10387</v>
      </c>
      <c r="AB5332" s="13" t="s">
        <v>10388</v>
      </c>
    </row>
    <row r="5333" spans="1:28" ht="15" customHeight="1">
      <c r="A5333" s="2" t="s">
        <v>9748</v>
      </c>
      <c r="B5333" s="2" t="s">
        <v>28</v>
      </c>
      <c r="C5333" s="169" t="s">
        <v>4548</v>
      </c>
      <c r="D5333" s="2" t="s">
        <v>30</v>
      </c>
      <c r="E5333" s="2" t="s">
        <v>359</v>
      </c>
      <c r="F5333" s="11" t="s">
        <v>494</v>
      </c>
      <c r="G5333" s="46" t="s">
        <v>495</v>
      </c>
      <c r="H5333" s="2" t="s">
        <v>3327</v>
      </c>
      <c r="I5333" s="12" t="s">
        <v>96</v>
      </c>
      <c r="J5333" s="41">
        <f>+Tabla1[[#This Row],[FECHA ENTRADA]]</f>
        <v>45716</v>
      </c>
      <c r="K5333" s="22">
        <v>45800</v>
      </c>
      <c r="L5333" s="42">
        <f>_xlfn.DAYS(Tabla1[[#This Row],[FECHA FIN ]],Tabla1[[#This Row],[FECHA INICIO]])</f>
        <v>84</v>
      </c>
      <c r="M5333" s="12"/>
      <c r="N5333" s="12"/>
      <c r="O5333" s="28">
        <f>(Tabla1[[#This Row],[COSTO FIJO ]]/30)*Tabla1[[#This Row],[TOTAL DIAS PROYECTO]]+(Tabla1[[#This Row],[COSTO TEMPORAL]])</f>
        <v>0</v>
      </c>
      <c r="P5333" s="12"/>
      <c r="Q5333" s="12">
        <f>+(Tabla1[[#This Row],[COSTO COCHE]]/30)*Tabla1[[#This Row],[TOTAL DIAS PROYECTO]]</f>
        <v>0</v>
      </c>
      <c r="R5333" s="12">
        <f>+Tabla1[[#This Row],[COSTO TOTAL ALOJAMIENTO]]+Tabla1[[#This Row],[COSTO TOTAL COCHE]]</f>
        <v>0</v>
      </c>
      <c r="S5333" s="2"/>
      <c r="T5333" s="2" t="s">
        <v>35</v>
      </c>
      <c r="U5333" s="14">
        <v>45716</v>
      </c>
      <c r="V5333" s="43"/>
      <c r="W5333" s="2"/>
      <c r="X5333" s="2">
        <v>1</v>
      </c>
      <c r="Y5333" s="11"/>
      <c r="Z5333" s="2" t="s">
        <v>36</v>
      </c>
      <c r="AA5333" s="13" t="s">
        <v>10367</v>
      </c>
      <c r="AB5333" s="13">
        <v>3899424</v>
      </c>
    </row>
    <row r="5334" spans="1:28" ht="15" customHeight="1">
      <c r="A5334" s="117" t="s">
        <v>10032</v>
      </c>
      <c r="B5334" s="117" t="s">
        <v>711</v>
      </c>
      <c r="C5334" s="327" t="s">
        <v>6001</v>
      </c>
      <c r="D5334" s="117" t="s">
        <v>30</v>
      </c>
      <c r="E5334" s="117" t="s">
        <v>2378</v>
      </c>
      <c r="F5334" s="11" t="s">
        <v>5900</v>
      </c>
      <c r="G5334" s="197" t="s">
        <v>5901</v>
      </c>
      <c r="H5334" s="117" t="s">
        <v>6755</v>
      </c>
      <c r="I5334" s="119" t="s">
        <v>1392</v>
      </c>
      <c r="J5334" s="121">
        <f>+Tabla1[[#This Row],[FECHA ENTRADA]]</f>
        <v>45978</v>
      </c>
      <c r="K5334" s="121">
        <f ca="1">TODAY()</f>
        <v>46260</v>
      </c>
      <c r="L5334" s="129">
        <f ca="1">_xlfn.DAYS(Tabla1[[#This Row],[FECHA FIN ]],Tabla1[[#This Row],[FECHA INICIO]])</f>
        <v>282</v>
      </c>
      <c r="M5334" s="119">
        <v>570</v>
      </c>
      <c r="N5334" s="130"/>
      <c r="O5334" s="131">
        <f ca="1">(Tabla1[[#This Row],[COSTO FIJO ]]/30)*Tabla1[[#This Row],[TOTAL DIAS PROYECTO]]+(Tabla1[[#This Row],[COSTO TEMPORAL]])</f>
        <v>570</v>
      </c>
      <c r="P5334" s="119"/>
      <c r="Q5334" s="119">
        <f ca="1">+(Tabla1[[#This Row],[COSTO COCHE]]/30)*Tabla1[[#This Row],[TOTAL DIAS PROYECTO]]</f>
        <v>0</v>
      </c>
      <c r="R5334" s="119">
        <f ca="1">+Tabla1[[#This Row],[COSTO TOTAL ALOJAMIENTO]]+Tabla1[[#This Row],[COSTO TOTAL COCHE]]</f>
        <v>570</v>
      </c>
      <c r="S5334" s="117"/>
      <c r="T5334" s="124" t="s">
        <v>44</v>
      </c>
      <c r="U5334" s="124">
        <v>45978</v>
      </c>
      <c r="V5334" s="125">
        <v>46030</v>
      </c>
      <c r="W5334" s="126"/>
      <c r="X5334" s="117"/>
      <c r="Y5334" s="118" t="s">
        <v>7434</v>
      </c>
      <c r="Z5334" s="117" t="s">
        <v>36</v>
      </c>
      <c r="AA5334" s="127" t="e">
        <v>#N/A</v>
      </c>
      <c r="AB5334" s="127" t="e">
        <v>#N/A</v>
      </c>
    </row>
    <row r="5335" spans="1:28" ht="15" customHeight="1">
      <c r="A5335" s="117" t="s">
        <v>8737</v>
      </c>
      <c r="B5335" s="117" t="s">
        <v>711</v>
      </c>
      <c r="C5335" s="327" t="s">
        <v>510</v>
      </c>
      <c r="D5335" s="117" t="s">
        <v>30</v>
      </c>
      <c r="E5335" s="117" t="s">
        <v>2378</v>
      </c>
      <c r="F5335" s="11" t="s">
        <v>5900</v>
      </c>
      <c r="G5335" s="128" t="s">
        <v>5901</v>
      </c>
      <c r="H5335" s="117" t="s">
        <v>6628</v>
      </c>
      <c r="I5335" s="119" t="s">
        <v>1392</v>
      </c>
      <c r="J5335" s="121">
        <f>+Tabla1[[#This Row],[FECHA ENTRADA]]</f>
        <v>46007</v>
      </c>
      <c r="K5335" s="121">
        <f ca="1">TODAY()</f>
        <v>46260</v>
      </c>
      <c r="L5335" s="129">
        <f ca="1">_xlfn.DAYS(Tabla1[[#This Row],[FECHA FIN ]],Tabla1[[#This Row],[FECHA INICIO]])</f>
        <v>253</v>
      </c>
      <c r="M5335" s="119">
        <v>570</v>
      </c>
      <c r="N5335" s="130"/>
      <c r="O5335" s="131">
        <f ca="1">(Tabla1[[#This Row],[COSTO FIJO ]]/30)*Tabla1[[#This Row],[TOTAL DIAS PROYECTO]]+(Tabla1[[#This Row],[COSTO TEMPORAL]])</f>
        <v>570</v>
      </c>
      <c r="P5335" s="119"/>
      <c r="Q5335" s="119">
        <f ca="1">+(Tabla1[[#This Row],[COSTO COCHE]]/30)*Tabla1[[#This Row],[TOTAL DIAS PROYECTO]]</f>
        <v>0</v>
      </c>
      <c r="R5335" s="119">
        <f ca="1">+Tabla1[[#This Row],[COSTO TOTAL ALOJAMIENTO]]+Tabla1[[#This Row],[COSTO TOTAL COCHE]]</f>
        <v>570</v>
      </c>
      <c r="S5335" s="117"/>
      <c r="T5335" s="124" t="s">
        <v>44</v>
      </c>
      <c r="U5335" s="124">
        <v>46007</v>
      </c>
      <c r="V5335" s="125">
        <v>46030</v>
      </c>
      <c r="W5335" s="119"/>
      <c r="X5335" s="117"/>
      <c r="Y5335" s="118"/>
      <c r="Z5335" s="117" t="s">
        <v>36</v>
      </c>
      <c r="AA5335" s="127" t="e">
        <v>#N/A</v>
      </c>
      <c r="AB5335" s="127" t="e">
        <v>#N/A</v>
      </c>
    </row>
    <row r="5336" spans="1:28" ht="15" customHeight="1">
      <c r="A5336" s="2" t="s">
        <v>9927</v>
      </c>
      <c r="B5336" s="2" t="s">
        <v>711</v>
      </c>
      <c r="C5336" s="169" t="s">
        <v>5495</v>
      </c>
      <c r="D5336" s="2" t="s">
        <v>30</v>
      </c>
      <c r="E5336" s="2" t="s">
        <v>422</v>
      </c>
      <c r="F5336" s="11" t="s">
        <v>1375</v>
      </c>
      <c r="G5336" s="70" t="s">
        <v>1376</v>
      </c>
      <c r="H5336" s="2" t="s">
        <v>7228</v>
      </c>
      <c r="I5336" s="12" t="s">
        <v>2443</v>
      </c>
      <c r="J5336" s="22">
        <f>+Tabla1[[#This Row],[FECHA ENTRADA]]</f>
        <v>45944</v>
      </c>
      <c r="K5336" s="8">
        <v>46124</v>
      </c>
      <c r="L5336" s="23">
        <f>_xlfn.DAYS(Tabla1[[#This Row],[FECHA FIN ]],Tabla1[[#This Row],[FECHA INICIO]])</f>
        <v>180</v>
      </c>
      <c r="M5336" s="12"/>
      <c r="N5336" s="12">
        <v>262.5</v>
      </c>
      <c r="O5336" s="24">
        <f>(Tabla1[[#This Row],[COSTO FIJO ]]/30)*Tabla1[[#This Row],[TOTAL DIAS PROYECTO]]+(Tabla1[[#This Row],[COSTO TEMPORAL]])</f>
        <v>1575</v>
      </c>
      <c r="P5336" s="12"/>
      <c r="Q5336" s="12">
        <f>+(Tabla1[[#This Row],[COSTO COCHE]]/30)*Tabla1[[#This Row],[TOTAL DIAS PROYECTO]]</f>
        <v>0</v>
      </c>
      <c r="R5336" s="12">
        <f>+Tabla1[[#This Row],[COSTO TOTAL ALOJAMIENTO]]+Tabla1[[#This Row],[COSTO TOTAL COCHE]]</f>
        <v>1575</v>
      </c>
      <c r="S5336" s="2"/>
      <c r="T5336" s="14" t="s">
        <v>35</v>
      </c>
      <c r="U5336" s="14">
        <v>45944</v>
      </c>
      <c r="V5336" s="25"/>
      <c r="W5336" s="12"/>
      <c r="X5336" s="2">
        <v>5</v>
      </c>
      <c r="Y5336" s="11" t="s">
        <v>7435</v>
      </c>
      <c r="Z5336" s="2" t="s">
        <v>36</v>
      </c>
      <c r="AA5336" s="13">
        <v>-326.69799999999998</v>
      </c>
      <c r="AB5336" s="13" t="s">
        <v>10373</v>
      </c>
    </row>
    <row r="5337" spans="1:28" ht="15" customHeight="1">
      <c r="A5337" s="2" t="s">
        <v>9426</v>
      </c>
      <c r="B5337" s="2" t="s">
        <v>28</v>
      </c>
      <c r="C5337" s="321" t="s">
        <v>3128</v>
      </c>
      <c r="D5337" s="2" t="s">
        <v>30</v>
      </c>
      <c r="E5337" s="2" t="s">
        <v>422</v>
      </c>
      <c r="F5337" s="11"/>
      <c r="G5337" s="46"/>
      <c r="H5337" s="2" t="s">
        <v>2442</v>
      </c>
      <c r="I5337" s="12" t="s">
        <v>2443</v>
      </c>
      <c r="J5337" s="41">
        <f>+Tabla1[[#This Row],[FECHA ENTRADA]]</f>
        <v>45962</v>
      </c>
      <c r="K5337" s="41">
        <v>46014</v>
      </c>
      <c r="L5337" s="42">
        <f>_xlfn.DAYS(Tabla1[[#This Row],[FECHA FIN ]],Tabla1[[#This Row],[FECHA INICIO]])</f>
        <v>52</v>
      </c>
      <c r="M5337" s="12"/>
      <c r="N5337" s="28">
        <v>300</v>
      </c>
      <c r="O5337" s="28">
        <f>(Tabla1[[#This Row],[COSTO FIJO ]]/30)*Tabla1[[#This Row],[TOTAL DIAS PROYECTO]]+(Tabla1[[#This Row],[COSTO TEMPORAL]])</f>
        <v>520</v>
      </c>
      <c r="P5337" s="12"/>
      <c r="Q5337" s="12">
        <f>+(Tabla1[[#This Row],[COSTO COCHE]]/30)*Tabla1[[#This Row],[TOTAL DIAS PROYECTO]]</f>
        <v>0</v>
      </c>
      <c r="R5337" s="12">
        <f>+Tabla1[[#This Row],[COSTO TOTAL ALOJAMIENTO]]+Tabla1[[#This Row],[COSTO TOTAL COCHE]]</f>
        <v>520</v>
      </c>
      <c r="S5337" s="2"/>
      <c r="T5337" s="14" t="s">
        <v>58</v>
      </c>
      <c r="U5337" s="14">
        <v>45962</v>
      </c>
      <c r="V5337" s="43"/>
      <c r="W5337" s="71"/>
      <c r="X5337" s="2"/>
      <c r="Y5337" s="11" t="s">
        <v>7436</v>
      </c>
      <c r="Z5337" s="2" t="s">
        <v>36</v>
      </c>
      <c r="AA5337" s="13">
        <v>-326.69799999999998</v>
      </c>
      <c r="AB5337" s="13" t="s">
        <v>10373</v>
      </c>
    </row>
    <row r="5338" spans="1:28" ht="15" customHeight="1">
      <c r="A5338" s="2" t="s">
        <v>8638</v>
      </c>
      <c r="B5338" s="2" t="s">
        <v>1457</v>
      </c>
      <c r="C5338" s="322" t="s">
        <v>7437</v>
      </c>
      <c r="D5338" s="2" t="s">
        <v>72</v>
      </c>
      <c r="E5338" s="2" t="s">
        <v>73</v>
      </c>
      <c r="F5338" s="11" t="s">
        <v>74</v>
      </c>
      <c r="G5338" s="11" t="s">
        <v>75</v>
      </c>
      <c r="H5338" s="2">
        <v>2023</v>
      </c>
      <c r="I5338" s="2" t="s">
        <v>7438</v>
      </c>
      <c r="J5338" s="8">
        <v>45307</v>
      </c>
      <c r="K5338" s="8">
        <f ca="1">TODAY()</f>
        <v>46260</v>
      </c>
      <c r="L5338" s="13">
        <f ca="1">_xlfn.DAYS(Tabla1[[#This Row],[FECHA FIN ]],Tabla1[[#This Row],[FECHA INICIO]])</f>
        <v>953</v>
      </c>
      <c r="M5338" s="12"/>
      <c r="N5338" s="2"/>
      <c r="O5338" s="12">
        <f ca="1">(Tabla1[[#This Row],[COSTO FIJO ]]/30)*Tabla1[[#This Row],[TOTAL DIAS PROYECTO]]+(Tabla1[[#This Row],[COSTO TEMPORAL]])</f>
        <v>0</v>
      </c>
      <c r="P5338" s="12">
        <f>600/2</f>
        <v>300</v>
      </c>
      <c r="Q5338" s="12">
        <f ca="1">+(Tabla1[[#This Row],[COSTO COCHE]]/30)*Tabla1[[#This Row],[TOTAL DIAS PROYECTO]]</f>
        <v>9530</v>
      </c>
      <c r="R5338" s="12">
        <f ca="1">+Tabla1[[#This Row],[COSTO TOTAL ALOJAMIENTO]]+Tabla1[[#This Row],[COSTO TOTAL COCHE]]</f>
        <v>9530</v>
      </c>
      <c r="S5338" s="2"/>
      <c r="T5338" s="2" t="s">
        <v>35</v>
      </c>
      <c r="U5338" s="14"/>
      <c r="V5338" s="14"/>
      <c r="W5338" s="15"/>
      <c r="X5338" s="16"/>
      <c r="Y5338" s="11" t="s">
        <v>318</v>
      </c>
      <c r="Z5338" s="2" t="s">
        <v>36</v>
      </c>
      <c r="AA5338" s="13" t="s">
        <v>10331</v>
      </c>
      <c r="AB5338" s="13" t="s">
        <v>10332</v>
      </c>
    </row>
    <row r="5339" spans="1:28" ht="15" customHeight="1">
      <c r="A5339" s="2" t="s">
        <v>9253</v>
      </c>
      <c r="B5339" s="2" t="s">
        <v>28</v>
      </c>
      <c r="C5339" s="97" t="s">
        <v>2606</v>
      </c>
      <c r="D5339" s="2" t="s">
        <v>30</v>
      </c>
      <c r="E5339" s="2" t="s">
        <v>422</v>
      </c>
      <c r="F5339" s="11"/>
      <c r="G5339" s="46"/>
      <c r="H5339" s="2" t="s">
        <v>2442</v>
      </c>
      <c r="I5339" s="12" t="s">
        <v>2443</v>
      </c>
      <c r="J5339" s="41">
        <f>+Tabla1[[#This Row],[FECHA ENTRADA]]</f>
        <v>45962</v>
      </c>
      <c r="K5339" s="41">
        <v>46014</v>
      </c>
      <c r="L5339" s="42">
        <f>_xlfn.DAYS(Tabla1[[#This Row],[FECHA FIN ]],Tabla1[[#This Row],[FECHA INICIO]])</f>
        <v>52</v>
      </c>
      <c r="M5339" s="12"/>
      <c r="N5339" s="28">
        <v>300</v>
      </c>
      <c r="O5339" s="28">
        <f>(Tabla1[[#This Row],[COSTO FIJO ]]/30)*Tabla1[[#This Row],[TOTAL DIAS PROYECTO]]+(Tabla1[[#This Row],[COSTO TEMPORAL]])</f>
        <v>520</v>
      </c>
      <c r="P5339" s="12"/>
      <c r="Q5339" s="12">
        <f>+(Tabla1[[#This Row],[COSTO COCHE]]/30)*Tabla1[[#This Row],[TOTAL DIAS PROYECTO]]</f>
        <v>0</v>
      </c>
      <c r="R5339" s="12">
        <f>+Tabla1[[#This Row],[COSTO TOTAL ALOJAMIENTO]]+Tabla1[[#This Row],[COSTO TOTAL COCHE]]</f>
        <v>520</v>
      </c>
      <c r="S5339" s="2"/>
      <c r="T5339" s="14" t="s">
        <v>58</v>
      </c>
      <c r="U5339" s="14">
        <v>45962</v>
      </c>
      <c r="V5339" s="43"/>
      <c r="W5339" s="71"/>
      <c r="X5339" s="2"/>
      <c r="Y5339" s="11" t="s">
        <v>7436</v>
      </c>
      <c r="Z5339" s="2" t="s">
        <v>36</v>
      </c>
      <c r="AA5339" s="13">
        <v>-326.69799999999998</v>
      </c>
      <c r="AB5339" s="13" t="s">
        <v>10373</v>
      </c>
    </row>
    <row r="5340" spans="1:28" ht="15" customHeight="1">
      <c r="A5340" s="2" t="s">
        <v>9911</v>
      </c>
      <c r="B5340" s="2" t="s">
        <v>711</v>
      </c>
      <c r="C5340" s="31" t="s">
        <v>5373</v>
      </c>
      <c r="D5340" s="2" t="s">
        <v>99</v>
      </c>
      <c r="E5340" s="2" t="s">
        <v>422</v>
      </c>
      <c r="F5340" s="11" t="s">
        <v>7439</v>
      </c>
      <c r="G5340" s="49" t="s">
        <v>7440</v>
      </c>
      <c r="H5340" s="2" t="s">
        <v>7441</v>
      </c>
      <c r="I5340" s="12" t="s">
        <v>7442</v>
      </c>
      <c r="J5340" s="22">
        <f>+Tabla1[[#This Row],[FECHA ENTRADA]]</f>
        <v>45984</v>
      </c>
      <c r="K5340" s="22">
        <v>46041</v>
      </c>
      <c r="L5340" s="23">
        <f>_xlfn.DAYS(Tabla1[[#This Row],[FECHA FIN ]],Tabla1[[#This Row],[FECHA INICIO]])</f>
        <v>57</v>
      </c>
      <c r="M5340" s="12"/>
      <c r="N5340" s="24">
        <v>0</v>
      </c>
      <c r="O5340" s="24">
        <f>(Tabla1[[#This Row],[COSTO FIJO ]]/30)*Tabla1[[#This Row],[TOTAL DIAS PROYECTO]]+(Tabla1[[#This Row],[COSTO TEMPORAL]])</f>
        <v>0</v>
      </c>
      <c r="P5340" s="12"/>
      <c r="Q5340" s="12">
        <f>+(Tabla1[[#This Row],[COSTO COCHE]]/30)*Tabla1[[#This Row],[TOTAL DIAS PROYECTO]]</f>
        <v>0</v>
      </c>
      <c r="R5340" s="12">
        <f>+Tabla1[[#This Row],[COSTO TOTAL ALOJAMIENTO]]+Tabla1[[#This Row],[COSTO TOTAL COCHE]]</f>
        <v>0</v>
      </c>
      <c r="S5340" s="2"/>
      <c r="T5340" s="14" t="s">
        <v>35</v>
      </c>
      <c r="U5340" s="14">
        <v>45984</v>
      </c>
      <c r="V5340" s="25"/>
      <c r="W5340" s="71"/>
      <c r="X5340" s="2"/>
      <c r="Y5340" s="11" t="s">
        <v>7443</v>
      </c>
      <c r="Z5340" s="2" t="s">
        <v>36</v>
      </c>
      <c r="AA5340" s="13">
        <v>-326.69799999999998</v>
      </c>
      <c r="AB5340" s="13" t="s">
        <v>10373</v>
      </c>
    </row>
    <row r="5341" spans="1:28" ht="15" customHeight="1">
      <c r="A5341" s="2" t="s">
        <v>9485</v>
      </c>
      <c r="B5341" s="2" t="s">
        <v>606</v>
      </c>
      <c r="C5341" s="169" t="s">
        <v>3352</v>
      </c>
      <c r="D5341" s="2" t="s">
        <v>30</v>
      </c>
      <c r="E5341" s="2" t="s">
        <v>109</v>
      </c>
      <c r="F5341" s="11" t="s">
        <v>2161</v>
      </c>
      <c r="G5341" s="68" t="s">
        <v>2162</v>
      </c>
      <c r="H5341" s="2" t="s">
        <v>7192</v>
      </c>
      <c r="I5341" s="12" t="s">
        <v>42</v>
      </c>
      <c r="J5341" s="22">
        <f>+Tabla1[[#This Row],[FECHA ENTRADA]]</f>
        <v>46069</v>
      </c>
      <c r="K5341" s="22">
        <v>46098</v>
      </c>
      <c r="L5341" s="23">
        <f>_xlfn.DAYS(Tabla1[[#This Row],[FECHA FIN ]],Tabla1[[#This Row],[FECHA INICIO]])</f>
        <v>29</v>
      </c>
      <c r="M5341" s="12"/>
      <c r="N5341" s="20">
        <v>350</v>
      </c>
      <c r="O5341" s="24">
        <f>(Tabla1[[#This Row],[COSTO FIJO ]]/30)*Tabla1[[#This Row],[TOTAL DIAS PROYECTO]]+(Tabla1[[#This Row],[COSTO TEMPORAL]])</f>
        <v>338.33333333333331</v>
      </c>
      <c r="P5341" s="12"/>
      <c r="Q5341" s="12">
        <f>+(Tabla1[[#This Row],[COSTO COCHE]]/30)*Tabla1[[#This Row],[TOTAL DIAS PROYECTO]]</f>
        <v>0</v>
      </c>
      <c r="R5341" s="12">
        <f>+Tabla1[[#This Row],[COSTO TOTAL ALOJAMIENTO]]+Tabla1[[#This Row],[COSTO TOTAL COCHE]]</f>
        <v>338.33333333333331</v>
      </c>
      <c r="S5341" s="2"/>
      <c r="T5341" s="14" t="s">
        <v>35</v>
      </c>
      <c r="U5341" s="14">
        <v>46069</v>
      </c>
      <c r="V5341" s="79"/>
      <c r="W5341" s="12"/>
      <c r="X5341" s="2">
        <v>10</v>
      </c>
      <c r="Y5341" s="11" t="s">
        <v>4545</v>
      </c>
      <c r="Z5341" s="2" t="s">
        <v>36</v>
      </c>
      <c r="AA5341" s="13">
        <v>0.62217999999999996</v>
      </c>
      <c r="AB5341" s="13" t="s">
        <v>10339</v>
      </c>
    </row>
    <row r="5342" spans="1:28" ht="15" customHeight="1">
      <c r="A5342" s="2" t="s">
        <v>9946</v>
      </c>
      <c r="B5342" s="2" t="s">
        <v>978</v>
      </c>
      <c r="C5342" s="322" t="s">
        <v>5625</v>
      </c>
      <c r="D5342" s="2" t="s">
        <v>99</v>
      </c>
      <c r="E5342" s="2" t="s">
        <v>31</v>
      </c>
      <c r="F5342" s="11" t="s">
        <v>451</v>
      </c>
      <c r="G5342" s="118" t="s">
        <v>452</v>
      </c>
      <c r="H5342" s="2" t="s">
        <v>5628</v>
      </c>
      <c r="I5342" s="12" t="s">
        <v>5629</v>
      </c>
      <c r="J5342" s="41">
        <f>+Tabla1[[#This Row],[FECHA ENTRADA]]</f>
        <v>46184</v>
      </c>
      <c r="K5342" s="41">
        <v>46191</v>
      </c>
      <c r="L5342" s="42">
        <f>_xlfn.DAYS(Tabla1[[#This Row],[FECHA FIN ]],Tabla1[[#This Row],[FECHA INICIO]])</f>
        <v>7</v>
      </c>
      <c r="M5342" s="12"/>
      <c r="N5342" s="12">
        <v>425</v>
      </c>
      <c r="O5342" s="28">
        <f>(Tabla1[[#This Row],[COSTO FIJO ]]/30)*Tabla1[[#This Row],[TOTAL DIAS PROYECTO]]+(Tabla1[[#This Row],[COSTO TEMPORAL]])</f>
        <v>99.166666666666657</v>
      </c>
      <c r="P5342" s="12"/>
      <c r="Q5342" s="12">
        <f>+(Tabla1[[#This Row],[COSTO COCHE]]/30)*Tabla1[[#This Row],[TOTAL DIAS PROYECTO]]</f>
        <v>0</v>
      </c>
      <c r="R5342" s="12">
        <f>+Tabla1[[#This Row],[COSTO TOTAL ALOJAMIENTO]]+Tabla1[[#This Row],[COSTO TOTAL COCHE]]</f>
        <v>99.166666666666657</v>
      </c>
      <c r="S5342" s="2"/>
      <c r="T5342" s="14" t="s">
        <v>35</v>
      </c>
      <c r="U5342" s="14">
        <v>46184</v>
      </c>
      <c r="V5342" s="43">
        <v>46191</v>
      </c>
      <c r="W5342" s="12"/>
      <c r="X5342" s="2">
        <v>1</v>
      </c>
      <c r="Y5342" s="11" t="s">
        <v>7444</v>
      </c>
      <c r="Z5342" s="2" t="s">
        <v>36</v>
      </c>
      <c r="AA5342" s="13" t="s">
        <v>10323</v>
      </c>
      <c r="AB5342" s="13" t="s">
        <v>10324</v>
      </c>
    </row>
    <row r="5343" spans="1:28" ht="15" customHeight="1">
      <c r="A5343" s="2" t="s">
        <v>9571</v>
      </c>
      <c r="B5343" s="2" t="s">
        <v>711</v>
      </c>
      <c r="C5343" s="322" t="s">
        <v>3683</v>
      </c>
      <c r="D5343" s="2" t="s">
        <v>30</v>
      </c>
      <c r="E5343" s="2" t="s">
        <v>686</v>
      </c>
      <c r="F5343" s="11" t="s">
        <v>7423</v>
      </c>
      <c r="G5343" s="46"/>
      <c r="H5343" s="2" t="s">
        <v>3070</v>
      </c>
      <c r="I5343" s="12" t="s">
        <v>96</v>
      </c>
      <c r="J5343" s="41">
        <f>+Tabla1[[#This Row],[FECHA ENTRADA]]</f>
        <v>46174</v>
      </c>
      <c r="K5343" s="41">
        <f ca="1">TODAY()</f>
        <v>46260</v>
      </c>
      <c r="L5343" s="42">
        <f ca="1">_xlfn.DAYS(Tabla1[[#This Row],[FECHA FIN ]],Tabla1[[#This Row],[FECHA INICIO]])</f>
        <v>86</v>
      </c>
      <c r="M5343" s="12"/>
      <c r="N5343" s="28">
        <v>0</v>
      </c>
      <c r="O5343" s="28">
        <f ca="1">(Tabla1[[#This Row],[COSTO FIJO ]]/30)*Tabla1[[#This Row],[TOTAL DIAS PROYECTO]]+(Tabla1[[#This Row],[COSTO TEMPORAL]])</f>
        <v>0</v>
      </c>
      <c r="P5343" s="12"/>
      <c r="Q5343" s="12">
        <f ca="1">+(Tabla1[[#This Row],[COSTO COCHE]]/30)*Tabla1[[#This Row],[TOTAL DIAS PROYECTO]]</f>
        <v>0</v>
      </c>
      <c r="R5343" s="12">
        <f ca="1">+Tabla1[[#This Row],[COSTO TOTAL ALOJAMIENTO]]+Tabla1[[#This Row],[COSTO TOTAL COCHE]]</f>
        <v>0</v>
      </c>
      <c r="S5343" s="2"/>
      <c r="T5343" s="14" t="s">
        <v>8</v>
      </c>
      <c r="U5343" s="14">
        <v>46174</v>
      </c>
      <c r="V5343" s="43"/>
      <c r="W5343" s="12"/>
      <c r="X5343" s="2"/>
      <c r="Y5343" s="11" t="s">
        <v>7371</v>
      </c>
      <c r="Z5343" s="2" t="s">
        <v>702</v>
      </c>
      <c r="AA5343" s="13" t="s">
        <v>10393</v>
      </c>
      <c r="AB5343" s="13">
        <v>3834517</v>
      </c>
    </row>
    <row r="5344" spans="1:28" ht="15" customHeight="1">
      <c r="A5344" s="2" t="s">
        <v>10244</v>
      </c>
      <c r="B5344" s="2" t="s">
        <v>978</v>
      </c>
      <c r="C5344" s="118" t="s">
        <v>7411</v>
      </c>
      <c r="D5344" s="2" t="s">
        <v>99</v>
      </c>
      <c r="E5344" s="2" t="s">
        <v>31</v>
      </c>
      <c r="F5344" s="11" t="s">
        <v>5279</v>
      </c>
      <c r="G5344" s="46" t="s">
        <v>5280</v>
      </c>
      <c r="H5344" s="2" t="s">
        <v>7445</v>
      </c>
      <c r="I5344" s="12" t="s">
        <v>6969</v>
      </c>
      <c r="J5344" s="41">
        <f>+Tabla1[[#This Row],[FECHA ENTRADA]]</f>
        <v>45817</v>
      </c>
      <c r="K5344" s="41">
        <v>46180</v>
      </c>
      <c r="L5344" s="42">
        <f>_xlfn.DAYS(Tabla1[[#This Row],[FECHA FIN ]],Tabla1[[#This Row],[FECHA INICIO]])</f>
        <v>363</v>
      </c>
      <c r="M5344" s="12"/>
      <c r="N5344" s="28">
        <v>470</v>
      </c>
      <c r="O5344" s="28">
        <f>(Tabla1[[#This Row],[COSTO FIJO ]]/30)*Tabla1[[#This Row],[TOTAL DIAS PROYECTO]]+(Tabla1[[#This Row],[COSTO TEMPORAL]])</f>
        <v>5687</v>
      </c>
      <c r="P5344" s="12"/>
      <c r="Q5344" s="12">
        <f>+(Tabla1[[#This Row],[COSTO COCHE]]/30)*Tabla1[[#This Row],[TOTAL DIAS PROYECTO]]</f>
        <v>0</v>
      </c>
      <c r="R5344" s="12">
        <f>+Tabla1[[#This Row],[COSTO TOTAL ALOJAMIENTO]]+Tabla1[[#This Row],[COSTO TOTAL COCHE]]</f>
        <v>5687</v>
      </c>
      <c r="S5344" s="2"/>
      <c r="T5344" s="14" t="s">
        <v>35</v>
      </c>
      <c r="U5344" s="14">
        <v>45817</v>
      </c>
      <c r="V5344" s="43">
        <v>45847</v>
      </c>
      <c r="W5344" s="12">
        <v>100</v>
      </c>
      <c r="X5344" s="2">
        <v>5</v>
      </c>
      <c r="Y5344" s="11" t="s">
        <v>7446</v>
      </c>
      <c r="Z5344" s="2" t="s">
        <v>36</v>
      </c>
      <c r="AA5344" s="13" t="s">
        <v>10323</v>
      </c>
      <c r="AB5344" s="13" t="s">
        <v>10324</v>
      </c>
    </row>
    <row r="5345" spans="1:28" ht="15" customHeight="1">
      <c r="A5345" s="2" t="s">
        <v>9137</v>
      </c>
      <c r="B5345" s="2" t="s">
        <v>606</v>
      </c>
      <c r="C5345" s="195" t="s">
        <v>2157</v>
      </c>
      <c r="D5345" s="2" t="s">
        <v>30</v>
      </c>
      <c r="E5345" s="2" t="s">
        <v>109</v>
      </c>
      <c r="F5345" s="11" t="s">
        <v>3066</v>
      </c>
      <c r="G5345" s="100" t="s">
        <v>3067</v>
      </c>
      <c r="H5345" s="2" t="s">
        <v>2095</v>
      </c>
      <c r="I5345" s="12" t="s">
        <v>1830</v>
      </c>
      <c r="J5345" s="41">
        <f>+Tabla1[[#This Row],[FECHA ENTRADA]]</f>
        <v>45799</v>
      </c>
      <c r="K5345" s="41">
        <v>46181</v>
      </c>
      <c r="L5345" s="42">
        <f>_xlfn.DAYS(Tabla1[[#This Row],[FECHA FIN ]],Tabla1[[#This Row],[FECHA INICIO]])</f>
        <v>382</v>
      </c>
      <c r="M5345" s="12"/>
      <c r="N5345" s="12">
        <v>206</v>
      </c>
      <c r="O5345" s="28">
        <f>(Tabla1[[#This Row],[COSTO FIJO ]]/30)*Tabla1[[#This Row],[TOTAL DIAS PROYECTO]]+(Tabla1[[#This Row],[COSTO TEMPORAL]])</f>
        <v>2623.0666666666666</v>
      </c>
      <c r="P5345" s="12"/>
      <c r="Q5345" s="12">
        <f>+(Tabla1[[#This Row],[COSTO COCHE]]/30)*Tabla1[[#This Row],[TOTAL DIAS PROYECTO]]</f>
        <v>0</v>
      </c>
      <c r="R5345" s="12">
        <f>+Tabla1[[#This Row],[COSTO TOTAL ALOJAMIENTO]]+Tabla1[[#This Row],[COSTO TOTAL COCHE]]</f>
        <v>2623.0666666666666</v>
      </c>
      <c r="S5345" s="2"/>
      <c r="T5345" s="14" t="s">
        <v>35</v>
      </c>
      <c r="U5345" s="14">
        <v>45799</v>
      </c>
      <c r="V5345" s="43"/>
      <c r="W5345" s="12"/>
      <c r="X5345" s="2">
        <v>4</v>
      </c>
      <c r="Y5345" s="11" t="s">
        <v>7447</v>
      </c>
      <c r="Z5345" s="2" t="s">
        <v>36</v>
      </c>
      <c r="AA5345" s="13">
        <v>0.62217999999999996</v>
      </c>
      <c r="AB5345" s="13" t="s">
        <v>10339</v>
      </c>
    </row>
    <row r="5346" spans="1:28" ht="15" customHeight="1">
      <c r="A5346" s="2" t="s">
        <v>10211</v>
      </c>
      <c r="B5346" s="2" t="s">
        <v>606</v>
      </c>
      <c r="C5346" s="321" t="s">
        <v>7183</v>
      </c>
      <c r="D5346" s="2" t="s">
        <v>30</v>
      </c>
      <c r="E5346" s="2" t="s">
        <v>109</v>
      </c>
      <c r="F5346" s="11" t="s">
        <v>3066</v>
      </c>
      <c r="G5346" s="100" t="s">
        <v>3067</v>
      </c>
      <c r="H5346" s="2" t="s">
        <v>7448</v>
      </c>
      <c r="I5346" s="12" t="s">
        <v>42</v>
      </c>
      <c r="J5346" s="22">
        <f>+Tabla1[[#This Row],[FECHA ENTRADA]]</f>
        <v>46098</v>
      </c>
      <c r="K5346" s="22">
        <v>46172</v>
      </c>
      <c r="L5346" s="23">
        <f>_xlfn.DAYS(Tabla1[[#This Row],[FECHA FIN ]],Tabla1[[#This Row],[FECHA INICIO]])</f>
        <v>74</v>
      </c>
      <c r="M5346" s="12"/>
      <c r="N5346" s="12">
        <v>206</v>
      </c>
      <c r="O5346" s="24">
        <f>(Tabla1[[#This Row],[COSTO FIJO ]]/30)*Tabla1[[#This Row],[TOTAL DIAS PROYECTO]]+(Tabla1[[#This Row],[COSTO TEMPORAL]])</f>
        <v>508.13333333333333</v>
      </c>
      <c r="P5346" s="12"/>
      <c r="Q5346" s="12">
        <f>+(Tabla1[[#This Row],[COSTO COCHE]]/30)*Tabla1[[#This Row],[TOTAL DIAS PROYECTO]]</f>
        <v>0</v>
      </c>
      <c r="R5346" s="12">
        <f>+Tabla1[[#This Row],[COSTO TOTAL ALOJAMIENTO]]+Tabla1[[#This Row],[COSTO TOTAL COCHE]]</f>
        <v>508.13333333333333</v>
      </c>
      <c r="S5346" s="2"/>
      <c r="T5346" s="14" t="s">
        <v>35</v>
      </c>
      <c r="U5346" s="14">
        <v>46098</v>
      </c>
      <c r="V5346" s="79"/>
      <c r="W5346" s="12"/>
      <c r="X5346" s="2">
        <v>4</v>
      </c>
      <c r="Y5346" s="11" t="s">
        <v>7449</v>
      </c>
      <c r="Z5346" s="2" t="s">
        <v>36</v>
      </c>
      <c r="AA5346" s="13">
        <v>0.62217999999999996</v>
      </c>
      <c r="AB5346" s="13" t="s">
        <v>10339</v>
      </c>
    </row>
    <row r="5347" spans="1:28" ht="15" customHeight="1">
      <c r="A5347" s="2" t="s">
        <v>10248</v>
      </c>
      <c r="B5347" s="2" t="s">
        <v>978</v>
      </c>
      <c r="C5347" s="31" t="s">
        <v>7450</v>
      </c>
      <c r="D5347" s="2" t="s">
        <v>99</v>
      </c>
      <c r="E5347" s="2" t="s">
        <v>422</v>
      </c>
      <c r="F5347" s="11" t="s">
        <v>1375</v>
      </c>
      <c r="G5347" s="70" t="s">
        <v>1376</v>
      </c>
      <c r="H5347" s="2" t="s">
        <v>7451</v>
      </c>
      <c r="I5347" s="12" t="s">
        <v>2473</v>
      </c>
      <c r="J5347" s="22">
        <f>+Tabla1[[#This Row],[FECHA ENTRADA]]</f>
        <v>45956</v>
      </c>
      <c r="K5347" s="22">
        <v>45988</v>
      </c>
      <c r="L5347" s="23">
        <f>_xlfn.DAYS(Tabla1[[#This Row],[FECHA FIN ]],Tabla1[[#This Row],[FECHA INICIO]])</f>
        <v>32</v>
      </c>
      <c r="M5347" s="12"/>
      <c r="N5347" s="12">
        <v>350</v>
      </c>
      <c r="O5347" s="24">
        <f>(Tabla1[[#This Row],[COSTO FIJO ]]/30)*Tabla1[[#This Row],[TOTAL DIAS PROYECTO]]+(Tabla1[[#This Row],[COSTO TEMPORAL]])</f>
        <v>373.33333333333331</v>
      </c>
      <c r="P5347" s="12"/>
      <c r="Q5347" s="12">
        <f>+(Tabla1[[#This Row],[COSTO COCHE]]/30)*Tabla1[[#This Row],[TOTAL DIAS PROYECTO]]</f>
        <v>0</v>
      </c>
      <c r="R5347" s="12">
        <f>+Tabla1[[#This Row],[COSTO TOTAL ALOJAMIENTO]]+Tabla1[[#This Row],[COSTO TOTAL COCHE]]</f>
        <v>373.33333333333331</v>
      </c>
      <c r="S5347" s="2"/>
      <c r="T5347" s="14" t="s">
        <v>35</v>
      </c>
      <c r="U5347" s="14">
        <v>45956</v>
      </c>
      <c r="V5347" s="79"/>
      <c r="W5347" s="12"/>
      <c r="X5347" s="2">
        <v>5</v>
      </c>
      <c r="Y5347" s="11" t="s">
        <v>7213</v>
      </c>
      <c r="Z5347" s="2" t="s">
        <v>36</v>
      </c>
      <c r="AA5347" s="13">
        <v>-326.69799999999998</v>
      </c>
      <c r="AB5347" s="13" t="s">
        <v>10373</v>
      </c>
    </row>
    <row r="5348" spans="1:28" ht="15" customHeight="1">
      <c r="A5348" s="2" t="s">
        <v>9453</v>
      </c>
      <c r="B5348" s="2" t="s">
        <v>711</v>
      </c>
      <c r="C5348" s="31" t="s">
        <v>3228</v>
      </c>
      <c r="D5348" s="2" t="s">
        <v>99</v>
      </c>
      <c r="E5348" s="2" t="s">
        <v>422</v>
      </c>
      <c r="F5348" s="11" t="s">
        <v>7439</v>
      </c>
      <c r="G5348" s="49" t="s">
        <v>7440</v>
      </c>
      <c r="H5348" s="2" t="s">
        <v>7441</v>
      </c>
      <c r="I5348" s="12" t="s">
        <v>7442</v>
      </c>
      <c r="J5348" s="22">
        <f>+Tabla1[[#This Row],[FECHA ENTRADA]]</f>
        <v>45984</v>
      </c>
      <c r="K5348" s="22">
        <v>46041</v>
      </c>
      <c r="L5348" s="23">
        <f>_xlfn.DAYS(Tabla1[[#This Row],[FECHA FIN ]],Tabla1[[#This Row],[FECHA INICIO]])</f>
        <v>57</v>
      </c>
      <c r="M5348" s="12"/>
      <c r="N5348" s="24">
        <v>0</v>
      </c>
      <c r="O5348" s="24">
        <f>(Tabla1[[#This Row],[COSTO FIJO ]]/30)*Tabla1[[#This Row],[TOTAL DIAS PROYECTO]]+(Tabla1[[#This Row],[COSTO TEMPORAL]])</f>
        <v>0</v>
      </c>
      <c r="P5348" s="12"/>
      <c r="Q5348" s="12">
        <f>+(Tabla1[[#This Row],[COSTO COCHE]]/30)*Tabla1[[#This Row],[TOTAL DIAS PROYECTO]]</f>
        <v>0</v>
      </c>
      <c r="R5348" s="12">
        <f>+Tabla1[[#This Row],[COSTO TOTAL ALOJAMIENTO]]+Tabla1[[#This Row],[COSTO TOTAL COCHE]]</f>
        <v>0</v>
      </c>
      <c r="S5348" s="2"/>
      <c r="T5348" s="14" t="s">
        <v>35</v>
      </c>
      <c r="U5348" s="14">
        <v>45984</v>
      </c>
      <c r="V5348" s="25"/>
      <c r="W5348" s="71"/>
      <c r="X5348" s="2"/>
      <c r="Y5348" s="11" t="s">
        <v>7371</v>
      </c>
      <c r="Z5348" s="2" t="s">
        <v>36</v>
      </c>
      <c r="AA5348" s="13">
        <v>-326.69799999999998</v>
      </c>
      <c r="AB5348" s="13" t="s">
        <v>10373</v>
      </c>
    </row>
    <row r="5349" spans="1:28" ht="15" customHeight="1">
      <c r="A5349" s="2" t="s">
        <v>9490</v>
      </c>
      <c r="B5349" s="2" t="s">
        <v>606</v>
      </c>
      <c r="C5349" s="11" t="s">
        <v>3369</v>
      </c>
      <c r="D5349" s="2" t="s">
        <v>99</v>
      </c>
      <c r="E5349" s="2" t="s">
        <v>213</v>
      </c>
      <c r="F5349" s="11" t="s">
        <v>1106</v>
      </c>
      <c r="G5349" s="46"/>
      <c r="H5349" s="2" t="s">
        <v>2146</v>
      </c>
      <c r="I5349" s="12" t="s">
        <v>2147</v>
      </c>
      <c r="J5349" s="41">
        <f>+Tabla1[[#This Row],[FECHA ENTRADA]]</f>
        <v>45777</v>
      </c>
      <c r="K5349" s="22">
        <v>45821</v>
      </c>
      <c r="L5349" s="23">
        <f>_xlfn.DAYS(Tabla1[[#This Row],[FECHA FIN ]],Tabla1[[#This Row],[FECHA INICIO]])</f>
        <v>44</v>
      </c>
      <c r="M5349" s="12"/>
      <c r="N5349" s="28">
        <v>0</v>
      </c>
      <c r="O5349" s="28">
        <f>(Tabla1[[#This Row],[COSTO FIJO ]]/30)*Tabla1[[#This Row],[TOTAL DIAS PROYECTO]]+(Tabla1[[#This Row],[COSTO TEMPORAL]])</f>
        <v>0</v>
      </c>
      <c r="P5349" s="12"/>
      <c r="Q5349" s="12">
        <f>+(Tabla1[[#This Row],[COSTO COCHE]]/30)*Tabla1[[#This Row],[TOTAL DIAS PROYECTO]]</f>
        <v>0</v>
      </c>
      <c r="R5349" s="12">
        <f>+Tabla1[[#This Row],[COSTO TOTAL ALOJAMIENTO]]+Tabla1[[#This Row],[COSTO TOTAL COCHE]]</f>
        <v>0</v>
      </c>
      <c r="S5349" s="2"/>
      <c r="T5349" s="14" t="s">
        <v>8</v>
      </c>
      <c r="U5349" s="14">
        <v>45777</v>
      </c>
      <c r="V5349" s="75"/>
      <c r="W5349" s="12"/>
      <c r="X5349" s="2"/>
      <c r="Y5349" s="11" t="s">
        <v>3971</v>
      </c>
      <c r="Z5349" s="2" t="s">
        <v>702</v>
      </c>
      <c r="AA5349" s="13" t="s">
        <v>10349</v>
      </c>
      <c r="AB5349" s="13" t="s">
        <v>10350</v>
      </c>
    </row>
    <row r="5350" spans="1:28" ht="15" customHeight="1">
      <c r="A5350" s="2" t="s">
        <v>9635</v>
      </c>
      <c r="B5350" s="2" t="s">
        <v>711</v>
      </c>
      <c r="C5350" s="11" t="s">
        <v>4012</v>
      </c>
      <c r="D5350" s="2" t="s">
        <v>30</v>
      </c>
      <c r="E5350" s="2" t="s">
        <v>686</v>
      </c>
      <c r="F5350" s="11" t="s">
        <v>7423</v>
      </c>
      <c r="G5350" s="46"/>
      <c r="H5350" s="2" t="s">
        <v>3070</v>
      </c>
      <c r="I5350" s="12" t="s">
        <v>96</v>
      </c>
      <c r="J5350" s="41">
        <f>+Tabla1[[#This Row],[FECHA ENTRADA]]</f>
        <v>46174</v>
      </c>
      <c r="K5350" s="41">
        <f ca="1">TODAY()</f>
        <v>46260</v>
      </c>
      <c r="L5350" s="42">
        <f ca="1">_xlfn.DAYS(Tabla1[[#This Row],[FECHA FIN ]],Tabla1[[#This Row],[FECHA INICIO]])</f>
        <v>86</v>
      </c>
      <c r="M5350" s="12"/>
      <c r="N5350" s="28">
        <v>0</v>
      </c>
      <c r="O5350" s="28">
        <f ca="1">(Tabla1[[#This Row],[COSTO FIJO ]]/30)*Tabla1[[#This Row],[TOTAL DIAS PROYECTO]]+(Tabla1[[#This Row],[COSTO TEMPORAL]])</f>
        <v>0</v>
      </c>
      <c r="P5350" s="12"/>
      <c r="Q5350" s="12">
        <f ca="1">+(Tabla1[[#This Row],[COSTO COCHE]]/30)*Tabla1[[#This Row],[TOTAL DIAS PROYECTO]]</f>
        <v>0</v>
      </c>
      <c r="R5350" s="12">
        <f ca="1">+Tabla1[[#This Row],[COSTO TOTAL ALOJAMIENTO]]+Tabla1[[#This Row],[COSTO TOTAL COCHE]]</f>
        <v>0</v>
      </c>
      <c r="S5350" s="2"/>
      <c r="T5350" s="14" t="s">
        <v>8</v>
      </c>
      <c r="U5350" s="14">
        <v>46174</v>
      </c>
      <c r="V5350" s="43"/>
      <c r="W5350" s="12"/>
      <c r="X5350" s="2"/>
      <c r="Y5350" s="11" t="s">
        <v>7371</v>
      </c>
      <c r="Z5350" s="2" t="s">
        <v>702</v>
      </c>
      <c r="AA5350" s="13" t="s">
        <v>10393</v>
      </c>
      <c r="AB5350" s="13">
        <v>3834517</v>
      </c>
    </row>
    <row r="5351" spans="1:28" ht="15" customHeight="1">
      <c r="A5351" s="2" t="s">
        <v>8642</v>
      </c>
      <c r="B5351" s="2" t="s">
        <v>711</v>
      </c>
      <c r="C5351" s="11" t="s">
        <v>7452</v>
      </c>
      <c r="D5351" s="2" t="s">
        <v>30</v>
      </c>
      <c r="E5351" s="2" t="s">
        <v>127</v>
      </c>
      <c r="F5351" s="11"/>
      <c r="G5351" s="21"/>
      <c r="H5351" s="2" t="s">
        <v>7453</v>
      </c>
      <c r="I5351" s="12" t="s">
        <v>96</v>
      </c>
      <c r="J5351" s="22">
        <f>+Tabla1[[#This Row],[FECHA ENTRADA]]</f>
        <v>46196</v>
      </c>
      <c r="K5351" s="22">
        <f ca="1">TODAY()</f>
        <v>46260</v>
      </c>
      <c r="L5351" s="23">
        <f ca="1">_xlfn.DAYS(Tabla1[[#This Row],[FECHA FIN ]],Tabla1[[#This Row],[FECHA INICIO]])</f>
        <v>64</v>
      </c>
      <c r="M5351" s="12"/>
      <c r="N5351" s="20">
        <v>0</v>
      </c>
      <c r="O5351" s="24">
        <f ca="1">(Tabla1[[#This Row],[COSTO FIJO ]]/30)*Tabla1[[#This Row],[TOTAL DIAS PROYECTO]]+(Tabla1[[#This Row],[COSTO TEMPORAL]])</f>
        <v>0</v>
      </c>
      <c r="P5351" s="12"/>
      <c r="Q5351" s="12">
        <f ca="1">+(Tabla1[[#This Row],[COSTO COCHE]]/30)*Tabla1[[#This Row],[TOTAL DIAS PROYECTO]]</f>
        <v>0</v>
      </c>
      <c r="R5351" s="12">
        <f ca="1">+Tabla1[[#This Row],[COSTO TOTAL ALOJAMIENTO]]+Tabla1[[#This Row],[COSTO TOTAL COCHE]]</f>
        <v>0</v>
      </c>
      <c r="S5351" s="2"/>
      <c r="T5351" s="14" t="s">
        <v>8</v>
      </c>
      <c r="U5351" s="14">
        <v>46196</v>
      </c>
      <c r="V5351" s="79"/>
      <c r="W5351" s="12"/>
      <c r="X5351" s="2"/>
      <c r="Y5351" s="11" t="s">
        <v>7371</v>
      </c>
      <c r="Z5351" s="2" t="s">
        <v>702</v>
      </c>
      <c r="AA5351" s="13" t="s">
        <v>10342</v>
      </c>
      <c r="AB5351" s="13" t="s">
        <v>10343</v>
      </c>
    </row>
    <row r="5352" spans="1:28" ht="15" customHeight="1">
      <c r="A5352" s="2" t="s">
        <v>9866</v>
      </c>
      <c r="B5352" s="2" t="s">
        <v>711</v>
      </c>
      <c r="C5352" s="322" t="s">
        <v>5106</v>
      </c>
      <c r="D5352" s="2" t="s">
        <v>30</v>
      </c>
      <c r="E5352" s="2" t="s">
        <v>648</v>
      </c>
      <c r="F5352" s="11"/>
      <c r="G5352" s="21"/>
      <c r="H5352" s="2" t="s">
        <v>1363</v>
      </c>
      <c r="I5352" s="12" t="s">
        <v>96</v>
      </c>
      <c r="J5352" s="22">
        <f>+Tabla1[[#This Row],[FECHA ENTRADA]]</f>
        <v>45962</v>
      </c>
      <c r="K5352" s="22">
        <f ca="1">TODAY()</f>
        <v>46260</v>
      </c>
      <c r="L5352" s="23">
        <f ca="1">_xlfn.DAYS(Tabla1[[#This Row],[FECHA FIN ]],Tabla1[[#This Row],[FECHA INICIO]])</f>
        <v>298</v>
      </c>
      <c r="M5352" s="12"/>
      <c r="N5352" s="20">
        <v>300</v>
      </c>
      <c r="O5352" s="24">
        <f ca="1">(Tabla1[[#This Row],[COSTO FIJO ]]/30)*Tabla1[[#This Row],[TOTAL DIAS PROYECTO]]+(Tabla1[[#This Row],[COSTO TEMPORAL]])</f>
        <v>2980</v>
      </c>
      <c r="P5352" s="12"/>
      <c r="Q5352" s="12">
        <f ca="1">+(Tabla1[[#This Row],[COSTO COCHE]]/30)*Tabla1[[#This Row],[TOTAL DIAS PROYECTO]]</f>
        <v>0</v>
      </c>
      <c r="R5352" s="12">
        <f ca="1">+Tabla1[[#This Row],[COSTO TOTAL ALOJAMIENTO]]+Tabla1[[#This Row],[COSTO TOTAL COCHE]]</f>
        <v>2980</v>
      </c>
      <c r="S5352" s="2"/>
      <c r="T5352" s="14" t="s">
        <v>58</v>
      </c>
      <c r="U5352" s="14">
        <v>45962</v>
      </c>
      <c r="V5352" s="79"/>
      <c r="W5352" s="71"/>
      <c r="X5352" s="2"/>
      <c r="Y5352" s="11"/>
      <c r="Z5352" s="2" t="s">
        <v>702</v>
      </c>
      <c r="AA5352" s="13" t="s">
        <v>10387</v>
      </c>
      <c r="AB5352" s="13" t="s">
        <v>10388</v>
      </c>
    </row>
    <row r="5353" spans="1:28" ht="15" customHeight="1">
      <c r="A5353" s="2" t="s">
        <v>9878</v>
      </c>
      <c r="B5353" s="2" t="s">
        <v>711</v>
      </c>
      <c r="C5353" s="11" t="s">
        <v>5191</v>
      </c>
      <c r="D5353" s="2" t="s">
        <v>30</v>
      </c>
      <c r="E5353" s="2" t="s">
        <v>648</v>
      </c>
      <c r="F5353" s="11"/>
      <c r="G5353" s="21"/>
      <c r="H5353" s="2" t="s">
        <v>2279</v>
      </c>
      <c r="I5353" s="12" t="s">
        <v>96</v>
      </c>
      <c r="J5353" s="22">
        <f>+Tabla1[[#This Row],[FECHA ENTRADA]]</f>
        <v>45931</v>
      </c>
      <c r="K5353" s="22">
        <f ca="1">TODAY()</f>
        <v>46260</v>
      </c>
      <c r="L5353" s="23">
        <f ca="1">_xlfn.DAYS(Tabla1[[#This Row],[FECHA FIN ]],Tabla1[[#This Row],[FECHA INICIO]])</f>
        <v>329</v>
      </c>
      <c r="M5353" s="12"/>
      <c r="N5353" s="20">
        <v>300</v>
      </c>
      <c r="O5353" s="24">
        <f ca="1">(Tabla1[[#This Row],[COSTO FIJO ]]/30)*Tabla1[[#This Row],[TOTAL DIAS PROYECTO]]+(Tabla1[[#This Row],[COSTO TEMPORAL]])</f>
        <v>3290</v>
      </c>
      <c r="P5353" s="12"/>
      <c r="Q5353" s="12">
        <f ca="1">+(Tabla1[[#This Row],[COSTO COCHE]]/30)*Tabla1[[#This Row],[TOTAL DIAS PROYECTO]]</f>
        <v>0</v>
      </c>
      <c r="R5353" s="12">
        <f ca="1">+Tabla1[[#This Row],[COSTO TOTAL ALOJAMIENTO]]+Tabla1[[#This Row],[COSTO TOTAL COCHE]]</f>
        <v>3290</v>
      </c>
      <c r="S5353" s="2"/>
      <c r="T5353" s="14" t="s">
        <v>58</v>
      </c>
      <c r="U5353" s="14">
        <v>45931</v>
      </c>
      <c r="V5353" s="79"/>
      <c r="W5353" s="71"/>
      <c r="X5353" s="2"/>
      <c r="Y5353" s="11"/>
      <c r="Z5353" s="2" t="s">
        <v>702</v>
      </c>
      <c r="AA5353" s="13" t="s">
        <v>10387</v>
      </c>
      <c r="AB5353" s="13" t="s">
        <v>10388</v>
      </c>
    </row>
    <row r="5354" spans="1:28" ht="15" customHeight="1">
      <c r="A5354" s="2" t="s">
        <v>9889</v>
      </c>
      <c r="B5354" s="2" t="s">
        <v>711</v>
      </c>
      <c r="C5354" s="11" t="s">
        <v>5230</v>
      </c>
      <c r="D5354" s="2" t="s">
        <v>30</v>
      </c>
      <c r="E5354" s="2" t="s">
        <v>648</v>
      </c>
      <c r="F5354" s="11" t="s">
        <v>6509</v>
      </c>
      <c r="G5354" s="46"/>
      <c r="H5354" s="2" t="s">
        <v>2254</v>
      </c>
      <c r="I5354" s="12" t="s">
        <v>96</v>
      </c>
      <c r="J5354" s="41">
        <f>+Tabla1[[#This Row],[FECHA ENTRADA]]</f>
        <v>46174</v>
      </c>
      <c r="K5354" s="41">
        <f ca="1">TODAY()</f>
        <v>46260</v>
      </c>
      <c r="L5354" s="42">
        <f ca="1">_xlfn.DAYS(Tabla1[[#This Row],[FECHA FIN ]],Tabla1[[#This Row],[FECHA INICIO]])</f>
        <v>86</v>
      </c>
      <c r="M5354" s="12"/>
      <c r="N5354" s="28">
        <v>0</v>
      </c>
      <c r="O5354" s="28">
        <f ca="1">(Tabla1[[#This Row],[COSTO FIJO ]]/30)*Tabla1[[#This Row],[TOTAL DIAS PROYECTO]]+(Tabla1[[#This Row],[COSTO TEMPORAL]])</f>
        <v>0</v>
      </c>
      <c r="P5354" s="12"/>
      <c r="Q5354" s="12">
        <f ca="1">+(Tabla1[[#This Row],[COSTO COCHE]]/30)*Tabla1[[#This Row],[TOTAL DIAS PROYECTO]]</f>
        <v>0</v>
      </c>
      <c r="R5354" s="12">
        <f ca="1">+Tabla1[[#This Row],[COSTO TOTAL ALOJAMIENTO]]+Tabla1[[#This Row],[COSTO TOTAL COCHE]]</f>
        <v>0</v>
      </c>
      <c r="S5354" s="2"/>
      <c r="T5354" s="14" t="s">
        <v>8</v>
      </c>
      <c r="U5354" s="14">
        <v>46174</v>
      </c>
      <c r="V5354" s="43"/>
      <c r="W5354" s="12"/>
      <c r="X5354" s="2"/>
      <c r="Y5354" s="11" t="s">
        <v>7371</v>
      </c>
      <c r="Z5354" s="2" t="s">
        <v>702</v>
      </c>
      <c r="AA5354" s="13" t="s">
        <v>10387</v>
      </c>
      <c r="AB5354" s="13" t="s">
        <v>10388</v>
      </c>
    </row>
    <row r="5355" spans="1:28" ht="15" customHeight="1">
      <c r="A5355" s="2" t="s">
        <v>8642</v>
      </c>
      <c r="B5355" s="2" t="s">
        <v>28</v>
      </c>
      <c r="C5355" s="169" t="s">
        <v>7454</v>
      </c>
      <c r="D5355" s="2" t="s">
        <v>30</v>
      </c>
      <c r="E5355" s="2" t="s">
        <v>359</v>
      </c>
      <c r="F5355" s="11" t="s">
        <v>6821</v>
      </c>
      <c r="G5355" s="46" t="s">
        <v>3326</v>
      </c>
      <c r="H5355" s="2" t="s">
        <v>3327</v>
      </c>
      <c r="I5355" s="12" t="s">
        <v>96</v>
      </c>
      <c r="J5355" s="41">
        <f>+Tabla1[[#This Row],[FECHA ENTRADA]]</f>
        <v>45690</v>
      </c>
      <c r="K5355" s="22">
        <v>45821</v>
      </c>
      <c r="L5355" s="42">
        <f>_xlfn.DAYS(Tabla1[[#This Row],[FECHA FIN ]],Tabla1[[#This Row],[FECHA INICIO]])</f>
        <v>131</v>
      </c>
      <c r="M5355" s="12"/>
      <c r="N5355" s="12">
        <v>330</v>
      </c>
      <c r="O5355" s="28">
        <f>(Tabla1[[#This Row],[COSTO FIJO ]]/30)*Tabla1[[#This Row],[TOTAL DIAS PROYECTO]]+(Tabla1[[#This Row],[COSTO TEMPORAL]])</f>
        <v>1441</v>
      </c>
      <c r="P5355" s="12"/>
      <c r="Q5355" s="12">
        <f>+(Tabla1[[#This Row],[COSTO COCHE]]/30)*Tabla1[[#This Row],[TOTAL DIAS PROYECTO]]</f>
        <v>0</v>
      </c>
      <c r="R5355" s="12">
        <f>+Tabla1[[#This Row],[COSTO TOTAL ALOJAMIENTO]]+Tabla1[[#This Row],[COSTO TOTAL COCHE]]</f>
        <v>1441</v>
      </c>
      <c r="S5355" s="2"/>
      <c r="T5355" s="2" t="s">
        <v>44</v>
      </c>
      <c r="U5355" s="14">
        <v>45690</v>
      </c>
      <c r="V5355" s="43">
        <v>45710</v>
      </c>
      <c r="W5355" s="26"/>
      <c r="X5355" s="2">
        <v>1</v>
      </c>
      <c r="Y5355" s="11" t="s">
        <v>1120</v>
      </c>
      <c r="Z5355" s="2" t="s">
        <v>36</v>
      </c>
      <c r="AA5355" s="13" t="s">
        <v>10367</v>
      </c>
      <c r="AB5355" s="13">
        <v>3899424</v>
      </c>
    </row>
    <row r="5356" spans="1:28" ht="15" customHeight="1">
      <c r="A5356" s="2" t="s">
        <v>9059</v>
      </c>
      <c r="B5356" s="2" t="s">
        <v>606</v>
      </c>
      <c r="C5356" s="169" t="s">
        <v>1827</v>
      </c>
      <c r="D5356" s="2" t="s">
        <v>30</v>
      </c>
      <c r="E5356" s="2" t="s">
        <v>109</v>
      </c>
      <c r="F5356" s="11" t="s">
        <v>3066</v>
      </c>
      <c r="G5356" s="100" t="s">
        <v>3067</v>
      </c>
      <c r="H5356" s="2" t="s">
        <v>1829</v>
      </c>
      <c r="I5356" s="12" t="s">
        <v>1830</v>
      </c>
      <c r="J5356" s="22">
        <f>+Tabla1[[#This Row],[FECHA ENTRADA]]</f>
        <v>46193</v>
      </c>
      <c r="K5356" s="41">
        <v>46204</v>
      </c>
      <c r="L5356" s="23">
        <f>_xlfn.DAYS(Tabla1[[#This Row],[FECHA FIN ]],Tabla1[[#This Row],[FECHA INICIO]])</f>
        <v>11</v>
      </c>
      <c r="M5356" s="12"/>
      <c r="N5356" s="12">
        <f>1236/6</f>
        <v>206</v>
      </c>
      <c r="O5356" s="24">
        <f>(Tabla1[[#This Row],[COSTO FIJO ]]/30)*Tabla1[[#This Row],[TOTAL DIAS PROYECTO]]+(Tabla1[[#This Row],[COSTO TEMPORAL]])</f>
        <v>75.533333333333331</v>
      </c>
      <c r="P5356" s="12"/>
      <c r="Q5356" s="12">
        <f>+(Tabla1[[#This Row],[COSTO COCHE]]/30)*Tabla1[[#This Row],[TOTAL DIAS PROYECTO]]</f>
        <v>0</v>
      </c>
      <c r="R5356" s="12">
        <f>+Tabla1[[#This Row],[COSTO TOTAL ALOJAMIENTO]]+Tabla1[[#This Row],[COSTO TOTAL COCHE]]</f>
        <v>75.533333333333331</v>
      </c>
      <c r="S5356" s="2"/>
      <c r="T5356" s="14" t="s">
        <v>35</v>
      </c>
      <c r="U5356" s="14">
        <v>46193</v>
      </c>
      <c r="V5356" s="79"/>
      <c r="W5356" s="12"/>
      <c r="X5356" s="2">
        <v>4</v>
      </c>
      <c r="Y5356" s="11" t="s">
        <v>7455</v>
      </c>
      <c r="Z5356" s="2" t="s">
        <v>36</v>
      </c>
      <c r="AA5356" s="13">
        <v>0.62217999999999996</v>
      </c>
      <c r="AB5356" s="13" t="s">
        <v>10339</v>
      </c>
    </row>
    <row r="5357" spans="1:28" ht="15" customHeight="1">
      <c r="A5357" s="2" t="s">
        <v>9680</v>
      </c>
      <c r="B5357" s="2" t="s">
        <v>606</v>
      </c>
      <c r="C5357" s="169" t="s">
        <v>4198</v>
      </c>
      <c r="D5357" s="2" t="s">
        <v>99</v>
      </c>
      <c r="E5357" s="2" t="s">
        <v>109</v>
      </c>
      <c r="F5357" s="11" t="s">
        <v>3066</v>
      </c>
      <c r="G5357" s="100" t="s">
        <v>3067</v>
      </c>
      <c r="H5357" s="2" t="s">
        <v>4090</v>
      </c>
      <c r="I5357" s="12" t="s">
        <v>1830</v>
      </c>
      <c r="J5357" s="22">
        <f>+Tabla1[[#This Row],[FECHA ENTRADA]]</f>
        <v>46193</v>
      </c>
      <c r="K5357" s="41">
        <v>46206</v>
      </c>
      <c r="L5357" s="23">
        <f>_xlfn.DAYS(Tabla1[[#This Row],[FECHA FIN ]],Tabla1[[#This Row],[FECHA INICIO]])</f>
        <v>13</v>
      </c>
      <c r="M5357" s="12"/>
      <c r="N5357" s="12">
        <v>247.2</v>
      </c>
      <c r="O5357" s="24">
        <f>(Tabla1[[#This Row],[COSTO FIJO ]]/30)*Tabla1[[#This Row],[TOTAL DIAS PROYECTO]]+(Tabla1[[#This Row],[COSTO TEMPORAL]])</f>
        <v>107.12</v>
      </c>
      <c r="P5357" s="12"/>
      <c r="Q5357" s="12">
        <f>+(Tabla1[[#This Row],[COSTO COCHE]]/30)*Tabla1[[#This Row],[TOTAL DIAS PROYECTO]]</f>
        <v>0</v>
      </c>
      <c r="R5357" s="12">
        <f>+Tabla1[[#This Row],[COSTO TOTAL ALOJAMIENTO]]+Tabla1[[#This Row],[COSTO TOTAL COCHE]]</f>
        <v>107.12</v>
      </c>
      <c r="S5357" s="2"/>
      <c r="T5357" s="14" t="s">
        <v>35</v>
      </c>
      <c r="U5357" s="14">
        <v>46193</v>
      </c>
      <c r="V5357" s="79"/>
      <c r="W5357" s="12"/>
      <c r="X5357" s="2">
        <v>4</v>
      </c>
      <c r="Y5357" s="11" t="s">
        <v>7456</v>
      </c>
      <c r="Z5357" s="2" t="s">
        <v>36</v>
      </c>
      <c r="AA5357" s="13">
        <v>0.62217999999999996</v>
      </c>
      <c r="AB5357" s="13" t="s">
        <v>10339</v>
      </c>
    </row>
    <row r="5358" spans="1:28" ht="15" customHeight="1">
      <c r="A5358" s="2" t="s">
        <v>8862</v>
      </c>
      <c r="B5358" s="2" t="s">
        <v>711</v>
      </c>
      <c r="C5358" s="322" t="s">
        <v>1060</v>
      </c>
      <c r="D5358" s="2" t="s">
        <v>30</v>
      </c>
      <c r="E5358" s="2" t="s">
        <v>648</v>
      </c>
      <c r="F5358" s="11"/>
      <c r="G5358" s="49"/>
      <c r="H5358" s="2" t="s">
        <v>5621</v>
      </c>
      <c r="I5358" s="12" t="s">
        <v>96</v>
      </c>
      <c r="J5358" s="22">
        <f>+Tabla1[[#This Row],[FECHA ENTRADA]]</f>
        <v>45689</v>
      </c>
      <c r="K5358" s="22">
        <f ca="1">TODAY()</f>
        <v>46260</v>
      </c>
      <c r="L5358" s="23">
        <f ca="1">_xlfn.DAYS(Tabla1[[#This Row],[FECHA FIN ]],Tabla1[[#This Row],[FECHA INICIO]])</f>
        <v>571</v>
      </c>
      <c r="M5358" s="12"/>
      <c r="N5358" s="20">
        <v>300</v>
      </c>
      <c r="O5358" s="24">
        <f ca="1">(Tabla1[[#This Row],[COSTO FIJO ]]/30)*Tabla1[[#This Row],[TOTAL DIAS PROYECTO]]+(Tabla1[[#This Row],[COSTO TEMPORAL]])</f>
        <v>5710</v>
      </c>
      <c r="P5358" s="12"/>
      <c r="Q5358" s="12">
        <f ca="1">+(Tabla1[[#This Row],[COSTO COCHE]]/30)*Tabla1[[#This Row],[TOTAL DIAS PROYECTO]]</f>
        <v>0</v>
      </c>
      <c r="R5358" s="12">
        <f ca="1">+Tabla1[[#This Row],[COSTO TOTAL ALOJAMIENTO]]+Tabla1[[#This Row],[COSTO TOTAL COCHE]]</f>
        <v>5710</v>
      </c>
      <c r="S5358" s="2"/>
      <c r="T5358" s="2" t="s">
        <v>58</v>
      </c>
      <c r="U5358" s="14">
        <v>45689</v>
      </c>
      <c r="V5358" s="25"/>
      <c r="W5358" s="26"/>
      <c r="X5358" s="2"/>
      <c r="Y5358" s="11"/>
      <c r="Z5358" s="2" t="s">
        <v>702</v>
      </c>
      <c r="AA5358" s="13" t="s">
        <v>10387</v>
      </c>
      <c r="AB5358" s="13" t="s">
        <v>10388</v>
      </c>
    </row>
    <row r="5359" spans="1:28" ht="15" customHeight="1">
      <c r="A5359" s="2" t="s">
        <v>10249</v>
      </c>
      <c r="B5359" s="2" t="s">
        <v>606</v>
      </c>
      <c r="C5359" s="321" t="s">
        <v>7457</v>
      </c>
      <c r="D5359" s="2" t="s">
        <v>30</v>
      </c>
      <c r="E5359" s="2" t="s">
        <v>114</v>
      </c>
      <c r="F5359" s="11" t="s">
        <v>6956</v>
      </c>
      <c r="G5359" s="128" t="s">
        <v>3882</v>
      </c>
      <c r="H5359" s="2" t="s">
        <v>6957</v>
      </c>
      <c r="I5359" s="12" t="s">
        <v>2348</v>
      </c>
      <c r="J5359" s="22">
        <f>+Tabla1[[#This Row],[FECHA ENTRADA]]</f>
        <v>46061</v>
      </c>
      <c r="K5359" s="41">
        <v>46111</v>
      </c>
      <c r="L5359" s="23">
        <f>_xlfn.DAYS(Tabla1[[#This Row],[FECHA FIN ]],Tabla1[[#This Row],[FECHA INICIO]])</f>
        <v>50</v>
      </c>
      <c r="M5359" s="12"/>
      <c r="N5359" s="20">
        <v>130</v>
      </c>
      <c r="O5359" s="24">
        <f>(Tabla1[[#This Row],[COSTO FIJO ]]/30)*Tabla1[[#This Row],[TOTAL DIAS PROYECTO]]+(Tabla1[[#This Row],[COSTO TEMPORAL]])</f>
        <v>216.66666666666666</v>
      </c>
      <c r="P5359" s="12"/>
      <c r="Q5359" s="12">
        <f>+(Tabla1[[#This Row],[COSTO COCHE]]/30)*Tabla1[[#This Row],[TOTAL DIAS PROYECTO]]</f>
        <v>0</v>
      </c>
      <c r="R5359" s="12">
        <f>+Tabla1[[#This Row],[COSTO TOTAL ALOJAMIENTO]]+Tabla1[[#This Row],[COSTO TOTAL COCHE]]</f>
        <v>216.66666666666666</v>
      </c>
      <c r="S5359" s="2"/>
      <c r="T5359" s="14" t="s">
        <v>35</v>
      </c>
      <c r="U5359" s="14">
        <v>46061</v>
      </c>
      <c r="V5359" s="79"/>
      <c r="W5359" s="12"/>
      <c r="X5359" s="2">
        <v>5</v>
      </c>
      <c r="Y5359" s="11" t="s">
        <v>7458</v>
      </c>
      <c r="Z5359" s="2" t="s">
        <v>36</v>
      </c>
      <c r="AA5359" s="13" t="s">
        <v>10340</v>
      </c>
      <c r="AB5359" s="13" t="s">
        <v>10341</v>
      </c>
    </row>
    <row r="5360" spans="1:28" ht="15" customHeight="1">
      <c r="A5360" s="2" t="s">
        <v>10162</v>
      </c>
      <c r="B5360" s="2" t="s">
        <v>606</v>
      </c>
      <c r="C5360" s="31" t="s">
        <v>6812</v>
      </c>
      <c r="D5360" s="2" t="s">
        <v>30</v>
      </c>
      <c r="E5360" s="2" t="s">
        <v>114</v>
      </c>
      <c r="F5360" s="11" t="s">
        <v>6956</v>
      </c>
      <c r="G5360" s="128" t="s">
        <v>3882</v>
      </c>
      <c r="H5360" s="2" t="s">
        <v>6957</v>
      </c>
      <c r="I5360" s="12" t="s">
        <v>2348</v>
      </c>
      <c r="J5360" s="22">
        <f>+Tabla1[[#This Row],[FECHA ENTRADA]]</f>
        <v>46061</v>
      </c>
      <c r="K5360" s="41">
        <v>46111</v>
      </c>
      <c r="L5360" s="23">
        <f>_xlfn.DAYS(Tabla1[[#This Row],[FECHA FIN ]],Tabla1[[#This Row],[FECHA INICIO]])</f>
        <v>50</v>
      </c>
      <c r="M5360" s="12"/>
      <c r="N5360" s="20">
        <v>130</v>
      </c>
      <c r="O5360" s="24">
        <f>(Tabla1[[#This Row],[COSTO FIJO ]]/30)*Tabla1[[#This Row],[TOTAL DIAS PROYECTO]]+(Tabla1[[#This Row],[COSTO TEMPORAL]])</f>
        <v>216.66666666666666</v>
      </c>
      <c r="P5360" s="12"/>
      <c r="Q5360" s="12">
        <f>+(Tabla1[[#This Row],[COSTO COCHE]]/30)*Tabla1[[#This Row],[TOTAL DIAS PROYECTO]]</f>
        <v>0</v>
      </c>
      <c r="R5360" s="12">
        <f>+Tabla1[[#This Row],[COSTO TOTAL ALOJAMIENTO]]+Tabla1[[#This Row],[COSTO TOTAL COCHE]]</f>
        <v>216.66666666666666</v>
      </c>
      <c r="S5360" s="2"/>
      <c r="T5360" s="14" t="s">
        <v>35</v>
      </c>
      <c r="U5360" s="14">
        <v>46061</v>
      </c>
      <c r="V5360" s="79"/>
      <c r="W5360" s="12"/>
      <c r="X5360" s="2">
        <v>5</v>
      </c>
      <c r="Y5360" s="11" t="s">
        <v>7459</v>
      </c>
      <c r="Z5360" s="2" t="s">
        <v>36</v>
      </c>
      <c r="AA5360" s="13" t="s">
        <v>10340</v>
      </c>
      <c r="AB5360" s="13" t="s">
        <v>10341</v>
      </c>
    </row>
    <row r="5361" spans="1:28" ht="15" customHeight="1">
      <c r="A5361" s="2" t="s">
        <v>10148</v>
      </c>
      <c r="B5361" s="2" t="s">
        <v>606</v>
      </c>
      <c r="C5361" s="97" t="s">
        <v>6672</v>
      </c>
      <c r="D5361" s="2" t="s">
        <v>30</v>
      </c>
      <c r="E5361" s="2" t="s">
        <v>422</v>
      </c>
      <c r="F5361" s="11" t="s">
        <v>697</v>
      </c>
      <c r="G5361" s="197" t="s">
        <v>698</v>
      </c>
      <c r="H5361" s="2" t="s">
        <v>7408</v>
      </c>
      <c r="I5361" s="12" t="s">
        <v>4327</v>
      </c>
      <c r="J5361" s="22">
        <f>+Tabla1[[#This Row],[FECHA ENTRADA]]</f>
        <v>45990</v>
      </c>
      <c r="K5361" s="22">
        <v>46033</v>
      </c>
      <c r="L5361" s="23">
        <f>_xlfn.DAYS(Tabla1[[#This Row],[FECHA FIN ]],Tabla1[[#This Row],[FECHA INICIO]])</f>
        <v>43</v>
      </c>
      <c r="M5361" s="12"/>
      <c r="N5361" s="12">
        <v>276</v>
      </c>
      <c r="O5361" s="24">
        <f>(Tabla1[[#This Row],[COSTO FIJO ]]/30)*Tabla1[[#This Row],[TOTAL DIAS PROYECTO]]+(Tabla1[[#This Row],[COSTO TEMPORAL]])</f>
        <v>395.59999999999997</v>
      </c>
      <c r="P5361" s="12"/>
      <c r="Q5361" s="12">
        <f>+(Tabla1[[#This Row],[COSTO COCHE]]/30)*Tabla1[[#This Row],[TOTAL DIAS PROYECTO]]</f>
        <v>0</v>
      </c>
      <c r="R5361" s="12">
        <f>+Tabla1[[#This Row],[COSTO TOTAL ALOJAMIENTO]]+Tabla1[[#This Row],[COSTO TOTAL COCHE]]</f>
        <v>395.59999999999997</v>
      </c>
      <c r="S5361" s="2"/>
      <c r="T5361" s="14" t="s">
        <v>35</v>
      </c>
      <c r="U5361" s="14">
        <v>45990</v>
      </c>
      <c r="V5361" s="79"/>
      <c r="W5361" s="12"/>
      <c r="X5361" s="2">
        <v>1</v>
      </c>
      <c r="Y5361" s="11" t="s">
        <v>4348</v>
      </c>
      <c r="Z5361" s="2" t="s">
        <v>36</v>
      </c>
      <c r="AA5361" s="13">
        <v>-326.69799999999998</v>
      </c>
      <c r="AB5361" s="13" t="s">
        <v>10373</v>
      </c>
    </row>
    <row r="5362" spans="1:28" ht="15" customHeight="1">
      <c r="A5362" s="2" t="s">
        <v>9508</v>
      </c>
      <c r="B5362" s="2" t="s">
        <v>606</v>
      </c>
      <c r="C5362" s="97" t="s">
        <v>3466</v>
      </c>
      <c r="D5362" s="2" t="s">
        <v>30</v>
      </c>
      <c r="E5362" s="2" t="s">
        <v>422</v>
      </c>
      <c r="F5362" s="11" t="s">
        <v>697</v>
      </c>
      <c r="G5362" s="68" t="s">
        <v>698</v>
      </c>
      <c r="H5362" s="2" t="s">
        <v>7460</v>
      </c>
      <c r="I5362" s="12" t="s">
        <v>700</v>
      </c>
      <c r="J5362" s="22">
        <f>+Tabla1[[#This Row],[FECHA ENTRADA]]</f>
        <v>46061</v>
      </c>
      <c r="K5362" s="41">
        <v>46076</v>
      </c>
      <c r="L5362" s="23">
        <f>_xlfn.DAYS(Tabla1[[#This Row],[FECHA FIN ]],Tabla1[[#This Row],[FECHA INICIO]])</f>
        <v>15</v>
      </c>
      <c r="M5362" s="12"/>
      <c r="N5362" s="20">
        <v>345</v>
      </c>
      <c r="O5362" s="24">
        <f>(Tabla1[[#This Row],[COSTO FIJO ]]/30)*Tabla1[[#This Row],[TOTAL DIAS PROYECTO]]+(Tabla1[[#This Row],[COSTO TEMPORAL]])</f>
        <v>172.5</v>
      </c>
      <c r="P5362" s="12"/>
      <c r="Q5362" s="12">
        <f>+(Tabla1[[#This Row],[COSTO COCHE]]/30)*Tabla1[[#This Row],[TOTAL DIAS PROYECTO]]</f>
        <v>0</v>
      </c>
      <c r="R5362" s="12">
        <f>+Tabla1[[#This Row],[COSTO TOTAL ALOJAMIENTO]]+Tabla1[[#This Row],[COSTO TOTAL COCHE]]</f>
        <v>172.5</v>
      </c>
      <c r="S5362" s="2"/>
      <c r="T5362" s="14" t="s">
        <v>35</v>
      </c>
      <c r="U5362" s="14">
        <v>46061</v>
      </c>
      <c r="V5362" s="79"/>
      <c r="W5362" s="12"/>
      <c r="X5362" s="2">
        <v>1</v>
      </c>
      <c r="Y5362" s="11" t="s">
        <v>7461</v>
      </c>
      <c r="Z5362" s="2" t="s">
        <v>36</v>
      </c>
      <c r="AA5362" s="13">
        <v>-326.69799999999998</v>
      </c>
      <c r="AB5362" s="13" t="s">
        <v>10373</v>
      </c>
    </row>
    <row r="5363" spans="1:28" ht="15" customHeight="1">
      <c r="A5363" s="2" t="s">
        <v>8642</v>
      </c>
      <c r="B5363" s="2" t="s">
        <v>28</v>
      </c>
      <c r="C5363" s="11" t="s">
        <v>7454</v>
      </c>
      <c r="D5363" s="2" t="s">
        <v>30</v>
      </c>
      <c r="E5363" s="2" t="s">
        <v>359</v>
      </c>
      <c r="F5363" s="11" t="s">
        <v>7462</v>
      </c>
      <c r="G5363" s="46" t="s">
        <v>7463</v>
      </c>
      <c r="H5363" s="2" t="s">
        <v>3327</v>
      </c>
      <c r="I5363" s="12" t="s">
        <v>96</v>
      </c>
      <c r="J5363" s="41">
        <f>+Tabla1[[#This Row],[FECHA ENTRADA]]</f>
        <v>45710</v>
      </c>
      <c r="K5363" s="22">
        <v>45821</v>
      </c>
      <c r="L5363" s="42">
        <f>_xlfn.DAYS(Tabla1[[#This Row],[FECHA FIN ]],Tabla1[[#This Row],[FECHA INICIO]])</f>
        <v>111</v>
      </c>
      <c r="M5363" s="12"/>
      <c r="N5363" s="12">
        <f>1811.6/17</f>
        <v>106.56470588235294</v>
      </c>
      <c r="O5363" s="28">
        <f>(Tabla1[[#This Row],[COSTO FIJO ]]/30)*Tabla1[[#This Row],[TOTAL DIAS PROYECTO]]+(Tabla1[[#This Row],[COSTO TEMPORAL]])</f>
        <v>394.2894117647059</v>
      </c>
      <c r="P5363" s="12">
        <f>1600/17</f>
        <v>94.117647058823536</v>
      </c>
      <c r="Q5363" s="12">
        <f>+(Tabla1[[#This Row],[COSTO COCHE]]/30)*Tabla1[[#This Row],[TOTAL DIAS PROYECTO]]</f>
        <v>348.23529411764713</v>
      </c>
      <c r="R5363" s="12">
        <f>+Tabla1[[#This Row],[COSTO TOTAL ALOJAMIENTO]]+Tabla1[[#This Row],[COSTO TOTAL COCHE]]</f>
        <v>742.52470588235303</v>
      </c>
      <c r="S5363" s="2"/>
      <c r="T5363" s="2" t="s">
        <v>44</v>
      </c>
      <c r="U5363" s="14">
        <v>45710</v>
      </c>
      <c r="V5363" s="43">
        <v>45716</v>
      </c>
      <c r="W5363" s="26"/>
      <c r="X5363" s="2"/>
      <c r="Y5363" s="11"/>
      <c r="Z5363" s="2" t="s">
        <v>36</v>
      </c>
      <c r="AA5363" s="13" t="s">
        <v>10367</v>
      </c>
      <c r="AB5363" s="13">
        <v>3899424</v>
      </c>
    </row>
    <row r="5364" spans="1:28" ht="15" customHeight="1">
      <c r="A5364" s="2" t="s">
        <v>9247</v>
      </c>
      <c r="B5364" s="2" t="s">
        <v>606</v>
      </c>
      <c r="C5364" s="11" t="s">
        <v>2579</v>
      </c>
      <c r="D5364" s="2" t="s">
        <v>30</v>
      </c>
      <c r="E5364" s="2" t="s">
        <v>31</v>
      </c>
      <c r="F5364" s="11" t="s">
        <v>1206</v>
      </c>
      <c r="G5364" s="167" t="s">
        <v>1005</v>
      </c>
      <c r="H5364" s="2" t="s">
        <v>7464</v>
      </c>
      <c r="I5364" s="12" t="s">
        <v>3137</v>
      </c>
      <c r="J5364" s="41">
        <f>+Tabla1[[#This Row],[FECHA ENTRADA]]</f>
        <v>46141</v>
      </c>
      <c r="K5364" s="22">
        <f ca="1">TODAY()</f>
        <v>46260</v>
      </c>
      <c r="L5364" s="42">
        <f ca="1">_xlfn.DAYS(Tabla1[[#This Row],[FECHA FIN ]],Tabla1[[#This Row],[FECHA INICIO]])</f>
        <v>119</v>
      </c>
      <c r="M5364" s="12"/>
      <c r="N5364" s="12">
        <v>625</v>
      </c>
      <c r="O5364" s="28">
        <f ca="1">(Tabla1[[#This Row],[COSTO FIJO ]]/30)*Tabla1[[#This Row],[TOTAL DIAS PROYECTO]]+(Tabla1[[#This Row],[COSTO TEMPORAL]])</f>
        <v>2479.1666666666665</v>
      </c>
      <c r="P5364" s="12"/>
      <c r="Q5364" s="12">
        <f ca="1">+(Tabla1[[#This Row],[COSTO COCHE]]/30)*Tabla1[[#This Row],[TOTAL DIAS PROYECTO]]</f>
        <v>0</v>
      </c>
      <c r="R5364" s="12">
        <f ca="1">+Tabla1[[#This Row],[COSTO TOTAL ALOJAMIENTO]]+Tabla1[[#This Row],[COSTO TOTAL COCHE]]</f>
        <v>2479.1666666666665</v>
      </c>
      <c r="S5364" s="2"/>
      <c r="T5364" s="14" t="s">
        <v>35</v>
      </c>
      <c r="U5364" s="14">
        <v>46141</v>
      </c>
      <c r="V5364" s="43"/>
      <c r="W5364" s="12"/>
      <c r="X5364" s="2">
        <v>1</v>
      </c>
      <c r="Y5364" s="11" t="s">
        <v>7465</v>
      </c>
      <c r="Z5364" s="2" t="s">
        <v>702</v>
      </c>
      <c r="AA5364" s="13" t="s">
        <v>10323</v>
      </c>
      <c r="AB5364" s="13" t="s">
        <v>10324</v>
      </c>
    </row>
    <row r="5365" spans="1:28" ht="15" customHeight="1">
      <c r="A5365" s="2" t="s">
        <v>10250</v>
      </c>
      <c r="B5365" s="2" t="s">
        <v>28</v>
      </c>
      <c r="C5365" s="11" t="s">
        <v>7466</v>
      </c>
      <c r="D5365" s="2" t="s">
        <v>99</v>
      </c>
      <c r="E5365" s="2" t="s">
        <v>648</v>
      </c>
      <c r="F5365" s="11" t="s">
        <v>649</v>
      </c>
      <c r="G5365" s="49" t="s">
        <v>650</v>
      </c>
      <c r="H5365" s="2" t="s">
        <v>7467</v>
      </c>
      <c r="I5365" s="12" t="s">
        <v>96</v>
      </c>
      <c r="J5365" s="41">
        <f>+Tabla1[[#This Row],[FECHA ENTRADA]]</f>
        <v>45718</v>
      </c>
      <c r="K5365" s="22">
        <v>45821</v>
      </c>
      <c r="L5365" s="42">
        <f>_xlfn.DAYS(Tabla1[[#This Row],[FECHA FIN ]],Tabla1[[#This Row],[FECHA INICIO]])</f>
        <v>103</v>
      </c>
      <c r="M5365" s="12"/>
      <c r="N5365" s="12"/>
      <c r="O5365" s="28">
        <f>(Tabla1[[#This Row],[COSTO FIJO ]]/30)*Tabla1[[#This Row],[TOTAL DIAS PROYECTO]]+(Tabla1[[#This Row],[COSTO TEMPORAL]])</f>
        <v>0</v>
      </c>
      <c r="P5365" s="12"/>
      <c r="Q5365" s="12">
        <f>+(Tabla1[[#This Row],[COSTO COCHE]]/30)*Tabla1[[#This Row],[TOTAL DIAS PROYECTO]]</f>
        <v>0</v>
      </c>
      <c r="R5365" s="12">
        <f>+Tabla1[[#This Row],[COSTO TOTAL ALOJAMIENTO]]+Tabla1[[#This Row],[COSTO TOTAL COCHE]]</f>
        <v>0</v>
      </c>
      <c r="S5365" s="2"/>
      <c r="T5365" s="2" t="s">
        <v>35</v>
      </c>
      <c r="U5365" s="14">
        <v>45718</v>
      </c>
      <c r="V5365" s="43"/>
      <c r="W5365" s="26"/>
      <c r="X5365" s="2">
        <v>17</v>
      </c>
      <c r="Y5365" s="11"/>
      <c r="Z5365" s="2" t="s">
        <v>36</v>
      </c>
      <c r="AA5365" s="13" t="s">
        <v>10387</v>
      </c>
      <c r="AB5365" s="13" t="s">
        <v>10388</v>
      </c>
    </row>
    <row r="5366" spans="1:28" ht="15" customHeight="1">
      <c r="A5366" s="2" t="s">
        <v>10117</v>
      </c>
      <c r="B5366" s="2" t="s">
        <v>711</v>
      </c>
      <c r="C5366" s="133" t="s">
        <v>6481</v>
      </c>
      <c r="D5366" s="2" t="s">
        <v>30</v>
      </c>
      <c r="E5366" s="2" t="s">
        <v>114</v>
      </c>
      <c r="F5366" s="11" t="s">
        <v>6956</v>
      </c>
      <c r="G5366" s="128" t="s">
        <v>3882</v>
      </c>
      <c r="H5366" s="2" t="s">
        <v>7468</v>
      </c>
      <c r="I5366" s="12" t="s">
        <v>118</v>
      </c>
      <c r="J5366" s="22">
        <f>+Tabla1[[#This Row],[FECHA ENTRADA]]</f>
        <v>46061</v>
      </c>
      <c r="K5366" s="41">
        <v>46149</v>
      </c>
      <c r="L5366" s="23">
        <f>_xlfn.DAYS(Tabla1[[#This Row],[FECHA FIN ]],Tabla1[[#This Row],[FECHA INICIO]])</f>
        <v>88</v>
      </c>
      <c r="M5366" s="12"/>
      <c r="N5366" s="20">
        <v>216.66666666666666</v>
      </c>
      <c r="O5366" s="24">
        <f>(Tabla1[[#This Row],[COSTO FIJO ]]/30)*Tabla1[[#This Row],[TOTAL DIAS PROYECTO]]+(Tabla1[[#This Row],[COSTO TEMPORAL]])</f>
        <v>635.55555555555554</v>
      </c>
      <c r="P5366" s="12"/>
      <c r="Q5366" s="12">
        <f>+(Tabla1[[#This Row],[COSTO COCHE]]/30)*Tabla1[[#This Row],[TOTAL DIAS PROYECTO]]</f>
        <v>0</v>
      </c>
      <c r="R5366" s="12">
        <f>+Tabla1[[#This Row],[COSTO TOTAL ALOJAMIENTO]]+Tabla1[[#This Row],[COSTO TOTAL COCHE]]</f>
        <v>635.55555555555554</v>
      </c>
      <c r="S5366" s="2"/>
      <c r="T5366" s="14" t="s">
        <v>35</v>
      </c>
      <c r="U5366" s="14">
        <v>46061</v>
      </c>
      <c r="V5366" s="79"/>
      <c r="W5366" s="12"/>
      <c r="X5366" s="2">
        <v>5</v>
      </c>
      <c r="Y5366" s="11" t="s">
        <v>7469</v>
      </c>
      <c r="Z5366" s="2" t="s">
        <v>36</v>
      </c>
      <c r="AA5366" s="13" t="s">
        <v>10340</v>
      </c>
      <c r="AB5366" s="13" t="s">
        <v>10341</v>
      </c>
    </row>
    <row r="5367" spans="1:28" ht="15" customHeight="1">
      <c r="A5367" s="2" t="s">
        <v>9132</v>
      </c>
      <c r="B5367" s="2" t="s">
        <v>606</v>
      </c>
      <c r="C5367" s="11" t="s">
        <v>2138</v>
      </c>
      <c r="D5367" s="2" t="s">
        <v>99</v>
      </c>
      <c r="E5367" s="2" t="s">
        <v>31</v>
      </c>
      <c r="F5367" s="11" t="s">
        <v>1206</v>
      </c>
      <c r="G5367" s="167" t="s">
        <v>1005</v>
      </c>
      <c r="H5367" s="2" t="s">
        <v>3116</v>
      </c>
      <c r="I5367" s="12" t="s">
        <v>1480</v>
      </c>
      <c r="J5367" s="22">
        <f>+Tabla1[[#This Row],[FECHA ENTRADA]]</f>
        <v>46190</v>
      </c>
      <c r="K5367" s="8">
        <f ca="1">TODAY()</f>
        <v>46260</v>
      </c>
      <c r="L5367" s="23">
        <f ca="1">_xlfn.DAYS(Tabla1[[#This Row],[FECHA FIN ]],Tabla1[[#This Row],[FECHA INICIO]])</f>
        <v>70</v>
      </c>
      <c r="M5367" s="12"/>
      <c r="N5367" s="12">
        <v>625</v>
      </c>
      <c r="O5367" s="24">
        <f ca="1">(Tabla1[[#This Row],[COSTO FIJO ]]/30)*Tabla1[[#This Row],[TOTAL DIAS PROYECTO]]+(Tabla1[[#This Row],[COSTO TEMPORAL]])</f>
        <v>1458.3333333333333</v>
      </c>
      <c r="P5367" s="12"/>
      <c r="Q5367" s="12">
        <f ca="1">+(Tabla1[[#This Row],[COSTO COCHE]]/30)*Tabla1[[#This Row],[TOTAL DIAS PROYECTO]]</f>
        <v>0</v>
      </c>
      <c r="R5367" s="12">
        <f ca="1">+Tabla1[[#This Row],[COSTO TOTAL ALOJAMIENTO]]+Tabla1[[#This Row],[COSTO TOTAL COCHE]]</f>
        <v>1458.3333333333333</v>
      </c>
      <c r="S5367" s="2"/>
      <c r="T5367" s="14" t="s">
        <v>35</v>
      </c>
      <c r="U5367" s="14">
        <v>46190</v>
      </c>
      <c r="V5367" s="79"/>
      <c r="W5367" s="12"/>
      <c r="X5367" s="2">
        <v>1</v>
      </c>
      <c r="Y5367" s="11"/>
      <c r="Z5367" s="2" t="s">
        <v>702</v>
      </c>
      <c r="AA5367" s="13" t="s">
        <v>10323</v>
      </c>
      <c r="AB5367" s="13" t="s">
        <v>10324</v>
      </c>
    </row>
    <row r="5368" spans="1:28" ht="15" customHeight="1">
      <c r="A5368" s="2" t="s">
        <v>9092</v>
      </c>
      <c r="B5368" s="2" t="s">
        <v>606</v>
      </c>
      <c r="C5368" s="11" t="s">
        <v>1977</v>
      </c>
      <c r="D5368" s="2" t="s">
        <v>99</v>
      </c>
      <c r="E5368" s="2" t="s">
        <v>422</v>
      </c>
      <c r="F5368" s="11" t="s">
        <v>956</v>
      </c>
      <c r="G5368" s="118" t="s">
        <v>957</v>
      </c>
      <c r="H5368" s="2" t="s">
        <v>2856</v>
      </c>
      <c r="I5368" s="12" t="s">
        <v>2638</v>
      </c>
      <c r="J5368" s="22">
        <f>+Tabla1[[#This Row],[FECHA ENTRADA]]</f>
        <v>46033</v>
      </c>
      <c r="K5368" s="22">
        <v>46142</v>
      </c>
      <c r="L5368" s="23">
        <f>_xlfn.DAYS(Tabla1[[#This Row],[FECHA FIN ]],Tabla1[[#This Row],[FECHA INICIO]])</f>
        <v>109</v>
      </c>
      <c r="M5368" s="12"/>
      <c r="N5368" s="28">
        <v>287.5</v>
      </c>
      <c r="O5368" s="24">
        <f>(Tabla1[[#This Row],[COSTO FIJO ]]/30)*Tabla1[[#This Row],[TOTAL DIAS PROYECTO]]+(Tabla1[[#This Row],[COSTO TEMPORAL]])</f>
        <v>1044.5833333333335</v>
      </c>
      <c r="P5368" s="12"/>
      <c r="Q5368" s="12">
        <f>+(Tabla1[[#This Row],[COSTO COCHE]]/30)*Tabla1[[#This Row],[TOTAL DIAS PROYECTO]]</f>
        <v>0</v>
      </c>
      <c r="R5368" s="12">
        <f>+Tabla1[[#This Row],[COSTO TOTAL ALOJAMIENTO]]+Tabla1[[#This Row],[COSTO TOTAL COCHE]]</f>
        <v>1044.5833333333335</v>
      </c>
      <c r="S5368" s="2"/>
      <c r="T5368" s="14" t="s">
        <v>35</v>
      </c>
      <c r="U5368" s="14">
        <v>46033</v>
      </c>
      <c r="V5368" s="79"/>
      <c r="W5368" s="12"/>
      <c r="X5368" s="2">
        <v>5</v>
      </c>
      <c r="Y5368" s="11" t="s">
        <v>4988</v>
      </c>
      <c r="Z5368" s="2" t="s">
        <v>36</v>
      </c>
      <c r="AA5368" s="13">
        <v>-326.69799999999998</v>
      </c>
      <c r="AB5368" s="13" t="s">
        <v>10373</v>
      </c>
    </row>
    <row r="5369" spans="1:28" ht="15" customHeight="1">
      <c r="A5369" s="2" t="s">
        <v>10243</v>
      </c>
      <c r="B5369" s="2" t="s">
        <v>711</v>
      </c>
      <c r="C5369" s="31" t="s">
        <v>7406</v>
      </c>
      <c r="D5369" s="2" t="s">
        <v>99</v>
      </c>
      <c r="E5369" s="2" t="s">
        <v>422</v>
      </c>
      <c r="F5369" s="11" t="s">
        <v>1375</v>
      </c>
      <c r="G5369" s="70" t="s">
        <v>1376</v>
      </c>
      <c r="H5369" s="2" t="s">
        <v>7407</v>
      </c>
      <c r="I5369" s="12" t="s">
        <v>2443</v>
      </c>
      <c r="J5369" s="41">
        <f>+Tabla1[[#This Row],[FECHA ENTRADA]]</f>
        <v>46124</v>
      </c>
      <c r="K5369" s="41">
        <v>46172</v>
      </c>
      <c r="L5369" s="42">
        <f>_xlfn.DAYS(Tabla1[[#This Row],[FECHA FIN ]],Tabla1[[#This Row],[FECHA INICIO]])</f>
        <v>48</v>
      </c>
      <c r="M5369" s="12"/>
      <c r="N5369" s="12">
        <v>300</v>
      </c>
      <c r="O5369" s="28">
        <f>(Tabla1[[#This Row],[COSTO FIJO ]]/30)*Tabla1[[#This Row],[TOTAL DIAS PROYECTO]]+(Tabla1[[#This Row],[COSTO TEMPORAL]])</f>
        <v>480</v>
      </c>
      <c r="P5369" s="12"/>
      <c r="Q5369" s="12">
        <f>+(Tabla1[[#This Row],[COSTO COCHE]]/30)*Tabla1[[#This Row],[TOTAL DIAS PROYECTO]]</f>
        <v>0</v>
      </c>
      <c r="R5369" s="12">
        <f>+Tabla1[[#This Row],[COSTO TOTAL ALOJAMIENTO]]+Tabla1[[#This Row],[COSTO TOTAL COCHE]]</f>
        <v>480</v>
      </c>
      <c r="S5369" s="2"/>
      <c r="T5369" s="14" t="s">
        <v>35</v>
      </c>
      <c r="U5369" s="14">
        <v>46124</v>
      </c>
      <c r="V5369" s="43"/>
      <c r="W5369" s="12"/>
      <c r="X5369" s="2">
        <v>5</v>
      </c>
      <c r="Y5369" s="11" t="s">
        <v>7380</v>
      </c>
      <c r="Z5369" s="2" t="s">
        <v>36</v>
      </c>
      <c r="AA5369" s="13">
        <v>-326.69799999999998</v>
      </c>
      <c r="AB5369" s="13" t="s">
        <v>10373</v>
      </c>
    </row>
    <row r="5370" spans="1:28" ht="15" customHeight="1">
      <c r="A5370" s="2" t="s">
        <v>9240</v>
      </c>
      <c r="B5370" s="2" t="s">
        <v>711</v>
      </c>
      <c r="C5370" s="31" t="s">
        <v>2558</v>
      </c>
      <c r="D5370" s="2" t="s">
        <v>30</v>
      </c>
      <c r="E5370" s="2" t="s">
        <v>422</v>
      </c>
      <c r="F5370" s="11" t="s">
        <v>1375</v>
      </c>
      <c r="G5370" s="70" t="s">
        <v>1376</v>
      </c>
      <c r="H5370" s="2" t="s">
        <v>2442</v>
      </c>
      <c r="I5370" s="12" t="s">
        <v>2443</v>
      </c>
      <c r="J5370" s="41">
        <f>+Tabla1[[#This Row],[FECHA ENTRADA]]</f>
        <v>46124</v>
      </c>
      <c r="K5370" s="41">
        <v>46172</v>
      </c>
      <c r="L5370" s="42">
        <f>_xlfn.DAYS(Tabla1[[#This Row],[FECHA FIN ]],Tabla1[[#This Row],[FECHA INICIO]])</f>
        <v>48</v>
      </c>
      <c r="M5370" s="12"/>
      <c r="N5370" s="12">
        <v>300</v>
      </c>
      <c r="O5370" s="28">
        <f>(Tabla1[[#This Row],[COSTO FIJO ]]/30)*Tabla1[[#This Row],[TOTAL DIAS PROYECTO]]+(Tabla1[[#This Row],[COSTO TEMPORAL]])</f>
        <v>480</v>
      </c>
      <c r="P5370" s="12"/>
      <c r="Q5370" s="12">
        <f>+(Tabla1[[#This Row],[COSTO COCHE]]/30)*Tabla1[[#This Row],[TOTAL DIAS PROYECTO]]</f>
        <v>0</v>
      </c>
      <c r="R5370" s="12">
        <f>+Tabla1[[#This Row],[COSTO TOTAL ALOJAMIENTO]]+Tabla1[[#This Row],[COSTO TOTAL COCHE]]</f>
        <v>480</v>
      </c>
      <c r="S5370" s="2"/>
      <c r="T5370" s="14" t="s">
        <v>35</v>
      </c>
      <c r="U5370" s="14">
        <v>46124</v>
      </c>
      <c r="V5370" s="43"/>
      <c r="W5370" s="12"/>
      <c r="X5370" s="2">
        <v>5</v>
      </c>
      <c r="Y5370" s="11" t="s">
        <v>7380</v>
      </c>
      <c r="Z5370" s="2" t="s">
        <v>36</v>
      </c>
      <c r="AA5370" s="13">
        <v>-326.69799999999998</v>
      </c>
      <c r="AB5370" s="13" t="s">
        <v>10373</v>
      </c>
    </row>
    <row r="5371" spans="1:28" ht="15" customHeight="1">
      <c r="A5371" s="2" t="s">
        <v>10250</v>
      </c>
      <c r="B5371" s="2" t="s">
        <v>28</v>
      </c>
      <c r="C5371" s="11" t="s">
        <v>7466</v>
      </c>
      <c r="D5371" s="2" t="s">
        <v>99</v>
      </c>
      <c r="E5371" s="2" t="s">
        <v>648</v>
      </c>
      <c r="F5371" s="11" t="s">
        <v>712</v>
      </c>
      <c r="G5371" t="s">
        <v>713</v>
      </c>
      <c r="H5371" s="2" t="s">
        <v>7467</v>
      </c>
      <c r="I5371" s="12" t="s">
        <v>96</v>
      </c>
      <c r="J5371" s="22">
        <f>+Tabla1[[#This Row],[FECHA ENTRADA]]</f>
        <v>45731</v>
      </c>
      <c r="K5371" s="41">
        <v>45915</v>
      </c>
      <c r="L5371" s="23">
        <f>_xlfn.DAYS(Tabla1[[#This Row],[FECHA FIN ]],Tabla1[[#This Row],[FECHA INICIO]])</f>
        <v>184</v>
      </c>
      <c r="M5371" s="12"/>
      <c r="N5371" s="12"/>
      <c r="O5371" s="24">
        <f>(Tabla1[[#This Row],[COSTO FIJO ]]/30)*Tabla1[[#This Row],[TOTAL DIAS PROYECTO]]+(Tabla1[[#This Row],[COSTO TEMPORAL]])</f>
        <v>0</v>
      </c>
      <c r="P5371" s="12"/>
      <c r="Q5371" s="12">
        <f>+(Tabla1[[#This Row],[COSTO COCHE]]/30)*Tabla1[[#This Row],[TOTAL DIAS PROYECTO]]</f>
        <v>0</v>
      </c>
      <c r="R5371" s="12">
        <f>+Tabla1[[#This Row],[COSTO TOTAL ALOJAMIENTO]]+Tabla1[[#This Row],[COSTO TOTAL COCHE]]</f>
        <v>0</v>
      </c>
      <c r="S5371" s="2"/>
      <c r="T5371" s="2" t="s">
        <v>35</v>
      </c>
      <c r="U5371" s="14">
        <v>45731</v>
      </c>
      <c r="V5371" s="25"/>
      <c r="W5371" s="26"/>
      <c r="X5371" s="2">
        <v>14</v>
      </c>
      <c r="Y5371" s="11"/>
      <c r="Z5371" s="2" t="s">
        <v>36</v>
      </c>
      <c r="AA5371" s="13" t="s">
        <v>10387</v>
      </c>
      <c r="AB5371" s="13" t="s">
        <v>10388</v>
      </c>
    </row>
    <row r="5372" spans="1:28" ht="15" customHeight="1">
      <c r="A5372" s="2" t="s">
        <v>10198</v>
      </c>
      <c r="B5372" s="2" t="s">
        <v>711</v>
      </c>
      <c r="C5372" s="31" t="s">
        <v>7081</v>
      </c>
      <c r="D5372" s="2" t="s">
        <v>30</v>
      </c>
      <c r="E5372" s="2" t="s">
        <v>626</v>
      </c>
      <c r="F5372" s="11" t="s">
        <v>2792</v>
      </c>
      <c r="G5372" s="11" t="s">
        <v>2793</v>
      </c>
      <c r="H5372" s="2" t="s">
        <v>868</v>
      </c>
      <c r="I5372" s="12" t="s">
        <v>570</v>
      </c>
      <c r="J5372" s="8">
        <f>+Tabla1[[#This Row],[FECHA ENTRADA]]</f>
        <v>45496</v>
      </c>
      <c r="K5372" s="22">
        <v>46142</v>
      </c>
      <c r="L5372" s="13">
        <f>_xlfn.DAYS(Tabla1[[#This Row],[FECHA FIN ]],Tabla1[[#This Row],[FECHA INICIO]])</f>
        <v>646</v>
      </c>
      <c r="M5372" s="12"/>
      <c r="N5372" s="12">
        <v>300</v>
      </c>
      <c r="O5372" s="12">
        <f>(Tabla1[[#This Row],[COSTO FIJO ]]/30)*Tabla1[[#This Row],[TOTAL DIAS PROYECTO]]+(Tabla1[[#This Row],[COSTO TEMPORAL]])</f>
        <v>6460</v>
      </c>
      <c r="P5372" s="12"/>
      <c r="Q5372" s="12">
        <f>+(Tabla1[[#This Row],[COSTO COCHE]]/30)*Tabla1[[#This Row],[TOTAL DIAS PROYECTO]]</f>
        <v>0</v>
      </c>
      <c r="R5372" s="12">
        <f>+Tabla1[[#This Row],[COSTO TOTAL ALOJAMIENTO]]+Tabla1[[#This Row],[COSTO TOTAL COCHE]]</f>
        <v>6460</v>
      </c>
      <c r="S5372" s="2"/>
      <c r="T5372" s="2" t="s">
        <v>35</v>
      </c>
      <c r="U5372" s="14">
        <v>45496</v>
      </c>
      <c r="V5372" s="14"/>
      <c r="W5372" s="12">
        <v>300</v>
      </c>
      <c r="X5372" s="2">
        <v>5</v>
      </c>
      <c r="Y5372" s="11" t="s">
        <v>7470</v>
      </c>
      <c r="Z5372" s="2" t="s">
        <v>36</v>
      </c>
      <c r="AA5372" s="13" t="s">
        <v>10385</v>
      </c>
      <c r="AB5372" s="13" t="s">
        <v>10386</v>
      </c>
    </row>
    <row r="5373" spans="1:28" ht="15" customHeight="1">
      <c r="A5373" s="2" t="s">
        <v>9082</v>
      </c>
      <c r="B5373" s="2" t="s">
        <v>978</v>
      </c>
      <c r="C5373" s="31" t="s">
        <v>1936</v>
      </c>
      <c r="D5373" s="2" t="s">
        <v>99</v>
      </c>
      <c r="E5373" s="2" t="s">
        <v>1404</v>
      </c>
      <c r="F5373" s="11" t="s">
        <v>5626</v>
      </c>
      <c r="G5373" s="46" t="s">
        <v>7471</v>
      </c>
      <c r="H5373" s="2" t="s">
        <v>6360</v>
      </c>
      <c r="I5373" s="158" t="s">
        <v>5629</v>
      </c>
      <c r="J5373" s="41">
        <f>+Tabla1[[#This Row],[FECHA ENTRADA]]</f>
        <v>45818</v>
      </c>
      <c r="K5373" s="41">
        <v>46122</v>
      </c>
      <c r="L5373" s="42">
        <f>_xlfn.DAYS(Tabla1[[#This Row],[FECHA FIN ]],Tabla1[[#This Row],[FECHA INICIO]])</f>
        <v>304</v>
      </c>
      <c r="M5373" s="12"/>
      <c r="N5373" s="12">
        <f>2117.5/4</f>
        <v>529.375</v>
      </c>
      <c r="O5373" s="28">
        <f>(Tabla1[[#This Row],[COSTO FIJO ]]/30)*Tabla1[[#This Row],[TOTAL DIAS PROYECTO]]+(Tabla1[[#This Row],[COSTO TEMPORAL]])</f>
        <v>5364.333333333333</v>
      </c>
      <c r="P5373" s="12"/>
      <c r="Q5373" s="12">
        <f>+(Tabla1[[#This Row],[COSTO COCHE]]/30)*Tabla1[[#This Row],[TOTAL DIAS PROYECTO]]</f>
        <v>0</v>
      </c>
      <c r="R5373" s="12">
        <f>+Tabla1[[#This Row],[COSTO TOTAL ALOJAMIENTO]]+Tabla1[[#This Row],[COSTO TOTAL COCHE]]</f>
        <v>5364.333333333333</v>
      </c>
      <c r="S5373" s="2"/>
      <c r="T5373" s="14" t="s">
        <v>35</v>
      </c>
      <c r="U5373" s="14">
        <v>45818</v>
      </c>
      <c r="V5373" s="43"/>
      <c r="W5373" s="12"/>
      <c r="X5373" s="2">
        <v>8</v>
      </c>
      <c r="Y5373" s="253" t="s">
        <v>7472</v>
      </c>
      <c r="Z5373" s="2" t="s">
        <v>36</v>
      </c>
      <c r="AA5373" s="13" t="s">
        <v>10418</v>
      </c>
      <c r="AB5373" s="13" t="s">
        <v>10419</v>
      </c>
    </row>
    <row r="5374" spans="1:28" ht="15" customHeight="1">
      <c r="A5374" s="2" t="s">
        <v>10251</v>
      </c>
      <c r="B5374" s="2" t="s">
        <v>978</v>
      </c>
      <c r="C5374" s="31" t="s">
        <v>7473</v>
      </c>
      <c r="D5374" s="2" t="s">
        <v>99</v>
      </c>
      <c r="E5374" s="2" t="s">
        <v>1404</v>
      </c>
      <c r="F5374" s="11" t="s">
        <v>5626</v>
      </c>
      <c r="G5374" s="46" t="s">
        <v>5627</v>
      </c>
      <c r="H5374" s="2" t="s">
        <v>7474</v>
      </c>
      <c r="I5374" s="158" t="s">
        <v>5629</v>
      </c>
      <c r="J5374" s="41">
        <f>+Tabla1[[#This Row],[FECHA ENTRADA]]</f>
        <v>45818</v>
      </c>
      <c r="K5374" s="41">
        <v>46122</v>
      </c>
      <c r="L5374" s="42">
        <f>_xlfn.DAYS(Tabla1[[#This Row],[FECHA FIN ]],Tabla1[[#This Row],[FECHA INICIO]])</f>
        <v>304</v>
      </c>
      <c r="M5374" s="12"/>
      <c r="N5374" s="12">
        <f>2117.5/4</f>
        <v>529.375</v>
      </c>
      <c r="O5374" s="28">
        <f>(Tabla1[[#This Row],[COSTO FIJO ]]/30)*Tabla1[[#This Row],[TOTAL DIAS PROYECTO]]+(Tabla1[[#This Row],[COSTO TEMPORAL]])</f>
        <v>5364.333333333333</v>
      </c>
      <c r="P5374" s="12"/>
      <c r="Q5374" s="12">
        <f>+(Tabla1[[#This Row],[COSTO COCHE]]/30)*Tabla1[[#This Row],[TOTAL DIAS PROYECTO]]</f>
        <v>0</v>
      </c>
      <c r="R5374" s="12">
        <f>+Tabla1[[#This Row],[COSTO TOTAL ALOJAMIENTO]]+Tabla1[[#This Row],[COSTO TOTAL COCHE]]</f>
        <v>5364.333333333333</v>
      </c>
      <c r="S5374" s="2"/>
      <c r="T5374" s="14" t="s">
        <v>35</v>
      </c>
      <c r="U5374" s="14">
        <v>45818</v>
      </c>
      <c r="V5374" s="43"/>
      <c r="W5374" s="12"/>
      <c r="X5374" s="2">
        <v>8</v>
      </c>
      <c r="Y5374" s="253" t="s">
        <v>7475</v>
      </c>
      <c r="Z5374" s="2" t="s">
        <v>36</v>
      </c>
      <c r="AA5374" s="13" t="s">
        <v>10418</v>
      </c>
      <c r="AB5374" s="13" t="s">
        <v>10419</v>
      </c>
    </row>
    <row r="5375" spans="1:28" ht="15" customHeight="1">
      <c r="A5375" s="2" t="s">
        <v>9469</v>
      </c>
      <c r="B5375" s="2" t="s">
        <v>978</v>
      </c>
      <c r="C5375" s="31" t="s">
        <v>3295</v>
      </c>
      <c r="D5375" s="2" t="s">
        <v>99</v>
      </c>
      <c r="E5375" s="2" t="s">
        <v>1404</v>
      </c>
      <c r="F5375" s="11" t="s">
        <v>5626</v>
      </c>
      <c r="G5375" s="46" t="s">
        <v>5627</v>
      </c>
      <c r="H5375" s="2" t="s">
        <v>5628</v>
      </c>
      <c r="I5375" s="12" t="s">
        <v>5629</v>
      </c>
      <c r="J5375" s="41">
        <f>+Tabla1[[#This Row],[FECHA ENTRADA]]</f>
        <v>45818</v>
      </c>
      <c r="K5375" s="41">
        <v>46122</v>
      </c>
      <c r="L5375" s="42">
        <f>_xlfn.DAYS(Tabla1[[#This Row],[FECHA FIN ]],Tabla1[[#This Row],[FECHA INICIO]])</f>
        <v>304</v>
      </c>
      <c r="M5375" s="12"/>
      <c r="N5375" s="12">
        <f>2117.5/4</f>
        <v>529.375</v>
      </c>
      <c r="O5375" s="28">
        <f>(Tabla1[[#This Row],[COSTO FIJO ]]/30)*Tabla1[[#This Row],[TOTAL DIAS PROYECTO]]+(Tabla1[[#This Row],[COSTO TEMPORAL]])</f>
        <v>5364.333333333333</v>
      </c>
      <c r="P5375" s="12"/>
      <c r="Q5375" s="12">
        <f>+(Tabla1[[#This Row],[COSTO COCHE]]/30)*Tabla1[[#This Row],[TOTAL DIAS PROYECTO]]</f>
        <v>0</v>
      </c>
      <c r="R5375" s="12">
        <f>+Tabla1[[#This Row],[COSTO TOTAL ALOJAMIENTO]]+Tabla1[[#This Row],[COSTO TOTAL COCHE]]</f>
        <v>5364.333333333333</v>
      </c>
      <c r="S5375" s="2"/>
      <c r="T5375" s="14" t="s">
        <v>35</v>
      </c>
      <c r="U5375" s="14">
        <v>45818</v>
      </c>
      <c r="V5375" s="43"/>
      <c r="W5375" s="12"/>
      <c r="X5375" s="2">
        <v>8</v>
      </c>
      <c r="Y5375" s="253" t="s">
        <v>7475</v>
      </c>
      <c r="Z5375" s="2" t="s">
        <v>36</v>
      </c>
      <c r="AA5375" s="13" t="s">
        <v>10418</v>
      </c>
      <c r="AB5375" s="13" t="s">
        <v>10419</v>
      </c>
    </row>
    <row r="5376" spans="1:28" ht="15" customHeight="1">
      <c r="A5376" s="2" t="s">
        <v>9946</v>
      </c>
      <c r="B5376" s="2" t="s">
        <v>978</v>
      </c>
      <c r="C5376" s="31" t="s">
        <v>5625</v>
      </c>
      <c r="D5376" s="2" t="s">
        <v>99</v>
      </c>
      <c r="E5376" s="2" t="s">
        <v>1404</v>
      </c>
      <c r="F5376" s="11" t="s">
        <v>5626</v>
      </c>
      <c r="G5376" s="46" t="s">
        <v>5627</v>
      </c>
      <c r="H5376" s="2" t="s">
        <v>5628</v>
      </c>
      <c r="I5376" s="12" t="s">
        <v>5629</v>
      </c>
      <c r="J5376" s="22">
        <f>+Tabla1[[#This Row],[FECHA ENTRADA]]</f>
        <v>45996</v>
      </c>
      <c r="K5376" s="41">
        <v>46122</v>
      </c>
      <c r="L5376" s="23">
        <f>_xlfn.DAYS(Tabla1[[#This Row],[FECHA FIN ]],Tabla1[[#This Row],[FECHA INICIO]])</f>
        <v>126</v>
      </c>
      <c r="M5376" s="12"/>
      <c r="N5376" s="12">
        <f>2117.5/4</f>
        <v>529.375</v>
      </c>
      <c r="O5376" s="24">
        <f>(Tabla1[[#This Row],[COSTO FIJO ]]/30)*Tabla1[[#This Row],[TOTAL DIAS PROYECTO]]+(Tabla1[[#This Row],[COSTO TEMPORAL]])</f>
        <v>2223.375</v>
      </c>
      <c r="P5376" s="12"/>
      <c r="Q5376" s="12">
        <f>+(Tabla1[[#This Row],[COSTO COCHE]]/30)*Tabla1[[#This Row],[TOTAL DIAS PROYECTO]]</f>
        <v>0</v>
      </c>
      <c r="R5376" s="12">
        <f>+Tabla1[[#This Row],[COSTO TOTAL ALOJAMIENTO]]+Tabla1[[#This Row],[COSTO TOTAL COCHE]]</f>
        <v>2223.375</v>
      </c>
      <c r="S5376" s="2"/>
      <c r="T5376" s="14" t="s">
        <v>35</v>
      </c>
      <c r="U5376" s="14">
        <v>45996</v>
      </c>
      <c r="V5376" s="43"/>
      <c r="W5376" s="12"/>
      <c r="X5376" s="2">
        <v>8</v>
      </c>
      <c r="Y5376" s="255" t="s">
        <v>7476</v>
      </c>
      <c r="Z5376" s="2" t="s">
        <v>36</v>
      </c>
      <c r="AA5376" s="13" t="s">
        <v>10418</v>
      </c>
      <c r="AB5376" s="13" t="s">
        <v>10419</v>
      </c>
    </row>
    <row r="5377" spans="1:28" ht="15" customHeight="1">
      <c r="A5377" s="2" t="s">
        <v>10183</v>
      </c>
      <c r="B5377" s="2" t="s">
        <v>711</v>
      </c>
      <c r="C5377" s="31" t="s">
        <v>6987</v>
      </c>
      <c r="D5377" s="2" t="s">
        <v>30</v>
      </c>
      <c r="E5377" s="2" t="s">
        <v>538</v>
      </c>
      <c r="F5377" s="11" t="s">
        <v>7477</v>
      </c>
      <c r="G5377" s="21" t="s">
        <v>7478</v>
      </c>
      <c r="H5377" s="2" t="s">
        <v>6984</v>
      </c>
      <c r="I5377" s="12" t="s">
        <v>1392</v>
      </c>
      <c r="J5377" s="41">
        <f>+Tabla1[[#This Row],[FECHA ENTRADA]]</f>
        <v>46091</v>
      </c>
      <c r="K5377" s="22">
        <v>46113</v>
      </c>
      <c r="L5377" s="42">
        <f>_xlfn.DAYS(Tabla1[[#This Row],[FECHA FIN ]],Tabla1[[#This Row],[FECHA INICIO]])</f>
        <v>22</v>
      </c>
      <c r="M5377" s="12"/>
      <c r="N5377" s="28">
        <v>250</v>
      </c>
      <c r="O5377" s="28">
        <f>(Tabla1[[#This Row],[COSTO FIJO ]]/30)*Tabla1[[#This Row],[TOTAL DIAS PROYECTO]]+(Tabla1[[#This Row],[COSTO TEMPORAL]])</f>
        <v>183.33333333333334</v>
      </c>
      <c r="P5377" s="12"/>
      <c r="Q5377" s="12">
        <f>+(Tabla1[[#This Row],[COSTO COCHE]]/30)*Tabla1[[#This Row],[TOTAL DIAS PROYECTO]]</f>
        <v>0</v>
      </c>
      <c r="R5377" s="12">
        <f>+Tabla1[[#This Row],[COSTO TOTAL ALOJAMIENTO]]+Tabla1[[#This Row],[COSTO TOTAL COCHE]]</f>
        <v>183.33333333333334</v>
      </c>
      <c r="S5377" s="2"/>
      <c r="T5377" s="14" t="s">
        <v>35</v>
      </c>
      <c r="U5377" s="14">
        <v>46091</v>
      </c>
      <c r="V5377" s="43"/>
      <c r="W5377" s="12"/>
      <c r="X5377" s="2">
        <v>9</v>
      </c>
      <c r="Y5377" s="11" t="s">
        <v>7479</v>
      </c>
      <c r="Z5377" s="2" t="s">
        <v>36</v>
      </c>
      <c r="AA5377" s="13">
        <v>-378939</v>
      </c>
      <c r="AB5377" s="13">
        <v>3776578</v>
      </c>
    </row>
    <row r="5378" spans="1:28" ht="15" customHeight="1">
      <c r="A5378" s="2" t="s">
        <v>9912</v>
      </c>
      <c r="B5378" s="2" t="s">
        <v>711</v>
      </c>
      <c r="C5378" s="11" t="s">
        <v>5377</v>
      </c>
      <c r="D5378" s="2" t="s">
        <v>30</v>
      </c>
      <c r="E5378" s="2" t="s">
        <v>608</v>
      </c>
      <c r="F5378" s="11" t="s">
        <v>6520</v>
      </c>
      <c r="G5378" s="70" t="s">
        <v>6833</v>
      </c>
      <c r="H5378" s="2" t="s">
        <v>5380</v>
      </c>
      <c r="I5378" s="12" t="s">
        <v>5381</v>
      </c>
      <c r="J5378" s="22">
        <f>+Tabla1[[#This Row],[FECHA ENTRADA]]</f>
        <v>46065</v>
      </c>
      <c r="K5378" s="22">
        <f ca="1">TODAY()</f>
        <v>46260</v>
      </c>
      <c r="L5378" s="23">
        <f ca="1">_xlfn.DAYS(Tabla1[[#This Row],[FECHA FIN ]],Tabla1[[#This Row],[FECHA INICIO]])</f>
        <v>195</v>
      </c>
      <c r="M5378" s="12"/>
      <c r="N5378" s="20">
        <v>561</v>
      </c>
      <c r="O5378" s="24">
        <f ca="1">(Tabla1[[#This Row],[COSTO FIJO ]]/30)*Tabla1[[#This Row],[TOTAL DIAS PROYECTO]]+(Tabla1[[#This Row],[COSTO TEMPORAL]])</f>
        <v>3646.5</v>
      </c>
      <c r="P5378" s="12"/>
      <c r="Q5378" s="12">
        <f ca="1">+(Tabla1[[#This Row],[COSTO COCHE]]/30)*Tabla1[[#This Row],[TOTAL DIAS PROYECTO]]</f>
        <v>0</v>
      </c>
      <c r="R5378" s="12">
        <f ca="1">+Tabla1[[#This Row],[COSTO TOTAL ALOJAMIENTO]]+Tabla1[[#This Row],[COSTO TOTAL COCHE]]</f>
        <v>3646.5</v>
      </c>
      <c r="S5378" s="2"/>
      <c r="T5378" s="14" t="s">
        <v>35</v>
      </c>
      <c r="U5378" s="14">
        <v>46065</v>
      </c>
      <c r="V5378" s="79"/>
      <c r="W5378" s="12">
        <v>2200</v>
      </c>
      <c r="X5378" s="2">
        <v>1</v>
      </c>
      <c r="Y5378" s="11" t="s">
        <v>7480</v>
      </c>
      <c r="Z5378" s="2" t="s">
        <v>702</v>
      </c>
      <c r="AA5378" s="13" t="s">
        <v>10383</v>
      </c>
      <c r="AB5378" s="13" t="s">
        <v>10384</v>
      </c>
    </row>
    <row r="5379" spans="1:28" ht="15" customHeight="1">
      <c r="A5379" s="2" t="s">
        <v>10252</v>
      </c>
      <c r="B5379" s="2" t="s">
        <v>711</v>
      </c>
      <c r="C5379" s="31" t="s">
        <v>7481</v>
      </c>
      <c r="D5379" s="2" t="s">
        <v>30</v>
      </c>
      <c r="E5379" s="2" t="s">
        <v>626</v>
      </c>
      <c r="F5379" s="11"/>
      <c r="G5379" s="11"/>
      <c r="H5379" s="2">
        <v>2023</v>
      </c>
      <c r="I5379" s="12" t="s">
        <v>570</v>
      </c>
      <c r="J5379" s="8">
        <f>+Tabla1[[#This Row],[FECHA ENTRADA]]</f>
        <v>45474</v>
      </c>
      <c r="K5379" s="22">
        <v>46122</v>
      </c>
      <c r="L5379" s="13">
        <f>_xlfn.DAYS(Tabla1[[#This Row],[FECHA FIN ]],Tabla1[[#This Row],[FECHA INICIO]])</f>
        <v>648</v>
      </c>
      <c r="M5379" s="12"/>
      <c r="N5379" s="28">
        <v>300</v>
      </c>
      <c r="O5379" s="12">
        <f>(Tabla1[[#This Row],[COSTO FIJO ]]/30)*Tabla1[[#This Row],[TOTAL DIAS PROYECTO]]+(Tabla1[[#This Row],[COSTO TEMPORAL]])</f>
        <v>6480</v>
      </c>
      <c r="P5379" s="12"/>
      <c r="Q5379" s="12">
        <f>+(Tabla1[[#This Row],[COSTO COCHE]]/30)*Tabla1[[#This Row],[TOTAL DIAS PROYECTO]]</f>
        <v>0</v>
      </c>
      <c r="R5379" s="12">
        <f>+Tabla1[[#This Row],[COSTO TOTAL ALOJAMIENTO]]+Tabla1[[#This Row],[COSTO TOTAL COCHE]]</f>
        <v>6480</v>
      </c>
      <c r="S5379" s="2"/>
      <c r="T5379" s="2" t="s">
        <v>58</v>
      </c>
      <c r="U5379" s="14">
        <v>45474</v>
      </c>
      <c r="V5379" s="14"/>
      <c r="W5379" s="26"/>
      <c r="X5379" s="2">
        <v>5</v>
      </c>
      <c r="Y5379" s="11" t="s">
        <v>7482</v>
      </c>
      <c r="Z5379" s="2" t="s">
        <v>36</v>
      </c>
      <c r="AA5379" s="13" t="s">
        <v>10385</v>
      </c>
      <c r="AB5379" s="13" t="s">
        <v>10386</v>
      </c>
    </row>
    <row r="5380" spans="1:28" ht="15" customHeight="1">
      <c r="A5380" s="2" t="s">
        <v>10186</v>
      </c>
      <c r="B5380" s="2" t="s">
        <v>711</v>
      </c>
      <c r="C5380" s="31" t="s">
        <v>6990</v>
      </c>
      <c r="D5380" s="2" t="s">
        <v>30</v>
      </c>
      <c r="E5380" s="2" t="s">
        <v>538</v>
      </c>
      <c r="F5380" s="11" t="s">
        <v>7483</v>
      </c>
      <c r="G5380" s="21" t="s">
        <v>7484</v>
      </c>
      <c r="H5380" s="2" t="s">
        <v>6984</v>
      </c>
      <c r="I5380" s="12" t="s">
        <v>1392</v>
      </c>
      <c r="J5380" s="22">
        <f>+Tabla1[[#This Row],[FECHA ENTRADA]]</f>
        <v>46092</v>
      </c>
      <c r="K5380" s="22">
        <v>46113</v>
      </c>
      <c r="L5380" s="23">
        <f>_xlfn.DAYS(Tabla1[[#This Row],[FECHA FIN ]],Tabla1[[#This Row],[FECHA INICIO]])</f>
        <v>21</v>
      </c>
      <c r="M5380" s="12"/>
      <c r="N5380" s="20">
        <v>300</v>
      </c>
      <c r="O5380" s="24">
        <f>(Tabla1[[#This Row],[COSTO FIJO ]]/30)*Tabla1[[#This Row],[TOTAL DIAS PROYECTO]]+(Tabla1[[#This Row],[COSTO TEMPORAL]])</f>
        <v>210</v>
      </c>
      <c r="P5380" s="12"/>
      <c r="Q5380" s="12">
        <f>+(Tabla1[[#This Row],[COSTO COCHE]]/30)*Tabla1[[#This Row],[TOTAL DIAS PROYECTO]]</f>
        <v>0</v>
      </c>
      <c r="R5380" s="12">
        <f>+Tabla1[[#This Row],[COSTO TOTAL ALOJAMIENTO]]+Tabla1[[#This Row],[COSTO TOTAL COCHE]]</f>
        <v>210</v>
      </c>
      <c r="S5380" s="2"/>
      <c r="T5380" s="14" t="s">
        <v>35</v>
      </c>
      <c r="U5380" s="14">
        <v>46092</v>
      </c>
      <c r="V5380" s="79"/>
      <c r="W5380" s="12"/>
      <c r="X5380" s="2">
        <v>9</v>
      </c>
      <c r="Y5380" s="11" t="s">
        <v>7485</v>
      </c>
      <c r="Z5380" s="2" t="s">
        <v>36</v>
      </c>
      <c r="AA5380" s="13">
        <v>-378939</v>
      </c>
      <c r="AB5380" s="13">
        <v>3776578</v>
      </c>
    </row>
    <row r="5381" spans="1:28" ht="15" customHeight="1">
      <c r="A5381" s="2" t="s">
        <v>9781</v>
      </c>
      <c r="B5381" s="2" t="s">
        <v>711</v>
      </c>
      <c r="C5381" s="31" t="s">
        <v>4720</v>
      </c>
      <c r="D5381" s="2" t="s">
        <v>30</v>
      </c>
      <c r="E5381" s="2" t="s">
        <v>626</v>
      </c>
      <c r="F5381" s="11" t="s">
        <v>2792</v>
      </c>
      <c r="G5381" s="11" t="s">
        <v>2793</v>
      </c>
      <c r="H5381" s="2" t="s">
        <v>4916</v>
      </c>
      <c r="I5381" s="12" t="s">
        <v>570</v>
      </c>
      <c r="J5381" s="22">
        <f>+Tabla1[[#This Row],[FECHA ENTRADA]]</f>
        <v>45945</v>
      </c>
      <c r="K5381" s="22">
        <v>46142</v>
      </c>
      <c r="L5381" s="23">
        <f>_xlfn.DAYS(Tabla1[[#This Row],[FECHA FIN ]],Tabla1[[#This Row],[FECHA INICIO]])</f>
        <v>197</v>
      </c>
      <c r="M5381" s="12"/>
      <c r="N5381" s="20">
        <v>380</v>
      </c>
      <c r="O5381" s="24">
        <f>(Tabla1[[#This Row],[COSTO FIJO ]]/30)*Tabla1[[#This Row],[TOTAL DIAS PROYECTO]]+(Tabla1[[#This Row],[COSTO TEMPORAL]])</f>
        <v>2495.333333333333</v>
      </c>
      <c r="P5381" s="12"/>
      <c r="Q5381" s="12">
        <f>+(Tabla1[[#This Row],[COSTO COCHE]]/30)*Tabla1[[#This Row],[TOTAL DIAS PROYECTO]]</f>
        <v>0</v>
      </c>
      <c r="R5381" s="12">
        <f>+Tabla1[[#This Row],[COSTO TOTAL ALOJAMIENTO]]+Tabla1[[#This Row],[COSTO TOTAL COCHE]]</f>
        <v>2495.333333333333</v>
      </c>
      <c r="S5381" s="2"/>
      <c r="T5381" s="14" t="s">
        <v>35</v>
      </c>
      <c r="U5381" s="14">
        <v>45945</v>
      </c>
      <c r="V5381" s="79"/>
      <c r="W5381" s="12">
        <v>380</v>
      </c>
      <c r="X5381" s="2">
        <v>5</v>
      </c>
      <c r="Y5381" s="11" t="s">
        <v>7486</v>
      </c>
      <c r="Z5381" s="2" t="s">
        <v>36</v>
      </c>
      <c r="AA5381" s="13" t="s">
        <v>10385</v>
      </c>
      <c r="AB5381" s="13" t="s">
        <v>10386</v>
      </c>
    </row>
    <row r="5382" spans="1:28" ht="15" customHeight="1">
      <c r="A5382" s="2" t="s">
        <v>10253</v>
      </c>
      <c r="B5382" s="2" t="s">
        <v>711</v>
      </c>
      <c r="C5382" s="31" t="s">
        <v>7487</v>
      </c>
      <c r="D5382" s="2" t="s">
        <v>30</v>
      </c>
      <c r="E5382" s="2" t="s">
        <v>626</v>
      </c>
      <c r="F5382" s="11"/>
      <c r="G5382" s="11"/>
      <c r="H5382" s="2">
        <v>2023</v>
      </c>
      <c r="I5382" s="2" t="s">
        <v>570</v>
      </c>
      <c r="J5382" s="8">
        <f>+Tabla1[[#This Row],[FECHA ENTRADA]]</f>
        <v>45328</v>
      </c>
      <c r="K5382" s="22">
        <v>46122</v>
      </c>
      <c r="L5382" s="13">
        <f>_xlfn.DAYS(Tabla1[[#This Row],[FECHA FIN ]],Tabla1[[#This Row],[FECHA INICIO]])</f>
        <v>794</v>
      </c>
      <c r="M5382" s="12"/>
      <c r="N5382" s="28">
        <v>300</v>
      </c>
      <c r="O5382" s="12">
        <f>(Tabla1[[#This Row],[COSTO FIJO ]]/30)*Tabla1[[#This Row],[TOTAL DIAS PROYECTO]]+(Tabla1[[#This Row],[COSTO TEMPORAL]])</f>
        <v>7940</v>
      </c>
      <c r="P5382" s="12"/>
      <c r="Q5382" s="12">
        <f>+(Tabla1[[#This Row],[COSTO COCHE]]/30)*Tabla1[[#This Row],[TOTAL DIAS PROYECTO]]</f>
        <v>0</v>
      </c>
      <c r="R5382" s="12">
        <f>+Tabla1[[#This Row],[COSTO TOTAL ALOJAMIENTO]]+Tabla1[[#This Row],[COSTO TOTAL COCHE]]</f>
        <v>7940</v>
      </c>
      <c r="S5382" s="2"/>
      <c r="T5382" s="2" t="s">
        <v>58</v>
      </c>
      <c r="U5382" s="14">
        <v>45328</v>
      </c>
      <c r="V5382" s="14"/>
      <c r="W5382" s="15"/>
      <c r="X5382" s="16">
        <v>5</v>
      </c>
      <c r="Y5382" s="11" t="s">
        <v>7488</v>
      </c>
      <c r="Z5382" s="2" t="s">
        <v>36</v>
      </c>
      <c r="AA5382" s="13" t="s">
        <v>10385</v>
      </c>
      <c r="AB5382" s="13" t="s">
        <v>10386</v>
      </c>
    </row>
    <row r="5383" spans="1:28" ht="15" customHeight="1">
      <c r="A5383" s="2" t="s">
        <v>9544</v>
      </c>
      <c r="B5383" s="2" t="s">
        <v>711</v>
      </c>
      <c r="C5383" s="11" t="s">
        <v>3586</v>
      </c>
      <c r="D5383" s="2" t="s">
        <v>99</v>
      </c>
      <c r="E5383" s="2" t="s">
        <v>422</v>
      </c>
      <c r="F5383" s="11" t="s">
        <v>1375</v>
      </c>
      <c r="G5383" s="70" t="s">
        <v>1376</v>
      </c>
      <c r="H5383" s="2" t="s">
        <v>2442</v>
      </c>
      <c r="I5383" s="12" t="s">
        <v>2443</v>
      </c>
      <c r="J5383" s="41">
        <f>+Tabla1[[#This Row],[FECHA ENTRADA]]</f>
        <v>46124</v>
      </c>
      <c r="K5383" s="41">
        <v>46163</v>
      </c>
      <c r="L5383" s="42">
        <f>_xlfn.DAYS(Tabla1[[#This Row],[FECHA FIN ]],Tabla1[[#This Row],[FECHA INICIO]])</f>
        <v>39</v>
      </c>
      <c r="M5383" s="12"/>
      <c r="N5383" s="12">
        <v>262.5</v>
      </c>
      <c r="O5383" s="28">
        <f>(Tabla1[[#This Row],[COSTO FIJO ]]/30)*Tabla1[[#This Row],[TOTAL DIAS PROYECTO]]+(Tabla1[[#This Row],[COSTO TEMPORAL]])</f>
        <v>341.25</v>
      </c>
      <c r="P5383" s="12"/>
      <c r="Q5383" s="12">
        <f>+(Tabla1[[#This Row],[COSTO COCHE]]/30)*Tabla1[[#This Row],[TOTAL DIAS PROYECTO]]</f>
        <v>0</v>
      </c>
      <c r="R5383" s="12">
        <f>+Tabla1[[#This Row],[COSTO TOTAL ALOJAMIENTO]]+Tabla1[[#This Row],[COSTO TOTAL COCHE]]</f>
        <v>341.25</v>
      </c>
      <c r="S5383" s="2"/>
      <c r="T5383" s="14" t="s">
        <v>35</v>
      </c>
      <c r="U5383" s="14">
        <v>46124</v>
      </c>
      <c r="V5383" s="43"/>
      <c r="W5383" s="12"/>
      <c r="X5383" s="2">
        <v>5</v>
      </c>
      <c r="Y5383" s="11" t="s">
        <v>7489</v>
      </c>
      <c r="Z5383" s="2" t="s">
        <v>36</v>
      </c>
      <c r="AA5383" s="13">
        <v>-326.69799999999998</v>
      </c>
      <c r="AB5383" s="13" t="s">
        <v>10373</v>
      </c>
    </row>
    <row r="5384" spans="1:28" ht="15" customHeight="1">
      <c r="A5384" s="2" t="s">
        <v>9256</v>
      </c>
      <c r="B5384" s="2" t="s">
        <v>368</v>
      </c>
      <c r="C5384" s="31" t="s">
        <v>2611</v>
      </c>
      <c r="D5384" s="2" t="s">
        <v>30</v>
      </c>
      <c r="E5384" s="2" t="s">
        <v>380</v>
      </c>
      <c r="F5384" s="11" t="s">
        <v>7357</v>
      </c>
      <c r="G5384" s="46" t="s">
        <v>7358</v>
      </c>
      <c r="H5384" s="2" t="s">
        <v>7359</v>
      </c>
      <c r="I5384" s="12" t="s">
        <v>3054</v>
      </c>
      <c r="J5384" s="41">
        <f>+Tabla1[[#This Row],[FECHA ENTRADA]]</f>
        <v>45942</v>
      </c>
      <c r="K5384" s="41">
        <v>45973</v>
      </c>
      <c r="L5384" s="42">
        <f>_xlfn.DAYS(Tabla1[[#This Row],[FECHA FIN ]],Tabla1[[#This Row],[FECHA INICIO]])</f>
        <v>31</v>
      </c>
      <c r="M5384" s="12">
        <f>(802+30.8)/3</f>
        <v>277.59999999999997</v>
      </c>
      <c r="N5384" s="28"/>
      <c r="O5384" s="28">
        <f>(Tabla1[[#This Row],[COSTO FIJO ]]/30)*Tabla1[[#This Row],[TOTAL DIAS PROYECTO]]+(Tabla1[[#This Row],[COSTO TEMPORAL]])</f>
        <v>277.59999999999997</v>
      </c>
      <c r="P5384" s="12"/>
      <c r="Q5384" s="12">
        <f>+(Tabla1[[#This Row],[COSTO COCHE]]/30)*Tabla1[[#This Row],[TOTAL DIAS PROYECTO]]</f>
        <v>0</v>
      </c>
      <c r="R5384" s="12">
        <f>+Tabla1[[#This Row],[COSTO TOTAL ALOJAMIENTO]]+Tabla1[[#This Row],[COSTO TOTAL COCHE]]</f>
        <v>277.59999999999997</v>
      </c>
      <c r="S5384" s="2" t="s">
        <v>403</v>
      </c>
      <c r="T5384" s="14" t="s">
        <v>44</v>
      </c>
      <c r="U5384" s="14">
        <v>45942</v>
      </c>
      <c r="V5384" s="43">
        <v>45973</v>
      </c>
      <c r="W5384" s="71"/>
      <c r="X5384" s="2"/>
      <c r="Y5384" s="11" t="s">
        <v>7490</v>
      </c>
      <c r="Z5384" s="2" t="s">
        <v>36</v>
      </c>
      <c r="AA5384" s="13" t="s">
        <v>10370</v>
      </c>
      <c r="AB5384" s="13" t="s">
        <v>10371</v>
      </c>
    </row>
    <row r="5385" spans="1:28" ht="15" customHeight="1">
      <c r="A5385" s="2" t="s">
        <v>10185</v>
      </c>
      <c r="B5385" s="2" t="s">
        <v>711</v>
      </c>
      <c r="C5385" s="69" t="s">
        <v>6989</v>
      </c>
      <c r="D5385" s="2" t="s">
        <v>30</v>
      </c>
      <c r="E5385" s="2" t="s">
        <v>538</v>
      </c>
      <c r="F5385" s="11" t="s">
        <v>7483</v>
      </c>
      <c r="G5385" s="133" t="s">
        <v>7484</v>
      </c>
      <c r="H5385" s="2" t="s">
        <v>6984</v>
      </c>
      <c r="I5385" s="12" t="s">
        <v>1392</v>
      </c>
      <c r="J5385" s="22">
        <f>+Tabla1[[#This Row],[FECHA ENTRADA]]</f>
        <v>46092</v>
      </c>
      <c r="K5385" s="22">
        <v>46122</v>
      </c>
      <c r="L5385" s="23">
        <f>_xlfn.DAYS(Tabla1[[#This Row],[FECHA FIN ]],Tabla1[[#This Row],[FECHA INICIO]])</f>
        <v>30</v>
      </c>
      <c r="M5385" s="12"/>
      <c r="N5385" s="20">
        <v>300</v>
      </c>
      <c r="O5385" s="24">
        <f>(Tabla1[[#This Row],[COSTO FIJO ]]/30)*Tabla1[[#This Row],[TOTAL DIAS PROYECTO]]+(Tabla1[[#This Row],[COSTO TEMPORAL]])</f>
        <v>300</v>
      </c>
      <c r="P5385" s="12"/>
      <c r="Q5385" s="12">
        <f>+(Tabla1[[#This Row],[COSTO COCHE]]/30)*Tabla1[[#This Row],[TOTAL DIAS PROYECTO]]</f>
        <v>0</v>
      </c>
      <c r="R5385" s="12">
        <f>+Tabla1[[#This Row],[COSTO TOTAL ALOJAMIENTO]]+Tabla1[[#This Row],[COSTO TOTAL COCHE]]</f>
        <v>300</v>
      </c>
      <c r="S5385" s="2"/>
      <c r="T5385" s="14" t="s">
        <v>35</v>
      </c>
      <c r="U5385" s="14">
        <v>46092</v>
      </c>
      <c r="V5385" s="79"/>
      <c r="W5385" s="12">
        <v>600</v>
      </c>
      <c r="X5385" s="2">
        <v>9</v>
      </c>
      <c r="Y5385" s="11" t="s">
        <v>7491</v>
      </c>
      <c r="Z5385" s="2" t="s">
        <v>36</v>
      </c>
      <c r="AA5385" s="13">
        <v>-378939</v>
      </c>
      <c r="AB5385" s="13">
        <v>3776578</v>
      </c>
    </row>
    <row r="5386" spans="1:28" ht="15" customHeight="1">
      <c r="A5386" s="2" t="s">
        <v>8976</v>
      </c>
      <c r="B5386" s="2" t="s">
        <v>606</v>
      </c>
      <c r="C5386" s="31" t="s">
        <v>1570</v>
      </c>
      <c r="D5386" s="2" t="s">
        <v>99</v>
      </c>
      <c r="E5386" s="2" t="s">
        <v>213</v>
      </c>
      <c r="F5386" s="11" t="s">
        <v>7492</v>
      </c>
      <c r="G5386" s="49" t="s">
        <v>558</v>
      </c>
      <c r="H5386" s="2" t="s">
        <v>7493</v>
      </c>
      <c r="I5386" s="2" t="s">
        <v>918</v>
      </c>
      <c r="J5386" s="22">
        <f>+Tabla1[[#This Row],[FECHA ENTRADA]]</f>
        <v>45992</v>
      </c>
      <c r="K5386" s="22">
        <v>46112</v>
      </c>
      <c r="L5386" s="23">
        <f>_xlfn.DAYS(Tabla1[[#This Row],[FECHA FIN ]],Tabla1[[#This Row],[FECHA INICIO]])</f>
        <v>120</v>
      </c>
      <c r="M5386" s="12"/>
      <c r="N5386" s="20">
        <v>500</v>
      </c>
      <c r="O5386" s="24">
        <f>(Tabla1[[#This Row],[COSTO FIJO ]]/30)*Tabla1[[#This Row],[TOTAL DIAS PROYECTO]]+(Tabla1[[#This Row],[COSTO TEMPORAL]])</f>
        <v>2000.0000000000002</v>
      </c>
      <c r="P5386" s="12"/>
      <c r="Q5386" s="12">
        <f>+(Tabla1[[#This Row],[COSTO COCHE]]/30)*Tabla1[[#This Row],[TOTAL DIAS PROYECTO]]</f>
        <v>0</v>
      </c>
      <c r="R5386" s="12">
        <f>+Tabla1[[#This Row],[COSTO TOTAL ALOJAMIENTO]]+Tabla1[[#This Row],[COSTO TOTAL COCHE]]</f>
        <v>2000.0000000000002</v>
      </c>
      <c r="S5386" s="2"/>
      <c r="T5386" s="14" t="s">
        <v>35</v>
      </c>
      <c r="U5386" s="14">
        <v>45992</v>
      </c>
      <c r="V5386" s="79">
        <v>46063</v>
      </c>
      <c r="W5386" s="12"/>
      <c r="X5386" s="2">
        <v>10</v>
      </c>
      <c r="Y5386" s="11" t="s">
        <v>7494</v>
      </c>
      <c r="Z5386" s="2" t="s">
        <v>36</v>
      </c>
      <c r="AA5386" s="13" t="s">
        <v>10349</v>
      </c>
      <c r="AB5386" s="13" t="s">
        <v>10350</v>
      </c>
    </row>
    <row r="5387" spans="1:28" ht="15" customHeight="1">
      <c r="A5387" s="2" t="s">
        <v>9541</v>
      </c>
      <c r="B5387" s="2" t="s">
        <v>711</v>
      </c>
      <c r="C5387" s="31" t="s">
        <v>3581</v>
      </c>
      <c r="D5387" s="2" t="s">
        <v>30</v>
      </c>
      <c r="E5387" s="2" t="s">
        <v>422</v>
      </c>
      <c r="F5387" s="11" t="s">
        <v>1375</v>
      </c>
      <c r="G5387" s="70" t="s">
        <v>1376</v>
      </c>
      <c r="H5387" s="2" t="s">
        <v>2442</v>
      </c>
      <c r="I5387" s="12" t="s">
        <v>2443</v>
      </c>
      <c r="J5387" s="41">
        <f>+Tabla1[[#This Row],[FECHA ENTRADA]]</f>
        <v>46124</v>
      </c>
      <c r="K5387" s="41">
        <v>46172</v>
      </c>
      <c r="L5387" s="42">
        <f>_xlfn.DAYS(Tabla1[[#This Row],[FECHA FIN ]],Tabla1[[#This Row],[FECHA INICIO]])</f>
        <v>48</v>
      </c>
      <c r="M5387" s="12"/>
      <c r="N5387" s="12">
        <v>300</v>
      </c>
      <c r="O5387" s="28">
        <f>(Tabla1[[#This Row],[COSTO FIJO ]]/30)*Tabla1[[#This Row],[TOTAL DIAS PROYECTO]]+(Tabla1[[#This Row],[COSTO TEMPORAL]])</f>
        <v>480</v>
      </c>
      <c r="P5387" s="12"/>
      <c r="Q5387" s="12">
        <f>+(Tabla1[[#This Row],[COSTO COCHE]]/30)*Tabla1[[#This Row],[TOTAL DIAS PROYECTO]]</f>
        <v>0</v>
      </c>
      <c r="R5387" s="12">
        <f>+Tabla1[[#This Row],[COSTO TOTAL ALOJAMIENTO]]+Tabla1[[#This Row],[COSTO TOTAL COCHE]]</f>
        <v>480</v>
      </c>
      <c r="S5387" s="2"/>
      <c r="T5387" s="14" t="s">
        <v>35</v>
      </c>
      <c r="U5387" s="14">
        <v>46124</v>
      </c>
      <c r="V5387" s="43"/>
      <c r="W5387" s="12"/>
      <c r="X5387" s="2">
        <v>5</v>
      </c>
      <c r="Y5387" s="11" t="s">
        <v>7380</v>
      </c>
      <c r="Z5387" s="2" t="s">
        <v>36</v>
      </c>
      <c r="AA5387" s="13">
        <v>-326.69799999999998</v>
      </c>
      <c r="AB5387" s="13" t="s">
        <v>10373</v>
      </c>
    </row>
    <row r="5388" spans="1:28" ht="15" customHeight="1">
      <c r="A5388" s="2" t="s">
        <v>9253</v>
      </c>
      <c r="B5388" s="2" t="s">
        <v>606</v>
      </c>
      <c r="C5388" s="31" t="s">
        <v>2606</v>
      </c>
      <c r="D5388" s="2" t="s">
        <v>99</v>
      </c>
      <c r="E5388" s="2" t="s">
        <v>213</v>
      </c>
      <c r="F5388" s="11" t="s">
        <v>7492</v>
      </c>
      <c r="G5388" s="49" t="s">
        <v>558</v>
      </c>
      <c r="H5388" s="2" t="s">
        <v>6643</v>
      </c>
      <c r="I5388" s="12" t="s">
        <v>2190</v>
      </c>
      <c r="J5388" s="22">
        <f>+Tabla1[[#This Row],[FECHA ENTRADA]]</f>
        <v>46047</v>
      </c>
      <c r="K5388" s="22">
        <v>46077</v>
      </c>
      <c r="L5388" s="23">
        <f>_xlfn.DAYS(Tabla1[[#This Row],[FECHA FIN ]],Tabla1[[#This Row],[FECHA INICIO]])</f>
        <v>30</v>
      </c>
      <c r="M5388" s="12"/>
      <c r="N5388" s="20">
        <v>500</v>
      </c>
      <c r="O5388" s="24">
        <f>(Tabla1[[#This Row],[COSTO FIJO ]]/30)*Tabla1[[#This Row],[TOTAL DIAS PROYECTO]]+(Tabla1[[#This Row],[COSTO TEMPORAL]])</f>
        <v>500.00000000000006</v>
      </c>
      <c r="P5388" s="12"/>
      <c r="Q5388" s="12">
        <f>+(Tabla1[[#This Row],[COSTO COCHE]]/30)*Tabla1[[#This Row],[TOTAL DIAS PROYECTO]]</f>
        <v>0</v>
      </c>
      <c r="R5388" s="12">
        <f>+Tabla1[[#This Row],[COSTO TOTAL ALOJAMIENTO]]+Tabla1[[#This Row],[COSTO TOTAL COCHE]]</f>
        <v>500.00000000000006</v>
      </c>
      <c r="S5388" s="2"/>
      <c r="T5388" s="14" t="s">
        <v>35</v>
      </c>
      <c r="U5388" s="14">
        <v>46047</v>
      </c>
      <c r="V5388" s="79">
        <v>46063</v>
      </c>
      <c r="W5388" s="12"/>
      <c r="X5388" s="2">
        <v>10</v>
      </c>
      <c r="Y5388" s="11" t="s">
        <v>7495</v>
      </c>
      <c r="Z5388" s="2" t="s">
        <v>36</v>
      </c>
      <c r="AA5388" s="13" t="s">
        <v>10349</v>
      </c>
      <c r="AB5388" s="13" t="s">
        <v>10350</v>
      </c>
    </row>
    <row r="5389" spans="1:28" ht="15" customHeight="1">
      <c r="A5389" s="2" t="s">
        <v>8824</v>
      </c>
      <c r="B5389" s="2" t="s">
        <v>711</v>
      </c>
      <c r="C5389" s="31" t="s">
        <v>911</v>
      </c>
      <c r="D5389" s="2" t="s">
        <v>30</v>
      </c>
      <c r="E5389" s="2" t="s">
        <v>253</v>
      </c>
      <c r="F5389" s="11" t="s">
        <v>7496</v>
      </c>
      <c r="G5389" s="46" t="s">
        <v>772</v>
      </c>
      <c r="H5389" s="2" t="s">
        <v>2246</v>
      </c>
      <c r="I5389" s="12" t="s">
        <v>1232</v>
      </c>
      <c r="J5389" s="41">
        <f>+Tabla1[[#This Row],[FECHA ENTRADA]]</f>
        <v>46095</v>
      </c>
      <c r="K5389" s="8">
        <v>46142</v>
      </c>
      <c r="L5389" s="42">
        <f>_xlfn.DAYS(Tabla1[[#This Row],[FECHA FIN ]],Tabla1[[#This Row],[FECHA INICIO]])</f>
        <v>47</v>
      </c>
      <c r="M5389" s="12"/>
      <c r="N5389" s="28">
        <v>320</v>
      </c>
      <c r="O5389" s="28">
        <f>(Tabla1[[#This Row],[COSTO FIJO ]]/30)*Tabla1[[#This Row],[TOTAL DIAS PROYECTO]]+(Tabla1[[#This Row],[COSTO TEMPORAL]])</f>
        <v>501.33333333333331</v>
      </c>
      <c r="P5389" s="12"/>
      <c r="Q5389" s="12">
        <f>+(Tabla1[[#This Row],[COSTO COCHE]]/30)*Tabla1[[#This Row],[TOTAL DIAS PROYECTO]]</f>
        <v>0</v>
      </c>
      <c r="R5389" s="12">
        <f>+Tabla1[[#This Row],[COSTO TOTAL ALOJAMIENTO]]+Tabla1[[#This Row],[COSTO TOTAL COCHE]]</f>
        <v>501.33333333333331</v>
      </c>
      <c r="S5389" s="2"/>
      <c r="T5389" s="14" t="s">
        <v>35</v>
      </c>
      <c r="U5389" s="14">
        <v>46095</v>
      </c>
      <c r="V5389" s="43"/>
      <c r="W5389" s="12"/>
      <c r="X5389" s="2">
        <v>5</v>
      </c>
      <c r="Y5389" s="11" t="s">
        <v>7497</v>
      </c>
      <c r="Z5389" s="2" t="s">
        <v>36</v>
      </c>
      <c r="AA5389" s="13" t="s">
        <v>10357</v>
      </c>
      <c r="AB5389" s="13" t="s">
        <v>10358</v>
      </c>
    </row>
    <row r="5390" spans="1:28" ht="15" customHeight="1">
      <c r="A5390" s="117" t="s">
        <v>9028</v>
      </c>
      <c r="B5390" s="117" t="s">
        <v>606</v>
      </c>
      <c r="C5390" s="224" t="s">
        <v>1737</v>
      </c>
      <c r="D5390" s="117" t="s">
        <v>30</v>
      </c>
      <c r="E5390" s="117" t="s">
        <v>213</v>
      </c>
      <c r="F5390" s="11" t="s">
        <v>7306</v>
      </c>
      <c r="G5390" s="251" t="s">
        <v>7307</v>
      </c>
      <c r="H5390" s="117" t="s">
        <v>1738</v>
      </c>
      <c r="I5390" s="119" t="s">
        <v>1043</v>
      </c>
      <c r="J5390" s="120">
        <f>+Tabla1[[#This Row],[FECHA ENTRADA]]</f>
        <v>46125</v>
      </c>
      <c r="K5390" s="120">
        <v>46133</v>
      </c>
      <c r="L5390" s="122">
        <f>_xlfn.DAYS(Tabla1[[#This Row],[FECHA FIN ]],Tabla1[[#This Row],[FECHA INICIO]])</f>
        <v>8</v>
      </c>
      <c r="M5390" s="119">
        <f>840.29/4</f>
        <v>210.07249999999999</v>
      </c>
      <c r="N5390" s="123"/>
      <c r="O5390" s="123">
        <f>(Tabla1[[#This Row],[COSTO FIJO ]]/30)*Tabla1[[#This Row],[TOTAL DIAS PROYECTO]]+(Tabla1[[#This Row],[COSTO TEMPORAL]])</f>
        <v>210.07249999999999</v>
      </c>
      <c r="P5390" s="119"/>
      <c r="Q5390" s="119">
        <f>+(Tabla1[[#This Row],[COSTO COCHE]]/30)*Tabla1[[#This Row],[TOTAL DIAS PROYECTO]]</f>
        <v>0</v>
      </c>
      <c r="R5390" s="119">
        <f>+Tabla1[[#This Row],[COSTO TOTAL ALOJAMIENTO]]+Tabla1[[#This Row],[COSTO TOTAL COCHE]]</f>
        <v>210.07249999999999</v>
      </c>
      <c r="S5390" s="117" t="s">
        <v>403</v>
      </c>
      <c r="T5390" s="124" t="s">
        <v>44</v>
      </c>
      <c r="U5390" s="124">
        <v>46125</v>
      </c>
      <c r="V5390" s="125">
        <v>46134</v>
      </c>
      <c r="W5390" s="119"/>
      <c r="X5390" s="117"/>
      <c r="Y5390" s="118" t="s">
        <v>7308</v>
      </c>
      <c r="Z5390" s="117" t="s">
        <v>36</v>
      </c>
      <c r="AA5390" s="127" t="s">
        <v>10349</v>
      </c>
      <c r="AB5390" s="127" t="s">
        <v>10350</v>
      </c>
    </row>
    <row r="5391" spans="1:28" ht="15" customHeight="1">
      <c r="A5391" s="117" t="s">
        <v>9027</v>
      </c>
      <c r="B5391" s="117" t="s">
        <v>606</v>
      </c>
      <c r="C5391" s="118" t="s">
        <v>1732</v>
      </c>
      <c r="D5391" s="117" t="s">
        <v>30</v>
      </c>
      <c r="E5391" s="117" t="s">
        <v>213</v>
      </c>
      <c r="F5391" s="11" t="s">
        <v>7306</v>
      </c>
      <c r="G5391" s="251" t="s">
        <v>7307</v>
      </c>
      <c r="H5391" s="117" t="s">
        <v>1735</v>
      </c>
      <c r="I5391" s="119" t="s">
        <v>1043</v>
      </c>
      <c r="J5391" s="120">
        <f>+Tabla1[[#This Row],[FECHA ENTRADA]]</f>
        <v>46125</v>
      </c>
      <c r="K5391" s="120">
        <v>46133</v>
      </c>
      <c r="L5391" s="122">
        <f>_xlfn.DAYS(Tabla1[[#This Row],[FECHA FIN ]],Tabla1[[#This Row],[FECHA INICIO]])</f>
        <v>8</v>
      </c>
      <c r="M5391" s="119">
        <f>840.29/4</f>
        <v>210.07249999999999</v>
      </c>
      <c r="N5391" s="123"/>
      <c r="O5391" s="123">
        <f>(Tabla1[[#This Row],[COSTO FIJO ]]/30)*Tabla1[[#This Row],[TOTAL DIAS PROYECTO]]+(Tabla1[[#This Row],[COSTO TEMPORAL]])</f>
        <v>210.07249999999999</v>
      </c>
      <c r="P5391" s="119"/>
      <c r="Q5391" s="119">
        <f>+(Tabla1[[#This Row],[COSTO COCHE]]/30)*Tabla1[[#This Row],[TOTAL DIAS PROYECTO]]</f>
        <v>0</v>
      </c>
      <c r="R5391" s="119">
        <f>+Tabla1[[#This Row],[COSTO TOTAL ALOJAMIENTO]]+Tabla1[[#This Row],[COSTO TOTAL COCHE]]</f>
        <v>210.07249999999999</v>
      </c>
      <c r="S5391" s="117" t="s">
        <v>403</v>
      </c>
      <c r="T5391" s="124" t="s">
        <v>44</v>
      </c>
      <c r="U5391" s="124">
        <v>46125</v>
      </c>
      <c r="V5391" s="125">
        <v>46134</v>
      </c>
      <c r="W5391" s="119"/>
      <c r="X5391" s="117"/>
      <c r="Y5391" s="118" t="s">
        <v>7308</v>
      </c>
      <c r="Z5391" s="117" t="s">
        <v>36</v>
      </c>
      <c r="AA5391" s="127" t="s">
        <v>10349</v>
      </c>
      <c r="AB5391" s="127" t="s">
        <v>10350</v>
      </c>
    </row>
    <row r="5392" spans="1:28" ht="15" customHeight="1">
      <c r="A5392" s="2" t="s">
        <v>9773</v>
      </c>
      <c r="B5392" s="2" t="s">
        <v>606</v>
      </c>
      <c r="C5392" s="104" t="s">
        <v>4675</v>
      </c>
      <c r="D5392" s="2" t="s">
        <v>30</v>
      </c>
      <c r="E5392" s="2" t="s">
        <v>3533</v>
      </c>
      <c r="F5392" s="11"/>
      <c r="G5392" s="11"/>
      <c r="H5392" s="2" t="s">
        <v>7498</v>
      </c>
      <c r="I5392" s="10" t="s">
        <v>3364</v>
      </c>
      <c r="J5392" s="22">
        <f>+Tabla1[[#This Row],[FECHA ENTRADA]]</f>
        <v>46180</v>
      </c>
      <c r="K5392" s="22">
        <v>46197</v>
      </c>
      <c r="L5392" s="23">
        <f>_xlfn.DAYS(Tabla1[[#This Row],[FECHA FIN ]],Tabla1[[#This Row],[FECHA INICIO]])</f>
        <v>17</v>
      </c>
      <c r="M5392" s="12"/>
      <c r="N5392" s="24">
        <v>0</v>
      </c>
      <c r="O5392" s="24">
        <f>(Tabla1[[#This Row],[COSTO FIJO ]]/30)*Tabla1[[#This Row],[TOTAL DIAS PROYECTO]]+(Tabla1[[#This Row],[COSTO TEMPORAL]])</f>
        <v>0</v>
      </c>
      <c r="P5392" s="12"/>
      <c r="Q5392" s="12">
        <f>+(Tabla1[[#This Row],[COSTO COCHE]]/30)*Tabla1[[#This Row],[TOTAL DIAS PROYECTO]]</f>
        <v>0</v>
      </c>
      <c r="R5392" s="12">
        <f>+Tabla1[[#This Row],[COSTO TOTAL ALOJAMIENTO]]+Tabla1[[#This Row],[COSTO TOTAL COCHE]]</f>
        <v>0</v>
      </c>
      <c r="S5392" s="2"/>
      <c r="T5392" s="14" t="s">
        <v>44</v>
      </c>
      <c r="U5392" s="14">
        <v>46180</v>
      </c>
      <c r="V5392" s="25">
        <v>46191</v>
      </c>
      <c r="W5392" s="12"/>
      <c r="X5392" s="2"/>
      <c r="Y5392" s="11" t="s">
        <v>7499</v>
      </c>
      <c r="Z5392" s="2" t="s">
        <v>36</v>
      </c>
      <c r="AA5392" s="13">
        <v>-164692</v>
      </c>
      <c r="AB5392" s="13">
        <v>4266807</v>
      </c>
    </row>
    <row r="5393" spans="1:28" ht="15" customHeight="1">
      <c r="A5393" s="2" t="s">
        <v>9957</v>
      </c>
      <c r="B5393" s="11" t="s">
        <v>3133</v>
      </c>
      <c r="C5393" s="97" t="s">
        <v>5717</v>
      </c>
      <c r="D5393" s="2" t="s">
        <v>30</v>
      </c>
      <c r="E5393" s="2" t="s">
        <v>826</v>
      </c>
      <c r="F5393" s="11" t="s">
        <v>7365</v>
      </c>
      <c r="G5393" s="21" t="s">
        <v>6844</v>
      </c>
      <c r="H5393" s="2" t="s">
        <v>7366</v>
      </c>
      <c r="I5393" s="12" t="s">
        <v>1994</v>
      </c>
      <c r="J5393" s="22">
        <f>+Tabla1[[#This Row],[FECHA ENTRADA]]</f>
        <v>46128</v>
      </c>
      <c r="K5393" s="22">
        <v>46154</v>
      </c>
      <c r="L5393" s="23">
        <f>_xlfn.DAYS(Tabla1[[#This Row],[FECHA FIN ]],Tabla1[[#This Row],[FECHA INICIO]])</f>
        <v>26</v>
      </c>
      <c r="M5393" s="12">
        <v>300</v>
      </c>
      <c r="N5393" s="20"/>
      <c r="O5393" s="24">
        <f>(Tabla1[[#This Row],[COSTO FIJO ]]/30)*Tabla1[[#This Row],[TOTAL DIAS PROYECTO]]+(Tabla1[[#This Row],[COSTO TEMPORAL]])</f>
        <v>300</v>
      </c>
      <c r="P5393" s="12"/>
      <c r="Q5393" s="12">
        <f>+(Tabla1[[#This Row],[COSTO COCHE]]/30)*Tabla1[[#This Row],[TOTAL DIAS PROYECTO]]</f>
        <v>0</v>
      </c>
      <c r="R5393" s="12">
        <f>+Tabla1[[#This Row],[COSTO TOTAL ALOJAMIENTO]]+Tabla1[[#This Row],[COSTO TOTAL COCHE]]</f>
        <v>300</v>
      </c>
      <c r="S5393" s="2"/>
      <c r="T5393" s="14" t="s">
        <v>44</v>
      </c>
      <c r="U5393" s="14">
        <v>46128</v>
      </c>
      <c r="V5393" s="25">
        <v>46158</v>
      </c>
      <c r="W5393" s="12"/>
      <c r="X5393" s="2"/>
      <c r="Y5393" s="11" t="s">
        <v>7500</v>
      </c>
      <c r="Z5393" s="2" t="s">
        <v>36</v>
      </c>
      <c r="AA5393" s="13" t="s">
        <v>10399</v>
      </c>
      <c r="AB5393" s="13" t="s">
        <v>10400</v>
      </c>
    </row>
    <row r="5394" spans="1:28" ht="15" customHeight="1">
      <c r="A5394" s="2" t="s">
        <v>10181</v>
      </c>
      <c r="B5394" s="2" t="s">
        <v>711</v>
      </c>
      <c r="C5394" s="97" t="s">
        <v>6981</v>
      </c>
      <c r="D5394" s="2" t="s">
        <v>30</v>
      </c>
      <c r="E5394" s="2" t="s">
        <v>538</v>
      </c>
      <c r="F5394" s="11" t="s">
        <v>7477</v>
      </c>
      <c r="G5394" s="21" t="s">
        <v>7478</v>
      </c>
      <c r="H5394" s="2" t="s">
        <v>6984</v>
      </c>
      <c r="I5394" s="158" t="s">
        <v>1392</v>
      </c>
      <c r="J5394" s="41">
        <f>+Tabla1[[#This Row],[FECHA ENTRADA]]</f>
        <v>46091</v>
      </c>
      <c r="K5394" s="22">
        <v>46129</v>
      </c>
      <c r="L5394" s="42">
        <f>_xlfn.DAYS(Tabla1[[#This Row],[FECHA FIN ]],Tabla1[[#This Row],[FECHA INICIO]])</f>
        <v>38</v>
      </c>
      <c r="M5394" s="12"/>
      <c r="N5394" s="28">
        <v>250</v>
      </c>
      <c r="O5394" s="28">
        <f>(Tabla1[[#This Row],[COSTO FIJO ]]/30)*Tabla1[[#This Row],[TOTAL DIAS PROYECTO]]+(Tabla1[[#This Row],[COSTO TEMPORAL]])</f>
        <v>316.66666666666669</v>
      </c>
      <c r="P5394" s="12"/>
      <c r="Q5394" s="12">
        <f>+(Tabla1[[#This Row],[COSTO COCHE]]/30)*Tabla1[[#This Row],[TOTAL DIAS PROYECTO]]</f>
        <v>0</v>
      </c>
      <c r="R5394" s="12">
        <f>+Tabla1[[#This Row],[COSTO TOTAL ALOJAMIENTO]]+Tabla1[[#This Row],[COSTO TOTAL COCHE]]</f>
        <v>316.66666666666669</v>
      </c>
      <c r="S5394" s="2"/>
      <c r="T5394" s="14" t="s">
        <v>35</v>
      </c>
      <c r="U5394" s="14">
        <v>46091</v>
      </c>
      <c r="V5394" s="43"/>
      <c r="W5394" s="12">
        <v>1000</v>
      </c>
      <c r="X5394" s="2">
        <v>9</v>
      </c>
      <c r="Y5394" s="11" t="s">
        <v>7501</v>
      </c>
      <c r="Z5394" s="2" t="s">
        <v>36</v>
      </c>
      <c r="AA5394" s="13">
        <v>-378939</v>
      </c>
      <c r="AB5394" s="13">
        <v>3776578</v>
      </c>
    </row>
    <row r="5395" spans="1:28" ht="15" customHeight="1">
      <c r="A5395" s="2" t="s">
        <v>10182</v>
      </c>
      <c r="B5395" s="2" t="s">
        <v>711</v>
      </c>
      <c r="C5395" s="97" t="s">
        <v>6986</v>
      </c>
      <c r="D5395" s="2" t="s">
        <v>30</v>
      </c>
      <c r="E5395" s="2" t="s">
        <v>538</v>
      </c>
      <c r="F5395" s="11" t="s">
        <v>7477</v>
      </c>
      <c r="G5395" s="21" t="s">
        <v>7478</v>
      </c>
      <c r="H5395" s="2" t="s">
        <v>6984</v>
      </c>
      <c r="I5395" s="158" t="s">
        <v>1392</v>
      </c>
      <c r="J5395" s="41">
        <f>+Tabla1[[#This Row],[FECHA ENTRADA]]</f>
        <v>46091</v>
      </c>
      <c r="K5395" s="22">
        <v>46129</v>
      </c>
      <c r="L5395" s="42">
        <f>_xlfn.DAYS(Tabla1[[#This Row],[FECHA FIN ]],Tabla1[[#This Row],[FECHA INICIO]])</f>
        <v>38</v>
      </c>
      <c r="M5395" s="12"/>
      <c r="N5395" s="28">
        <v>250</v>
      </c>
      <c r="O5395" s="28">
        <f>(Tabla1[[#This Row],[COSTO FIJO ]]/30)*Tabla1[[#This Row],[TOTAL DIAS PROYECTO]]+(Tabla1[[#This Row],[COSTO TEMPORAL]])</f>
        <v>316.66666666666669</v>
      </c>
      <c r="P5395" s="12"/>
      <c r="Q5395" s="12">
        <f>+(Tabla1[[#This Row],[COSTO COCHE]]/30)*Tabla1[[#This Row],[TOTAL DIAS PROYECTO]]</f>
        <v>0</v>
      </c>
      <c r="R5395" s="12">
        <f>+Tabla1[[#This Row],[COSTO TOTAL ALOJAMIENTO]]+Tabla1[[#This Row],[COSTO TOTAL COCHE]]</f>
        <v>316.66666666666669</v>
      </c>
      <c r="S5395" s="2"/>
      <c r="T5395" s="14" t="s">
        <v>35</v>
      </c>
      <c r="U5395" s="14">
        <v>46091</v>
      </c>
      <c r="V5395" s="43"/>
      <c r="W5395" s="12"/>
      <c r="X5395" s="2">
        <v>9</v>
      </c>
      <c r="Y5395" s="11" t="s">
        <v>7501</v>
      </c>
      <c r="Z5395" s="2" t="s">
        <v>36</v>
      </c>
      <c r="AA5395" s="13">
        <v>-378939</v>
      </c>
      <c r="AB5395" s="13">
        <v>3776578</v>
      </c>
    </row>
    <row r="5396" spans="1:28" ht="15" customHeight="1">
      <c r="A5396" s="2" t="s">
        <v>10154</v>
      </c>
      <c r="B5396" s="2" t="s">
        <v>711</v>
      </c>
      <c r="C5396" s="104" t="s">
        <v>6729</v>
      </c>
      <c r="D5396" s="2" t="s">
        <v>30</v>
      </c>
      <c r="E5396" s="2" t="s">
        <v>213</v>
      </c>
      <c r="F5396" s="11" t="s">
        <v>7502</v>
      </c>
      <c r="G5396" s="46" t="s">
        <v>7503</v>
      </c>
      <c r="H5396" s="2" t="s">
        <v>6732</v>
      </c>
      <c r="I5396" s="12" t="s">
        <v>4464</v>
      </c>
      <c r="J5396" s="41">
        <f>+Tabla1[[#This Row],[FECHA ENTRADA]]</f>
        <v>45953</v>
      </c>
      <c r="K5396" s="41">
        <v>45959</v>
      </c>
      <c r="L5396" s="42">
        <f>_xlfn.DAYS(Tabla1[[#This Row],[FECHA FIN ]],Tabla1[[#This Row],[FECHA INICIO]])</f>
        <v>6</v>
      </c>
      <c r="M5396" s="12">
        <f>875.03/4</f>
        <v>218.75749999999999</v>
      </c>
      <c r="N5396" s="28"/>
      <c r="O5396" s="28">
        <f>(Tabla1[[#This Row],[COSTO FIJO ]]/30)*Tabla1[[#This Row],[TOTAL DIAS PROYECTO]]+(Tabla1[[#This Row],[COSTO TEMPORAL]])</f>
        <v>218.75749999999999</v>
      </c>
      <c r="P5396" s="12"/>
      <c r="Q5396" s="12">
        <f>+(Tabla1[[#This Row],[COSTO COCHE]]/30)*Tabla1[[#This Row],[TOTAL DIAS PROYECTO]]</f>
        <v>0</v>
      </c>
      <c r="R5396" s="12">
        <f>+Tabla1[[#This Row],[COSTO TOTAL ALOJAMIENTO]]+Tabla1[[#This Row],[COSTO TOTAL COCHE]]</f>
        <v>218.75749999999999</v>
      </c>
      <c r="S5396" s="2"/>
      <c r="T5396" s="14" t="s">
        <v>44</v>
      </c>
      <c r="U5396" s="14">
        <v>45953</v>
      </c>
      <c r="V5396" s="43">
        <v>45960</v>
      </c>
      <c r="W5396" s="71"/>
      <c r="X5396" s="2"/>
      <c r="Y5396" s="11" t="s">
        <v>7504</v>
      </c>
      <c r="Z5396" s="2" t="s">
        <v>36</v>
      </c>
      <c r="AA5396" s="13" t="s">
        <v>10349</v>
      </c>
      <c r="AB5396" s="13" t="s">
        <v>10350</v>
      </c>
    </row>
    <row r="5397" spans="1:28" ht="15" customHeight="1">
      <c r="A5397" s="2" t="s">
        <v>10160</v>
      </c>
      <c r="B5397" s="2" t="s">
        <v>711</v>
      </c>
      <c r="C5397" s="11" t="s">
        <v>6793</v>
      </c>
      <c r="D5397" s="2" t="s">
        <v>30</v>
      </c>
      <c r="E5397" s="2" t="s">
        <v>213</v>
      </c>
      <c r="F5397" s="11" t="s">
        <v>7502</v>
      </c>
      <c r="G5397" s="46" t="s">
        <v>7503</v>
      </c>
      <c r="H5397" s="2" t="s">
        <v>6732</v>
      </c>
      <c r="I5397" s="12" t="s">
        <v>4464</v>
      </c>
      <c r="J5397" s="41">
        <f>+Tabla1[[#This Row],[FECHA ENTRADA]]</f>
        <v>45953</v>
      </c>
      <c r="K5397" s="41">
        <v>45959</v>
      </c>
      <c r="L5397" s="42">
        <f>_xlfn.DAYS(Tabla1[[#This Row],[FECHA FIN ]],Tabla1[[#This Row],[FECHA INICIO]])</f>
        <v>6</v>
      </c>
      <c r="M5397" s="12">
        <f>875.03/4</f>
        <v>218.75749999999999</v>
      </c>
      <c r="N5397" s="28"/>
      <c r="O5397" s="28">
        <f>(Tabla1[[#This Row],[COSTO FIJO ]]/30)*Tabla1[[#This Row],[TOTAL DIAS PROYECTO]]+(Tabla1[[#This Row],[COSTO TEMPORAL]])</f>
        <v>218.75749999999999</v>
      </c>
      <c r="P5397" s="12"/>
      <c r="Q5397" s="12">
        <f>+(Tabla1[[#This Row],[COSTO COCHE]]/30)*Tabla1[[#This Row],[TOTAL DIAS PROYECTO]]</f>
        <v>0</v>
      </c>
      <c r="R5397" s="12">
        <f>+Tabla1[[#This Row],[COSTO TOTAL ALOJAMIENTO]]+Tabla1[[#This Row],[COSTO TOTAL COCHE]]</f>
        <v>218.75749999999999</v>
      </c>
      <c r="S5397" s="2"/>
      <c r="T5397" s="14" t="s">
        <v>44</v>
      </c>
      <c r="U5397" s="14">
        <v>45953</v>
      </c>
      <c r="V5397" s="43">
        <v>45960</v>
      </c>
      <c r="W5397" s="71"/>
      <c r="X5397" s="2"/>
      <c r="Y5397" s="11" t="s">
        <v>7504</v>
      </c>
      <c r="Z5397" s="2" t="s">
        <v>36</v>
      </c>
      <c r="AA5397" s="13" t="s">
        <v>10349</v>
      </c>
      <c r="AB5397" s="13" t="s">
        <v>10350</v>
      </c>
    </row>
    <row r="5398" spans="1:28" ht="15" customHeight="1">
      <c r="A5398" s="2" t="s">
        <v>10184</v>
      </c>
      <c r="B5398" s="2" t="s">
        <v>711</v>
      </c>
      <c r="C5398" s="31" t="s">
        <v>6988</v>
      </c>
      <c r="D5398" s="2" t="s">
        <v>30</v>
      </c>
      <c r="E5398" s="2" t="s">
        <v>538</v>
      </c>
      <c r="F5398" s="11" t="s">
        <v>7477</v>
      </c>
      <c r="G5398" s="21" t="s">
        <v>7478</v>
      </c>
      <c r="H5398" s="2" t="s">
        <v>6984</v>
      </c>
      <c r="I5398" s="12" t="s">
        <v>1392</v>
      </c>
      <c r="J5398" s="41">
        <f>+Tabla1[[#This Row],[FECHA ENTRADA]]</f>
        <v>46091</v>
      </c>
      <c r="K5398" s="22">
        <v>46133</v>
      </c>
      <c r="L5398" s="42">
        <f>_xlfn.DAYS(Tabla1[[#This Row],[FECHA FIN ]],Tabla1[[#This Row],[FECHA INICIO]])</f>
        <v>42</v>
      </c>
      <c r="M5398" s="12"/>
      <c r="N5398" s="28">
        <v>250</v>
      </c>
      <c r="O5398" s="28">
        <f>(Tabla1[[#This Row],[COSTO FIJO ]]/30)*Tabla1[[#This Row],[TOTAL DIAS PROYECTO]]+(Tabla1[[#This Row],[COSTO TEMPORAL]])</f>
        <v>350</v>
      </c>
      <c r="P5398" s="12"/>
      <c r="Q5398" s="12">
        <f>+(Tabla1[[#This Row],[COSTO COCHE]]/30)*Tabla1[[#This Row],[TOTAL DIAS PROYECTO]]</f>
        <v>0</v>
      </c>
      <c r="R5398" s="12">
        <f>+Tabla1[[#This Row],[COSTO TOTAL ALOJAMIENTO]]+Tabla1[[#This Row],[COSTO TOTAL COCHE]]</f>
        <v>350</v>
      </c>
      <c r="S5398" s="2"/>
      <c r="T5398" s="14" t="s">
        <v>35</v>
      </c>
      <c r="U5398" s="14">
        <v>46091</v>
      </c>
      <c r="V5398" s="43"/>
      <c r="W5398" s="12"/>
      <c r="X5398" s="2">
        <v>9</v>
      </c>
      <c r="Y5398" s="11" t="s">
        <v>7505</v>
      </c>
      <c r="Z5398" s="2" t="s">
        <v>36</v>
      </c>
      <c r="AA5398" s="13">
        <v>-378939</v>
      </c>
      <c r="AB5398" s="13">
        <v>3776578</v>
      </c>
    </row>
    <row r="5399" spans="1:28" ht="15" customHeight="1">
      <c r="A5399" s="2" t="s">
        <v>10185</v>
      </c>
      <c r="B5399" s="2" t="s">
        <v>711</v>
      </c>
      <c r="C5399" s="31" t="s">
        <v>6989</v>
      </c>
      <c r="D5399" s="2" t="s">
        <v>30</v>
      </c>
      <c r="E5399" s="2" t="s">
        <v>538</v>
      </c>
      <c r="F5399" s="11" t="s">
        <v>7477</v>
      </c>
      <c r="G5399" s="21" t="s">
        <v>7478</v>
      </c>
      <c r="H5399" s="2" t="s">
        <v>6984</v>
      </c>
      <c r="I5399" s="12" t="s">
        <v>1392</v>
      </c>
      <c r="J5399" s="41">
        <f>+Tabla1[[#This Row],[FECHA ENTRADA]]</f>
        <v>46122</v>
      </c>
      <c r="K5399" s="22">
        <v>46133</v>
      </c>
      <c r="L5399" s="42">
        <f>_xlfn.DAYS(Tabla1[[#This Row],[FECHA FIN ]],Tabla1[[#This Row],[FECHA INICIO]])</f>
        <v>11</v>
      </c>
      <c r="M5399" s="12"/>
      <c r="N5399" s="28">
        <v>250</v>
      </c>
      <c r="O5399" s="28">
        <f>(Tabla1[[#This Row],[COSTO FIJO ]]/30)*Tabla1[[#This Row],[TOTAL DIAS PROYECTO]]+(Tabla1[[#This Row],[COSTO TEMPORAL]])</f>
        <v>91.666666666666671</v>
      </c>
      <c r="P5399" s="12"/>
      <c r="Q5399" s="12">
        <f>+(Tabla1[[#This Row],[COSTO COCHE]]/30)*Tabla1[[#This Row],[TOTAL DIAS PROYECTO]]</f>
        <v>0</v>
      </c>
      <c r="R5399" s="12">
        <f>+Tabla1[[#This Row],[COSTO TOTAL ALOJAMIENTO]]+Tabla1[[#This Row],[COSTO TOTAL COCHE]]</f>
        <v>91.666666666666671</v>
      </c>
      <c r="S5399" s="2"/>
      <c r="T5399" s="14" t="s">
        <v>35</v>
      </c>
      <c r="U5399" s="14">
        <v>46122</v>
      </c>
      <c r="V5399" s="43"/>
      <c r="W5399" s="12"/>
      <c r="X5399" s="2">
        <v>9</v>
      </c>
      <c r="Y5399" s="11" t="s">
        <v>7506</v>
      </c>
      <c r="Z5399" s="2" t="s">
        <v>36</v>
      </c>
      <c r="AA5399" s="13">
        <v>-378939</v>
      </c>
      <c r="AB5399" s="13">
        <v>3776578</v>
      </c>
    </row>
    <row r="5400" spans="1:28" ht="15" customHeight="1">
      <c r="A5400" s="2" t="s">
        <v>9967</v>
      </c>
      <c r="B5400" s="2" t="s">
        <v>711</v>
      </c>
      <c r="C5400" s="11" t="s">
        <v>5752</v>
      </c>
      <c r="D5400" s="2" t="s">
        <v>30</v>
      </c>
      <c r="E5400" s="2" t="s">
        <v>127</v>
      </c>
      <c r="F5400" s="11" t="s">
        <v>5013</v>
      </c>
      <c r="G5400" s="46"/>
      <c r="H5400" s="2" t="s">
        <v>3440</v>
      </c>
      <c r="I5400" s="158" t="s">
        <v>96</v>
      </c>
      <c r="J5400" s="41">
        <f>+Tabla1[[#This Row],[FECHA ENTRADA]]</f>
        <v>46174</v>
      </c>
      <c r="K5400" s="41">
        <f ca="1">TODAY()</f>
        <v>46260</v>
      </c>
      <c r="L5400" s="42">
        <f ca="1">_xlfn.DAYS(Tabla1[[#This Row],[FECHA FIN ]],Tabla1[[#This Row],[FECHA INICIO]])</f>
        <v>86</v>
      </c>
      <c r="M5400" s="12"/>
      <c r="N5400" s="28">
        <v>0</v>
      </c>
      <c r="O5400" s="28">
        <f ca="1">(Tabla1[[#This Row],[COSTO FIJO ]]/30)*Tabla1[[#This Row],[TOTAL DIAS PROYECTO]]+(Tabla1[[#This Row],[COSTO TEMPORAL]])</f>
        <v>0</v>
      </c>
      <c r="P5400" s="12"/>
      <c r="Q5400" s="12">
        <f ca="1">+(Tabla1[[#This Row],[COSTO COCHE]]/30)*Tabla1[[#This Row],[TOTAL DIAS PROYECTO]]</f>
        <v>0</v>
      </c>
      <c r="R5400" s="12">
        <f ca="1">+Tabla1[[#This Row],[COSTO TOTAL ALOJAMIENTO]]+Tabla1[[#This Row],[COSTO TOTAL COCHE]]</f>
        <v>0</v>
      </c>
      <c r="S5400" s="2"/>
      <c r="T5400" s="14" t="s">
        <v>8</v>
      </c>
      <c r="U5400" s="14">
        <v>46174</v>
      </c>
      <c r="V5400" s="43"/>
      <c r="W5400" s="12"/>
      <c r="X5400" s="2"/>
      <c r="Y5400" s="11" t="s">
        <v>7371</v>
      </c>
      <c r="Z5400" s="2" t="s">
        <v>702</v>
      </c>
      <c r="AA5400" s="13" t="s">
        <v>10342</v>
      </c>
      <c r="AB5400" s="13" t="s">
        <v>10343</v>
      </c>
    </row>
    <row r="5401" spans="1:28" ht="15" customHeight="1">
      <c r="A5401" s="2" t="s">
        <v>9400</v>
      </c>
      <c r="B5401" s="2" t="s">
        <v>711</v>
      </c>
      <c r="C5401" s="31" t="s">
        <v>3052</v>
      </c>
      <c r="D5401" s="2" t="s">
        <v>30</v>
      </c>
      <c r="E5401" s="2" t="s">
        <v>422</v>
      </c>
      <c r="F5401" s="11" t="s">
        <v>1106</v>
      </c>
      <c r="G5401" s="21"/>
      <c r="H5401" s="2" t="s">
        <v>7507</v>
      </c>
      <c r="I5401" s="12" t="s">
        <v>7442</v>
      </c>
      <c r="J5401" s="22">
        <f>+Tabla1[[#This Row],[FECHA ENTRADA]]</f>
        <v>46047</v>
      </c>
      <c r="K5401" s="22">
        <v>46098</v>
      </c>
      <c r="L5401" s="23">
        <f>_xlfn.DAYS(Tabla1[[#This Row],[FECHA FIN ]],Tabla1[[#This Row],[FECHA INICIO]])</f>
        <v>51</v>
      </c>
      <c r="M5401" s="12"/>
      <c r="N5401" s="20">
        <v>0</v>
      </c>
      <c r="O5401" s="24">
        <f>(Tabla1[[#This Row],[COSTO FIJO ]]/30)*Tabla1[[#This Row],[TOTAL DIAS PROYECTO]]+(Tabla1[[#This Row],[COSTO TEMPORAL]])</f>
        <v>0</v>
      </c>
      <c r="P5401" s="12"/>
      <c r="Q5401" s="12">
        <f>+(Tabla1[[#This Row],[COSTO COCHE]]/30)*Tabla1[[#This Row],[TOTAL DIAS PROYECTO]]</f>
        <v>0</v>
      </c>
      <c r="R5401" s="12">
        <f>+Tabla1[[#This Row],[COSTO TOTAL ALOJAMIENTO]]+Tabla1[[#This Row],[COSTO TOTAL COCHE]]</f>
        <v>0</v>
      </c>
      <c r="S5401" s="2"/>
      <c r="T5401" s="2" t="s">
        <v>8</v>
      </c>
      <c r="U5401" s="14">
        <v>46047</v>
      </c>
      <c r="V5401" s="79"/>
      <c r="W5401" s="12"/>
      <c r="X5401" s="2"/>
      <c r="Y5401" s="11" t="s">
        <v>7508</v>
      </c>
      <c r="Z5401" s="2" t="s">
        <v>36</v>
      </c>
      <c r="AA5401" s="13">
        <v>-326.69799999999998</v>
      </c>
      <c r="AB5401" s="13" t="s">
        <v>10373</v>
      </c>
    </row>
    <row r="5402" spans="1:28" ht="15" customHeight="1">
      <c r="A5402" s="2" t="s">
        <v>8984</v>
      </c>
      <c r="B5402" s="2" t="s">
        <v>606</v>
      </c>
      <c r="C5402" s="31" t="s">
        <v>1594</v>
      </c>
      <c r="D5402" s="2" t="s">
        <v>30</v>
      </c>
      <c r="E5402" s="2" t="s">
        <v>259</v>
      </c>
      <c r="F5402" s="11" t="s">
        <v>7362</v>
      </c>
      <c r="G5402" s="128" t="s">
        <v>7374</v>
      </c>
      <c r="H5402" s="2" t="s">
        <v>4967</v>
      </c>
      <c r="I5402" s="12" t="s">
        <v>4003</v>
      </c>
      <c r="J5402" s="22">
        <f>+Tabla1[[#This Row],[FECHA ENTRADA]]</f>
        <v>46191</v>
      </c>
      <c r="K5402" s="22">
        <v>46203</v>
      </c>
      <c r="L5402" s="23">
        <f>_xlfn.DAYS(Tabla1[[#This Row],[FECHA FIN ]],Tabla1[[#This Row],[FECHA INICIO]])</f>
        <v>12</v>
      </c>
      <c r="M5402" s="12"/>
      <c r="N5402" s="24">
        <v>323.33333333333331</v>
      </c>
      <c r="O5402" s="24">
        <f>(Tabla1[[#This Row],[COSTO FIJO ]]/30)*Tabla1[[#This Row],[TOTAL DIAS PROYECTO]]+(Tabla1[[#This Row],[COSTO TEMPORAL]])</f>
        <v>129.33333333333331</v>
      </c>
      <c r="P5402" s="12"/>
      <c r="Q5402" s="12">
        <f>+(Tabla1[[#This Row],[COSTO COCHE]]/30)*Tabla1[[#This Row],[TOTAL DIAS PROYECTO]]</f>
        <v>0</v>
      </c>
      <c r="R5402" s="12">
        <f>+Tabla1[[#This Row],[COSTO TOTAL ALOJAMIENTO]]+Tabla1[[#This Row],[COSTO TOTAL COCHE]]</f>
        <v>129.33333333333331</v>
      </c>
      <c r="S5402" s="2"/>
      <c r="T5402" s="14" t="s">
        <v>35</v>
      </c>
      <c r="U5402" s="14">
        <v>46191</v>
      </c>
      <c r="V5402" s="79"/>
      <c r="W5402" s="12"/>
      <c r="X5402" s="2">
        <v>1</v>
      </c>
      <c r="Y5402" t="s">
        <v>7509</v>
      </c>
      <c r="Z5402" s="2" t="s">
        <v>36</v>
      </c>
      <c r="AA5402" s="13">
        <v>-0.87734000000000001</v>
      </c>
      <c r="AB5402" s="13" t="s">
        <v>10359</v>
      </c>
    </row>
    <row r="5403" spans="1:28" ht="15" customHeight="1">
      <c r="A5403" s="2" t="s">
        <v>9453</v>
      </c>
      <c r="B5403" s="2" t="s">
        <v>606</v>
      </c>
      <c r="C5403" s="11" t="s">
        <v>3228</v>
      </c>
      <c r="D5403" s="2" t="s">
        <v>30</v>
      </c>
      <c r="E5403" s="2" t="s">
        <v>422</v>
      </c>
      <c r="F5403" s="11" t="s">
        <v>956</v>
      </c>
      <c r="G5403" s="118" t="s">
        <v>957</v>
      </c>
      <c r="H5403" s="2" t="s">
        <v>7510</v>
      </c>
      <c r="I5403" s="12" t="s">
        <v>7511</v>
      </c>
      <c r="J5403" s="41">
        <f>+Tabla1[[#This Row],[FECHA ENTRADA]]</f>
        <v>46050</v>
      </c>
      <c r="K5403" s="22">
        <v>46080</v>
      </c>
      <c r="L5403" s="42">
        <f>_xlfn.DAYS(Tabla1[[#This Row],[FECHA FIN ]],Tabla1[[#This Row],[FECHA INICIO]])</f>
        <v>30</v>
      </c>
      <c r="M5403" s="12"/>
      <c r="N5403" s="28">
        <v>287.5</v>
      </c>
      <c r="O5403" s="28">
        <f>(Tabla1[[#This Row],[COSTO FIJO ]]/30)*Tabla1[[#This Row],[TOTAL DIAS PROYECTO]]+(Tabla1[[#This Row],[COSTO TEMPORAL]])</f>
        <v>287.5</v>
      </c>
      <c r="P5403" s="12"/>
      <c r="Q5403" s="12">
        <f>+(Tabla1[[#This Row],[COSTO COCHE]]/30)*Tabla1[[#This Row],[TOTAL DIAS PROYECTO]]</f>
        <v>0</v>
      </c>
      <c r="R5403" s="12">
        <f>+Tabla1[[#This Row],[COSTO TOTAL ALOJAMIENTO]]+Tabla1[[#This Row],[COSTO TOTAL COCHE]]</f>
        <v>287.5</v>
      </c>
      <c r="S5403" s="2"/>
      <c r="T5403" s="14" t="s">
        <v>35</v>
      </c>
      <c r="U5403" s="14">
        <v>46050</v>
      </c>
      <c r="V5403" s="43"/>
      <c r="W5403" s="12"/>
      <c r="X5403" s="2">
        <v>5</v>
      </c>
      <c r="Y5403" s="11" t="s">
        <v>7512</v>
      </c>
      <c r="Z5403" s="2" t="s">
        <v>36</v>
      </c>
      <c r="AA5403" s="13">
        <v>-326.69799999999998</v>
      </c>
      <c r="AB5403" s="13" t="s">
        <v>10373</v>
      </c>
    </row>
    <row r="5404" spans="1:28" ht="15" customHeight="1">
      <c r="A5404" s="2" t="s">
        <v>10048</v>
      </c>
      <c r="B5404" s="2" t="s">
        <v>711</v>
      </c>
      <c r="C5404" s="31" t="s">
        <v>6058</v>
      </c>
      <c r="D5404" s="2" t="s">
        <v>30</v>
      </c>
      <c r="E5404" s="2" t="s">
        <v>31</v>
      </c>
      <c r="F5404" s="11" t="s">
        <v>3911</v>
      </c>
      <c r="G5404" s="49" t="s">
        <v>3912</v>
      </c>
      <c r="H5404" s="2" t="s">
        <v>7513</v>
      </c>
      <c r="I5404" s="12" t="s">
        <v>7514</v>
      </c>
      <c r="J5404" s="22">
        <f>+Tabla1[[#This Row],[FECHA ENTRADA]]</f>
        <v>46070</v>
      </c>
      <c r="K5404" s="22">
        <v>46107</v>
      </c>
      <c r="L5404" s="23">
        <f>_xlfn.DAYS(Tabla1[[#This Row],[FECHA FIN ]],Tabla1[[#This Row],[FECHA INICIO]])</f>
        <v>37</v>
      </c>
      <c r="M5404" s="12"/>
      <c r="N5404" s="24">
        <v>450</v>
      </c>
      <c r="O5404" s="24">
        <f>(Tabla1[[#This Row],[COSTO FIJO ]]/30)*Tabla1[[#This Row],[TOTAL DIAS PROYECTO]]+(Tabla1[[#This Row],[COSTO TEMPORAL]])</f>
        <v>555</v>
      </c>
      <c r="P5404" s="12"/>
      <c r="Q5404" s="12">
        <f>+(Tabla1[[#This Row],[COSTO COCHE]]/30)*Tabla1[[#This Row],[TOTAL DIAS PROYECTO]]</f>
        <v>0</v>
      </c>
      <c r="R5404" s="12">
        <f>+Tabla1[[#This Row],[COSTO TOTAL ALOJAMIENTO]]+Tabla1[[#This Row],[COSTO TOTAL COCHE]]</f>
        <v>555</v>
      </c>
      <c r="S5404" s="2"/>
      <c r="T5404" s="14" t="s">
        <v>35</v>
      </c>
      <c r="U5404" s="14">
        <v>46070</v>
      </c>
      <c r="V5404" s="25"/>
      <c r="W5404" s="12">
        <v>150</v>
      </c>
      <c r="X5404" s="2">
        <v>15</v>
      </c>
      <c r="Y5404" s="11" t="s">
        <v>7515</v>
      </c>
      <c r="Z5404" s="2" t="s">
        <v>36</v>
      </c>
      <c r="AA5404" s="13" t="s">
        <v>10323</v>
      </c>
      <c r="AB5404" s="13" t="s">
        <v>10324</v>
      </c>
    </row>
    <row r="5405" spans="1:28" ht="15" customHeight="1">
      <c r="A5405" s="2" t="s">
        <v>9918</v>
      </c>
      <c r="B5405" s="2" t="s">
        <v>711</v>
      </c>
      <c r="C5405" s="11" t="s">
        <v>5434</v>
      </c>
      <c r="D5405" s="2" t="s">
        <v>30</v>
      </c>
      <c r="E5405" s="2" t="s">
        <v>648</v>
      </c>
      <c r="F5405" s="11"/>
      <c r="G5405" s="21"/>
      <c r="H5405" s="2" t="s">
        <v>2104</v>
      </c>
      <c r="I5405" s="12" t="s">
        <v>96</v>
      </c>
      <c r="J5405" s="22">
        <f>+Tabla1[[#This Row],[FECHA ENTRADA]]</f>
        <v>46067</v>
      </c>
      <c r="K5405" s="22">
        <f ca="1">TODAY()</f>
        <v>46260</v>
      </c>
      <c r="L5405" s="23">
        <f ca="1">_xlfn.DAYS(Tabla1[[#This Row],[FECHA FIN ]],Tabla1[[#This Row],[FECHA INICIO]])</f>
        <v>193</v>
      </c>
      <c r="M5405" s="12"/>
      <c r="N5405" s="20">
        <v>300</v>
      </c>
      <c r="O5405" s="24">
        <f ca="1">(Tabla1[[#This Row],[COSTO FIJO ]]/30)*Tabla1[[#This Row],[TOTAL DIAS PROYECTO]]+(Tabla1[[#This Row],[COSTO TEMPORAL]])</f>
        <v>1930</v>
      </c>
      <c r="P5405" s="12"/>
      <c r="Q5405" s="12">
        <f ca="1">+(Tabla1[[#This Row],[COSTO COCHE]]/30)*Tabla1[[#This Row],[TOTAL DIAS PROYECTO]]</f>
        <v>0</v>
      </c>
      <c r="R5405" s="12">
        <f ca="1">+Tabla1[[#This Row],[COSTO TOTAL ALOJAMIENTO]]+Tabla1[[#This Row],[COSTO TOTAL COCHE]]</f>
        <v>1930</v>
      </c>
      <c r="S5405" s="2"/>
      <c r="T5405" s="14" t="s">
        <v>58</v>
      </c>
      <c r="U5405" s="14">
        <v>46067</v>
      </c>
      <c r="V5405" s="79"/>
      <c r="W5405" s="12"/>
      <c r="X5405" s="2"/>
      <c r="Y5405" s="11"/>
      <c r="Z5405" s="2" t="s">
        <v>702</v>
      </c>
      <c r="AA5405" s="13" t="s">
        <v>10387</v>
      </c>
      <c r="AB5405" s="13" t="s">
        <v>10388</v>
      </c>
    </row>
    <row r="5406" spans="1:28" ht="15" customHeight="1">
      <c r="A5406" s="2" t="s">
        <v>9319</v>
      </c>
      <c r="B5406" s="2" t="s">
        <v>711</v>
      </c>
      <c r="C5406" s="31" t="s">
        <v>2812</v>
      </c>
      <c r="D5406" s="2" t="s">
        <v>30</v>
      </c>
      <c r="E5406" s="2" t="s">
        <v>114</v>
      </c>
      <c r="F5406" s="11" t="s">
        <v>6956</v>
      </c>
      <c r="G5406" s="128" t="s">
        <v>3882</v>
      </c>
      <c r="H5406" s="2" t="s">
        <v>6775</v>
      </c>
      <c r="I5406" s="12" t="s">
        <v>118</v>
      </c>
      <c r="J5406" s="41">
        <f>+Tabla1[[#This Row],[FECHA ENTRADA]]</f>
        <v>46131</v>
      </c>
      <c r="K5406" s="41">
        <v>46195</v>
      </c>
      <c r="L5406" s="42">
        <f>_xlfn.DAYS(Tabla1[[#This Row],[FECHA FIN ]],Tabla1[[#This Row],[FECHA INICIO]])</f>
        <v>64</v>
      </c>
      <c r="M5406" s="12"/>
      <c r="N5406" s="20">
        <v>325</v>
      </c>
      <c r="O5406" s="28">
        <f>(Tabla1[[#This Row],[COSTO FIJO ]]/30)*Tabla1[[#This Row],[TOTAL DIAS PROYECTO]]+(Tabla1[[#This Row],[COSTO TEMPORAL]])</f>
        <v>693.33333333333337</v>
      </c>
      <c r="P5406" s="12"/>
      <c r="Q5406" s="12">
        <f>+(Tabla1[[#This Row],[COSTO COCHE]]/30)*Tabla1[[#This Row],[TOTAL DIAS PROYECTO]]</f>
        <v>0</v>
      </c>
      <c r="R5406" s="12">
        <f>+Tabla1[[#This Row],[COSTO TOTAL ALOJAMIENTO]]+Tabla1[[#This Row],[COSTO TOTAL COCHE]]</f>
        <v>693.33333333333337</v>
      </c>
      <c r="S5406" s="2"/>
      <c r="T5406" s="14" t="s">
        <v>35</v>
      </c>
      <c r="U5406" s="14">
        <v>46131</v>
      </c>
      <c r="V5406" s="43"/>
      <c r="W5406" s="12"/>
      <c r="X5406" s="2">
        <v>5</v>
      </c>
      <c r="Y5406" s="11" t="s">
        <v>7516</v>
      </c>
      <c r="Z5406" s="2" t="s">
        <v>36</v>
      </c>
      <c r="AA5406" s="13" t="s">
        <v>10340</v>
      </c>
      <c r="AB5406" s="13" t="s">
        <v>10341</v>
      </c>
    </row>
    <row r="5407" spans="1:28" ht="15" customHeight="1">
      <c r="A5407" s="2" t="s">
        <v>9101</v>
      </c>
      <c r="B5407" s="2" t="s">
        <v>711</v>
      </c>
      <c r="C5407" s="104" t="s">
        <v>2027</v>
      </c>
      <c r="D5407" s="2" t="s">
        <v>30</v>
      </c>
      <c r="E5407" s="2" t="s">
        <v>608</v>
      </c>
      <c r="F5407" s="11" t="s">
        <v>6520</v>
      </c>
      <c r="G5407" s="70" t="s">
        <v>6833</v>
      </c>
      <c r="H5407" s="2" t="s">
        <v>5380</v>
      </c>
      <c r="I5407" s="12" t="s">
        <v>5381</v>
      </c>
      <c r="J5407" s="22">
        <f>+Tabla1[[#This Row],[FECHA ENTRADA]]</f>
        <v>46065</v>
      </c>
      <c r="K5407" s="22">
        <f ca="1">TODAY()</f>
        <v>46260</v>
      </c>
      <c r="L5407" s="23">
        <f ca="1">_xlfn.DAYS(Tabla1[[#This Row],[FECHA FIN ]],Tabla1[[#This Row],[FECHA INICIO]])</f>
        <v>195</v>
      </c>
      <c r="M5407" s="12"/>
      <c r="N5407" s="20">
        <v>561</v>
      </c>
      <c r="O5407" s="24">
        <f ca="1">(Tabla1[[#This Row],[COSTO FIJO ]]/30)*Tabla1[[#This Row],[TOTAL DIAS PROYECTO]]+(Tabla1[[#This Row],[COSTO TEMPORAL]])</f>
        <v>3646.5</v>
      </c>
      <c r="P5407" s="12"/>
      <c r="Q5407" s="12">
        <f ca="1">+(Tabla1[[#This Row],[COSTO COCHE]]/30)*Tabla1[[#This Row],[TOTAL DIAS PROYECTO]]</f>
        <v>0</v>
      </c>
      <c r="R5407" s="12">
        <f ca="1">+Tabla1[[#This Row],[COSTO TOTAL ALOJAMIENTO]]+Tabla1[[#This Row],[COSTO TOTAL COCHE]]</f>
        <v>3646.5</v>
      </c>
      <c r="S5407" s="2"/>
      <c r="T5407" s="14" t="s">
        <v>35</v>
      </c>
      <c r="U5407" s="14">
        <v>46065</v>
      </c>
      <c r="V5407" s="79"/>
      <c r="W5407" s="12"/>
      <c r="X5407" s="2">
        <v>1</v>
      </c>
      <c r="Y5407" s="11" t="s">
        <v>7480</v>
      </c>
      <c r="Z5407" s="2" t="s">
        <v>702</v>
      </c>
      <c r="AA5407" s="13" t="s">
        <v>10383</v>
      </c>
      <c r="AB5407" s="13" t="s">
        <v>10384</v>
      </c>
    </row>
    <row r="5408" spans="1:28" ht="15" customHeight="1">
      <c r="A5408" s="2" t="s">
        <v>10108</v>
      </c>
      <c r="B5408" s="2" t="s">
        <v>711</v>
      </c>
      <c r="C5408" s="195" t="s">
        <v>6437</v>
      </c>
      <c r="D5408" s="2" t="s">
        <v>99</v>
      </c>
      <c r="E5408" s="2" t="s">
        <v>61</v>
      </c>
      <c r="F5408" s="11" t="s">
        <v>7517</v>
      </c>
      <c r="G5408" s="128" t="s">
        <v>7518</v>
      </c>
      <c r="H5408" s="2" t="s">
        <v>6438</v>
      </c>
      <c r="I5408" s="12" t="s">
        <v>5897</v>
      </c>
      <c r="J5408" s="22">
        <f>+Tabla1[[#This Row],[FECHA ENTRADA]]</f>
        <v>46014</v>
      </c>
      <c r="K5408" s="22">
        <v>46150</v>
      </c>
      <c r="L5408" s="23">
        <f>_xlfn.DAYS(Tabla1[[#This Row],[FECHA FIN ]],Tabla1[[#This Row],[FECHA INICIO]])</f>
        <v>136</v>
      </c>
      <c r="M5408" s="12"/>
      <c r="N5408" s="20">
        <v>280</v>
      </c>
      <c r="O5408" s="24">
        <f>(Tabla1[[#This Row],[COSTO FIJO ]]/30)*Tabla1[[#This Row],[TOTAL DIAS PROYECTO]]+(Tabla1[[#This Row],[COSTO TEMPORAL]])</f>
        <v>1269.3333333333335</v>
      </c>
      <c r="P5408" s="12"/>
      <c r="Q5408" s="12">
        <f>+(Tabla1[[#This Row],[COSTO COCHE]]/30)*Tabla1[[#This Row],[TOTAL DIAS PROYECTO]]</f>
        <v>0</v>
      </c>
      <c r="R5408" s="12">
        <f>+Tabla1[[#This Row],[COSTO TOTAL ALOJAMIENTO]]+Tabla1[[#This Row],[COSTO TOTAL COCHE]]</f>
        <v>1269.3333333333335</v>
      </c>
      <c r="S5408" s="2"/>
      <c r="T5408" s="14" t="s">
        <v>35</v>
      </c>
      <c r="U5408" s="14">
        <v>46014</v>
      </c>
      <c r="V5408" s="79"/>
      <c r="W5408" s="12">
        <v>260</v>
      </c>
      <c r="X5408" s="2">
        <v>5</v>
      </c>
      <c r="Y5408" s="11" t="s">
        <v>7519</v>
      </c>
      <c r="Z5408" s="2" t="s">
        <v>36</v>
      </c>
      <c r="AA5408" s="13" t="s">
        <v>10329</v>
      </c>
      <c r="AB5408" s="13" t="s">
        <v>10330</v>
      </c>
    </row>
    <row r="5409" spans="1:28" ht="15" customHeight="1">
      <c r="A5409" s="2" t="s">
        <v>9759</v>
      </c>
      <c r="B5409" s="2" t="s">
        <v>711</v>
      </c>
      <c r="C5409" s="321" t="s">
        <v>4589</v>
      </c>
      <c r="D5409" s="2" t="s">
        <v>30</v>
      </c>
      <c r="E5409" s="2" t="s">
        <v>87</v>
      </c>
      <c r="F5409" s="11" t="s">
        <v>1668</v>
      </c>
      <c r="G5409" s="328" t="s">
        <v>1669</v>
      </c>
      <c r="H5409" s="2" t="s">
        <v>6351</v>
      </c>
      <c r="I5409" s="12" t="s">
        <v>989</v>
      </c>
      <c r="J5409" s="22">
        <f>+Tabla1[[#This Row],[FECHA ENTRADA]]</f>
        <v>46009</v>
      </c>
      <c r="K5409" s="22">
        <v>46039</v>
      </c>
      <c r="L5409" s="23">
        <f>_xlfn.DAYS(Tabla1[[#This Row],[FECHA FIN ]],Tabla1[[#This Row],[FECHA INICIO]])</f>
        <v>30</v>
      </c>
      <c r="M5409" s="12"/>
      <c r="N5409" s="20">
        <f>1663/6</f>
        <v>277.16666666666669</v>
      </c>
      <c r="O5409" s="24">
        <f>(Tabla1[[#This Row],[COSTO FIJO ]]/30)*Tabla1[[#This Row],[TOTAL DIAS PROYECTO]]+(Tabla1[[#This Row],[COSTO TEMPORAL]])</f>
        <v>277.16666666666669</v>
      </c>
      <c r="P5409" s="12"/>
      <c r="Q5409" s="12">
        <f>+(Tabla1[[#This Row],[COSTO COCHE]]/30)*Tabla1[[#This Row],[TOTAL DIAS PROYECTO]]</f>
        <v>0</v>
      </c>
      <c r="R5409" s="12">
        <f>+Tabla1[[#This Row],[COSTO TOTAL ALOJAMIENTO]]+Tabla1[[#This Row],[COSTO TOTAL COCHE]]</f>
        <v>277.16666666666669</v>
      </c>
      <c r="S5409" s="2"/>
      <c r="T5409" s="14" t="s">
        <v>35</v>
      </c>
      <c r="U5409" s="14">
        <v>46009</v>
      </c>
      <c r="V5409" s="79"/>
      <c r="W5409" s="12"/>
      <c r="X5409" s="2">
        <v>5</v>
      </c>
      <c r="Y5409" s="11" t="s">
        <v>6606</v>
      </c>
      <c r="Z5409" s="2" t="s">
        <v>36</v>
      </c>
      <c r="AA5409" s="13" t="s">
        <v>10335</v>
      </c>
      <c r="AB5409" s="13">
        <v>404.16500000000002</v>
      </c>
    </row>
    <row r="5410" spans="1:28" ht="15" customHeight="1">
      <c r="A5410" s="2" t="s">
        <v>9779</v>
      </c>
      <c r="B5410" s="2" t="s">
        <v>978</v>
      </c>
      <c r="C5410" s="322" t="s">
        <v>4698</v>
      </c>
      <c r="D5410" s="2" t="s">
        <v>30</v>
      </c>
      <c r="E5410" s="2" t="s">
        <v>380</v>
      </c>
      <c r="F5410" s="11" t="s">
        <v>6790</v>
      </c>
      <c r="G5410" s="107" t="s">
        <v>6791</v>
      </c>
      <c r="H5410" s="2" t="s">
        <v>6296</v>
      </c>
      <c r="I5410" s="12" t="s">
        <v>4681</v>
      </c>
      <c r="J5410" s="41">
        <f>+Tabla1[[#This Row],[FECHA ENTRADA]]</f>
        <v>46088</v>
      </c>
      <c r="K5410" s="41">
        <v>46088</v>
      </c>
      <c r="L5410" s="42">
        <f>_xlfn.DAYS(Tabla1[[#This Row],[FECHA FIN ]],Tabla1[[#This Row],[FECHA INICIO]])</f>
        <v>0</v>
      </c>
      <c r="M5410" s="12"/>
      <c r="N5410" s="28">
        <v>690</v>
      </c>
      <c r="O5410" s="28">
        <f>(Tabla1[[#This Row],[COSTO FIJO ]]/30)*Tabla1[[#This Row],[TOTAL DIAS PROYECTO]]+(Tabla1[[#This Row],[COSTO TEMPORAL]])</f>
        <v>0</v>
      </c>
      <c r="P5410" s="12"/>
      <c r="Q5410" s="12">
        <f>+(Tabla1[[#This Row],[COSTO COCHE]]/30)*Tabla1[[#This Row],[TOTAL DIAS PROYECTO]]</f>
        <v>0</v>
      </c>
      <c r="R5410" s="12">
        <f>+Tabla1[[#This Row],[COSTO TOTAL ALOJAMIENTO]]+Tabla1[[#This Row],[COSTO TOTAL COCHE]]</f>
        <v>0</v>
      </c>
      <c r="S5410" s="2"/>
      <c r="T5410" s="14" t="s">
        <v>35</v>
      </c>
      <c r="U5410" s="14">
        <v>46088</v>
      </c>
      <c r="V5410" s="43"/>
      <c r="W5410" s="12">
        <v>350</v>
      </c>
      <c r="X5410" s="2">
        <v>7</v>
      </c>
      <c r="Y5410" s="11" t="s">
        <v>7520</v>
      </c>
      <c r="Z5410" s="2" t="s">
        <v>36</v>
      </c>
      <c r="AA5410" s="13" t="s">
        <v>10370</v>
      </c>
      <c r="AB5410" s="13" t="s">
        <v>10371</v>
      </c>
    </row>
    <row r="5411" spans="1:28" ht="15" customHeight="1">
      <c r="A5411" s="2" t="s">
        <v>10199</v>
      </c>
      <c r="B5411" s="2" t="s">
        <v>711</v>
      </c>
      <c r="C5411" s="322" t="s">
        <v>7111</v>
      </c>
      <c r="D5411" s="2" t="s">
        <v>30</v>
      </c>
      <c r="E5411" s="2" t="s">
        <v>213</v>
      </c>
      <c r="F5411" s="11" t="s">
        <v>7502</v>
      </c>
      <c r="G5411" s="46" t="s">
        <v>7503</v>
      </c>
      <c r="H5411" s="2" t="s">
        <v>6732</v>
      </c>
      <c r="I5411" s="12" t="s">
        <v>4464</v>
      </c>
      <c r="J5411" s="41">
        <f>+Tabla1[[#This Row],[FECHA ENTRADA]]</f>
        <v>45953</v>
      </c>
      <c r="K5411" s="41">
        <v>45959</v>
      </c>
      <c r="L5411" s="42">
        <f>_xlfn.DAYS(Tabla1[[#This Row],[FECHA FIN ]],Tabla1[[#This Row],[FECHA INICIO]])</f>
        <v>6</v>
      </c>
      <c r="M5411" s="12">
        <f>875.03/4</f>
        <v>218.75749999999999</v>
      </c>
      <c r="N5411" s="28"/>
      <c r="O5411" s="28">
        <f>(Tabla1[[#This Row],[COSTO FIJO ]]/30)*Tabla1[[#This Row],[TOTAL DIAS PROYECTO]]+(Tabla1[[#This Row],[COSTO TEMPORAL]])</f>
        <v>218.75749999999999</v>
      </c>
      <c r="P5411" s="12"/>
      <c r="Q5411" s="12">
        <f>+(Tabla1[[#This Row],[COSTO COCHE]]/30)*Tabla1[[#This Row],[TOTAL DIAS PROYECTO]]</f>
        <v>0</v>
      </c>
      <c r="R5411" s="12">
        <f>+Tabla1[[#This Row],[COSTO TOTAL ALOJAMIENTO]]+Tabla1[[#This Row],[COSTO TOTAL COCHE]]</f>
        <v>218.75749999999999</v>
      </c>
      <c r="S5411" s="2"/>
      <c r="T5411" s="14" t="s">
        <v>44</v>
      </c>
      <c r="U5411" s="14">
        <v>45953</v>
      </c>
      <c r="V5411" s="43">
        <v>45960</v>
      </c>
      <c r="W5411" s="71"/>
      <c r="X5411" s="2"/>
      <c r="Y5411" s="11" t="s">
        <v>7504</v>
      </c>
      <c r="Z5411" s="2" t="s">
        <v>36</v>
      </c>
      <c r="AA5411" s="13" t="s">
        <v>10349</v>
      </c>
      <c r="AB5411" s="13" t="s">
        <v>10350</v>
      </c>
    </row>
    <row r="5412" spans="1:28" ht="15" customHeight="1">
      <c r="A5412" s="2" t="s">
        <v>8642</v>
      </c>
      <c r="B5412" s="2" t="s">
        <v>28</v>
      </c>
      <c r="C5412" s="322" t="s">
        <v>7354</v>
      </c>
      <c r="D5412" s="2" t="s">
        <v>749</v>
      </c>
      <c r="E5412" s="2" t="s">
        <v>288</v>
      </c>
      <c r="F5412" s="11" t="s">
        <v>6601</v>
      </c>
      <c r="G5412" s="70" t="s">
        <v>1142</v>
      </c>
      <c r="H5412" s="2"/>
      <c r="I5412" s="12" t="s">
        <v>753</v>
      </c>
      <c r="J5412" s="22">
        <f>+Tabla1[[#This Row],[FECHA ENTRADA]]</f>
        <v>46023</v>
      </c>
      <c r="K5412" s="22">
        <f ca="1">TODAY()</f>
        <v>46260</v>
      </c>
      <c r="L5412" s="23">
        <f ca="1">_xlfn.DAYS(Tabla1[[#This Row],[FECHA FIN ]],Tabla1[[#This Row],[FECHA INICIO]])</f>
        <v>237</v>
      </c>
      <c r="M5412" s="12"/>
      <c r="N5412" s="20">
        <v>325.5</v>
      </c>
      <c r="O5412" s="24">
        <f ca="1">(Tabla1[[#This Row],[COSTO FIJO ]]/30)*Tabla1[[#This Row],[TOTAL DIAS PROYECTO]]+(Tabla1[[#This Row],[COSTO TEMPORAL]])</f>
        <v>2571.4499999999998</v>
      </c>
      <c r="P5412" s="12"/>
      <c r="Q5412" s="12">
        <f ca="1">+(Tabla1[[#This Row],[COSTO COCHE]]/30)*Tabla1[[#This Row],[TOTAL DIAS PROYECTO]]</f>
        <v>0</v>
      </c>
      <c r="R5412" s="12">
        <f ca="1">+Tabla1[[#This Row],[COSTO TOTAL ALOJAMIENTO]]+Tabla1[[#This Row],[COSTO TOTAL COCHE]]</f>
        <v>2571.4499999999998</v>
      </c>
      <c r="S5412" s="2"/>
      <c r="T5412" s="14" t="s">
        <v>35</v>
      </c>
      <c r="U5412" s="14">
        <v>46023</v>
      </c>
      <c r="V5412" s="79"/>
      <c r="W5412" s="12"/>
      <c r="X5412" s="2">
        <v>1</v>
      </c>
      <c r="Y5412" s="11"/>
      <c r="Z5412" s="2" t="s">
        <v>702</v>
      </c>
      <c r="AA5412" s="13" t="s">
        <v>10362</v>
      </c>
      <c r="AB5412" s="13" t="s">
        <v>10363</v>
      </c>
    </row>
    <row r="5413" spans="1:28" ht="15" customHeight="1">
      <c r="A5413" s="2" t="s">
        <v>9509</v>
      </c>
      <c r="B5413" s="2" t="s">
        <v>28</v>
      </c>
      <c r="C5413" s="11" t="s">
        <v>3467</v>
      </c>
      <c r="D5413" s="2" t="s">
        <v>99</v>
      </c>
      <c r="E5413" s="2" t="s">
        <v>127</v>
      </c>
      <c r="F5413" s="11" t="s">
        <v>820</v>
      </c>
      <c r="G5413" s="21" t="s">
        <v>1234</v>
      </c>
      <c r="H5413" s="2" t="s">
        <v>1605</v>
      </c>
      <c r="I5413" s="12" t="s">
        <v>96</v>
      </c>
      <c r="J5413" s="22">
        <f>+Tabla1[[#This Row],[FECHA ENTRADA]]</f>
        <v>45726</v>
      </c>
      <c r="K5413" s="22">
        <v>45821</v>
      </c>
      <c r="L5413" s="23">
        <f>_xlfn.DAYS(Tabla1[[#This Row],[FECHA FIN ]],Tabla1[[#This Row],[FECHA INICIO]])</f>
        <v>95</v>
      </c>
      <c r="M5413" s="12"/>
      <c r="N5413" s="12">
        <f>1811.6/17</f>
        <v>106.56470588235294</v>
      </c>
      <c r="O5413" s="24">
        <f>(Tabla1[[#This Row],[COSTO FIJO ]]/30)*Tabla1[[#This Row],[TOTAL DIAS PROYECTO]]+(Tabla1[[#This Row],[COSTO TEMPORAL]])</f>
        <v>337.4549019607843</v>
      </c>
      <c r="P5413" s="12"/>
      <c r="Q5413" s="12">
        <f>+(Tabla1[[#This Row],[COSTO COCHE]]/30)*Tabla1[[#This Row],[TOTAL DIAS PROYECTO]]</f>
        <v>0</v>
      </c>
      <c r="R5413" s="12">
        <f>+Tabla1[[#This Row],[COSTO TOTAL ALOJAMIENTO]]+Tabla1[[#This Row],[COSTO TOTAL COCHE]]</f>
        <v>337.4549019607843</v>
      </c>
      <c r="S5413" s="2"/>
      <c r="T5413" s="2" t="s">
        <v>44</v>
      </c>
      <c r="U5413" s="14">
        <v>45726</v>
      </c>
      <c r="V5413" s="25">
        <v>45731</v>
      </c>
      <c r="W5413" s="26"/>
      <c r="X5413" s="2"/>
      <c r="Y5413" s="11" t="s">
        <v>1166</v>
      </c>
      <c r="Z5413" s="2" t="s">
        <v>36</v>
      </c>
      <c r="AA5413" s="13" t="s">
        <v>10342</v>
      </c>
      <c r="AB5413" s="13" t="s">
        <v>10343</v>
      </c>
    </row>
    <row r="5414" spans="1:28" ht="15" customHeight="1">
      <c r="A5414" s="2" t="s">
        <v>9010</v>
      </c>
      <c r="B5414" s="2" t="s">
        <v>711</v>
      </c>
      <c r="C5414" s="31" t="s">
        <v>1687</v>
      </c>
      <c r="D5414" s="2" t="s">
        <v>30</v>
      </c>
      <c r="E5414" s="2" t="s">
        <v>253</v>
      </c>
      <c r="F5414" s="11" t="s">
        <v>1528</v>
      </c>
      <c r="G5414" s="21" t="s">
        <v>7521</v>
      </c>
      <c r="H5414" s="2" t="s">
        <v>1690</v>
      </c>
      <c r="I5414" s="12" t="s">
        <v>1232</v>
      </c>
      <c r="J5414" s="22">
        <f>+Tabla1[[#This Row],[FECHA ENTRADA]]</f>
        <v>45761</v>
      </c>
      <c r="K5414" s="8">
        <v>46142</v>
      </c>
      <c r="L5414" s="13">
        <f>_xlfn.DAYS(Tabla1[[#This Row],[FECHA FIN ]],Tabla1[[#This Row],[FECHA INICIO]])</f>
        <v>381</v>
      </c>
      <c r="M5414" s="12"/>
      <c r="N5414" s="24">
        <v>530</v>
      </c>
      <c r="O5414" s="12">
        <f>(Tabla1[[#This Row],[COSTO FIJO ]]/30)*Tabla1[[#This Row],[TOTAL DIAS PROYECTO]]+(Tabla1[[#This Row],[COSTO TEMPORAL]])</f>
        <v>6731</v>
      </c>
      <c r="P5414" s="12"/>
      <c r="Q5414" s="12">
        <f>+(Tabla1[[#This Row],[COSTO COCHE]]/30)*Tabla1[[#This Row],[TOTAL DIAS PROYECTO]]</f>
        <v>0</v>
      </c>
      <c r="R5414" s="12">
        <f>+Tabla1[[#This Row],[COSTO TOTAL ALOJAMIENTO]]+Tabla1[[#This Row],[COSTO TOTAL COCHE]]</f>
        <v>6731</v>
      </c>
      <c r="S5414" s="2"/>
      <c r="T5414" s="2" t="s">
        <v>35</v>
      </c>
      <c r="U5414" s="14">
        <v>45761</v>
      </c>
      <c r="V5414" s="14"/>
      <c r="W5414" s="12"/>
      <c r="X5414" s="2">
        <v>12</v>
      </c>
      <c r="Y5414" s="11" t="s">
        <v>7497</v>
      </c>
      <c r="Z5414" s="2" t="s">
        <v>36</v>
      </c>
      <c r="AA5414" s="13" t="s">
        <v>10357</v>
      </c>
      <c r="AB5414" s="13" t="s">
        <v>10358</v>
      </c>
    </row>
    <row r="5415" spans="1:28" ht="15" customHeight="1">
      <c r="A5415" s="2" t="s">
        <v>9509</v>
      </c>
      <c r="B5415" s="2" t="s">
        <v>28</v>
      </c>
      <c r="C5415" s="322" t="s">
        <v>3467</v>
      </c>
      <c r="D5415" s="2" t="s">
        <v>99</v>
      </c>
      <c r="E5415" s="2" t="s">
        <v>127</v>
      </c>
      <c r="F5415" s="11" t="s">
        <v>1643</v>
      </c>
      <c r="G5415" s="49" t="s">
        <v>1644</v>
      </c>
      <c r="H5415" s="2" t="s">
        <v>1605</v>
      </c>
      <c r="I5415" s="12" t="s">
        <v>96</v>
      </c>
      <c r="J5415" s="22">
        <f>+Tabla1[[#This Row],[FECHA ENTRADA]]</f>
        <v>45731</v>
      </c>
      <c r="K5415" s="22">
        <v>45821</v>
      </c>
      <c r="L5415" s="23">
        <f>_xlfn.DAYS(Tabla1[[#This Row],[FECHA FIN ]],Tabla1[[#This Row],[FECHA INICIO]])</f>
        <v>90</v>
      </c>
      <c r="M5415" s="12"/>
      <c r="N5415" s="12">
        <f>1811.6/17</f>
        <v>106.56470588235294</v>
      </c>
      <c r="O5415" s="24">
        <f>(Tabla1[[#This Row],[COSTO FIJO ]]/30)*Tabla1[[#This Row],[TOTAL DIAS PROYECTO]]+(Tabla1[[#This Row],[COSTO TEMPORAL]])</f>
        <v>319.69411764705882</v>
      </c>
      <c r="P5415" s="12"/>
      <c r="Q5415" s="12">
        <f>+(Tabla1[[#This Row],[COSTO COCHE]]/30)*Tabla1[[#This Row],[TOTAL DIAS PROYECTO]]</f>
        <v>0</v>
      </c>
      <c r="R5415" s="12">
        <f>+Tabla1[[#This Row],[COSTO TOTAL ALOJAMIENTO]]+Tabla1[[#This Row],[COSTO TOTAL COCHE]]</f>
        <v>319.69411764705882</v>
      </c>
      <c r="S5415" s="2" t="s">
        <v>403</v>
      </c>
      <c r="T5415" s="2" t="s">
        <v>44</v>
      </c>
      <c r="U5415" s="14">
        <v>45731</v>
      </c>
      <c r="V5415" s="25">
        <v>45732</v>
      </c>
      <c r="W5415" s="26"/>
      <c r="X5415" s="2"/>
      <c r="Y5415" s="11" t="s">
        <v>1166</v>
      </c>
      <c r="Z5415" s="2" t="s">
        <v>36</v>
      </c>
      <c r="AA5415" s="13" t="s">
        <v>10342</v>
      </c>
      <c r="AB5415" s="13" t="s">
        <v>10343</v>
      </c>
    </row>
    <row r="5416" spans="1:28" ht="15" customHeight="1">
      <c r="A5416" s="2" t="s">
        <v>8971</v>
      </c>
      <c r="B5416" s="2" t="s">
        <v>606</v>
      </c>
      <c r="C5416" s="11" t="s">
        <v>1548</v>
      </c>
      <c r="D5416" s="2" t="s">
        <v>30</v>
      </c>
      <c r="E5416" s="2" t="s">
        <v>31</v>
      </c>
      <c r="F5416" s="11" t="s">
        <v>6583</v>
      </c>
      <c r="G5416" s="128" t="s">
        <v>6584</v>
      </c>
      <c r="H5416" s="2" t="s">
        <v>1551</v>
      </c>
      <c r="I5416" s="12" t="s">
        <v>1552</v>
      </c>
      <c r="J5416" s="41">
        <f>+Tabla1[[#This Row],[FECHA ENTRADA]]</f>
        <v>46138</v>
      </c>
      <c r="K5416" s="22">
        <f ca="1">TODAY()</f>
        <v>46260</v>
      </c>
      <c r="L5416" s="42">
        <f ca="1">_xlfn.DAYS(Tabla1[[#This Row],[FECHA FIN ]],Tabla1[[#This Row],[FECHA INICIO]])</f>
        <v>122</v>
      </c>
      <c r="M5416" s="12"/>
      <c r="N5416" s="28">
        <v>450</v>
      </c>
      <c r="O5416" s="28">
        <f ca="1">(Tabla1[[#This Row],[COSTO FIJO ]]/30)*Tabla1[[#This Row],[TOTAL DIAS PROYECTO]]+(Tabla1[[#This Row],[COSTO TEMPORAL]])</f>
        <v>1830</v>
      </c>
      <c r="P5416" s="12"/>
      <c r="Q5416" s="12">
        <f ca="1">+(Tabla1[[#This Row],[COSTO COCHE]]/30)*Tabla1[[#This Row],[TOTAL DIAS PROYECTO]]</f>
        <v>0</v>
      </c>
      <c r="R5416" s="12">
        <f ca="1">+Tabla1[[#This Row],[COSTO TOTAL ALOJAMIENTO]]+Tabla1[[#This Row],[COSTO TOTAL COCHE]]</f>
        <v>1830</v>
      </c>
      <c r="S5416" s="2"/>
      <c r="T5416" s="14" t="s">
        <v>35</v>
      </c>
      <c r="U5416" s="14">
        <v>46138</v>
      </c>
      <c r="V5416" s="43"/>
      <c r="W5416" s="12"/>
      <c r="X5416" s="2">
        <v>1</v>
      </c>
      <c r="Y5416" s="11" t="s">
        <v>7522</v>
      </c>
      <c r="Z5416" s="2" t="s">
        <v>702</v>
      </c>
      <c r="AA5416" s="13" t="s">
        <v>10323</v>
      </c>
      <c r="AB5416" s="13" t="s">
        <v>10324</v>
      </c>
    </row>
    <row r="5417" spans="1:28" ht="15" customHeight="1">
      <c r="A5417" s="2" t="s">
        <v>8838</v>
      </c>
      <c r="B5417" s="2" t="s">
        <v>711</v>
      </c>
      <c r="C5417" s="11" t="s">
        <v>965</v>
      </c>
      <c r="D5417" s="2" t="s">
        <v>30</v>
      </c>
      <c r="E5417" s="2" t="s">
        <v>648</v>
      </c>
      <c r="F5417" s="11"/>
      <c r="G5417" s="46"/>
      <c r="H5417" s="2" t="s">
        <v>2216</v>
      </c>
      <c r="I5417" s="12" t="s">
        <v>96</v>
      </c>
      <c r="J5417" s="41">
        <f>+Tabla1[[#This Row],[FECHA ENTRADA]]</f>
        <v>45870</v>
      </c>
      <c r="K5417" s="22">
        <f ca="1">TODAY()</f>
        <v>46260</v>
      </c>
      <c r="L5417" s="42">
        <f ca="1">_xlfn.DAYS(Tabla1[[#This Row],[FECHA FIN ]],Tabla1[[#This Row],[FECHA INICIO]])</f>
        <v>390</v>
      </c>
      <c r="M5417" s="12"/>
      <c r="N5417" s="28">
        <v>300</v>
      </c>
      <c r="O5417" s="28">
        <f ca="1">(Tabla1[[#This Row],[COSTO FIJO ]]/30)*Tabla1[[#This Row],[TOTAL DIAS PROYECTO]]+(Tabla1[[#This Row],[COSTO TEMPORAL]])</f>
        <v>3900</v>
      </c>
      <c r="P5417" s="12"/>
      <c r="Q5417" s="12">
        <f ca="1">+(Tabla1[[#This Row],[COSTO COCHE]]/30)*Tabla1[[#This Row],[TOTAL DIAS PROYECTO]]</f>
        <v>0</v>
      </c>
      <c r="R5417" s="12">
        <f ca="1">+Tabla1[[#This Row],[COSTO TOTAL ALOJAMIENTO]]+Tabla1[[#This Row],[COSTO TOTAL COCHE]]</f>
        <v>3900</v>
      </c>
      <c r="S5417" s="2"/>
      <c r="T5417" s="14" t="s">
        <v>58</v>
      </c>
      <c r="U5417" s="14">
        <v>45870</v>
      </c>
      <c r="V5417" s="43"/>
      <c r="W5417" s="12"/>
      <c r="X5417" s="2"/>
      <c r="Y5417" s="11"/>
      <c r="Z5417" s="2" t="s">
        <v>702</v>
      </c>
      <c r="AA5417" s="13" t="s">
        <v>10387</v>
      </c>
      <c r="AB5417" s="13" t="s">
        <v>10388</v>
      </c>
    </row>
    <row r="5418" spans="1:28" ht="15" customHeight="1">
      <c r="A5418" s="2" t="s">
        <v>8642</v>
      </c>
      <c r="B5418" s="2" t="s">
        <v>711</v>
      </c>
      <c r="C5418" s="11" t="s">
        <v>7523</v>
      </c>
      <c r="D5418" s="2" t="s">
        <v>30</v>
      </c>
      <c r="E5418" s="2" t="s">
        <v>648</v>
      </c>
      <c r="F5418" s="11"/>
      <c r="G5418" s="21"/>
      <c r="H5418" s="2" t="s">
        <v>7524</v>
      </c>
      <c r="I5418" s="12" t="s">
        <v>96</v>
      </c>
      <c r="J5418" s="22">
        <f>+Tabla1[[#This Row],[FECHA ENTRADA]]</f>
        <v>46211</v>
      </c>
      <c r="K5418" s="22">
        <f ca="1">TODAY()</f>
        <v>46260</v>
      </c>
      <c r="L5418" s="23">
        <f ca="1">_xlfn.DAYS(Tabla1[[#This Row],[FECHA FIN ]],Tabla1[[#This Row],[FECHA INICIO]])</f>
        <v>49</v>
      </c>
      <c r="M5418" s="12"/>
      <c r="N5418" s="20">
        <v>0</v>
      </c>
      <c r="O5418" s="24">
        <f ca="1">(Tabla1[[#This Row],[COSTO FIJO ]]/30)*Tabla1[[#This Row],[TOTAL DIAS PROYECTO]]+(Tabla1[[#This Row],[COSTO TEMPORAL]])</f>
        <v>0</v>
      </c>
      <c r="P5418" s="12"/>
      <c r="Q5418" s="12">
        <f ca="1">+(Tabla1[[#This Row],[COSTO COCHE]]/30)*Tabla1[[#This Row],[TOTAL DIAS PROYECTO]]</f>
        <v>0</v>
      </c>
      <c r="R5418" s="12">
        <f ca="1">+Tabla1[[#This Row],[COSTO TOTAL ALOJAMIENTO]]+Tabla1[[#This Row],[COSTO TOTAL COCHE]]</f>
        <v>0</v>
      </c>
      <c r="S5418" s="2"/>
      <c r="T5418" s="14" t="s">
        <v>8</v>
      </c>
      <c r="U5418" s="14">
        <v>46211</v>
      </c>
      <c r="V5418" s="79"/>
      <c r="W5418" s="12"/>
      <c r="X5418" s="2"/>
      <c r="Y5418" s="11" t="s">
        <v>7371</v>
      </c>
      <c r="Z5418" s="2" t="s">
        <v>702</v>
      </c>
      <c r="AA5418" s="13" t="s">
        <v>10387</v>
      </c>
      <c r="AB5418" s="13" t="s">
        <v>10388</v>
      </c>
    </row>
    <row r="5419" spans="1:28" ht="15" customHeight="1">
      <c r="A5419" s="2" t="s">
        <v>9414</v>
      </c>
      <c r="B5419" s="2" t="s">
        <v>606</v>
      </c>
      <c r="C5419" s="31" t="s">
        <v>3098</v>
      </c>
      <c r="D5419" s="2" t="s">
        <v>30</v>
      </c>
      <c r="E5419" s="2" t="s">
        <v>31</v>
      </c>
      <c r="F5419" s="11"/>
      <c r="G5419" s="21"/>
      <c r="H5419" s="2" t="s">
        <v>3053</v>
      </c>
      <c r="I5419" s="12" t="s">
        <v>3054</v>
      </c>
      <c r="J5419" s="22">
        <f>+Tabla1[[#This Row],[FECHA ENTRADA]]</f>
        <v>45957</v>
      </c>
      <c r="K5419" s="22">
        <v>46129</v>
      </c>
      <c r="L5419" s="23">
        <f>_xlfn.DAYS(Tabla1[[#This Row],[FECHA FIN ]],Tabla1[[#This Row],[FECHA INICIO]])</f>
        <v>172</v>
      </c>
      <c r="M5419" s="12"/>
      <c r="N5419" s="20">
        <v>300</v>
      </c>
      <c r="O5419" s="24">
        <f>(Tabla1[[#This Row],[COSTO FIJO ]]/30)*Tabla1[[#This Row],[TOTAL DIAS PROYECTO]]+(Tabla1[[#This Row],[COSTO TEMPORAL]])</f>
        <v>1720</v>
      </c>
      <c r="P5419" s="12"/>
      <c r="Q5419" s="12">
        <f>+(Tabla1[[#This Row],[COSTO COCHE]]/30)*Tabla1[[#This Row],[TOTAL DIAS PROYECTO]]</f>
        <v>0</v>
      </c>
      <c r="R5419" s="12">
        <f>+Tabla1[[#This Row],[COSTO TOTAL ALOJAMIENTO]]+Tabla1[[#This Row],[COSTO TOTAL COCHE]]</f>
        <v>1720</v>
      </c>
      <c r="S5419" s="2"/>
      <c r="T5419" s="14" t="s">
        <v>58</v>
      </c>
      <c r="U5419" s="14">
        <v>45957</v>
      </c>
      <c r="V5419" s="79"/>
      <c r="W5419" s="12"/>
      <c r="X5419" s="2"/>
      <c r="Y5419" s="11" t="s">
        <v>7525</v>
      </c>
      <c r="Z5419" s="2" t="s">
        <v>36</v>
      </c>
      <c r="AA5419" s="13" t="s">
        <v>10323</v>
      </c>
      <c r="AB5419" s="13" t="s">
        <v>10324</v>
      </c>
    </row>
    <row r="5420" spans="1:28" ht="15" customHeight="1">
      <c r="A5420" s="2" t="s">
        <v>9639</v>
      </c>
      <c r="B5420" s="2" t="s">
        <v>606</v>
      </c>
      <c r="C5420" s="11" t="s">
        <v>4038</v>
      </c>
      <c r="D5420" s="2" t="s">
        <v>99</v>
      </c>
      <c r="E5420" s="2" t="s">
        <v>259</v>
      </c>
      <c r="F5420" s="11" t="s">
        <v>5261</v>
      </c>
      <c r="G5420" s="197" t="s">
        <v>4207</v>
      </c>
      <c r="H5420" s="2" t="s">
        <v>4957</v>
      </c>
      <c r="I5420" s="12" t="s">
        <v>57</v>
      </c>
      <c r="J5420" s="41">
        <f>+Tabla1[[#This Row],[FECHA ENTRADA]]</f>
        <v>46141</v>
      </c>
      <c r="K5420" s="22">
        <f ca="1">TODAY()</f>
        <v>46260</v>
      </c>
      <c r="L5420" s="42">
        <f ca="1">_xlfn.DAYS(Tabla1[[#This Row],[FECHA FIN ]],Tabla1[[#This Row],[FECHA INICIO]])</f>
        <v>119</v>
      </c>
      <c r="M5420" s="12"/>
      <c r="N5420" s="20">
        <v>375</v>
      </c>
      <c r="O5420" s="28">
        <f ca="1">(Tabla1[[#This Row],[COSTO FIJO ]]/30)*Tabla1[[#This Row],[TOTAL DIAS PROYECTO]]+(Tabla1[[#This Row],[COSTO TEMPORAL]])</f>
        <v>1487.5</v>
      </c>
      <c r="P5420" s="12"/>
      <c r="Q5420" s="12">
        <f ca="1">+(Tabla1[[#This Row],[COSTO COCHE]]/30)*Tabla1[[#This Row],[TOTAL DIAS PROYECTO]]</f>
        <v>0</v>
      </c>
      <c r="R5420" s="12">
        <f ca="1">+Tabla1[[#This Row],[COSTO TOTAL ALOJAMIENTO]]+Tabla1[[#This Row],[COSTO TOTAL COCHE]]</f>
        <v>1487.5</v>
      </c>
      <c r="S5420" s="2"/>
      <c r="T5420" s="14" t="s">
        <v>35</v>
      </c>
      <c r="U5420" s="14">
        <v>46141</v>
      </c>
      <c r="V5420" s="43"/>
      <c r="W5420" s="12"/>
      <c r="X5420" s="2">
        <v>1</v>
      </c>
      <c r="Y5420" s="11" t="s">
        <v>7526</v>
      </c>
      <c r="Z5420" s="2" t="s">
        <v>702</v>
      </c>
      <c r="AA5420" s="13">
        <v>-0.87734000000000001</v>
      </c>
      <c r="AB5420" s="13" t="s">
        <v>10359</v>
      </c>
    </row>
    <row r="5421" spans="1:28" ht="15" customHeight="1">
      <c r="A5421" s="2" t="s">
        <v>10230</v>
      </c>
      <c r="B5421" s="2" t="s">
        <v>711</v>
      </c>
      <c r="C5421" s="11" t="s">
        <v>7255</v>
      </c>
      <c r="D5421" s="2" t="s">
        <v>99</v>
      </c>
      <c r="E5421" s="2" t="s">
        <v>127</v>
      </c>
      <c r="F5421" s="11" t="s">
        <v>5013</v>
      </c>
      <c r="G5421" s="46"/>
      <c r="H5421" s="2" t="s">
        <v>3440</v>
      </c>
      <c r="I5421" s="12" t="s">
        <v>96</v>
      </c>
      <c r="J5421" s="41">
        <f>+Tabla1[[#This Row],[FECHA ENTRADA]]</f>
        <v>46174</v>
      </c>
      <c r="K5421" s="41">
        <f ca="1">TODAY()</f>
        <v>46260</v>
      </c>
      <c r="L5421" s="42">
        <f ca="1">_xlfn.DAYS(Tabla1[[#This Row],[FECHA FIN ]],Tabla1[[#This Row],[FECHA INICIO]])</f>
        <v>86</v>
      </c>
      <c r="M5421" s="12"/>
      <c r="N5421" s="28">
        <v>0</v>
      </c>
      <c r="O5421" s="28">
        <f ca="1">(Tabla1[[#This Row],[COSTO FIJO ]]/30)*Tabla1[[#This Row],[TOTAL DIAS PROYECTO]]+(Tabla1[[#This Row],[COSTO TEMPORAL]])</f>
        <v>0</v>
      </c>
      <c r="P5421" s="12"/>
      <c r="Q5421" s="12">
        <f ca="1">+(Tabla1[[#This Row],[COSTO COCHE]]/30)*Tabla1[[#This Row],[TOTAL DIAS PROYECTO]]</f>
        <v>0</v>
      </c>
      <c r="R5421" s="12">
        <f ca="1">+Tabla1[[#This Row],[COSTO TOTAL ALOJAMIENTO]]+Tabla1[[#This Row],[COSTO TOTAL COCHE]]</f>
        <v>0</v>
      </c>
      <c r="S5421" s="2"/>
      <c r="T5421" s="14" t="s">
        <v>8</v>
      </c>
      <c r="U5421" s="14">
        <v>46174</v>
      </c>
      <c r="V5421" s="43"/>
      <c r="W5421" s="12"/>
      <c r="X5421" s="2"/>
      <c r="Y5421" s="11" t="s">
        <v>7371</v>
      </c>
      <c r="Z5421" s="2" t="s">
        <v>702</v>
      </c>
      <c r="AA5421" s="13" t="s">
        <v>10342</v>
      </c>
      <c r="AB5421" s="13" t="s">
        <v>10343</v>
      </c>
    </row>
    <row r="5422" spans="1:28" ht="15" customHeight="1">
      <c r="A5422" s="2" t="s">
        <v>9727</v>
      </c>
      <c r="B5422" s="2" t="s">
        <v>978</v>
      </c>
      <c r="C5422" s="11" t="s">
        <v>4433</v>
      </c>
      <c r="D5422" s="2" t="s">
        <v>99</v>
      </c>
      <c r="E5422" s="2" t="s">
        <v>109</v>
      </c>
      <c r="F5422" s="11" t="s">
        <v>1980</v>
      </c>
      <c r="G5422" s="197" t="s">
        <v>1981</v>
      </c>
      <c r="H5422" s="2" t="s">
        <v>1686</v>
      </c>
      <c r="I5422" s="12" t="s">
        <v>4420</v>
      </c>
      <c r="J5422" s="22">
        <f>+Tabla1[[#This Row],[FECHA ENTRADA]]</f>
        <v>46193</v>
      </c>
      <c r="K5422" s="22">
        <f ca="1">TODAY()</f>
        <v>46260</v>
      </c>
      <c r="L5422" s="23">
        <f ca="1">_xlfn.DAYS(Tabla1[[#This Row],[FECHA FIN ]],Tabla1[[#This Row],[FECHA INICIO]])</f>
        <v>67</v>
      </c>
      <c r="M5422" s="12"/>
      <c r="N5422" s="28">
        <v>300</v>
      </c>
      <c r="O5422" s="24">
        <f ca="1">(Tabla1[[#This Row],[COSTO FIJO ]]/30)*Tabla1[[#This Row],[TOTAL DIAS PROYECTO]]+(Tabla1[[#This Row],[COSTO TEMPORAL]])</f>
        <v>670</v>
      </c>
      <c r="P5422" s="12"/>
      <c r="Q5422" s="12">
        <f ca="1">+(Tabla1[[#This Row],[COSTO COCHE]]/30)*Tabla1[[#This Row],[TOTAL DIAS PROYECTO]]</f>
        <v>0</v>
      </c>
      <c r="R5422" s="12">
        <f ca="1">+Tabla1[[#This Row],[COSTO TOTAL ALOJAMIENTO]]+Tabla1[[#This Row],[COSTO TOTAL COCHE]]</f>
        <v>670</v>
      </c>
      <c r="S5422" s="2"/>
      <c r="T5422" s="14" t="s">
        <v>35</v>
      </c>
      <c r="U5422" s="14">
        <v>46193</v>
      </c>
      <c r="V5422" s="79"/>
      <c r="W5422" s="12"/>
      <c r="X5422" s="2">
        <v>1</v>
      </c>
      <c r="Y5422" s="11"/>
      <c r="Z5422" s="2" t="s">
        <v>702</v>
      </c>
      <c r="AA5422" s="13">
        <v>0.62217999999999996</v>
      </c>
      <c r="AB5422" s="13" t="s">
        <v>10339</v>
      </c>
    </row>
    <row r="5423" spans="1:28" ht="15" customHeight="1">
      <c r="A5423" s="2" t="s">
        <v>10254</v>
      </c>
      <c r="B5423" s="2" t="s">
        <v>606</v>
      </c>
      <c r="C5423" s="239" t="s">
        <v>7527</v>
      </c>
      <c r="D5423" s="2" t="s">
        <v>30</v>
      </c>
      <c r="E5423" s="2" t="s">
        <v>109</v>
      </c>
      <c r="F5423" s="11" t="s">
        <v>2161</v>
      </c>
      <c r="G5423" s="46" t="s">
        <v>2162</v>
      </c>
      <c r="H5423" s="2" t="s">
        <v>7448</v>
      </c>
      <c r="I5423" s="12" t="s">
        <v>42</v>
      </c>
      <c r="J5423" s="22">
        <f>+Tabla1[[#This Row],[FECHA ENTRADA]]</f>
        <v>46069</v>
      </c>
      <c r="K5423" s="22">
        <v>46098</v>
      </c>
      <c r="L5423" s="23">
        <f>_xlfn.DAYS(Tabla1[[#This Row],[FECHA FIN ]],Tabla1[[#This Row],[FECHA INICIO]])</f>
        <v>29</v>
      </c>
      <c r="M5423" s="12"/>
      <c r="N5423" s="20">
        <v>350</v>
      </c>
      <c r="O5423" s="24">
        <f>(Tabla1[[#This Row],[COSTO FIJO ]]/30)*Tabla1[[#This Row],[TOTAL DIAS PROYECTO]]+(Tabla1[[#This Row],[COSTO TEMPORAL]])</f>
        <v>338.33333333333331</v>
      </c>
      <c r="P5423" s="12"/>
      <c r="Q5423" s="12">
        <f>+(Tabla1[[#This Row],[COSTO COCHE]]/30)*Tabla1[[#This Row],[TOTAL DIAS PROYECTO]]</f>
        <v>0</v>
      </c>
      <c r="R5423" s="12">
        <f>+Tabla1[[#This Row],[COSTO TOTAL ALOJAMIENTO]]+Tabla1[[#This Row],[COSTO TOTAL COCHE]]</f>
        <v>338.33333333333331</v>
      </c>
      <c r="S5423" s="2"/>
      <c r="T5423" s="14" t="s">
        <v>35</v>
      </c>
      <c r="U5423" s="14">
        <v>46069</v>
      </c>
      <c r="V5423" s="79"/>
      <c r="W5423" s="12"/>
      <c r="X5423" s="2">
        <v>10</v>
      </c>
      <c r="Y5423" s="11" t="s">
        <v>7528</v>
      </c>
      <c r="Z5423" s="2" t="s">
        <v>36</v>
      </c>
      <c r="AA5423" s="13">
        <v>0.62217999999999996</v>
      </c>
      <c r="AB5423" s="13" t="s">
        <v>10339</v>
      </c>
    </row>
    <row r="5424" spans="1:28" ht="15" customHeight="1">
      <c r="A5424" s="2" t="s">
        <v>9191</v>
      </c>
      <c r="B5424" s="2" t="s">
        <v>28</v>
      </c>
      <c r="C5424" s="118" t="s">
        <v>2374</v>
      </c>
      <c r="D5424" s="2" t="s">
        <v>749</v>
      </c>
      <c r="E5424" s="2" t="s">
        <v>288</v>
      </c>
      <c r="F5424" s="11" t="s">
        <v>4873</v>
      </c>
      <c r="G5424" s="128" t="s">
        <v>4752</v>
      </c>
      <c r="H5424" s="2" t="s">
        <v>3675</v>
      </c>
      <c r="I5424" s="10" t="s">
        <v>753</v>
      </c>
      <c r="J5424" s="41">
        <f>+Tabla1[[#This Row],[FECHA ENTRADA]]</f>
        <v>45877</v>
      </c>
      <c r="K5424" s="41">
        <f ca="1">TODAY()</f>
        <v>46260</v>
      </c>
      <c r="L5424" s="42">
        <f ca="1">_xlfn.DAYS(Tabla1[[#This Row],[FECHA FIN ]],Tabla1[[#This Row],[FECHA INICIO]])</f>
        <v>383</v>
      </c>
      <c r="M5424" s="12"/>
      <c r="N5424" s="12">
        <v>500</v>
      </c>
      <c r="O5424" s="28">
        <f ca="1">(Tabla1[[#This Row],[COSTO FIJO ]]/30)*Tabla1[[#This Row],[TOTAL DIAS PROYECTO]]+(Tabla1[[#This Row],[COSTO TEMPORAL]])</f>
        <v>6383.3333333333339</v>
      </c>
      <c r="P5424" s="12"/>
      <c r="Q5424" s="12">
        <f ca="1">+(Tabla1[[#This Row],[COSTO COCHE]]/30)*Tabla1[[#This Row],[TOTAL DIAS PROYECTO]]</f>
        <v>0</v>
      </c>
      <c r="R5424" s="12">
        <f ca="1">+Tabla1[[#This Row],[COSTO TOTAL ALOJAMIENTO]]+Tabla1[[#This Row],[COSTO TOTAL COCHE]]</f>
        <v>6383.3333333333339</v>
      </c>
      <c r="S5424" s="2"/>
      <c r="T5424" s="14" t="s">
        <v>35</v>
      </c>
      <c r="U5424" s="14">
        <v>45877</v>
      </c>
      <c r="V5424" s="79">
        <v>46266</v>
      </c>
      <c r="W5424" s="12"/>
      <c r="X5424" s="2">
        <v>1</v>
      </c>
      <c r="Y5424" s="165" t="s">
        <v>7226</v>
      </c>
      <c r="Z5424" s="2" t="s">
        <v>702</v>
      </c>
      <c r="AA5424" s="13" t="s">
        <v>10362</v>
      </c>
      <c r="AB5424" s="13" t="s">
        <v>10363</v>
      </c>
    </row>
    <row r="5425" spans="1:28" ht="15" customHeight="1">
      <c r="A5425" s="2" t="s">
        <v>10255</v>
      </c>
      <c r="B5425" s="2" t="s">
        <v>28</v>
      </c>
      <c r="C5425" s="118" t="s">
        <v>7529</v>
      </c>
      <c r="D5425" s="2" t="s">
        <v>749</v>
      </c>
      <c r="E5425" s="2" t="s">
        <v>288</v>
      </c>
      <c r="F5425" s="11" t="s">
        <v>4873</v>
      </c>
      <c r="G5425" s="128" t="s">
        <v>4752</v>
      </c>
      <c r="H5425" s="2" t="s">
        <v>7530</v>
      </c>
      <c r="I5425" s="10" t="s">
        <v>753</v>
      </c>
      <c r="J5425" s="41">
        <f>+Tabla1[[#This Row],[FECHA ENTRADA]]</f>
        <v>45901</v>
      </c>
      <c r="K5425" s="41">
        <f ca="1">TODAY()</f>
        <v>46260</v>
      </c>
      <c r="L5425" s="42">
        <f ca="1">_xlfn.DAYS(Tabla1[[#This Row],[FECHA FIN ]],Tabla1[[#This Row],[FECHA INICIO]])</f>
        <v>359</v>
      </c>
      <c r="M5425" s="12"/>
      <c r="N5425" s="28">
        <v>500</v>
      </c>
      <c r="O5425" s="28">
        <f ca="1">(Tabla1[[#This Row],[COSTO FIJO ]]/30)*Tabla1[[#This Row],[TOTAL DIAS PROYECTO]]+(Tabla1[[#This Row],[COSTO TEMPORAL]])</f>
        <v>5983.3333333333339</v>
      </c>
      <c r="P5425" s="12"/>
      <c r="Q5425" s="12">
        <f ca="1">+(Tabla1[[#This Row],[COSTO COCHE]]/30)*Tabla1[[#This Row],[TOTAL DIAS PROYECTO]]</f>
        <v>0</v>
      </c>
      <c r="R5425" s="12">
        <f ca="1">+Tabla1[[#This Row],[COSTO TOTAL ALOJAMIENTO]]+Tabla1[[#This Row],[COSTO TOTAL COCHE]]</f>
        <v>5983.3333333333339</v>
      </c>
      <c r="S5425" s="2"/>
      <c r="T5425" s="14" t="s">
        <v>35</v>
      </c>
      <c r="U5425" s="14">
        <v>45901</v>
      </c>
      <c r="V5425" s="79">
        <v>46266</v>
      </c>
      <c r="W5425" s="12"/>
      <c r="X5425" s="2">
        <v>1</v>
      </c>
      <c r="Y5425" s="165" t="s">
        <v>7531</v>
      </c>
      <c r="Z5425" s="2" t="s">
        <v>702</v>
      </c>
      <c r="AA5425" s="13" t="s">
        <v>10362</v>
      </c>
      <c r="AB5425" s="13" t="s">
        <v>10363</v>
      </c>
    </row>
    <row r="5426" spans="1:28" ht="15" customHeight="1">
      <c r="A5426" s="2" t="s">
        <v>9196</v>
      </c>
      <c r="B5426" s="2" t="s">
        <v>606</v>
      </c>
      <c r="C5426" s="11" t="s">
        <v>2403</v>
      </c>
      <c r="D5426" s="2" t="s">
        <v>30</v>
      </c>
      <c r="E5426" s="2" t="s">
        <v>109</v>
      </c>
      <c r="F5426" s="11"/>
      <c r="G5426" s="49"/>
      <c r="H5426" s="2" t="s">
        <v>1561</v>
      </c>
      <c r="I5426" s="12" t="s">
        <v>1562</v>
      </c>
      <c r="J5426" s="22">
        <f>+Tabla1[[#This Row],[FECHA ENTRADA]]</f>
        <v>45771</v>
      </c>
      <c r="K5426" s="22">
        <f ca="1">TODAY()</f>
        <v>46260</v>
      </c>
      <c r="L5426" s="23">
        <f ca="1">_xlfn.DAYS(Tabla1[[#This Row],[FECHA FIN ]],Tabla1[[#This Row],[FECHA INICIO]])</f>
        <v>489</v>
      </c>
      <c r="M5426" s="12"/>
      <c r="N5426" s="28">
        <v>300</v>
      </c>
      <c r="O5426" s="24">
        <f ca="1">(Tabla1[[#This Row],[COSTO FIJO ]]/30)*Tabla1[[#This Row],[TOTAL DIAS PROYECTO]]+(Tabla1[[#This Row],[COSTO TEMPORAL]])</f>
        <v>4890</v>
      </c>
      <c r="P5426" s="12"/>
      <c r="Q5426" s="12">
        <f ca="1">+(Tabla1[[#This Row],[COSTO COCHE]]/30)*Tabla1[[#This Row],[TOTAL DIAS PROYECTO]]</f>
        <v>0</v>
      </c>
      <c r="R5426" s="12">
        <f ca="1">+Tabla1[[#This Row],[COSTO TOTAL ALOJAMIENTO]]+Tabla1[[#This Row],[COSTO TOTAL COCHE]]</f>
        <v>4890</v>
      </c>
      <c r="S5426" s="2"/>
      <c r="T5426" s="2" t="s">
        <v>58</v>
      </c>
      <c r="U5426" s="14">
        <v>45771</v>
      </c>
      <c r="V5426" s="25"/>
      <c r="W5426" s="26"/>
      <c r="X5426" s="2"/>
      <c r="Y5426" s="11"/>
      <c r="Z5426" s="2" t="s">
        <v>702</v>
      </c>
      <c r="AA5426" s="13">
        <v>0.62217999999999996</v>
      </c>
      <c r="AB5426" s="13" t="s">
        <v>10339</v>
      </c>
    </row>
    <row r="5427" spans="1:28" ht="15" customHeight="1">
      <c r="A5427" s="2" t="s">
        <v>9864</v>
      </c>
      <c r="B5427" s="2" t="s">
        <v>606</v>
      </c>
      <c r="C5427" s="69" t="s">
        <v>5100</v>
      </c>
      <c r="D5427" s="2" t="s">
        <v>30</v>
      </c>
      <c r="E5427" s="2" t="s">
        <v>245</v>
      </c>
      <c r="F5427" s="11" t="s">
        <v>7532</v>
      </c>
      <c r="G5427" s="21" t="s">
        <v>7533</v>
      </c>
      <c r="H5427" s="2" t="s">
        <v>7534</v>
      </c>
      <c r="I5427" s="12" t="s">
        <v>5047</v>
      </c>
      <c r="J5427" s="22">
        <f>+Tabla1[[#This Row],[FECHA ENTRADA]]</f>
        <v>46040</v>
      </c>
      <c r="K5427" s="22">
        <v>46049</v>
      </c>
      <c r="L5427" s="23">
        <f>_xlfn.DAYS(Tabla1[[#This Row],[FECHA FIN ]],Tabla1[[#This Row],[FECHA INICIO]])</f>
        <v>9</v>
      </c>
      <c r="M5427" s="12">
        <v>250</v>
      </c>
      <c r="N5427" s="20"/>
      <c r="O5427" s="24">
        <f>(Tabla1[[#This Row],[COSTO FIJO ]]/30)*Tabla1[[#This Row],[TOTAL DIAS PROYECTO]]+(Tabla1[[#This Row],[COSTO TEMPORAL]])</f>
        <v>250</v>
      </c>
      <c r="P5427" s="12"/>
      <c r="Q5427" s="12">
        <f>+(Tabla1[[#This Row],[COSTO COCHE]]/30)*Tabla1[[#This Row],[TOTAL DIAS PROYECTO]]</f>
        <v>0</v>
      </c>
      <c r="R5427" s="12">
        <f>+Tabla1[[#This Row],[COSTO TOTAL ALOJAMIENTO]]+Tabla1[[#This Row],[COSTO TOTAL COCHE]]</f>
        <v>250</v>
      </c>
      <c r="S5427" s="2"/>
      <c r="T5427" s="14" t="s">
        <v>44</v>
      </c>
      <c r="U5427" s="14">
        <v>46040</v>
      </c>
      <c r="V5427" s="79">
        <v>46050</v>
      </c>
      <c r="W5427" s="12"/>
      <c r="X5427" s="2"/>
      <c r="Y5427" s="11" t="s">
        <v>7535</v>
      </c>
      <c r="Z5427" s="2" t="s">
        <v>36</v>
      </c>
      <c r="AA5427" s="13" t="s">
        <v>10355</v>
      </c>
      <c r="AB5427" s="13" t="s">
        <v>10356</v>
      </c>
    </row>
    <row r="5428" spans="1:28" ht="15" customHeight="1">
      <c r="A5428" s="2" t="s">
        <v>9892</v>
      </c>
      <c r="B5428" s="2" t="s">
        <v>606</v>
      </c>
      <c r="C5428" s="69" t="s">
        <v>5238</v>
      </c>
      <c r="D5428" s="2" t="s">
        <v>30</v>
      </c>
      <c r="E5428" s="2" t="s">
        <v>245</v>
      </c>
      <c r="F5428" s="11" t="s">
        <v>7532</v>
      </c>
      <c r="G5428" s="21" t="s">
        <v>7533</v>
      </c>
      <c r="H5428" s="2" t="s">
        <v>7534</v>
      </c>
      <c r="I5428" s="12" t="s">
        <v>5047</v>
      </c>
      <c r="J5428" s="22">
        <f>+Tabla1[[#This Row],[FECHA ENTRADA]]</f>
        <v>46040</v>
      </c>
      <c r="K5428" s="22">
        <v>46050</v>
      </c>
      <c r="L5428" s="23">
        <f>_xlfn.DAYS(Tabla1[[#This Row],[FECHA FIN ]],Tabla1[[#This Row],[FECHA INICIO]])</f>
        <v>10</v>
      </c>
      <c r="M5428" s="12">
        <v>250</v>
      </c>
      <c r="N5428" s="20"/>
      <c r="O5428" s="24">
        <f>(Tabla1[[#This Row],[COSTO FIJO ]]/30)*Tabla1[[#This Row],[TOTAL DIAS PROYECTO]]+(Tabla1[[#This Row],[COSTO TEMPORAL]])</f>
        <v>250</v>
      </c>
      <c r="P5428" s="12"/>
      <c r="Q5428" s="12">
        <f>+(Tabla1[[#This Row],[COSTO COCHE]]/30)*Tabla1[[#This Row],[TOTAL DIAS PROYECTO]]</f>
        <v>0</v>
      </c>
      <c r="R5428" s="12">
        <f>+Tabla1[[#This Row],[COSTO TOTAL ALOJAMIENTO]]+Tabla1[[#This Row],[COSTO TOTAL COCHE]]</f>
        <v>250</v>
      </c>
      <c r="S5428" s="2"/>
      <c r="T5428" s="14" t="s">
        <v>44</v>
      </c>
      <c r="U5428" s="14">
        <v>46040</v>
      </c>
      <c r="V5428" s="79">
        <v>46050</v>
      </c>
      <c r="W5428" s="12"/>
      <c r="X5428" s="2"/>
      <c r="Y5428" s="11" t="s">
        <v>7535</v>
      </c>
      <c r="Z5428" s="2" t="s">
        <v>36</v>
      </c>
      <c r="AA5428" s="13" t="s">
        <v>10355</v>
      </c>
      <c r="AB5428" s="13" t="s">
        <v>10356</v>
      </c>
    </row>
    <row r="5429" spans="1:28" ht="15" customHeight="1">
      <c r="A5429" s="2" t="s">
        <v>9850</v>
      </c>
      <c r="B5429" s="2" t="s">
        <v>606</v>
      </c>
      <c r="C5429" s="101" t="s">
        <v>5034</v>
      </c>
      <c r="D5429" s="2" t="s">
        <v>30</v>
      </c>
      <c r="E5429" s="2" t="s">
        <v>415</v>
      </c>
      <c r="F5429" s="11" t="s">
        <v>1412</v>
      </c>
      <c r="G5429" s="49" t="s">
        <v>1413</v>
      </c>
      <c r="H5429" s="2" t="s">
        <v>1414</v>
      </c>
      <c r="I5429" s="12" t="s">
        <v>1415</v>
      </c>
      <c r="J5429" s="102">
        <f>+Tabla1[[#This Row],[FECHA ENTRADA]]</f>
        <v>46204</v>
      </c>
      <c r="K5429" s="22">
        <v>46238</v>
      </c>
      <c r="L5429" s="42">
        <f>_xlfn.DAYS(Tabla1[[#This Row],[FECHA FIN ]],Tabla1[[#This Row],[FECHA INICIO]])</f>
        <v>34</v>
      </c>
      <c r="M5429" s="12"/>
      <c r="N5429" s="28">
        <v>500</v>
      </c>
      <c r="O5429" s="28">
        <f>(Tabla1[[#This Row],[COSTO FIJO ]]/30)*Tabla1[[#This Row],[TOTAL DIAS PROYECTO]]+(Tabla1[[#This Row],[COSTO TEMPORAL]])</f>
        <v>566.66666666666674</v>
      </c>
      <c r="P5429" s="12"/>
      <c r="Q5429" s="12">
        <f>+(Tabla1[[#This Row],[COSTO COCHE]]/30)*Tabla1[[#This Row],[TOTAL DIAS PROYECTO]]</f>
        <v>0</v>
      </c>
      <c r="R5429" s="12">
        <f>+Tabla1[[#This Row],[COSTO TOTAL ALOJAMIENTO]]+Tabla1[[#This Row],[COSTO TOTAL COCHE]]</f>
        <v>566.66666666666674</v>
      </c>
      <c r="S5429" s="2"/>
      <c r="T5429" s="14" t="s">
        <v>35</v>
      </c>
      <c r="U5429" s="14">
        <v>46204</v>
      </c>
      <c r="V5429" s="43"/>
      <c r="W5429" s="12"/>
      <c r="X5429" s="2">
        <v>1</v>
      </c>
      <c r="Y5429" s="11" t="s">
        <v>7536</v>
      </c>
      <c r="Z5429" s="2" t="s">
        <v>36</v>
      </c>
      <c r="AA5429" s="13">
        <v>-0.37739</v>
      </c>
      <c r="AB5429" s="13" t="s">
        <v>10372</v>
      </c>
    </row>
    <row r="5430" spans="1:28" ht="15" customHeight="1">
      <c r="A5430" s="2" t="s">
        <v>9666</v>
      </c>
      <c r="B5430" s="2" t="s">
        <v>28</v>
      </c>
      <c r="C5430" s="11" t="s">
        <v>4128</v>
      </c>
      <c r="D5430" s="2" t="s">
        <v>749</v>
      </c>
      <c r="E5430" s="2" t="s">
        <v>288</v>
      </c>
      <c r="F5430" s="11" t="s">
        <v>4873</v>
      </c>
      <c r="G5430" s="128" t="s">
        <v>4752</v>
      </c>
      <c r="H5430" s="2" t="s">
        <v>3675</v>
      </c>
      <c r="I5430" s="10" t="s">
        <v>753</v>
      </c>
      <c r="J5430" s="41">
        <f>+Tabla1[[#This Row],[FECHA ENTRADA]]</f>
        <v>45877</v>
      </c>
      <c r="K5430" s="41">
        <f ca="1">TODAY()</f>
        <v>46260</v>
      </c>
      <c r="L5430" s="42">
        <f ca="1">_xlfn.DAYS(Tabla1[[#This Row],[FECHA FIN ]],Tabla1[[#This Row],[FECHA INICIO]])</f>
        <v>383</v>
      </c>
      <c r="M5430" s="12"/>
      <c r="N5430" s="12">
        <v>500</v>
      </c>
      <c r="O5430" s="28">
        <f ca="1">(Tabla1[[#This Row],[COSTO FIJO ]]/30)*Tabla1[[#This Row],[TOTAL DIAS PROYECTO]]+(Tabla1[[#This Row],[COSTO TEMPORAL]])</f>
        <v>6383.3333333333339</v>
      </c>
      <c r="P5430" s="12"/>
      <c r="Q5430" s="12">
        <f ca="1">+(Tabla1[[#This Row],[COSTO COCHE]]/30)*Tabla1[[#This Row],[TOTAL DIAS PROYECTO]]</f>
        <v>0</v>
      </c>
      <c r="R5430" s="12">
        <f ca="1">+Tabla1[[#This Row],[COSTO TOTAL ALOJAMIENTO]]+Tabla1[[#This Row],[COSTO TOTAL COCHE]]</f>
        <v>6383.3333333333339</v>
      </c>
      <c r="S5430" s="2"/>
      <c r="T5430" s="14" t="s">
        <v>35</v>
      </c>
      <c r="U5430" s="14">
        <v>45877</v>
      </c>
      <c r="V5430" s="79">
        <v>46266</v>
      </c>
      <c r="W5430" s="12"/>
      <c r="X5430" s="2">
        <v>1</v>
      </c>
      <c r="Y5430" s="165" t="s">
        <v>7531</v>
      </c>
      <c r="Z5430" s="2" t="s">
        <v>702</v>
      </c>
      <c r="AA5430" s="13" t="s">
        <v>10362</v>
      </c>
      <c r="AB5430" s="13" t="s">
        <v>10363</v>
      </c>
    </row>
    <row r="5431" spans="1:28" ht="15" customHeight="1">
      <c r="A5431" s="2" t="s">
        <v>10256</v>
      </c>
      <c r="B5431" s="2" t="s">
        <v>978</v>
      </c>
      <c r="C5431" s="11" t="s">
        <v>7537</v>
      </c>
      <c r="D5431" s="2" t="s">
        <v>99</v>
      </c>
      <c r="E5431" s="2" t="s">
        <v>422</v>
      </c>
      <c r="F5431" s="11"/>
      <c r="H5431" s="2" t="s">
        <v>2199</v>
      </c>
      <c r="I5431" s="12" t="s">
        <v>2473</v>
      </c>
      <c r="J5431" s="41">
        <f>+Tabla1[[#This Row],[FECHA ENTRADA]]</f>
        <v>45821</v>
      </c>
      <c r="K5431" s="41">
        <f ca="1">TODAY()</f>
        <v>46260</v>
      </c>
      <c r="L5431" s="42">
        <f ca="1">_xlfn.DAYS(Tabla1[[#This Row],[FECHA FIN ]],Tabla1[[#This Row],[FECHA INICIO]])</f>
        <v>439</v>
      </c>
      <c r="M5431" s="12"/>
      <c r="N5431" s="28">
        <v>300</v>
      </c>
      <c r="O5431" s="28">
        <f ca="1">(Tabla1[[#This Row],[COSTO FIJO ]]/30)*Tabla1[[#This Row],[TOTAL DIAS PROYECTO]]+(Tabla1[[#This Row],[COSTO TEMPORAL]])</f>
        <v>4390</v>
      </c>
      <c r="P5431" s="12"/>
      <c r="Q5431" s="12">
        <f ca="1">+(Tabla1[[#This Row],[COSTO COCHE]]/30)*Tabla1[[#This Row],[TOTAL DIAS PROYECTO]]</f>
        <v>0</v>
      </c>
      <c r="R5431" s="12">
        <f ca="1">+Tabla1[[#This Row],[COSTO TOTAL ALOJAMIENTO]]+Tabla1[[#This Row],[COSTO TOTAL COCHE]]</f>
        <v>4390</v>
      </c>
      <c r="S5431" s="2"/>
      <c r="T5431" s="14" t="s">
        <v>58</v>
      </c>
      <c r="U5431" s="14">
        <v>45821</v>
      </c>
      <c r="V5431" s="43"/>
      <c r="W5431" s="12"/>
      <c r="X5431" s="2"/>
      <c r="Y5431" s="11" t="s">
        <v>7538</v>
      </c>
      <c r="Z5431" s="2" t="s">
        <v>702</v>
      </c>
      <c r="AA5431" s="13">
        <v>-326.69799999999998</v>
      </c>
      <c r="AB5431" s="13" t="s">
        <v>10373</v>
      </c>
    </row>
    <row r="5432" spans="1:28" ht="15" customHeight="1">
      <c r="A5432" s="2" t="s">
        <v>8909</v>
      </c>
      <c r="B5432" s="2" t="s">
        <v>28</v>
      </c>
      <c r="C5432" s="326" t="s">
        <v>1237</v>
      </c>
      <c r="D5432" s="2" t="s">
        <v>749</v>
      </c>
      <c r="E5432" s="2" t="s">
        <v>288</v>
      </c>
      <c r="F5432" s="11" t="s">
        <v>4873</v>
      </c>
      <c r="G5432" s="128" t="s">
        <v>4752</v>
      </c>
      <c r="H5432" s="2" t="s">
        <v>4365</v>
      </c>
      <c r="I5432" s="10" t="s">
        <v>753</v>
      </c>
      <c r="J5432" s="41">
        <f>+Tabla1[[#This Row],[FECHA ENTRADA]]</f>
        <v>45877</v>
      </c>
      <c r="K5432" s="41">
        <f ca="1">TODAY()</f>
        <v>46260</v>
      </c>
      <c r="L5432" s="42">
        <f ca="1">_xlfn.DAYS(Tabla1[[#This Row],[FECHA FIN ]],Tabla1[[#This Row],[FECHA INICIO]])</f>
        <v>383</v>
      </c>
      <c r="M5432" s="12"/>
      <c r="N5432" s="12">
        <v>500</v>
      </c>
      <c r="O5432" s="28">
        <f ca="1">(Tabla1[[#This Row],[COSTO FIJO ]]/30)*Tabla1[[#This Row],[TOTAL DIAS PROYECTO]]+(Tabla1[[#This Row],[COSTO TEMPORAL]])</f>
        <v>6383.3333333333339</v>
      </c>
      <c r="P5432" s="12"/>
      <c r="Q5432" s="12">
        <f ca="1">+(Tabla1[[#This Row],[COSTO COCHE]]/30)*Tabla1[[#This Row],[TOTAL DIAS PROYECTO]]</f>
        <v>0</v>
      </c>
      <c r="R5432" s="12">
        <f ca="1">+Tabla1[[#This Row],[COSTO TOTAL ALOJAMIENTO]]+Tabla1[[#This Row],[COSTO TOTAL COCHE]]</f>
        <v>6383.3333333333339</v>
      </c>
      <c r="S5432" s="2"/>
      <c r="T5432" s="14" t="s">
        <v>35</v>
      </c>
      <c r="U5432" s="14">
        <v>45877</v>
      </c>
      <c r="V5432" s="79">
        <v>46266</v>
      </c>
      <c r="W5432" s="12"/>
      <c r="X5432" s="2">
        <v>1</v>
      </c>
      <c r="Y5432" s="165" t="s">
        <v>7539</v>
      </c>
      <c r="Z5432" s="2" t="s">
        <v>702</v>
      </c>
      <c r="AA5432" s="13" t="s">
        <v>10362</v>
      </c>
      <c r="AB5432" s="13" t="s">
        <v>10363</v>
      </c>
    </row>
    <row r="5433" spans="1:28" ht="15" customHeight="1">
      <c r="A5433" s="2" t="s">
        <v>9497</v>
      </c>
      <c r="B5433" s="2" t="s">
        <v>28</v>
      </c>
      <c r="C5433" s="322" t="s">
        <v>3387</v>
      </c>
      <c r="D5433" s="2" t="s">
        <v>749</v>
      </c>
      <c r="E5433" s="2" t="s">
        <v>288</v>
      </c>
      <c r="F5433" s="11" t="s">
        <v>4873</v>
      </c>
      <c r="G5433" s="128" t="s">
        <v>4752</v>
      </c>
      <c r="H5433" s="2" t="s">
        <v>3333</v>
      </c>
      <c r="I5433" s="10" t="s">
        <v>753</v>
      </c>
      <c r="J5433" s="41">
        <f>+Tabla1[[#This Row],[FECHA ENTRADA]]</f>
        <v>45877</v>
      </c>
      <c r="K5433" s="41">
        <f ca="1">TODAY()</f>
        <v>46260</v>
      </c>
      <c r="L5433" s="42">
        <f ca="1">_xlfn.DAYS(Tabla1[[#This Row],[FECHA FIN ]],Tabla1[[#This Row],[FECHA INICIO]])</f>
        <v>383</v>
      </c>
      <c r="M5433" s="12"/>
      <c r="N5433" s="12">
        <v>500</v>
      </c>
      <c r="O5433" s="28">
        <f ca="1">(Tabla1[[#This Row],[COSTO FIJO ]]/30)*Tabla1[[#This Row],[TOTAL DIAS PROYECTO]]+(Tabla1[[#This Row],[COSTO TEMPORAL]])</f>
        <v>6383.3333333333339</v>
      </c>
      <c r="P5433" s="12"/>
      <c r="Q5433" s="12">
        <f ca="1">+(Tabla1[[#This Row],[COSTO COCHE]]/30)*Tabla1[[#This Row],[TOTAL DIAS PROYECTO]]</f>
        <v>0</v>
      </c>
      <c r="R5433" s="12">
        <f ca="1">+Tabla1[[#This Row],[COSTO TOTAL ALOJAMIENTO]]+Tabla1[[#This Row],[COSTO TOTAL COCHE]]</f>
        <v>6383.3333333333339</v>
      </c>
      <c r="S5433" s="2"/>
      <c r="T5433" s="14" t="s">
        <v>35</v>
      </c>
      <c r="U5433" s="14">
        <v>45877</v>
      </c>
      <c r="V5433" s="79">
        <v>46266</v>
      </c>
      <c r="W5433" s="12"/>
      <c r="X5433" s="2">
        <v>1</v>
      </c>
      <c r="Y5433" s="165" t="s">
        <v>7539</v>
      </c>
      <c r="Z5433" s="2" t="s">
        <v>702</v>
      </c>
      <c r="AA5433" s="13" t="s">
        <v>10362</v>
      </c>
      <c r="AB5433" s="13" t="s">
        <v>10363</v>
      </c>
    </row>
    <row r="5434" spans="1:28" ht="15" customHeight="1">
      <c r="A5434" s="2" t="s">
        <v>9769</v>
      </c>
      <c r="B5434" s="2" t="s">
        <v>978</v>
      </c>
      <c r="C5434" s="31" t="s">
        <v>4658</v>
      </c>
      <c r="D5434" s="2" t="s">
        <v>30</v>
      </c>
      <c r="E5434" s="2" t="s">
        <v>855</v>
      </c>
      <c r="F5434" s="11"/>
      <c r="G5434" s="21"/>
      <c r="H5434" s="2" t="s">
        <v>5807</v>
      </c>
      <c r="I5434" s="12" t="s">
        <v>5808</v>
      </c>
      <c r="J5434" s="22">
        <f>+Tabla1[[#This Row],[FECHA ENTRADA]]</f>
        <v>46020</v>
      </c>
      <c r="K5434" s="22">
        <v>46134</v>
      </c>
      <c r="L5434" s="23">
        <f>_xlfn.DAYS(Tabla1[[#This Row],[FECHA FIN ]],Tabla1[[#This Row],[FECHA INICIO]])</f>
        <v>114</v>
      </c>
      <c r="M5434" s="12"/>
      <c r="N5434" s="20">
        <v>300</v>
      </c>
      <c r="O5434" s="24">
        <f>(Tabla1[[#This Row],[COSTO FIJO ]]/30)*Tabla1[[#This Row],[TOTAL DIAS PROYECTO]]+(Tabla1[[#This Row],[COSTO TEMPORAL]])</f>
        <v>1140</v>
      </c>
      <c r="P5434" s="12"/>
      <c r="Q5434" s="12">
        <f>+(Tabla1[[#This Row],[COSTO COCHE]]/30)*Tabla1[[#This Row],[TOTAL DIAS PROYECTO]]</f>
        <v>0</v>
      </c>
      <c r="R5434" s="12">
        <f>+Tabla1[[#This Row],[COSTO TOTAL ALOJAMIENTO]]+Tabla1[[#This Row],[COSTO TOTAL COCHE]]</f>
        <v>1140</v>
      </c>
      <c r="S5434" s="2"/>
      <c r="T5434" s="14" t="s">
        <v>58</v>
      </c>
      <c r="U5434" s="14">
        <v>46020</v>
      </c>
      <c r="V5434" s="79"/>
      <c r="W5434" s="12"/>
      <c r="X5434" s="2"/>
      <c r="Y5434" s="11" t="s">
        <v>7540</v>
      </c>
      <c r="Z5434" s="2" t="s">
        <v>36</v>
      </c>
      <c r="AA5434" s="13" t="s">
        <v>10401</v>
      </c>
      <c r="AB5434" s="13" t="s">
        <v>10402</v>
      </c>
    </row>
    <row r="5435" spans="1:28" ht="15" customHeight="1">
      <c r="A5435" s="2" t="s">
        <v>9520</v>
      </c>
      <c r="B5435" s="2" t="s">
        <v>711</v>
      </c>
      <c r="C5435" s="11" t="s">
        <v>3519</v>
      </c>
      <c r="D5435" s="2" t="s">
        <v>749</v>
      </c>
      <c r="E5435" s="2" t="s">
        <v>288</v>
      </c>
      <c r="F5435" s="11" t="s">
        <v>4873</v>
      </c>
      <c r="G5435" s="128" t="s">
        <v>4752</v>
      </c>
      <c r="H5435" s="2" t="s">
        <v>4753</v>
      </c>
      <c r="I5435" s="10" t="s">
        <v>753</v>
      </c>
      <c r="J5435" s="41">
        <f>+Tabla1[[#This Row],[FECHA ENTRADA]]</f>
        <v>45893</v>
      </c>
      <c r="K5435" s="41">
        <f ca="1">TODAY()</f>
        <v>46260</v>
      </c>
      <c r="L5435" s="42">
        <f ca="1">_xlfn.DAYS(Tabla1[[#This Row],[FECHA FIN ]],Tabla1[[#This Row],[FECHA INICIO]])</f>
        <v>367</v>
      </c>
      <c r="M5435" s="12"/>
      <c r="N5435" s="12">
        <v>500</v>
      </c>
      <c r="O5435" s="28">
        <f ca="1">(Tabla1[[#This Row],[COSTO FIJO ]]/30)*Tabla1[[#This Row],[TOTAL DIAS PROYECTO]]+(Tabla1[[#This Row],[COSTO TEMPORAL]])</f>
        <v>6116.666666666667</v>
      </c>
      <c r="P5435" s="12"/>
      <c r="Q5435" s="12">
        <f ca="1">+(Tabla1[[#This Row],[COSTO COCHE]]/30)*Tabla1[[#This Row],[TOTAL DIAS PROYECTO]]</f>
        <v>0</v>
      </c>
      <c r="R5435" s="12">
        <f ca="1">+Tabla1[[#This Row],[COSTO TOTAL ALOJAMIENTO]]+Tabla1[[#This Row],[COSTO TOTAL COCHE]]</f>
        <v>6116.666666666667</v>
      </c>
      <c r="S5435" s="2"/>
      <c r="T5435" s="14" t="s">
        <v>35</v>
      </c>
      <c r="U5435" s="14">
        <v>45893</v>
      </c>
      <c r="V5435" s="79">
        <v>46266</v>
      </c>
      <c r="W5435" s="12"/>
      <c r="X5435" s="2">
        <v>1</v>
      </c>
      <c r="Y5435" s="165" t="s">
        <v>7541</v>
      </c>
      <c r="Z5435" s="2" t="s">
        <v>702</v>
      </c>
      <c r="AA5435" s="13" t="s">
        <v>10362</v>
      </c>
      <c r="AB5435" s="13" t="s">
        <v>10363</v>
      </c>
    </row>
    <row r="5436" spans="1:28" ht="15" customHeight="1">
      <c r="A5436" s="2" t="s">
        <v>9886</v>
      </c>
      <c r="B5436" s="2" t="s">
        <v>606</v>
      </c>
      <c r="C5436" s="11" t="s">
        <v>5223</v>
      </c>
      <c r="D5436" s="2" t="s">
        <v>99</v>
      </c>
      <c r="E5436" s="2" t="s">
        <v>245</v>
      </c>
      <c r="F5436" s="11"/>
      <c r="G5436" s="21"/>
      <c r="H5436" s="2" t="s">
        <v>5417</v>
      </c>
      <c r="I5436" s="12" t="s">
        <v>1019</v>
      </c>
      <c r="J5436" s="22">
        <f>+Tabla1[[#This Row],[FECHA ENTRADA]]</f>
        <v>46035</v>
      </c>
      <c r="K5436" s="22">
        <f ca="1">TODAY()</f>
        <v>46260</v>
      </c>
      <c r="L5436" s="23">
        <f ca="1">_xlfn.DAYS(Tabla1[[#This Row],[FECHA FIN ]],Tabla1[[#This Row],[FECHA INICIO]])</f>
        <v>225</v>
      </c>
      <c r="M5436" s="12"/>
      <c r="N5436" s="20">
        <v>300</v>
      </c>
      <c r="O5436" s="24">
        <f ca="1">(Tabla1[[#This Row],[COSTO FIJO ]]/30)*Tabla1[[#This Row],[TOTAL DIAS PROYECTO]]+(Tabla1[[#This Row],[COSTO TEMPORAL]])</f>
        <v>2250</v>
      </c>
      <c r="P5436" s="12"/>
      <c r="Q5436" s="12">
        <f ca="1">+(Tabla1[[#This Row],[COSTO COCHE]]/30)*Tabla1[[#This Row],[TOTAL DIAS PROYECTO]]</f>
        <v>0</v>
      </c>
      <c r="R5436" s="12">
        <f ca="1">+Tabla1[[#This Row],[COSTO TOTAL ALOJAMIENTO]]+Tabla1[[#This Row],[COSTO TOTAL COCHE]]</f>
        <v>2250</v>
      </c>
      <c r="S5436" s="2"/>
      <c r="T5436" s="14" t="s">
        <v>58</v>
      </c>
      <c r="U5436" s="14">
        <v>46035</v>
      </c>
      <c r="V5436" s="79"/>
      <c r="W5436" s="12"/>
      <c r="X5436" s="2"/>
      <c r="Y5436" s="11" t="s">
        <v>7542</v>
      </c>
      <c r="Z5436" s="2" t="s">
        <v>702</v>
      </c>
      <c r="AA5436" s="13" t="s">
        <v>10355</v>
      </c>
      <c r="AB5436" s="13" t="s">
        <v>10356</v>
      </c>
    </row>
    <row r="5437" spans="1:28" ht="15" customHeight="1">
      <c r="A5437" s="2" t="s">
        <v>8814</v>
      </c>
      <c r="B5437" s="2" t="s">
        <v>711</v>
      </c>
      <c r="C5437" s="31" t="s">
        <v>870</v>
      </c>
      <c r="D5437" s="2" t="s">
        <v>99</v>
      </c>
      <c r="E5437" s="2" t="s">
        <v>626</v>
      </c>
      <c r="F5437" s="11"/>
      <c r="G5437" s="49"/>
      <c r="H5437" s="2" t="s">
        <v>2580</v>
      </c>
      <c r="I5437" s="2" t="s">
        <v>570</v>
      </c>
      <c r="J5437" s="41">
        <f>+Tabla1[[#This Row],[FECHA ENTRADA]]</f>
        <v>45870</v>
      </c>
      <c r="K5437" s="22">
        <v>46122</v>
      </c>
      <c r="L5437" s="42">
        <f>_xlfn.DAYS(Tabla1[[#This Row],[FECHA FIN ]],Tabla1[[#This Row],[FECHA INICIO]])</f>
        <v>252</v>
      </c>
      <c r="M5437" s="12"/>
      <c r="N5437" s="28">
        <v>300</v>
      </c>
      <c r="O5437" s="28">
        <f>(Tabla1[[#This Row],[COSTO FIJO ]]/30)*Tabla1[[#This Row],[TOTAL DIAS PROYECTO]]+(Tabla1[[#This Row],[COSTO TEMPORAL]])</f>
        <v>2520</v>
      </c>
      <c r="P5437" s="12"/>
      <c r="Q5437" s="12">
        <f>+(Tabla1[[#This Row],[COSTO COCHE]]/30)*Tabla1[[#This Row],[TOTAL DIAS PROYECTO]]</f>
        <v>0</v>
      </c>
      <c r="R5437" s="12">
        <f>+Tabla1[[#This Row],[COSTO TOTAL ALOJAMIENTO]]+Tabla1[[#This Row],[COSTO TOTAL COCHE]]</f>
        <v>2520</v>
      </c>
      <c r="S5437" s="2"/>
      <c r="T5437" s="14" t="s">
        <v>58</v>
      </c>
      <c r="U5437" s="14">
        <v>45870</v>
      </c>
      <c r="V5437" s="43"/>
      <c r="W5437" s="12"/>
      <c r="X5437" s="2"/>
      <c r="Y5437" s="11" t="s">
        <v>7336</v>
      </c>
      <c r="Z5437" s="2" t="s">
        <v>36</v>
      </c>
      <c r="AA5437" s="13" t="s">
        <v>10385</v>
      </c>
      <c r="AB5437" s="13" t="s">
        <v>10386</v>
      </c>
    </row>
    <row r="5438" spans="1:28" ht="15" customHeight="1">
      <c r="A5438" s="2" t="s">
        <v>9067</v>
      </c>
      <c r="B5438" s="2" t="s">
        <v>711</v>
      </c>
      <c r="C5438" s="31" t="s">
        <v>1860</v>
      </c>
      <c r="D5438" s="2" t="s">
        <v>30</v>
      </c>
      <c r="E5438" s="2" t="s">
        <v>626</v>
      </c>
      <c r="F5438" s="11"/>
      <c r="G5438" s="49"/>
      <c r="H5438" s="2" t="s">
        <v>868</v>
      </c>
      <c r="I5438" s="12" t="s">
        <v>570</v>
      </c>
      <c r="J5438" s="41">
        <f>+Tabla1[[#This Row],[FECHA ENTRADA]]</f>
        <v>45870</v>
      </c>
      <c r="K5438" s="22">
        <v>46122</v>
      </c>
      <c r="L5438" s="42">
        <f>_xlfn.DAYS(Tabla1[[#This Row],[FECHA FIN ]],Tabla1[[#This Row],[FECHA INICIO]])</f>
        <v>252</v>
      </c>
      <c r="M5438" s="12"/>
      <c r="N5438" s="28">
        <v>300</v>
      </c>
      <c r="O5438" s="28">
        <f>(Tabla1[[#This Row],[COSTO FIJO ]]/30)*Tabla1[[#This Row],[TOTAL DIAS PROYECTO]]+(Tabla1[[#This Row],[COSTO TEMPORAL]])</f>
        <v>2520</v>
      </c>
      <c r="P5438" s="12"/>
      <c r="Q5438" s="12">
        <f>+(Tabla1[[#This Row],[COSTO COCHE]]/30)*Tabla1[[#This Row],[TOTAL DIAS PROYECTO]]</f>
        <v>0</v>
      </c>
      <c r="R5438" s="12">
        <f>+Tabla1[[#This Row],[COSTO TOTAL ALOJAMIENTO]]+Tabla1[[#This Row],[COSTO TOTAL COCHE]]</f>
        <v>2520</v>
      </c>
      <c r="S5438" s="2"/>
      <c r="T5438" s="14" t="s">
        <v>58</v>
      </c>
      <c r="U5438" s="14">
        <v>45870</v>
      </c>
      <c r="V5438" s="43"/>
      <c r="W5438" s="12"/>
      <c r="X5438" s="2"/>
      <c r="Y5438" s="11" t="s">
        <v>7336</v>
      </c>
      <c r="Z5438" s="2" t="s">
        <v>36</v>
      </c>
      <c r="AA5438" s="13" t="s">
        <v>10385</v>
      </c>
      <c r="AB5438" s="13" t="s">
        <v>10386</v>
      </c>
    </row>
    <row r="5439" spans="1:28" ht="15" customHeight="1">
      <c r="A5439" s="2" t="s">
        <v>9124</v>
      </c>
      <c r="B5439" s="2" t="s">
        <v>711</v>
      </c>
      <c r="C5439" s="31" t="s">
        <v>2096</v>
      </c>
      <c r="D5439" s="2" t="s">
        <v>30</v>
      </c>
      <c r="E5439" s="2" t="s">
        <v>626</v>
      </c>
      <c r="F5439" s="11"/>
      <c r="G5439" s="49"/>
      <c r="H5439" s="2" t="s">
        <v>2357</v>
      </c>
      <c r="I5439" s="12" t="s">
        <v>570</v>
      </c>
      <c r="J5439" s="22">
        <f>+Tabla1[[#This Row],[FECHA ENTRADA]]</f>
        <v>45870</v>
      </c>
      <c r="K5439" s="22">
        <v>46122</v>
      </c>
      <c r="L5439" s="23">
        <f>_xlfn.DAYS(Tabla1[[#This Row],[FECHA FIN ]],Tabla1[[#This Row],[FECHA INICIO]])</f>
        <v>252</v>
      </c>
      <c r="M5439" s="12"/>
      <c r="N5439" s="28">
        <v>300</v>
      </c>
      <c r="O5439" s="24">
        <f>(Tabla1[[#This Row],[COSTO FIJO ]]/30)*Tabla1[[#This Row],[TOTAL DIAS PROYECTO]]+(Tabla1[[#This Row],[COSTO TEMPORAL]])</f>
        <v>2520</v>
      </c>
      <c r="P5439" s="12"/>
      <c r="Q5439" s="12">
        <f>+(Tabla1[[#This Row],[COSTO COCHE]]/30)*Tabla1[[#This Row],[TOTAL DIAS PROYECTO]]</f>
        <v>0</v>
      </c>
      <c r="R5439" s="12">
        <f>+Tabla1[[#This Row],[COSTO TOTAL ALOJAMIENTO]]+Tabla1[[#This Row],[COSTO TOTAL COCHE]]</f>
        <v>2520</v>
      </c>
      <c r="S5439" s="2"/>
      <c r="T5439" s="14" t="s">
        <v>58</v>
      </c>
      <c r="U5439" s="14">
        <v>45870</v>
      </c>
      <c r="V5439" s="25"/>
      <c r="W5439" s="12"/>
      <c r="X5439" s="2"/>
      <c r="Y5439" s="11" t="s">
        <v>7336</v>
      </c>
      <c r="Z5439" s="2" t="s">
        <v>36</v>
      </c>
      <c r="AA5439" s="13" t="s">
        <v>10385</v>
      </c>
      <c r="AB5439" s="13" t="s">
        <v>10386</v>
      </c>
    </row>
    <row r="5440" spans="1:28" ht="15" customHeight="1">
      <c r="A5440" s="2" t="s">
        <v>8980</v>
      </c>
      <c r="B5440" s="2" t="s">
        <v>711</v>
      </c>
      <c r="C5440" s="31" t="s">
        <v>1578</v>
      </c>
      <c r="D5440" s="2" t="s">
        <v>30</v>
      </c>
      <c r="E5440" s="2" t="s">
        <v>626</v>
      </c>
      <c r="F5440" s="11" t="s">
        <v>7543</v>
      </c>
      <c r="G5440" s="11"/>
      <c r="H5440" s="2" t="s">
        <v>2357</v>
      </c>
      <c r="I5440" s="12" t="s">
        <v>570</v>
      </c>
      <c r="J5440" s="22">
        <f>+Tabla1[[#This Row],[FECHA ENTRADA]]</f>
        <v>45962</v>
      </c>
      <c r="K5440" s="22">
        <v>46122</v>
      </c>
      <c r="L5440" s="23">
        <f>_xlfn.DAYS(Tabla1[[#This Row],[FECHA FIN ]],Tabla1[[#This Row],[FECHA INICIO]])</f>
        <v>160</v>
      </c>
      <c r="M5440" s="12"/>
      <c r="N5440" s="20">
        <v>300</v>
      </c>
      <c r="O5440" s="24">
        <f>(Tabla1[[#This Row],[COSTO FIJO ]]/30)*Tabla1[[#This Row],[TOTAL DIAS PROYECTO]]+(Tabla1[[#This Row],[COSTO TEMPORAL]])</f>
        <v>1600</v>
      </c>
      <c r="P5440" s="12"/>
      <c r="Q5440" s="12">
        <f>+(Tabla1[[#This Row],[COSTO COCHE]]/30)*Tabla1[[#This Row],[TOTAL DIAS PROYECTO]]</f>
        <v>0</v>
      </c>
      <c r="R5440" s="12">
        <f>+Tabla1[[#This Row],[COSTO TOTAL ALOJAMIENTO]]+Tabla1[[#This Row],[COSTO TOTAL COCHE]]</f>
        <v>1600</v>
      </c>
      <c r="S5440" s="2"/>
      <c r="T5440" s="14" t="s">
        <v>58</v>
      </c>
      <c r="U5440" s="14">
        <v>45962</v>
      </c>
      <c r="V5440" s="79"/>
      <c r="W5440" s="71"/>
      <c r="X5440" s="2"/>
      <c r="Y5440" s="11" t="s">
        <v>7544</v>
      </c>
      <c r="Z5440" s="2" t="s">
        <v>36</v>
      </c>
      <c r="AA5440" s="13" t="s">
        <v>10385</v>
      </c>
      <c r="AB5440" s="13" t="s">
        <v>10386</v>
      </c>
    </row>
    <row r="5441" spans="1:28" ht="15" customHeight="1">
      <c r="A5441" s="2" t="s">
        <v>9925</v>
      </c>
      <c r="B5441" s="2" t="s">
        <v>711</v>
      </c>
      <c r="C5441" s="31" t="s">
        <v>5472</v>
      </c>
      <c r="D5441" s="2" t="s">
        <v>30</v>
      </c>
      <c r="E5441" s="2" t="s">
        <v>626</v>
      </c>
      <c r="F5441" s="11" t="s">
        <v>7545</v>
      </c>
      <c r="G5441" s="21"/>
      <c r="H5441" s="2" t="s">
        <v>7546</v>
      </c>
      <c r="I5441" s="12" t="s">
        <v>570</v>
      </c>
      <c r="J5441" s="22">
        <f>+Tabla1[[#This Row],[FECHA ENTRADA]]</f>
        <v>45945</v>
      </c>
      <c r="K5441" s="22">
        <v>46122</v>
      </c>
      <c r="L5441" s="23">
        <f>_xlfn.DAYS(Tabla1[[#This Row],[FECHA FIN ]],Tabla1[[#This Row],[FECHA INICIO]])</f>
        <v>177</v>
      </c>
      <c r="M5441" s="12"/>
      <c r="N5441" s="20">
        <v>300</v>
      </c>
      <c r="O5441" s="24">
        <f>(Tabla1[[#This Row],[COSTO FIJO ]]/30)*Tabla1[[#This Row],[TOTAL DIAS PROYECTO]]+(Tabla1[[#This Row],[COSTO TEMPORAL]])</f>
        <v>1770</v>
      </c>
      <c r="P5441" s="12"/>
      <c r="Q5441" s="12">
        <f>+(Tabla1[[#This Row],[COSTO COCHE]]/30)*Tabla1[[#This Row],[TOTAL DIAS PROYECTO]]</f>
        <v>0</v>
      </c>
      <c r="R5441" s="12">
        <f>+Tabla1[[#This Row],[COSTO TOTAL ALOJAMIENTO]]+Tabla1[[#This Row],[COSTO TOTAL COCHE]]</f>
        <v>1770</v>
      </c>
      <c r="S5441" s="2"/>
      <c r="T5441" s="14" t="s">
        <v>58</v>
      </c>
      <c r="U5441" s="14">
        <v>45945</v>
      </c>
      <c r="V5441" s="79"/>
      <c r="W5441" s="71"/>
      <c r="X5441" s="2"/>
      <c r="Y5441" s="11" t="s">
        <v>7339</v>
      </c>
      <c r="Z5441" s="2" t="s">
        <v>36</v>
      </c>
      <c r="AA5441" s="13" t="s">
        <v>10385</v>
      </c>
      <c r="AB5441" s="13" t="s">
        <v>10386</v>
      </c>
    </row>
    <row r="5442" spans="1:28" ht="15" customHeight="1">
      <c r="A5442" s="2" t="s">
        <v>9313</v>
      </c>
      <c r="B5442" s="2" t="s">
        <v>711</v>
      </c>
      <c r="C5442" s="31" t="s">
        <v>2791</v>
      </c>
      <c r="D5442" s="2" t="s">
        <v>30</v>
      </c>
      <c r="E5442" s="2" t="s">
        <v>626</v>
      </c>
      <c r="F5442" s="11"/>
      <c r="G5442" s="11"/>
      <c r="H5442" s="2" t="s">
        <v>1039</v>
      </c>
      <c r="I5442" s="12" t="s">
        <v>570</v>
      </c>
      <c r="J5442" s="22">
        <f>+Tabla1[[#This Row],[FECHA ENTRADA]]</f>
        <v>45945</v>
      </c>
      <c r="K5442" s="22">
        <v>46122</v>
      </c>
      <c r="L5442" s="23">
        <f>_xlfn.DAYS(Tabla1[[#This Row],[FECHA FIN ]],Tabla1[[#This Row],[FECHA INICIO]])</f>
        <v>177</v>
      </c>
      <c r="M5442" s="12"/>
      <c r="N5442" s="20">
        <v>300</v>
      </c>
      <c r="O5442" s="24">
        <f>(Tabla1[[#This Row],[COSTO FIJO ]]/30)*Tabla1[[#This Row],[TOTAL DIAS PROYECTO]]+(Tabla1[[#This Row],[COSTO TEMPORAL]])</f>
        <v>1770</v>
      </c>
      <c r="P5442" s="12"/>
      <c r="Q5442" s="12">
        <f>+(Tabla1[[#This Row],[COSTO COCHE]]/30)*Tabla1[[#This Row],[TOTAL DIAS PROYECTO]]</f>
        <v>0</v>
      </c>
      <c r="R5442" s="12">
        <f>+Tabla1[[#This Row],[COSTO TOTAL ALOJAMIENTO]]+Tabla1[[#This Row],[COSTO TOTAL COCHE]]</f>
        <v>1770</v>
      </c>
      <c r="S5442" s="2"/>
      <c r="T5442" s="14" t="s">
        <v>58</v>
      </c>
      <c r="U5442" s="14">
        <v>45945</v>
      </c>
      <c r="V5442" s="79"/>
      <c r="W5442" s="71"/>
      <c r="X5442" s="2"/>
      <c r="Y5442" s="11" t="s">
        <v>7336</v>
      </c>
      <c r="Z5442" s="2" t="s">
        <v>36</v>
      </c>
      <c r="AA5442" s="13" t="s">
        <v>10385</v>
      </c>
      <c r="AB5442" s="13" t="s">
        <v>10386</v>
      </c>
    </row>
    <row r="5443" spans="1:28" ht="15" customHeight="1">
      <c r="A5443" s="2" t="s">
        <v>9908</v>
      </c>
      <c r="B5443" s="2" t="s">
        <v>711</v>
      </c>
      <c r="C5443" s="31" t="s">
        <v>5337</v>
      </c>
      <c r="D5443" s="2" t="s">
        <v>30</v>
      </c>
      <c r="E5443" s="2" t="s">
        <v>626</v>
      </c>
      <c r="F5443" s="11"/>
      <c r="G5443" s="21"/>
      <c r="H5443" s="2" t="s">
        <v>5549</v>
      </c>
      <c r="I5443" s="2" t="s">
        <v>570</v>
      </c>
      <c r="J5443" s="22">
        <f>+Tabla1[[#This Row],[FECHA ENTRADA]]</f>
        <v>45965</v>
      </c>
      <c r="K5443" s="22">
        <v>46122</v>
      </c>
      <c r="L5443" s="23">
        <f>_xlfn.DAYS(Tabla1[[#This Row],[FECHA FIN ]],Tabla1[[#This Row],[FECHA INICIO]])</f>
        <v>157</v>
      </c>
      <c r="M5443" s="12"/>
      <c r="N5443" s="20">
        <v>300</v>
      </c>
      <c r="O5443" s="24">
        <f>(Tabla1[[#This Row],[COSTO FIJO ]]/30)*Tabla1[[#This Row],[TOTAL DIAS PROYECTO]]+(Tabla1[[#This Row],[COSTO TEMPORAL]])</f>
        <v>1570</v>
      </c>
      <c r="P5443" s="12"/>
      <c r="Q5443" s="12">
        <f>+(Tabla1[[#This Row],[COSTO COCHE]]/30)*Tabla1[[#This Row],[TOTAL DIAS PROYECTO]]</f>
        <v>0</v>
      </c>
      <c r="R5443" s="12">
        <f>+Tabla1[[#This Row],[COSTO TOTAL ALOJAMIENTO]]+Tabla1[[#This Row],[COSTO TOTAL COCHE]]</f>
        <v>1570</v>
      </c>
      <c r="S5443" s="2"/>
      <c r="T5443" s="14" t="s">
        <v>58</v>
      </c>
      <c r="U5443" s="14">
        <v>45965</v>
      </c>
      <c r="V5443" s="79"/>
      <c r="W5443" s="71"/>
      <c r="X5443" s="2"/>
      <c r="Y5443" s="11" t="s">
        <v>7547</v>
      </c>
      <c r="Z5443" s="2" t="s">
        <v>36</v>
      </c>
      <c r="AA5443" s="13" t="s">
        <v>10385</v>
      </c>
      <c r="AB5443" s="13" t="s">
        <v>10386</v>
      </c>
    </row>
    <row r="5444" spans="1:28" ht="15" customHeight="1">
      <c r="A5444" s="2" t="s">
        <v>9125</v>
      </c>
      <c r="B5444" s="2" t="s">
        <v>711</v>
      </c>
      <c r="C5444" s="31" t="s">
        <v>2100</v>
      </c>
      <c r="D5444" s="2" t="s">
        <v>30</v>
      </c>
      <c r="E5444" s="2" t="s">
        <v>626</v>
      </c>
      <c r="F5444" s="11" t="s">
        <v>7548</v>
      </c>
      <c r="G5444" s="21"/>
      <c r="H5444" s="2" t="s">
        <v>2357</v>
      </c>
      <c r="I5444" s="12" t="s">
        <v>570</v>
      </c>
      <c r="J5444" s="22">
        <f>+Tabla1[[#This Row],[FECHA ENTRADA]]</f>
        <v>45992</v>
      </c>
      <c r="K5444" s="22">
        <v>46122</v>
      </c>
      <c r="L5444" s="23">
        <f>_xlfn.DAYS(Tabla1[[#This Row],[FECHA FIN ]],Tabla1[[#This Row],[FECHA INICIO]])</f>
        <v>130</v>
      </c>
      <c r="M5444" s="12"/>
      <c r="N5444" s="20">
        <v>300</v>
      </c>
      <c r="O5444" s="24">
        <f>(Tabla1[[#This Row],[COSTO FIJO ]]/30)*Tabla1[[#This Row],[TOTAL DIAS PROYECTO]]+(Tabla1[[#This Row],[COSTO TEMPORAL]])</f>
        <v>1300</v>
      </c>
      <c r="P5444" s="12"/>
      <c r="Q5444" s="12">
        <f>+(Tabla1[[#This Row],[COSTO COCHE]]/30)*Tabla1[[#This Row],[TOTAL DIAS PROYECTO]]</f>
        <v>0</v>
      </c>
      <c r="R5444" s="12">
        <f>+Tabla1[[#This Row],[COSTO TOTAL ALOJAMIENTO]]+Tabla1[[#This Row],[COSTO TOTAL COCHE]]</f>
        <v>1300</v>
      </c>
      <c r="S5444" s="2"/>
      <c r="T5444" s="14" t="s">
        <v>58</v>
      </c>
      <c r="U5444" s="14">
        <v>45992</v>
      </c>
      <c r="V5444" s="79"/>
      <c r="W5444" s="12"/>
      <c r="X5444" s="2"/>
      <c r="Y5444" s="11" t="s">
        <v>7544</v>
      </c>
      <c r="Z5444" s="2" t="s">
        <v>36</v>
      </c>
      <c r="AA5444" s="13" t="s">
        <v>10385</v>
      </c>
      <c r="AB5444" s="13" t="s">
        <v>10386</v>
      </c>
    </row>
    <row r="5445" spans="1:28" ht="15" customHeight="1">
      <c r="A5445" s="2" t="s">
        <v>8956</v>
      </c>
      <c r="B5445" s="2" t="s">
        <v>711</v>
      </c>
      <c r="C5445" s="31" t="s">
        <v>1467</v>
      </c>
      <c r="D5445" s="2" t="s">
        <v>30</v>
      </c>
      <c r="E5445" s="2" t="s">
        <v>626</v>
      </c>
      <c r="F5445" s="11"/>
      <c r="G5445" s="21"/>
      <c r="H5445" s="2" t="s">
        <v>4916</v>
      </c>
      <c r="I5445" s="12" t="s">
        <v>570</v>
      </c>
      <c r="J5445" s="22">
        <f>+Tabla1[[#This Row],[FECHA ENTRADA]]</f>
        <v>46014</v>
      </c>
      <c r="K5445" s="22">
        <v>46122</v>
      </c>
      <c r="L5445" s="23">
        <f>_xlfn.DAYS(Tabla1[[#This Row],[FECHA FIN ]],Tabla1[[#This Row],[FECHA INICIO]])</f>
        <v>108</v>
      </c>
      <c r="M5445" s="12"/>
      <c r="N5445" s="20">
        <v>300</v>
      </c>
      <c r="O5445" s="24">
        <f>(Tabla1[[#This Row],[COSTO FIJO ]]/30)*Tabla1[[#This Row],[TOTAL DIAS PROYECTO]]+(Tabla1[[#This Row],[COSTO TEMPORAL]])</f>
        <v>1080</v>
      </c>
      <c r="P5445" s="12"/>
      <c r="Q5445" s="12">
        <f>+(Tabla1[[#This Row],[COSTO COCHE]]/30)*Tabla1[[#This Row],[TOTAL DIAS PROYECTO]]</f>
        <v>0</v>
      </c>
      <c r="R5445" s="12">
        <f>+Tabla1[[#This Row],[COSTO TOTAL ALOJAMIENTO]]+Tabla1[[#This Row],[COSTO TOTAL COCHE]]</f>
        <v>1080</v>
      </c>
      <c r="S5445" s="2"/>
      <c r="T5445" s="14" t="s">
        <v>58</v>
      </c>
      <c r="U5445" s="14">
        <v>46014</v>
      </c>
      <c r="V5445" s="79"/>
      <c r="W5445" s="12"/>
      <c r="X5445" s="2"/>
      <c r="Y5445" s="11" t="s">
        <v>7336</v>
      </c>
      <c r="Z5445" s="2" t="s">
        <v>36</v>
      </c>
      <c r="AA5445" s="13" t="s">
        <v>10385</v>
      </c>
      <c r="AB5445" s="13" t="s">
        <v>10386</v>
      </c>
    </row>
    <row r="5446" spans="1:28" ht="15" customHeight="1">
      <c r="A5446" s="2" t="s">
        <v>9545</v>
      </c>
      <c r="B5446" s="2" t="s">
        <v>711</v>
      </c>
      <c r="C5446" s="31" t="s">
        <v>3589</v>
      </c>
      <c r="D5446" s="2" t="s">
        <v>99</v>
      </c>
      <c r="E5446" s="2" t="s">
        <v>626</v>
      </c>
      <c r="F5446" s="11"/>
      <c r="G5446" s="21"/>
      <c r="H5446" s="2" t="s">
        <v>7015</v>
      </c>
      <c r="I5446" s="12" t="s">
        <v>570</v>
      </c>
      <c r="J5446" s="22">
        <f>+Tabla1[[#This Row],[FECHA ENTRADA]]</f>
        <v>46054</v>
      </c>
      <c r="K5446" s="22">
        <v>46122</v>
      </c>
      <c r="L5446" s="23">
        <f>_xlfn.DAYS(Tabla1[[#This Row],[FECHA FIN ]],Tabla1[[#This Row],[FECHA INICIO]])</f>
        <v>68</v>
      </c>
      <c r="M5446" s="12"/>
      <c r="N5446" s="20">
        <v>300</v>
      </c>
      <c r="O5446" s="24">
        <f>(Tabla1[[#This Row],[COSTO FIJO ]]/30)*Tabla1[[#This Row],[TOTAL DIAS PROYECTO]]+(Tabla1[[#This Row],[COSTO TEMPORAL]])</f>
        <v>680</v>
      </c>
      <c r="P5446" s="12"/>
      <c r="Q5446" s="12">
        <f>+(Tabla1[[#This Row],[COSTO COCHE]]/30)*Tabla1[[#This Row],[TOTAL DIAS PROYECTO]]</f>
        <v>0</v>
      </c>
      <c r="R5446" s="12">
        <f>+Tabla1[[#This Row],[COSTO TOTAL ALOJAMIENTO]]+Tabla1[[#This Row],[COSTO TOTAL COCHE]]</f>
        <v>680</v>
      </c>
      <c r="S5446" s="2"/>
      <c r="T5446" s="14" t="s">
        <v>58</v>
      </c>
      <c r="U5446" s="14">
        <v>46054</v>
      </c>
      <c r="V5446" s="79"/>
      <c r="W5446" s="12"/>
      <c r="X5446" s="2"/>
      <c r="Y5446" s="11" t="s">
        <v>7339</v>
      </c>
      <c r="Z5446" s="2" t="s">
        <v>36</v>
      </c>
      <c r="AA5446" s="13" t="s">
        <v>10385</v>
      </c>
      <c r="AB5446" s="13" t="s">
        <v>10386</v>
      </c>
    </row>
    <row r="5447" spans="1:28" ht="15" customHeight="1">
      <c r="A5447" s="2" t="s">
        <v>9890</v>
      </c>
      <c r="B5447" s="2" t="s">
        <v>711</v>
      </c>
      <c r="C5447" s="31" t="s">
        <v>5231</v>
      </c>
      <c r="D5447" s="2" t="s">
        <v>99</v>
      </c>
      <c r="E5447" s="2" t="s">
        <v>626</v>
      </c>
      <c r="F5447" s="11"/>
      <c r="G5447" s="21"/>
      <c r="H5447" s="2" t="s">
        <v>4855</v>
      </c>
      <c r="I5447" s="12" t="s">
        <v>570</v>
      </c>
      <c r="J5447" s="22">
        <f>+Tabla1[[#This Row],[FECHA ENTRADA]]</f>
        <v>46054</v>
      </c>
      <c r="K5447" s="22">
        <v>46122</v>
      </c>
      <c r="L5447" s="23">
        <f>_xlfn.DAYS(Tabla1[[#This Row],[FECHA FIN ]],Tabla1[[#This Row],[FECHA INICIO]])</f>
        <v>68</v>
      </c>
      <c r="M5447" s="12"/>
      <c r="N5447" s="20">
        <v>300</v>
      </c>
      <c r="O5447" s="24">
        <f>(Tabla1[[#This Row],[COSTO FIJO ]]/30)*Tabla1[[#This Row],[TOTAL DIAS PROYECTO]]+(Tabla1[[#This Row],[COSTO TEMPORAL]])</f>
        <v>680</v>
      </c>
      <c r="P5447" s="12"/>
      <c r="Q5447" s="12">
        <f>+(Tabla1[[#This Row],[COSTO COCHE]]/30)*Tabla1[[#This Row],[TOTAL DIAS PROYECTO]]</f>
        <v>0</v>
      </c>
      <c r="R5447" s="12">
        <f>+Tabla1[[#This Row],[COSTO TOTAL ALOJAMIENTO]]+Tabla1[[#This Row],[COSTO TOTAL COCHE]]</f>
        <v>680</v>
      </c>
      <c r="S5447" s="2"/>
      <c r="T5447" s="14" t="s">
        <v>58</v>
      </c>
      <c r="U5447" s="14">
        <v>46054</v>
      </c>
      <c r="V5447" s="79"/>
      <c r="W5447" s="12"/>
      <c r="X5447" s="2"/>
      <c r="Y5447" s="11" t="s">
        <v>7336</v>
      </c>
      <c r="Z5447" s="2" t="s">
        <v>36</v>
      </c>
      <c r="AA5447" s="13" t="s">
        <v>10385</v>
      </c>
      <c r="AB5447" s="13" t="s">
        <v>10386</v>
      </c>
    </row>
    <row r="5448" spans="1:28" ht="15" customHeight="1">
      <c r="A5448" s="2" t="s">
        <v>10144</v>
      </c>
      <c r="B5448" s="2" t="s">
        <v>711</v>
      </c>
      <c r="C5448" s="31" t="s">
        <v>6625</v>
      </c>
      <c r="D5448" s="2" t="s">
        <v>30</v>
      </c>
      <c r="E5448" s="2" t="s">
        <v>626</v>
      </c>
      <c r="F5448" s="11"/>
      <c r="G5448" s="11"/>
      <c r="H5448" s="2" t="s">
        <v>5933</v>
      </c>
      <c r="I5448" s="12" t="s">
        <v>570</v>
      </c>
      <c r="J5448" s="22">
        <f>+Tabla1[[#This Row],[FECHA ENTRADA]]</f>
        <v>46042</v>
      </c>
      <c r="K5448" s="22">
        <v>46122</v>
      </c>
      <c r="L5448" s="23">
        <f>_xlfn.DAYS(Tabla1[[#This Row],[FECHA FIN ]],Tabla1[[#This Row],[FECHA INICIO]])</f>
        <v>80</v>
      </c>
      <c r="M5448" s="12"/>
      <c r="N5448" s="20">
        <v>300</v>
      </c>
      <c r="O5448" s="24">
        <f>(Tabla1[[#This Row],[COSTO FIJO ]]/30)*Tabla1[[#This Row],[TOTAL DIAS PROYECTO]]+(Tabla1[[#This Row],[COSTO TEMPORAL]])</f>
        <v>800</v>
      </c>
      <c r="P5448" s="12"/>
      <c r="Q5448" s="12">
        <f>+(Tabla1[[#This Row],[COSTO COCHE]]/30)*Tabla1[[#This Row],[TOTAL DIAS PROYECTO]]</f>
        <v>0</v>
      </c>
      <c r="R5448" s="12">
        <f>+Tabla1[[#This Row],[COSTO TOTAL ALOJAMIENTO]]+Tabla1[[#This Row],[COSTO TOTAL COCHE]]</f>
        <v>800</v>
      </c>
      <c r="S5448" s="2"/>
      <c r="T5448" s="14" t="s">
        <v>58</v>
      </c>
      <c r="U5448" s="14">
        <v>46042</v>
      </c>
      <c r="V5448" s="79"/>
      <c r="W5448" s="12"/>
      <c r="X5448" s="2"/>
      <c r="Y5448" s="11" t="s">
        <v>7549</v>
      </c>
      <c r="Z5448" s="2" t="s">
        <v>36</v>
      </c>
      <c r="AA5448" s="13" t="s">
        <v>10385</v>
      </c>
      <c r="AB5448" s="13" t="s">
        <v>10386</v>
      </c>
    </row>
    <row r="5449" spans="1:28" ht="15" customHeight="1">
      <c r="A5449" s="2" t="s">
        <v>9813</v>
      </c>
      <c r="B5449" s="2" t="s">
        <v>28</v>
      </c>
      <c r="C5449" s="11" t="s">
        <v>4872</v>
      </c>
      <c r="D5449" s="2" t="s">
        <v>749</v>
      </c>
      <c r="E5449" s="2" t="s">
        <v>288</v>
      </c>
      <c r="F5449" s="11" t="s">
        <v>4873</v>
      </c>
      <c r="G5449" s="128" t="s">
        <v>4752</v>
      </c>
      <c r="H5449" s="2" t="s">
        <v>4753</v>
      </c>
      <c r="I5449" s="10" t="s">
        <v>753</v>
      </c>
      <c r="J5449" s="41">
        <f>+Tabla1[[#This Row],[FECHA ENTRADA]]</f>
        <v>45893</v>
      </c>
      <c r="K5449" s="41">
        <f ca="1">TODAY()</f>
        <v>46260</v>
      </c>
      <c r="L5449" s="42">
        <f ca="1">_xlfn.DAYS(Tabla1[[#This Row],[FECHA FIN ]],Tabla1[[#This Row],[FECHA INICIO]])</f>
        <v>367</v>
      </c>
      <c r="M5449" s="12"/>
      <c r="N5449" s="12">
        <v>500</v>
      </c>
      <c r="O5449" s="28">
        <f ca="1">(Tabla1[[#This Row],[COSTO FIJO ]]/30)*Tabla1[[#This Row],[TOTAL DIAS PROYECTO]]+(Tabla1[[#This Row],[COSTO TEMPORAL]])</f>
        <v>6116.666666666667</v>
      </c>
      <c r="P5449" s="12"/>
      <c r="Q5449" s="12">
        <f ca="1">+(Tabla1[[#This Row],[COSTO COCHE]]/30)*Tabla1[[#This Row],[TOTAL DIAS PROYECTO]]</f>
        <v>0</v>
      </c>
      <c r="R5449" s="12">
        <f ca="1">+Tabla1[[#This Row],[COSTO TOTAL ALOJAMIENTO]]+Tabla1[[#This Row],[COSTO TOTAL COCHE]]</f>
        <v>6116.666666666667</v>
      </c>
      <c r="S5449" s="2"/>
      <c r="T5449" s="14" t="s">
        <v>35</v>
      </c>
      <c r="U5449" s="14">
        <v>45893</v>
      </c>
      <c r="V5449" s="79">
        <v>46266</v>
      </c>
      <c r="W5449" s="12"/>
      <c r="X5449" s="2">
        <v>1</v>
      </c>
      <c r="Y5449" s="165" t="s">
        <v>7541</v>
      </c>
      <c r="Z5449" s="2" t="s">
        <v>702</v>
      </c>
      <c r="AA5449" s="13" t="s">
        <v>10362</v>
      </c>
      <c r="AB5449" s="13" t="s">
        <v>10363</v>
      </c>
    </row>
    <row r="5450" spans="1:28" ht="15" customHeight="1">
      <c r="A5450" s="2" t="s">
        <v>9246</v>
      </c>
      <c r="B5450" s="2" t="s">
        <v>28</v>
      </c>
      <c r="C5450" s="11" t="s">
        <v>2578</v>
      </c>
      <c r="D5450" s="2" t="s">
        <v>749</v>
      </c>
      <c r="E5450" s="2" t="s">
        <v>288</v>
      </c>
      <c r="F5450" s="11" t="s">
        <v>4873</v>
      </c>
      <c r="G5450" s="128" t="s">
        <v>4752</v>
      </c>
      <c r="H5450" s="2" t="s">
        <v>4753</v>
      </c>
      <c r="I5450" s="12" t="s">
        <v>753</v>
      </c>
      <c r="J5450" s="41">
        <f>+Tabla1[[#This Row],[FECHA ENTRADA]]</f>
        <v>45893</v>
      </c>
      <c r="K5450" s="41">
        <f ca="1">TODAY()</f>
        <v>46260</v>
      </c>
      <c r="L5450" s="42">
        <f ca="1">_xlfn.DAYS(Tabla1[[#This Row],[FECHA FIN ]],Tabla1[[#This Row],[FECHA INICIO]])</f>
        <v>367</v>
      </c>
      <c r="M5450" s="12"/>
      <c r="N5450" s="12">
        <v>500</v>
      </c>
      <c r="O5450" s="28">
        <f ca="1">(Tabla1[[#This Row],[COSTO FIJO ]]/30)*Tabla1[[#This Row],[TOTAL DIAS PROYECTO]]+(Tabla1[[#This Row],[COSTO TEMPORAL]])</f>
        <v>6116.666666666667</v>
      </c>
      <c r="P5450" s="12"/>
      <c r="Q5450" s="12">
        <f ca="1">+(Tabla1[[#This Row],[COSTO COCHE]]/30)*Tabla1[[#This Row],[TOTAL DIAS PROYECTO]]</f>
        <v>0</v>
      </c>
      <c r="R5450" s="12">
        <f ca="1">+Tabla1[[#This Row],[COSTO TOTAL ALOJAMIENTO]]+Tabla1[[#This Row],[COSTO TOTAL COCHE]]</f>
        <v>6116.666666666667</v>
      </c>
      <c r="S5450" s="2"/>
      <c r="T5450" s="14" t="s">
        <v>35</v>
      </c>
      <c r="U5450" s="14">
        <v>45893</v>
      </c>
      <c r="V5450" s="79">
        <v>46266</v>
      </c>
      <c r="W5450" s="12"/>
      <c r="X5450" s="2">
        <v>1</v>
      </c>
      <c r="Y5450" s="165" t="s">
        <v>7541</v>
      </c>
      <c r="Z5450" s="2" t="s">
        <v>702</v>
      </c>
      <c r="AA5450" s="13" t="s">
        <v>10362</v>
      </c>
      <c r="AB5450" s="13" t="s">
        <v>10363</v>
      </c>
    </row>
    <row r="5451" spans="1:28" ht="15" customHeight="1">
      <c r="A5451" s="2" t="s">
        <v>9509</v>
      </c>
      <c r="B5451" s="2" t="s">
        <v>28</v>
      </c>
      <c r="C5451" s="11" t="s">
        <v>3467</v>
      </c>
      <c r="D5451" s="2" t="s">
        <v>99</v>
      </c>
      <c r="E5451" s="2" t="s">
        <v>127</v>
      </c>
      <c r="F5451" s="11" t="s">
        <v>820</v>
      </c>
      <c r="G5451" s="21" t="s">
        <v>1234</v>
      </c>
      <c r="H5451" s="2" t="s">
        <v>1605</v>
      </c>
      <c r="I5451" s="12" t="s">
        <v>96</v>
      </c>
      <c r="J5451" s="22">
        <f>+Tabla1[[#This Row],[FECHA ENTRADA]]</f>
        <v>45732</v>
      </c>
      <c r="K5451" s="22">
        <v>45821</v>
      </c>
      <c r="L5451" s="23">
        <f>_xlfn.DAYS(Tabla1[[#This Row],[FECHA FIN ]],Tabla1[[#This Row],[FECHA INICIO]])</f>
        <v>89</v>
      </c>
      <c r="M5451" s="12"/>
      <c r="N5451" s="12"/>
      <c r="O5451" s="24">
        <f>(Tabla1[[#This Row],[COSTO FIJO ]]/30)*Tabla1[[#This Row],[TOTAL DIAS PROYECTO]]+(Tabla1[[#This Row],[COSTO TEMPORAL]])</f>
        <v>0</v>
      </c>
      <c r="P5451" s="12"/>
      <c r="Q5451" s="12">
        <f>+(Tabla1[[#This Row],[COSTO COCHE]]/30)*Tabla1[[#This Row],[TOTAL DIAS PROYECTO]]</f>
        <v>0</v>
      </c>
      <c r="R5451" s="12">
        <f>+Tabla1[[#This Row],[COSTO TOTAL ALOJAMIENTO]]+Tabla1[[#This Row],[COSTO TOTAL COCHE]]</f>
        <v>0</v>
      </c>
      <c r="S5451" s="2"/>
      <c r="T5451" s="2" t="s">
        <v>44</v>
      </c>
      <c r="U5451" s="14">
        <v>45732</v>
      </c>
      <c r="V5451" s="25">
        <v>45768</v>
      </c>
      <c r="W5451" s="26"/>
      <c r="X5451" s="2"/>
      <c r="Y5451" s="11"/>
      <c r="Z5451" s="2" t="s">
        <v>36</v>
      </c>
      <c r="AA5451" s="13" t="s">
        <v>10342</v>
      </c>
      <c r="AB5451" s="13" t="s">
        <v>10343</v>
      </c>
    </row>
    <row r="5452" spans="1:28" ht="15" customHeight="1">
      <c r="A5452" s="2" t="s">
        <v>9806</v>
      </c>
      <c r="B5452" s="2" t="s">
        <v>28</v>
      </c>
      <c r="C5452" s="118" t="s">
        <v>4829</v>
      </c>
      <c r="D5452" s="2" t="s">
        <v>749</v>
      </c>
      <c r="E5452" s="2" t="s">
        <v>288</v>
      </c>
      <c r="F5452" s="11" t="s">
        <v>4873</v>
      </c>
      <c r="G5452" s="128" t="s">
        <v>4752</v>
      </c>
      <c r="H5452" s="2" t="s">
        <v>6501</v>
      </c>
      <c r="I5452" s="12" t="s">
        <v>753</v>
      </c>
      <c r="J5452" s="41">
        <f>+Tabla1[[#This Row],[FECHA ENTRADA]]</f>
        <v>45941</v>
      </c>
      <c r="K5452" s="22">
        <f ca="1">TODAY()</f>
        <v>46260</v>
      </c>
      <c r="L5452" s="42">
        <f ca="1">_xlfn.DAYS(Tabla1[[#This Row],[FECHA FIN ]],Tabla1[[#This Row],[FECHA INICIO]])</f>
        <v>319</v>
      </c>
      <c r="M5452" s="12"/>
      <c r="N5452" s="12">
        <v>500</v>
      </c>
      <c r="O5452" s="28">
        <f ca="1">(Tabla1[[#This Row],[COSTO FIJO ]]/30)*Tabla1[[#This Row],[TOTAL DIAS PROYECTO]]+(Tabla1[[#This Row],[COSTO TEMPORAL]])</f>
        <v>5316.666666666667</v>
      </c>
      <c r="P5452" s="12"/>
      <c r="Q5452" s="12">
        <f ca="1">+(Tabla1[[#This Row],[COSTO COCHE]]/30)*Tabla1[[#This Row],[TOTAL DIAS PROYECTO]]</f>
        <v>0</v>
      </c>
      <c r="R5452" s="12">
        <f ca="1">+Tabla1[[#This Row],[COSTO TOTAL ALOJAMIENTO]]+Tabla1[[#This Row],[COSTO TOTAL COCHE]]</f>
        <v>5316.666666666667</v>
      </c>
      <c r="S5452" s="2"/>
      <c r="T5452" s="14" t="s">
        <v>35</v>
      </c>
      <c r="U5452" s="14">
        <v>45941</v>
      </c>
      <c r="V5452" s="79">
        <v>46266</v>
      </c>
      <c r="W5452" s="71"/>
      <c r="X5452" s="2">
        <v>1</v>
      </c>
      <c r="Y5452" s="165" t="s">
        <v>7550</v>
      </c>
      <c r="Z5452" s="2" t="s">
        <v>702</v>
      </c>
      <c r="AA5452" s="13" t="s">
        <v>10362</v>
      </c>
      <c r="AB5452" s="13" t="s">
        <v>10363</v>
      </c>
    </row>
    <row r="5453" spans="1:28" ht="15" customHeight="1">
      <c r="A5453" s="2" t="s">
        <v>10257</v>
      </c>
      <c r="B5453" s="2" t="s">
        <v>606</v>
      </c>
      <c r="C5453" s="86" t="s">
        <v>7551</v>
      </c>
      <c r="D5453" s="2" t="s">
        <v>30</v>
      </c>
      <c r="E5453" s="2" t="s">
        <v>259</v>
      </c>
      <c r="F5453" s="11"/>
      <c r="G5453" s="11"/>
      <c r="H5453" s="2" t="s">
        <v>554</v>
      </c>
      <c r="I5453" s="2" t="s">
        <v>57</v>
      </c>
      <c r="J5453" s="8">
        <f>+Tabla1[[#This Row],[FECHA ENTRADA]]</f>
        <v>45396</v>
      </c>
      <c r="K5453" s="8">
        <f ca="1">TODAY()</f>
        <v>46260</v>
      </c>
      <c r="L5453" s="13">
        <f ca="1">_xlfn.DAYS(Tabla1[[#This Row],[FECHA FIN ]],Tabla1[[#This Row],[FECHA INICIO]])</f>
        <v>864</v>
      </c>
      <c r="M5453" s="12"/>
      <c r="N5453" s="28">
        <v>300</v>
      </c>
      <c r="O5453" s="12">
        <f ca="1">(Tabla1[[#This Row],[COSTO FIJO ]]/30)*Tabla1[[#This Row],[TOTAL DIAS PROYECTO]]+(Tabla1[[#This Row],[COSTO TEMPORAL]])</f>
        <v>8640</v>
      </c>
      <c r="P5453" s="13"/>
      <c r="Q5453" s="12">
        <f ca="1">+(Tabla1[[#This Row],[COSTO COCHE]]/30)*Tabla1[[#This Row],[TOTAL DIAS PROYECTO]]</f>
        <v>0</v>
      </c>
      <c r="R5453" s="12">
        <f ca="1">+Tabla1[[#This Row],[COSTO TOTAL ALOJAMIENTO]]+Tabla1[[#This Row],[COSTO TOTAL COCHE]]</f>
        <v>8640</v>
      </c>
      <c r="S5453" s="2"/>
      <c r="T5453" s="2" t="s">
        <v>58</v>
      </c>
      <c r="U5453" s="14">
        <v>45396</v>
      </c>
      <c r="V5453" s="14"/>
      <c r="W5453" s="15"/>
      <c r="X5453" s="16">
        <v>5</v>
      </c>
      <c r="Y5453" s="11" t="s">
        <v>7552</v>
      </c>
      <c r="Z5453" s="2" t="s">
        <v>702</v>
      </c>
      <c r="AA5453" s="13">
        <v>-0.87734000000000001</v>
      </c>
      <c r="AB5453" s="13" t="s">
        <v>10359</v>
      </c>
    </row>
    <row r="5454" spans="1:28" ht="15" customHeight="1">
      <c r="A5454" s="2" t="s">
        <v>9836</v>
      </c>
      <c r="B5454" s="2" t="s">
        <v>606</v>
      </c>
      <c r="C5454" s="31" t="s">
        <v>4966</v>
      </c>
      <c r="D5454" s="2" t="s">
        <v>30</v>
      </c>
      <c r="E5454" s="2" t="s">
        <v>259</v>
      </c>
      <c r="F5454" s="11"/>
      <c r="G5454" s="21"/>
      <c r="H5454" s="2" t="s">
        <v>4967</v>
      </c>
      <c r="I5454" s="12" t="s">
        <v>4003</v>
      </c>
      <c r="J5454" s="22">
        <f>+Tabla1[[#This Row],[FECHA ENTRADA]]</f>
        <v>45896</v>
      </c>
      <c r="K5454" s="22">
        <v>46204</v>
      </c>
      <c r="L5454" s="23">
        <f>_xlfn.DAYS(Tabla1[[#This Row],[FECHA FIN ]],Tabla1[[#This Row],[FECHA INICIO]])</f>
        <v>308</v>
      </c>
      <c r="M5454" s="12"/>
      <c r="N5454" s="28">
        <v>300</v>
      </c>
      <c r="O5454" s="24">
        <f>(Tabla1[[#This Row],[COSTO FIJO ]]/30)*Tabla1[[#This Row],[TOTAL DIAS PROYECTO]]+(Tabla1[[#This Row],[COSTO TEMPORAL]])</f>
        <v>3080</v>
      </c>
      <c r="P5454" s="12"/>
      <c r="Q5454" s="12">
        <f>+(Tabla1[[#This Row],[COSTO COCHE]]/30)*Tabla1[[#This Row],[TOTAL DIAS PROYECTO]]</f>
        <v>0</v>
      </c>
      <c r="R5454" s="12">
        <f>+Tabla1[[#This Row],[COSTO TOTAL ALOJAMIENTO]]+Tabla1[[#This Row],[COSTO TOTAL COCHE]]</f>
        <v>3080</v>
      </c>
      <c r="S5454" s="2"/>
      <c r="T5454" s="14" t="s">
        <v>58</v>
      </c>
      <c r="U5454" s="14">
        <v>45896</v>
      </c>
      <c r="V5454" s="79"/>
      <c r="W5454" s="12"/>
      <c r="X5454" s="2"/>
      <c r="Y5454" s="11" t="s">
        <v>7553</v>
      </c>
      <c r="Z5454" s="2" t="s">
        <v>36</v>
      </c>
      <c r="AA5454" s="13">
        <v>-0.87734000000000001</v>
      </c>
      <c r="AB5454" s="13" t="s">
        <v>10359</v>
      </c>
    </row>
    <row r="5455" spans="1:28" ht="15" customHeight="1">
      <c r="A5455" s="2" t="s">
        <v>9084</v>
      </c>
      <c r="B5455" s="2" t="s">
        <v>28</v>
      </c>
      <c r="C5455" s="11" t="s">
        <v>1947</v>
      </c>
      <c r="D5455" s="2" t="s">
        <v>749</v>
      </c>
      <c r="E5455" s="2" t="s">
        <v>288</v>
      </c>
      <c r="F5455" s="11" t="s">
        <v>4873</v>
      </c>
      <c r="G5455" s="128" t="s">
        <v>4752</v>
      </c>
      <c r="H5455" s="2" t="s">
        <v>7195</v>
      </c>
      <c r="I5455" s="12" t="s">
        <v>753</v>
      </c>
      <c r="J5455" s="22">
        <f>+Tabla1[[#This Row],[FECHA ENTRADA]]</f>
        <v>45983</v>
      </c>
      <c r="K5455" s="22">
        <f ca="1">TODAY()</f>
        <v>46260</v>
      </c>
      <c r="L5455" s="23">
        <f ca="1">_xlfn.DAYS(Tabla1[[#This Row],[FECHA FIN ]],Tabla1[[#This Row],[FECHA INICIO]])</f>
        <v>277</v>
      </c>
      <c r="M5455" s="12"/>
      <c r="N5455" s="12">
        <v>500</v>
      </c>
      <c r="O5455" s="24">
        <f ca="1">(Tabla1[[#This Row],[COSTO FIJO ]]/30)*Tabla1[[#This Row],[TOTAL DIAS PROYECTO]]+(Tabla1[[#This Row],[COSTO TEMPORAL]])</f>
        <v>4616.666666666667</v>
      </c>
      <c r="P5455" s="12"/>
      <c r="Q5455" s="12">
        <f ca="1">+(Tabla1[[#This Row],[COSTO COCHE]]/30)*Tabla1[[#This Row],[TOTAL DIAS PROYECTO]]</f>
        <v>0</v>
      </c>
      <c r="R5455" s="12">
        <f ca="1">+Tabla1[[#This Row],[COSTO TOTAL ALOJAMIENTO]]+Tabla1[[#This Row],[COSTO TOTAL COCHE]]</f>
        <v>4616.666666666667</v>
      </c>
      <c r="S5455" s="2"/>
      <c r="T5455" s="14" t="s">
        <v>35</v>
      </c>
      <c r="U5455" s="14">
        <v>45983</v>
      </c>
      <c r="V5455" s="79">
        <v>46266</v>
      </c>
      <c r="W5455" s="71"/>
      <c r="X5455" s="2">
        <v>1</v>
      </c>
      <c r="Y5455" s="165" t="s">
        <v>7226</v>
      </c>
      <c r="Z5455" s="2" t="s">
        <v>702</v>
      </c>
      <c r="AA5455" s="13" t="s">
        <v>10362</v>
      </c>
      <c r="AB5455" s="13" t="s">
        <v>10363</v>
      </c>
    </row>
    <row r="5456" spans="1:28" ht="15" customHeight="1">
      <c r="A5456" s="2" t="s">
        <v>8642</v>
      </c>
      <c r="B5456" s="2" t="s">
        <v>28</v>
      </c>
      <c r="C5456" s="11" t="s">
        <v>7554</v>
      </c>
      <c r="D5456" s="2" t="s">
        <v>749</v>
      </c>
      <c r="E5456" s="2" t="s">
        <v>288</v>
      </c>
      <c r="F5456" s="11" t="s">
        <v>4873</v>
      </c>
      <c r="G5456" s="128" t="s">
        <v>4752</v>
      </c>
      <c r="H5456" s="2" t="s">
        <v>7555</v>
      </c>
      <c r="I5456" s="12" t="s">
        <v>753</v>
      </c>
      <c r="J5456" s="22">
        <f>+Tabla1[[#This Row],[FECHA ENTRADA]]</f>
        <v>46125</v>
      </c>
      <c r="K5456" s="22">
        <f ca="1">TODAY()</f>
        <v>46260</v>
      </c>
      <c r="L5456" s="23">
        <f ca="1">_xlfn.DAYS(Tabla1[[#This Row],[FECHA FIN ]],Tabla1[[#This Row],[FECHA INICIO]])</f>
        <v>135</v>
      </c>
      <c r="M5456" s="12"/>
      <c r="N5456" s="12">
        <v>500</v>
      </c>
      <c r="O5456" s="24">
        <f ca="1">(Tabla1[[#This Row],[COSTO FIJO ]]/30)*Tabla1[[#This Row],[TOTAL DIAS PROYECTO]]+(Tabla1[[#This Row],[COSTO TEMPORAL]])</f>
        <v>2250</v>
      </c>
      <c r="P5456" s="12"/>
      <c r="Q5456" s="12">
        <f ca="1">+(Tabla1[[#This Row],[COSTO COCHE]]/30)*Tabla1[[#This Row],[TOTAL DIAS PROYECTO]]</f>
        <v>0</v>
      </c>
      <c r="R5456" s="12">
        <f ca="1">+Tabla1[[#This Row],[COSTO TOTAL ALOJAMIENTO]]+Tabla1[[#This Row],[COSTO TOTAL COCHE]]</f>
        <v>2250</v>
      </c>
      <c r="S5456" s="2"/>
      <c r="T5456" s="14" t="s">
        <v>35</v>
      </c>
      <c r="U5456" s="14">
        <v>46125</v>
      </c>
      <c r="V5456" s="79">
        <v>46266</v>
      </c>
      <c r="W5456" s="12"/>
      <c r="X5456" s="2">
        <v>1</v>
      </c>
      <c r="Y5456" s="165" t="s">
        <v>7556</v>
      </c>
      <c r="Z5456" s="2" t="s">
        <v>702</v>
      </c>
      <c r="AA5456" s="13" t="s">
        <v>10362</v>
      </c>
      <c r="AB5456" s="13" t="s">
        <v>10363</v>
      </c>
    </row>
    <row r="5457" spans="1:28" ht="15" customHeight="1">
      <c r="A5457" s="2" t="s">
        <v>8936</v>
      </c>
      <c r="B5457" s="2" t="s">
        <v>606</v>
      </c>
      <c r="C5457" s="31" t="s">
        <v>1351</v>
      </c>
      <c r="D5457" s="2" t="s">
        <v>30</v>
      </c>
      <c r="E5457" s="2" t="s">
        <v>608</v>
      </c>
      <c r="F5457" s="11"/>
      <c r="G5457" s="46"/>
      <c r="H5457" s="2" t="s">
        <v>7557</v>
      </c>
      <c r="I5457" s="57" t="s">
        <v>612</v>
      </c>
      <c r="J5457" s="41">
        <f>+Tabla1[[#This Row],[FECHA ENTRADA]]</f>
        <v>45669</v>
      </c>
      <c r="K5457" s="8">
        <v>46220</v>
      </c>
      <c r="L5457" s="42">
        <f>_xlfn.DAYS(Tabla1[[#This Row],[FECHA FIN ]],Tabla1[[#This Row],[FECHA INICIO]])</f>
        <v>551</v>
      </c>
      <c r="M5457" s="12"/>
      <c r="N5457" s="28">
        <v>300</v>
      </c>
      <c r="O5457" s="28">
        <f>(Tabla1[[#This Row],[COSTO FIJO ]]/30)*Tabla1[[#This Row],[TOTAL DIAS PROYECTO]]+(Tabla1[[#This Row],[COSTO TEMPORAL]])</f>
        <v>5510</v>
      </c>
      <c r="P5457" s="12"/>
      <c r="Q5457" s="12">
        <f>+(Tabla1[[#This Row],[COSTO COCHE]]/30)*Tabla1[[#This Row],[TOTAL DIAS PROYECTO]]</f>
        <v>0</v>
      </c>
      <c r="R5457" s="12">
        <f>+Tabla1[[#This Row],[COSTO TOTAL ALOJAMIENTO]]+Tabla1[[#This Row],[COSTO TOTAL COCHE]]</f>
        <v>5510</v>
      </c>
      <c r="S5457" s="2"/>
      <c r="T5457" s="2" t="s">
        <v>58</v>
      </c>
      <c r="U5457" s="14">
        <v>45669</v>
      </c>
      <c r="V5457" s="43"/>
      <c r="W5457" s="26"/>
      <c r="X5457" s="2"/>
      <c r="Y5457" s="11" t="s">
        <v>7558</v>
      </c>
      <c r="Z5457" s="2" t="s">
        <v>36</v>
      </c>
      <c r="AA5457" s="13" t="s">
        <v>10383</v>
      </c>
      <c r="AB5457" s="13" t="s">
        <v>10384</v>
      </c>
    </row>
    <row r="5458" spans="1:28" ht="15" customHeight="1">
      <c r="A5458" s="2" t="s">
        <v>10215</v>
      </c>
      <c r="B5458" s="2" t="s">
        <v>28</v>
      </c>
      <c r="C5458" s="11" t="s">
        <v>7194</v>
      </c>
      <c r="D5458" s="2" t="s">
        <v>749</v>
      </c>
      <c r="E5458" s="2" t="s">
        <v>288</v>
      </c>
      <c r="F5458" s="11" t="s">
        <v>4873</v>
      </c>
      <c r="G5458" s="128" t="s">
        <v>4752</v>
      </c>
      <c r="H5458" s="2" t="s">
        <v>7555</v>
      </c>
      <c r="I5458" s="12" t="s">
        <v>753</v>
      </c>
      <c r="J5458" s="22">
        <f>+Tabla1[[#This Row],[FECHA ENTRADA]]</f>
        <v>46125</v>
      </c>
      <c r="K5458" s="22">
        <f ca="1">TODAY()</f>
        <v>46260</v>
      </c>
      <c r="L5458" s="23">
        <f ca="1">_xlfn.DAYS(Tabla1[[#This Row],[FECHA FIN ]],Tabla1[[#This Row],[FECHA INICIO]])</f>
        <v>135</v>
      </c>
      <c r="M5458" s="12"/>
      <c r="N5458" s="12">
        <v>500</v>
      </c>
      <c r="O5458" s="24">
        <f ca="1">(Tabla1[[#This Row],[COSTO FIJO ]]/30)*Tabla1[[#This Row],[TOTAL DIAS PROYECTO]]+(Tabla1[[#This Row],[COSTO TEMPORAL]])</f>
        <v>2250</v>
      </c>
      <c r="P5458" s="12"/>
      <c r="Q5458" s="12">
        <f ca="1">+(Tabla1[[#This Row],[COSTO COCHE]]/30)*Tabla1[[#This Row],[TOTAL DIAS PROYECTO]]</f>
        <v>0</v>
      </c>
      <c r="R5458" s="12">
        <f ca="1">+Tabla1[[#This Row],[COSTO TOTAL ALOJAMIENTO]]+Tabla1[[#This Row],[COSTO TOTAL COCHE]]</f>
        <v>2250</v>
      </c>
      <c r="S5458" s="2"/>
      <c r="T5458" s="14" t="s">
        <v>35</v>
      </c>
      <c r="U5458" s="14">
        <v>46125</v>
      </c>
      <c r="V5458" s="79">
        <v>46266</v>
      </c>
      <c r="W5458" s="12"/>
      <c r="X5458" s="2">
        <v>1</v>
      </c>
      <c r="Y5458" s="165" t="s">
        <v>7539</v>
      </c>
      <c r="Z5458" s="2" t="s">
        <v>702</v>
      </c>
      <c r="AA5458" s="13" t="s">
        <v>10362</v>
      </c>
      <c r="AB5458" s="13" t="s">
        <v>10363</v>
      </c>
    </row>
    <row r="5459" spans="1:28" ht="15" customHeight="1">
      <c r="A5459" s="2" t="s">
        <v>10070</v>
      </c>
      <c r="B5459" s="2" t="s">
        <v>28</v>
      </c>
      <c r="C5459" s="322" t="s">
        <v>6198</v>
      </c>
      <c r="D5459" s="2" t="s">
        <v>749</v>
      </c>
      <c r="E5459" s="2" t="s">
        <v>288</v>
      </c>
      <c r="F5459" s="11" t="s">
        <v>4873</v>
      </c>
      <c r="G5459" s="128" t="s">
        <v>4752</v>
      </c>
      <c r="H5459" s="2" t="s">
        <v>7555</v>
      </c>
      <c r="I5459" s="12" t="s">
        <v>753</v>
      </c>
      <c r="J5459" s="22">
        <f>+Tabla1[[#This Row],[FECHA ENTRADA]]</f>
        <v>46125</v>
      </c>
      <c r="K5459" s="22">
        <f ca="1">TODAY()</f>
        <v>46260</v>
      </c>
      <c r="L5459" s="23">
        <f ca="1">_xlfn.DAYS(Tabla1[[#This Row],[FECHA FIN ]],Tabla1[[#This Row],[FECHA INICIO]])</f>
        <v>135</v>
      </c>
      <c r="M5459" s="12"/>
      <c r="N5459" s="12">
        <v>500</v>
      </c>
      <c r="O5459" s="24">
        <f ca="1">(Tabla1[[#This Row],[COSTO FIJO ]]/30)*Tabla1[[#This Row],[TOTAL DIAS PROYECTO]]+(Tabla1[[#This Row],[COSTO TEMPORAL]])</f>
        <v>2250</v>
      </c>
      <c r="P5459" s="12"/>
      <c r="Q5459" s="12">
        <f ca="1">+(Tabla1[[#This Row],[COSTO COCHE]]/30)*Tabla1[[#This Row],[TOTAL DIAS PROYECTO]]</f>
        <v>0</v>
      </c>
      <c r="R5459" s="12">
        <f ca="1">+Tabla1[[#This Row],[COSTO TOTAL ALOJAMIENTO]]+Tabla1[[#This Row],[COSTO TOTAL COCHE]]</f>
        <v>2250</v>
      </c>
      <c r="S5459" s="2"/>
      <c r="T5459" s="14" t="s">
        <v>35</v>
      </c>
      <c r="U5459" s="14">
        <v>46125</v>
      </c>
      <c r="V5459" s="79">
        <v>46266</v>
      </c>
      <c r="W5459" s="12"/>
      <c r="X5459" s="2">
        <v>1</v>
      </c>
      <c r="Y5459" s="165" t="s">
        <v>7531</v>
      </c>
      <c r="Z5459" s="2" t="s">
        <v>702</v>
      </c>
      <c r="AA5459" s="13" t="s">
        <v>10362</v>
      </c>
      <c r="AB5459" s="13" t="s">
        <v>10363</v>
      </c>
    </row>
    <row r="5460" spans="1:28" ht="15" customHeight="1">
      <c r="A5460" s="2" t="s">
        <v>8642</v>
      </c>
      <c r="B5460" s="2" t="s">
        <v>28</v>
      </c>
      <c r="C5460" s="11" t="s">
        <v>7559</v>
      </c>
      <c r="D5460" s="2" t="s">
        <v>749</v>
      </c>
      <c r="E5460" s="2" t="s">
        <v>288</v>
      </c>
      <c r="F5460" s="11" t="s">
        <v>4873</v>
      </c>
      <c r="G5460" s="128" t="s">
        <v>4752</v>
      </c>
      <c r="H5460" s="2" t="s">
        <v>7555</v>
      </c>
      <c r="I5460" s="12" t="s">
        <v>753</v>
      </c>
      <c r="J5460" s="22">
        <f>+Tabla1[[#This Row],[FECHA ENTRADA]]</f>
        <v>46125</v>
      </c>
      <c r="K5460" s="22">
        <f ca="1">TODAY()</f>
        <v>46260</v>
      </c>
      <c r="L5460" s="23">
        <f ca="1">_xlfn.DAYS(Tabla1[[#This Row],[FECHA FIN ]],Tabla1[[#This Row],[FECHA INICIO]])</f>
        <v>135</v>
      </c>
      <c r="M5460" s="12"/>
      <c r="N5460" s="12">
        <v>500</v>
      </c>
      <c r="O5460" s="24">
        <f ca="1">(Tabla1[[#This Row],[COSTO FIJO ]]/30)*Tabla1[[#This Row],[TOTAL DIAS PROYECTO]]+(Tabla1[[#This Row],[COSTO TEMPORAL]])</f>
        <v>2250</v>
      </c>
      <c r="P5460" s="12"/>
      <c r="Q5460" s="12">
        <f ca="1">+(Tabla1[[#This Row],[COSTO COCHE]]/30)*Tabla1[[#This Row],[TOTAL DIAS PROYECTO]]</f>
        <v>0</v>
      </c>
      <c r="R5460" s="12">
        <f ca="1">+Tabla1[[#This Row],[COSTO TOTAL ALOJAMIENTO]]+Tabla1[[#This Row],[COSTO TOTAL COCHE]]</f>
        <v>2250</v>
      </c>
      <c r="S5460" s="2"/>
      <c r="T5460" s="14" t="s">
        <v>35</v>
      </c>
      <c r="U5460" s="14">
        <v>46125</v>
      </c>
      <c r="V5460" s="79">
        <v>46266</v>
      </c>
      <c r="W5460" s="12"/>
      <c r="X5460" s="2">
        <v>1</v>
      </c>
      <c r="Y5460" s="165" t="s">
        <v>7556</v>
      </c>
      <c r="Z5460" s="2" t="s">
        <v>702</v>
      </c>
      <c r="AA5460" s="13" t="s">
        <v>10362</v>
      </c>
      <c r="AB5460" s="13" t="s">
        <v>10363</v>
      </c>
    </row>
    <row r="5461" spans="1:28" ht="15" customHeight="1">
      <c r="A5461" s="2" t="s">
        <v>8642</v>
      </c>
      <c r="B5461" s="2" t="s">
        <v>711</v>
      </c>
      <c r="C5461" s="11" t="s">
        <v>7560</v>
      </c>
      <c r="D5461" s="2" t="s">
        <v>30</v>
      </c>
      <c r="E5461" s="2" t="s">
        <v>127</v>
      </c>
      <c r="F5461" s="11"/>
      <c r="G5461" s="49"/>
      <c r="H5461" s="2" t="s">
        <v>6062</v>
      </c>
      <c r="I5461" s="12" t="s">
        <v>96</v>
      </c>
      <c r="J5461" s="22">
        <f>+Tabla1[[#This Row],[FECHA ENTRADA]]</f>
        <v>46180</v>
      </c>
      <c r="K5461" s="22">
        <f ca="1">TODAY()</f>
        <v>46260</v>
      </c>
      <c r="L5461" s="23">
        <f ca="1">_xlfn.DAYS(Tabla1[[#This Row],[FECHA FIN ]],Tabla1[[#This Row],[FECHA INICIO]])</f>
        <v>80</v>
      </c>
      <c r="M5461" s="12"/>
      <c r="N5461" s="24">
        <v>0</v>
      </c>
      <c r="O5461" s="24">
        <f ca="1">(Tabla1[[#This Row],[COSTO FIJO ]]/30)*Tabla1[[#This Row],[TOTAL DIAS PROYECTO]]+(Tabla1[[#This Row],[COSTO TEMPORAL]])</f>
        <v>0</v>
      </c>
      <c r="P5461" s="12"/>
      <c r="Q5461" s="12">
        <f ca="1">+(Tabla1[[#This Row],[COSTO COCHE]]/30)*Tabla1[[#This Row],[TOTAL DIAS PROYECTO]]</f>
        <v>0</v>
      </c>
      <c r="R5461" s="12">
        <f ca="1">+Tabla1[[#This Row],[COSTO TOTAL ALOJAMIENTO]]+Tabla1[[#This Row],[COSTO TOTAL COCHE]]</f>
        <v>0</v>
      </c>
      <c r="S5461" s="2"/>
      <c r="T5461" s="14" t="s">
        <v>8</v>
      </c>
      <c r="U5461" s="14">
        <v>46180</v>
      </c>
      <c r="V5461" s="25"/>
      <c r="W5461" s="12"/>
      <c r="X5461" s="2"/>
      <c r="Y5461" s="11" t="s">
        <v>7371</v>
      </c>
      <c r="Z5461" s="2" t="s">
        <v>702</v>
      </c>
      <c r="AA5461" s="13" t="s">
        <v>10342</v>
      </c>
      <c r="AB5461" s="13" t="s">
        <v>10343</v>
      </c>
    </row>
    <row r="5462" spans="1:28" ht="15" customHeight="1">
      <c r="A5462" s="2" t="s">
        <v>8920</v>
      </c>
      <c r="B5462" s="2" t="s">
        <v>711</v>
      </c>
      <c r="C5462" s="31" t="s">
        <v>1279</v>
      </c>
      <c r="D5462" s="2" t="s">
        <v>30</v>
      </c>
      <c r="E5462" s="2" t="s">
        <v>985</v>
      </c>
      <c r="F5462" s="11"/>
      <c r="G5462" s="46"/>
      <c r="H5462" s="2" t="s">
        <v>1128</v>
      </c>
      <c r="I5462" s="12" t="s">
        <v>989</v>
      </c>
      <c r="J5462" s="41">
        <f>+Tabla1[[#This Row],[FECHA ENTRADA]]</f>
        <v>45778</v>
      </c>
      <c r="K5462" s="41">
        <v>46157</v>
      </c>
      <c r="L5462" s="42">
        <f>_xlfn.DAYS(Tabla1[[#This Row],[FECHA FIN ]],Tabla1[[#This Row],[FECHA INICIO]])</f>
        <v>379</v>
      </c>
      <c r="M5462" s="12"/>
      <c r="N5462" s="28">
        <v>300</v>
      </c>
      <c r="O5462" s="28">
        <f>(Tabla1[[#This Row],[COSTO FIJO ]]/30)*Tabla1[[#This Row],[TOTAL DIAS PROYECTO]]+(Tabla1[[#This Row],[COSTO TEMPORAL]])</f>
        <v>3790</v>
      </c>
      <c r="P5462" s="12"/>
      <c r="Q5462" s="12">
        <f>+(Tabla1[[#This Row],[COSTO COCHE]]/30)*Tabla1[[#This Row],[TOTAL DIAS PROYECTO]]</f>
        <v>0</v>
      </c>
      <c r="R5462" s="12">
        <f>+Tabla1[[#This Row],[COSTO TOTAL ALOJAMIENTO]]+Tabla1[[#This Row],[COSTO TOTAL COCHE]]</f>
        <v>3790</v>
      </c>
      <c r="S5462" s="2"/>
      <c r="T5462" s="14" t="s">
        <v>58</v>
      </c>
      <c r="U5462" s="14">
        <v>45778</v>
      </c>
      <c r="V5462" s="75"/>
      <c r="W5462" s="2"/>
      <c r="X5462" s="2"/>
      <c r="Y5462" s="11" t="s">
        <v>7561</v>
      </c>
      <c r="Z5462" s="2" t="s">
        <v>36</v>
      </c>
      <c r="AA5462" s="13" t="s">
        <v>10407</v>
      </c>
      <c r="AB5462" s="13" t="s">
        <v>10408</v>
      </c>
    </row>
    <row r="5463" spans="1:28" ht="15" customHeight="1">
      <c r="A5463" s="2" t="s">
        <v>10020</v>
      </c>
      <c r="B5463" s="2" t="s">
        <v>28</v>
      </c>
      <c r="C5463" s="11" t="s">
        <v>5980</v>
      </c>
      <c r="D5463" s="2" t="s">
        <v>749</v>
      </c>
      <c r="E5463" s="2" t="s">
        <v>288</v>
      </c>
      <c r="F5463" s="11" t="s">
        <v>4873</v>
      </c>
      <c r="G5463" s="128" t="s">
        <v>4752</v>
      </c>
      <c r="H5463" s="2" t="s">
        <v>7562</v>
      </c>
      <c r="I5463" s="10" t="s">
        <v>753</v>
      </c>
      <c r="J5463" s="22">
        <f>+Tabla1[[#This Row],[FECHA ENTRADA]]</f>
        <v>46138</v>
      </c>
      <c r="K5463" s="22">
        <f ca="1">TODAY()</f>
        <v>46260</v>
      </c>
      <c r="L5463" s="23">
        <f ca="1">_xlfn.DAYS(Tabla1[[#This Row],[FECHA FIN ]],Tabla1[[#This Row],[FECHA INICIO]])</f>
        <v>122</v>
      </c>
      <c r="M5463" s="12"/>
      <c r="N5463" s="12">
        <v>500</v>
      </c>
      <c r="O5463" s="24">
        <f ca="1">(Tabla1[[#This Row],[COSTO FIJO ]]/30)*Tabla1[[#This Row],[TOTAL DIAS PROYECTO]]+(Tabla1[[#This Row],[COSTO TEMPORAL]])</f>
        <v>2033.3333333333335</v>
      </c>
      <c r="P5463" s="12"/>
      <c r="Q5463" s="12">
        <f ca="1">+(Tabla1[[#This Row],[COSTO COCHE]]/30)*Tabla1[[#This Row],[TOTAL DIAS PROYECTO]]</f>
        <v>0</v>
      </c>
      <c r="R5463" s="12">
        <f ca="1">+Tabla1[[#This Row],[COSTO TOTAL ALOJAMIENTO]]+Tabla1[[#This Row],[COSTO TOTAL COCHE]]</f>
        <v>2033.3333333333335</v>
      </c>
      <c r="S5463" s="2"/>
      <c r="T5463" s="14" t="s">
        <v>35</v>
      </c>
      <c r="U5463" s="14">
        <v>46138</v>
      </c>
      <c r="V5463" s="79">
        <v>46266</v>
      </c>
      <c r="W5463" s="12"/>
      <c r="X5463" s="2">
        <v>1</v>
      </c>
      <c r="Y5463" s="165" t="s">
        <v>7556</v>
      </c>
      <c r="Z5463" s="2" t="s">
        <v>702</v>
      </c>
      <c r="AA5463" s="13" t="s">
        <v>10362</v>
      </c>
      <c r="AB5463" s="13" t="s">
        <v>10363</v>
      </c>
    </row>
    <row r="5464" spans="1:28" ht="15" customHeight="1">
      <c r="A5464" s="2" t="s">
        <v>9375</v>
      </c>
      <c r="B5464" s="2" t="s">
        <v>28</v>
      </c>
      <c r="C5464" s="11" t="s">
        <v>2973</v>
      </c>
      <c r="D5464" s="2" t="s">
        <v>30</v>
      </c>
      <c r="E5464" s="2" t="s">
        <v>1754</v>
      </c>
      <c r="F5464" s="11" t="s">
        <v>1800</v>
      </c>
      <c r="G5464" s="46" t="s">
        <v>1801</v>
      </c>
      <c r="H5464" s="2" t="s">
        <v>1658</v>
      </c>
      <c r="I5464" s="12" t="s">
        <v>96</v>
      </c>
      <c r="J5464" s="41">
        <f>+Tabla1[[#This Row],[FECHA ENTRADA]]</f>
        <v>45669</v>
      </c>
      <c r="K5464" s="22">
        <v>45821</v>
      </c>
      <c r="L5464" s="42">
        <f>_xlfn.DAYS(Tabla1[[#This Row],[FECHA FIN ]],Tabla1[[#This Row],[FECHA INICIO]])</f>
        <v>152</v>
      </c>
      <c r="M5464" s="12"/>
      <c r="N5464" s="12">
        <f>1811.6/17</f>
        <v>106.56470588235294</v>
      </c>
      <c r="O5464" s="28">
        <f>(Tabla1[[#This Row],[COSTO FIJO ]]/30)*Tabla1[[#This Row],[TOTAL DIAS PROYECTO]]+(Tabla1[[#This Row],[COSTO TEMPORAL]])</f>
        <v>539.92784313725497</v>
      </c>
      <c r="P5464" s="12"/>
      <c r="Q5464" s="12">
        <f>+(Tabla1[[#This Row],[COSTO COCHE]]/30)*Tabla1[[#This Row],[TOTAL DIAS PROYECTO]]</f>
        <v>0</v>
      </c>
      <c r="R5464" s="12">
        <f>+Tabla1[[#This Row],[COSTO TOTAL ALOJAMIENTO]]+Tabla1[[#This Row],[COSTO TOTAL COCHE]]</f>
        <v>539.92784313725497</v>
      </c>
      <c r="S5464" s="2"/>
      <c r="T5464" s="2" t="s">
        <v>44</v>
      </c>
      <c r="U5464" s="14">
        <v>45669</v>
      </c>
      <c r="V5464" s="43">
        <v>45681</v>
      </c>
      <c r="W5464" s="26"/>
      <c r="X5464" s="2"/>
      <c r="Y5464" s="11" t="s">
        <v>1166</v>
      </c>
      <c r="Z5464" s="2" t="s">
        <v>36</v>
      </c>
      <c r="AA5464" s="13" t="e">
        <v>#N/A</v>
      </c>
      <c r="AB5464" s="13" t="e">
        <v>#N/A</v>
      </c>
    </row>
    <row r="5465" spans="1:28" ht="15" customHeight="1">
      <c r="A5465" s="2" t="s">
        <v>8937</v>
      </c>
      <c r="B5465" s="2" t="s">
        <v>606</v>
      </c>
      <c r="C5465" s="329" t="s">
        <v>1353</v>
      </c>
      <c r="D5465" s="2" t="s">
        <v>30</v>
      </c>
      <c r="E5465" s="2" t="s">
        <v>608</v>
      </c>
      <c r="F5465" s="11"/>
      <c r="G5465" s="49"/>
      <c r="H5465" s="2" t="s">
        <v>7557</v>
      </c>
      <c r="I5465" s="12" t="s">
        <v>612</v>
      </c>
      <c r="J5465" s="22">
        <f>+Tabla1[[#This Row],[FECHA ENTRADA]]</f>
        <v>45669</v>
      </c>
      <c r="K5465" s="8">
        <v>46234</v>
      </c>
      <c r="L5465" s="23">
        <f>_xlfn.DAYS(Tabla1[[#This Row],[FECHA FIN ]],Tabla1[[#This Row],[FECHA INICIO]])</f>
        <v>565</v>
      </c>
      <c r="M5465" s="12"/>
      <c r="N5465" s="28">
        <v>300</v>
      </c>
      <c r="O5465" s="24">
        <f>(Tabla1[[#This Row],[COSTO FIJO ]]/30)*Tabla1[[#This Row],[TOTAL DIAS PROYECTO]]+(Tabla1[[#This Row],[COSTO TEMPORAL]])</f>
        <v>5650</v>
      </c>
      <c r="P5465" s="12"/>
      <c r="Q5465" s="12">
        <f>+(Tabla1[[#This Row],[COSTO COCHE]]/30)*Tabla1[[#This Row],[TOTAL DIAS PROYECTO]]</f>
        <v>0</v>
      </c>
      <c r="R5465" s="12">
        <f>+Tabla1[[#This Row],[COSTO TOTAL ALOJAMIENTO]]+Tabla1[[#This Row],[COSTO TOTAL COCHE]]</f>
        <v>5650</v>
      </c>
      <c r="S5465" s="2"/>
      <c r="T5465" s="2" t="s">
        <v>58</v>
      </c>
      <c r="U5465" s="14">
        <v>45669</v>
      </c>
      <c r="V5465" s="25"/>
      <c r="W5465" s="26"/>
      <c r="X5465" s="2"/>
      <c r="Y5465" s="11" t="s">
        <v>7563</v>
      </c>
      <c r="Z5465" s="2" t="s">
        <v>36</v>
      </c>
      <c r="AA5465" s="13" t="s">
        <v>10383</v>
      </c>
      <c r="AB5465" s="13" t="s">
        <v>10384</v>
      </c>
    </row>
    <row r="5466" spans="1:28" ht="15" customHeight="1">
      <c r="A5466" s="2" t="s">
        <v>9574</v>
      </c>
      <c r="B5466" s="2" t="s">
        <v>606</v>
      </c>
      <c r="C5466" s="31" t="s">
        <v>3721</v>
      </c>
      <c r="D5466" s="2" t="s">
        <v>30</v>
      </c>
      <c r="E5466" s="2" t="s">
        <v>608</v>
      </c>
      <c r="F5466" s="11"/>
      <c r="G5466" s="46"/>
      <c r="H5466" s="2" t="s">
        <v>7557</v>
      </c>
      <c r="I5466" s="57" t="s">
        <v>612</v>
      </c>
      <c r="J5466" s="41">
        <f>+Tabla1[[#This Row],[FECHA ENTRADA]]</f>
        <v>45669</v>
      </c>
      <c r="K5466" s="22">
        <v>46234</v>
      </c>
      <c r="L5466" s="42">
        <f>_xlfn.DAYS(Tabla1[[#This Row],[FECHA FIN ]],Tabla1[[#This Row],[FECHA INICIO]])</f>
        <v>565</v>
      </c>
      <c r="M5466" s="12"/>
      <c r="N5466" s="28">
        <v>300</v>
      </c>
      <c r="O5466" s="28">
        <f>(Tabla1[[#This Row],[COSTO FIJO ]]/30)*Tabla1[[#This Row],[TOTAL DIAS PROYECTO]]+(Tabla1[[#This Row],[COSTO TEMPORAL]])</f>
        <v>5650</v>
      </c>
      <c r="P5466" s="12"/>
      <c r="Q5466" s="12">
        <f>+(Tabla1[[#This Row],[COSTO COCHE]]/30)*Tabla1[[#This Row],[TOTAL DIAS PROYECTO]]</f>
        <v>0</v>
      </c>
      <c r="R5466" s="12">
        <f>+Tabla1[[#This Row],[COSTO TOTAL ALOJAMIENTO]]+Tabla1[[#This Row],[COSTO TOTAL COCHE]]</f>
        <v>5650</v>
      </c>
      <c r="S5466" s="2"/>
      <c r="T5466" s="2" t="s">
        <v>58</v>
      </c>
      <c r="U5466" s="14">
        <v>45669</v>
      </c>
      <c r="V5466" s="43"/>
      <c r="W5466" s="26"/>
      <c r="X5466" s="2"/>
      <c r="Y5466" s="11" t="s">
        <v>7563</v>
      </c>
      <c r="Z5466" s="2" t="s">
        <v>36</v>
      </c>
      <c r="AA5466" s="13" t="s">
        <v>10383</v>
      </c>
      <c r="AB5466" s="13" t="s">
        <v>10384</v>
      </c>
    </row>
    <row r="5467" spans="1:28" ht="15" customHeight="1">
      <c r="A5467" s="2" t="s">
        <v>9940</v>
      </c>
      <c r="B5467" s="2" t="s">
        <v>606</v>
      </c>
      <c r="C5467" s="11" t="s">
        <v>5578</v>
      </c>
      <c r="D5467" s="2" t="s">
        <v>30</v>
      </c>
      <c r="E5467" s="2" t="s">
        <v>259</v>
      </c>
      <c r="F5467" s="11" t="s">
        <v>5261</v>
      </c>
      <c r="G5467" s="197" t="s">
        <v>4207</v>
      </c>
      <c r="H5467" s="2" t="s">
        <v>6463</v>
      </c>
      <c r="I5467" s="12" t="s">
        <v>57</v>
      </c>
      <c r="J5467" s="41">
        <f>+Tabla1[[#This Row],[FECHA ENTRADA]]</f>
        <v>46141</v>
      </c>
      <c r="K5467" s="22">
        <f ca="1">TODAY()</f>
        <v>46260</v>
      </c>
      <c r="L5467" s="42">
        <f ca="1">_xlfn.DAYS(Tabla1[[#This Row],[FECHA FIN ]],Tabla1[[#This Row],[FECHA INICIO]])</f>
        <v>119</v>
      </c>
      <c r="M5467" s="12"/>
      <c r="N5467" s="20">
        <v>375</v>
      </c>
      <c r="O5467" s="28">
        <f ca="1">(Tabla1[[#This Row],[COSTO FIJO ]]/30)*Tabla1[[#This Row],[TOTAL DIAS PROYECTO]]+(Tabla1[[#This Row],[COSTO TEMPORAL]])</f>
        <v>1487.5</v>
      </c>
      <c r="P5467" s="12"/>
      <c r="Q5467" s="12">
        <f ca="1">+(Tabla1[[#This Row],[COSTO COCHE]]/30)*Tabla1[[#This Row],[TOTAL DIAS PROYECTO]]</f>
        <v>0</v>
      </c>
      <c r="R5467" s="12">
        <f ca="1">+Tabla1[[#This Row],[COSTO TOTAL ALOJAMIENTO]]+Tabla1[[#This Row],[COSTO TOTAL COCHE]]</f>
        <v>1487.5</v>
      </c>
      <c r="S5467" s="2"/>
      <c r="T5467" s="14" t="s">
        <v>35</v>
      </c>
      <c r="U5467" s="14">
        <v>46141</v>
      </c>
      <c r="V5467" s="43"/>
      <c r="W5467" s="12"/>
      <c r="X5467" s="2">
        <v>1</v>
      </c>
      <c r="Y5467" s="11" t="s">
        <v>7526</v>
      </c>
      <c r="Z5467" s="2" t="s">
        <v>702</v>
      </c>
      <c r="AA5467" s="13">
        <v>-0.87734000000000001</v>
      </c>
      <c r="AB5467" s="13" t="s">
        <v>10359</v>
      </c>
    </row>
    <row r="5468" spans="1:28" ht="15" customHeight="1">
      <c r="A5468" s="2" t="s">
        <v>9947</v>
      </c>
      <c r="B5468" s="2" t="s">
        <v>606</v>
      </c>
      <c r="C5468" s="31" t="s">
        <v>5635</v>
      </c>
      <c r="D5468" s="2" t="s">
        <v>30</v>
      </c>
      <c r="E5468" s="2" t="s">
        <v>245</v>
      </c>
      <c r="F5468" s="11" t="s">
        <v>7532</v>
      </c>
      <c r="G5468" s="21" t="s">
        <v>7533</v>
      </c>
      <c r="H5468" s="2" t="s">
        <v>7534</v>
      </c>
      <c r="I5468" s="12" t="s">
        <v>5047</v>
      </c>
      <c r="J5468" s="22">
        <f>+Tabla1[[#This Row],[FECHA ENTRADA]]</f>
        <v>46040</v>
      </c>
      <c r="K5468" s="22">
        <v>46072</v>
      </c>
      <c r="L5468" s="23">
        <f>_xlfn.DAYS(Tabla1[[#This Row],[FECHA FIN ]],Tabla1[[#This Row],[FECHA INICIO]])</f>
        <v>32</v>
      </c>
      <c r="M5468" s="12">
        <f>(250+280)</f>
        <v>530</v>
      </c>
      <c r="N5468" s="20"/>
      <c r="O5468" s="24">
        <f>(Tabla1[[#This Row],[COSTO FIJO ]]/30)*Tabla1[[#This Row],[TOTAL DIAS PROYECTO]]+(Tabla1[[#This Row],[COSTO TEMPORAL]])</f>
        <v>530</v>
      </c>
      <c r="P5468" s="12"/>
      <c r="Q5468" s="12">
        <f>+(Tabla1[[#This Row],[COSTO COCHE]]/30)*Tabla1[[#This Row],[TOTAL DIAS PROYECTO]]</f>
        <v>0</v>
      </c>
      <c r="R5468" s="12">
        <f>+Tabla1[[#This Row],[COSTO TOTAL ALOJAMIENTO]]+Tabla1[[#This Row],[COSTO TOTAL COCHE]]</f>
        <v>530</v>
      </c>
      <c r="S5468" s="2"/>
      <c r="T5468" s="14" t="s">
        <v>44</v>
      </c>
      <c r="U5468" s="14">
        <v>46040</v>
      </c>
      <c r="V5468" s="79">
        <v>46072</v>
      </c>
      <c r="W5468" s="12"/>
      <c r="X5468" s="2"/>
      <c r="Y5468" s="11" t="s">
        <v>7564</v>
      </c>
      <c r="Z5468" s="2" t="s">
        <v>36</v>
      </c>
      <c r="AA5468" s="13" t="s">
        <v>10355</v>
      </c>
      <c r="AB5468" s="13" t="s">
        <v>10356</v>
      </c>
    </row>
    <row r="5469" spans="1:28" ht="15" customHeight="1">
      <c r="A5469" s="2" t="s">
        <v>10250</v>
      </c>
      <c r="B5469" s="2" t="s">
        <v>711</v>
      </c>
      <c r="C5469" s="104" t="s">
        <v>7466</v>
      </c>
      <c r="D5469" s="2" t="s">
        <v>99</v>
      </c>
      <c r="E5469" s="2" t="s">
        <v>648</v>
      </c>
      <c r="F5469" s="11"/>
      <c r="G5469" s="21"/>
      <c r="H5469" s="2" t="s">
        <v>7467</v>
      </c>
      <c r="I5469" s="12" t="s">
        <v>96</v>
      </c>
      <c r="J5469" s="22">
        <f>+Tabla1[[#This Row],[FECHA ENTRADA]]</f>
        <v>45915</v>
      </c>
      <c r="K5469" s="22">
        <f ca="1">TODAY()</f>
        <v>46260</v>
      </c>
      <c r="L5469" s="23">
        <f ca="1">_xlfn.DAYS(Tabla1[[#This Row],[FECHA FIN ]],Tabla1[[#This Row],[FECHA INICIO]])</f>
        <v>345</v>
      </c>
      <c r="M5469" s="12"/>
      <c r="N5469" s="20">
        <v>300</v>
      </c>
      <c r="O5469" s="24">
        <f ca="1">(Tabla1[[#This Row],[COSTO FIJO ]]/30)*Tabla1[[#This Row],[TOTAL DIAS PROYECTO]]+(Tabla1[[#This Row],[COSTO TEMPORAL]])</f>
        <v>3450</v>
      </c>
      <c r="P5469" s="12"/>
      <c r="Q5469" s="12">
        <f ca="1">+(Tabla1[[#This Row],[COSTO COCHE]]/30)*Tabla1[[#This Row],[TOTAL DIAS PROYECTO]]</f>
        <v>0</v>
      </c>
      <c r="R5469" s="12">
        <f ca="1">+Tabla1[[#This Row],[COSTO TOTAL ALOJAMIENTO]]+Tabla1[[#This Row],[COSTO TOTAL COCHE]]</f>
        <v>3450</v>
      </c>
      <c r="S5469" s="2"/>
      <c r="T5469" s="14" t="s">
        <v>58</v>
      </c>
      <c r="U5469" s="14">
        <v>45915</v>
      </c>
      <c r="V5469" s="79"/>
      <c r="W5469" s="71"/>
      <c r="X5469" s="2"/>
      <c r="Y5469" s="11"/>
      <c r="Z5469" s="2" t="s">
        <v>702</v>
      </c>
      <c r="AA5469" s="13" t="s">
        <v>10387</v>
      </c>
      <c r="AB5469" s="13" t="s">
        <v>10388</v>
      </c>
    </row>
    <row r="5470" spans="1:28" ht="15" customHeight="1">
      <c r="A5470" s="2" t="s">
        <v>10211</v>
      </c>
      <c r="B5470" s="2" t="s">
        <v>606</v>
      </c>
      <c r="C5470" s="104" t="s">
        <v>7183</v>
      </c>
      <c r="D5470" s="2" t="s">
        <v>30</v>
      </c>
      <c r="E5470" s="2" t="s">
        <v>109</v>
      </c>
      <c r="F5470" s="11" t="s">
        <v>2161</v>
      </c>
      <c r="G5470" s="68" t="s">
        <v>2162</v>
      </c>
      <c r="H5470" s="2" t="s">
        <v>7448</v>
      </c>
      <c r="I5470" s="12" t="s">
        <v>42</v>
      </c>
      <c r="J5470" s="22">
        <f>+Tabla1[[#This Row],[FECHA ENTRADA]]</f>
        <v>46070</v>
      </c>
      <c r="K5470" s="22">
        <v>46098</v>
      </c>
      <c r="L5470" s="23">
        <f>_xlfn.DAYS(Tabla1[[#This Row],[FECHA FIN ]],Tabla1[[#This Row],[FECHA INICIO]])</f>
        <v>28</v>
      </c>
      <c r="M5470" s="12"/>
      <c r="N5470" s="20">
        <v>350</v>
      </c>
      <c r="O5470" s="24">
        <f>(Tabla1[[#This Row],[COSTO FIJO ]]/30)*Tabla1[[#This Row],[TOTAL DIAS PROYECTO]]+(Tabla1[[#This Row],[COSTO TEMPORAL]])</f>
        <v>326.66666666666663</v>
      </c>
      <c r="P5470" s="12"/>
      <c r="Q5470" s="12">
        <f>+(Tabla1[[#This Row],[COSTO COCHE]]/30)*Tabla1[[#This Row],[TOTAL DIAS PROYECTO]]</f>
        <v>0</v>
      </c>
      <c r="R5470" s="12">
        <f>+Tabla1[[#This Row],[COSTO TOTAL ALOJAMIENTO]]+Tabla1[[#This Row],[COSTO TOTAL COCHE]]</f>
        <v>326.66666666666663</v>
      </c>
      <c r="S5470" s="2"/>
      <c r="T5470" s="14" t="s">
        <v>35</v>
      </c>
      <c r="U5470" s="14">
        <v>46070</v>
      </c>
      <c r="V5470" s="79"/>
      <c r="W5470" s="12"/>
      <c r="X5470" s="2">
        <v>10</v>
      </c>
      <c r="Y5470" s="11" t="s">
        <v>4545</v>
      </c>
      <c r="Z5470" s="2" t="s">
        <v>36</v>
      </c>
      <c r="AA5470" s="13">
        <v>0.62217999999999996</v>
      </c>
      <c r="AB5470" s="13" t="s">
        <v>10339</v>
      </c>
    </row>
    <row r="5471" spans="1:28" ht="15" customHeight="1">
      <c r="A5471" s="2" t="s">
        <v>10168</v>
      </c>
      <c r="B5471" s="2" t="s">
        <v>368</v>
      </c>
      <c r="C5471" s="97" t="s">
        <v>6870</v>
      </c>
      <c r="D5471" s="2" t="s">
        <v>30</v>
      </c>
      <c r="E5471" s="2" t="s">
        <v>380</v>
      </c>
      <c r="F5471" s="11" t="s">
        <v>7357</v>
      </c>
      <c r="G5471" s="46" t="s">
        <v>7358</v>
      </c>
      <c r="H5471" s="2" t="s">
        <v>7359</v>
      </c>
      <c r="I5471" s="12" t="s">
        <v>3054</v>
      </c>
      <c r="J5471" s="41">
        <f>+Tabla1[[#This Row],[FECHA ENTRADA]]</f>
        <v>45942</v>
      </c>
      <c r="K5471" s="41">
        <v>45973</v>
      </c>
      <c r="L5471" s="42">
        <f>_xlfn.DAYS(Tabla1[[#This Row],[FECHA FIN ]],Tabla1[[#This Row],[FECHA INICIO]])</f>
        <v>31</v>
      </c>
      <c r="M5471" s="12">
        <f>(802+30.8)/3</f>
        <v>277.59999999999997</v>
      </c>
      <c r="N5471" s="28"/>
      <c r="O5471" s="28">
        <f>(Tabla1[[#This Row],[COSTO FIJO ]]/30)*Tabla1[[#This Row],[TOTAL DIAS PROYECTO]]+(Tabla1[[#This Row],[COSTO TEMPORAL]])</f>
        <v>277.59999999999997</v>
      </c>
      <c r="P5471" s="12"/>
      <c r="Q5471" s="12">
        <f>+(Tabla1[[#This Row],[COSTO COCHE]]/30)*Tabla1[[#This Row],[TOTAL DIAS PROYECTO]]</f>
        <v>0</v>
      </c>
      <c r="R5471" s="12">
        <f>+Tabla1[[#This Row],[COSTO TOTAL ALOJAMIENTO]]+Tabla1[[#This Row],[COSTO TOTAL COCHE]]</f>
        <v>277.59999999999997</v>
      </c>
      <c r="S5471" s="2" t="s">
        <v>403</v>
      </c>
      <c r="T5471" s="14" t="s">
        <v>44</v>
      </c>
      <c r="U5471" s="14">
        <v>45942</v>
      </c>
      <c r="V5471" s="43">
        <v>45973</v>
      </c>
      <c r="W5471" s="71"/>
      <c r="X5471" s="2"/>
      <c r="Y5471" s="11" t="s">
        <v>7490</v>
      </c>
      <c r="Z5471" s="2" t="s">
        <v>36</v>
      </c>
      <c r="AA5471" s="13" t="s">
        <v>10370</v>
      </c>
      <c r="AB5471" s="13" t="s">
        <v>10371</v>
      </c>
    </row>
    <row r="5472" spans="1:28" ht="15" customHeight="1">
      <c r="A5472" s="2" t="s">
        <v>10258</v>
      </c>
      <c r="B5472" s="2" t="s">
        <v>978</v>
      </c>
      <c r="C5472" s="97" t="s">
        <v>7565</v>
      </c>
      <c r="D5472" s="2" t="s">
        <v>30</v>
      </c>
      <c r="E5472" s="2" t="s">
        <v>380</v>
      </c>
      <c r="F5472" s="11" t="s">
        <v>7566</v>
      </c>
      <c r="G5472" s="46" t="s">
        <v>7567</v>
      </c>
      <c r="H5472" s="2" t="s">
        <v>7568</v>
      </c>
      <c r="I5472" s="12" t="s">
        <v>5328</v>
      </c>
      <c r="J5472" s="41">
        <f>+Tabla1[[#This Row],[FECHA ENTRADA]]</f>
        <v>45951</v>
      </c>
      <c r="K5472" s="22">
        <v>45954</v>
      </c>
      <c r="L5472" s="42">
        <f>_xlfn.DAYS(Tabla1[[#This Row],[FECHA FIN ]],Tabla1[[#This Row],[FECHA INICIO]])</f>
        <v>3</v>
      </c>
      <c r="M5472" s="12">
        <f>461.55/2</f>
        <v>230.77500000000001</v>
      </c>
      <c r="N5472" s="28"/>
      <c r="O5472" s="28">
        <f>(Tabla1[[#This Row],[COSTO FIJO ]]/30)*Tabla1[[#This Row],[TOTAL DIAS PROYECTO]]+(Tabla1[[#This Row],[COSTO TEMPORAL]])</f>
        <v>230.77500000000001</v>
      </c>
      <c r="P5472" s="12"/>
      <c r="Q5472" s="12">
        <f>+(Tabla1[[#This Row],[COSTO COCHE]]/30)*Tabla1[[#This Row],[TOTAL DIAS PROYECTO]]</f>
        <v>0</v>
      </c>
      <c r="R5472" s="12">
        <f>+Tabla1[[#This Row],[COSTO TOTAL ALOJAMIENTO]]+Tabla1[[#This Row],[COSTO TOTAL COCHE]]</f>
        <v>230.77500000000001</v>
      </c>
      <c r="S5472" s="2"/>
      <c r="T5472" s="14" t="s">
        <v>44</v>
      </c>
      <c r="U5472" s="14">
        <v>45951</v>
      </c>
      <c r="V5472" s="43">
        <v>45965</v>
      </c>
      <c r="W5472" s="71"/>
      <c r="X5472" s="2"/>
      <c r="Y5472" s="11" t="s">
        <v>7569</v>
      </c>
      <c r="Z5472" s="2" t="s">
        <v>36</v>
      </c>
      <c r="AA5472" s="13" t="s">
        <v>10370</v>
      </c>
      <c r="AB5472" s="13" t="s">
        <v>10371</v>
      </c>
    </row>
    <row r="5473" spans="1:28" ht="15" customHeight="1">
      <c r="A5473" s="2" t="s">
        <v>9947</v>
      </c>
      <c r="B5473" s="2" t="s">
        <v>978</v>
      </c>
      <c r="C5473" s="11" t="s">
        <v>5635</v>
      </c>
      <c r="D5473" s="2" t="s">
        <v>30</v>
      </c>
      <c r="E5473" s="2" t="s">
        <v>380</v>
      </c>
      <c r="F5473" s="11" t="s">
        <v>7566</v>
      </c>
      <c r="G5473" s="46" t="s">
        <v>7567</v>
      </c>
      <c r="H5473" s="2" t="s">
        <v>7568</v>
      </c>
      <c r="I5473" s="12" t="s">
        <v>5328</v>
      </c>
      <c r="J5473" s="41">
        <f>+Tabla1[[#This Row],[FECHA ENTRADA]]</f>
        <v>45951</v>
      </c>
      <c r="K5473" s="22">
        <v>45985</v>
      </c>
      <c r="L5473" s="42">
        <f>_xlfn.DAYS(Tabla1[[#This Row],[FECHA FIN ]],Tabla1[[#This Row],[FECHA INICIO]])</f>
        <v>34</v>
      </c>
      <c r="M5473" s="12">
        <f>(461.55+173.98+404.75)/2</f>
        <v>520.14</v>
      </c>
      <c r="N5473" s="28"/>
      <c r="O5473" s="28">
        <f>(Tabla1[[#This Row],[COSTO FIJO ]]/30)*Tabla1[[#This Row],[TOTAL DIAS PROYECTO]]+(Tabla1[[#This Row],[COSTO TEMPORAL]])</f>
        <v>520.14</v>
      </c>
      <c r="P5473" s="12"/>
      <c r="Q5473" s="12">
        <f>+(Tabla1[[#This Row],[COSTO COCHE]]/30)*Tabla1[[#This Row],[TOTAL DIAS PROYECTO]]</f>
        <v>0</v>
      </c>
      <c r="R5473" s="12">
        <f>+Tabla1[[#This Row],[COSTO TOTAL ALOJAMIENTO]]+Tabla1[[#This Row],[COSTO TOTAL COCHE]]</f>
        <v>520.14</v>
      </c>
      <c r="S5473" s="2"/>
      <c r="T5473" s="14" t="s">
        <v>44</v>
      </c>
      <c r="U5473" s="14">
        <v>45951</v>
      </c>
      <c r="V5473" s="25">
        <v>45986</v>
      </c>
      <c r="W5473" s="71"/>
      <c r="X5473" s="2"/>
      <c r="Y5473" s="11" t="s">
        <v>7570</v>
      </c>
      <c r="Z5473" s="2" t="s">
        <v>36</v>
      </c>
      <c r="AA5473" s="13" t="s">
        <v>10370</v>
      </c>
      <c r="AB5473" s="13" t="s">
        <v>10371</v>
      </c>
    </row>
    <row r="5474" spans="1:28" ht="15" customHeight="1">
      <c r="A5474" s="2">
        <v>33671063475</v>
      </c>
      <c r="B5474" s="2" t="s">
        <v>606</v>
      </c>
      <c r="C5474" s="31" t="s">
        <v>4314</v>
      </c>
      <c r="D5474" s="2" t="s">
        <v>99</v>
      </c>
      <c r="E5474" s="2" t="s">
        <v>380</v>
      </c>
      <c r="F5474" s="11" t="s">
        <v>7357</v>
      </c>
      <c r="G5474" s="46" t="s">
        <v>7358</v>
      </c>
      <c r="H5474" s="2" t="s">
        <v>7571</v>
      </c>
      <c r="I5474" s="12" t="s">
        <v>3054</v>
      </c>
      <c r="J5474" s="22">
        <f>+Tabla1[[#This Row],[FECHA ENTRADA]]</f>
        <v>45953</v>
      </c>
      <c r="K5474" s="41">
        <v>45973</v>
      </c>
      <c r="L5474" s="23">
        <f>_xlfn.DAYS(Tabla1[[#This Row],[FECHA FIN ]],Tabla1[[#This Row],[FECHA INICIO]])</f>
        <v>20</v>
      </c>
      <c r="M5474" s="12">
        <f>(802+30.8)/3</f>
        <v>277.59999999999997</v>
      </c>
      <c r="N5474" s="20"/>
      <c r="O5474" s="24">
        <f>(Tabla1[[#This Row],[COSTO FIJO ]]/30)*Tabla1[[#This Row],[TOTAL DIAS PROYECTO]]+(Tabla1[[#This Row],[COSTO TEMPORAL]])</f>
        <v>277.59999999999997</v>
      </c>
      <c r="P5474" s="12"/>
      <c r="Q5474" s="12">
        <f>+(Tabla1[[#This Row],[COSTO COCHE]]/30)*Tabla1[[#This Row],[TOTAL DIAS PROYECTO]]</f>
        <v>0</v>
      </c>
      <c r="R5474" s="12">
        <f>+Tabla1[[#This Row],[COSTO TOTAL ALOJAMIENTO]]+Tabla1[[#This Row],[COSTO TOTAL COCHE]]</f>
        <v>277.59999999999997</v>
      </c>
      <c r="S5474" s="2" t="s">
        <v>403</v>
      </c>
      <c r="T5474" s="14" t="s">
        <v>44</v>
      </c>
      <c r="U5474" s="14">
        <v>45953</v>
      </c>
      <c r="V5474" s="43">
        <v>45973</v>
      </c>
      <c r="W5474" s="71"/>
      <c r="X5474" s="2"/>
      <c r="Y5474" s="11" t="s">
        <v>7490</v>
      </c>
      <c r="Z5474" s="2" t="s">
        <v>36</v>
      </c>
      <c r="AA5474" s="13" t="s">
        <v>10370</v>
      </c>
      <c r="AB5474" s="13" t="s">
        <v>10371</v>
      </c>
    </row>
    <row r="5475" spans="1:28" ht="15" customHeight="1">
      <c r="A5475" s="2" t="s">
        <v>9450</v>
      </c>
      <c r="B5475" s="2" t="s">
        <v>978</v>
      </c>
      <c r="C5475" s="11" t="s">
        <v>3224</v>
      </c>
      <c r="D5475" s="2" t="s">
        <v>30</v>
      </c>
      <c r="E5475" s="2" t="s">
        <v>380</v>
      </c>
      <c r="F5475" s="11" t="s">
        <v>7566</v>
      </c>
      <c r="G5475" s="49" t="s">
        <v>7567</v>
      </c>
      <c r="H5475" s="2" t="s">
        <v>7572</v>
      </c>
      <c r="I5475" s="12" t="s">
        <v>5328</v>
      </c>
      <c r="J5475" s="22">
        <f>+Tabla1[[#This Row],[FECHA ENTRADA]]</f>
        <v>45959</v>
      </c>
      <c r="K5475" s="22">
        <v>45985</v>
      </c>
      <c r="L5475" s="23">
        <f>_xlfn.DAYS(Tabla1[[#This Row],[FECHA FIN ]],Tabla1[[#This Row],[FECHA INICIO]])</f>
        <v>26</v>
      </c>
      <c r="M5475" s="12">
        <f>(173.98+404.75)/2</f>
        <v>289.36500000000001</v>
      </c>
      <c r="N5475" s="20"/>
      <c r="O5475" s="24">
        <f>(Tabla1[[#This Row],[COSTO FIJO ]]/30)*Tabla1[[#This Row],[TOTAL DIAS PROYECTO]]+(Tabla1[[#This Row],[COSTO TEMPORAL]])</f>
        <v>289.36500000000001</v>
      </c>
      <c r="P5475" s="12"/>
      <c r="Q5475" s="12">
        <f>+(Tabla1[[#This Row],[COSTO COCHE]]/30)*Tabla1[[#This Row],[TOTAL DIAS PROYECTO]]</f>
        <v>0</v>
      </c>
      <c r="R5475" s="12">
        <f>+Tabla1[[#This Row],[COSTO TOTAL ALOJAMIENTO]]+Tabla1[[#This Row],[COSTO TOTAL COCHE]]</f>
        <v>289.36500000000001</v>
      </c>
      <c r="S5475" s="2"/>
      <c r="T5475" s="14" t="s">
        <v>44</v>
      </c>
      <c r="U5475" s="14">
        <v>45959</v>
      </c>
      <c r="V5475" s="25">
        <v>45986</v>
      </c>
      <c r="W5475" s="71"/>
      <c r="X5475" s="2"/>
      <c r="Y5475" s="11" t="s">
        <v>7573</v>
      </c>
      <c r="Z5475" s="2" t="s">
        <v>36</v>
      </c>
      <c r="AA5475" s="13" t="s">
        <v>10370</v>
      </c>
      <c r="AB5475" s="13" t="s">
        <v>10371</v>
      </c>
    </row>
    <row r="5476" spans="1:28" ht="15" customHeight="1">
      <c r="A5476" s="2" t="s">
        <v>9375</v>
      </c>
      <c r="B5476" s="2" t="s">
        <v>28</v>
      </c>
      <c r="C5476" s="11" t="s">
        <v>2973</v>
      </c>
      <c r="D5476" s="2" t="s">
        <v>30</v>
      </c>
      <c r="E5476" s="2" t="s">
        <v>1404</v>
      </c>
      <c r="F5476" s="11" t="s">
        <v>1656</v>
      </c>
      <c r="G5476" s="46" t="s">
        <v>1657</v>
      </c>
      <c r="H5476" s="2" t="s">
        <v>1658</v>
      </c>
      <c r="I5476" s="12" t="s">
        <v>96</v>
      </c>
      <c r="J5476" s="41">
        <f>+Tabla1[[#This Row],[FECHA ENTRADA]]</f>
        <v>45681</v>
      </c>
      <c r="K5476" s="22">
        <v>45821</v>
      </c>
      <c r="L5476" s="42">
        <f>_xlfn.DAYS(Tabla1[[#This Row],[FECHA FIN ]],Tabla1[[#This Row],[FECHA INICIO]])</f>
        <v>140</v>
      </c>
      <c r="M5476" s="12"/>
      <c r="N5476" s="12">
        <f>1811.6/17</f>
        <v>106.56470588235294</v>
      </c>
      <c r="O5476" s="28">
        <f>(Tabla1[[#This Row],[COSTO FIJO ]]/30)*Tabla1[[#This Row],[TOTAL DIAS PROYECTO]]+(Tabla1[[#This Row],[COSTO TEMPORAL]])</f>
        <v>497.30196078431374</v>
      </c>
      <c r="P5476" s="12"/>
      <c r="Q5476" s="12">
        <f>+(Tabla1[[#This Row],[COSTO COCHE]]/30)*Tabla1[[#This Row],[TOTAL DIAS PROYECTO]]</f>
        <v>0</v>
      </c>
      <c r="R5476" s="12">
        <f>+Tabla1[[#This Row],[COSTO TOTAL ALOJAMIENTO]]+Tabla1[[#This Row],[COSTO TOTAL COCHE]]</f>
        <v>497.30196078431374</v>
      </c>
      <c r="S5476" s="2" t="s">
        <v>84</v>
      </c>
      <c r="T5476" s="2" t="s">
        <v>44</v>
      </c>
      <c r="U5476" s="14">
        <v>45681</v>
      </c>
      <c r="V5476" s="43">
        <v>45712</v>
      </c>
      <c r="W5476" s="26"/>
      <c r="X5476" s="2"/>
      <c r="Y5476" s="11"/>
      <c r="Z5476" s="2" t="s">
        <v>36</v>
      </c>
      <c r="AA5476" s="13" t="s">
        <v>10418</v>
      </c>
      <c r="AB5476" s="13" t="s">
        <v>10419</v>
      </c>
    </row>
    <row r="5477" spans="1:28" ht="15" customHeight="1">
      <c r="A5477" s="2" t="s">
        <v>9375</v>
      </c>
      <c r="B5477" s="2" t="s">
        <v>28</v>
      </c>
      <c r="C5477" s="11" t="s">
        <v>2973</v>
      </c>
      <c r="D5477" s="2" t="s">
        <v>30</v>
      </c>
      <c r="E5477" s="2" t="s">
        <v>1664</v>
      </c>
      <c r="F5477" s="11" t="s">
        <v>1665</v>
      </c>
      <c r="G5477" s="46" t="s">
        <v>1666</v>
      </c>
      <c r="H5477" s="2" t="s">
        <v>1658</v>
      </c>
      <c r="I5477" s="12" t="s">
        <v>96</v>
      </c>
      <c r="J5477" s="41">
        <f>+Tabla1[[#This Row],[FECHA ENTRADA]]</f>
        <v>45712</v>
      </c>
      <c r="K5477" s="22">
        <v>45821</v>
      </c>
      <c r="L5477" s="42">
        <f>_xlfn.DAYS(Tabla1[[#This Row],[FECHA FIN ]],Tabla1[[#This Row],[FECHA INICIO]])</f>
        <v>109</v>
      </c>
      <c r="M5477" s="12"/>
      <c r="N5477" s="12">
        <f>1811.6/17</f>
        <v>106.56470588235294</v>
      </c>
      <c r="O5477" s="28">
        <f>(Tabla1[[#This Row],[COSTO FIJO ]]/30)*Tabla1[[#This Row],[TOTAL DIAS PROYECTO]]+(Tabla1[[#This Row],[COSTO TEMPORAL]])</f>
        <v>387.18509803921569</v>
      </c>
      <c r="P5477" s="12">
        <f>1714.47/8</f>
        <v>214.30875</v>
      </c>
      <c r="Q5477" s="12">
        <f>+(Tabla1[[#This Row],[COSTO COCHE]]/30)*Tabla1[[#This Row],[TOTAL DIAS PROYECTO]]</f>
        <v>778.655125</v>
      </c>
      <c r="R5477" s="12">
        <f>+Tabla1[[#This Row],[COSTO TOTAL ALOJAMIENTO]]+Tabla1[[#This Row],[COSTO TOTAL COCHE]]</f>
        <v>1165.8402230392157</v>
      </c>
      <c r="S5477" s="2" t="s">
        <v>403</v>
      </c>
      <c r="T5477" s="2" t="s">
        <v>44</v>
      </c>
      <c r="U5477" s="14">
        <v>45712</v>
      </c>
      <c r="V5477" s="43">
        <v>45747</v>
      </c>
      <c r="W5477" s="26"/>
      <c r="X5477" s="2"/>
      <c r="Y5477" s="11" t="s">
        <v>1166</v>
      </c>
      <c r="Z5477" s="2" t="s">
        <v>36</v>
      </c>
      <c r="AA5477" s="13" t="s">
        <v>10425</v>
      </c>
      <c r="AB5477" s="13" t="s">
        <v>10426</v>
      </c>
    </row>
    <row r="5478" spans="1:28" ht="15" customHeight="1">
      <c r="A5478" s="2" t="s">
        <v>10259</v>
      </c>
      <c r="B5478" s="2" t="s">
        <v>606</v>
      </c>
      <c r="C5478" s="99" t="s">
        <v>7574</v>
      </c>
      <c r="D5478" s="2" t="s">
        <v>30</v>
      </c>
      <c r="E5478" s="2" t="s">
        <v>61</v>
      </c>
      <c r="F5478" s="11"/>
      <c r="G5478" s="11"/>
      <c r="H5478" s="2">
        <v>2023</v>
      </c>
      <c r="I5478" s="12" t="s">
        <v>2348</v>
      </c>
      <c r="J5478" s="8">
        <v>45122</v>
      </c>
      <c r="K5478" s="22">
        <v>46188</v>
      </c>
      <c r="L5478" s="13">
        <f>_xlfn.DAYS(Tabla1[[#This Row],[FECHA FIN ]],Tabla1[[#This Row],[FECHA INICIO]])</f>
        <v>1066</v>
      </c>
      <c r="M5478" s="12"/>
      <c r="N5478" s="28">
        <v>300</v>
      </c>
      <c r="O5478" s="12">
        <f>(Tabla1[[#This Row],[COSTO FIJO ]]/30)*Tabla1[[#This Row],[TOTAL DIAS PROYECTO]]+(Tabla1[[#This Row],[COSTO TEMPORAL]])</f>
        <v>10660</v>
      </c>
      <c r="P5478" s="12"/>
      <c r="Q5478" s="12">
        <f>+(Tabla1[[#This Row],[COSTO COCHE]]/30)*Tabla1[[#This Row],[TOTAL DIAS PROYECTO]]</f>
        <v>0</v>
      </c>
      <c r="R5478" s="12">
        <f>+Tabla1[[#This Row],[COSTO TOTAL ALOJAMIENTO]]+Tabla1[[#This Row],[COSTO TOTAL COCHE]]</f>
        <v>10660</v>
      </c>
      <c r="S5478" s="2"/>
      <c r="T5478" s="2" t="s">
        <v>58</v>
      </c>
      <c r="U5478" s="14"/>
      <c r="V5478" s="14"/>
      <c r="W5478" s="15"/>
      <c r="X5478" s="16"/>
      <c r="Y5478" s="11" t="s">
        <v>7575</v>
      </c>
      <c r="Z5478" s="2" t="s">
        <v>36</v>
      </c>
      <c r="AA5478" s="13" t="s">
        <v>10329</v>
      </c>
      <c r="AB5478" s="13" t="s">
        <v>10330</v>
      </c>
    </row>
    <row r="5479" spans="1:28" ht="15" customHeight="1">
      <c r="A5479" s="2" t="s">
        <v>10260</v>
      </c>
      <c r="B5479" s="2" t="s">
        <v>711</v>
      </c>
      <c r="C5479" s="31" t="s">
        <v>7576</v>
      </c>
      <c r="D5479" s="2" t="s">
        <v>30</v>
      </c>
      <c r="E5479" s="2" t="s">
        <v>253</v>
      </c>
      <c r="F5479" s="11"/>
      <c r="G5479" s="11"/>
      <c r="H5479" s="2">
        <v>2023</v>
      </c>
      <c r="I5479" s="2" t="s">
        <v>1232</v>
      </c>
      <c r="J5479" s="8">
        <v>45133</v>
      </c>
      <c r="K5479" s="8">
        <v>46142</v>
      </c>
      <c r="L5479" s="13">
        <f>_xlfn.DAYS(Tabla1[[#This Row],[FECHA FIN ]],Tabla1[[#This Row],[FECHA INICIO]])</f>
        <v>1009</v>
      </c>
      <c r="M5479" s="12"/>
      <c r="N5479" s="28">
        <v>300</v>
      </c>
      <c r="O5479" s="12">
        <f>(Tabla1[[#This Row],[COSTO FIJO ]]/30)*Tabla1[[#This Row],[TOTAL DIAS PROYECTO]]+(Tabla1[[#This Row],[COSTO TEMPORAL]])</f>
        <v>10090</v>
      </c>
      <c r="P5479" s="12"/>
      <c r="Q5479" s="12">
        <f>+(Tabla1[[#This Row],[COSTO COCHE]]/30)*Tabla1[[#This Row],[TOTAL DIAS PROYECTO]]</f>
        <v>0</v>
      </c>
      <c r="R5479" s="12">
        <f>+Tabla1[[#This Row],[COSTO TOTAL ALOJAMIENTO]]+Tabla1[[#This Row],[COSTO TOTAL COCHE]]</f>
        <v>10090</v>
      </c>
      <c r="S5479" s="2"/>
      <c r="T5479" s="2" t="s">
        <v>58</v>
      </c>
      <c r="U5479" s="14"/>
      <c r="V5479" s="14"/>
      <c r="W5479" s="15"/>
      <c r="X5479" s="16"/>
      <c r="Y5479" s="11" t="s">
        <v>7577</v>
      </c>
      <c r="Z5479" s="2" t="s">
        <v>36</v>
      </c>
      <c r="AA5479" s="13" t="s">
        <v>10357</v>
      </c>
      <c r="AB5479" s="13" t="s">
        <v>10358</v>
      </c>
    </row>
    <row r="5480" spans="1:28">
      <c r="A5480" s="2" t="s">
        <v>9023</v>
      </c>
      <c r="B5480" s="2" t="s">
        <v>606</v>
      </c>
      <c r="C5480" s="31" t="s">
        <v>1718</v>
      </c>
      <c r="D5480" s="2" t="s">
        <v>30</v>
      </c>
      <c r="E5480" s="2" t="s">
        <v>109</v>
      </c>
      <c r="F5480" s="11" t="s">
        <v>2161</v>
      </c>
      <c r="G5480" s="68" t="s">
        <v>2162</v>
      </c>
      <c r="H5480" s="2" t="s">
        <v>7448</v>
      </c>
      <c r="I5480" s="12" t="s">
        <v>42</v>
      </c>
      <c r="J5480" s="22">
        <f>+Tabla1[[#This Row],[FECHA ENTRADA]]</f>
        <v>46071</v>
      </c>
      <c r="K5480" s="22">
        <v>46098</v>
      </c>
      <c r="L5480" s="23">
        <f>_xlfn.DAYS(Tabla1[[#This Row],[FECHA FIN ]],Tabla1[[#This Row],[FECHA INICIO]])</f>
        <v>27</v>
      </c>
      <c r="M5480" s="12"/>
      <c r="N5480" s="20">
        <v>350</v>
      </c>
      <c r="O5480" s="24">
        <f>(Tabla1[[#This Row],[COSTO FIJO ]]/30)*Tabla1[[#This Row],[TOTAL DIAS PROYECTO]]+(Tabla1[[#This Row],[COSTO TEMPORAL]])</f>
        <v>315</v>
      </c>
      <c r="P5480" s="12"/>
      <c r="Q5480" s="12">
        <f>+(Tabla1[[#This Row],[COSTO COCHE]]/30)*Tabla1[[#This Row],[TOTAL DIAS PROYECTO]]</f>
        <v>0</v>
      </c>
      <c r="R5480" s="12">
        <f>+Tabla1[[#This Row],[COSTO TOTAL ALOJAMIENTO]]+Tabla1[[#This Row],[COSTO TOTAL COCHE]]</f>
        <v>315</v>
      </c>
      <c r="S5480" s="2"/>
      <c r="T5480" s="14" t="s">
        <v>35</v>
      </c>
      <c r="U5480" s="14">
        <v>46071</v>
      </c>
      <c r="V5480" s="79"/>
      <c r="W5480" s="12"/>
      <c r="X5480" s="2">
        <v>10</v>
      </c>
      <c r="Y5480" s="11" t="s">
        <v>7578</v>
      </c>
      <c r="Z5480" s="2" t="s">
        <v>36</v>
      </c>
      <c r="AA5480" s="13">
        <v>0.62217999999999996</v>
      </c>
      <c r="AB5480" s="13" t="s">
        <v>10339</v>
      </c>
    </row>
    <row r="5481" spans="1:28" ht="15" customHeight="1">
      <c r="A5481" s="2" t="s">
        <v>9375</v>
      </c>
      <c r="B5481" s="2" t="s">
        <v>28</v>
      </c>
      <c r="C5481" s="11" t="s">
        <v>2973</v>
      </c>
      <c r="D5481" s="2" t="s">
        <v>30</v>
      </c>
      <c r="E5481" s="2" t="s">
        <v>1754</v>
      </c>
      <c r="F5481" s="11" t="s">
        <v>1755</v>
      </c>
      <c r="G5481" s="21" t="s">
        <v>1756</v>
      </c>
      <c r="H5481" s="2" t="s">
        <v>1658</v>
      </c>
      <c r="I5481" s="12" t="s">
        <v>96</v>
      </c>
      <c r="J5481" s="41">
        <f>+Tabla1[[#This Row],[FECHA ENTRADA]]</f>
        <v>45747</v>
      </c>
      <c r="K5481" s="22">
        <v>45821</v>
      </c>
      <c r="L5481" s="42">
        <f>_xlfn.DAYS(Tabla1[[#This Row],[FECHA FIN ]],Tabla1[[#This Row],[FECHA INICIO]])</f>
        <v>74</v>
      </c>
      <c r="M5481" s="12"/>
      <c r="N5481" s="12"/>
      <c r="O5481" s="28">
        <f>(Tabla1[[#This Row],[COSTO FIJO ]]/30)*Tabla1[[#This Row],[TOTAL DIAS PROYECTO]]+(Tabla1[[#This Row],[COSTO TEMPORAL]])</f>
        <v>0</v>
      </c>
      <c r="P5481" s="12">
        <f>542.69/3</f>
        <v>180.89666666666668</v>
      </c>
      <c r="Q5481" s="12">
        <f>+(Tabla1[[#This Row],[COSTO COCHE]]/30)*Tabla1[[#This Row],[TOTAL DIAS PROYECTO]]</f>
        <v>446.2117777777778</v>
      </c>
      <c r="R5481" s="12">
        <f>+Tabla1[[#This Row],[COSTO TOTAL ALOJAMIENTO]]+Tabla1[[#This Row],[COSTO TOTAL COCHE]]</f>
        <v>446.2117777777778</v>
      </c>
      <c r="S5481" s="2" t="s">
        <v>84</v>
      </c>
      <c r="T5481" s="2" t="s">
        <v>44</v>
      </c>
      <c r="U5481" s="14">
        <v>45747</v>
      </c>
      <c r="V5481" s="25">
        <v>45807</v>
      </c>
      <c r="W5481" s="26"/>
      <c r="X5481" s="2"/>
      <c r="Y5481" s="11" t="s">
        <v>1757</v>
      </c>
      <c r="Z5481" s="2" t="s">
        <v>36</v>
      </c>
      <c r="AA5481" s="13" t="e">
        <v>#N/A</v>
      </c>
      <c r="AB5481" s="13" t="e">
        <v>#N/A</v>
      </c>
    </row>
    <row r="5482" spans="1:28" ht="15" customHeight="1">
      <c r="A5482" s="2" t="s">
        <v>9375</v>
      </c>
      <c r="B5482" s="2" t="s">
        <v>28</v>
      </c>
      <c r="C5482" s="11" t="s">
        <v>2973</v>
      </c>
      <c r="D5482" s="2" t="s">
        <v>30</v>
      </c>
      <c r="E5482" s="2" t="s">
        <v>1664</v>
      </c>
      <c r="F5482" s="11" t="s">
        <v>1794</v>
      </c>
      <c r="G5482" s="21" t="s">
        <v>1795</v>
      </c>
      <c r="H5482" s="2" t="s">
        <v>1658</v>
      </c>
      <c r="I5482" s="12" t="s">
        <v>96</v>
      </c>
      <c r="J5482" s="41">
        <f>+Tabla1[[#This Row],[FECHA ENTRADA]]</f>
        <v>45807</v>
      </c>
      <c r="K5482" s="41">
        <v>45843</v>
      </c>
      <c r="L5482" s="42">
        <f>_xlfn.DAYS(Tabla1[[#This Row],[FECHA FIN ]],Tabla1[[#This Row],[FECHA INICIO]])</f>
        <v>36</v>
      </c>
      <c r="M5482" s="12"/>
      <c r="N5482" s="12"/>
      <c r="O5482" s="28">
        <f>(Tabla1[[#This Row],[COSTO FIJO ]]/30)*Tabla1[[#This Row],[TOTAL DIAS PROYECTO]]+(Tabla1[[#This Row],[COSTO TEMPORAL]])</f>
        <v>0</v>
      </c>
      <c r="P5482" s="12"/>
      <c r="Q5482" s="12">
        <f>+(Tabla1[[#This Row],[COSTO COCHE]]/30)*Tabla1[[#This Row],[TOTAL DIAS PROYECTO]]</f>
        <v>0</v>
      </c>
      <c r="R5482" s="12">
        <f>+Tabla1[[#This Row],[COSTO TOTAL ALOJAMIENTO]]+Tabla1[[#This Row],[COSTO TOTAL COCHE]]</f>
        <v>0</v>
      </c>
      <c r="S5482" s="2"/>
      <c r="T5482" s="2" t="s">
        <v>44</v>
      </c>
      <c r="U5482" s="14">
        <v>45807</v>
      </c>
      <c r="V5482" s="25">
        <v>45845</v>
      </c>
      <c r="W5482" s="2"/>
      <c r="X5482" s="2">
        <v>1</v>
      </c>
      <c r="Y5482" s="11"/>
      <c r="Z5482" s="2" t="s">
        <v>36</v>
      </c>
      <c r="AA5482" s="13" t="s">
        <v>10425</v>
      </c>
      <c r="AB5482" s="13" t="s">
        <v>10426</v>
      </c>
    </row>
    <row r="5483" spans="1:28" ht="15" customHeight="1">
      <c r="A5483" s="2" t="s">
        <v>9375</v>
      </c>
      <c r="B5483" s="2" t="s">
        <v>28</v>
      </c>
      <c r="C5483" s="31" t="s">
        <v>2973</v>
      </c>
      <c r="D5483" s="2" t="s">
        <v>30</v>
      </c>
      <c r="E5483" s="2" t="s">
        <v>1664</v>
      </c>
      <c r="F5483" s="11" t="s">
        <v>1796</v>
      </c>
      <c r="G5483" s="46" t="s">
        <v>1797</v>
      </c>
      <c r="H5483" s="2" t="s">
        <v>1658</v>
      </c>
      <c r="I5483" s="12" t="s">
        <v>96</v>
      </c>
      <c r="J5483" s="41">
        <f>+Tabla1[[#This Row],[FECHA ENTRADA]]</f>
        <v>45843</v>
      </c>
      <c r="K5483" s="41">
        <v>45861</v>
      </c>
      <c r="L5483" s="42">
        <f>_xlfn.DAYS(Tabla1[[#This Row],[FECHA FIN ]],Tabla1[[#This Row],[FECHA INICIO]])</f>
        <v>18</v>
      </c>
      <c r="M5483" s="12"/>
      <c r="N5483" s="12"/>
      <c r="O5483" s="28">
        <f>(Tabla1[[#This Row],[COSTO FIJO ]]/30)*Tabla1[[#This Row],[TOTAL DIAS PROYECTO]]+(Tabla1[[#This Row],[COSTO TEMPORAL]])</f>
        <v>0</v>
      </c>
      <c r="P5483" s="12"/>
      <c r="Q5483" s="12">
        <f>+(Tabla1[[#This Row],[COSTO COCHE]]/30)*Tabla1[[#This Row],[TOTAL DIAS PROYECTO]]</f>
        <v>0</v>
      </c>
      <c r="R5483" s="12">
        <f>+Tabla1[[#This Row],[COSTO TOTAL ALOJAMIENTO]]+Tabla1[[#This Row],[COSTO TOTAL COCHE]]</f>
        <v>0</v>
      </c>
      <c r="S5483" s="2"/>
      <c r="T5483" s="14" t="s">
        <v>44</v>
      </c>
      <c r="U5483" s="14">
        <v>45843</v>
      </c>
      <c r="V5483" s="43">
        <v>45861</v>
      </c>
      <c r="W5483" s="12"/>
      <c r="X5483" s="2"/>
      <c r="Y5483" s="11" t="s">
        <v>7579</v>
      </c>
      <c r="Z5483" s="2" t="s">
        <v>36</v>
      </c>
      <c r="AA5483" s="13" t="s">
        <v>10425</v>
      </c>
      <c r="AB5483" s="13" t="s">
        <v>10426</v>
      </c>
    </row>
    <row r="5484" spans="1:28" ht="15" customHeight="1">
      <c r="A5484" s="2" t="s">
        <v>9691</v>
      </c>
      <c r="B5484" s="2" t="s">
        <v>28</v>
      </c>
      <c r="C5484" s="169" t="s">
        <v>4256</v>
      </c>
      <c r="D5484" s="2" t="s">
        <v>99</v>
      </c>
      <c r="E5484" s="2" t="s">
        <v>127</v>
      </c>
      <c r="F5484" s="11" t="s">
        <v>820</v>
      </c>
      <c r="G5484" s="21" t="s">
        <v>1234</v>
      </c>
      <c r="H5484" s="2" t="s">
        <v>1605</v>
      </c>
      <c r="I5484" s="12" t="s">
        <v>96</v>
      </c>
      <c r="J5484" s="22">
        <f>+Tabla1[[#This Row],[FECHA ENTRADA]]</f>
        <v>45726</v>
      </c>
      <c r="K5484" s="22">
        <v>45821</v>
      </c>
      <c r="L5484" s="23">
        <f>_xlfn.DAYS(Tabla1[[#This Row],[FECHA FIN ]],Tabla1[[#This Row],[FECHA INICIO]])</f>
        <v>95</v>
      </c>
      <c r="M5484" s="12"/>
      <c r="N5484" s="12"/>
      <c r="O5484" s="24">
        <f>(Tabla1[[#This Row],[COSTO FIJO ]]/30)*Tabla1[[#This Row],[TOTAL DIAS PROYECTO]]+(Tabla1[[#This Row],[COSTO TEMPORAL]])</f>
        <v>0</v>
      </c>
      <c r="P5484" s="12"/>
      <c r="Q5484" s="12">
        <f>+(Tabla1[[#This Row],[COSTO COCHE]]/30)*Tabla1[[#This Row],[TOTAL DIAS PROYECTO]]</f>
        <v>0</v>
      </c>
      <c r="R5484" s="12">
        <f>+Tabla1[[#This Row],[COSTO TOTAL ALOJAMIENTO]]+Tabla1[[#This Row],[COSTO TOTAL COCHE]]</f>
        <v>0</v>
      </c>
      <c r="S5484" s="2"/>
      <c r="T5484" s="2" t="s">
        <v>44</v>
      </c>
      <c r="U5484" s="14">
        <v>45726</v>
      </c>
      <c r="V5484" s="25">
        <v>45731</v>
      </c>
      <c r="W5484" s="26"/>
      <c r="X5484" s="2"/>
      <c r="Y5484" s="11" t="s">
        <v>1166</v>
      </c>
      <c r="Z5484" s="2" t="s">
        <v>36</v>
      </c>
      <c r="AA5484" s="13" t="s">
        <v>10342</v>
      </c>
      <c r="AB5484" s="13" t="s">
        <v>10343</v>
      </c>
    </row>
    <row r="5485" spans="1:28" ht="15" customHeight="1">
      <c r="A5485" s="2" t="s">
        <v>8994</v>
      </c>
      <c r="B5485" s="2" t="s">
        <v>978</v>
      </c>
      <c r="C5485" s="11" t="s">
        <v>1617</v>
      </c>
      <c r="D5485" s="2" t="s">
        <v>30</v>
      </c>
      <c r="E5485" s="2" t="s">
        <v>109</v>
      </c>
      <c r="F5485" s="11"/>
      <c r="G5485" s="46"/>
      <c r="H5485" s="2" t="s">
        <v>4680</v>
      </c>
      <c r="I5485" s="12" t="s">
        <v>4681</v>
      </c>
      <c r="J5485" s="41">
        <f>+Tabla1[[#This Row],[FECHA ENTRADA]]</f>
        <v>46065</v>
      </c>
      <c r="K5485" s="22">
        <f ca="1">TODAY()</f>
        <v>46260</v>
      </c>
      <c r="L5485" s="42">
        <f ca="1">_xlfn.DAYS(Tabla1[[#This Row],[FECHA FIN ]],Tabla1[[#This Row],[FECHA INICIO]])</f>
        <v>195</v>
      </c>
      <c r="M5485" s="12"/>
      <c r="N5485" s="28">
        <v>300</v>
      </c>
      <c r="O5485" s="28">
        <f ca="1">(Tabla1[[#This Row],[COSTO FIJO ]]/30)*Tabla1[[#This Row],[TOTAL DIAS PROYECTO]]+(Tabla1[[#This Row],[COSTO TEMPORAL]])</f>
        <v>1950</v>
      </c>
      <c r="P5485" s="12"/>
      <c r="Q5485" s="12">
        <f ca="1">+(Tabla1[[#This Row],[COSTO COCHE]]/30)*Tabla1[[#This Row],[TOTAL DIAS PROYECTO]]</f>
        <v>0</v>
      </c>
      <c r="R5485" s="12">
        <f ca="1">+Tabla1[[#This Row],[COSTO TOTAL ALOJAMIENTO]]+Tabla1[[#This Row],[COSTO TOTAL COCHE]]</f>
        <v>1950</v>
      </c>
      <c r="S5485" s="2"/>
      <c r="T5485" s="14" t="s">
        <v>58</v>
      </c>
      <c r="U5485" s="14">
        <v>46065</v>
      </c>
      <c r="V5485" s="43"/>
      <c r="W5485" s="12"/>
      <c r="X5485" s="2"/>
      <c r="Y5485" s="11"/>
      <c r="Z5485" s="2" t="s">
        <v>702</v>
      </c>
      <c r="AA5485" s="13">
        <v>0.62217999999999996</v>
      </c>
      <c r="AB5485" s="13" t="s">
        <v>10339</v>
      </c>
    </row>
    <row r="5486" spans="1:28">
      <c r="A5486" s="2" t="s">
        <v>8903</v>
      </c>
      <c r="B5486" s="2" t="s">
        <v>606</v>
      </c>
      <c r="C5486" s="11" t="s">
        <v>1213</v>
      </c>
      <c r="D5486" s="2" t="s">
        <v>30</v>
      </c>
      <c r="E5486" s="2" t="s">
        <v>422</v>
      </c>
      <c r="F5486" s="11" t="s">
        <v>956</v>
      </c>
      <c r="G5486" s="118" t="s">
        <v>957</v>
      </c>
      <c r="H5486" s="2" t="s">
        <v>7510</v>
      </c>
      <c r="I5486" s="12" t="s">
        <v>7511</v>
      </c>
      <c r="J5486" s="41">
        <f>+Tabla1[[#This Row],[FECHA ENTRADA]]</f>
        <v>46050</v>
      </c>
      <c r="K5486" s="22">
        <v>46080</v>
      </c>
      <c r="L5486" s="42">
        <f>_xlfn.DAYS(Tabla1[[#This Row],[FECHA FIN ]],Tabla1[[#This Row],[FECHA INICIO]])</f>
        <v>30</v>
      </c>
      <c r="M5486" s="12"/>
      <c r="N5486" s="28">
        <v>287.5</v>
      </c>
      <c r="O5486" s="28">
        <f>(Tabla1[[#This Row],[COSTO FIJO ]]/30)*Tabla1[[#This Row],[TOTAL DIAS PROYECTO]]+(Tabla1[[#This Row],[COSTO TEMPORAL]])</f>
        <v>287.5</v>
      </c>
      <c r="P5486" s="12"/>
      <c r="Q5486" s="12">
        <f>+(Tabla1[[#This Row],[COSTO COCHE]]/30)*Tabla1[[#This Row],[TOTAL DIAS PROYECTO]]</f>
        <v>0</v>
      </c>
      <c r="R5486" s="12">
        <f>+Tabla1[[#This Row],[COSTO TOTAL ALOJAMIENTO]]+Tabla1[[#This Row],[COSTO TOTAL COCHE]]</f>
        <v>287.5</v>
      </c>
      <c r="S5486" s="2"/>
      <c r="T5486" s="14" t="s">
        <v>35</v>
      </c>
      <c r="U5486" s="14">
        <v>46050</v>
      </c>
      <c r="V5486" s="43"/>
      <c r="W5486" s="12"/>
      <c r="X5486" s="2">
        <v>5</v>
      </c>
      <c r="Y5486" s="11" t="s">
        <v>7512</v>
      </c>
      <c r="Z5486" s="2" t="s">
        <v>36</v>
      </c>
      <c r="AA5486" s="13">
        <v>-326.69799999999998</v>
      </c>
      <c r="AB5486" s="13" t="s">
        <v>10373</v>
      </c>
    </row>
    <row r="5487" spans="1:28" ht="15" customHeight="1">
      <c r="A5487" s="2" t="s">
        <v>9539</v>
      </c>
      <c r="B5487" s="2" t="s">
        <v>978</v>
      </c>
      <c r="C5487" s="11" t="s">
        <v>3579</v>
      </c>
      <c r="D5487" s="2" t="s">
        <v>30</v>
      </c>
      <c r="E5487" s="2" t="s">
        <v>109</v>
      </c>
      <c r="F5487" s="11"/>
      <c r="G5487" s="46"/>
      <c r="H5487" s="2" t="s">
        <v>4680</v>
      </c>
      <c r="I5487" s="12" t="s">
        <v>4681</v>
      </c>
      <c r="J5487" s="41">
        <f>+Tabla1[[#This Row],[FECHA ENTRADA]]</f>
        <v>46065</v>
      </c>
      <c r="K5487" s="22">
        <f ca="1">TODAY()</f>
        <v>46260</v>
      </c>
      <c r="L5487" s="42">
        <f ca="1">_xlfn.DAYS(Tabla1[[#This Row],[FECHA FIN ]],Tabla1[[#This Row],[FECHA INICIO]])</f>
        <v>195</v>
      </c>
      <c r="M5487" s="12"/>
      <c r="N5487" s="28">
        <v>300</v>
      </c>
      <c r="O5487" s="28">
        <f ca="1">(Tabla1[[#This Row],[COSTO FIJO ]]/30)*Tabla1[[#This Row],[TOTAL DIAS PROYECTO]]+(Tabla1[[#This Row],[COSTO TEMPORAL]])</f>
        <v>1950</v>
      </c>
      <c r="P5487" s="12"/>
      <c r="Q5487" s="12">
        <f ca="1">+(Tabla1[[#This Row],[COSTO COCHE]]/30)*Tabla1[[#This Row],[TOTAL DIAS PROYECTO]]</f>
        <v>0</v>
      </c>
      <c r="R5487" s="12">
        <f ca="1">+Tabla1[[#This Row],[COSTO TOTAL ALOJAMIENTO]]+Tabla1[[#This Row],[COSTO TOTAL COCHE]]</f>
        <v>1950</v>
      </c>
      <c r="S5487" s="2"/>
      <c r="T5487" s="14" t="s">
        <v>58</v>
      </c>
      <c r="U5487" s="14">
        <v>46065</v>
      </c>
      <c r="V5487" s="43"/>
      <c r="W5487" s="12"/>
      <c r="X5487" s="2"/>
      <c r="Y5487" s="11"/>
      <c r="Z5487" s="2" t="s">
        <v>702</v>
      </c>
      <c r="AA5487" s="13">
        <v>0.62217999999999996</v>
      </c>
      <c r="AB5487" s="13" t="s">
        <v>10339</v>
      </c>
    </row>
    <row r="5488" spans="1:28" ht="15" customHeight="1">
      <c r="A5488" s="2" t="s">
        <v>10157</v>
      </c>
      <c r="B5488" s="2" t="s">
        <v>978</v>
      </c>
      <c r="C5488" s="11" t="s">
        <v>6762</v>
      </c>
      <c r="D5488" s="2" t="s">
        <v>30</v>
      </c>
      <c r="E5488" s="2" t="s">
        <v>109</v>
      </c>
      <c r="F5488" s="11"/>
      <c r="G5488" s="46"/>
      <c r="H5488" s="2" t="s">
        <v>6763</v>
      </c>
      <c r="I5488" s="12" t="s">
        <v>4681</v>
      </c>
      <c r="J5488" s="41">
        <f>+Tabla1[[#This Row],[FECHA ENTRADA]]</f>
        <v>46065</v>
      </c>
      <c r="K5488" s="22">
        <f ca="1">TODAY()</f>
        <v>46260</v>
      </c>
      <c r="L5488" s="42">
        <f ca="1">_xlfn.DAYS(Tabla1[[#This Row],[FECHA FIN ]],Tabla1[[#This Row],[FECHA INICIO]])</f>
        <v>195</v>
      </c>
      <c r="M5488" s="12"/>
      <c r="N5488" s="28">
        <v>300</v>
      </c>
      <c r="O5488" s="28">
        <f ca="1">(Tabla1[[#This Row],[COSTO FIJO ]]/30)*Tabla1[[#This Row],[TOTAL DIAS PROYECTO]]+(Tabla1[[#This Row],[COSTO TEMPORAL]])</f>
        <v>1950</v>
      </c>
      <c r="P5488" s="12"/>
      <c r="Q5488" s="12">
        <f ca="1">+(Tabla1[[#This Row],[COSTO COCHE]]/30)*Tabla1[[#This Row],[TOTAL DIAS PROYECTO]]</f>
        <v>0</v>
      </c>
      <c r="R5488" s="12">
        <f ca="1">+Tabla1[[#This Row],[COSTO TOTAL ALOJAMIENTO]]+Tabla1[[#This Row],[COSTO TOTAL COCHE]]</f>
        <v>1950</v>
      </c>
      <c r="S5488" s="2"/>
      <c r="T5488" s="14" t="s">
        <v>58</v>
      </c>
      <c r="U5488" s="14">
        <v>46065</v>
      </c>
      <c r="V5488" s="43"/>
      <c r="W5488" s="12"/>
      <c r="X5488" s="2"/>
      <c r="Y5488" s="11"/>
      <c r="Z5488" s="2" t="s">
        <v>702</v>
      </c>
      <c r="AA5488" s="13">
        <v>0.62217999999999996</v>
      </c>
      <c r="AB5488" s="13" t="s">
        <v>10339</v>
      </c>
    </row>
    <row r="5489" spans="1:28" ht="15" customHeight="1">
      <c r="A5489" s="2" t="s">
        <v>10261</v>
      </c>
      <c r="B5489" s="2" t="s">
        <v>606</v>
      </c>
      <c r="C5489" s="31" t="s">
        <v>7580</v>
      </c>
      <c r="D5489" s="2" t="s">
        <v>99</v>
      </c>
      <c r="E5489" s="2" t="s">
        <v>31</v>
      </c>
      <c r="F5489" s="11" t="s">
        <v>5761</v>
      </c>
      <c r="G5489" s="46" t="s">
        <v>5762</v>
      </c>
      <c r="H5489" s="2" t="s">
        <v>7581</v>
      </c>
      <c r="I5489" s="12" t="s">
        <v>385</v>
      </c>
      <c r="J5489" s="41">
        <f>+Tabla1[[#This Row],[FECHA ENTRADA]]</f>
        <v>45963</v>
      </c>
      <c r="K5489" s="22">
        <v>46108</v>
      </c>
      <c r="L5489" s="42">
        <f>_xlfn.DAYS(Tabla1[[#This Row],[FECHA FIN ]],Tabla1[[#This Row],[FECHA INICIO]])</f>
        <v>145</v>
      </c>
      <c r="M5489" s="12"/>
      <c r="N5489" s="12">
        <v>350</v>
      </c>
      <c r="O5489" s="28">
        <f>(Tabla1[[#This Row],[COSTO FIJO ]]/30)*Tabla1[[#This Row],[TOTAL DIAS PROYECTO]]+(Tabla1[[#This Row],[COSTO TEMPORAL]])</f>
        <v>1691.6666666666665</v>
      </c>
      <c r="P5489" s="12"/>
      <c r="Q5489" s="12">
        <f>+(Tabla1[[#This Row],[COSTO COCHE]]/30)*Tabla1[[#This Row],[TOTAL DIAS PROYECTO]]</f>
        <v>0</v>
      </c>
      <c r="R5489" s="12">
        <f>+Tabla1[[#This Row],[COSTO TOTAL ALOJAMIENTO]]+Tabla1[[#This Row],[COSTO TOTAL COCHE]]</f>
        <v>1691.6666666666665</v>
      </c>
      <c r="S5489" s="2"/>
      <c r="T5489" s="14" t="s">
        <v>35</v>
      </c>
      <c r="U5489" s="14">
        <v>45963</v>
      </c>
      <c r="V5489" s="43"/>
      <c r="W5489" s="12"/>
      <c r="X5489" s="2">
        <v>30</v>
      </c>
      <c r="Y5489" s="11" t="s">
        <v>7582</v>
      </c>
      <c r="Z5489" s="2" t="s">
        <v>36</v>
      </c>
      <c r="AA5489" s="13" t="s">
        <v>10323</v>
      </c>
      <c r="AB5489" s="13" t="s">
        <v>10324</v>
      </c>
    </row>
    <row r="5490" spans="1:28" ht="15" customHeight="1">
      <c r="A5490" s="2" t="s">
        <v>10214</v>
      </c>
      <c r="B5490" s="2" t="s">
        <v>978</v>
      </c>
      <c r="C5490" s="11" t="s">
        <v>7190</v>
      </c>
      <c r="D5490" s="2" t="s">
        <v>30</v>
      </c>
      <c r="E5490" s="2" t="s">
        <v>109</v>
      </c>
      <c r="F5490" s="11"/>
      <c r="G5490" s="46"/>
      <c r="H5490" s="2" t="s">
        <v>7191</v>
      </c>
      <c r="I5490" s="12" t="s">
        <v>4681</v>
      </c>
      <c r="J5490" s="41">
        <f>+Tabla1[[#This Row],[FECHA ENTRADA]]</f>
        <v>46065</v>
      </c>
      <c r="K5490" s="22">
        <f ca="1">TODAY()</f>
        <v>46260</v>
      </c>
      <c r="L5490" s="42">
        <f ca="1">_xlfn.DAYS(Tabla1[[#This Row],[FECHA FIN ]],Tabla1[[#This Row],[FECHA INICIO]])</f>
        <v>195</v>
      </c>
      <c r="M5490" s="12"/>
      <c r="N5490" s="28">
        <v>300</v>
      </c>
      <c r="O5490" s="28">
        <f ca="1">(Tabla1[[#This Row],[COSTO FIJO ]]/30)*Tabla1[[#This Row],[TOTAL DIAS PROYECTO]]+(Tabla1[[#This Row],[COSTO TEMPORAL]])</f>
        <v>1950</v>
      </c>
      <c r="P5490" s="12"/>
      <c r="Q5490" s="12">
        <f ca="1">+(Tabla1[[#This Row],[COSTO COCHE]]/30)*Tabla1[[#This Row],[TOTAL DIAS PROYECTO]]</f>
        <v>0</v>
      </c>
      <c r="R5490" s="12">
        <f ca="1">+Tabla1[[#This Row],[COSTO TOTAL ALOJAMIENTO]]+Tabla1[[#This Row],[COSTO TOTAL COCHE]]</f>
        <v>1950</v>
      </c>
      <c r="S5490" s="2"/>
      <c r="T5490" s="14" t="s">
        <v>58</v>
      </c>
      <c r="U5490" s="14">
        <v>46065</v>
      </c>
      <c r="V5490" s="43"/>
      <c r="W5490" s="12"/>
      <c r="X5490" s="2"/>
      <c r="Y5490" s="11"/>
      <c r="Z5490" s="2" t="s">
        <v>702</v>
      </c>
      <c r="AA5490" s="13">
        <v>0.62217999999999996</v>
      </c>
      <c r="AB5490" s="13" t="s">
        <v>10339</v>
      </c>
    </row>
    <row r="5491" spans="1:28" ht="15" customHeight="1">
      <c r="A5491" s="2" t="s">
        <v>10222</v>
      </c>
      <c r="B5491" s="2" t="s">
        <v>978</v>
      </c>
      <c r="C5491" s="11" t="s">
        <v>7220</v>
      </c>
      <c r="D5491" s="2" t="s">
        <v>99</v>
      </c>
      <c r="E5491" s="2" t="s">
        <v>109</v>
      </c>
      <c r="F5491" s="11"/>
      <c r="G5491" s="46"/>
      <c r="H5491" s="2" t="s">
        <v>7221</v>
      </c>
      <c r="I5491" s="12" t="s">
        <v>4681</v>
      </c>
      <c r="J5491" s="41">
        <f>+Tabla1[[#This Row],[FECHA ENTRADA]]</f>
        <v>46065</v>
      </c>
      <c r="K5491" s="22">
        <f ca="1">TODAY()</f>
        <v>46260</v>
      </c>
      <c r="L5491" s="42">
        <f ca="1">_xlfn.DAYS(Tabla1[[#This Row],[FECHA FIN ]],Tabla1[[#This Row],[FECHA INICIO]])</f>
        <v>195</v>
      </c>
      <c r="M5491" s="12"/>
      <c r="N5491" s="28">
        <v>300</v>
      </c>
      <c r="O5491" s="28">
        <f ca="1">(Tabla1[[#This Row],[COSTO FIJO ]]/30)*Tabla1[[#This Row],[TOTAL DIAS PROYECTO]]+(Tabla1[[#This Row],[COSTO TEMPORAL]])</f>
        <v>1950</v>
      </c>
      <c r="P5491" s="12"/>
      <c r="Q5491" s="12">
        <f ca="1">+(Tabla1[[#This Row],[COSTO COCHE]]/30)*Tabla1[[#This Row],[TOTAL DIAS PROYECTO]]</f>
        <v>0</v>
      </c>
      <c r="R5491" s="12">
        <f ca="1">+Tabla1[[#This Row],[COSTO TOTAL ALOJAMIENTO]]+Tabla1[[#This Row],[COSTO TOTAL COCHE]]</f>
        <v>1950</v>
      </c>
      <c r="S5491" s="2"/>
      <c r="T5491" s="14" t="s">
        <v>58</v>
      </c>
      <c r="U5491" s="14">
        <v>46065</v>
      </c>
      <c r="V5491" s="43"/>
      <c r="W5491" s="12"/>
      <c r="X5491" s="2"/>
      <c r="Y5491" s="11"/>
      <c r="Z5491" s="2" t="s">
        <v>702</v>
      </c>
      <c r="AA5491" s="13">
        <v>0.62217999999999996</v>
      </c>
      <c r="AB5491" s="13" t="s">
        <v>10339</v>
      </c>
    </row>
    <row r="5492" spans="1:28" ht="15" customHeight="1">
      <c r="A5492" s="2" t="s">
        <v>9713</v>
      </c>
      <c r="B5492" s="2" t="s">
        <v>606</v>
      </c>
      <c r="C5492" s="11" t="s">
        <v>4366</v>
      </c>
      <c r="D5492" s="2" t="s">
        <v>30</v>
      </c>
      <c r="E5492" s="2" t="s">
        <v>31</v>
      </c>
      <c r="F5492" s="11" t="s">
        <v>1004</v>
      </c>
      <c r="G5492" s="167" t="s">
        <v>1005</v>
      </c>
      <c r="H5492" s="2" t="s">
        <v>7583</v>
      </c>
      <c r="I5492" s="12" t="s">
        <v>1540</v>
      </c>
      <c r="J5492" s="22">
        <f>+Tabla1[[#This Row],[FECHA ENTRADA]]</f>
        <v>45960</v>
      </c>
      <c r="K5492" s="22">
        <f ca="1">TODAY()</f>
        <v>46260</v>
      </c>
      <c r="L5492" s="23">
        <f ca="1">_xlfn.DAYS(Tabla1[[#This Row],[FECHA FIN ]],Tabla1[[#This Row],[FECHA INICIO]])</f>
        <v>300</v>
      </c>
      <c r="M5492" s="12"/>
      <c r="N5492" s="28">
        <v>533.33333333333337</v>
      </c>
      <c r="O5492" s="24">
        <f ca="1">(Tabla1[[#This Row],[COSTO FIJO ]]/30)*Tabla1[[#This Row],[TOTAL DIAS PROYECTO]]+(Tabla1[[#This Row],[COSTO TEMPORAL]])</f>
        <v>5333.3333333333339</v>
      </c>
      <c r="P5492" s="12"/>
      <c r="Q5492" s="12">
        <f ca="1">+(Tabla1[[#This Row],[COSTO COCHE]]/30)*Tabla1[[#This Row],[TOTAL DIAS PROYECTO]]</f>
        <v>0</v>
      </c>
      <c r="R5492" s="12">
        <f ca="1">+Tabla1[[#This Row],[COSTO TOTAL ALOJAMIENTO]]+Tabla1[[#This Row],[COSTO TOTAL COCHE]]</f>
        <v>5333.3333333333339</v>
      </c>
      <c r="S5492" s="2"/>
      <c r="T5492" s="14" t="s">
        <v>35</v>
      </c>
      <c r="U5492" s="14">
        <v>45960</v>
      </c>
      <c r="V5492" s="79"/>
      <c r="W5492" s="12"/>
      <c r="X5492" s="2">
        <v>1</v>
      </c>
      <c r="Y5492" s="11"/>
      <c r="Z5492" s="2" t="s">
        <v>702</v>
      </c>
      <c r="AA5492" s="13" t="s">
        <v>10323</v>
      </c>
      <c r="AB5492" s="13" t="s">
        <v>10324</v>
      </c>
    </row>
    <row r="5493" spans="1:28" ht="15" customHeight="1">
      <c r="A5493" s="2" t="s">
        <v>8642</v>
      </c>
      <c r="B5493" s="11" t="s">
        <v>3133</v>
      </c>
      <c r="C5493" s="11" t="s">
        <v>7584</v>
      </c>
      <c r="D5493" s="2" t="s">
        <v>749</v>
      </c>
      <c r="E5493" s="2" t="s">
        <v>288</v>
      </c>
      <c r="F5493" s="11" t="s">
        <v>4873</v>
      </c>
      <c r="G5493" s="128" t="s">
        <v>4752</v>
      </c>
      <c r="H5493" s="2" t="s">
        <v>7585</v>
      </c>
      <c r="I5493" s="10" t="s">
        <v>753</v>
      </c>
      <c r="J5493" s="22">
        <f>+Tabla1[[#This Row],[FECHA ENTRADA]]</f>
        <v>46167</v>
      </c>
      <c r="K5493" s="22">
        <f ca="1">TODAY()</f>
        <v>46260</v>
      </c>
      <c r="L5493" s="23">
        <f ca="1">_xlfn.DAYS(Tabla1[[#This Row],[FECHA FIN ]],Tabla1[[#This Row],[FECHA INICIO]])</f>
        <v>93</v>
      </c>
      <c r="M5493" s="12"/>
      <c r="N5493" s="12">
        <v>500</v>
      </c>
      <c r="O5493" s="24">
        <f ca="1">(Tabla1[[#This Row],[COSTO FIJO ]]/30)*Tabla1[[#This Row],[TOTAL DIAS PROYECTO]]+(Tabla1[[#This Row],[COSTO TEMPORAL]])</f>
        <v>1550</v>
      </c>
      <c r="P5493" s="12"/>
      <c r="Q5493" s="12">
        <f ca="1">+(Tabla1[[#This Row],[COSTO COCHE]]/30)*Tabla1[[#This Row],[TOTAL DIAS PROYECTO]]</f>
        <v>0</v>
      </c>
      <c r="R5493" s="12">
        <f ca="1">+Tabla1[[#This Row],[COSTO TOTAL ALOJAMIENTO]]+Tabla1[[#This Row],[COSTO TOTAL COCHE]]</f>
        <v>1550</v>
      </c>
      <c r="S5493" s="2"/>
      <c r="T5493" s="14" t="s">
        <v>35</v>
      </c>
      <c r="U5493" s="14">
        <v>46167</v>
      </c>
      <c r="V5493" s="79">
        <v>46266</v>
      </c>
      <c r="W5493" s="12"/>
      <c r="X5493" s="2">
        <v>1</v>
      </c>
      <c r="Y5493" s="165" t="s">
        <v>7586</v>
      </c>
      <c r="Z5493" s="2" t="s">
        <v>702</v>
      </c>
      <c r="AA5493" s="13" t="s">
        <v>10362</v>
      </c>
      <c r="AB5493" s="13" t="s">
        <v>10363</v>
      </c>
    </row>
    <row r="5494" spans="1:28" ht="15" customHeight="1">
      <c r="A5494" s="2" t="s">
        <v>9198</v>
      </c>
      <c r="B5494" s="11" t="s">
        <v>3133</v>
      </c>
      <c r="C5494" s="11" t="s">
        <v>2407</v>
      </c>
      <c r="D5494" s="2" t="s">
        <v>749</v>
      </c>
      <c r="E5494" s="2" t="s">
        <v>288</v>
      </c>
      <c r="F5494" s="11" t="s">
        <v>4873</v>
      </c>
      <c r="G5494" s="128" t="s">
        <v>4752</v>
      </c>
      <c r="H5494" s="2" t="s">
        <v>7585</v>
      </c>
      <c r="I5494" s="10" t="s">
        <v>753</v>
      </c>
      <c r="J5494" s="22">
        <f>+Tabla1[[#This Row],[FECHA ENTRADA]]</f>
        <v>46167</v>
      </c>
      <c r="K5494" s="22">
        <f ca="1">TODAY()</f>
        <v>46260</v>
      </c>
      <c r="L5494" s="23">
        <f ca="1">_xlfn.DAYS(Tabla1[[#This Row],[FECHA FIN ]],Tabla1[[#This Row],[FECHA INICIO]])</f>
        <v>93</v>
      </c>
      <c r="M5494" s="12"/>
      <c r="N5494" s="12">
        <v>500</v>
      </c>
      <c r="O5494" s="24">
        <f ca="1">(Tabla1[[#This Row],[COSTO FIJO ]]/30)*Tabla1[[#This Row],[TOTAL DIAS PROYECTO]]+(Tabla1[[#This Row],[COSTO TEMPORAL]])</f>
        <v>1550</v>
      </c>
      <c r="P5494" s="12"/>
      <c r="Q5494" s="12">
        <f ca="1">+(Tabla1[[#This Row],[COSTO COCHE]]/30)*Tabla1[[#This Row],[TOTAL DIAS PROYECTO]]</f>
        <v>0</v>
      </c>
      <c r="R5494" s="12">
        <f ca="1">+Tabla1[[#This Row],[COSTO TOTAL ALOJAMIENTO]]+Tabla1[[#This Row],[COSTO TOTAL COCHE]]</f>
        <v>1550</v>
      </c>
      <c r="S5494" s="2"/>
      <c r="T5494" s="14" t="s">
        <v>35</v>
      </c>
      <c r="U5494" s="14">
        <v>46167</v>
      </c>
      <c r="V5494" s="79">
        <v>46266</v>
      </c>
      <c r="W5494" s="12"/>
      <c r="X5494" s="2">
        <v>1</v>
      </c>
      <c r="Y5494" s="165" t="s">
        <v>7586</v>
      </c>
      <c r="Z5494" s="2" t="s">
        <v>702</v>
      </c>
      <c r="AA5494" s="13" t="s">
        <v>10362</v>
      </c>
      <c r="AB5494" s="13" t="s">
        <v>10363</v>
      </c>
    </row>
    <row r="5495" spans="1:28" ht="15" customHeight="1">
      <c r="A5495" s="2" t="s">
        <v>9507</v>
      </c>
      <c r="B5495" s="2" t="s">
        <v>711</v>
      </c>
      <c r="C5495" s="31" t="s">
        <v>3457</v>
      </c>
      <c r="D5495" s="2" t="s">
        <v>30</v>
      </c>
      <c r="E5495" s="2" t="s">
        <v>626</v>
      </c>
      <c r="F5495" s="11"/>
      <c r="G5495" s="21"/>
      <c r="H5495" s="2" t="s">
        <v>3458</v>
      </c>
      <c r="I5495" s="12" t="s">
        <v>570</v>
      </c>
      <c r="J5495" s="41">
        <f>+Tabla1[[#This Row],[FECHA ENTRADA]]</f>
        <v>46082</v>
      </c>
      <c r="K5495" s="22">
        <v>46122</v>
      </c>
      <c r="L5495" s="42">
        <f>_xlfn.DAYS(Tabla1[[#This Row],[FECHA FIN ]],Tabla1[[#This Row],[FECHA INICIO]])</f>
        <v>40</v>
      </c>
      <c r="M5495" s="12"/>
      <c r="N5495" s="28">
        <v>300</v>
      </c>
      <c r="O5495" s="28">
        <f>(Tabla1[[#This Row],[COSTO FIJO ]]/30)*Tabla1[[#This Row],[TOTAL DIAS PROYECTO]]+(Tabla1[[#This Row],[COSTO TEMPORAL]])</f>
        <v>400</v>
      </c>
      <c r="P5495" s="12"/>
      <c r="Q5495" s="12">
        <f>+(Tabla1[[#This Row],[COSTO COCHE]]/30)*Tabla1[[#This Row],[TOTAL DIAS PROYECTO]]</f>
        <v>0</v>
      </c>
      <c r="R5495" s="12">
        <f>+Tabla1[[#This Row],[COSTO TOTAL ALOJAMIENTO]]+Tabla1[[#This Row],[COSTO TOTAL COCHE]]</f>
        <v>400</v>
      </c>
      <c r="S5495" s="2"/>
      <c r="T5495" s="14" t="s">
        <v>58</v>
      </c>
      <c r="U5495" s="14">
        <v>46082</v>
      </c>
      <c r="V5495" s="43"/>
      <c r="W5495" s="12"/>
      <c r="X5495" s="2"/>
      <c r="Y5495" s="11" t="s">
        <v>7336</v>
      </c>
      <c r="Z5495" s="2" t="s">
        <v>36</v>
      </c>
      <c r="AA5495" s="13" t="s">
        <v>10385</v>
      </c>
      <c r="AB5495" s="13" t="s">
        <v>10386</v>
      </c>
    </row>
    <row r="5496" spans="1:28" ht="15" customHeight="1">
      <c r="A5496" s="2" t="s">
        <v>9679</v>
      </c>
      <c r="B5496" s="2" t="s">
        <v>28</v>
      </c>
      <c r="C5496" s="118" t="s">
        <v>4190</v>
      </c>
      <c r="D5496" s="2" t="s">
        <v>749</v>
      </c>
      <c r="E5496" s="2" t="s">
        <v>288</v>
      </c>
      <c r="F5496" s="11" t="s">
        <v>4873</v>
      </c>
      <c r="G5496" s="128" t="s">
        <v>4752</v>
      </c>
      <c r="H5496" s="2" t="s">
        <v>7195</v>
      </c>
      <c r="I5496" s="12" t="s">
        <v>753</v>
      </c>
      <c r="J5496" s="330">
        <f>+Tabla1[[#This Row],[FECHA ENTRADA]]</f>
        <v>46191</v>
      </c>
      <c r="K5496" s="22">
        <f ca="1">TODAY()</f>
        <v>46260</v>
      </c>
      <c r="L5496" s="42">
        <f ca="1">_xlfn.DAYS(Tabla1[[#This Row],[FECHA FIN ]],Tabla1[[#This Row],[FECHA INICIO]])</f>
        <v>69</v>
      </c>
      <c r="M5496" s="12"/>
      <c r="N5496" s="12">
        <v>500</v>
      </c>
      <c r="O5496" s="24">
        <f ca="1">(Tabla1[[#This Row],[COSTO FIJO ]]/30)*Tabla1[[#This Row],[TOTAL DIAS PROYECTO]]+(Tabla1[[#This Row],[COSTO TEMPORAL]])</f>
        <v>1150</v>
      </c>
      <c r="P5496" s="12"/>
      <c r="Q5496" s="12">
        <f ca="1">+(Tabla1[[#This Row],[COSTO COCHE]]/30)*Tabla1[[#This Row],[TOTAL DIAS PROYECTO]]</f>
        <v>0</v>
      </c>
      <c r="R5496" s="12">
        <f ca="1">+Tabla1[[#This Row],[COSTO TOTAL ALOJAMIENTO]]+Tabla1[[#This Row],[COSTO TOTAL COCHE]]</f>
        <v>1150</v>
      </c>
      <c r="S5496" s="2"/>
      <c r="T5496" s="14" t="s">
        <v>35</v>
      </c>
      <c r="U5496" s="14">
        <v>46191</v>
      </c>
      <c r="V5496" s="79">
        <v>46266</v>
      </c>
      <c r="W5496" s="12"/>
      <c r="X5496" s="2">
        <v>1</v>
      </c>
      <c r="Y5496" s="165" t="s">
        <v>7587</v>
      </c>
      <c r="Z5496" s="2" t="s">
        <v>702</v>
      </c>
      <c r="AA5496" s="13" t="s">
        <v>10362</v>
      </c>
      <c r="AB5496" s="13" t="s">
        <v>10363</v>
      </c>
    </row>
    <row r="5497" spans="1:28" ht="15" customHeight="1">
      <c r="A5497" s="2" t="s">
        <v>9906</v>
      </c>
      <c r="B5497" s="2" t="s">
        <v>978</v>
      </c>
      <c r="C5497" s="31" t="s">
        <v>5325</v>
      </c>
      <c r="D5497" s="2" t="s">
        <v>99</v>
      </c>
      <c r="E5497" s="2" t="s">
        <v>380</v>
      </c>
      <c r="F5497" s="11" t="s">
        <v>7588</v>
      </c>
      <c r="G5497" s="49"/>
      <c r="H5497" s="2" t="s">
        <v>1799</v>
      </c>
      <c r="I5497" s="12" t="s">
        <v>5328</v>
      </c>
      <c r="J5497" s="22">
        <f>+Tabla1[[#This Row],[FECHA ENTRADA]]</f>
        <v>45978</v>
      </c>
      <c r="K5497" s="22">
        <v>46230</v>
      </c>
      <c r="L5497" s="23">
        <f>_xlfn.DAYS(Tabla1[[#This Row],[FECHA FIN ]],Tabla1[[#This Row],[FECHA INICIO]])</f>
        <v>252</v>
      </c>
      <c r="M5497" s="12"/>
      <c r="N5497" s="24">
        <v>300</v>
      </c>
      <c r="O5497" s="24">
        <f>(Tabla1[[#This Row],[COSTO FIJO ]]/30)*Tabla1[[#This Row],[TOTAL DIAS PROYECTO]]+(Tabla1[[#This Row],[COSTO TEMPORAL]])</f>
        <v>2520</v>
      </c>
      <c r="P5497" s="12"/>
      <c r="Q5497" s="12">
        <f>+(Tabla1[[#This Row],[COSTO COCHE]]/30)*Tabla1[[#This Row],[TOTAL DIAS PROYECTO]]</f>
        <v>0</v>
      </c>
      <c r="R5497" s="12">
        <f>+Tabla1[[#This Row],[COSTO TOTAL ALOJAMIENTO]]+Tabla1[[#This Row],[COSTO TOTAL COCHE]]</f>
        <v>2520</v>
      </c>
      <c r="S5497" s="2"/>
      <c r="T5497" s="14" t="s">
        <v>58</v>
      </c>
      <c r="U5497" s="14">
        <v>45978</v>
      </c>
      <c r="V5497" s="25"/>
      <c r="W5497" s="71"/>
      <c r="X5497" s="2"/>
      <c r="Y5497" s="11" t="s">
        <v>7589</v>
      </c>
      <c r="Z5497" s="2" t="s">
        <v>36</v>
      </c>
      <c r="AA5497" s="13" t="s">
        <v>10370</v>
      </c>
      <c r="AB5497" s="13" t="s">
        <v>10371</v>
      </c>
    </row>
    <row r="5498" spans="1:28" ht="15" customHeight="1">
      <c r="A5498" s="2" t="s">
        <v>9691</v>
      </c>
      <c r="B5498" s="2" t="s">
        <v>28</v>
      </c>
      <c r="C5498" s="11" t="s">
        <v>4256</v>
      </c>
      <c r="D5498" s="2" t="s">
        <v>99</v>
      </c>
      <c r="E5498" s="2" t="s">
        <v>127</v>
      </c>
      <c r="F5498" s="11" t="s">
        <v>1643</v>
      </c>
      <c r="G5498" s="49" t="s">
        <v>1644</v>
      </c>
      <c r="H5498" s="2" t="s">
        <v>1605</v>
      </c>
      <c r="I5498" s="12" t="s">
        <v>96</v>
      </c>
      <c r="J5498" s="22">
        <f>+Tabla1[[#This Row],[FECHA ENTRADA]]</f>
        <v>45731</v>
      </c>
      <c r="K5498" s="22">
        <v>45821</v>
      </c>
      <c r="L5498" s="23">
        <f>_xlfn.DAYS(Tabla1[[#This Row],[FECHA FIN ]],Tabla1[[#This Row],[FECHA INICIO]])</f>
        <v>90</v>
      </c>
      <c r="M5498" s="12"/>
      <c r="N5498" s="12"/>
      <c r="O5498" s="24">
        <f>(Tabla1[[#This Row],[COSTO FIJO ]]/30)*Tabla1[[#This Row],[TOTAL DIAS PROYECTO]]+(Tabla1[[#This Row],[COSTO TEMPORAL]])</f>
        <v>0</v>
      </c>
      <c r="P5498" s="12"/>
      <c r="Q5498" s="12">
        <f>+(Tabla1[[#This Row],[COSTO COCHE]]/30)*Tabla1[[#This Row],[TOTAL DIAS PROYECTO]]</f>
        <v>0</v>
      </c>
      <c r="R5498" s="12">
        <f>+Tabla1[[#This Row],[COSTO TOTAL ALOJAMIENTO]]+Tabla1[[#This Row],[COSTO TOTAL COCHE]]</f>
        <v>0</v>
      </c>
      <c r="S5498" s="2" t="s">
        <v>403</v>
      </c>
      <c r="T5498" s="2" t="s">
        <v>44</v>
      </c>
      <c r="U5498" s="14">
        <v>45731</v>
      </c>
      <c r="V5498" s="25">
        <v>45732</v>
      </c>
      <c r="W5498" s="26"/>
      <c r="X5498" s="2"/>
      <c r="Y5498" s="11" t="s">
        <v>1166</v>
      </c>
      <c r="Z5498" s="2" t="s">
        <v>36</v>
      </c>
      <c r="AA5498" s="13" t="s">
        <v>10342</v>
      </c>
      <c r="AB5498" s="13" t="s">
        <v>10343</v>
      </c>
    </row>
    <row r="5499" spans="1:28" ht="15" customHeight="1">
      <c r="A5499" s="2" t="s">
        <v>10146</v>
      </c>
      <c r="B5499" s="2" t="s">
        <v>711</v>
      </c>
      <c r="C5499" s="31" t="s">
        <v>6635</v>
      </c>
      <c r="D5499" s="2" t="s">
        <v>99</v>
      </c>
      <c r="E5499" s="2" t="s">
        <v>1987</v>
      </c>
      <c r="F5499" s="11"/>
      <c r="G5499" s="21"/>
      <c r="H5499" s="2" t="s">
        <v>6636</v>
      </c>
      <c r="I5499" s="12" t="s">
        <v>3769</v>
      </c>
      <c r="J5499" s="22">
        <f>+Tabla1[[#This Row],[FECHA ENTRADA]]</f>
        <v>46042</v>
      </c>
      <c r="K5499" s="22">
        <v>46234</v>
      </c>
      <c r="L5499" s="23">
        <f>_xlfn.DAYS(Tabla1[[#This Row],[FECHA FIN ]],Tabla1[[#This Row],[FECHA INICIO]])</f>
        <v>192</v>
      </c>
      <c r="M5499" s="12"/>
      <c r="N5499" s="20">
        <v>300</v>
      </c>
      <c r="O5499" s="24">
        <f>(Tabla1[[#This Row],[COSTO FIJO ]]/30)*Tabla1[[#This Row],[TOTAL DIAS PROYECTO]]+(Tabla1[[#This Row],[COSTO TEMPORAL]])</f>
        <v>1920</v>
      </c>
      <c r="P5499" s="12"/>
      <c r="Q5499" s="12">
        <f>+(Tabla1[[#This Row],[COSTO COCHE]]/30)*Tabla1[[#This Row],[TOTAL DIAS PROYECTO]]</f>
        <v>0</v>
      </c>
      <c r="R5499" s="12">
        <f>+Tabla1[[#This Row],[COSTO TOTAL ALOJAMIENTO]]+Tabla1[[#This Row],[COSTO TOTAL COCHE]]</f>
        <v>1920</v>
      </c>
      <c r="S5499" s="2"/>
      <c r="T5499" s="14" t="s">
        <v>58</v>
      </c>
      <c r="U5499" s="14">
        <v>46042</v>
      </c>
      <c r="V5499" s="79"/>
      <c r="W5499" s="12"/>
      <c r="X5499" s="2"/>
      <c r="Y5499" s="11" t="s">
        <v>7590</v>
      </c>
      <c r="Z5499" s="2" t="s">
        <v>36</v>
      </c>
      <c r="AA5499" s="13" t="s">
        <v>10435</v>
      </c>
      <c r="AB5499" s="13">
        <v>42.136150000000001</v>
      </c>
    </row>
    <row r="5500" spans="1:28" ht="15" customHeight="1">
      <c r="A5500" s="2" t="s">
        <v>9406</v>
      </c>
      <c r="B5500" s="2" t="s">
        <v>711</v>
      </c>
      <c r="C5500" s="321" t="s">
        <v>3075</v>
      </c>
      <c r="D5500" s="2" t="s">
        <v>99</v>
      </c>
      <c r="E5500" s="2" t="s">
        <v>253</v>
      </c>
      <c r="F5500" s="11" t="s">
        <v>1688</v>
      </c>
      <c r="G5500" s="49" t="s">
        <v>1689</v>
      </c>
      <c r="H5500" s="2" t="s">
        <v>5449</v>
      </c>
      <c r="I5500" s="12" t="s">
        <v>2321</v>
      </c>
      <c r="J5500" s="22">
        <f>+Tabla1[[#This Row],[FECHA ENTRADA]]</f>
        <v>45959</v>
      </c>
      <c r="K5500" s="22">
        <v>46099</v>
      </c>
      <c r="L5500" s="23">
        <f>_xlfn.DAYS(Tabla1[[#This Row],[FECHA FIN ]],Tabla1[[#This Row],[FECHA INICIO]])</f>
        <v>140</v>
      </c>
      <c r="M5500" s="12"/>
      <c r="N5500" s="20">
        <v>480</v>
      </c>
      <c r="O5500" s="24">
        <f>(Tabla1[[#This Row],[COSTO FIJO ]]/30)*Tabla1[[#This Row],[TOTAL DIAS PROYECTO]]+(Tabla1[[#This Row],[COSTO TEMPORAL]])</f>
        <v>2240</v>
      </c>
      <c r="P5500" s="12"/>
      <c r="Q5500" s="12">
        <f>+(Tabla1[[#This Row],[COSTO COCHE]]/30)*Tabla1[[#This Row],[TOTAL DIAS PROYECTO]]</f>
        <v>0</v>
      </c>
      <c r="R5500" s="12">
        <f>+Tabla1[[#This Row],[COSTO TOTAL ALOJAMIENTO]]+Tabla1[[#This Row],[COSTO TOTAL COCHE]]</f>
        <v>2240</v>
      </c>
      <c r="S5500" s="2"/>
      <c r="T5500" s="14" t="s">
        <v>35</v>
      </c>
      <c r="U5500" s="14">
        <v>45959</v>
      </c>
      <c r="V5500" s="79"/>
      <c r="W5500" s="12"/>
      <c r="X5500" s="2">
        <v>18</v>
      </c>
      <c r="Y5500" s="11" t="s">
        <v>7591</v>
      </c>
      <c r="Z5500" s="2" t="s">
        <v>36</v>
      </c>
      <c r="AA5500" s="13" t="s">
        <v>10357</v>
      </c>
      <c r="AB5500" s="13" t="s">
        <v>10358</v>
      </c>
    </row>
    <row r="5501" spans="1:28" ht="15" customHeight="1">
      <c r="A5501" s="2" t="s">
        <v>9691</v>
      </c>
      <c r="B5501" s="2" t="s">
        <v>28</v>
      </c>
      <c r="C5501" s="11" t="s">
        <v>4256</v>
      </c>
      <c r="D5501" s="2" t="s">
        <v>99</v>
      </c>
      <c r="E5501" s="2" t="s">
        <v>127</v>
      </c>
      <c r="F5501" s="11" t="s">
        <v>820</v>
      </c>
      <c r="G5501" s="21" t="s">
        <v>1234</v>
      </c>
      <c r="H5501" s="2" t="s">
        <v>1605</v>
      </c>
      <c r="I5501" s="12" t="s">
        <v>96</v>
      </c>
      <c r="J5501" s="22">
        <f>+Tabla1[[#This Row],[FECHA ENTRADA]]</f>
        <v>45732</v>
      </c>
      <c r="K5501" s="22">
        <v>45821</v>
      </c>
      <c r="L5501" s="23">
        <f>_xlfn.DAYS(Tabla1[[#This Row],[FECHA FIN ]],Tabla1[[#This Row],[FECHA INICIO]])</f>
        <v>89</v>
      </c>
      <c r="M5501" s="12"/>
      <c r="N5501" s="12"/>
      <c r="O5501" s="24">
        <f>(Tabla1[[#This Row],[COSTO FIJO ]]/30)*Tabla1[[#This Row],[TOTAL DIAS PROYECTO]]+(Tabla1[[#This Row],[COSTO TEMPORAL]])</f>
        <v>0</v>
      </c>
      <c r="P5501" s="12"/>
      <c r="Q5501" s="12">
        <f>+(Tabla1[[#This Row],[COSTO COCHE]]/30)*Tabla1[[#This Row],[TOTAL DIAS PROYECTO]]</f>
        <v>0</v>
      </c>
      <c r="R5501" s="12">
        <f>+Tabla1[[#This Row],[COSTO TOTAL ALOJAMIENTO]]+Tabla1[[#This Row],[COSTO TOTAL COCHE]]</f>
        <v>0</v>
      </c>
      <c r="S5501" s="2"/>
      <c r="T5501" s="2" t="s">
        <v>44</v>
      </c>
      <c r="U5501" s="14">
        <v>45732</v>
      </c>
      <c r="V5501" s="25">
        <v>45768</v>
      </c>
      <c r="W5501" s="26"/>
      <c r="X5501" s="2"/>
      <c r="Y5501" s="11"/>
      <c r="Z5501" s="2" t="s">
        <v>36</v>
      </c>
      <c r="AA5501" s="13" t="s">
        <v>10342</v>
      </c>
      <c r="AB5501" s="13" t="s">
        <v>10343</v>
      </c>
    </row>
    <row r="5502" spans="1:28" ht="15" customHeight="1">
      <c r="A5502" s="2" t="s">
        <v>8888</v>
      </c>
      <c r="B5502" s="2" t="s">
        <v>711</v>
      </c>
      <c r="C5502" s="31" t="s">
        <v>1170</v>
      </c>
      <c r="D5502" s="2" t="s">
        <v>30</v>
      </c>
      <c r="E5502" s="2" t="s">
        <v>87</v>
      </c>
      <c r="F5502" s="11" t="s">
        <v>1668</v>
      </c>
      <c r="G5502" s="21" t="s">
        <v>1669</v>
      </c>
      <c r="H5502" s="2" t="s">
        <v>6143</v>
      </c>
      <c r="I5502" s="12" t="s">
        <v>1392</v>
      </c>
      <c r="J5502" s="22">
        <f>+Tabla1[[#This Row],[FECHA ENTRADA]]</f>
        <v>45978</v>
      </c>
      <c r="K5502" s="22">
        <v>46154</v>
      </c>
      <c r="L5502" s="23">
        <f>_xlfn.DAYS(Tabla1[[#This Row],[FECHA FIN ]],Tabla1[[#This Row],[FECHA INICIO]])</f>
        <v>176</v>
      </c>
      <c r="M5502" s="12"/>
      <c r="N5502" s="20">
        <v>412.6</v>
      </c>
      <c r="O5502" s="24">
        <f>(Tabla1[[#This Row],[COSTO FIJO ]]/30)*Tabla1[[#This Row],[TOTAL DIAS PROYECTO]]+(Tabla1[[#This Row],[COSTO TEMPORAL]])</f>
        <v>2420.5866666666666</v>
      </c>
      <c r="P5502" s="12"/>
      <c r="Q5502" s="12">
        <f>+(Tabla1[[#This Row],[COSTO COCHE]]/30)*Tabla1[[#This Row],[TOTAL DIAS PROYECTO]]</f>
        <v>0</v>
      </c>
      <c r="R5502" s="12">
        <f>+Tabla1[[#This Row],[COSTO TOTAL ALOJAMIENTO]]+Tabla1[[#This Row],[COSTO TOTAL COCHE]]</f>
        <v>2420.5866666666666</v>
      </c>
      <c r="S5502" s="2"/>
      <c r="T5502" s="14" t="s">
        <v>35</v>
      </c>
      <c r="U5502" s="14">
        <v>45978</v>
      </c>
      <c r="V5502" s="25"/>
      <c r="W5502" s="12"/>
      <c r="X5502" s="2">
        <v>15</v>
      </c>
      <c r="Y5502" s="11" t="s">
        <v>7592</v>
      </c>
      <c r="Z5502" s="2" t="s">
        <v>36</v>
      </c>
      <c r="AA5502" s="13" t="s">
        <v>10335</v>
      </c>
      <c r="AB5502" s="13">
        <v>404.16500000000002</v>
      </c>
    </row>
    <row r="5503" spans="1:28" ht="15" customHeight="1">
      <c r="A5503" s="2" t="s">
        <v>10262</v>
      </c>
      <c r="B5503" s="2" t="s">
        <v>978</v>
      </c>
      <c r="C5503" s="11" t="s">
        <v>7593</v>
      </c>
      <c r="D5503" s="2" t="s">
        <v>30</v>
      </c>
      <c r="E5503" s="2" t="s">
        <v>380</v>
      </c>
      <c r="F5503" s="11" t="s">
        <v>5246</v>
      </c>
      <c r="G5503" s="197" t="s">
        <v>2237</v>
      </c>
      <c r="H5503" s="2" t="s">
        <v>7594</v>
      </c>
      <c r="I5503" s="12" t="s">
        <v>5328</v>
      </c>
      <c r="J5503" s="22">
        <f>+Tabla1[[#This Row],[FECHA ENTRADA]]</f>
        <v>45867</v>
      </c>
      <c r="K5503" s="22">
        <v>45978</v>
      </c>
      <c r="L5503" s="23">
        <f>_xlfn.DAYS(Tabla1[[#This Row],[FECHA FIN ]],Tabla1[[#This Row],[FECHA INICIO]])</f>
        <v>111</v>
      </c>
      <c r="M5503" s="12"/>
      <c r="N5503" s="24">
        <v>266.66666666666669</v>
      </c>
      <c r="O5503" s="24">
        <f>(Tabla1[[#This Row],[COSTO FIJO ]]/30)*Tabla1[[#This Row],[TOTAL DIAS PROYECTO]]+(Tabla1[[#This Row],[COSTO TEMPORAL]])</f>
        <v>986.66666666666674</v>
      </c>
      <c r="P5503" s="12"/>
      <c r="Q5503" s="12">
        <f>+(Tabla1[[#This Row],[COSTO COCHE]]/30)*Tabla1[[#This Row],[TOTAL DIAS PROYECTO]]</f>
        <v>0</v>
      </c>
      <c r="R5503" s="12">
        <f>+Tabla1[[#This Row],[COSTO TOTAL ALOJAMIENTO]]+Tabla1[[#This Row],[COSTO TOTAL COCHE]]</f>
        <v>986.66666666666674</v>
      </c>
      <c r="S5503" s="2"/>
      <c r="T5503" s="14" t="s">
        <v>35</v>
      </c>
      <c r="U5503" s="14">
        <v>45867</v>
      </c>
      <c r="V5503" s="25"/>
      <c r="W5503" s="12"/>
      <c r="X5503" s="2">
        <v>17</v>
      </c>
      <c r="Y5503" s="11" t="s">
        <v>6079</v>
      </c>
      <c r="Z5503" s="2" t="s">
        <v>36</v>
      </c>
      <c r="AA5503" s="13" t="s">
        <v>10370</v>
      </c>
      <c r="AB5503" s="13" t="s">
        <v>10371</v>
      </c>
    </row>
    <row r="5504" spans="1:28" ht="15" customHeight="1">
      <c r="A5504" s="2" t="s">
        <v>9656</v>
      </c>
      <c r="B5504" s="2" t="s">
        <v>28</v>
      </c>
      <c r="C5504" s="118" t="s">
        <v>4088</v>
      </c>
      <c r="D5504" s="2" t="s">
        <v>749</v>
      </c>
      <c r="E5504" s="2" t="s">
        <v>288</v>
      </c>
      <c r="F5504" s="11" t="s">
        <v>4873</v>
      </c>
      <c r="G5504" s="128" t="s">
        <v>4752</v>
      </c>
      <c r="H5504" s="2" t="s">
        <v>3675</v>
      </c>
      <c r="I5504" s="10" t="s">
        <v>753</v>
      </c>
      <c r="J5504" s="330">
        <f>+Tabla1[[#This Row],[FECHA ENTRADA]]</f>
        <v>46191</v>
      </c>
      <c r="K5504" s="22">
        <f ca="1">TODAY()</f>
        <v>46260</v>
      </c>
      <c r="L5504" s="42">
        <f ca="1">_xlfn.DAYS(Tabla1[[#This Row],[FECHA FIN ]],Tabla1[[#This Row],[FECHA INICIO]])</f>
        <v>69</v>
      </c>
      <c r="M5504" s="12"/>
      <c r="N5504" s="12">
        <v>500</v>
      </c>
      <c r="O5504" s="24">
        <f ca="1">(Tabla1[[#This Row],[COSTO FIJO ]]/30)*Tabla1[[#This Row],[TOTAL DIAS PROYECTO]]+(Tabla1[[#This Row],[COSTO TEMPORAL]])</f>
        <v>1150</v>
      </c>
      <c r="P5504" s="12"/>
      <c r="Q5504" s="12">
        <f ca="1">+(Tabla1[[#This Row],[COSTO COCHE]]/30)*Tabla1[[#This Row],[TOTAL DIAS PROYECTO]]</f>
        <v>0</v>
      </c>
      <c r="R5504" s="12">
        <f ca="1">+Tabla1[[#This Row],[COSTO TOTAL ALOJAMIENTO]]+Tabla1[[#This Row],[COSTO TOTAL COCHE]]</f>
        <v>1150</v>
      </c>
      <c r="S5504" s="2"/>
      <c r="T5504" s="14" t="s">
        <v>35</v>
      </c>
      <c r="U5504" s="14">
        <v>46191</v>
      </c>
      <c r="V5504" s="79">
        <v>46266</v>
      </c>
      <c r="W5504" s="12"/>
      <c r="X5504" s="2">
        <v>1</v>
      </c>
      <c r="Y5504" s="165" t="s">
        <v>7587</v>
      </c>
      <c r="Z5504" s="2" t="s">
        <v>702</v>
      </c>
      <c r="AA5504" s="13" t="s">
        <v>10362</v>
      </c>
      <c r="AB5504" s="13" t="s">
        <v>10363</v>
      </c>
    </row>
    <row r="5505" spans="1:28" ht="15" customHeight="1">
      <c r="A5505" s="2" t="s">
        <v>10038</v>
      </c>
      <c r="B5505" s="2" t="s">
        <v>711</v>
      </c>
      <c r="C5505" s="31" t="s">
        <v>6020</v>
      </c>
      <c r="D5505" s="2" t="s">
        <v>30</v>
      </c>
      <c r="E5505" s="2" t="s">
        <v>985</v>
      </c>
      <c r="F5505" s="11" t="s">
        <v>6092</v>
      </c>
      <c r="G5505" s="21" t="s">
        <v>7595</v>
      </c>
      <c r="H5505" s="2" t="s">
        <v>7596</v>
      </c>
      <c r="I5505" s="12" t="s">
        <v>989</v>
      </c>
      <c r="J5505" s="22">
        <f>+Tabla1[[#This Row],[FECHA ENTRADA]]</f>
        <v>46161</v>
      </c>
      <c r="K5505" s="22">
        <v>46190</v>
      </c>
      <c r="L5505" s="23">
        <f>_xlfn.DAYS(Tabla1[[#This Row],[FECHA FIN ]],Tabla1[[#This Row],[FECHA INICIO]])</f>
        <v>29</v>
      </c>
      <c r="M5505" s="12">
        <f>35*7</f>
        <v>245</v>
      </c>
      <c r="N5505" s="20"/>
      <c r="O5505" s="24">
        <f>(Tabla1[[#This Row],[COSTO FIJO ]]/30)*Tabla1[[#This Row],[TOTAL DIAS PROYECTO]]+(Tabla1[[#This Row],[COSTO TEMPORAL]])</f>
        <v>245</v>
      </c>
      <c r="P5505" s="12"/>
      <c r="Q5505" s="12">
        <f>+(Tabla1[[#This Row],[COSTO COCHE]]/30)*Tabla1[[#This Row],[TOTAL DIAS PROYECTO]]</f>
        <v>0</v>
      </c>
      <c r="R5505" s="12">
        <f>+Tabla1[[#This Row],[COSTO TOTAL ALOJAMIENTO]]+Tabla1[[#This Row],[COSTO TOTAL COCHE]]</f>
        <v>245</v>
      </c>
      <c r="S5505" s="2"/>
      <c r="T5505" s="14" t="s">
        <v>44</v>
      </c>
      <c r="U5505" s="14">
        <v>46161</v>
      </c>
      <c r="V5505" s="79">
        <v>46196</v>
      </c>
      <c r="W5505" s="12"/>
      <c r="X5505" s="2"/>
      <c r="Y5505" s="11" t="s">
        <v>7597</v>
      </c>
      <c r="Z5505" s="2" t="s">
        <v>36</v>
      </c>
      <c r="AA5505" s="13" t="s">
        <v>10407</v>
      </c>
      <c r="AB5505" s="13" t="s">
        <v>10408</v>
      </c>
    </row>
    <row r="5506" spans="1:28" ht="15" customHeight="1">
      <c r="A5506" s="2" t="s">
        <v>10196</v>
      </c>
      <c r="B5506" s="2" t="s">
        <v>606</v>
      </c>
      <c r="C5506" s="31" t="s">
        <v>7064</v>
      </c>
      <c r="D5506" s="2" t="s">
        <v>30</v>
      </c>
      <c r="E5506" s="2" t="s">
        <v>648</v>
      </c>
      <c r="F5506" s="11" t="s">
        <v>7598</v>
      </c>
      <c r="G5506" s="11" t="s">
        <v>7599</v>
      </c>
      <c r="H5506" s="2" t="s">
        <v>4662</v>
      </c>
      <c r="I5506" s="12" t="s">
        <v>4663</v>
      </c>
      <c r="J5506" s="41">
        <f>+Tabla1[[#This Row],[FECHA ENTRADA]]</f>
        <v>46172</v>
      </c>
      <c r="K5506" s="22">
        <v>46196</v>
      </c>
      <c r="L5506" s="42">
        <f>_xlfn.DAYS(Tabla1[[#This Row],[FECHA FIN ]],Tabla1[[#This Row],[FECHA INICIO]])</f>
        <v>24</v>
      </c>
      <c r="M5506" s="12">
        <f>85+(595/4)+330/2</f>
        <v>398.75</v>
      </c>
      <c r="N5506" s="28"/>
      <c r="O5506" s="28">
        <f>(Tabla1[[#This Row],[COSTO FIJO ]]/30)*Tabla1[[#This Row],[TOTAL DIAS PROYECTO]]+(Tabla1[[#This Row],[COSTO TEMPORAL]])</f>
        <v>398.75</v>
      </c>
      <c r="P5506" s="12"/>
      <c r="Q5506" s="12">
        <f>+(Tabla1[[#This Row],[COSTO COCHE]]/30)*Tabla1[[#This Row],[TOTAL DIAS PROYECTO]]</f>
        <v>0</v>
      </c>
      <c r="R5506" s="12">
        <f>+Tabla1[[#This Row],[COSTO TOTAL ALOJAMIENTO]]+Tabla1[[#This Row],[COSTO TOTAL COCHE]]</f>
        <v>398.75</v>
      </c>
      <c r="S5506" s="2"/>
      <c r="T5506" s="14" t="s">
        <v>44</v>
      </c>
      <c r="U5506" s="14">
        <v>46172</v>
      </c>
      <c r="V5506" s="43">
        <v>46196</v>
      </c>
      <c r="W5506" s="12"/>
      <c r="X5506" s="2"/>
      <c r="Y5506" s="11" t="s">
        <v>7600</v>
      </c>
      <c r="Z5506" s="2" t="s">
        <v>36</v>
      </c>
      <c r="AA5506" s="13" t="s">
        <v>10387</v>
      </c>
      <c r="AB5506" s="13" t="s">
        <v>10388</v>
      </c>
    </row>
    <row r="5507" spans="1:28" ht="15" customHeight="1">
      <c r="A5507" s="2" t="s">
        <v>8642</v>
      </c>
      <c r="B5507" s="11" t="s">
        <v>3133</v>
      </c>
      <c r="C5507" s="322" t="s">
        <v>7601</v>
      </c>
      <c r="D5507" s="2" t="s">
        <v>749</v>
      </c>
      <c r="E5507" s="2" t="s">
        <v>288</v>
      </c>
      <c r="F5507" s="11" t="s">
        <v>6601</v>
      </c>
      <c r="G5507" s="70" t="s">
        <v>1142</v>
      </c>
      <c r="H5507" s="2" t="s">
        <v>7585</v>
      </c>
      <c r="I5507" s="10" t="s">
        <v>753</v>
      </c>
      <c r="J5507" s="22">
        <f>+Tabla1[[#This Row],[FECHA ENTRADA]]</f>
        <v>46167</v>
      </c>
      <c r="K5507" s="22">
        <f ca="1">TODAY()</f>
        <v>46260</v>
      </c>
      <c r="L5507" s="23">
        <f ca="1">_xlfn.DAYS(Tabla1[[#This Row],[FECHA FIN ]],Tabla1[[#This Row],[FECHA INICIO]])</f>
        <v>93</v>
      </c>
      <c r="M5507" s="12"/>
      <c r="N5507" s="20">
        <v>325.5</v>
      </c>
      <c r="O5507" s="24">
        <f ca="1">(Tabla1[[#This Row],[COSTO FIJO ]]/30)*Tabla1[[#This Row],[TOTAL DIAS PROYECTO]]+(Tabla1[[#This Row],[COSTO TEMPORAL]])</f>
        <v>1009.05</v>
      </c>
      <c r="P5507" s="12"/>
      <c r="Q5507" s="12">
        <f ca="1">+(Tabla1[[#This Row],[COSTO COCHE]]/30)*Tabla1[[#This Row],[TOTAL DIAS PROYECTO]]</f>
        <v>0</v>
      </c>
      <c r="R5507" s="12">
        <f ca="1">+Tabla1[[#This Row],[COSTO TOTAL ALOJAMIENTO]]+Tabla1[[#This Row],[COSTO TOTAL COCHE]]</f>
        <v>1009.05</v>
      </c>
      <c r="S5507" s="2"/>
      <c r="T5507" s="14" t="s">
        <v>35</v>
      </c>
      <c r="U5507" s="14">
        <v>46167</v>
      </c>
      <c r="V5507" s="25">
        <v>46174</v>
      </c>
      <c r="W5507" s="12"/>
      <c r="X5507" s="2">
        <v>1</v>
      </c>
      <c r="Y5507" s="11"/>
      <c r="Z5507" s="2" t="s">
        <v>702</v>
      </c>
      <c r="AA5507" s="13" t="s">
        <v>10362</v>
      </c>
      <c r="AB5507" s="13" t="s">
        <v>10363</v>
      </c>
    </row>
    <row r="5508" spans="1:28" ht="15" customHeight="1">
      <c r="A5508" s="2" t="s">
        <v>10263</v>
      </c>
      <c r="B5508" s="2" t="s">
        <v>606</v>
      </c>
      <c r="C5508" s="195" t="s">
        <v>7602</v>
      </c>
      <c r="D5508" s="2" t="s">
        <v>30</v>
      </c>
      <c r="E5508" s="2" t="s">
        <v>31</v>
      </c>
      <c r="F5508" s="11"/>
      <c r="G5508" s="11"/>
      <c r="H5508" s="2" t="s">
        <v>3730</v>
      </c>
      <c r="I5508" s="12" t="s">
        <v>385</v>
      </c>
      <c r="J5508" s="8">
        <f>+Tabla1[[#This Row],[FECHA ENTRADA]]</f>
        <v>45368</v>
      </c>
      <c r="K5508" s="8">
        <v>46118</v>
      </c>
      <c r="L5508" s="13">
        <f>_xlfn.DAYS(Tabla1[[#This Row],[FECHA FIN ]],Tabla1[[#This Row],[FECHA INICIO]])</f>
        <v>750</v>
      </c>
      <c r="M5508" s="12"/>
      <c r="N5508" s="28">
        <v>300</v>
      </c>
      <c r="O5508" s="12">
        <f>(Tabla1[[#This Row],[COSTO FIJO ]]/30)*Tabla1[[#This Row],[TOTAL DIAS PROYECTO]]+(Tabla1[[#This Row],[COSTO TEMPORAL]])</f>
        <v>7500</v>
      </c>
      <c r="P5508" s="12"/>
      <c r="Q5508" s="12">
        <f>+(Tabla1[[#This Row],[COSTO COCHE]]/30)*Tabla1[[#This Row],[TOTAL DIAS PROYECTO]]</f>
        <v>0</v>
      </c>
      <c r="R5508" s="12">
        <f>+Tabla1[[#This Row],[COSTO TOTAL ALOJAMIENTO]]+Tabla1[[#This Row],[COSTO TOTAL COCHE]]</f>
        <v>7500</v>
      </c>
      <c r="S5508" s="2"/>
      <c r="T5508" s="2" t="s">
        <v>58</v>
      </c>
      <c r="U5508" s="14">
        <v>45368</v>
      </c>
      <c r="V5508" s="14"/>
      <c r="W5508" s="15"/>
      <c r="X5508" s="16">
        <v>12</v>
      </c>
      <c r="Y5508" s="11" t="s">
        <v>7603</v>
      </c>
      <c r="Z5508" s="2" t="s">
        <v>36</v>
      </c>
      <c r="AA5508" s="13" t="s">
        <v>10323</v>
      </c>
      <c r="AB5508" s="13" t="s">
        <v>10324</v>
      </c>
    </row>
    <row r="5509" spans="1:28" ht="15" customHeight="1">
      <c r="A5509" s="2" t="s">
        <v>8890</v>
      </c>
      <c r="B5509" s="2" t="s">
        <v>28</v>
      </c>
      <c r="C5509" s="195" t="s">
        <v>1172</v>
      </c>
      <c r="D5509" s="2" t="s">
        <v>749</v>
      </c>
      <c r="E5509" s="2" t="s">
        <v>288</v>
      </c>
      <c r="F5509" s="11" t="s">
        <v>4873</v>
      </c>
      <c r="G5509" s="128" t="s">
        <v>4752</v>
      </c>
      <c r="H5509" s="2" t="s">
        <v>3333</v>
      </c>
      <c r="I5509" s="29" t="s">
        <v>753</v>
      </c>
      <c r="J5509" s="330">
        <f>+Tabla1[[#This Row],[FECHA ENTRADA]]</f>
        <v>46191</v>
      </c>
      <c r="K5509" s="22">
        <v>46199</v>
      </c>
      <c r="L5509" s="42">
        <f>_xlfn.DAYS(Tabla1[[#This Row],[FECHA FIN ]],Tabla1[[#This Row],[FECHA INICIO]])</f>
        <v>8</v>
      </c>
      <c r="M5509" s="12"/>
      <c r="N5509" s="12">
        <v>500</v>
      </c>
      <c r="O5509" s="28">
        <f>(Tabla1[[#This Row],[COSTO FIJO ]]/30)*Tabla1[[#This Row],[TOTAL DIAS PROYECTO]]+(Tabla1[[#This Row],[COSTO TEMPORAL]])</f>
        <v>133.33333333333334</v>
      </c>
      <c r="P5509" s="12"/>
      <c r="Q5509" s="12">
        <f>+(Tabla1[[#This Row],[COSTO COCHE]]/30)*Tabla1[[#This Row],[TOTAL DIAS PROYECTO]]</f>
        <v>0</v>
      </c>
      <c r="R5509" s="12">
        <f>+Tabla1[[#This Row],[COSTO TOTAL ALOJAMIENTO]]+Tabla1[[#This Row],[COSTO TOTAL COCHE]]</f>
        <v>133.33333333333334</v>
      </c>
      <c r="S5509" s="2"/>
      <c r="T5509" s="14" t="s">
        <v>35</v>
      </c>
      <c r="U5509" s="14">
        <v>46191</v>
      </c>
      <c r="V5509" s="79">
        <v>46235</v>
      </c>
      <c r="W5509" s="12"/>
      <c r="X5509" s="2">
        <v>1</v>
      </c>
      <c r="Y5509" s="165" t="s">
        <v>7604</v>
      </c>
      <c r="Z5509" s="2" t="s">
        <v>36</v>
      </c>
      <c r="AA5509" s="13" t="s">
        <v>10362</v>
      </c>
      <c r="AB5509" s="13" t="s">
        <v>10363</v>
      </c>
    </row>
    <row r="5510" spans="1:28" ht="15" customHeight="1">
      <c r="A5510" s="2" t="s">
        <v>9810</v>
      </c>
      <c r="B5510" s="2" t="s">
        <v>711</v>
      </c>
      <c r="C5510" s="31" t="s">
        <v>4854</v>
      </c>
      <c r="D5510" s="2" t="s">
        <v>99</v>
      </c>
      <c r="E5510" s="2" t="s">
        <v>626</v>
      </c>
      <c r="F5510" s="11"/>
      <c r="G5510" s="46"/>
      <c r="H5510" s="2" t="s">
        <v>7605</v>
      </c>
      <c r="I5510" s="12" t="s">
        <v>570</v>
      </c>
      <c r="J5510" s="41">
        <f>+Tabla1[[#This Row],[FECHA ENTRADA]]</f>
        <v>46091</v>
      </c>
      <c r="K5510" s="22">
        <v>46122</v>
      </c>
      <c r="L5510" s="42">
        <f>_xlfn.DAYS(Tabla1[[#This Row],[FECHA FIN ]],Tabla1[[#This Row],[FECHA INICIO]])</f>
        <v>31</v>
      </c>
      <c r="M5510" s="12"/>
      <c r="N5510" s="28">
        <v>300</v>
      </c>
      <c r="O5510" s="28">
        <f>(Tabla1[[#This Row],[COSTO FIJO ]]/30)*Tabla1[[#This Row],[TOTAL DIAS PROYECTO]]+(Tabla1[[#This Row],[COSTO TEMPORAL]])</f>
        <v>310</v>
      </c>
      <c r="P5510" s="12"/>
      <c r="Q5510" s="12">
        <f>+(Tabla1[[#This Row],[COSTO COCHE]]/30)*Tabla1[[#This Row],[TOTAL DIAS PROYECTO]]</f>
        <v>0</v>
      </c>
      <c r="R5510" s="12">
        <f>+Tabla1[[#This Row],[COSTO TOTAL ALOJAMIENTO]]+Tabla1[[#This Row],[COSTO TOTAL COCHE]]</f>
        <v>310</v>
      </c>
      <c r="S5510" s="2"/>
      <c r="T5510" s="14" t="s">
        <v>58</v>
      </c>
      <c r="U5510" s="14">
        <v>46091</v>
      </c>
      <c r="V5510" s="43"/>
      <c r="W5510" s="12"/>
      <c r="X5510" s="2"/>
      <c r="Y5510" s="11" t="s">
        <v>7336</v>
      </c>
      <c r="Z5510" s="2" t="s">
        <v>36</v>
      </c>
      <c r="AA5510" s="13" t="s">
        <v>10385</v>
      </c>
      <c r="AB5510" s="13" t="s">
        <v>10386</v>
      </c>
    </row>
    <row r="5511" spans="1:28" ht="15" customHeight="1">
      <c r="A5511" s="2" t="s">
        <v>9962</v>
      </c>
      <c r="B5511" s="2" t="s">
        <v>711</v>
      </c>
      <c r="C5511" s="195" t="s">
        <v>5744</v>
      </c>
      <c r="D5511" s="2" t="s">
        <v>30</v>
      </c>
      <c r="E5511" s="2" t="s">
        <v>87</v>
      </c>
      <c r="F5511" s="11" t="s">
        <v>1668</v>
      </c>
      <c r="G5511" s="328" t="s">
        <v>1669</v>
      </c>
      <c r="H5511" s="2" t="s">
        <v>6351</v>
      </c>
      <c r="I5511" s="12" t="s">
        <v>989</v>
      </c>
      <c r="J5511" s="22">
        <f>+Tabla1[[#This Row],[FECHA ENTRADA]]</f>
        <v>46009</v>
      </c>
      <c r="K5511" s="22">
        <v>46039</v>
      </c>
      <c r="L5511" s="23">
        <f>_xlfn.DAYS(Tabla1[[#This Row],[FECHA FIN ]],Tabla1[[#This Row],[FECHA INICIO]])</f>
        <v>30</v>
      </c>
      <c r="M5511" s="12"/>
      <c r="N5511" s="20">
        <f>1663/6</f>
        <v>277.16666666666669</v>
      </c>
      <c r="O5511" s="24">
        <f>(Tabla1[[#This Row],[COSTO FIJO ]]/30)*Tabla1[[#This Row],[TOTAL DIAS PROYECTO]]+(Tabla1[[#This Row],[COSTO TEMPORAL]])</f>
        <v>277.16666666666669</v>
      </c>
      <c r="P5511" s="12"/>
      <c r="Q5511" s="12">
        <f>+(Tabla1[[#This Row],[COSTO COCHE]]/30)*Tabla1[[#This Row],[TOTAL DIAS PROYECTO]]</f>
        <v>0</v>
      </c>
      <c r="R5511" s="12">
        <f>+Tabla1[[#This Row],[COSTO TOTAL ALOJAMIENTO]]+Tabla1[[#This Row],[COSTO TOTAL COCHE]]</f>
        <v>277.16666666666669</v>
      </c>
      <c r="S5511" s="2"/>
      <c r="T5511" s="14" t="s">
        <v>35</v>
      </c>
      <c r="U5511" s="14">
        <v>46009</v>
      </c>
      <c r="V5511" s="79"/>
      <c r="W5511" s="12"/>
      <c r="X5511" s="2">
        <v>5</v>
      </c>
      <c r="Y5511" s="11" t="s">
        <v>6606</v>
      </c>
      <c r="Z5511" s="2" t="s">
        <v>36</v>
      </c>
      <c r="AA5511" s="13" t="s">
        <v>10335</v>
      </c>
      <c r="AB5511" s="13">
        <v>404.16500000000002</v>
      </c>
    </row>
    <row r="5512" spans="1:28" ht="15" customHeight="1">
      <c r="A5512" s="2" t="s">
        <v>10063</v>
      </c>
      <c r="B5512" s="2" t="s">
        <v>711</v>
      </c>
      <c r="C5512" s="195" t="s">
        <v>6174</v>
      </c>
      <c r="D5512" s="2" t="s">
        <v>30</v>
      </c>
      <c r="E5512" s="2" t="s">
        <v>87</v>
      </c>
      <c r="F5512" s="11" t="s">
        <v>1668</v>
      </c>
      <c r="G5512" s="128" t="s">
        <v>1669</v>
      </c>
      <c r="H5512" s="2" t="s">
        <v>6175</v>
      </c>
      <c r="I5512" s="12" t="s">
        <v>1392</v>
      </c>
      <c r="J5512" s="41">
        <f>+Tabla1[[#This Row],[FECHA ENTRADA]]</f>
        <v>46058</v>
      </c>
      <c r="K5512" s="41">
        <v>46126</v>
      </c>
      <c r="L5512" s="42">
        <f>_xlfn.DAYS(Tabla1[[#This Row],[FECHA FIN ]],Tabla1[[#This Row],[FECHA INICIO]])</f>
        <v>68</v>
      </c>
      <c r="M5512" s="12"/>
      <c r="N5512" s="20">
        <v>343.83333333333331</v>
      </c>
      <c r="O5512" s="28">
        <f>(Tabla1[[#This Row],[COSTO FIJO ]]/30)*Tabla1[[#This Row],[TOTAL DIAS PROYECTO]]+(Tabla1[[#This Row],[COSTO TEMPORAL]])</f>
        <v>779.3555555555555</v>
      </c>
      <c r="P5512" s="12"/>
      <c r="Q5512" s="12">
        <f>+(Tabla1[[#This Row],[COSTO COCHE]]/30)*Tabla1[[#This Row],[TOTAL DIAS PROYECTO]]</f>
        <v>0</v>
      </c>
      <c r="R5512" s="12">
        <f>+Tabla1[[#This Row],[COSTO TOTAL ALOJAMIENTO]]+Tabla1[[#This Row],[COSTO TOTAL COCHE]]</f>
        <v>779.3555555555555</v>
      </c>
      <c r="S5512" s="2"/>
      <c r="T5512" s="14" t="s">
        <v>35</v>
      </c>
      <c r="U5512" s="14">
        <v>46058</v>
      </c>
      <c r="V5512" s="43"/>
      <c r="W5512" s="12"/>
      <c r="X5512" s="2">
        <v>15</v>
      </c>
      <c r="Y5512" s="11" t="s">
        <v>7606</v>
      </c>
      <c r="Z5512" s="2" t="s">
        <v>36</v>
      </c>
      <c r="AA5512" s="13" t="s">
        <v>10335</v>
      </c>
      <c r="AB5512" s="13">
        <v>404.16500000000002</v>
      </c>
    </row>
    <row r="5513" spans="1:28" ht="15" customHeight="1">
      <c r="A5513" s="2" t="s">
        <v>9658</v>
      </c>
      <c r="B5513" s="11" t="s">
        <v>3133</v>
      </c>
      <c r="C5513" s="321" t="s">
        <v>4099</v>
      </c>
      <c r="D5513" s="2" t="s">
        <v>30</v>
      </c>
      <c r="E5513" s="2" t="s">
        <v>87</v>
      </c>
      <c r="F5513" s="11" t="s">
        <v>1668</v>
      </c>
      <c r="G5513" s="128" t="s">
        <v>1669</v>
      </c>
      <c r="H5513" s="2" t="s">
        <v>3136</v>
      </c>
      <c r="I5513" s="12" t="s">
        <v>3137</v>
      </c>
      <c r="J5513" s="22">
        <f>+Tabla1[[#This Row],[FECHA ENTRADA]]</f>
        <v>46069</v>
      </c>
      <c r="K5513" s="8">
        <v>46105</v>
      </c>
      <c r="L5513" s="23">
        <f>_xlfn.DAYS(Tabla1[[#This Row],[FECHA FIN ]],Tabla1[[#This Row],[FECHA INICIO]])</f>
        <v>36</v>
      </c>
      <c r="M5513" s="12"/>
      <c r="N5513" s="20">
        <v>343.83333333333331</v>
      </c>
      <c r="O5513" s="24">
        <f>(Tabla1[[#This Row],[COSTO FIJO ]]/30)*Tabla1[[#This Row],[TOTAL DIAS PROYECTO]]+(Tabla1[[#This Row],[COSTO TEMPORAL]])</f>
        <v>412.59999999999997</v>
      </c>
      <c r="P5513" s="12"/>
      <c r="Q5513" s="12">
        <f>+(Tabla1[[#This Row],[COSTO COCHE]]/30)*Tabla1[[#This Row],[TOTAL DIAS PROYECTO]]</f>
        <v>0</v>
      </c>
      <c r="R5513" s="12">
        <f>+Tabla1[[#This Row],[COSTO TOTAL ALOJAMIENTO]]+Tabla1[[#This Row],[COSTO TOTAL COCHE]]</f>
        <v>412.59999999999997</v>
      </c>
      <c r="S5513" s="2"/>
      <c r="T5513" s="14" t="s">
        <v>35</v>
      </c>
      <c r="U5513" s="14">
        <v>46069</v>
      </c>
      <c r="V5513" s="25"/>
      <c r="W5513" s="12"/>
      <c r="X5513" s="2">
        <v>15</v>
      </c>
      <c r="Y5513" s="11"/>
      <c r="Z5513" s="2" t="s">
        <v>36</v>
      </c>
      <c r="AA5513" s="13" t="s">
        <v>10335</v>
      </c>
      <c r="AB5513" s="13">
        <v>404.16500000000002</v>
      </c>
    </row>
    <row r="5514" spans="1:28" ht="15" customHeight="1">
      <c r="A5514" s="2" t="s">
        <v>10262</v>
      </c>
      <c r="B5514" s="2" t="s">
        <v>978</v>
      </c>
      <c r="C5514" s="321" t="s">
        <v>7593</v>
      </c>
      <c r="D5514" s="2" t="s">
        <v>30</v>
      </c>
      <c r="E5514" s="2" t="s">
        <v>380</v>
      </c>
      <c r="F5514" s="11" t="s">
        <v>7588</v>
      </c>
      <c r="G5514" s="49"/>
      <c r="H5514" s="2" t="s">
        <v>7594</v>
      </c>
      <c r="I5514" s="12" t="s">
        <v>5328</v>
      </c>
      <c r="J5514" s="22">
        <f>+Tabla1[[#This Row],[FECHA ENTRADA]]</f>
        <v>45978</v>
      </c>
      <c r="K5514" s="22">
        <v>46230</v>
      </c>
      <c r="L5514" s="23">
        <f>_xlfn.DAYS(Tabla1[[#This Row],[FECHA FIN ]],Tabla1[[#This Row],[FECHA INICIO]])</f>
        <v>252</v>
      </c>
      <c r="M5514" s="12"/>
      <c r="N5514" s="24">
        <v>300</v>
      </c>
      <c r="O5514" s="24">
        <f>(Tabla1[[#This Row],[COSTO FIJO ]]/30)*Tabla1[[#This Row],[TOTAL DIAS PROYECTO]]+(Tabla1[[#This Row],[COSTO TEMPORAL]])</f>
        <v>2520</v>
      </c>
      <c r="P5514" s="12"/>
      <c r="Q5514" s="12">
        <f>+(Tabla1[[#This Row],[COSTO COCHE]]/30)*Tabla1[[#This Row],[TOTAL DIAS PROYECTO]]</f>
        <v>0</v>
      </c>
      <c r="R5514" s="12">
        <f>+Tabla1[[#This Row],[COSTO TOTAL ALOJAMIENTO]]+Tabla1[[#This Row],[COSTO TOTAL COCHE]]</f>
        <v>2520</v>
      </c>
      <c r="S5514" s="2"/>
      <c r="T5514" s="14" t="s">
        <v>58</v>
      </c>
      <c r="U5514" s="14">
        <v>45978</v>
      </c>
      <c r="V5514" s="25"/>
      <c r="W5514" s="71"/>
      <c r="X5514" s="2"/>
      <c r="Y5514" s="11" t="s">
        <v>7589</v>
      </c>
      <c r="Z5514" s="2" t="s">
        <v>36</v>
      </c>
      <c r="AA5514" s="13" t="s">
        <v>10370</v>
      </c>
      <c r="AB5514" s="13" t="s">
        <v>10371</v>
      </c>
    </row>
    <row r="5515" spans="1:28" ht="15" customHeight="1">
      <c r="A5515" s="2" t="s">
        <v>9491</v>
      </c>
      <c r="B5515" s="2" t="s">
        <v>606</v>
      </c>
      <c r="C5515" s="195" t="s">
        <v>3370</v>
      </c>
      <c r="D5515" s="2" t="s">
        <v>99</v>
      </c>
      <c r="E5515" s="2" t="s">
        <v>31</v>
      </c>
      <c r="F5515" s="11" t="s">
        <v>5761</v>
      </c>
      <c r="G5515" s="245" t="s">
        <v>5762</v>
      </c>
      <c r="H5515" s="2" t="s">
        <v>3371</v>
      </c>
      <c r="I5515" s="12" t="s">
        <v>385</v>
      </c>
      <c r="J5515" s="22">
        <f>+Tabla1[[#This Row],[FECHA ENTRADA]]</f>
        <v>46053</v>
      </c>
      <c r="K5515" s="22">
        <v>46136</v>
      </c>
      <c r="L5515" s="23">
        <f>_xlfn.DAYS(Tabla1[[#This Row],[FECHA FIN ]],Tabla1[[#This Row],[FECHA INICIO]])</f>
        <v>83</v>
      </c>
      <c r="M5515" s="12"/>
      <c r="N5515" s="20">
        <v>450</v>
      </c>
      <c r="O5515" s="24">
        <f>(Tabla1[[#This Row],[COSTO FIJO ]]/30)*Tabla1[[#This Row],[TOTAL DIAS PROYECTO]]+(Tabla1[[#This Row],[COSTO TEMPORAL]])</f>
        <v>1245</v>
      </c>
      <c r="P5515" s="12"/>
      <c r="Q5515" s="12">
        <f>+(Tabla1[[#This Row],[COSTO COCHE]]/30)*Tabla1[[#This Row],[TOTAL DIAS PROYECTO]]</f>
        <v>0</v>
      </c>
      <c r="R5515" s="12">
        <f>+Tabla1[[#This Row],[COSTO TOTAL ALOJAMIENTO]]+Tabla1[[#This Row],[COSTO TOTAL COCHE]]</f>
        <v>1245</v>
      </c>
      <c r="S5515" s="2"/>
      <c r="T5515" s="14" t="s">
        <v>35</v>
      </c>
      <c r="U5515" s="14">
        <v>46053</v>
      </c>
      <c r="V5515" s="79"/>
      <c r="W5515" s="12"/>
      <c r="X5515" s="2">
        <v>30</v>
      </c>
      <c r="Y5515" s="11" t="s">
        <v>7607</v>
      </c>
      <c r="Z5515" s="2" t="s">
        <v>36</v>
      </c>
      <c r="AA5515" s="13" t="s">
        <v>10323</v>
      </c>
      <c r="AB5515" s="13" t="s">
        <v>10324</v>
      </c>
    </row>
    <row r="5516" spans="1:28" ht="15" customHeight="1">
      <c r="A5516" s="2" t="s">
        <v>9021</v>
      </c>
      <c r="B5516" s="11" t="s">
        <v>3133</v>
      </c>
      <c r="C5516" s="169" t="s">
        <v>1715</v>
      </c>
      <c r="D5516" s="2" t="s">
        <v>30</v>
      </c>
      <c r="E5516" s="2" t="s">
        <v>87</v>
      </c>
      <c r="F5516" s="11" t="s">
        <v>1668</v>
      </c>
      <c r="G5516" s="21" t="s">
        <v>1669</v>
      </c>
      <c r="H5516" s="2" t="s">
        <v>3136</v>
      </c>
      <c r="I5516" s="12" t="s">
        <v>3137</v>
      </c>
      <c r="J5516" s="22">
        <f>+Tabla1[[#This Row],[FECHA ENTRADA]]</f>
        <v>46069</v>
      </c>
      <c r="K5516" s="8">
        <v>46143</v>
      </c>
      <c r="L5516" s="23">
        <f>_xlfn.DAYS(Tabla1[[#This Row],[FECHA FIN ]],Tabla1[[#This Row],[FECHA INICIO]])</f>
        <v>74</v>
      </c>
      <c r="M5516" s="12"/>
      <c r="N5516" s="20">
        <v>425</v>
      </c>
      <c r="O5516" s="24">
        <f>(Tabla1[[#This Row],[COSTO FIJO ]]/30)*Tabla1[[#This Row],[TOTAL DIAS PROYECTO]]+(Tabla1[[#This Row],[COSTO TEMPORAL]])</f>
        <v>1048.3333333333333</v>
      </c>
      <c r="P5516" s="12"/>
      <c r="Q5516" s="12">
        <f>+(Tabla1[[#This Row],[COSTO COCHE]]/30)*Tabla1[[#This Row],[TOTAL DIAS PROYECTO]]</f>
        <v>0</v>
      </c>
      <c r="R5516" s="12">
        <f>+Tabla1[[#This Row],[COSTO TOTAL ALOJAMIENTO]]+Tabla1[[#This Row],[COSTO TOTAL COCHE]]</f>
        <v>1048.3333333333333</v>
      </c>
      <c r="S5516" s="2"/>
      <c r="T5516" s="14" t="s">
        <v>35</v>
      </c>
      <c r="U5516" s="14">
        <v>46069</v>
      </c>
      <c r="V5516" s="25"/>
      <c r="W5516" s="12"/>
      <c r="X5516" s="2">
        <v>15</v>
      </c>
      <c r="Y5516" s="11" t="s">
        <v>7608</v>
      </c>
      <c r="Z5516" s="2" t="s">
        <v>36</v>
      </c>
      <c r="AA5516" s="13" t="s">
        <v>10335</v>
      </c>
      <c r="AB5516" s="13">
        <v>404.16500000000002</v>
      </c>
    </row>
    <row r="5517" spans="1:28" ht="15" customHeight="1">
      <c r="A5517" s="2" t="s">
        <v>10264</v>
      </c>
      <c r="B5517" s="2" t="s">
        <v>978</v>
      </c>
      <c r="C5517" s="322" t="s">
        <v>7609</v>
      </c>
      <c r="D5517" s="2" t="s">
        <v>30</v>
      </c>
      <c r="E5517" s="2" t="s">
        <v>380</v>
      </c>
      <c r="F5517" s="11" t="s">
        <v>5246</v>
      </c>
      <c r="G5517" s="197" t="s">
        <v>2237</v>
      </c>
      <c r="H5517" s="2" t="s">
        <v>7594</v>
      </c>
      <c r="I5517" s="12" t="s">
        <v>5328</v>
      </c>
      <c r="J5517" s="22">
        <f>+Tabla1[[#This Row],[FECHA ENTRADA]]</f>
        <v>45867</v>
      </c>
      <c r="K5517" s="22">
        <v>46040</v>
      </c>
      <c r="L5517" s="23">
        <f>_xlfn.DAYS(Tabla1[[#This Row],[FECHA FIN ]],Tabla1[[#This Row],[FECHA INICIO]])</f>
        <v>173</v>
      </c>
      <c r="M5517" s="12"/>
      <c r="N5517" s="24">
        <v>300</v>
      </c>
      <c r="O5517" s="24">
        <f>(Tabla1[[#This Row],[COSTO FIJO ]]/30)*Tabla1[[#This Row],[TOTAL DIAS PROYECTO]]+(Tabla1[[#This Row],[COSTO TEMPORAL]])</f>
        <v>1730</v>
      </c>
      <c r="P5517" s="12"/>
      <c r="Q5517" s="12">
        <f>+(Tabla1[[#This Row],[COSTO COCHE]]/30)*Tabla1[[#This Row],[TOTAL DIAS PROYECTO]]</f>
        <v>0</v>
      </c>
      <c r="R5517" s="12">
        <f>+Tabla1[[#This Row],[COSTO TOTAL ALOJAMIENTO]]+Tabla1[[#This Row],[COSTO TOTAL COCHE]]</f>
        <v>1730</v>
      </c>
      <c r="S5517" s="2"/>
      <c r="T5517" s="14" t="s">
        <v>35</v>
      </c>
      <c r="U5517" s="14">
        <v>45867</v>
      </c>
      <c r="V5517" s="25"/>
      <c r="W5517" s="12">
        <v>1200</v>
      </c>
      <c r="X5517" s="2">
        <v>17</v>
      </c>
      <c r="Y5517" s="11" t="s">
        <v>7610</v>
      </c>
      <c r="Z5517" s="2" t="s">
        <v>36</v>
      </c>
      <c r="AA5517" s="13" t="s">
        <v>10370</v>
      </c>
      <c r="AB5517" s="13" t="s">
        <v>10371</v>
      </c>
    </row>
    <row r="5518" spans="1:28" ht="15" customHeight="1">
      <c r="A5518" s="2" t="s">
        <v>9701</v>
      </c>
      <c r="B5518" s="2" t="s">
        <v>978</v>
      </c>
      <c r="C5518" s="321" t="s">
        <v>4309</v>
      </c>
      <c r="D5518" s="2" t="s">
        <v>99</v>
      </c>
      <c r="E5518" s="2" t="s">
        <v>3400</v>
      </c>
      <c r="F5518" s="11" t="s">
        <v>4310</v>
      </c>
      <c r="G5518" s="46" t="s">
        <v>4311</v>
      </c>
      <c r="H5518" s="2" t="s">
        <v>4997</v>
      </c>
      <c r="I5518" s="12" t="s">
        <v>4296</v>
      </c>
      <c r="J5518" s="41">
        <f>+Tabla1[[#This Row],[FECHA ENTRADA]]</f>
        <v>45920</v>
      </c>
      <c r="K5518" s="41">
        <v>46102</v>
      </c>
      <c r="L5518" s="42">
        <f>_xlfn.DAYS(Tabla1[[#This Row],[FECHA FIN ]],Tabla1[[#This Row],[FECHA INICIO]])</f>
        <v>182</v>
      </c>
      <c r="M5518" s="12"/>
      <c r="N5518" s="28">
        <v>350</v>
      </c>
      <c r="O5518" s="28">
        <f>(Tabla1[[#This Row],[COSTO FIJO ]]/30)*Tabla1[[#This Row],[TOTAL DIAS PROYECTO]]+(Tabla1[[#This Row],[COSTO TEMPORAL]])</f>
        <v>2123.333333333333</v>
      </c>
      <c r="P5518" s="12"/>
      <c r="Q5518" s="12">
        <f>+(Tabla1[[#This Row],[COSTO COCHE]]/30)*Tabla1[[#This Row],[TOTAL DIAS PROYECTO]]</f>
        <v>0</v>
      </c>
      <c r="R5518" s="12">
        <f>+Tabla1[[#This Row],[COSTO TOTAL ALOJAMIENTO]]+Tabla1[[#This Row],[COSTO TOTAL COCHE]]</f>
        <v>2123.333333333333</v>
      </c>
      <c r="S5518" s="2"/>
      <c r="T5518" s="14" t="s">
        <v>35</v>
      </c>
      <c r="U5518" s="14">
        <v>45920</v>
      </c>
      <c r="V5518" s="43"/>
      <c r="W5518" s="12">
        <v>350</v>
      </c>
      <c r="X5518" s="2">
        <v>25</v>
      </c>
      <c r="Y5518" s="136" t="s">
        <v>7611</v>
      </c>
      <c r="Z5518" s="2" t="s">
        <v>36</v>
      </c>
      <c r="AA5518" s="13" t="e">
        <v>#N/A</v>
      </c>
      <c r="AB5518" s="13" t="e">
        <v>#N/A</v>
      </c>
    </row>
    <row r="5519" spans="1:28" ht="15" customHeight="1">
      <c r="A5519" s="2" t="s">
        <v>9219</v>
      </c>
      <c r="B5519" s="11" t="s">
        <v>3133</v>
      </c>
      <c r="C5519" s="11" t="s">
        <v>2487</v>
      </c>
      <c r="D5519" s="2" t="s">
        <v>99</v>
      </c>
      <c r="E5519" s="2" t="s">
        <v>87</v>
      </c>
      <c r="F5519" s="11" t="s">
        <v>1668</v>
      </c>
      <c r="G5519" s="21" t="s">
        <v>1669</v>
      </c>
      <c r="H5519" s="2" t="s">
        <v>3193</v>
      </c>
      <c r="I5519" s="12" t="s">
        <v>3137</v>
      </c>
      <c r="J5519" s="41">
        <f>+Tabla1[[#This Row],[FECHA ENTRADA]]</f>
        <v>46105</v>
      </c>
      <c r="K5519" s="8">
        <v>46143</v>
      </c>
      <c r="L5519" s="42">
        <f>_xlfn.DAYS(Tabla1[[#This Row],[FECHA FIN ]],Tabla1[[#This Row],[FECHA INICIO]])</f>
        <v>38</v>
      </c>
      <c r="M5519" s="12"/>
      <c r="N5519" s="20">
        <v>425</v>
      </c>
      <c r="O5519" s="28">
        <f>(Tabla1[[#This Row],[COSTO FIJO ]]/30)*Tabla1[[#This Row],[TOTAL DIAS PROYECTO]]+(Tabla1[[#This Row],[COSTO TEMPORAL]])</f>
        <v>538.33333333333326</v>
      </c>
      <c r="P5519" s="12"/>
      <c r="Q5519" s="12">
        <f>+(Tabla1[[#This Row],[COSTO COCHE]]/30)*Tabla1[[#This Row],[TOTAL DIAS PROYECTO]]</f>
        <v>0</v>
      </c>
      <c r="R5519" s="12">
        <f>+Tabla1[[#This Row],[COSTO TOTAL ALOJAMIENTO]]+Tabla1[[#This Row],[COSTO TOTAL COCHE]]</f>
        <v>538.33333333333326</v>
      </c>
      <c r="S5519" s="2"/>
      <c r="T5519" s="14" t="s">
        <v>35</v>
      </c>
      <c r="U5519" s="14">
        <v>46105</v>
      </c>
      <c r="V5519" s="43"/>
      <c r="W5519" s="12"/>
      <c r="X5519" s="2">
        <v>15</v>
      </c>
      <c r="Y5519" s="11" t="s">
        <v>7612</v>
      </c>
      <c r="Z5519" s="2" t="s">
        <v>36</v>
      </c>
      <c r="AA5519" s="13" t="s">
        <v>10335</v>
      </c>
      <c r="AB5519" s="13">
        <v>404.16500000000002</v>
      </c>
    </row>
    <row r="5520" spans="1:28" ht="15" customHeight="1">
      <c r="A5520" s="2" t="s">
        <v>9947</v>
      </c>
      <c r="B5520" s="2" t="s">
        <v>978</v>
      </c>
      <c r="C5520" s="31" t="s">
        <v>5635</v>
      </c>
      <c r="D5520" s="2" t="s">
        <v>30</v>
      </c>
      <c r="E5520" s="2" t="s">
        <v>380</v>
      </c>
      <c r="F5520" s="11" t="s">
        <v>5246</v>
      </c>
      <c r="G5520" s="197" t="s">
        <v>2237</v>
      </c>
      <c r="H5520" s="2" t="s">
        <v>7568</v>
      </c>
      <c r="I5520" s="12" t="s">
        <v>5328</v>
      </c>
      <c r="J5520" s="22">
        <f>+Tabla1[[#This Row],[FECHA ENTRADA]]</f>
        <v>45985</v>
      </c>
      <c r="K5520" s="22">
        <v>45985</v>
      </c>
      <c r="L5520" s="23">
        <f>_xlfn.DAYS(Tabla1[[#This Row],[FECHA FIN ]],Tabla1[[#This Row],[FECHA INICIO]])</f>
        <v>0</v>
      </c>
      <c r="M5520" s="12"/>
      <c r="N5520" s="24">
        <v>320</v>
      </c>
      <c r="O5520" s="24">
        <f>(Tabla1[[#This Row],[COSTO FIJO ]]/30)*Tabla1[[#This Row],[TOTAL DIAS PROYECTO]]+(Tabla1[[#This Row],[COSTO TEMPORAL]])</f>
        <v>0</v>
      </c>
      <c r="P5520" s="12"/>
      <c r="Q5520" s="12">
        <f>+(Tabla1[[#This Row],[COSTO COCHE]]/30)*Tabla1[[#This Row],[TOTAL DIAS PROYECTO]]</f>
        <v>0</v>
      </c>
      <c r="R5520" s="12">
        <f>+Tabla1[[#This Row],[COSTO TOTAL ALOJAMIENTO]]+Tabla1[[#This Row],[COSTO TOTAL COCHE]]</f>
        <v>0</v>
      </c>
      <c r="S5520" s="2"/>
      <c r="T5520" s="14" t="s">
        <v>35</v>
      </c>
      <c r="U5520" s="14">
        <v>45985</v>
      </c>
      <c r="V5520" s="25"/>
      <c r="W5520" s="71"/>
      <c r="X5520" s="2">
        <v>17</v>
      </c>
      <c r="Y5520" s="11" t="s">
        <v>7613</v>
      </c>
      <c r="Z5520" s="2" t="s">
        <v>36</v>
      </c>
      <c r="AA5520" s="13" t="s">
        <v>10370</v>
      </c>
      <c r="AB5520" s="13" t="s">
        <v>10371</v>
      </c>
    </row>
    <row r="5521" spans="1:28" ht="15" customHeight="1">
      <c r="A5521" s="2" t="s">
        <v>9203</v>
      </c>
      <c r="B5521" s="2" t="s">
        <v>606</v>
      </c>
      <c r="C5521" s="31" t="s">
        <v>2420</v>
      </c>
      <c r="D5521" s="2" t="s">
        <v>30</v>
      </c>
      <c r="E5521" s="2" t="s">
        <v>31</v>
      </c>
      <c r="F5521" s="11"/>
      <c r="G5521" s="21"/>
      <c r="H5521" s="2" t="s">
        <v>6941</v>
      </c>
      <c r="I5521" s="12" t="s">
        <v>385</v>
      </c>
      <c r="J5521" s="22">
        <f>+Tabla1[[#This Row],[FECHA ENTRADA]]</f>
        <v>45949</v>
      </c>
      <c r="K5521" s="22">
        <v>46142</v>
      </c>
      <c r="L5521" s="23">
        <f>_xlfn.DAYS(Tabla1[[#This Row],[FECHA FIN ]],Tabla1[[#This Row],[FECHA INICIO]])</f>
        <v>193</v>
      </c>
      <c r="M5521" s="12"/>
      <c r="N5521" s="20">
        <v>300</v>
      </c>
      <c r="O5521" s="24">
        <f>(Tabla1[[#This Row],[COSTO FIJO ]]/30)*Tabla1[[#This Row],[TOTAL DIAS PROYECTO]]+(Tabla1[[#This Row],[COSTO TEMPORAL]])</f>
        <v>1930</v>
      </c>
      <c r="P5521" s="12"/>
      <c r="Q5521" s="12">
        <f>+(Tabla1[[#This Row],[COSTO COCHE]]/30)*Tabla1[[#This Row],[TOTAL DIAS PROYECTO]]</f>
        <v>0</v>
      </c>
      <c r="R5521" s="12">
        <f>+Tabla1[[#This Row],[COSTO TOTAL ALOJAMIENTO]]+Tabla1[[#This Row],[COSTO TOTAL COCHE]]</f>
        <v>1930</v>
      </c>
      <c r="S5521" s="2"/>
      <c r="T5521" s="14" t="s">
        <v>58</v>
      </c>
      <c r="U5521" s="14">
        <v>45949</v>
      </c>
      <c r="V5521" s="79"/>
      <c r="W5521" s="71"/>
      <c r="X5521" s="2"/>
      <c r="Y5521" s="11" t="s">
        <v>7614</v>
      </c>
      <c r="Z5521" s="2" t="s">
        <v>36</v>
      </c>
      <c r="AA5521" s="13" t="s">
        <v>10323</v>
      </c>
      <c r="AB5521" s="13" t="s">
        <v>10324</v>
      </c>
    </row>
    <row r="5522" spans="1:28" ht="15.75" customHeight="1">
      <c r="A5522" s="2" t="s">
        <v>9770</v>
      </c>
      <c r="B5522" s="2" t="s">
        <v>606</v>
      </c>
      <c r="C5522" s="31" t="s">
        <v>4661</v>
      </c>
      <c r="D5522" s="2" t="s">
        <v>30</v>
      </c>
      <c r="E5522" s="2" t="s">
        <v>648</v>
      </c>
      <c r="F5522" s="11" t="s">
        <v>7598</v>
      </c>
      <c r="G5522" s="11" t="s">
        <v>7599</v>
      </c>
      <c r="H5522" s="2" t="s">
        <v>4662</v>
      </c>
      <c r="I5522" s="12" t="s">
        <v>4663</v>
      </c>
      <c r="J5522" s="41">
        <f>+Tabla1[[#This Row],[FECHA ENTRADA]]</f>
        <v>46172</v>
      </c>
      <c r="K5522" s="22">
        <v>46196</v>
      </c>
      <c r="L5522" s="42">
        <f>_xlfn.DAYS(Tabla1[[#This Row],[FECHA FIN ]],Tabla1[[#This Row],[FECHA INICIO]])</f>
        <v>24</v>
      </c>
      <c r="M5522" s="12">
        <f>85+(595/4)+330/2</f>
        <v>398.75</v>
      </c>
      <c r="N5522" s="28"/>
      <c r="O5522" s="28">
        <f>(Tabla1[[#This Row],[COSTO FIJO ]]/30)*Tabla1[[#This Row],[TOTAL DIAS PROYECTO]]+(Tabla1[[#This Row],[COSTO TEMPORAL]])</f>
        <v>398.75</v>
      </c>
      <c r="P5522" s="12"/>
      <c r="Q5522" s="12">
        <f>+(Tabla1[[#This Row],[COSTO COCHE]]/30)*Tabla1[[#This Row],[TOTAL DIAS PROYECTO]]</f>
        <v>0</v>
      </c>
      <c r="R5522" s="12">
        <f>+Tabla1[[#This Row],[COSTO TOTAL ALOJAMIENTO]]+Tabla1[[#This Row],[COSTO TOTAL COCHE]]</f>
        <v>398.75</v>
      </c>
      <c r="S5522" s="2"/>
      <c r="T5522" s="14" t="s">
        <v>44</v>
      </c>
      <c r="U5522" s="14">
        <v>46172</v>
      </c>
      <c r="V5522" s="79">
        <v>46196</v>
      </c>
      <c r="W5522" s="12"/>
      <c r="X5522" s="2"/>
      <c r="Y5522" s="11" t="s">
        <v>7615</v>
      </c>
      <c r="Z5522" s="2" t="s">
        <v>36</v>
      </c>
      <c r="AA5522" s="13" t="s">
        <v>10387</v>
      </c>
      <c r="AB5522" s="13" t="s">
        <v>10388</v>
      </c>
    </row>
    <row r="5523" spans="1:28" ht="15" customHeight="1">
      <c r="A5523" s="2" t="s">
        <v>9186</v>
      </c>
      <c r="B5523" s="2" t="s">
        <v>606</v>
      </c>
      <c r="C5523" s="11" t="s">
        <v>2361</v>
      </c>
      <c r="D5523" s="2" t="s">
        <v>30</v>
      </c>
      <c r="E5523" s="2" t="s">
        <v>3533</v>
      </c>
      <c r="F5523" s="11"/>
      <c r="G5523" s="11"/>
      <c r="H5523" s="2" t="s">
        <v>7498</v>
      </c>
      <c r="I5523" s="10" t="s">
        <v>3364</v>
      </c>
      <c r="J5523" s="22">
        <f>+Tabla1[[#This Row],[FECHA ENTRADA]]</f>
        <v>46180</v>
      </c>
      <c r="K5523" s="22">
        <v>46197</v>
      </c>
      <c r="L5523" s="23">
        <f>_xlfn.DAYS(Tabla1[[#This Row],[FECHA FIN ]],Tabla1[[#This Row],[FECHA INICIO]])</f>
        <v>17</v>
      </c>
      <c r="M5523" s="12"/>
      <c r="N5523" s="24">
        <v>0</v>
      </c>
      <c r="O5523" s="24">
        <f>(Tabla1[[#This Row],[COSTO FIJO ]]/30)*Tabla1[[#This Row],[TOTAL DIAS PROYECTO]]+(Tabla1[[#This Row],[COSTO TEMPORAL]])</f>
        <v>0</v>
      </c>
      <c r="P5523" s="12"/>
      <c r="Q5523" s="12">
        <f>+(Tabla1[[#This Row],[COSTO COCHE]]/30)*Tabla1[[#This Row],[TOTAL DIAS PROYECTO]]</f>
        <v>0</v>
      </c>
      <c r="R5523" s="12">
        <f>+Tabla1[[#This Row],[COSTO TOTAL ALOJAMIENTO]]+Tabla1[[#This Row],[COSTO TOTAL COCHE]]</f>
        <v>0</v>
      </c>
      <c r="S5523" s="2"/>
      <c r="T5523" s="14" t="s">
        <v>44</v>
      </c>
      <c r="U5523" s="14">
        <v>46180</v>
      </c>
      <c r="V5523" s="25">
        <v>46191</v>
      </c>
      <c r="W5523" s="12"/>
      <c r="X5523" s="2"/>
      <c r="Y5523" s="11" t="s">
        <v>7616</v>
      </c>
      <c r="Z5523" s="2" t="s">
        <v>36</v>
      </c>
      <c r="AA5523" s="13">
        <v>-164692</v>
      </c>
      <c r="AB5523" s="13">
        <v>4266807</v>
      </c>
    </row>
    <row r="5524" spans="1:28" ht="15" customHeight="1">
      <c r="A5524" s="2" t="s">
        <v>10265</v>
      </c>
      <c r="B5524" s="11" t="s">
        <v>3133</v>
      </c>
      <c r="C5524" s="169" t="s">
        <v>7617</v>
      </c>
      <c r="D5524" s="2" t="s">
        <v>749</v>
      </c>
      <c r="E5524" s="2" t="s">
        <v>288</v>
      </c>
      <c r="F5524" s="11" t="s">
        <v>4873</v>
      </c>
      <c r="G5524" s="128" t="s">
        <v>4752</v>
      </c>
      <c r="H5524" s="2" t="s">
        <v>7618</v>
      </c>
      <c r="I5524" s="12" t="s">
        <v>753</v>
      </c>
      <c r="J5524" s="41">
        <f>+Tabla1[[#This Row],[FECHA ENTRADA]]</f>
        <v>46217</v>
      </c>
      <c r="K5524" s="22">
        <f ca="1">TODAY()</f>
        <v>46260</v>
      </c>
      <c r="L5524" s="42">
        <f ca="1">_xlfn.DAYS(Tabla1[[#This Row],[FECHA FIN ]],Tabla1[[#This Row],[FECHA INICIO]])</f>
        <v>43</v>
      </c>
      <c r="M5524" s="12"/>
      <c r="N5524" s="28">
        <v>500</v>
      </c>
      <c r="O5524" s="24">
        <f ca="1">(Tabla1[[#This Row],[COSTO FIJO ]]/30)*Tabla1[[#This Row],[TOTAL DIAS PROYECTO]]+(Tabla1[[#This Row],[COSTO TEMPORAL]])</f>
        <v>716.66666666666674</v>
      </c>
      <c r="P5524" s="12"/>
      <c r="Q5524" s="12">
        <f ca="1">+(Tabla1[[#This Row],[COSTO COCHE]]/30)*Tabla1[[#This Row],[TOTAL DIAS PROYECTO]]</f>
        <v>0</v>
      </c>
      <c r="R5524" s="12">
        <f ca="1">+Tabla1[[#This Row],[COSTO TOTAL ALOJAMIENTO]]+Tabla1[[#This Row],[COSTO TOTAL COCHE]]</f>
        <v>716.66666666666674</v>
      </c>
      <c r="S5524" s="2"/>
      <c r="T5524" s="14" t="s">
        <v>35</v>
      </c>
      <c r="U5524" s="14">
        <v>46217</v>
      </c>
      <c r="V5524" s="79">
        <v>46266</v>
      </c>
      <c r="W5524" s="12"/>
      <c r="X5524" s="2">
        <v>1</v>
      </c>
      <c r="Y5524" s="165" t="s">
        <v>7586</v>
      </c>
      <c r="Z5524" s="2" t="s">
        <v>702</v>
      </c>
      <c r="AA5524" s="13" t="s">
        <v>10362</v>
      </c>
      <c r="AB5524" s="13" t="s">
        <v>10363</v>
      </c>
    </row>
    <row r="5525" spans="1:28" ht="15" customHeight="1">
      <c r="A5525" s="2" t="s">
        <v>10049</v>
      </c>
      <c r="B5525" s="2" t="s">
        <v>711</v>
      </c>
      <c r="C5525" s="322" t="s">
        <v>6064</v>
      </c>
      <c r="D5525" s="2" t="s">
        <v>99</v>
      </c>
      <c r="E5525" s="2" t="s">
        <v>31</v>
      </c>
      <c r="F5525" s="11" t="s">
        <v>3914</v>
      </c>
      <c r="G5525" s="128" t="s">
        <v>3915</v>
      </c>
      <c r="H5525" s="2" t="s">
        <v>7619</v>
      </c>
      <c r="I5525" s="12" t="s">
        <v>3917</v>
      </c>
      <c r="J5525" s="41">
        <f>+Tabla1[[#This Row],[FECHA ENTRADA]]</f>
        <v>46224</v>
      </c>
      <c r="K5525" s="22">
        <f ca="1">TODAY()</f>
        <v>46260</v>
      </c>
      <c r="L5525" s="42">
        <f ca="1">_xlfn.DAYS(Tabla1[[#This Row],[FECHA FIN ]],Tabla1[[#This Row],[FECHA INICIO]])</f>
        <v>36</v>
      </c>
      <c r="M5525" s="12"/>
      <c r="N5525" s="28">
        <v>500</v>
      </c>
      <c r="O5525" s="28">
        <f ca="1">(Tabla1[[#This Row],[COSTO FIJO ]]/30)*Tabla1[[#This Row],[TOTAL DIAS PROYECTO]]+(Tabla1[[#This Row],[COSTO TEMPORAL]])</f>
        <v>600</v>
      </c>
      <c r="P5525" s="12"/>
      <c r="Q5525" s="12">
        <f ca="1">+(Tabla1[[#This Row],[COSTO COCHE]]/30)*Tabla1[[#This Row],[TOTAL DIAS PROYECTO]]</f>
        <v>0</v>
      </c>
      <c r="R5525" s="12">
        <f ca="1">+Tabla1[[#This Row],[COSTO TOTAL ALOJAMIENTO]]+Tabla1[[#This Row],[COSTO TOTAL COCHE]]</f>
        <v>600</v>
      </c>
      <c r="S5525" s="2"/>
      <c r="T5525" s="14" t="s">
        <v>35</v>
      </c>
      <c r="U5525" s="14">
        <v>46224</v>
      </c>
      <c r="V5525" s="43"/>
      <c r="W5525" s="12"/>
      <c r="X5525" s="2">
        <v>1</v>
      </c>
      <c r="Y5525" s="11" t="s">
        <v>7620</v>
      </c>
      <c r="Z5525" s="2" t="s">
        <v>702</v>
      </c>
      <c r="AA5525" s="13" t="s">
        <v>10323</v>
      </c>
      <c r="AB5525" s="13" t="s">
        <v>10324</v>
      </c>
    </row>
    <row r="5526" spans="1:28" ht="15" customHeight="1">
      <c r="A5526" s="2" t="s">
        <v>10266</v>
      </c>
      <c r="B5526" s="2" t="s">
        <v>606</v>
      </c>
      <c r="C5526" s="31" t="s">
        <v>7621</v>
      </c>
      <c r="D5526" s="2" t="s">
        <v>30</v>
      </c>
      <c r="E5526" s="2" t="s">
        <v>31</v>
      </c>
      <c r="F5526" s="11"/>
      <c r="G5526" s="11"/>
      <c r="H5526" s="2">
        <v>2023</v>
      </c>
      <c r="I5526" s="2" t="s">
        <v>385</v>
      </c>
      <c r="J5526" s="8">
        <v>44933</v>
      </c>
      <c r="K5526" s="8">
        <v>46171</v>
      </c>
      <c r="L5526" s="13">
        <f>_xlfn.DAYS(Tabla1[[#This Row],[FECHA FIN ]],Tabla1[[#This Row],[FECHA INICIO]])</f>
        <v>1238</v>
      </c>
      <c r="M5526" s="12"/>
      <c r="N5526" s="28">
        <v>300</v>
      </c>
      <c r="O5526" s="12">
        <f>(Tabla1[[#This Row],[COSTO FIJO ]]/30)*Tabla1[[#This Row],[TOTAL DIAS PROYECTO]]+(Tabla1[[#This Row],[COSTO TEMPORAL]])</f>
        <v>12380</v>
      </c>
      <c r="P5526" s="12"/>
      <c r="Q5526" s="12">
        <f>+(Tabla1[[#This Row],[COSTO COCHE]]/30)*Tabla1[[#This Row],[TOTAL DIAS PROYECTO]]</f>
        <v>0</v>
      </c>
      <c r="R5526" s="12">
        <f>+Tabla1[[#This Row],[COSTO TOTAL ALOJAMIENTO]]+Tabla1[[#This Row],[COSTO TOTAL COCHE]]</f>
        <v>12380</v>
      </c>
      <c r="S5526" s="2"/>
      <c r="T5526" s="2" t="s">
        <v>58</v>
      </c>
      <c r="U5526" s="14"/>
      <c r="V5526" s="14"/>
      <c r="W5526" s="2"/>
      <c r="X5526" s="2"/>
      <c r="Y5526" s="11" t="s">
        <v>7622</v>
      </c>
      <c r="Z5526" s="2" t="s">
        <v>36</v>
      </c>
      <c r="AA5526" s="13" t="s">
        <v>10323</v>
      </c>
      <c r="AB5526" s="13" t="s">
        <v>10324</v>
      </c>
    </row>
    <row r="5527" spans="1:28" ht="15" customHeight="1">
      <c r="A5527" s="2" t="s">
        <v>9861</v>
      </c>
      <c r="B5527" s="2" t="s">
        <v>28</v>
      </c>
      <c r="C5527" s="195" t="s">
        <v>5091</v>
      </c>
      <c r="D5527" s="2" t="s">
        <v>99</v>
      </c>
      <c r="E5527" s="2" t="s">
        <v>127</v>
      </c>
      <c r="F5527" s="11" t="s">
        <v>820</v>
      </c>
      <c r="G5527" s="21" t="s">
        <v>821</v>
      </c>
      <c r="H5527" s="2" t="s">
        <v>7623</v>
      </c>
      <c r="I5527" s="12" t="s">
        <v>96</v>
      </c>
      <c r="J5527" s="22">
        <f>+Tabla1[[#This Row],[FECHA ENTRADA]]</f>
        <v>45916</v>
      </c>
      <c r="K5527" s="8">
        <v>46022</v>
      </c>
      <c r="L5527" s="23">
        <f>_xlfn.DAYS(Tabla1[[#This Row],[FECHA FIN ]],Tabla1[[#This Row],[FECHA INICIO]])</f>
        <v>106</v>
      </c>
      <c r="M5527" s="12"/>
      <c r="N5527" s="12">
        <f>3150/9</f>
        <v>350</v>
      </c>
      <c r="O5527" s="24">
        <f>(Tabla1[[#This Row],[COSTO FIJO ]]/30)*Tabla1[[#This Row],[TOTAL DIAS PROYECTO]]+(Tabla1[[#This Row],[COSTO TEMPORAL]])</f>
        <v>1236.6666666666665</v>
      </c>
      <c r="P5527" s="12"/>
      <c r="Q5527" s="12">
        <f>+(Tabla1[[#This Row],[COSTO COCHE]]/30)*Tabla1[[#This Row],[TOTAL DIAS PROYECTO]]</f>
        <v>0</v>
      </c>
      <c r="R5527" s="12">
        <f>+Tabla1[[#This Row],[COSTO TOTAL ALOJAMIENTO]]+Tabla1[[#This Row],[COSTO TOTAL COCHE]]</f>
        <v>1236.6666666666665</v>
      </c>
      <c r="S5527" s="2"/>
      <c r="T5527" s="14" t="s">
        <v>44</v>
      </c>
      <c r="U5527" s="14">
        <v>45916</v>
      </c>
      <c r="V5527" s="79">
        <v>46038</v>
      </c>
      <c r="W5527" s="71"/>
      <c r="X5527" s="2"/>
      <c r="Y5527" s="11" t="s">
        <v>7206</v>
      </c>
      <c r="Z5527" s="2" t="s">
        <v>36</v>
      </c>
      <c r="AA5527" s="13" t="s">
        <v>10342</v>
      </c>
      <c r="AB5527" s="13" t="s">
        <v>10343</v>
      </c>
    </row>
    <row r="5528" spans="1:28" ht="15" customHeight="1">
      <c r="A5528" s="2" t="s">
        <v>9927</v>
      </c>
      <c r="B5528" s="2" t="s">
        <v>606</v>
      </c>
      <c r="C5528" s="322" t="s">
        <v>5495</v>
      </c>
      <c r="D5528" s="2" t="s">
        <v>30</v>
      </c>
      <c r="E5528" s="2" t="s">
        <v>31</v>
      </c>
      <c r="F5528" s="11" t="s">
        <v>1206</v>
      </c>
      <c r="G5528" s="167" t="s">
        <v>1005</v>
      </c>
      <c r="H5528" s="2" t="s">
        <v>2390</v>
      </c>
      <c r="I5528" s="12" t="s">
        <v>2391</v>
      </c>
      <c r="J5528" s="22">
        <f>+Tabla1[[#This Row],[FECHA ENTRADA]]</f>
        <v>46238</v>
      </c>
      <c r="K5528" s="22">
        <f ca="1">TODAY()</f>
        <v>46260</v>
      </c>
      <c r="L5528" s="23">
        <f ca="1">_xlfn.DAYS(Tabla1[[#This Row],[FECHA FIN ]],Tabla1[[#This Row],[FECHA INICIO]])</f>
        <v>22</v>
      </c>
      <c r="M5528" s="12"/>
      <c r="N5528" s="12">
        <v>625</v>
      </c>
      <c r="O5528" s="24">
        <f ca="1">(Tabla1[[#This Row],[COSTO FIJO ]]/30)*Tabla1[[#This Row],[TOTAL DIAS PROYECTO]]+(Tabla1[[#This Row],[COSTO TEMPORAL]])</f>
        <v>458.33333333333331</v>
      </c>
      <c r="P5528" s="12"/>
      <c r="Q5528" s="12">
        <f ca="1">+(Tabla1[[#This Row],[COSTO COCHE]]/30)*Tabla1[[#This Row],[TOTAL DIAS PROYECTO]]</f>
        <v>0</v>
      </c>
      <c r="R5528" s="12">
        <f ca="1">+Tabla1[[#This Row],[COSTO TOTAL ALOJAMIENTO]]+Tabla1[[#This Row],[COSTO TOTAL COCHE]]</f>
        <v>458.33333333333331</v>
      </c>
      <c r="S5528" s="2"/>
      <c r="T5528" s="14" t="s">
        <v>35</v>
      </c>
      <c r="U5528" s="14">
        <v>46238</v>
      </c>
      <c r="V5528" s="79"/>
      <c r="W5528" s="12"/>
      <c r="X5528" s="2">
        <v>1</v>
      </c>
      <c r="Y5528" s="168" t="s">
        <v>7624</v>
      </c>
      <c r="Z5528" s="2" t="s">
        <v>702</v>
      </c>
      <c r="AA5528" s="13" t="s">
        <v>10323</v>
      </c>
      <c r="AB5528" s="13" t="s">
        <v>10324</v>
      </c>
    </row>
    <row r="5529" spans="1:28" ht="15" customHeight="1">
      <c r="A5529" s="2" t="s">
        <v>9861</v>
      </c>
      <c r="B5529" s="2" t="s">
        <v>711</v>
      </c>
      <c r="C5529" s="11" t="s">
        <v>5091</v>
      </c>
      <c r="D5529" s="2" t="s">
        <v>30</v>
      </c>
      <c r="E5529" s="2" t="s">
        <v>127</v>
      </c>
      <c r="F5529" s="11"/>
      <c r="G5529" s="21"/>
      <c r="H5529" s="2" t="s">
        <v>7453</v>
      </c>
      <c r="I5529" s="12" t="s">
        <v>96</v>
      </c>
      <c r="J5529" s="22">
        <f>+Tabla1[[#This Row],[FECHA ENTRADA]]</f>
        <v>46196</v>
      </c>
      <c r="K5529" s="22">
        <v>46204</v>
      </c>
      <c r="L5529" s="23">
        <f>_xlfn.DAYS(Tabla1[[#This Row],[FECHA FIN ]],Tabla1[[#This Row],[FECHA INICIO]])</f>
        <v>8</v>
      </c>
      <c r="M5529" s="12"/>
      <c r="N5529" s="20">
        <v>0</v>
      </c>
      <c r="O5529" s="24">
        <f>(Tabla1[[#This Row],[COSTO FIJO ]]/30)*Tabla1[[#This Row],[TOTAL DIAS PROYECTO]]+(Tabla1[[#This Row],[COSTO TEMPORAL]])</f>
        <v>0</v>
      </c>
      <c r="P5529" s="12"/>
      <c r="Q5529" s="12">
        <f>+(Tabla1[[#This Row],[COSTO COCHE]]/30)*Tabla1[[#This Row],[TOTAL DIAS PROYECTO]]</f>
        <v>0</v>
      </c>
      <c r="R5529" s="12">
        <f>+Tabla1[[#This Row],[COSTO TOTAL ALOJAMIENTO]]+Tabla1[[#This Row],[COSTO TOTAL COCHE]]</f>
        <v>0</v>
      </c>
      <c r="S5529" s="2"/>
      <c r="T5529" s="14" t="s">
        <v>8</v>
      </c>
      <c r="U5529" s="14">
        <v>46196</v>
      </c>
      <c r="V5529" s="79"/>
      <c r="W5529" s="12"/>
      <c r="X5529" s="2"/>
      <c r="Y5529" s="11" t="s">
        <v>7625</v>
      </c>
      <c r="Z5529" s="2" t="s">
        <v>36</v>
      </c>
      <c r="AA5529" s="13" t="s">
        <v>10342</v>
      </c>
      <c r="AB5529" s="13" t="s">
        <v>10343</v>
      </c>
    </row>
    <row r="5530" spans="1:28" ht="15" customHeight="1">
      <c r="A5530" s="2" t="s">
        <v>10267</v>
      </c>
      <c r="B5530" s="2" t="s">
        <v>28</v>
      </c>
      <c r="C5530" s="11" t="s">
        <v>7626</v>
      </c>
      <c r="D5530" s="2" t="s">
        <v>30</v>
      </c>
      <c r="E5530" s="2" t="s">
        <v>648</v>
      </c>
      <c r="F5530" s="11" t="s">
        <v>1544</v>
      </c>
      <c r="G5530" s="11" t="s">
        <v>1545</v>
      </c>
      <c r="H5530" s="2" t="s">
        <v>7326</v>
      </c>
      <c r="I5530" s="12" t="s">
        <v>96</v>
      </c>
      <c r="J5530" s="8">
        <f>+Tabla1[[#This Row],[FECHA ENTRADA]]</f>
        <v>45481</v>
      </c>
      <c r="K5530" s="22">
        <v>45593</v>
      </c>
      <c r="L5530" s="13">
        <f>_xlfn.DAYS(Tabla1[[#This Row],[FECHA FIN ]],Tabla1[[#This Row],[FECHA INICIO]])</f>
        <v>112</v>
      </c>
      <c r="M5530" s="12"/>
      <c r="N5530" s="12"/>
      <c r="O5530" s="12">
        <f>(Tabla1[[#This Row],[COSTO FIJO ]]/30)*Tabla1[[#This Row],[TOTAL DIAS PROYECTO]]+(Tabla1[[#This Row],[COSTO TEMPORAL]])</f>
        <v>0</v>
      </c>
      <c r="P5530" s="12"/>
      <c r="Q5530" s="12">
        <f>+(Tabla1[[#This Row],[COSTO COCHE]]/30)*Tabla1[[#This Row],[TOTAL DIAS PROYECTO]]</f>
        <v>0</v>
      </c>
      <c r="R5530" s="12">
        <f>+Tabla1[[#This Row],[COSTO TOTAL ALOJAMIENTO]]+Tabla1[[#This Row],[COSTO TOTAL COCHE]]</f>
        <v>0</v>
      </c>
      <c r="S5530" s="2"/>
      <c r="T5530" s="2" t="s">
        <v>35</v>
      </c>
      <c r="U5530" s="14">
        <v>45481</v>
      </c>
      <c r="V5530" s="14"/>
      <c r="W5530" s="26"/>
      <c r="X5530" s="2">
        <v>1</v>
      </c>
      <c r="Y5530" s="11" t="s">
        <v>7627</v>
      </c>
      <c r="Z5530" s="2" t="s">
        <v>36</v>
      </c>
      <c r="AA5530" s="13" t="s">
        <v>10387</v>
      </c>
      <c r="AB5530" s="13" t="s">
        <v>10388</v>
      </c>
    </row>
    <row r="5531" spans="1:28" ht="15" customHeight="1">
      <c r="A5531" s="2" t="s">
        <v>9697</v>
      </c>
      <c r="B5531" s="11" t="s">
        <v>3133</v>
      </c>
      <c r="C5531" s="31" t="s">
        <v>4281</v>
      </c>
      <c r="D5531" s="2" t="s">
        <v>30</v>
      </c>
      <c r="E5531" s="2" t="s">
        <v>826</v>
      </c>
      <c r="F5531" s="11" t="s">
        <v>6843</v>
      </c>
      <c r="G5531" s="21" t="s">
        <v>6844</v>
      </c>
      <c r="H5531" s="2" t="s">
        <v>7628</v>
      </c>
      <c r="I5531" s="12" t="s">
        <v>1994</v>
      </c>
      <c r="J5531" s="41">
        <f>+Tabla1[[#This Row],[FECHA ENTRADA]]</f>
        <v>46070</v>
      </c>
      <c r="K5531" s="22">
        <v>46203</v>
      </c>
      <c r="L5531" s="42">
        <f>_xlfn.DAYS(Tabla1[[#This Row],[FECHA FIN ]],Tabla1[[#This Row],[FECHA INICIO]])</f>
        <v>133</v>
      </c>
      <c r="M5531" s="12">
        <v>350</v>
      </c>
      <c r="N5531" s="28"/>
      <c r="O5531" s="28">
        <f>(Tabla1[[#This Row],[COSTO FIJO ]]/30)*Tabla1[[#This Row],[TOTAL DIAS PROYECTO]]+(Tabla1[[#This Row],[COSTO TEMPORAL]])</f>
        <v>350</v>
      </c>
      <c r="P5531" s="12"/>
      <c r="Q5531" s="12">
        <f>+(Tabla1[[#This Row],[COSTO COCHE]]/30)*Tabla1[[#This Row],[TOTAL DIAS PROYECTO]]</f>
        <v>0</v>
      </c>
      <c r="R5531" s="12">
        <f>+Tabla1[[#This Row],[COSTO TOTAL ALOJAMIENTO]]+Tabla1[[#This Row],[COSTO TOTAL COCHE]]</f>
        <v>350</v>
      </c>
      <c r="S5531" s="2"/>
      <c r="T5531" s="14" t="s">
        <v>44</v>
      </c>
      <c r="U5531" s="14">
        <v>46070</v>
      </c>
      <c r="V5531" s="79">
        <v>46207</v>
      </c>
      <c r="W5531" s="12"/>
      <c r="X5531" s="2"/>
      <c r="Y5531" s="11" t="s">
        <v>7629</v>
      </c>
      <c r="Z5531" s="2" t="s">
        <v>36</v>
      </c>
      <c r="AA5531" s="13" t="s">
        <v>10399</v>
      </c>
      <c r="AB5531" s="13" t="s">
        <v>10400</v>
      </c>
    </row>
    <row r="5532" spans="1:28" ht="15" customHeight="1">
      <c r="A5532" s="2" t="s">
        <v>10268</v>
      </c>
      <c r="B5532" s="2" t="s">
        <v>28</v>
      </c>
      <c r="C5532" s="11" t="s">
        <v>7630</v>
      </c>
      <c r="D5532" s="2" t="s">
        <v>30</v>
      </c>
      <c r="E5532" s="2" t="s">
        <v>92</v>
      </c>
      <c r="F5532" s="11" t="s">
        <v>3144</v>
      </c>
      <c r="G5532" s="11" t="s">
        <v>3145</v>
      </c>
      <c r="H5532" s="2" t="s">
        <v>3082</v>
      </c>
      <c r="I5532" s="12" t="s">
        <v>96</v>
      </c>
      <c r="J5532" s="8">
        <f>+Tabla1[[#This Row],[FECHA ENTRADA]]</f>
        <v>45349</v>
      </c>
      <c r="K5532" s="22">
        <v>45821</v>
      </c>
      <c r="L5532" s="13">
        <f>_xlfn.DAYS(Tabla1[[#This Row],[FECHA FIN ]],Tabla1[[#This Row],[FECHA INICIO]])</f>
        <v>472</v>
      </c>
      <c r="M5532" s="12"/>
      <c r="N5532" s="12"/>
      <c r="O5532" s="12">
        <f>(Tabla1[[#This Row],[COSTO FIJO ]]/30)*Tabla1[[#This Row],[TOTAL DIAS PROYECTO]]+(Tabla1[[#This Row],[COSTO TEMPORAL]])</f>
        <v>0</v>
      </c>
      <c r="P5532" s="12"/>
      <c r="Q5532" s="12">
        <f>+(Tabla1[[#This Row],[COSTO COCHE]]/30)*Tabla1[[#This Row],[TOTAL DIAS PROYECTO]]</f>
        <v>0</v>
      </c>
      <c r="R5532" s="12">
        <f>+Tabla1[[#This Row],[COSTO TOTAL ALOJAMIENTO]]+Tabla1[[#This Row],[COSTO TOTAL COCHE]]</f>
        <v>0</v>
      </c>
      <c r="S5532" s="2"/>
      <c r="T5532" s="2" t="s">
        <v>44</v>
      </c>
      <c r="U5532" s="14">
        <v>45349</v>
      </c>
      <c r="V5532" s="14"/>
      <c r="W5532" s="15"/>
      <c r="X5532" s="16">
        <v>27</v>
      </c>
      <c r="Y5532" s="11"/>
      <c r="Z5532" s="2" t="s">
        <v>36</v>
      </c>
      <c r="AA5532" s="13" t="s">
        <v>10336</v>
      </c>
      <c r="AB5532" s="13" t="s">
        <v>10337</v>
      </c>
    </row>
    <row r="5533" spans="1:28" ht="15" customHeight="1">
      <c r="A5533" s="2" t="s">
        <v>8642</v>
      </c>
      <c r="B5533" s="2" t="s">
        <v>606</v>
      </c>
      <c r="C5533" s="195" t="s">
        <v>6657</v>
      </c>
      <c r="D5533" s="2" t="s">
        <v>99</v>
      </c>
      <c r="E5533" s="2" t="s">
        <v>31</v>
      </c>
      <c r="F5533" s="11" t="s">
        <v>6382</v>
      </c>
      <c r="G5533" s="21" t="s">
        <v>6372</v>
      </c>
      <c r="H5533" s="2" t="s">
        <v>7631</v>
      </c>
      <c r="I5533" s="12" t="s">
        <v>385</v>
      </c>
      <c r="J5533" s="22">
        <f>+Tabla1[[#This Row],[FECHA ENTRADA]]</f>
        <v>46048</v>
      </c>
      <c r="K5533" s="22">
        <v>46207</v>
      </c>
      <c r="L5533" s="23">
        <f>_xlfn.DAYS(Tabla1[[#This Row],[FECHA FIN ]],Tabla1[[#This Row],[FECHA INICIO]])</f>
        <v>159</v>
      </c>
      <c r="M5533" s="12">
        <v>440</v>
      </c>
      <c r="N5533" s="20"/>
      <c r="O5533" s="24">
        <f>(Tabla1[[#This Row],[COSTO FIJO ]]/30)*Tabla1[[#This Row],[TOTAL DIAS PROYECTO]]+(Tabla1[[#This Row],[COSTO TEMPORAL]])</f>
        <v>440</v>
      </c>
      <c r="P5533" s="12"/>
      <c r="Q5533" s="12">
        <f>+(Tabla1[[#This Row],[COSTO COCHE]]/30)*Tabla1[[#This Row],[TOTAL DIAS PROYECTO]]</f>
        <v>0</v>
      </c>
      <c r="R5533" s="12">
        <f>+Tabla1[[#This Row],[COSTO TOTAL ALOJAMIENTO]]+Tabla1[[#This Row],[COSTO TOTAL COCHE]]</f>
        <v>440</v>
      </c>
      <c r="S5533" s="2"/>
      <c r="T5533" s="14" t="s">
        <v>44</v>
      </c>
      <c r="U5533" s="14">
        <v>46048</v>
      </c>
      <c r="V5533" s="79">
        <v>46207</v>
      </c>
      <c r="W5533" s="12"/>
      <c r="X5533" s="2"/>
      <c r="Y5533" s="11" t="s">
        <v>7632</v>
      </c>
      <c r="Z5533" s="2" t="s">
        <v>36</v>
      </c>
      <c r="AA5533" s="13" t="s">
        <v>10323</v>
      </c>
      <c r="AB5533" s="13" t="s">
        <v>10324</v>
      </c>
    </row>
    <row r="5534" spans="1:28" ht="15" customHeight="1">
      <c r="A5534" s="2" t="s">
        <v>9180</v>
      </c>
      <c r="B5534" s="2" t="s">
        <v>606</v>
      </c>
      <c r="C5534" s="322" t="s">
        <v>2337</v>
      </c>
      <c r="D5534" s="2" t="s">
        <v>30</v>
      </c>
      <c r="E5534" s="2" t="s">
        <v>31</v>
      </c>
      <c r="F5534" s="11" t="s">
        <v>1004</v>
      </c>
      <c r="G5534" s="167" t="s">
        <v>1005</v>
      </c>
      <c r="H5534" s="2" t="s">
        <v>2909</v>
      </c>
      <c r="I5534" s="12" t="s">
        <v>1540</v>
      </c>
      <c r="J5534" s="41">
        <f>+Tabla1[[#This Row],[FECHA ENTRADA]]</f>
        <v>45717</v>
      </c>
      <c r="K5534" s="41">
        <f ca="1">TODAY()</f>
        <v>46260</v>
      </c>
      <c r="L5534" s="42">
        <f ca="1">_xlfn.DAYS(Tabla1[[#This Row],[FECHA FIN ]],Tabla1[[#This Row],[FECHA INICIO]])</f>
        <v>543</v>
      </c>
      <c r="M5534" s="12"/>
      <c r="N5534" s="28">
        <v>533.33333333333337</v>
      </c>
      <c r="O5534" s="28">
        <f ca="1">(Tabla1[[#This Row],[COSTO FIJO ]]/30)*Tabla1[[#This Row],[TOTAL DIAS PROYECTO]]+(Tabla1[[#This Row],[COSTO TEMPORAL]])</f>
        <v>9653.3333333333339</v>
      </c>
      <c r="P5534" s="12"/>
      <c r="Q5534" s="12">
        <f ca="1">+(Tabla1[[#This Row],[COSTO COCHE]]/30)*Tabla1[[#This Row],[TOTAL DIAS PROYECTO]]</f>
        <v>0</v>
      </c>
      <c r="R5534" s="12">
        <f ca="1">+Tabla1[[#This Row],[COSTO TOTAL ALOJAMIENTO]]+Tabla1[[#This Row],[COSTO TOTAL COCHE]]</f>
        <v>9653.3333333333339</v>
      </c>
      <c r="S5534" s="2"/>
      <c r="T5534" s="2" t="s">
        <v>35</v>
      </c>
      <c r="U5534" s="14">
        <v>45717</v>
      </c>
      <c r="V5534" s="43"/>
      <c r="W5534" s="12">
        <v>1600</v>
      </c>
      <c r="X5534" s="2">
        <v>1</v>
      </c>
      <c r="Y5534" s="11"/>
      <c r="Z5534" s="2" t="s">
        <v>702</v>
      </c>
      <c r="AA5534" s="13" t="s">
        <v>10323</v>
      </c>
      <c r="AB5534" s="13" t="s">
        <v>10324</v>
      </c>
    </row>
    <row r="5535" spans="1:28" ht="15" customHeight="1">
      <c r="A5535" s="2" t="s">
        <v>9972</v>
      </c>
      <c r="B5535" s="2" t="s">
        <v>711</v>
      </c>
      <c r="C5535" s="321" t="s">
        <v>5788</v>
      </c>
      <c r="D5535" s="2" t="s">
        <v>30</v>
      </c>
      <c r="E5535" s="2" t="s">
        <v>1719</v>
      </c>
      <c r="F5535" s="11" t="s">
        <v>7633</v>
      </c>
      <c r="G5535" s="46" t="s">
        <v>7634</v>
      </c>
      <c r="H5535" s="2" t="s">
        <v>6308</v>
      </c>
      <c r="I5535" s="12" t="s">
        <v>1392</v>
      </c>
      <c r="J5535" s="41">
        <f>+Tabla1[[#This Row],[FECHA ENTRADA]]</f>
        <v>46070</v>
      </c>
      <c r="K5535" s="22">
        <v>46165</v>
      </c>
      <c r="L5535" s="42">
        <f>_xlfn.DAYS(Tabla1[[#This Row],[FECHA FIN ]],Tabla1[[#This Row],[FECHA INICIO]])</f>
        <v>95</v>
      </c>
      <c r="M5535" s="12">
        <f>(2621.45/5)+(700/5)+(2100/5)+(2100/5)+(2100/5)</f>
        <v>1924.29</v>
      </c>
      <c r="N5535" s="28"/>
      <c r="O5535" s="28">
        <f>(Tabla1[[#This Row],[COSTO FIJO ]]/30)*Tabla1[[#This Row],[TOTAL DIAS PROYECTO]]+(Tabla1[[#This Row],[COSTO TEMPORAL]])</f>
        <v>1924.29</v>
      </c>
      <c r="P5535" s="12"/>
      <c r="Q5535" s="12">
        <f>+(Tabla1[[#This Row],[COSTO COCHE]]/30)*Tabla1[[#This Row],[TOTAL DIAS PROYECTO]]</f>
        <v>0</v>
      </c>
      <c r="R5535" s="12">
        <f>+Tabla1[[#This Row],[COSTO TOTAL ALOJAMIENTO]]+Tabla1[[#This Row],[COSTO TOTAL COCHE]]</f>
        <v>1924.29</v>
      </c>
      <c r="S5535" s="2" t="s">
        <v>403</v>
      </c>
      <c r="T5535" s="14" t="s">
        <v>44</v>
      </c>
      <c r="U5535" s="14">
        <v>46070</v>
      </c>
      <c r="V5535" s="25">
        <v>46169</v>
      </c>
      <c r="W5535" s="12"/>
      <c r="X5535" s="2"/>
      <c r="Y5535" s="11" t="s">
        <v>7635</v>
      </c>
      <c r="Z5535" s="2" t="s">
        <v>36</v>
      </c>
      <c r="AA5535" s="13" t="s">
        <v>10427</v>
      </c>
      <c r="AB5535" s="13">
        <v>4260003</v>
      </c>
    </row>
    <row r="5536" spans="1:28" ht="15" customHeight="1">
      <c r="A5536" s="2" t="s">
        <v>9723</v>
      </c>
      <c r="B5536" s="11" t="s">
        <v>3133</v>
      </c>
      <c r="C5536" s="322" t="s">
        <v>4409</v>
      </c>
      <c r="D5536" s="2" t="s">
        <v>30</v>
      </c>
      <c r="E5536" s="2" t="s">
        <v>826</v>
      </c>
      <c r="F5536" s="11" t="s">
        <v>6843</v>
      </c>
      <c r="G5536" s="21" t="s">
        <v>6844</v>
      </c>
      <c r="H5536" s="2" t="s">
        <v>7636</v>
      </c>
      <c r="I5536" s="12" t="s">
        <v>1994</v>
      </c>
      <c r="J5536" s="22">
        <f>+Tabla1[[#This Row],[FECHA ENTRADA]]</f>
        <v>46183</v>
      </c>
      <c r="K5536" s="22">
        <v>46203</v>
      </c>
      <c r="L5536" s="23">
        <f>_xlfn.DAYS(Tabla1[[#This Row],[FECHA FIN ]],Tabla1[[#This Row],[FECHA INICIO]])</f>
        <v>20</v>
      </c>
      <c r="M5536" s="12">
        <v>350</v>
      </c>
      <c r="N5536" s="20"/>
      <c r="O5536" s="24">
        <f>(Tabla1[[#This Row],[COSTO FIJO ]]/30)*Tabla1[[#This Row],[TOTAL DIAS PROYECTO]]+(Tabla1[[#This Row],[COSTO TEMPORAL]])</f>
        <v>350</v>
      </c>
      <c r="P5536" s="12"/>
      <c r="Q5536" s="12">
        <f>+(Tabla1[[#This Row],[COSTO COCHE]]/30)*Tabla1[[#This Row],[TOTAL DIAS PROYECTO]]</f>
        <v>0</v>
      </c>
      <c r="R5536" s="12">
        <f>+Tabla1[[#This Row],[COSTO TOTAL ALOJAMIENTO]]+Tabla1[[#This Row],[COSTO TOTAL COCHE]]</f>
        <v>350</v>
      </c>
      <c r="S5536" s="2"/>
      <c r="T5536" s="14" t="s">
        <v>44</v>
      </c>
      <c r="U5536" s="14">
        <v>46183</v>
      </c>
      <c r="V5536" s="79">
        <v>46198</v>
      </c>
      <c r="W5536" s="12"/>
      <c r="X5536" s="2"/>
      <c r="Y5536" s="11"/>
      <c r="Z5536" s="2" t="s">
        <v>36</v>
      </c>
      <c r="AA5536" s="13" t="s">
        <v>10399</v>
      </c>
      <c r="AB5536" s="13" t="s">
        <v>10400</v>
      </c>
    </row>
    <row r="5537" spans="1:28" ht="15" customHeight="1">
      <c r="A5537" s="2" t="s">
        <v>10070</v>
      </c>
      <c r="B5537" s="2" t="s">
        <v>711</v>
      </c>
      <c r="C5537" s="31" t="s">
        <v>6198</v>
      </c>
      <c r="D5537" s="2" t="s">
        <v>30</v>
      </c>
      <c r="E5537" s="2" t="s">
        <v>7637</v>
      </c>
      <c r="F5537" s="11" t="s">
        <v>7638</v>
      </c>
      <c r="G5537" s="68" t="s">
        <v>7639</v>
      </c>
      <c r="H5537" s="2" t="s">
        <v>7640</v>
      </c>
      <c r="I5537" s="12" t="s">
        <v>5120</v>
      </c>
      <c r="J5537" s="41">
        <f>+Tabla1[[#This Row],[FECHA ENTRADA]]</f>
        <v>46063</v>
      </c>
      <c r="K5537" s="22">
        <v>46112</v>
      </c>
      <c r="L5537" s="42">
        <f>_xlfn.DAYS(Tabla1[[#This Row],[FECHA FIN ]],Tabla1[[#This Row],[FECHA INICIO]])</f>
        <v>49</v>
      </c>
      <c r="M5537" s="12">
        <v>300</v>
      </c>
      <c r="N5537" s="28"/>
      <c r="O5537" s="28">
        <f>(Tabla1[[#This Row],[COSTO FIJO ]]/30)*Tabla1[[#This Row],[TOTAL DIAS PROYECTO]]+(Tabla1[[#This Row],[COSTO TEMPORAL]])</f>
        <v>300</v>
      </c>
      <c r="P5537" s="12"/>
      <c r="Q5537" s="12">
        <f>+(Tabla1[[#This Row],[COSTO COCHE]]/30)*Tabla1[[#This Row],[TOTAL DIAS PROYECTO]]</f>
        <v>0</v>
      </c>
      <c r="R5537" s="12">
        <f>+Tabla1[[#This Row],[COSTO TOTAL ALOJAMIENTO]]+Tabla1[[#This Row],[COSTO TOTAL COCHE]]</f>
        <v>300</v>
      </c>
      <c r="S5537" s="2"/>
      <c r="T5537" s="14" t="s">
        <v>44</v>
      </c>
      <c r="U5537" s="14">
        <v>46063</v>
      </c>
      <c r="V5537" s="79">
        <v>46142</v>
      </c>
      <c r="W5537" s="12"/>
      <c r="X5537" s="2"/>
      <c r="Y5537" s="11" t="s">
        <v>7641</v>
      </c>
      <c r="Z5537" s="2" t="s">
        <v>36</v>
      </c>
      <c r="AA5537" s="13" t="e">
        <v>#N/A</v>
      </c>
      <c r="AB5537" s="13" t="e">
        <v>#N/A</v>
      </c>
    </row>
    <row r="5538" spans="1:28" ht="15" customHeight="1">
      <c r="A5538" s="2" t="s">
        <v>9528</v>
      </c>
      <c r="B5538" s="2" t="s">
        <v>978</v>
      </c>
      <c r="C5538" s="31" t="s">
        <v>3545</v>
      </c>
      <c r="D5538" s="2" t="s">
        <v>99</v>
      </c>
      <c r="E5538" s="2" t="s">
        <v>380</v>
      </c>
      <c r="F5538" s="11" t="s">
        <v>5246</v>
      </c>
      <c r="G5538" s="68" t="s">
        <v>2237</v>
      </c>
      <c r="H5538" s="2" t="s">
        <v>1799</v>
      </c>
      <c r="I5538" s="12" t="s">
        <v>5328</v>
      </c>
      <c r="J5538" s="41">
        <f>+Tabla1[[#This Row],[FECHA ENTRADA]]</f>
        <v>45855</v>
      </c>
      <c r="K5538" s="41">
        <v>46186</v>
      </c>
      <c r="L5538" s="42">
        <f>_xlfn.DAYS(Tabla1[[#This Row],[FECHA FIN ]],Tabla1[[#This Row],[FECHA INICIO]])</f>
        <v>331</v>
      </c>
      <c r="M5538" s="12"/>
      <c r="N5538" s="24">
        <v>400</v>
      </c>
      <c r="O5538" s="28">
        <f>(Tabla1[[#This Row],[COSTO FIJO ]]/30)*Tabla1[[#This Row],[TOTAL DIAS PROYECTO]]+(Tabla1[[#This Row],[COSTO TEMPORAL]])</f>
        <v>4413.3333333333339</v>
      </c>
      <c r="P5538" s="12"/>
      <c r="Q5538" s="12">
        <f>+(Tabla1[[#This Row],[COSTO COCHE]]/30)*Tabla1[[#This Row],[TOTAL DIAS PROYECTO]]</f>
        <v>0</v>
      </c>
      <c r="R5538" s="12">
        <f>+Tabla1[[#This Row],[COSTO TOTAL ALOJAMIENTO]]+Tabla1[[#This Row],[COSTO TOTAL COCHE]]</f>
        <v>4413.3333333333339</v>
      </c>
      <c r="S5538" s="2"/>
      <c r="T5538" s="14" t="s">
        <v>35</v>
      </c>
      <c r="U5538" s="14">
        <v>45855</v>
      </c>
      <c r="V5538" s="43"/>
      <c r="W5538" s="12">
        <v>1200</v>
      </c>
      <c r="X5538" s="2">
        <v>17</v>
      </c>
      <c r="Y5538" t="s">
        <v>7642</v>
      </c>
      <c r="Z5538" s="2" t="s">
        <v>36</v>
      </c>
      <c r="AA5538" s="13" t="s">
        <v>10370</v>
      </c>
      <c r="AB5538" s="13" t="s">
        <v>10371</v>
      </c>
    </row>
    <row r="5539" spans="1:28" ht="15" customHeight="1">
      <c r="A5539" s="2" t="s">
        <v>10269</v>
      </c>
      <c r="B5539" s="2" t="s">
        <v>711</v>
      </c>
      <c r="C5539" s="31" t="s">
        <v>7643</v>
      </c>
      <c r="D5539" s="2" t="s">
        <v>30</v>
      </c>
      <c r="E5539" s="2" t="s">
        <v>7637</v>
      </c>
      <c r="F5539" s="11" t="s">
        <v>7638</v>
      </c>
      <c r="G5539" s="68" t="s">
        <v>7639</v>
      </c>
      <c r="H5539" s="2" t="s">
        <v>7644</v>
      </c>
      <c r="I5539" s="12" t="s">
        <v>5120</v>
      </c>
      <c r="J5539" s="41">
        <f>+Tabla1[[#This Row],[FECHA ENTRADA]]</f>
        <v>46063</v>
      </c>
      <c r="K5539" s="22">
        <v>46177</v>
      </c>
      <c r="L5539" s="42">
        <f>_xlfn.DAYS(Tabla1[[#This Row],[FECHA FIN ]],Tabla1[[#This Row],[FECHA INICIO]])</f>
        <v>114</v>
      </c>
      <c r="M5539" s="12">
        <v>300</v>
      </c>
      <c r="N5539" s="28"/>
      <c r="O5539" s="28">
        <f>(Tabla1[[#This Row],[COSTO FIJO ]]/30)*Tabla1[[#This Row],[TOTAL DIAS PROYECTO]]+(Tabla1[[#This Row],[COSTO TEMPORAL]])</f>
        <v>300</v>
      </c>
      <c r="P5539" s="12"/>
      <c r="Q5539" s="12">
        <f>+(Tabla1[[#This Row],[COSTO COCHE]]/30)*Tabla1[[#This Row],[TOTAL DIAS PROYECTO]]</f>
        <v>0</v>
      </c>
      <c r="R5539" s="12">
        <f>+Tabla1[[#This Row],[COSTO TOTAL ALOJAMIENTO]]+Tabla1[[#This Row],[COSTO TOTAL COCHE]]</f>
        <v>300</v>
      </c>
      <c r="S5539" s="2"/>
      <c r="T5539" s="14" t="s">
        <v>44</v>
      </c>
      <c r="U5539" s="14">
        <v>46063</v>
      </c>
      <c r="V5539" s="25">
        <v>46177</v>
      </c>
      <c r="W5539" s="12"/>
      <c r="X5539" s="2"/>
      <c r="Y5539" s="11" t="s">
        <v>7645</v>
      </c>
      <c r="Z5539" s="2" t="s">
        <v>36</v>
      </c>
      <c r="AA5539" s="13" t="e">
        <v>#N/A</v>
      </c>
      <c r="AB5539" s="13" t="e">
        <v>#N/A</v>
      </c>
    </row>
    <row r="5540" spans="1:28" ht="15" customHeight="1">
      <c r="A5540" s="2" t="s">
        <v>8642</v>
      </c>
      <c r="B5540" s="2" t="s">
        <v>28</v>
      </c>
      <c r="C5540" s="11" t="s">
        <v>7354</v>
      </c>
      <c r="D5540" s="2" t="s">
        <v>749</v>
      </c>
      <c r="E5540" s="2" t="s">
        <v>288</v>
      </c>
      <c r="F5540" s="11" t="s">
        <v>7646</v>
      </c>
      <c r="G5540" s="30" t="s">
        <v>7647</v>
      </c>
      <c r="H5540" s="2"/>
      <c r="I5540" s="12" t="s">
        <v>753</v>
      </c>
      <c r="J5540" s="41">
        <f>+Tabla1[[#This Row],[FECHA ENTRADA]]</f>
        <v>45985</v>
      </c>
      <c r="K5540" s="22">
        <v>45996</v>
      </c>
      <c r="L5540" s="42">
        <f>_xlfn.DAYS(Tabla1[[#This Row],[FECHA FIN ]],Tabla1[[#This Row],[FECHA INICIO]])</f>
        <v>11</v>
      </c>
      <c r="M5540" s="12">
        <v>317</v>
      </c>
      <c r="N5540" s="28"/>
      <c r="O5540" s="28">
        <f>(Tabla1[[#This Row],[COSTO FIJO ]]/30)*Tabla1[[#This Row],[TOTAL DIAS PROYECTO]]+(Tabla1[[#This Row],[COSTO TEMPORAL]])</f>
        <v>317</v>
      </c>
      <c r="P5540" s="12"/>
      <c r="Q5540" s="12">
        <f>+(Tabla1[[#This Row],[COSTO COCHE]]/30)*Tabla1[[#This Row],[TOTAL DIAS PROYECTO]]</f>
        <v>0</v>
      </c>
      <c r="R5540" s="12">
        <f>+Tabla1[[#This Row],[COSTO TOTAL ALOJAMIENTO]]+Tabla1[[#This Row],[COSTO TOTAL COCHE]]</f>
        <v>317</v>
      </c>
      <c r="S5540" s="2"/>
      <c r="T5540" s="14" t="s">
        <v>44</v>
      </c>
      <c r="U5540" s="14">
        <v>45985</v>
      </c>
      <c r="V5540" s="25">
        <v>45997</v>
      </c>
      <c r="W5540" s="12"/>
      <c r="X5540" s="2"/>
      <c r="Y5540" s="11" t="s">
        <v>7648</v>
      </c>
      <c r="Z5540" s="2" t="s">
        <v>36</v>
      </c>
      <c r="AA5540" s="13" t="s">
        <v>10362</v>
      </c>
      <c r="AB5540" s="13" t="s">
        <v>10363</v>
      </c>
    </row>
    <row r="5541" spans="1:28" ht="15" customHeight="1">
      <c r="A5541" s="2" t="s">
        <v>9258</v>
      </c>
      <c r="B5541" s="2" t="s">
        <v>606</v>
      </c>
      <c r="C5541" s="31" t="s">
        <v>2625</v>
      </c>
      <c r="D5541" s="2" t="s">
        <v>30</v>
      </c>
      <c r="E5541" s="2" t="s">
        <v>109</v>
      </c>
      <c r="F5541" s="11" t="s">
        <v>4434</v>
      </c>
      <c r="G5541" s="49">
        <v>973266788</v>
      </c>
      <c r="H5541" s="2" t="s">
        <v>7649</v>
      </c>
      <c r="I5541" s="12" t="s">
        <v>1562</v>
      </c>
      <c r="J5541" s="41">
        <f>+Tabla1[[#This Row],[FECHA ENTRADA]]</f>
        <v>46103</v>
      </c>
      <c r="K5541" s="22">
        <v>46133</v>
      </c>
      <c r="L5541" s="42">
        <f>_xlfn.DAYS(Tabla1[[#This Row],[FECHA FIN ]],Tabla1[[#This Row],[FECHA INICIO]])</f>
        <v>30</v>
      </c>
      <c r="M5541" s="12">
        <v>161</v>
      </c>
      <c r="N5541" s="28"/>
      <c r="O5541" s="28">
        <f>(Tabla1[[#This Row],[COSTO FIJO ]]/30)*Tabla1[[#This Row],[TOTAL DIAS PROYECTO]]+(Tabla1[[#This Row],[COSTO TEMPORAL]])</f>
        <v>161</v>
      </c>
      <c r="P5541" s="12"/>
      <c r="Q5541" s="12">
        <f>+(Tabla1[[#This Row],[COSTO COCHE]]/30)*Tabla1[[#This Row],[TOTAL DIAS PROYECTO]]</f>
        <v>0</v>
      </c>
      <c r="R5541" s="12">
        <f>+Tabla1[[#This Row],[COSTO TOTAL ALOJAMIENTO]]+Tabla1[[#This Row],[COSTO TOTAL COCHE]]</f>
        <v>161</v>
      </c>
      <c r="S5541" s="2"/>
      <c r="T5541" s="14" t="s">
        <v>44</v>
      </c>
      <c r="U5541" s="14">
        <v>46103</v>
      </c>
      <c r="V5541" s="25">
        <v>46133</v>
      </c>
      <c r="W5541" s="12"/>
      <c r="X5541" s="2"/>
      <c r="Y5541" s="11" t="s">
        <v>7650</v>
      </c>
      <c r="Z5541" s="2" t="s">
        <v>36</v>
      </c>
      <c r="AA5541" s="13">
        <v>0.62217999999999996</v>
      </c>
      <c r="AB5541" s="13" t="s">
        <v>10339</v>
      </c>
    </row>
    <row r="5542" spans="1:28" ht="15" customHeight="1">
      <c r="A5542" s="2" t="s">
        <v>8642</v>
      </c>
      <c r="B5542" s="2" t="s">
        <v>606</v>
      </c>
      <c r="C5542" s="11" t="s">
        <v>7384</v>
      </c>
      <c r="D5542" s="2" t="s">
        <v>30</v>
      </c>
      <c r="E5542" s="2" t="s">
        <v>109</v>
      </c>
      <c r="F5542" s="11" t="s">
        <v>4434</v>
      </c>
      <c r="G5542" s="49">
        <v>973266788</v>
      </c>
      <c r="H5542" s="2" t="s">
        <v>3508</v>
      </c>
      <c r="I5542" s="12" t="s">
        <v>1562</v>
      </c>
      <c r="J5542" s="22">
        <f>+Tabla1[[#This Row],[FECHA ENTRADA]]</f>
        <v>46131</v>
      </c>
      <c r="K5542" s="22">
        <v>46141</v>
      </c>
      <c r="L5542" s="23">
        <f>_xlfn.DAYS(Tabla1[[#This Row],[FECHA FIN ]],Tabla1[[#This Row],[FECHA INICIO]])</f>
        <v>10</v>
      </c>
      <c r="M5542" s="12"/>
      <c r="N5542" s="20"/>
      <c r="O5542" s="24">
        <f>(Tabla1[[#This Row],[COSTO FIJO ]]/30)*Tabla1[[#This Row],[TOTAL DIAS PROYECTO]]+(Tabla1[[#This Row],[COSTO TEMPORAL]])</f>
        <v>0</v>
      </c>
      <c r="P5542" s="12"/>
      <c r="Q5542" s="12">
        <f>+(Tabla1[[#This Row],[COSTO COCHE]]/30)*Tabla1[[#This Row],[TOTAL DIAS PROYECTO]]</f>
        <v>0</v>
      </c>
      <c r="R5542" s="12">
        <f>+Tabla1[[#This Row],[COSTO TOTAL ALOJAMIENTO]]+Tabla1[[#This Row],[COSTO TOTAL COCHE]]</f>
        <v>0</v>
      </c>
      <c r="S5542" s="2"/>
      <c r="T5542" s="14" t="s">
        <v>44</v>
      </c>
      <c r="U5542" s="14">
        <v>46131</v>
      </c>
      <c r="V5542" s="43">
        <v>46141</v>
      </c>
      <c r="W5542" s="12"/>
      <c r="X5542" s="2"/>
      <c r="Y5542" s="11" t="s">
        <v>1361</v>
      </c>
      <c r="Z5542" s="2" t="s">
        <v>36</v>
      </c>
      <c r="AA5542" s="13">
        <v>0.62217999999999996</v>
      </c>
      <c r="AB5542" s="13" t="s">
        <v>10339</v>
      </c>
    </row>
    <row r="5543" spans="1:28" ht="15" customHeight="1">
      <c r="A5543" s="2" t="s">
        <v>8642</v>
      </c>
      <c r="B5543" s="2" t="s">
        <v>606</v>
      </c>
      <c r="C5543" s="11" t="s">
        <v>7651</v>
      </c>
      <c r="D5543" s="2" t="s">
        <v>30</v>
      </c>
      <c r="E5543" s="2" t="s">
        <v>259</v>
      </c>
      <c r="F5543" s="11" t="s">
        <v>5261</v>
      </c>
      <c r="G5543" s="197" t="s">
        <v>4207</v>
      </c>
      <c r="H5543" s="2" t="s">
        <v>7652</v>
      </c>
      <c r="I5543" s="12" t="s">
        <v>57</v>
      </c>
      <c r="J5543" s="22">
        <f>+Tabla1[[#This Row],[FECHA ENTRADA]]</f>
        <v>46208</v>
      </c>
      <c r="K5543" s="22">
        <v>46235</v>
      </c>
      <c r="L5543" s="23">
        <f>_xlfn.DAYS(Tabla1[[#This Row],[FECHA FIN ]],Tabla1[[#This Row],[FECHA INICIO]])</f>
        <v>27</v>
      </c>
      <c r="M5543" s="12"/>
      <c r="N5543" s="20">
        <v>380</v>
      </c>
      <c r="O5543" s="24">
        <f>(Tabla1[[#This Row],[COSTO FIJO ]]/30)*Tabla1[[#This Row],[TOTAL DIAS PROYECTO]]+(Tabla1[[#This Row],[COSTO TEMPORAL]])</f>
        <v>342</v>
      </c>
      <c r="P5543" s="12"/>
      <c r="Q5543" s="12">
        <f>+(Tabla1[[#This Row],[COSTO COCHE]]/30)*Tabla1[[#This Row],[TOTAL DIAS PROYECTO]]</f>
        <v>0</v>
      </c>
      <c r="R5543" s="12">
        <f>+Tabla1[[#This Row],[COSTO TOTAL ALOJAMIENTO]]+Tabla1[[#This Row],[COSTO TOTAL COCHE]]</f>
        <v>342</v>
      </c>
      <c r="S5543" s="2"/>
      <c r="T5543" s="14" t="s">
        <v>35</v>
      </c>
      <c r="U5543" s="14">
        <v>46208</v>
      </c>
      <c r="V5543" s="79"/>
      <c r="W5543" s="12"/>
      <c r="X5543" s="2">
        <v>1</v>
      </c>
      <c r="Y5543" s="11" t="s">
        <v>7653</v>
      </c>
      <c r="Z5543" s="2" t="s">
        <v>36</v>
      </c>
      <c r="AA5543" s="13">
        <v>-0.87734000000000001</v>
      </c>
      <c r="AB5543" s="13" t="s">
        <v>10359</v>
      </c>
    </row>
    <row r="5544" spans="1:28" ht="15" customHeight="1">
      <c r="A5544" s="2" t="s">
        <v>10270</v>
      </c>
      <c r="B5544" s="11" t="s">
        <v>3133</v>
      </c>
      <c r="C5544" s="181" t="s">
        <v>7654</v>
      </c>
      <c r="D5544" s="2" t="s">
        <v>30</v>
      </c>
      <c r="E5544" s="2" t="s">
        <v>31</v>
      </c>
      <c r="F5544" s="11" t="s">
        <v>1206</v>
      </c>
      <c r="G5544" s="51" t="s">
        <v>1005</v>
      </c>
      <c r="H5544" s="2" t="s">
        <v>7655</v>
      </c>
      <c r="I5544" s="12" t="s">
        <v>7656</v>
      </c>
      <c r="J5544" s="41">
        <f>+Tabla1[[#This Row],[FECHA ENTRADA]]</f>
        <v>46069</v>
      </c>
      <c r="K5544" s="22">
        <v>46081</v>
      </c>
      <c r="L5544" s="42">
        <f>_xlfn.DAYS(Tabla1[[#This Row],[FECHA FIN ]],Tabla1[[#This Row],[FECHA INICIO]])</f>
        <v>12</v>
      </c>
      <c r="M5544" s="12"/>
      <c r="N5544" s="20">
        <v>357.14285714285717</v>
      </c>
      <c r="O5544" s="28">
        <f>(Tabla1[[#This Row],[COSTO FIJO ]]/30)*Tabla1[[#This Row],[TOTAL DIAS PROYECTO]]+(Tabla1[[#This Row],[COSTO TEMPORAL]])</f>
        <v>142.85714285714286</v>
      </c>
      <c r="P5544" s="12"/>
      <c r="Q5544" s="12">
        <f>+(Tabla1[[#This Row],[COSTO COCHE]]/30)*Tabla1[[#This Row],[TOTAL DIAS PROYECTO]]</f>
        <v>0</v>
      </c>
      <c r="R5544" s="12">
        <f>+Tabla1[[#This Row],[COSTO TOTAL ALOJAMIENTO]]+Tabla1[[#This Row],[COSTO TOTAL COCHE]]</f>
        <v>142.85714285714286</v>
      </c>
      <c r="S5544" s="2"/>
      <c r="T5544" s="14" t="s">
        <v>35</v>
      </c>
      <c r="U5544" s="14">
        <v>46069</v>
      </c>
      <c r="V5544" s="43"/>
      <c r="W5544" s="12"/>
      <c r="X5544" s="2">
        <v>27</v>
      </c>
      <c r="Y5544" s="11" t="s">
        <v>7657</v>
      </c>
      <c r="Z5544" s="2" t="s">
        <v>36</v>
      </c>
      <c r="AA5544" s="13" t="s">
        <v>10323</v>
      </c>
      <c r="AB5544" s="13" t="s">
        <v>10324</v>
      </c>
    </row>
    <row r="5545" spans="1:28" ht="15" customHeight="1">
      <c r="A5545" s="2" t="s">
        <v>9649</v>
      </c>
      <c r="B5545" s="2" t="s">
        <v>606</v>
      </c>
      <c r="C5545" s="181" t="s">
        <v>4058</v>
      </c>
      <c r="D5545" s="2" t="s">
        <v>99</v>
      </c>
      <c r="E5545" s="2" t="s">
        <v>31</v>
      </c>
      <c r="F5545" s="11" t="s">
        <v>6382</v>
      </c>
      <c r="G5545" s="21" t="s">
        <v>6372</v>
      </c>
      <c r="H5545" s="2" t="s">
        <v>7658</v>
      </c>
      <c r="I5545" s="12" t="s">
        <v>385</v>
      </c>
      <c r="J5545" s="22">
        <f>+Tabla1[[#This Row],[FECHA ENTRADA]]</f>
        <v>46041</v>
      </c>
      <c r="K5545" s="22">
        <v>46220</v>
      </c>
      <c r="L5545" s="23">
        <f>_xlfn.DAYS(Tabla1[[#This Row],[FECHA FIN ]],Tabla1[[#This Row],[FECHA INICIO]])</f>
        <v>179</v>
      </c>
      <c r="M5545" s="12">
        <v>440</v>
      </c>
      <c r="N5545" s="20"/>
      <c r="O5545" s="24">
        <f>(Tabla1[[#This Row],[COSTO FIJO ]]/30)*Tabla1[[#This Row],[TOTAL DIAS PROYECTO]]+(Tabla1[[#This Row],[COSTO TEMPORAL]])</f>
        <v>440</v>
      </c>
      <c r="P5545" s="12"/>
      <c r="Q5545" s="12">
        <f>+(Tabla1[[#This Row],[COSTO COCHE]]/30)*Tabla1[[#This Row],[TOTAL DIAS PROYECTO]]</f>
        <v>0</v>
      </c>
      <c r="R5545" s="12">
        <f>+Tabla1[[#This Row],[COSTO TOTAL ALOJAMIENTO]]+Tabla1[[#This Row],[COSTO TOTAL COCHE]]</f>
        <v>440</v>
      </c>
      <c r="S5545" s="2"/>
      <c r="T5545" s="14" t="s">
        <v>44</v>
      </c>
      <c r="U5545" s="14">
        <v>46041</v>
      </c>
      <c r="V5545" s="25">
        <v>46220</v>
      </c>
      <c r="W5545" s="12"/>
      <c r="X5545" s="2"/>
      <c r="Y5545" s="11" t="s">
        <v>7659</v>
      </c>
      <c r="Z5545" s="2" t="s">
        <v>36</v>
      </c>
      <c r="AA5545" s="13" t="s">
        <v>10323</v>
      </c>
      <c r="AB5545" s="13" t="s">
        <v>10324</v>
      </c>
    </row>
    <row r="5546" spans="1:28" ht="15" customHeight="1">
      <c r="A5546" s="2" t="s">
        <v>8737</v>
      </c>
      <c r="B5546" s="2" t="s">
        <v>711</v>
      </c>
      <c r="C5546" s="279" t="s">
        <v>510</v>
      </c>
      <c r="D5546" s="2" t="s">
        <v>30</v>
      </c>
      <c r="E5546" s="2" t="s">
        <v>114</v>
      </c>
      <c r="F5546" s="11" t="s">
        <v>155</v>
      </c>
      <c r="G5546" s="21" t="s">
        <v>195</v>
      </c>
      <c r="H5546" s="2" t="s">
        <v>6775</v>
      </c>
      <c r="I5546" s="12" t="s">
        <v>118</v>
      </c>
      <c r="J5546" s="22">
        <f>+Tabla1[[#This Row],[FECHA ENTRADA]]</f>
        <v>46074</v>
      </c>
      <c r="K5546" s="22">
        <v>46136</v>
      </c>
      <c r="L5546" s="23">
        <f>_xlfn.DAYS(Tabla1[[#This Row],[FECHA FIN ]],Tabla1[[#This Row],[FECHA INICIO]])</f>
        <v>62</v>
      </c>
      <c r="M5546" s="12"/>
      <c r="N5546" s="20">
        <v>500</v>
      </c>
      <c r="O5546" s="24">
        <f>(Tabla1[[#This Row],[COSTO FIJO ]]/30)*Tabla1[[#This Row],[TOTAL DIAS PROYECTO]]+(Tabla1[[#This Row],[COSTO TEMPORAL]])</f>
        <v>1033.3333333333335</v>
      </c>
      <c r="P5546" s="12"/>
      <c r="Q5546" s="12">
        <f>+(Tabla1[[#This Row],[COSTO COCHE]]/30)*Tabla1[[#This Row],[TOTAL DIAS PROYECTO]]</f>
        <v>0</v>
      </c>
      <c r="R5546" s="12">
        <f>+Tabla1[[#This Row],[COSTO TOTAL ALOJAMIENTO]]+Tabla1[[#This Row],[COSTO TOTAL COCHE]]</f>
        <v>1033.3333333333335</v>
      </c>
      <c r="S5546" s="2"/>
      <c r="T5546" s="14" t="s">
        <v>35</v>
      </c>
      <c r="U5546" s="14">
        <v>46074</v>
      </c>
      <c r="V5546" s="79"/>
      <c r="W5546" s="12"/>
      <c r="X5546" s="2">
        <v>19</v>
      </c>
      <c r="Y5546" s="11" t="s">
        <v>7660</v>
      </c>
      <c r="Z5546" s="2" t="s">
        <v>36</v>
      </c>
      <c r="AA5546" s="13" t="s">
        <v>10340</v>
      </c>
      <c r="AB5546" s="13" t="s">
        <v>10341</v>
      </c>
    </row>
    <row r="5547" spans="1:28" ht="15" customHeight="1">
      <c r="A5547" s="2" t="s">
        <v>8642</v>
      </c>
      <c r="B5547" s="11" t="s">
        <v>3133</v>
      </c>
      <c r="C5547" s="11" t="s">
        <v>7661</v>
      </c>
      <c r="D5547" s="2" t="s">
        <v>30</v>
      </c>
      <c r="E5547" s="2" t="s">
        <v>31</v>
      </c>
      <c r="F5547" s="11" t="s">
        <v>1206</v>
      </c>
      <c r="G5547" s="167" t="s">
        <v>1005</v>
      </c>
      <c r="H5547" s="2" t="s">
        <v>7662</v>
      </c>
      <c r="I5547" s="12" t="s">
        <v>3137</v>
      </c>
      <c r="J5547" s="22">
        <f>+Tabla1[[#This Row],[FECHA ENTRADA]]</f>
        <v>46236</v>
      </c>
      <c r="K5547" s="22">
        <f ca="1">TODAY()</f>
        <v>46260</v>
      </c>
      <c r="L5547" s="23">
        <f ca="1">_xlfn.DAYS(Tabla1[[#This Row],[FECHA FIN ]],Tabla1[[#This Row],[FECHA INICIO]])</f>
        <v>24</v>
      </c>
      <c r="M5547" s="12"/>
      <c r="N5547" s="12">
        <v>625</v>
      </c>
      <c r="O5547" s="24">
        <f ca="1">(Tabla1[[#This Row],[COSTO FIJO ]]/30)*Tabla1[[#This Row],[TOTAL DIAS PROYECTO]]+(Tabla1[[#This Row],[COSTO TEMPORAL]])</f>
        <v>500</v>
      </c>
      <c r="P5547" s="12"/>
      <c r="Q5547" s="12">
        <f ca="1">+(Tabla1[[#This Row],[COSTO COCHE]]/30)*Tabla1[[#This Row],[TOTAL DIAS PROYECTO]]</f>
        <v>0</v>
      </c>
      <c r="R5547" s="12">
        <f ca="1">+Tabla1[[#This Row],[COSTO TOTAL ALOJAMIENTO]]+Tabla1[[#This Row],[COSTO TOTAL COCHE]]</f>
        <v>500</v>
      </c>
      <c r="S5547" s="2"/>
      <c r="T5547" s="14" t="s">
        <v>35</v>
      </c>
      <c r="U5547" s="14">
        <v>46236</v>
      </c>
      <c r="V5547" s="79"/>
      <c r="W5547" s="12"/>
      <c r="X5547" s="2">
        <v>1</v>
      </c>
      <c r="Y5547" s="11"/>
      <c r="Z5547" s="2" t="s">
        <v>702</v>
      </c>
      <c r="AA5547" s="13" t="s">
        <v>10323</v>
      </c>
      <c r="AB5547" s="13" t="s">
        <v>10324</v>
      </c>
    </row>
    <row r="5548" spans="1:28" ht="15" customHeight="1">
      <c r="A5548" s="2" t="s">
        <v>8642</v>
      </c>
      <c r="B5548" s="2" t="s">
        <v>606</v>
      </c>
      <c r="C5548" s="11" t="s">
        <v>7663</v>
      </c>
      <c r="D5548" s="2" t="s">
        <v>30</v>
      </c>
      <c r="E5548" s="2" t="s">
        <v>259</v>
      </c>
      <c r="F5548" s="11" t="s">
        <v>5261</v>
      </c>
      <c r="G5548" s="197" t="s">
        <v>4207</v>
      </c>
      <c r="H5548" s="2" t="s">
        <v>7664</v>
      </c>
      <c r="I5548" s="12" t="s">
        <v>7665</v>
      </c>
      <c r="J5548" s="41">
        <f>+Tabla1[[#This Row],[FECHA ENTRADA]]</f>
        <v>46242</v>
      </c>
      <c r="K5548" s="41">
        <f ca="1">TODAY()</f>
        <v>46260</v>
      </c>
      <c r="L5548" s="42">
        <f ca="1">_xlfn.DAYS(Tabla1[[#This Row],[FECHA FIN ]],Tabla1[[#This Row],[FECHA INICIO]])</f>
        <v>18</v>
      </c>
      <c r="M5548" s="12"/>
      <c r="N5548" s="20">
        <v>375</v>
      </c>
      <c r="O5548" s="28">
        <f ca="1">(Tabla1[[#This Row],[COSTO FIJO ]]/30)*Tabla1[[#This Row],[TOTAL DIAS PROYECTO]]+(Tabla1[[#This Row],[COSTO TEMPORAL]])</f>
        <v>225</v>
      </c>
      <c r="P5548" s="12"/>
      <c r="Q5548" s="12">
        <f ca="1">+(Tabla1[[#This Row],[COSTO COCHE]]/30)*Tabla1[[#This Row],[TOTAL DIAS PROYECTO]]</f>
        <v>0</v>
      </c>
      <c r="R5548" s="12">
        <f ca="1">+Tabla1[[#This Row],[COSTO TOTAL ALOJAMIENTO]]+Tabla1[[#This Row],[COSTO TOTAL COCHE]]</f>
        <v>225</v>
      </c>
      <c r="S5548" s="2"/>
      <c r="T5548" s="14" t="s">
        <v>35</v>
      </c>
      <c r="U5548" s="14">
        <v>46242</v>
      </c>
      <c r="V5548" s="43"/>
      <c r="W5548" s="12"/>
      <c r="X5548" s="2">
        <v>1</v>
      </c>
      <c r="Y5548" s="11"/>
      <c r="Z5548" s="2" t="s">
        <v>702</v>
      </c>
      <c r="AA5548" s="13">
        <v>-0.87734000000000001</v>
      </c>
      <c r="AB5548" s="13" t="s">
        <v>10359</v>
      </c>
    </row>
    <row r="5549" spans="1:28" ht="15" customHeight="1">
      <c r="A5549" s="2" t="s">
        <v>8642</v>
      </c>
      <c r="B5549" s="11" t="s">
        <v>3133</v>
      </c>
      <c r="C5549" s="11" t="s">
        <v>7094</v>
      </c>
      <c r="D5549" s="2" t="s">
        <v>99</v>
      </c>
      <c r="E5549" s="2" t="s">
        <v>87</v>
      </c>
      <c r="F5549" s="11" t="s">
        <v>3134</v>
      </c>
      <c r="G5549" s="49" t="s">
        <v>3135</v>
      </c>
      <c r="H5549" s="2" t="s">
        <v>3193</v>
      </c>
      <c r="I5549" s="12" t="s">
        <v>3137</v>
      </c>
      <c r="J5549" s="41">
        <f>+Tabla1[[#This Row],[FECHA ENTRADA]]</f>
        <v>46105</v>
      </c>
      <c r="K5549" s="8">
        <v>46143</v>
      </c>
      <c r="L5549" s="42">
        <f>_xlfn.DAYS(Tabla1[[#This Row],[FECHA FIN ]],Tabla1[[#This Row],[FECHA INICIO]])</f>
        <v>38</v>
      </c>
      <c r="M5549" s="12"/>
      <c r="N5549" s="28">
        <v>450</v>
      </c>
      <c r="O5549" s="28">
        <f>(Tabla1[[#This Row],[COSTO FIJO ]]/30)*Tabla1[[#This Row],[TOTAL DIAS PROYECTO]]+(Tabla1[[#This Row],[COSTO TEMPORAL]])</f>
        <v>570</v>
      </c>
      <c r="P5549" s="12"/>
      <c r="Q5549" s="12">
        <f>+(Tabla1[[#This Row],[COSTO COCHE]]/30)*Tabla1[[#This Row],[TOTAL DIAS PROYECTO]]</f>
        <v>0</v>
      </c>
      <c r="R5549" s="12">
        <f>+Tabla1[[#This Row],[COSTO TOTAL ALOJAMIENTO]]+Tabla1[[#This Row],[COSTO TOTAL COCHE]]</f>
        <v>570</v>
      </c>
      <c r="S5549" s="2"/>
      <c r="T5549" s="14" t="s">
        <v>35</v>
      </c>
      <c r="U5549" s="14">
        <v>46105</v>
      </c>
      <c r="V5549" s="43"/>
      <c r="W5549" s="12"/>
      <c r="X5549" s="2">
        <v>17</v>
      </c>
      <c r="Y5549" s="11" t="s">
        <v>7666</v>
      </c>
      <c r="Z5549" s="2" t="s">
        <v>36</v>
      </c>
      <c r="AA5549" s="13" t="s">
        <v>10335</v>
      </c>
      <c r="AB5549" s="13">
        <v>404.16500000000002</v>
      </c>
    </row>
    <row r="5550" spans="1:28" ht="15" customHeight="1">
      <c r="A5550" s="2" t="s">
        <v>10271</v>
      </c>
      <c r="B5550" s="11" t="s">
        <v>3133</v>
      </c>
      <c r="C5550" s="11" t="s">
        <v>7667</v>
      </c>
      <c r="D5550" s="2" t="s">
        <v>99</v>
      </c>
      <c r="E5550" s="2" t="s">
        <v>87</v>
      </c>
      <c r="F5550" s="11" t="s">
        <v>3134</v>
      </c>
      <c r="G5550" s="49" t="s">
        <v>3135</v>
      </c>
      <c r="H5550" s="2" t="s">
        <v>3193</v>
      </c>
      <c r="I5550" s="12" t="s">
        <v>3137</v>
      </c>
      <c r="J5550" s="41">
        <f>+Tabla1[[#This Row],[FECHA ENTRADA]]</f>
        <v>46105</v>
      </c>
      <c r="K5550" s="8">
        <v>46143</v>
      </c>
      <c r="L5550" s="42">
        <f>_xlfn.DAYS(Tabla1[[#This Row],[FECHA FIN ]],Tabla1[[#This Row],[FECHA INICIO]])</f>
        <v>38</v>
      </c>
      <c r="M5550" s="12"/>
      <c r="N5550" s="28">
        <v>450</v>
      </c>
      <c r="O5550" s="28">
        <f>(Tabla1[[#This Row],[COSTO FIJO ]]/30)*Tabla1[[#This Row],[TOTAL DIAS PROYECTO]]+(Tabla1[[#This Row],[COSTO TEMPORAL]])</f>
        <v>570</v>
      </c>
      <c r="P5550" s="12"/>
      <c r="Q5550" s="12">
        <f>+(Tabla1[[#This Row],[COSTO COCHE]]/30)*Tabla1[[#This Row],[TOTAL DIAS PROYECTO]]</f>
        <v>0</v>
      </c>
      <c r="R5550" s="12">
        <f>+Tabla1[[#This Row],[COSTO TOTAL ALOJAMIENTO]]+Tabla1[[#This Row],[COSTO TOTAL COCHE]]</f>
        <v>570</v>
      </c>
      <c r="S5550" s="2"/>
      <c r="T5550" s="14" t="s">
        <v>35</v>
      </c>
      <c r="U5550" s="14">
        <v>46105</v>
      </c>
      <c r="V5550" s="43"/>
      <c r="W5550" s="12"/>
      <c r="X5550" s="2">
        <v>17</v>
      </c>
      <c r="Y5550" s="11" t="s">
        <v>7668</v>
      </c>
      <c r="Z5550" s="2" t="s">
        <v>36</v>
      </c>
      <c r="AA5550" s="13" t="s">
        <v>10335</v>
      </c>
      <c r="AB5550" s="13">
        <v>404.16500000000002</v>
      </c>
    </row>
    <row r="5551" spans="1:28" ht="15" customHeight="1">
      <c r="A5551" s="2" t="s">
        <v>9773</v>
      </c>
      <c r="B5551" s="2" t="s">
        <v>606</v>
      </c>
      <c r="C5551" s="11" t="s">
        <v>4675</v>
      </c>
      <c r="D5551" s="2" t="s">
        <v>30</v>
      </c>
      <c r="E5551" s="2" t="s">
        <v>213</v>
      </c>
      <c r="F5551" s="11"/>
      <c r="G5551" s="11"/>
      <c r="H5551" s="2" t="s">
        <v>7124</v>
      </c>
      <c r="I5551" s="10" t="s">
        <v>3364</v>
      </c>
      <c r="J5551" s="22">
        <f>+Tabla1[[#This Row],[FECHA ENTRADA]]</f>
        <v>46111</v>
      </c>
      <c r="K5551" s="22">
        <v>46180</v>
      </c>
      <c r="L5551" s="23">
        <f>_xlfn.DAYS(Tabla1[[#This Row],[FECHA FIN ]],Tabla1[[#This Row],[FECHA INICIO]])</f>
        <v>69</v>
      </c>
      <c r="M5551" s="12"/>
      <c r="N5551" s="24">
        <v>300</v>
      </c>
      <c r="O5551" s="24">
        <f>(Tabla1[[#This Row],[COSTO FIJO ]]/30)*Tabla1[[#This Row],[TOTAL DIAS PROYECTO]]+(Tabla1[[#This Row],[COSTO TEMPORAL]])</f>
        <v>690</v>
      </c>
      <c r="P5551" s="12"/>
      <c r="Q5551" s="12">
        <f>+(Tabla1[[#This Row],[COSTO COCHE]]/30)*Tabla1[[#This Row],[TOTAL DIAS PROYECTO]]</f>
        <v>0</v>
      </c>
      <c r="R5551" s="12">
        <f>+Tabla1[[#This Row],[COSTO TOTAL ALOJAMIENTO]]+Tabla1[[#This Row],[COSTO TOTAL COCHE]]</f>
        <v>690</v>
      </c>
      <c r="S5551" s="2"/>
      <c r="T5551" s="14" t="s">
        <v>58</v>
      </c>
      <c r="U5551" s="14">
        <v>46111</v>
      </c>
      <c r="V5551" s="25"/>
      <c r="W5551" s="12"/>
      <c r="X5551" s="2"/>
      <c r="Y5551" s="11" t="s">
        <v>7669</v>
      </c>
      <c r="Z5551" s="2" t="s">
        <v>36</v>
      </c>
      <c r="AA5551" s="13" t="s">
        <v>10349</v>
      </c>
      <c r="AB5551" s="13" t="s">
        <v>10350</v>
      </c>
    </row>
    <row r="5552" spans="1:28" ht="15" customHeight="1">
      <c r="A5552" s="2" t="s">
        <v>9944</v>
      </c>
      <c r="B5552" s="2" t="s">
        <v>711</v>
      </c>
      <c r="C5552" s="31" t="s">
        <v>5595</v>
      </c>
      <c r="D5552" s="2" t="s">
        <v>99</v>
      </c>
      <c r="E5552" s="2" t="s">
        <v>31</v>
      </c>
      <c r="F5552" s="11" t="s">
        <v>5279</v>
      </c>
      <c r="G5552" s="49" t="s">
        <v>5280</v>
      </c>
      <c r="H5552" s="2" t="s">
        <v>7670</v>
      </c>
      <c r="I5552" s="12" t="s">
        <v>3917</v>
      </c>
      <c r="J5552" s="41">
        <f>+Tabla1[[#This Row],[FECHA ENTRADA]]</f>
        <v>45981</v>
      </c>
      <c r="K5552" s="41">
        <v>46172</v>
      </c>
      <c r="L5552" s="42">
        <f>_xlfn.DAYS(Tabla1[[#This Row],[FECHA FIN ]],Tabla1[[#This Row],[FECHA INICIO]])</f>
        <v>191</v>
      </c>
      <c r="M5552" s="12"/>
      <c r="N5552" s="28">
        <v>470</v>
      </c>
      <c r="O5552" s="28">
        <f>(Tabla1[[#This Row],[COSTO FIJO ]]/30)*Tabla1[[#This Row],[TOTAL DIAS PROYECTO]]+(Tabla1[[#This Row],[COSTO TEMPORAL]])</f>
        <v>2992.333333333333</v>
      </c>
      <c r="P5552" s="12"/>
      <c r="Q5552" s="12">
        <f>+(Tabla1[[#This Row],[COSTO COCHE]]/30)*Tabla1[[#This Row],[TOTAL DIAS PROYECTO]]</f>
        <v>0</v>
      </c>
      <c r="R5552" s="12">
        <f>+Tabla1[[#This Row],[COSTO TOTAL ALOJAMIENTO]]+Tabla1[[#This Row],[COSTO TOTAL COCHE]]</f>
        <v>2992.333333333333</v>
      </c>
      <c r="S5552" s="2"/>
      <c r="T5552" s="14" t="s">
        <v>35</v>
      </c>
      <c r="U5552" s="14">
        <v>45981</v>
      </c>
      <c r="V5552" s="43"/>
      <c r="W5552" s="12"/>
      <c r="X5552" s="2">
        <v>18</v>
      </c>
      <c r="Y5552" s="11" t="s">
        <v>7671</v>
      </c>
      <c r="Z5552" s="2" t="s">
        <v>36</v>
      </c>
      <c r="AA5552" s="13" t="s">
        <v>10323</v>
      </c>
      <c r="AB5552" s="13" t="s">
        <v>10324</v>
      </c>
    </row>
    <row r="5553" spans="1:28" ht="15" customHeight="1">
      <c r="A5553" s="2" t="s">
        <v>10141</v>
      </c>
      <c r="B5553" s="2" t="s">
        <v>606</v>
      </c>
      <c r="C5553" s="11" t="s">
        <v>6608</v>
      </c>
      <c r="D5553" s="2" t="s">
        <v>99</v>
      </c>
      <c r="E5553" s="2" t="s">
        <v>31</v>
      </c>
      <c r="F5553" s="11"/>
      <c r="G5553" s="11"/>
      <c r="H5553" s="2" t="s">
        <v>4949</v>
      </c>
      <c r="I5553" s="12" t="s">
        <v>1540</v>
      </c>
      <c r="J5553" s="22">
        <f>+Tabla1[[#This Row],[FECHA ENTRADA]]</f>
        <v>46040</v>
      </c>
      <c r="K5553" s="22">
        <f ca="1">TODAY()</f>
        <v>46260</v>
      </c>
      <c r="L5553" s="23">
        <f ca="1">_xlfn.DAYS(Tabla1[[#This Row],[FECHA FIN ]],Tabla1[[#This Row],[FECHA INICIO]])</f>
        <v>220</v>
      </c>
      <c r="M5553" s="12"/>
      <c r="N5553" s="20">
        <v>300</v>
      </c>
      <c r="O5553" s="24">
        <f ca="1">(Tabla1[[#This Row],[COSTO FIJO ]]/30)*Tabla1[[#This Row],[TOTAL DIAS PROYECTO]]+(Tabla1[[#This Row],[COSTO TEMPORAL]])</f>
        <v>2200</v>
      </c>
      <c r="P5553" s="12"/>
      <c r="Q5553" s="12">
        <f ca="1">+(Tabla1[[#This Row],[COSTO COCHE]]/30)*Tabla1[[#This Row],[TOTAL DIAS PROYECTO]]</f>
        <v>0</v>
      </c>
      <c r="R5553" s="12">
        <f ca="1">+Tabla1[[#This Row],[COSTO TOTAL ALOJAMIENTO]]+Tabla1[[#This Row],[COSTO TOTAL COCHE]]</f>
        <v>2200</v>
      </c>
      <c r="S5553" s="2"/>
      <c r="T5553" s="14" t="s">
        <v>58</v>
      </c>
      <c r="U5553" s="14">
        <v>46040</v>
      </c>
      <c r="V5553" s="79"/>
      <c r="W5553" s="12"/>
      <c r="X5553" s="2"/>
      <c r="Y5553" s="11"/>
      <c r="Z5553" s="2" t="s">
        <v>702</v>
      </c>
      <c r="AA5553" s="13" t="s">
        <v>10323</v>
      </c>
      <c r="AB5553" s="13" t="s">
        <v>10324</v>
      </c>
    </row>
    <row r="5554" spans="1:28" ht="15" customHeight="1">
      <c r="A5554" s="2" t="s">
        <v>10272</v>
      </c>
      <c r="B5554" s="2" t="s">
        <v>606</v>
      </c>
      <c r="C5554" s="321" t="s">
        <v>7672</v>
      </c>
      <c r="D5554" s="2" t="s">
        <v>30</v>
      </c>
      <c r="E5554" s="2" t="s">
        <v>31</v>
      </c>
      <c r="F5554" s="11" t="s">
        <v>1206</v>
      </c>
      <c r="G5554" s="167" t="s">
        <v>1005</v>
      </c>
      <c r="H5554" s="2" t="s">
        <v>7673</v>
      </c>
      <c r="I5554" s="12" t="s">
        <v>5601</v>
      </c>
      <c r="J5554" s="41">
        <f>+Tabla1[[#This Row],[FECHA ENTRADA]]</f>
        <v>46217</v>
      </c>
      <c r="K5554" s="22">
        <v>46217</v>
      </c>
      <c r="L5554" s="42">
        <f>_xlfn.DAYS(Tabla1[[#This Row],[FECHA FIN ]],Tabla1[[#This Row],[FECHA INICIO]])</f>
        <v>0</v>
      </c>
      <c r="M5554" s="12"/>
      <c r="N5554" s="28"/>
      <c r="O5554" s="28">
        <f>(Tabla1[[#This Row],[COSTO FIJO ]]/30)*Tabla1[[#This Row],[TOTAL DIAS PROYECTO]]+(Tabla1[[#This Row],[COSTO TEMPORAL]])</f>
        <v>0</v>
      </c>
      <c r="P5554" s="12"/>
      <c r="Q5554" s="12">
        <f>+(Tabla1[[#This Row],[COSTO COCHE]]/30)*Tabla1[[#This Row],[TOTAL DIAS PROYECTO]]</f>
        <v>0</v>
      </c>
      <c r="R5554" s="12">
        <f>+Tabla1[[#This Row],[COSTO TOTAL ALOJAMIENTO]]+Tabla1[[#This Row],[COSTO TOTAL COCHE]]</f>
        <v>0</v>
      </c>
      <c r="S5554" s="2"/>
      <c r="T5554" s="14" t="s">
        <v>35</v>
      </c>
      <c r="U5554" s="14">
        <v>46217</v>
      </c>
      <c r="V5554" s="43"/>
      <c r="W5554" s="12"/>
      <c r="X5554" s="2">
        <v>1</v>
      </c>
      <c r="Y5554" s="11" t="s">
        <v>7674</v>
      </c>
      <c r="Z5554" s="2" t="s">
        <v>36</v>
      </c>
      <c r="AA5554" s="13" t="s">
        <v>10323</v>
      </c>
      <c r="AB5554" s="13" t="s">
        <v>10324</v>
      </c>
    </row>
    <row r="5555" spans="1:28" ht="15" customHeight="1">
      <c r="A5555" s="2" t="s">
        <v>10268</v>
      </c>
      <c r="B5555" s="2" t="s">
        <v>28</v>
      </c>
      <c r="C5555" s="11" t="s">
        <v>7630</v>
      </c>
      <c r="D5555" s="2" t="s">
        <v>30</v>
      </c>
      <c r="E5555" s="2" t="s">
        <v>648</v>
      </c>
      <c r="F5555" s="11" t="s">
        <v>1544</v>
      </c>
      <c r="G5555" s="11" t="s">
        <v>1545</v>
      </c>
      <c r="H5555" s="2" t="s">
        <v>5189</v>
      </c>
      <c r="I5555" s="12" t="s">
        <v>96</v>
      </c>
      <c r="J5555" s="41">
        <v>45557</v>
      </c>
      <c r="K5555" s="22">
        <v>45944</v>
      </c>
      <c r="L5555" s="42">
        <f>_xlfn.DAYS(Tabla1[[#This Row],[FECHA FIN ]],Tabla1[[#This Row],[FECHA INICIO]])</f>
        <v>387</v>
      </c>
      <c r="M5555" s="12"/>
      <c r="N5555" s="12"/>
      <c r="O5555" s="28">
        <f>(Tabla1[[#This Row],[COSTO FIJO ]]/30)*Tabla1[[#This Row],[TOTAL DIAS PROYECTO]]+(Tabla1[[#This Row],[COSTO TEMPORAL]])</f>
        <v>0</v>
      </c>
      <c r="P5555" s="12">
        <f>519.82/2</f>
        <v>259.91000000000003</v>
      </c>
      <c r="Q5555" s="12">
        <f>+(Tabla1[[#This Row],[COSTO COCHE]]/30)*Tabla1[[#This Row],[TOTAL DIAS PROYECTO]]</f>
        <v>3352.8390000000004</v>
      </c>
      <c r="R5555" s="12">
        <f>+Tabla1[[#This Row],[COSTO TOTAL ALOJAMIENTO]]+Tabla1[[#This Row],[COSTO TOTAL COCHE]]</f>
        <v>3352.8390000000004</v>
      </c>
      <c r="S5555" s="2"/>
      <c r="T5555" s="2" t="s">
        <v>35</v>
      </c>
      <c r="U5555" s="14">
        <v>45557</v>
      </c>
      <c r="V5555" s="43"/>
      <c r="W5555" s="26"/>
      <c r="X5555" s="2">
        <v>1</v>
      </c>
      <c r="Y5555" s="11" t="s">
        <v>7675</v>
      </c>
      <c r="Z5555" s="2" t="s">
        <v>36</v>
      </c>
      <c r="AA5555" s="13" t="s">
        <v>10387</v>
      </c>
      <c r="AB5555" s="13" t="s">
        <v>10388</v>
      </c>
    </row>
    <row r="5556" spans="1:28" ht="15" customHeight="1">
      <c r="A5556" s="2" t="s">
        <v>9085</v>
      </c>
      <c r="B5556" s="2" t="s">
        <v>711</v>
      </c>
      <c r="C5556" s="31" t="s">
        <v>1954</v>
      </c>
      <c r="D5556" s="2" t="s">
        <v>30</v>
      </c>
      <c r="E5556" s="2" t="s">
        <v>114</v>
      </c>
      <c r="F5556" s="11" t="s">
        <v>7676</v>
      </c>
      <c r="G5556" s="49" t="s">
        <v>7677</v>
      </c>
      <c r="H5556" s="2" t="s">
        <v>6775</v>
      </c>
      <c r="I5556" s="12" t="s">
        <v>118</v>
      </c>
      <c r="J5556" s="22">
        <f>+Tabla1[[#This Row],[FECHA ENTRADA]]</f>
        <v>46074</v>
      </c>
      <c r="K5556" s="22">
        <v>46186</v>
      </c>
      <c r="L5556" s="23">
        <f>_xlfn.DAYS(Tabla1[[#This Row],[FECHA FIN ]],Tabla1[[#This Row],[FECHA INICIO]])</f>
        <v>112</v>
      </c>
      <c r="M5556" s="12"/>
      <c r="N5556" s="20">
        <v>362.5</v>
      </c>
      <c r="O5556" s="24">
        <f>(Tabla1[[#This Row],[COSTO FIJO ]]/30)*Tabla1[[#This Row],[TOTAL DIAS PROYECTO]]+(Tabla1[[#This Row],[COSTO TEMPORAL]])</f>
        <v>1353.3333333333335</v>
      </c>
      <c r="P5556" s="12"/>
      <c r="Q5556" s="12">
        <f>+(Tabla1[[#This Row],[COSTO COCHE]]/30)*Tabla1[[#This Row],[TOTAL DIAS PROYECTO]]</f>
        <v>0</v>
      </c>
      <c r="R5556" s="12">
        <f>+Tabla1[[#This Row],[COSTO TOTAL ALOJAMIENTO]]+Tabla1[[#This Row],[COSTO TOTAL COCHE]]</f>
        <v>1353.3333333333335</v>
      </c>
      <c r="S5556" s="2"/>
      <c r="T5556" s="14" t="s">
        <v>35</v>
      </c>
      <c r="U5556" s="14">
        <v>46074</v>
      </c>
      <c r="V5556" s="79"/>
      <c r="W5556" s="12"/>
      <c r="X5556" s="2">
        <v>19</v>
      </c>
      <c r="Y5556" s="11" t="s">
        <v>7678</v>
      </c>
      <c r="Z5556" s="2" t="s">
        <v>36</v>
      </c>
      <c r="AA5556" s="13" t="s">
        <v>10340</v>
      </c>
      <c r="AB5556" s="13" t="s">
        <v>10341</v>
      </c>
    </row>
    <row r="5557" spans="1:28" ht="15" customHeight="1">
      <c r="A5557" s="117" t="s">
        <v>10070</v>
      </c>
      <c r="B5557" s="117" t="s">
        <v>28</v>
      </c>
      <c r="C5557" s="118" t="s">
        <v>6198</v>
      </c>
      <c r="D5557" s="117" t="s">
        <v>749</v>
      </c>
      <c r="E5557" s="117" t="s">
        <v>288</v>
      </c>
      <c r="F5557" s="11" t="s">
        <v>7679</v>
      </c>
      <c r="G5557" t="s">
        <v>1142</v>
      </c>
      <c r="H5557" s="117" t="s">
        <v>6602</v>
      </c>
      <c r="I5557" s="119" t="s">
        <v>753</v>
      </c>
      <c r="J5557" s="121">
        <f>+Tabla1[[#This Row],[FECHA ENTRADA]]</f>
        <v>45994</v>
      </c>
      <c r="K5557" s="121">
        <v>46000</v>
      </c>
      <c r="L5557" s="129">
        <f>_xlfn.DAYS(Tabla1[[#This Row],[FECHA FIN ]],Tabla1[[#This Row],[FECHA INICIO]])</f>
        <v>6</v>
      </c>
      <c r="M5557" s="119">
        <v>198.5</v>
      </c>
      <c r="N5557" s="130"/>
      <c r="O5557" s="131">
        <f>(Tabla1[[#This Row],[COSTO FIJO ]]/30)*Tabla1[[#This Row],[TOTAL DIAS PROYECTO]]+(Tabla1[[#This Row],[COSTO TEMPORAL]])</f>
        <v>198.5</v>
      </c>
      <c r="P5557" s="119"/>
      <c r="Q5557" s="119">
        <f>+(Tabla1[[#This Row],[COSTO COCHE]]/30)*Tabla1[[#This Row],[TOTAL DIAS PROYECTO]]</f>
        <v>0</v>
      </c>
      <c r="R5557" s="119">
        <f>+Tabla1[[#This Row],[COSTO TOTAL ALOJAMIENTO]]+Tabla1[[#This Row],[COSTO TOTAL COCHE]]</f>
        <v>198.5</v>
      </c>
      <c r="S5557" s="117"/>
      <c r="T5557" s="124" t="s">
        <v>44</v>
      </c>
      <c r="U5557" s="124">
        <v>45994</v>
      </c>
      <c r="V5557" s="125">
        <v>46000</v>
      </c>
      <c r="W5557" s="119"/>
      <c r="X5557" s="117"/>
      <c r="Y5557" s="118"/>
      <c r="Z5557" s="117" t="s">
        <v>36</v>
      </c>
      <c r="AA5557" s="127" t="s">
        <v>10362</v>
      </c>
      <c r="AB5557" s="127" t="s">
        <v>10363</v>
      </c>
    </row>
    <row r="5558" spans="1:28" ht="15" customHeight="1">
      <c r="A5558" s="2" t="s">
        <v>10273</v>
      </c>
      <c r="B5558" s="2" t="s">
        <v>606</v>
      </c>
      <c r="C5558" s="31" t="s">
        <v>7680</v>
      </c>
      <c r="D5558" s="2" t="s">
        <v>99</v>
      </c>
      <c r="E5558" s="2" t="s">
        <v>31</v>
      </c>
      <c r="F5558" s="11" t="s">
        <v>1206</v>
      </c>
      <c r="G5558" t="s">
        <v>1005</v>
      </c>
      <c r="H5558" s="2" t="s">
        <v>6360</v>
      </c>
      <c r="I5558" s="12" t="s">
        <v>3054</v>
      </c>
      <c r="J5558" s="22">
        <f>+Tabla1[[#This Row],[FECHA ENTRADA]]</f>
        <v>45718</v>
      </c>
      <c r="K5558" s="22">
        <v>46133</v>
      </c>
      <c r="L5558" s="23">
        <f>_xlfn.DAYS(Tabla1[[#This Row],[FECHA FIN ]],Tabla1[[#This Row],[FECHA INICIO]])</f>
        <v>415</v>
      </c>
      <c r="M5558" s="12"/>
      <c r="N5558" s="20">
        <v>312.5</v>
      </c>
      <c r="O5558" s="24">
        <f>(Tabla1[[#This Row],[COSTO FIJO ]]/30)*Tabla1[[#This Row],[TOTAL DIAS PROYECTO]]+(Tabla1[[#This Row],[COSTO TEMPORAL]])</f>
        <v>4322.9166666666661</v>
      </c>
      <c r="P5558" s="12">
        <v>85.714285714285708</v>
      </c>
      <c r="Q5558" s="12">
        <f>+(Tabla1[[#This Row],[COSTO COCHE]]/30)*Tabla1[[#This Row],[TOTAL DIAS PROYECTO]]</f>
        <v>1185.7142857142856</v>
      </c>
      <c r="R5558" s="12">
        <f>+Tabla1[[#This Row],[COSTO TOTAL ALOJAMIENTO]]+Tabla1[[#This Row],[COSTO TOTAL COCHE]]</f>
        <v>5508.6309523809514</v>
      </c>
      <c r="S5558" s="2"/>
      <c r="T5558" s="2" t="s">
        <v>35</v>
      </c>
      <c r="U5558" s="14">
        <v>45718</v>
      </c>
      <c r="V5558" s="79"/>
      <c r="W5558" s="12">
        <v>2500</v>
      </c>
      <c r="X5558" s="2">
        <v>27</v>
      </c>
      <c r="Y5558" s="11" t="s">
        <v>7681</v>
      </c>
      <c r="Z5558" s="2" t="s">
        <v>36</v>
      </c>
      <c r="AA5558" s="13" t="s">
        <v>10323</v>
      </c>
      <c r="AB5558" s="13" t="s">
        <v>10324</v>
      </c>
    </row>
    <row r="5559" spans="1:28" ht="15" customHeight="1">
      <c r="A5559" s="2" t="s">
        <v>10274</v>
      </c>
      <c r="B5559" s="2" t="s">
        <v>28</v>
      </c>
      <c r="C5559" s="11" t="s">
        <v>7682</v>
      </c>
      <c r="D5559" s="2" t="s">
        <v>30</v>
      </c>
      <c r="E5559" s="2" t="s">
        <v>648</v>
      </c>
      <c r="F5559" s="11" t="s">
        <v>5107</v>
      </c>
      <c r="G5559" s="11" t="s">
        <v>1545</v>
      </c>
      <c r="H5559" s="2" t="s">
        <v>1363</v>
      </c>
      <c r="I5559" s="12" t="s">
        <v>96</v>
      </c>
      <c r="J5559" s="41">
        <f>+Tabla1[[#This Row],[FECHA ENTRADA]]</f>
        <v>45683</v>
      </c>
      <c r="K5559" s="8">
        <v>45915</v>
      </c>
      <c r="L5559" s="42">
        <f>_xlfn.DAYS(Tabla1[[#This Row],[FECHA FIN ]],Tabla1[[#This Row],[FECHA INICIO]])</f>
        <v>232</v>
      </c>
      <c r="M5559" s="12"/>
      <c r="N5559" s="12">
        <v>183.33333333333334</v>
      </c>
      <c r="O5559" s="28">
        <f>(Tabla1[[#This Row],[COSTO FIJO ]]/30)*Tabla1[[#This Row],[TOTAL DIAS PROYECTO]]+(Tabla1[[#This Row],[COSTO TEMPORAL]])</f>
        <v>1417.7777777777778</v>
      </c>
      <c r="P5559" s="12"/>
      <c r="Q5559" s="12">
        <f>+(Tabla1[[#This Row],[COSTO COCHE]]/30)*Tabla1[[#This Row],[TOTAL DIAS PROYECTO]]</f>
        <v>0</v>
      </c>
      <c r="R5559" s="12">
        <f>+Tabla1[[#This Row],[COSTO TOTAL ALOJAMIENTO]]+Tabla1[[#This Row],[COSTO TOTAL COCHE]]</f>
        <v>1417.7777777777778</v>
      </c>
      <c r="S5559" s="2"/>
      <c r="T5559" s="2" t="s">
        <v>35</v>
      </c>
      <c r="U5559" s="14">
        <v>45683</v>
      </c>
      <c r="V5559" s="43"/>
      <c r="W5559" s="26"/>
      <c r="X5559" s="2">
        <v>1</v>
      </c>
      <c r="Y5559" s="11" t="s">
        <v>7683</v>
      </c>
      <c r="Z5559" s="2" t="s">
        <v>36</v>
      </c>
      <c r="AA5559" s="13" t="s">
        <v>10387</v>
      </c>
      <c r="AB5559" s="13" t="s">
        <v>10388</v>
      </c>
    </row>
    <row r="5560" spans="1:28" ht="15" customHeight="1">
      <c r="A5560" s="2" t="s">
        <v>10049</v>
      </c>
      <c r="B5560" s="2" t="s">
        <v>606</v>
      </c>
      <c r="C5560" s="101" t="s">
        <v>6064</v>
      </c>
      <c r="D5560" s="2" t="s">
        <v>99</v>
      </c>
      <c r="E5560" s="2" t="s">
        <v>415</v>
      </c>
      <c r="F5560" s="11" t="s">
        <v>1412</v>
      </c>
      <c r="G5560" s="197" t="s">
        <v>1413</v>
      </c>
      <c r="H5560" s="2" t="s">
        <v>7684</v>
      </c>
      <c r="I5560" s="12" t="s">
        <v>1415</v>
      </c>
      <c r="J5560" s="102">
        <f>+Tabla1[[#This Row],[FECHA ENTRADA]]</f>
        <v>46204</v>
      </c>
      <c r="K5560" s="22">
        <v>46222</v>
      </c>
      <c r="L5560" s="42">
        <f>_xlfn.DAYS(Tabla1[[#This Row],[FECHA FIN ]],Tabla1[[#This Row],[FECHA INICIO]])</f>
        <v>18</v>
      </c>
      <c r="M5560" s="12"/>
      <c r="N5560" s="28">
        <v>500</v>
      </c>
      <c r="O5560" s="28">
        <f>(Tabla1[[#This Row],[COSTO FIJO ]]/30)*Tabla1[[#This Row],[TOTAL DIAS PROYECTO]]+(Tabla1[[#This Row],[COSTO TEMPORAL]])</f>
        <v>300</v>
      </c>
      <c r="P5560" s="12"/>
      <c r="Q5560" s="12">
        <f>+(Tabla1[[#This Row],[COSTO COCHE]]/30)*Tabla1[[#This Row],[TOTAL DIAS PROYECTO]]</f>
        <v>0</v>
      </c>
      <c r="R5560" s="12">
        <f>+Tabla1[[#This Row],[COSTO TOTAL ALOJAMIENTO]]+Tabla1[[#This Row],[COSTO TOTAL COCHE]]</f>
        <v>300</v>
      </c>
      <c r="S5560" s="2"/>
      <c r="T5560" s="14" t="s">
        <v>35</v>
      </c>
      <c r="U5560" s="14">
        <v>46204</v>
      </c>
      <c r="V5560" s="43"/>
      <c r="W5560" s="12"/>
      <c r="X5560" s="2">
        <v>1</v>
      </c>
      <c r="Y5560" s="11" t="s">
        <v>7685</v>
      </c>
      <c r="Z5560" s="2" t="s">
        <v>36</v>
      </c>
      <c r="AA5560" s="13">
        <v>-0.37739</v>
      </c>
      <c r="AB5560" s="13" t="s">
        <v>10372</v>
      </c>
    </row>
    <row r="5561" spans="1:28" ht="15.75" customHeight="1">
      <c r="A5561" s="2" t="s">
        <v>8642</v>
      </c>
      <c r="B5561" s="2" t="s">
        <v>606</v>
      </c>
      <c r="C5561" s="31" t="s">
        <v>7686</v>
      </c>
      <c r="D5561" s="2" t="s">
        <v>30</v>
      </c>
      <c r="E5561" s="2" t="s">
        <v>259</v>
      </c>
      <c r="F5561" s="11" t="s">
        <v>5261</v>
      </c>
      <c r="G5561" s="197" t="s">
        <v>4207</v>
      </c>
      <c r="H5561" s="2" t="s">
        <v>7664</v>
      </c>
      <c r="I5561" s="12" t="s">
        <v>7665</v>
      </c>
      <c r="J5561" s="41">
        <f>+Tabla1[[#This Row],[FECHA ENTRADA]]</f>
        <v>46217</v>
      </c>
      <c r="K5561" s="22">
        <v>46222</v>
      </c>
      <c r="L5561" s="42">
        <f>_xlfn.DAYS(Tabla1[[#This Row],[FECHA FIN ]],Tabla1[[#This Row],[FECHA INICIO]])</f>
        <v>5</v>
      </c>
      <c r="M5561" s="12"/>
      <c r="N5561" s="20">
        <v>380</v>
      </c>
      <c r="O5561" s="28">
        <f>(Tabla1[[#This Row],[COSTO FIJO ]]/30)*Tabla1[[#This Row],[TOTAL DIAS PROYECTO]]+(Tabla1[[#This Row],[COSTO TEMPORAL]])</f>
        <v>63.333333333333329</v>
      </c>
      <c r="P5561" s="12"/>
      <c r="Q5561" s="12">
        <f>+(Tabla1[[#This Row],[COSTO COCHE]]/30)*Tabla1[[#This Row],[TOTAL DIAS PROYECTO]]</f>
        <v>0</v>
      </c>
      <c r="R5561" s="12">
        <f>+Tabla1[[#This Row],[COSTO TOTAL ALOJAMIENTO]]+Tabla1[[#This Row],[COSTO TOTAL COCHE]]</f>
        <v>63.333333333333329</v>
      </c>
      <c r="S5561" s="2"/>
      <c r="T5561" s="14" t="s">
        <v>35</v>
      </c>
      <c r="U5561" s="14">
        <v>46217</v>
      </c>
      <c r="V5561" s="43"/>
      <c r="W5561" s="12"/>
      <c r="X5561" s="2">
        <v>1</v>
      </c>
      <c r="Y5561" s="11" t="s">
        <v>7687</v>
      </c>
      <c r="Z5561" s="2" t="s">
        <v>36</v>
      </c>
      <c r="AA5561" s="13">
        <v>-0.87734000000000001</v>
      </c>
      <c r="AB5561" s="13" t="s">
        <v>10359</v>
      </c>
    </row>
    <row r="5562" spans="1:28" ht="15" customHeight="1">
      <c r="A5562" s="2" t="s">
        <v>10105</v>
      </c>
      <c r="B5562" s="2" t="s">
        <v>606</v>
      </c>
      <c r="C5562" s="11" t="s">
        <v>6412</v>
      </c>
      <c r="D5562" s="2" t="s">
        <v>30</v>
      </c>
      <c r="E5562" s="2" t="s">
        <v>259</v>
      </c>
      <c r="F5562" s="11" t="s">
        <v>5261</v>
      </c>
      <c r="G5562" s="197" t="s">
        <v>4207</v>
      </c>
      <c r="H5562" s="2" t="s">
        <v>7688</v>
      </c>
      <c r="I5562" s="12" t="s">
        <v>7665</v>
      </c>
      <c r="J5562" s="41">
        <f>+Tabla1[[#This Row],[FECHA ENTRADA]]</f>
        <v>46242</v>
      </c>
      <c r="K5562" s="41">
        <f ca="1">TODAY()</f>
        <v>46260</v>
      </c>
      <c r="L5562" s="42">
        <f ca="1">_xlfn.DAYS(Tabla1[[#This Row],[FECHA FIN ]],Tabla1[[#This Row],[FECHA INICIO]])</f>
        <v>18</v>
      </c>
      <c r="M5562" s="12"/>
      <c r="N5562" s="20">
        <v>375</v>
      </c>
      <c r="O5562" s="28">
        <f ca="1">(Tabla1[[#This Row],[COSTO FIJO ]]/30)*Tabla1[[#This Row],[TOTAL DIAS PROYECTO]]+(Tabla1[[#This Row],[COSTO TEMPORAL]])</f>
        <v>225</v>
      </c>
      <c r="P5562" s="12"/>
      <c r="Q5562" s="12">
        <f ca="1">+(Tabla1[[#This Row],[COSTO COCHE]]/30)*Tabla1[[#This Row],[TOTAL DIAS PROYECTO]]</f>
        <v>0</v>
      </c>
      <c r="R5562" s="12">
        <f ca="1">+Tabla1[[#This Row],[COSTO TOTAL ALOJAMIENTO]]+Tabla1[[#This Row],[COSTO TOTAL COCHE]]</f>
        <v>225</v>
      </c>
      <c r="S5562" s="2"/>
      <c r="T5562" s="14" t="s">
        <v>35</v>
      </c>
      <c r="U5562" s="14">
        <v>46242</v>
      </c>
      <c r="V5562" s="43"/>
      <c r="W5562" s="12"/>
      <c r="X5562" s="2">
        <v>1</v>
      </c>
      <c r="Y5562" s="11"/>
      <c r="Z5562" s="2" t="s">
        <v>702</v>
      </c>
      <c r="AA5562" s="13">
        <v>-0.87734000000000001</v>
      </c>
      <c r="AB5562" s="13" t="s">
        <v>10359</v>
      </c>
    </row>
    <row r="5563" spans="1:28" ht="15" customHeight="1">
      <c r="A5563" s="2" t="s">
        <v>8882</v>
      </c>
      <c r="B5563" s="2" t="s">
        <v>606</v>
      </c>
      <c r="C5563" s="69" t="s">
        <v>1151</v>
      </c>
      <c r="D5563" s="2" t="s">
        <v>30</v>
      </c>
      <c r="E5563" s="2" t="s">
        <v>109</v>
      </c>
      <c r="F5563" s="11" t="s">
        <v>3066</v>
      </c>
      <c r="G5563" s="100" t="s">
        <v>3067</v>
      </c>
      <c r="H5563" s="2" t="s">
        <v>1829</v>
      </c>
      <c r="I5563" s="12" t="s">
        <v>1830</v>
      </c>
      <c r="J5563" s="22">
        <f>+Tabla1[[#This Row],[FECHA ENTRADA]]</f>
        <v>46193</v>
      </c>
      <c r="K5563" s="41">
        <v>46221</v>
      </c>
      <c r="L5563" s="23">
        <f>_xlfn.DAYS(Tabla1[[#This Row],[FECHA FIN ]],Tabla1[[#This Row],[FECHA INICIO]])</f>
        <v>28</v>
      </c>
      <c r="M5563" s="12"/>
      <c r="N5563" s="12">
        <f>1236/6</f>
        <v>206</v>
      </c>
      <c r="O5563" s="24">
        <f>(Tabla1[[#This Row],[COSTO FIJO ]]/30)*Tabla1[[#This Row],[TOTAL DIAS PROYECTO]]+(Tabla1[[#This Row],[COSTO TEMPORAL]])</f>
        <v>192.26666666666665</v>
      </c>
      <c r="P5563" s="12"/>
      <c r="Q5563" s="12">
        <f>+(Tabla1[[#This Row],[COSTO COCHE]]/30)*Tabla1[[#This Row],[TOTAL DIAS PROYECTO]]</f>
        <v>0</v>
      </c>
      <c r="R5563" s="12">
        <f>+Tabla1[[#This Row],[COSTO TOTAL ALOJAMIENTO]]+Tabla1[[#This Row],[COSTO TOTAL COCHE]]</f>
        <v>192.26666666666665</v>
      </c>
      <c r="S5563" s="2"/>
      <c r="T5563" s="14" t="s">
        <v>35</v>
      </c>
      <c r="U5563" s="14">
        <v>46193</v>
      </c>
      <c r="V5563" s="79"/>
      <c r="W5563" s="12"/>
      <c r="X5563" s="2">
        <v>4</v>
      </c>
      <c r="Y5563" s="11" t="s">
        <v>7689</v>
      </c>
      <c r="Z5563" s="2" t="s">
        <v>36</v>
      </c>
      <c r="AA5563" s="13">
        <v>0.62217999999999996</v>
      </c>
      <c r="AB5563" s="13" t="s">
        <v>10339</v>
      </c>
    </row>
    <row r="5564" spans="1:28" ht="15" customHeight="1">
      <c r="A5564" s="2" t="s">
        <v>10202</v>
      </c>
      <c r="B5564" s="2" t="s">
        <v>606</v>
      </c>
      <c r="C5564" s="97" t="s">
        <v>7128</v>
      </c>
      <c r="D5564" s="2" t="s">
        <v>99</v>
      </c>
      <c r="E5564" s="2" t="s">
        <v>213</v>
      </c>
      <c r="F5564" s="11" t="s">
        <v>5129</v>
      </c>
      <c r="G5564" s="11" t="s">
        <v>558</v>
      </c>
      <c r="H5564" s="2" t="s">
        <v>6998</v>
      </c>
      <c r="I5564" s="12" t="s">
        <v>42</v>
      </c>
      <c r="J5564" s="22">
        <f>+Tabla1[[#This Row],[FECHA ENTRADA]]</f>
        <v>46111</v>
      </c>
      <c r="K5564" s="22">
        <v>46154</v>
      </c>
      <c r="L5564" s="23">
        <f>_xlfn.DAYS(Tabla1[[#This Row],[FECHA FIN ]],Tabla1[[#This Row],[FECHA INICIO]])</f>
        <v>43</v>
      </c>
      <c r="M5564" s="12"/>
      <c r="N5564" s="24">
        <v>433.33333333333331</v>
      </c>
      <c r="O5564" s="24">
        <f>(Tabla1[[#This Row],[COSTO FIJO ]]/30)*Tabla1[[#This Row],[TOTAL DIAS PROYECTO]]+(Tabla1[[#This Row],[COSTO TEMPORAL]])</f>
        <v>621.11111111111109</v>
      </c>
      <c r="P5564" s="12"/>
      <c r="Q5564" s="12">
        <f>+(Tabla1[[#This Row],[COSTO COCHE]]/30)*Tabla1[[#This Row],[TOTAL DIAS PROYECTO]]</f>
        <v>0</v>
      </c>
      <c r="R5564" s="12">
        <f>+Tabla1[[#This Row],[COSTO TOTAL ALOJAMIENTO]]+Tabla1[[#This Row],[COSTO TOTAL COCHE]]</f>
        <v>621.11111111111109</v>
      </c>
      <c r="S5564" s="2"/>
      <c r="T5564" s="14" t="s">
        <v>35</v>
      </c>
      <c r="U5564" s="14">
        <v>46111</v>
      </c>
      <c r="V5564" s="25"/>
      <c r="W5564" s="12"/>
      <c r="X5564" s="2">
        <v>20</v>
      </c>
      <c r="Y5564" s="11" t="s">
        <v>7690</v>
      </c>
      <c r="Z5564" s="2" t="s">
        <v>36</v>
      </c>
      <c r="AA5564" s="13" t="s">
        <v>10349</v>
      </c>
      <c r="AB5564" s="13" t="s">
        <v>10350</v>
      </c>
    </row>
    <row r="5565" spans="1:28" ht="15" customHeight="1">
      <c r="A5565" s="2" t="s">
        <v>9207</v>
      </c>
      <c r="B5565" s="2" t="s">
        <v>978</v>
      </c>
      <c r="C5565" s="331" t="s">
        <v>2430</v>
      </c>
      <c r="D5565" s="2" t="s">
        <v>99</v>
      </c>
      <c r="E5565" s="2" t="s">
        <v>109</v>
      </c>
      <c r="F5565" s="11" t="s">
        <v>3066</v>
      </c>
      <c r="G5565" s="100" t="s">
        <v>3067</v>
      </c>
      <c r="H5565" s="2" t="s">
        <v>1686</v>
      </c>
      <c r="I5565" s="12" t="s">
        <v>4420</v>
      </c>
      <c r="J5565" s="22">
        <f>+Tabla1[[#This Row],[FECHA ENTRADA]]</f>
        <v>46193</v>
      </c>
      <c r="K5565" s="41">
        <v>46221</v>
      </c>
      <c r="L5565" s="23">
        <f>_xlfn.DAYS(Tabla1[[#This Row],[FECHA FIN ]],Tabla1[[#This Row],[FECHA INICIO]])</f>
        <v>28</v>
      </c>
      <c r="M5565" s="12"/>
      <c r="N5565" s="12">
        <f>1236/6</f>
        <v>206</v>
      </c>
      <c r="O5565" s="24">
        <f>(Tabla1[[#This Row],[COSTO FIJO ]]/30)*Tabla1[[#This Row],[TOTAL DIAS PROYECTO]]+(Tabla1[[#This Row],[COSTO TEMPORAL]])</f>
        <v>192.26666666666665</v>
      </c>
      <c r="P5565" s="12"/>
      <c r="Q5565" s="12">
        <f>+(Tabla1[[#This Row],[COSTO COCHE]]/30)*Tabla1[[#This Row],[TOTAL DIAS PROYECTO]]</f>
        <v>0</v>
      </c>
      <c r="R5565" s="12">
        <f>+Tabla1[[#This Row],[COSTO TOTAL ALOJAMIENTO]]+Tabla1[[#This Row],[COSTO TOTAL COCHE]]</f>
        <v>192.26666666666665</v>
      </c>
      <c r="S5565" s="2"/>
      <c r="T5565" s="14" t="s">
        <v>35</v>
      </c>
      <c r="U5565" s="14">
        <v>46193</v>
      </c>
      <c r="V5565" s="79"/>
      <c r="W5565" s="12"/>
      <c r="X5565" s="2">
        <v>4</v>
      </c>
      <c r="Y5565" s="11" t="s">
        <v>7689</v>
      </c>
      <c r="Z5565" s="2" t="s">
        <v>36</v>
      </c>
      <c r="AA5565" s="13">
        <v>0.62217999999999996</v>
      </c>
      <c r="AB5565" s="13" t="s">
        <v>10339</v>
      </c>
    </row>
    <row r="5566" spans="1:28" ht="15" customHeight="1">
      <c r="A5566" s="2" t="s">
        <v>9864</v>
      </c>
      <c r="B5566" s="2" t="s">
        <v>606</v>
      </c>
      <c r="C5566" s="97" t="s">
        <v>5100</v>
      </c>
      <c r="D5566" s="2" t="s">
        <v>30</v>
      </c>
      <c r="E5566" s="2" t="s">
        <v>245</v>
      </c>
      <c r="F5566" s="11"/>
      <c r="G5566" s="21"/>
      <c r="H5566" s="2" t="s">
        <v>7534</v>
      </c>
      <c r="I5566" s="12" t="s">
        <v>5047</v>
      </c>
      <c r="J5566" s="22">
        <f>+Tabla1[[#This Row],[FECHA ENTRADA]]</f>
        <v>46050</v>
      </c>
      <c r="K5566" s="22">
        <v>46122</v>
      </c>
      <c r="L5566" s="23">
        <f>_xlfn.DAYS(Tabla1[[#This Row],[FECHA FIN ]],Tabla1[[#This Row],[FECHA INICIO]])</f>
        <v>72</v>
      </c>
      <c r="M5566" s="12"/>
      <c r="N5566" s="20">
        <v>300</v>
      </c>
      <c r="O5566" s="24">
        <f>(Tabla1[[#This Row],[COSTO FIJO ]]/30)*Tabla1[[#This Row],[TOTAL DIAS PROYECTO]]+(Tabla1[[#This Row],[COSTO TEMPORAL]])</f>
        <v>720</v>
      </c>
      <c r="P5566" s="12"/>
      <c r="Q5566" s="12">
        <f>+(Tabla1[[#This Row],[COSTO COCHE]]/30)*Tabla1[[#This Row],[TOTAL DIAS PROYECTO]]</f>
        <v>0</v>
      </c>
      <c r="R5566" s="12">
        <f>+Tabla1[[#This Row],[COSTO TOTAL ALOJAMIENTO]]+Tabla1[[#This Row],[COSTO TOTAL COCHE]]</f>
        <v>720</v>
      </c>
      <c r="S5566" s="2"/>
      <c r="T5566" s="14" t="s">
        <v>58</v>
      </c>
      <c r="U5566" s="14">
        <v>46050</v>
      </c>
      <c r="V5566" s="79"/>
      <c r="W5566" s="12"/>
      <c r="X5566" s="2"/>
      <c r="Y5566" s="11" t="s">
        <v>7691</v>
      </c>
      <c r="Z5566" s="2" t="s">
        <v>36</v>
      </c>
      <c r="AA5566" s="13" t="s">
        <v>10355</v>
      </c>
      <c r="AB5566" s="13" t="s">
        <v>10356</v>
      </c>
    </row>
    <row r="5567" spans="1:28" ht="15" customHeight="1">
      <c r="A5567" s="2" t="s">
        <v>9892</v>
      </c>
      <c r="B5567" s="2" t="s">
        <v>606</v>
      </c>
      <c r="C5567" s="321" t="s">
        <v>5238</v>
      </c>
      <c r="D5567" s="2" t="s">
        <v>30</v>
      </c>
      <c r="E5567" s="2" t="s">
        <v>245</v>
      </c>
      <c r="F5567" s="11"/>
      <c r="G5567" s="21"/>
      <c r="H5567" s="2" t="s">
        <v>7534</v>
      </c>
      <c r="I5567" s="12" t="s">
        <v>5047</v>
      </c>
      <c r="J5567" s="22">
        <f>+Tabla1[[#This Row],[FECHA ENTRADA]]</f>
        <v>46050</v>
      </c>
      <c r="K5567" s="22">
        <v>46122</v>
      </c>
      <c r="L5567" s="23">
        <f>_xlfn.DAYS(Tabla1[[#This Row],[FECHA FIN ]],Tabla1[[#This Row],[FECHA INICIO]])</f>
        <v>72</v>
      </c>
      <c r="M5567" s="12"/>
      <c r="N5567" s="20">
        <v>300</v>
      </c>
      <c r="O5567" s="24">
        <f>(Tabla1[[#This Row],[COSTO FIJO ]]/30)*Tabla1[[#This Row],[TOTAL DIAS PROYECTO]]+(Tabla1[[#This Row],[COSTO TEMPORAL]])</f>
        <v>720</v>
      </c>
      <c r="P5567" s="12"/>
      <c r="Q5567" s="12">
        <f>+(Tabla1[[#This Row],[COSTO COCHE]]/30)*Tabla1[[#This Row],[TOTAL DIAS PROYECTO]]</f>
        <v>0</v>
      </c>
      <c r="R5567" s="12">
        <f>+Tabla1[[#This Row],[COSTO TOTAL ALOJAMIENTO]]+Tabla1[[#This Row],[COSTO TOTAL COCHE]]</f>
        <v>720</v>
      </c>
      <c r="S5567" s="2"/>
      <c r="T5567" s="14" t="s">
        <v>58</v>
      </c>
      <c r="U5567" s="14">
        <v>46050</v>
      </c>
      <c r="V5567" s="79"/>
      <c r="W5567" s="12"/>
      <c r="X5567" s="2"/>
      <c r="Y5567" s="11" t="s">
        <v>7691</v>
      </c>
      <c r="Z5567" s="2" t="s">
        <v>36</v>
      </c>
      <c r="AA5567" s="13" t="s">
        <v>10355</v>
      </c>
      <c r="AB5567" s="13" t="s">
        <v>10356</v>
      </c>
    </row>
    <row r="5568" spans="1:28" ht="15" customHeight="1">
      <c r="A5568" s="2" t="s">
        <v>9186</v>
      </c>
      <c r="B5568" s="2" t="s">
        <v>606</v>
      </c>
      <c r="C5568" s="322" t="s">
        <v>2361</v>
      </c>
      <c r="D5568" s="2" t="s">
        <v>30</v>
      </c>
      <c r="E5568" s="2" t="s">
        <v>213</v>
      </c>
      <c r="F5568" s="11"/>
      <c r="G5568" s="11"/>
      <c r="H5568" s="2" t="s">
        <v>7093</v>
      </c>
      <c r="I5568" s="10" t="s">
        <v>3364</v>
      </c>
      <c r="J5568" s="41">
        <f>+Tabla1[[#This Row],[FECHA ENTRADA]]</f>
        <v>46105</v>
      </c>
      <c r="K5568" s="22">
        <v>46180</v>
      </c>
      <c r="L5568" s="42">
        <f>_xlfn.DAYS(Tabla1[[#This Row],[FECHA FIN ]],Tabla1[[#This Row],[FECHA INICIO]])</f>
        <v>75</v>
      </c>
      <c r="M5568" s="12"/>
      <c r="N5568" s="28">
        <v>300</v>
      </c>
      <c r="O5568" s="28">
        <f>(Tabla1[[#This Row],[COSTO FIJO ]]/30)*Tabla1[[#This Row],[TOTAL DIAS PROYECTO]]+(Tabla1[[#This Row],[COSTO TEMPORAL]])</f>
        <v>750</v>
      </c>
      <c r="P5568" s="12"/>
      <c r="Q5568" s="12">
        <f>+(Tabla1[[#This Row],[COSTO COCHE]]/30)*Tabla1[[#This Row],[TOTAL DIAS PROYECTO]]</f>
        <v>0</v>
      </c>
      <c r="R5568" s="12">
        <f>+Tabla1[[#This Row],[COSTO TOTAL ALOJAMIENTO]]+Tabla1[[#This Row],[COSTO TOTAL COCHE]]</f>
        <v>750</v>
      </c>
      <c r="S5568" s="2"/>
      <c r="T5568" s="14" t="s">
        <v>58</v>
      </c>
      <c r="U5568" s="14">
        <v>46105</v>
      </c>
      <c r="V5568" s="43"/>
      <c r="W5568" s="12"/>
      <c r="X5568" s="2"/>
      <c r="Y5568" s="11" t="s">
        <v>7669</v>
      </c>
      <c r="Z5568" s="2" t="s">
        <v>36</v>
      </c>
      <c r="AA5568" s="13" t="s">
        <v>10349</v>
      </c>
      <c r="AB5568" s="13" t="s">
        <v>10350</v>
      </c>
    </row>
    <row r="5569" spans="1:28" ht="15" customHeight="1">
      <c r="A5569" s="2" t="s">
        <v>8642</v>
      </c>
      <c r="B5569" s="2" t="s">
        <v>606</v>
      </c>
      <c r="C5569" s="331" t="s">
        <v>7384</v>
      </c>
      <c r="D5569" s="2" t="s">
        <v>30</v>
      </c>
      <c r="E5569" s="2" t="s">
        <v>109</v>
      </c>
      <c r="F5569" s="11" t="s">
        <v>3066</v>
      </c>
      <c r="G5569" s="100" t="s">
        <v>3067</v>
      </c>
      <c r="H5569" s="2" t="s">
        <v>3508</v>
      </c>
      <c r="I5569" s="12" t="s">
        <v>1562</v>
      </c>
      <c r="J5569" s="22">
        <f>+Tabla1[[#This Row],[FECHA ENTRADA]]</f>
        <v>46193</v>
      </c>
      <c r="K5569" s="41">
        <v>46221</v>
      </c>
      <c r="L5569" s="23">
        <f>_xlfn.DAYS(Tabla1[[#This Row],[FECHA FIN ]],Tabla1[[#This Row],[FECHA INICIO]])</f>
        <v>28</v>
      </c>
      <c r="M5569" s="12"/>
      <c r="N5569" s="12">
        <f>1236/6</f>
        <v>206</v>
      </c>
      <c r="O5569" s="24">
        <f>(Tabla1[[#This Row],[COSTO FIJO ]]/30)*Tabla1[[#This Row],[TOTAL DIAS PROYECTO]]+(Tabla1[[#This Row],[COSTO TEMPORAL]])</f>
        <v>192.26666666666665</v>
      </c>
      <c r="P5569" s="12"/>
      <c r="Q5569" s="12">
        <f>+(Tabla1[[#This Row],[COSTO COCHE]]/30)*Tabla1[[#This Row],[TOTAL DIAS PROYECTO]]</f>
        <v>0</v>
      </c>
      <c r="R5569" s="12">
        <f>+Tabla1[[#This Row],[COSTO TOTAL ALOJAMIENTO]]+Tabla1[[#This Row],[COSTO TOTAL COCHE]]</f>
        <v>192.26666666666665</v>
      </c>
      <c r="S5569" s="2"/>
      <c r="T5569" s="14" t="s">
        <v>35</v>
      </c>
      <c r="U5569" s="14">
        <v>46193</v>
      </c>
      <c r="V5569" s="79"/>
      <c r="W5569" s="12"/>
      <c r="X5569" s="2">
        <v>4</v>
      </c>
      <c r="Y5569" s="11" t="s">
        <v>7689</v>
      </c>
      <c r="Z5569" s="2" t="s">
        <v>36</v>
      </c>
      <c r="AA5569" s="13">
        <v>0.62217999999999996</v>
      </c>
      <c r="AB5569" s="13" t="s">
        <v>10339</v>
      </c>
    </row>
    <row r="5570" spans="1:28" ht="15" customHeight="1">
      <c r="A5570" s="2" t="s">
        <v>9306</v>
      </c>
      <c r="B5570" s="2" t="s">
        <v>606</v>
      </c>
      <c r="C5570" s="321" t="s">
        <v>2762</v>
      </c>
      <c r="D5570" s="2" t="s">
        <v>30</v>
      </c>
      <c r="E5570" s="2" t="s">
        <v>31</v>
      </c>
      <c r="F5570" s="11" t="s">
        <v>1206</v>
      </c>
      <c r="G5570" s="167" t="s">
        <v>1005</v>
      </c>
      <c r="H5570" s="2" t="s">
        <v>5374</v>
      </c>
      <c r="I5570" s="12" t="s">
        <v>3137</v>
      </c>
      <c r="J5570" s="41">
        <f>+Tabla1[[#This Row],[FECHA ENTRADA]]</f>
        <v>46131</v>
      </c>
      <c r="K5570" s="22">
        <v>46136</v>
      </c>
      <c r="L5570" s="42">
        <f>_xlfn.DAYS(Tabla1[[#This Row],[FECHA FIN ]],Tabla1[[#This Row],[FECHA INICIO]])</f>
        <v>5</v>
      </c>
      <c r="M5570" s="12"/>
      <c r="N5570" s="20">
        <v>357.14285714285717</v>
      </c>
      <c r="O5570" s="28">
        <f>(Tabla1[[#This Row],[COSTO FIJO ]]/30)*Tabla1[[#This Row],[TOTAL DIAS PROYECTO]]+(Tabla1[[#This Row],[COSTO TEMPORAL]])</f>
        <v>59.523809523809526</v>
      </c>
      <c r="P5570" s="12"/>
      <c r="Q5570" s="12">
        <f>+(Tabla1[[#This Row],[COSTO COCHE]]/30)*Tabla1[[#This Row],[TOTAL DIAS PROYECTO]]</f>
        <v>0</v>
      </c>
      <c r="R5570" s="12">
        <f>+Tabla1[[#This Row],[COSTO TOTAL ALOJAMIENTO]]+Tabla1[[#This Row],[COSTO TOTAL COCHE]]</f>
        <v>59.523809523809526</v>
      </c>
      <c r="S5570" s="2"/>
      <c r="T5570" s="14" t="s">
        <v>35</v>
      </c>
      <c r="U5570" s="14">
        <v>46131</v>
      </c>
      <c r="V5570" s="43"/>
      <c r="W5570" s="12"/>
      <c r="X5570" s="2">
        <v>27</v>
      </c>
      <c r="Y5570" s="202" t="s">
        <v>7692</v>
      </c>
      <c r="Z5570" s="2" t="s">
        <v>36</v>
      </c>
      <c r="AA5570" s="13" t="s">
        <v>10323</v>
      </c>
      <c r="AB5570" s="13" t="s">
        <v>10324</v>
      </c>
    </row>
    <row r="5571" spans="1:28" ht="15" customHeight="1">
      <c r="A5571" s="117" t="s">
        <v>10139</v>
      </c>
      <c r="B5571" s="117" t="s">
        <v>28</v>
      </c>
      <c r="C5571" s="118" t="s">
        <v>6600</v>
      </c>
      <c r="D5571" s="117" t="s">
        <v>749</v>
      </c>
      <c r="E5571" s="117" t="s">
        <v>288</v>
      </c>
      <c r="F5571" s="11" t="s">
        <v>7679</v>
      </c>
      <c r="G5571" t="s">
        <v>1142</v>
      </c>
      <c r="H5571" s="117" t="s">
        <v>6602</v>
      </c>
      <c r="I5571" s="119" t="s">
        <v>753</v>
      </c>
      <c r="J5571" s="121">
        <f>+Tabla1[[#This Row],[FECHA ENTRADA]]</f>
        <v>45994</v>
      </c>
      <c r="K5571" s="121">
        <v>46000</v>
      </c>
      <c r="L5571" s="129">
        <f>_xlfn.DAYS(Tabla1[[#This Row],[FECHA FIN ]],Tabla1[[#This Row],[FECHA INICIO]])</f>
        <v>6</v>
      </c>
      <c r="M5571" s="119">
        <v>198.5</v>
      </c>
      <c r="N5571" s="130"/>
      <c r="O5571" s="131">
        <f>(Tabla1[[#This Row],[COSTO FIJO ]]/30)*Tabla1[[#This Row],[TOTAL DIAS PROYECTO]]+(Tabla1[[#This Row],[COSTO TEMPORAL]])</f>
        <v>198.5</v>
      </c>
      <c r="P5571" s="119"/>
      <c r="Q5571" s="119">
        <f>+(Tabla1[[#This Row],[COSTO COCHE]]/30)*Tabla1[[#This Row],[TOTAL DIAS PROYECTO]]</f>
        <v>0</v>
      </c>
      <c r="R5571" s="119">
        <f>+Tabla1[[#This Row],[COSTO TOTAL ALOJAMIENTO]]+Tabla1[[#This Row],[COSTO TOTAL COCHE]]</f>
        <v>198.5</v>
      </c>
      <c r="S5571" s="117"/>
      <c r="T5571" s="124" t="s">
        <v>44</v>
      </c>
      <c r="U5571" s="124">
        <v>45994</v>
      </c>
      <c r="V5571" s="125">
        <v>46000</v>
      </c>
      <c r="W5571" s="119"/>
      <c r="X5571" s="117"/>
      <c r="Y5571" s="118"/>
      <c r="Z5571" s="117" t="s">
        <v>36</v>
      </c>
      <c r="AA5571" s="127" t="s">
        <v>10362</v>
      </c>
      <c r="AB5571" s="127" t="s">
        <v>10363</v>
      </c>
    </row>
    <row r="5572" spans="1:28" ht="15" customHeight="1">
      <c r="A5572" s="2" t="s">
        <v>8642</v>
      </c>
      <c r="B5572" s="2" t="s">
        <v>28</v>
      </c>
      <c r="C5572" s="332" t="s">
        <v>7693</v>
      </c>
      <c r="D5572" s="2" t="s">
        <v>749</v>
      </c>
      <c r="E5572" s="2" t="s">
        <v>288</v>
      </c>
      <c r="F5572" s="11" t="s">
        <v>4873</v>
      </c>
      <c r="G5572" s="21" t="s">
        <v>4752</v>
      </c>
      <c r="H5572" s="2" t="s">
        <v>6602</v>
      </c>
      <c r="I5572" s="12" t="s">
        <v>753</v>
      </c>
      <c r="J5572" s="22">
        <f>+Tabla1[[#This Row],[FECHA ENTRADA]]</f>
        <v>45994</v>
      </c>
      <c r="K5572" s="22">
        <v>46022</v>
      </c>
      <c r="L5572" s="23">
        <f>_xlfn.DAYS(Tabla1[[#This Row],[FECHA FIN ]],Tabla1[[#This Row],[FECHA INICIO]])</f>
        <v>28</v>
      </c>
      <c r="M5572" s="12">
        <v>500</v>
      </c>
      <c r="N5572" s="20"/>
      <c r="O5572" s="24">
        <f>(Tabla1[[#This Row],[COSTO FIJO ]]/30)*Tabla1[[#This Row],[TOTAL DIAS PROYECTO]]+(Tabla1[[#This Row],[COSTO TEMPORAL]])</f>
        <v>500</v>
      </c>
      <c r="P5572" s="12"/>
      <c r="Q5572" s="12">
        <f>+(Tabla1[[#This Row],[COSTO COCHE]]/30)*Tabla1[[#This Row],[TOTAL DIAS PROYECTO]]</f>
        <v>0</v>
      </c>
      <c r="R5572" s="12">
        <f>+Tabla1[[#This Row],[COSTO TOTAL ALOJAMIENTO]]+Tabla1[[#This Row],[COSTO TOTAL COCHE]]</f>
        <v>500</v>
      </c>
      <c r="S5572" s="2"/>
      <c r="T5572" s="14" t="s">
        <v>44</v>
      </c>
      <c r="U5572" s="14">
        <v>45994</v>
      </c>
      <c r="V5572" s="25">
        <v>46023</v>
      </c>
      <c r="W5572" s="12"/>
      <c r="X5572" s="2"/>
      <c r="Y5572" s="11" t="s">
        <v>6530</v>
      </c>
      <c r="Z5572" s="2" t="s">
        <v>36</v>
      </c>
      <c r="AA5572" s="13" t="s">
        <v>10362</v>
      </c>
      <c r="AB5572" s="13" t="s">
        <v>10363</v>
      </c>
    </row>
    <row r="5573" spans="1:28" ht="15" customHeight="1">
      <c r="A5573" s="2" t="s">
        <v>9308</v>
      </c>
      <c r="B5573" s="2" t="s">
        <v>28</v>
      </c>
      <c r="C5573" s="322" t="s">
        <v>2777</v>
      </c>
      <c r="D5573" s="2" t="s">
        <v>749</v>
      </c>
      <c r="E5573" s="2" t="s">
        <v>288</v>
      </c>
      <c r="F5573" s="11" t="s">
        <v>4873</v>
      </c>
      <c r="G5573" s="21" t="s">
        <v>4752</v>
      </c>
      <c r="H5573" s="2" t="s">
        <v>6602</v>
      </c>
      <c r="I5573" s="12" t="s">
        <v>753</v>
      </c>
      <c r="J5573" s="22">
        <f>+Tabla1[[#This Row],[FECHA ENTRADA]]</f>
        <v>45994</v>
      </c>
      <c r="K5573" s="22">
        <v>46023</v>
      </c>
      <c r="L5573" s="23">
        <f>_xlfn.DAYS(Tabla1[[#This Row],[FECHA FIN ]],Tabla1[[#This Row],[FECHA INICIO]])</f>
        <v>29</v>
      </c>
      <c r="M5573" s="12">
        <v>500</v>
      </c>
      <c r="N5573" s="20"/>
      <c r="O5573" s="24">
        <f>(Tabla1[[#This Row],[COSTO FIJO ]]/30)*Tabla1[[#This Row],[TOTAL DIAS PROYECTO]]+(Tabla1[[#This Row],[COSTO TEMPORAL]])</f>
        <v>500</v>
      </c>
      <c r="P5573" s="12"/>
      <c r="Q5573" s="12">
        <f>+(Tabla1[[#This Row],[COSTO COCHE]]/30)*Tabla1[[#This Row],[TOTAL DIAS PROYECTO]]</f>
        <v>0</v>
      </c>
      <c r="R5573" s="12">
        <f>+Tabla1[[#This Row],[COSTO TOTAL ALOJAMIENTO]]+Tabla1[[#This Row],[COSTO TOTAL COCHE]]</f>
        <v>500</v>
      </c>
      <c r="S5573" s="2"/>
      <c r="T5573" s="14" t="s">
        <v>44</v>
      </c>
      <c r="U5573" s="14">
        <v>45994</v>
      </c>
      <c r="V5573" s="25">
        <v>46023</v>
      </c>
      <c r="W5573" s="12"/>
      <c r="X5573" s="2"/>
      <c r="Y5573" s="11" t="s">
        <v>7694</v>
      </c>
      <c r="Z5573" s="2" t="s">
        <v>36</v>
      </c>
      <c r="AA5573" s="13" t="s">
        <v>10362</v>
      </c>
      <c r="AB5573" s="13" t="s">
        <v>10363</v>
      </c>
    </row>
    <row r="5574" spans="1:28" ht="15" customHeight="1">
      <c r="A5574" s="2" t="s">
        <v>9679</v>
      </c>
      <c r="B5574" s="2" t="s">
        <v>28</v>
      </c>
      <c r="C5574" s="326" t="s">
        <v>4190</v>
      </c>
      <c r="D5574" s="2" t="s">
        <v>749</v>
      </c>
      <c r="E5574" s="2" t="s">
        <v>288</v>
      </c>
      <c r="F5574" s="11" t="s">
        <v>3464</v>
      </c>
      <c r="G5574" t="s">
        <v>1142</v>
      </c>
      <c r="H5574" s="2" t="s">
        <v>7195</v>
      </c>
      <c r="I5574" s="12" t="s">
        <v>753</v>
      </c>
      <c r="J5574" s="22">
        <f>+Tabla1[[#This Row],[FECHA ENTRADA]]</f>
        <v>46023</v>
      </c>
      <c r="K5574" s="22">
        <v>46191</v>
      </c>
      <c r="L5574" s="23">
        <f>_xlfn.DAYS(Tabla1[[#This Row],[FECHA FIN ]],Tabla1[[#This Row],[FECHA INICIO]])</f>
        <v>168</v>
      </c>
      <c r="M5574" s="12"/>
      <c r="N5574" s="28">
        <v>500</v>
      </c>
      <c r="O5574" s="24">
        <f>(Tabla1[[#This Row],[COSTO FIJO ]]/30)*Tabla1[[#This Row],[TOTAL DIAS PROYECTO]]+(Tabla1[[#This Row],[COSTO TEMPORAL]])</f>
        <v>2800</v>
      </c>
      <c r="P5574" s="12"/>
      <c r="Q5574" s="12">
        <f>+(Tabla1[[#This Row],[COSTO COCHE]]/30)*Tabla1[[#This Row],[TOTAL DIAS PROYECTO]]</f>
        <v>0</v>
      </c>
      <c r="R5574" s="12">
        <f>+Tabla1[[#This Row],[COSTO TOTAL ALOJAMIENTO]]+Tabla1[[#This Row],[COSTO TOTAL COCHE]]</f>
        <v>2800</v>
      </c>
      <c r="S5574" s="2"/>
      <c r="T5574" s="14" t="s">
        <v>35</v>
      </c>
      <c r="U5574" s="14">
        <v>46023</v>
      </c>
      <c r="V5574" s="79"/>
      <c r="W5574" s="12"/>
      <c r="X5574" s="2">
        <v>1</v>
      </c>
      <c r="Y5574" s="11"/>
      <c r="Z5574" s="2" t="s">
        <v>36</v>
      </c>
      <c r="AA5574" s="13" t="s">
        <v>10362</v>
      </c>
      <c r="AB5574" s="13" t="s">
        <v>10363</v>
      </c>
    </row>
    <row r="5575" spans="1:28" ht="15" customHeight="1">
      <c r="A5575" s="2" t="s">
        <v>10070</v>
      </c>
      <c r="B5575" s="2" t="s">
        <v>28</v>
      </c>
      <c r="C5575" s="332" t="s">
        <v>6198</v>
      </c>
      <c r="D5575" s="2" t="s">
        <v>749</v>
      </c>
      <c r="E5575" s="2" t="s">
        <v>288</v>
      </c>
      <c r="F5575" s="11" t="s">
        <v>7695</v>
      </c>
      <c r="G5575" s="70" t="s">
        <v>1142</v>
      </c>
      <c r="H5575" s="2" t="s">
        <v>6602</v>
      </c>
      <c r="I5575" s="12" t="s">
        <v>753</v>
      </c>
      <c r="J5575" s="22">
        <f>+Tabla1[[#This Row],[FECHA ENTRADA]]</f>
        <v>46000</v>
      </c>
      <c r="K5575" s="22">
        <v>46022</v>
      </c>
      <c r="L5575" s="23">
        <f>_xlfn.DAYS(Tabla1[[#This Row],[FECHA FIN ]],Tabla1[[#This Row],[FECHA INICIO]])</f>
        <v>22</v>
      </c>
      <c r="M5575" s="12"/>
      <c r="N5575" s="20">
        <v>451</v>
      </c>
      <c r="O5575" s="24">
        <f>(Tabla1[[#This Row],[COSTO FIJO ]]/30)*Tabla1[[#This Row],[TOTAL DIAS PROYECTO]]+(Tabla1[[#This Row],[COSTO TEMPORAL]])</f>
        <v>330.73333333333335</v>
      </c>
      <c r="P5575" s="12"/>
      <c r="Q5575" s="12">
        <f>+(Tabla1[[#This Row],[COSTO COCHE]]/30)*Tabla1[[#This Row],[TOTAL DIAS PROYECTO]]</f>
        <v>0</v>
      </c>
      <c r="R5575" s="12">
        <f>+Tabla1[[#This Row],[COSTO TOTAL ALOJAMIENTO]]+Tabla1[[#This Row],[COSTO TOTAL COCHE]]</f>
        <v>330.73333333333335</v>
      </c>
      <c r="S5575" s="2"/>
      <c r="T5575" s="14" t="s">
        <v>35</v>
      </c>
      <c r="U5575" s="14">
        <v>46000</v>
      </c>
      <c r="V5575" s="79"/>
      <c r="W5575" s="12"/>
      <c r="X5575" s="2">
        <v>1</v>
      </c>
      <c r="Y5575" s="11"/>
      <c r="Z5575" s="2" t="s">
        <v>36</v>
      </c>
      <c r="AA5575" s="13" t="s">
        <v>10362</v>
      </c>
      <c r="AB5575" s="13" t="s">
        <v>10363</v>
      </c>
    </row>
    <row r="5576" spans="1:28" ht="15" customHeight="1">
      <c r="A5576" s="2" t="s">
        <v>8642</v>
      </c>
      <c r="B5576" s="2" t="s">
        <v>606</v>
      </c>
      <c r="C5576" s="31" t="s">
        <v>7661</v>
      </c>
      <c r="D5576" s="2" t="s">
        <v>30</v>
      </c>
      <c r="E5576" s="2" t="s">
        <v>31</v>
      </c>
      <c r="F5576" s="11" t="s">
        <v>1206</v>
      </c>
      <c r="G5576" s="51" t="s">
        <v>1005</v>
      </c>
      <c r="H5576" s="2" t="s">
        <v>7673</v>
      </c>
      <c r="I5576" s="12" t="s">
        <v>5601</v>
      </c>
      <c r="J5576" s="41">
        <f>+Tabla1[[#This Row],[FECHA ENTRADA]]</f>
        <v>46225</v>
      </c>
      <c r="K5576" s="41">
        <v>46236</v>
      </c>
      <c r="L5576" s="42">
        <f>_xlfn.DAYS(Tabla1[[#This Row],[FECHA FIN ]],Tabla1[[#This Row],[FECHA INICIO]])</f>
        <v>11</v>
      </c>
      <c r="M5576" s="12"/>
      <c r="N5576" s="12">
        <v>625</v>
      </c>
      <c r="O5576" s="28">
        <f>(Tabla1[[#This Row],[COSTO FIJO ]]/30)*Tabla1[[#This Row],[TOTAL DIAS PROYECTO]]+(Tabla1[[#This Row],[COSTO TEMPORAL]])</f>
        <v>229.16666666666666</v>
      </c>
      <c r="P5576" s="12"/>
      <c r="Q5576" s="12">
        <f>+(Tabla1[[#This Row],[COSTO COCHE]]/30)*Tabla1[[#This Row],[TOTAL DIAS PROYECTO]]</f>
        <v>0</v>
      </c>
      <c r="R5576" s="12">
        <f>+Tabla1[[#This Row],[COSTO TOTAL ALOJAMIENTO]]+Tabla1[[#This Row],[COSTO TOTAL COCHE]]</f>
        <v>229.16666666666666</v>
      </c>
      <c r="S5576" s="2"/>
      <c r="T5576" s="14" t="s">
        <v>35</v>
      </c>
      <c r="U5576" s="14">
        <v>46225</v>
      </c>
      <c r="V5576" s="43"/>
      <c r="W5576" s="12"/>
      <c r="X5576" s="2">
        <v>1</v>
      </c>
      <c r="Y5576" s="11" t="s">
        <v>7696</v>
      </c>
      <c r="Z5576" s="2" t="s">
        <v>36</v>
      </c>
      <c r="AA5576" s="13" t="s">
        <v>10323</v>
      </c>
      <c r="AB5576" s="13" t="s">
        <v>10324</v>
      </c>
    </row>
    <row r="5577" spans="1:28" ht="15" customHeight="1">
      <c r="A5577" s="2" t="s">
        <v>10026</v>
      </c>
      <c r="B5577" s="2" t="s">
        <v>711</v>
      </c>
      <c r="C5577" s="97" t="s">
        <v>5990</v>
      </c>
      <c r="D5577" s="2" t="s">
        <v>30</v>
      </c>
      <c r="E5577" s="2" t="s">
        <v>1987</v>
      </c>
      <c r="F5577" s="11" t="s">
        <v>3766</v>
      </c>
      <c r="G5577" s="128" t="s">
        <v>3767</v>
      </c>
      <c r="H5577" s="2" t="s">
        <v>3768</v>
      </c>
      <c r="I5577" s="12" t="s">
        <v>3769</v>
      </c>
      <c r="J5577" s="41">
        <f>+Tabla1[[#This Row],[FECHA ENTRADA]]</f>
        <v>46136</v>
      </c>
      <c r="K5577" s="22">
        <v>46160</v>
      </c>
      <c r="L5577" s="42">
        <f>_xlfn.DAYS(Tabla1[[#This Row],[FECHA FIN ]],Tabla1[[#This Row],[FECHA INICIO]])</f>
        <v>24</v>
      </c>
      <c r="M5577" s="12"/>
      <c r="N5577" s="28">
        <v>500</v>
      </c>
      <c r="O5577" s="28">
        <f>(Tabla1[[#This Row],[COSTO FIJO ]]/30)*Tabla1[[#This Row],[TOTAL DIAS PROYECTO]]+(Tabla1[[#This Row],[COSTO TEMPORAL]])</f>
        <v>400</v>
      </c>
      <c r="P5577" s="12"/>
      <c r="Q5577" s="12">
        <f>+(Tabla1[[#This Row],[COSTO COCHE]]/30)*Tabla1[[#This Row],[TOTAL DIAS PROYECTO]]</f>
        <v>0</v>
      </c>
      <c r="R5577" s="12">
        <f>+Tabla1[[#This Row],[COSTO TOTAL ALOJAMIENTO]]+Tabla1[[#This Row],[COSTO TOTAL COCHE]]</f>
        <v>400</v>
      </c>
      <c r="S5577" s="2"/>
      <c r="T5577" s="14" t="s">
        <v>35</v>
      </c>
      <c r="U5577" s="14">
        <v>46136</v>
      </c>
      <c r="V5577" s="43"/>
      <c r="W5577" s="12"/>
      <c r="X5577" s="2">
        <v>20</v>
      </c>
      <c r="Y5577" s="11" t="s">
        <v>7697</v>
      </c>
      <c r="Z5577" s="2" t="s">
        <v>36</v>
      </c>
      <c r="AA5577" s="13" t="s">
        <v>10435</v>
      </c>
      <c r="AB5577" s="13">
        <v>42.136150000000001</v>
      </c>
    </row>
    <row r="5578" spans="1:28" ht="15" customHeight="1">
      <c r="A5578" s="2" t="s">
        <v>8642</v>
      </c>
      <c r="B5578" s="2" t="s">
        <v>711</v>
      </c>
      <c r="C5578" s="31" t="s">
        <v>6830</v>
      </c>
      <c r="D5578" s="2" t="s">
        <v>30</v>
      </c>
      <c r="E5578" s="2" t="s">
        <v>114</v>
      </c>
      <c r="F5578" s="11" t="s">
        <v>155</v>
      </c>
      <c r="G5578" s="21" t="s">
        <v>195</v>
      </c>
      <c r="H5578" s="2" t="s">
        <v>6775</v>
      </c>
      <c r="I5578" s="12" t="s">
        <v>118</v>
      </c>
      <c r="J5578" s="22">
        <f>+Tabla1[[#This Row],[FECHA ENTRADA]]</f>
        <v>46074</v>
      </c>
      <c r="K5578" s="22">
        <v>46178</v>
      </c>
      <c r="L5578" s="23">
        <f>_xlfn.DAYS(Tabla1[[#This Row],[FECHA FIN ]],Tabla1[[#This Row],[FECHA INICIO]])</f>
        <v>104</v>
      </c>
      <c r="M5578" s="12"/>
      <c r="N5578" s="20">
        <v>400</v>
      </c>
      <c r="O5578" s="24">
        <f>(Tabla1[[#This Row],[COSTO FIJO ]]/30)*Tabla1[[#This Row],[TOTAL DIAS PROYECTO]]+(Tabla1[[#This Row],[COSTO TEMPORAL]])</f>
        <v>1386.6666666666667</v>
      </c>
      <c r="P5578" s="12"/>
      <c r="Q5578" s="12">
        <f>+(Tabla1[[#This Row],[COSTO COCHE]]/30)*Tabla1[[#This Row],[TOTAL DIAS PROYECTO]]</f>
        <v>0</v>
      </c>
      <c r="R5578" s="12">
        <f>+Tabla1[[#This Row],[COSTO TOTAL ALOJAMIENTO]]+Tabla1[[#This Row],[COSTO TOTAL COCHE]]</f>
        <v>1386.6666666666667</v>
      </c>
      <c r="S5578" s="2"/>
      <c r="T5578" s="14" t="s">
        <v>35</v>
      </c>
      <c r="U5578" s="14">
        <v>46074</v>
      </c>
      <c r="V5578" s="79"/>
      <c r="W5578" s="12"/>
      <c r="X5578" s="2">
        <v>19</v>
      </c>
      <c r="Y5578" s="11" t="s">
        <v>7698</v>
      </c>
      <c r="Z5578" s="2" t="s">
        <v>36</v>
      </c>
      <c r="AA5578" s="13" t="s">
        <v>10340</v>
      </c>
      <c r="AB5578" s="13" t="s">
        <v>10341</v>
      </c>
    </row>
    <row r="5579" spans="1:28" ht="15" customHeight="1">
      <c r="A5579" s="2" t="s">
        <v>9962</v>
      </c>
      <c r="B5579" s="2" t="s">
        <v>606</v>
      </c>
      <c r="C5579" s="11" t="s">
        <v>5744</v>
      </c>
      <c r="D5579" s="2" t="s">
        <v>30</v>
      </c>
      <c r="E5579" s="2" t="s">
        <v>31</v>
      </c>
      <c r="F5579" s="11"/>
      <c r="G5579" s="46"/>
      <c r="H5579" s="2" t="s">
        <v>7300</v>
      </c>
      <c r="I5579" s="12" t="s">
        <v>2391</v>
      </c>
      <c r="J5579" s="41">
        <f>+Tabla1[[#This Row],[FECHA ENTRADA]]</f>
        <v>46266</v>
      </c>
      <c r="K5579" s="41">
        <f ca="1">TODAY()</f>
        <v>46260</v>
      </c>
      <c r="L5579" s="42">
        <f ca="1">_xlfn.DAYS(Tabla1[[#This Row],[FECHA FIN ]],Tabla1[[#This Row],[FECHA INICIO]])</f>
        <v>-6</v>
      </c>
      <c r="M5579" s="12"/>
      <c r="N5579" s="28">
        <v>300</v>
      </c>
      <c r="O5579" s="28">
        <f ca="1">(Tabla1[[#This Row],[COSTO FIJO ]]/30)*Tabla1[[#This Row],[TOTAL DIAS PROYECTO]]+(Tabla1[[#This Row],[COSTO TEMPORAL]])</f>
        <v>-60</v>
      </c>
      <c r="P5579" s="12"/>
      <c r="Q5579" s="12">
        <f ca="1">+(Tabla1[[#This Row],[COSTO COCHE]]/30)*Tabla1[[#This Row],[TOTAL DIAS PROYECTO]]</f>
        <v>0</v>
      </c>
      <c r="R5579" s="12">
        <f ca="1">+Tabla1[[#This Row],[COSTO TOTAL ALOJAMIENTO]]+Tabla1[[#This Row],[COSTO TOTAL COCHE]]</f>
        <v>-60</v>
      </c>
      <c r="S5579" s="2"/>
      <c r="T5579" s="14" t="s">
        <v>58</v>
      </c>
      <c r="U5579" s="14">
        <v>46266</v>
      </c>
      <c r="V5579" s="43"/>
      <c r="W5579" s="12"/>
      <c r="X5579" s="2"/>
      <c r="Y5579" s="11"/>
      <c r="Z5579" s="2" t="s">
        <v>702</v>
      </c>
      <c r="AA5579" s="13" t="s">
        <v>10323</v>
      </c>
      <c r="AB5579" s="13" t="s">
        <v>10324</v>
      </c>
    </row>
    <row r="5580" spans="1:28" ht="15" customHeight="1">
      <c r="A5580" s="2" t="s">
        <v>8642</v>
      </c>
      <c r="B5580" s="2" t="s">
        <v>978</v>
      </c>
      <c r="C5580" s="31" t="s">
        <v>7699</v>
      </c>
      <c r="D5580" s="2" t="s">
        <v>99</v>
      </c>
      <c r="E5580" s="2" t="s">
        <v>109</v>
      </c>
      <c r="F5580" s="11" t="s">
        <v>3066</v>
      </c>
      <c r="G5580" s="333" t="s">
        <v>3067</v>
      </c>
      <c r="H5580" s="2" t="s">
        <v>7700</v>
      </c>
      <c r="I5580" s="12" t="s">
        <v>4681</v>
      </c>
      <c r="J5580" s="41">
        <f>+Tabla1[[#This Row],[FECHA ENTRADA]]</f>
        <v>46214</v>
      </c>
      <c r="K5580" s="41">
        <v>46231</v>
      </c>
      <c r="L5580" s="42">
        <f>_xlfn.DAYS(Tabla1[[#This Row],[FECHA FIN ]],Tabla1[[#This Row],[FECHA INICIO]])</f>
        <v>17</v>
      </c>
      <c r="M5580" s="12"/>
      <c r="N5580" s="12">
        <f>1236/3</f>
        <v>412</v>
      </c>
      <c r="O5580" s="28">
        <f>(Tabla1[[#This Row],[COSTO FIJO ]]/30)*Tabla1[[#This Row],[TOTAL DIAS PROYECTO]]+(Tabla1[[#This Row],[COSTO TEMPORAL]])</f>
        <v>233.46666666666664</v>
      </c>
      <c r="P5580" s="12"/>
      <c r="Q5580" s="12">
        <f>+(Tabla1[[#This Row],[COSTO COCHE]]/30)*Tabla1[[#This Row],[TOTAL DIAS PROYECTO]]</f>
        <v>0</v>
      </c>
      <c r="R5580" s="12">
        <f>+Tabla1[[#This Row],[COSTO TOTAL ALOJAMIENTO]]+Tabla1[[#This Row],[COSTO TOTAL COCHE]]</f>
        <v>233.46666666666664</v>
      </c>
      <c r="S5580" s="2"/>
      <c r="T5580" s="14" t="s">
        <v>35</v>
      </c>
      <c r="U5580" s="14">
        <v>46214</v>
      </c>
      <c r="V5580" s="43"/>
      <c r="W5580" s="12"/>
      <c r="X5580" s="2">
        <v>4</v>
      </c>
      <c r="Y5580" s="11" t="s">
        <v>7701</v>
      </c>
      <c r="Z5580" s="2" t="s">
        <v>36</v>
      </c>
      <c r="AA5580" s="13">
        <v>0.62217999999999996</v>
      </c>
      <c r="AB5580" s="13" t="s">
        <v>10339</v>
      </c>
    </row>
    <row r="5581" spans="1:28" ht="15" customHeight="1">
      <c r="A5581" s="2" t="s">
        <v>10123</v>
      </c>
      <c r="B5581" s="2" t="s">
        <v>606</v>
      </c>
      <c r="C5581" s="11" t="s">
        <v>6518</v>
      </c>
      <c r="D5581" s="2" t="s">
        <v>30</v>
      </c>
      <c r="E5581" s="2" t="s">
        <v>259</v>
      </c>
      <c r="F5581" s="11" t="s">
        <v>7362</v>
      </c>
      <c r="G5581" s="68" t="s">
        <v>4207</v>
      </c>
      <c r="H5581" s="2" t="s">
        <v>7664</v>
      </c>
      <c r="I5581" s="12" t="s">
        <v>7665</v>
      </c>
      <c r="J5581" s="41">
        <f>+Tabla1[[#This Row],[FECHA ENTRADA]]</f>
        <v>46242</v>
      </c>
      <c r="K5581" s="41">
        <f ca="1">TODAY()</f>
        <v>46260</v>
      </c>
      <c r="L5581" s="42">
        <f ca="1">_xlfn.DAYS(Tabla1[[#This Row],[FECHA FIN ]],Tabla1[[#This Row],[FECHA INICIO]])</f>
        <v>18</v>
      </c>
      <c r="M5581" s="12"/>
      <c r="N5581" s="28">
        <v>485</v>
      </c>
      <c r="O5581" s="28">
        <f ca="1">(Tabla1[[#This Row],[COSTO FIJO ]]/30)*Tabla1[[#This Row],[TOTAL DIAS PROYECTO]]+(Tabla1[[#This Row],[COSTO TEMPORAL]])</f>
        <v>291</v>
      </c>
      <c r="P5581" s="12"/>
      <c r="Q5581" s="12">
        <f ca="1">+(Tabla1[[#This Row],[COSTO COCHE]]/30)*Tabla1[[#This Row],[TOTAL DIAS PROYECTO]]</f>
        <v>0</v>
      </c>
      <c r="R5581" s="12">
        <f ca="1">+Tabla1[[#This Row],[COSTO TOTAL ALOJAMIENTO]]+Tabla1[[#This Row],[COSTO TOTAL COCHE]]</f>
        <v>291</v>
      </c>
      <c r="S5581" s="2"/>
      <c r="T5581" s="14" t="s">
        <v>35</v>
      </c>
      <c r="U5581" s="14">
        <v>46242</v>
      </c>
      <c r="V5581" s="43"/>
      <c r="W5581" s="12">
        <v>970</v>
      </c>
      <c r="X5581" s="2">
        <v>1</v>
      </c>
      <c r="Y5581" s="11"/>
      <c r="Z5581" s="2" t="s">
        <v>702</v>
      </c>
      <c r="AA5581" s="13">
        <v>-0.87734000000000001</v>
      </c>
      <c r="AB5581" s="13" t="s">
        <v>10359</v>
      </c>
    </row>
    <row r="5582" spans="1:28" ht="15" customHeight="1">
      <c r="A5582" s="2" t="s">
        <v>9664</v>
      </c>
      <c r="B5582" s="2" t="s">
        <v>711</v>
      </c>
      <c r="C5582" s="31" t="s">
        <v>4117</v>
      </c>
      <c r="D5582" s="2" t="s">
        <v>749</v>
      </c>
      <c r="E5582" s="2" t="s">
        <v>4598</v>
      </c>
      <c r="F5582" s="11" t="s">
        <v>1106</v>
      </c>
      <c r="G5582" s="21"/>
      <c r="H5582" s="2" t="s">
        <v>7702</v>
      </c>
      <c r="I5582" s="12" t="s">
        <v>2862</v>
      </c>
      <c r="J5582" s="22">
        <f>+Tabla1[[#This Row],[FECHA ENTRADA]]</f>
        <v>46103</v>
      </c>
      <c r="K5582" s="22">
        <v>46121</v>
      </c>
      <c r="L5582" s="23">
        <f>_xlfn.DAYS(Tabla1[[#This Row],[FECHA FIN ]],Tabla1[[#This Row],[FECHA INICIO]])</f>
        <v>18</v>
      </c>
      <c r="M5582" s="12"/>
      <c r="N5582" s="20">
        <v>0</v>
      </c>
      <c r="O5582" s="24">
        <f>(Tabla1[[#This Row],[COSTO FIJO ]]/30)*Tabla1[[#This Row],[TOTAL DIAS PROYECTO]]+(Tabla1[[#This Row],[COSTO TEMPORAL]])</f>
        <v>0</v>
      </c>
      <c r="P5582" s="12"/>
      <c r="Q5582" s="12">
        <f>+(Tabla1[[#This Row],[COSTO COCHE]]/30)*Tabla1[[#This Row],[TOTAL DIAS PROYECTO]]</f>
        <v>0</v>
      </c>
      <c r="R5582" s="12">
        <f>+Tabla1[[#This Row],[COSTO TOTAL ALOJAMIENTO]]+Tabla1[[#This Row],[COSTO TOTAL COCHE]]</f>
        <v>0</v>
      </c>
      <c r="S5582" s="2"/>
      <c r="T5582" s="2" t="s">
        <v>8</v>
      </c>
      <c r="U5582" s="14">
        <v>46103</v>
      </c>
      <c r="V5582" s="79"/>
      <c r="W5582" s="12"/>
      <c r="X5582" s="2"/>
      <c r="Y5582" s="11" t="s">
        <v>7703</v>
      </c>
      <c r="Z5582" s="2" t="s">
        <v>36</v>
      </c>
      <c r="AA5582" s="13">
        <v>10.50447</v>
      </c>
      <c r="AB5582" s="13">
        <v>43.843690000000002</v>
      </c>
    </row>
    <row r="5583" spans="1:28" ht="15" customHeight="1">
      <c r="A5583" s="2" t="s">
        <v>9678</v>
      </c>
      <c r="B5583" s="2" t="s">
        <v>711</v>
      </c>
      <c r="C5583" s="31" t="s">
        <v>4189</v>
      </c>
      <c r="D5583" s="2" t="s">
        <v>749</v>
      </c>
      <c r="E5583" s="2" t="s">
        <v>4598</v>
      </c>
      <c r="F5583" s="11" t="s">
        <v>1106</v>
      </c>
      <c r="G5583" s="21"/>
      <c r="H5583" s="2" t="s">
        <v>7702</v>
      </c>
      <c r="I5583" s="12" t="s">
        <v>2862</v>
      </c>
      <c r="J5583" s="22">
        <f>+Tabla1[[#This Row],[FECHA ENTRADA]]</f>
        <v>46103</v>
      </c>
      <c r="K5583" s="22">
        <v>46116</v>
      </c>
      <c r="L5583" s="23">
        <f>_xlfn.DAYS(Tabla1[[#This Row],[FECHA FIN ]],Tabla1[[#This Row],[FECHA INICIO]])</f>
        <v>13</v>
      </c>
      <c r="M5583" s="12"/>
      <c r="N5583" s="20">
        <v>0</v>
      </c>
      <c r="O5583" s="24">
        <f>(Tabla1[[#This Row],[COSTO FIJO ]]/30)*Tabla1[[#This Row],[TOTAL DIAS PROYECTO]]+(Tabla1[[#This Row],[COSTO TEMPORAL]])</f>
        <v>0</v>
      </c>
      <c r="P5583" s="12"/>
      <c r="Q5583" s="12">
        <f>+(Tabla1[[#This Row],[COSTO COCHE]]/30)*Tabla1[[#This Row],[TOTAL DIAS PROYECTO]]</f>
        <v>0</v>
      </c>
      <c r="R5583" s="12">
        <f>+Tabla1[[#This Row],[COSTO TOTAL ALOJAMIENTO]]+Tabla1[[#This Row],[COSTO TOTAL COCHE]]</f>
        <v>0</v>
      </c>
      <c r="S5583" s="2"/>
      <c r="T5583" s="2" t="s">
        <v>8</v>
      </c>
      <c r="U5583" s="14">
        <v>46103</v>
      </c>
      <c r="V5583" s="79"/>
      <c r="W5583" s="12"/>
      <c r="X5583" s="2"/>
      <c r="Y5583" s="11" t="s">
        <v>7704</v>
      </c>
      <c r="Z5583" s="2" t="s">
        <v>36</v>
      </c>
      <c r="AA5583" s="13">
        <v>10.50447</v>
      </c>
      <c r="AB5583" s="13">
        <v>43.843690000000002</v>
      </c>
    </row>
    <row r="5584" spans="1:28" ht="15" customHeight="1">
      <c r="A5584" s="2" t="s">
        <v>8969</v>
      </c>
      <c r="B5584" s="2" t="s">
        <v>606</v>
      </c>
      <c r="C5584" s="69" t="s">
        <v>1533</v>
      </c>
      <c r="D5584" s="2" t="s">
        <v>99</v>
      </c>
      <c r="E5584" s="2" t="s">
        <v>213</v>
      </c>
      <c r="F5584" s="11" t="s">
        <v>7705</v>
      </c>
      <c r="G5584" s="49" t="s">
        <v>558</v>
      </c>
      <c r="H5584" s="2" t="s">
        <v>7126</v>
      </c>
      <c r="I5584" s="12" t="s">
        <v>42</v>
      </c>
      <c r="J5584" s="22">
        <f>+Tabla1[[#This Row],[FECHA ENTRADA]]</f>
        <v>46111</v>
      </c>
      <c r="K5584" s="22">
        <v>46150</v>
      </c>
      <c r="L5584" s="23">
        <f>_xlfn.DAYS(Tabla1[[#This Row],[FECHA FIN ]],Tabla1[[#This Row],[FECHA INICIO]])</f>
        <v>39</v>
      </c>
      <c r="M5584" s="12"/>
      <c r="N5584" s="24">
        <v>500</v>
      </c>
      <c r="O5584" s="24">
        <f>(Tabla1[[#This Row],[COSTO FIJO ]]/30)*Tabla1[[#This Row],[TOTAL DIAS PROYECTO]]+(Tabla1[[#This Row],[COSTO TEMPORAL]])</f>
        <v>650</v>
      </c>
      <c r="P5584" s="12"/>
      <c r="Q5584" s="12">
        <f>+(Tabla1[[#This Row],[COSTO COCHE]]/30)*Tabla1[[#This Row],[TOTAL DIAS PROYECTO]]</f>
        <v>0</v>
      </c>
      <c r="R5584" s="12">
        <f>+Tabla1[[#This Row],[COSTO TOTAL ALOJAMIENTO]]+Tabla1[[#This Row],[COSTO TOTAL COCHE]]</f>
        <v>650</v>
      </c>
      <c r="S5584" s="2"/>
      <c r="T5584" s="14" t="s">
        <v>35</v>
      </c>
      <c r="U5584" s="14">
        <v>46111</v>
      </c>
      <c r="V5584" s="25"/>
      <c r="W5584" s="12"/>
      <c r="X5584" s="2">
        <v>25</v>
      </c>
      <c r="Y5584" s="11" t="s">
        <v>7706</v>
      </c>
      <c r="Z5584" s="2" t="s">
        <v>36</v>
      </c>
      <c r="AA5584" s="13" t="s">
        <v>10349</v>
      </c>
      <c r="AB5584" s="13" t="s">
        <v>10350</v>
      </c>
    </row>
    <row r="5585" spans="1:28" ht="15" customHeight="1">
      <c r="A5585" s="2" t="s">
        <v>8944</v>
      </c>
      <c r="B5585" s="2" t="s">
        <v>711</v>
      </c>
      <c r="C5585" s="133" t="s">
        <v>1382</v>
      </c>
      <c r="D5585" s="2" t="s">
        <v>99</v>
      </c>
      <c r="E5585" s="2" t="s">
        <v>114</v>
      </c>
      <c r="F5585" s="11" t="s">
        <v>6956</v>
      </c>
      <c r="G5585" s="128" t="s">
        <v>3882</v>
      </c>
      <c r="H5585" s="2" t="s">
        <v>7468</v>
      </c>
      <c r="I5585" s="12" t="s">
        <v>118</v>
      </c>
      <c r="J5585" s="22">
        <f>+Tabla1[[#This Row],[FECHA ENTRADA]]</f>
        <v>46061</v>
      </c>
      <c r="K5585" s="41">
        <v>46193</v>
      </c>
      <c r="L5585" s="23">
        <f>_xlfn.DAYS(Tabla1[[#This Row],[FECHA FIN ]],Tabla1[[#This Row],[FECHA INICIO]])</f>
        <v>132</v>
      </c>
      <c r="M5585" s="12"/>
      <c r="N5585" s="20">
        <v>325</v>
      </c>
      <c r="O5585" s="24">
        <f>(Tabla1[[#This Row],[COSTO FIJO ]]/30)*Tabla1[[#This Row],[TOTAL DIAS PROYECTO]]+(Tabla1[[#This Row],[COSTO TEMPORAL]])</f>
        <v>1430</v>
      </c>
      <c r="P5585" s="12"/>
      <c r="Q5585" s="12">
        <f>+(Tabla1[[#This Row],[COSTO COCHE]]/30)*Tabla1[[#This Row],[TOTAL DIAS PROYECTO]]</f>
        <v>0</v>
      </c>
      <c r="R5585" s="12">
        <f>+Tabla1[[#This Row],[COSTO TOTAL ALOJAMIENTO]]+Tabla1[[#This Row],[COSTO TOTAL COCHE]]</f>
        <v>1430</v>
      </c>
      <c r="S5585" s="2"/>
      <c r="T5585" s="14" t="s">
        <v>35</v>
      </c>
      <c r="U5585" s="14">
        <v>46061</v>
      </c>
      <c r="V5585" s="79"/>
      <c r="W5585" s="12">
        <v>650</v>
      </c>
      <c r="X5585" s="2">
        <v>5</v>
      </c>
      <c r="Y5585" s="11" t="s">
        <v>7707</v>
      </c>
      <c r="Z5585" s="2" t="s">
        <v>36</v>
      </c>
      <c r="AA5585" s="13" t="s">
        <v>10340</v>
      </c>
      <c r="AB5585" s="13" t="s">
        <v>10341</v>
      </c>
    </row>
    <row r="5586" spans="1:28" ht="15" customHeight="1">
      <c r="A5586" s="2" t="s">
        <v>8642</v>
      </c>
      <c r="B5586" s="2" t="s">
        <v>978</v>
      </c>
      <c r="C5586" s="321" t="s">
        <v>7708</v>
      </c>
      <c r="D5586" s="2" t="s">
        <v>99</v>
      </c>
      <c r="E5586" s="2" t="s">
        <v>109</v>
      </c>
      <c r="F5586" s="11" t="s">
        <v>3066</v>
      </c>
      <c r="G5586" s="333" t="s">
        <v>3067</v>
      </c>
      <c r="H5586" s="2" t="s">
        <v>7700</v>
      </c>
      <c r="I5586" s="12" t="s">
        <v>4681</v>
      </c>
      <c r="J5586" s="41">
        <f>+Tabla1[[#This Row],[FECHA ENTRADA]]</f>
        <v>46214</v>
      </c>
      <c r="K5586" s="41">
        <v>46231</v>
      </c>
      <c r="L5586" s="42">
        <f>_xlfn.DAYS(Tabla1[[#This Row],[FECHA FIN ]],Tabla1[[#This Row],[FECHA INICIO]])</f>
        <v>17</v>
      </c>
      <c r="M5586" s="12"/>
      <c r="N5586" s="12">
        <f>1236/3</f>
        <v>412</v>
      </c>
      <c r="O5586" s="28">
        <f>(Tabla1[[#This Row],[COSTO FIJO ]]/30)*Tabla1[[#This Row],[TOTAL DIAS PROYECTO]]+(Tabla1[[#This Row],[COSTO TEMPORAL]])</f>
        <v>233.46666666666664</v>
      </c>
      <c r="P5586" s="12"/>
      <c r="Q5586" s="12">
        <f>+(Tabla1[[#This Row],[COSTO COCHE]]/30)*Tabla1[[#This Row],[TOTAL DIAS PROYECTO]]</f>
        <v>0</v>
      </c>
      <c r="R5586" s="12">
        <f>+Tabla1[[#This Row],[COSTO TOTAL ALOJAMIENTO]]+Tabla1[[#This Row],[COSTO TOTAL COCHE]]</f>
        <v>233.46666666666664</v>
      </c>
      <c r="S5586" s="2"/>
      <c r="T5586" s="14" t="s">
        <v>35</v>
      </c>
      <c r="U5586" s="14">
        <v>46214</v>
      </c>
      <c r="V5586" s="43"/>
      <c r="W5586" s="12"/>
      <c r="X5586" s="2">
        <v>4</v>
      </c>
      <c r="Y5586" s="11" t="s">
        <v>7709</v>
      </c>
      <c r="Z5586" s="2" t="s">
        <v>36</v>
      </c>
      <c r="AA5586" s="13">
        <v>0.62217999999999996</v>
      </c>
      <c r="AB5586" s="13" t="s">
        <v>10339</v>
      </c>
    </row>
    <row r="5587" spans="1:28" ht="15" customHeight="1">
      <c r="A5587" s="2" t="s">
        <v>10067</v>
      </c>
      <c r="B5587" s="2" t="s">
        <v>606</v>
      </c>
      <c r="C5587" s="104" t="s">
        <v>6186</v>
      </c>
      <c r="D5587" s="2" t="s">
        <v>99</v>
      </c>
      <c r="E5587" s="2" t="s">
        <v>686</v>
      </c>
      <c r="F5587" s="11" t="s">
        <v>1106</v>
      </c>
      <c r="G5587" s="46"/>
      <c r="H5587" s="2" t="s">
        <v>6263</v>
      </c>
      <c r="I5587" s="12" t="s">
        <v>57</v>
      </c>
      <c r="J5587" s="41">
        <f>+Tabla1[[#This Row],[FECHA ENTRADA]]</f>
        <v>46061</v>
      </c>
      <c r="K5587" s="41">
        <v>46065</v>
      </c>
      <c r="L5587" s="42">
        <f>_xlfn.DAYS(Tabla1[[#This Row],[FECHA FIN ]],Tabla1[[#This Row],[FECHA INICIO]])</f>
        <v>4</v>
      </c>
      <c r="M5587" s="12"/>
      <c r="N5587" s="28"/>
      <c r="O5587" s="28">
        <f>(Tabla1[[#This Row],[COSTO FIJO ]]/30)*Tabla1[[#This Row],[TOTAL DIAS PROYECTO]]+(Tabla1[[#This Row],[COSTO TEMPORAL]])</f>
        <v>0</v>
      </c>
      <c r="P5587" s="12"/>
      <c r="Q5587" s="12">
        <f>+(Tabla1[[#This Row],[COSTO COCHE]]/30)*Tabla1[[#This Row],[TOTAL DIAS PROYECTO]]</f>
        <v>0</v>
      </c>
      <c r="R5587" s="12">
        <f>+Tabla1[[#This Row],[COSTO TOTAL ALOJAMIENTO]]+Tabla1[[#This Row],[COSTO TOTAL COCHE]]</f>
        <v>0</v>
      </c>
      <c r="S5587" s="2"/>
      <c r="T5587" s="2" t="s">
        <v>8</v>
      </c>
      <c r="U5587" s="14">
        <v>46061</v>
      </c>
      <c r="V5587" s="43"/>
      <c r="W5587" s="12"/>
      <c r="X5587" s="2"/>
      <c r="Y5587" s="11" t="s">
        <v>7710</v>
      </c>
      <c r="Z5587" s="2" t="s">
        <v>36</v>
      </c>
      <c r="AA5587" s="13" t="s">
        <v>10393</v>
      </c>
      <c r="AB5587" s="13">
        <v>3834517</v>
      </c>
    </row>
    <row r="5588" spans="1:28" ht="15" customHeight="1">
      <c r="A5588" s="2" t="s">
        <v>9160</v>
      </c>
      <c r="B5588" s="2" t="s">
        <v>711</v>
      </c>
      <c r="C5588" s="97" t="s">
        <v>2277</v>
      </c>
      <c r="D5588" s="2" t="s">
        <v>749</v>
      </c>
      <c r="E5588" s="2" t="s">
        <v>4598</v>
      </c>
      <c r="F5588" s="11" t="s">
        <v>1106</v>
      </c>
      <c r="G5588" s="21"/>
      <c r="H5588" s="2" t="s">
        <v>7702</v>
      </c>
      <c r="I5588" s="12" t="s">
        <v>2862</v>
      </c>
      <c r="J5588" s="22">
        <f>+Tabla1[[#This Row],[FECHA ENTRADA]]</f>
        <v>46103</v>
      </c>
      <c r="K5588" s="22">
        <v>46121</v>
      </c>
      <c r="L5588" s="23">
        <f>_xlfn.DAYS(Tabla1[[#This Row],[FECHA FIN ]],Tabla1[[#This Row],[FECHA INICIO]])</f>
        <v>18</v>
      </c>
      <c r="M5588" s="12"/>
      <c r="N5588" s="20">
        <v>0</v>
      </c>
      <c r="O5588" s="24">
        <f>(Tabla1[[#This Row],[COSTO FIJO ]]/30)*Tabla1[[#This Row],[TOTAL DIAS PROYECTO]]+(Tabla1[[#This Row],[COSTO TEMPORAL]])</f>
        <v>0</v>
      </c>
      <c r="P5588" s="12"/>
      <c r="Q5588" s="12">
        <f>+(Tabla1[[#This Row],[COSTO COCHE]]/30)*Tabla1[[#This Row],[TOTAL DIAS PROYECTO]]</f>
        <v>0</v>
      </c>
      <c r="R5588" s="12">
        <f>+Tabla1[[#This Row],[COSTO TOTAL ALOJAMIENTO]]+Tabla1[[#This Row],[COSTO TOTAL COCHE]]</f>
        <v>0</v>
      </c>
      <c r="S5588" s="2"/>
      <c r="T5588" s="2" t="s">
        <v>8</v>
      </c>
      <c r="U5588" s="14">
        <v>46103</v>
      </c>
      <c r="V5588" s="79"/>
      <c r="W5588" s="12"/>
      <c r="X5588" s="2"/>
      <c r="Y5588" s="11" t="s">
        <v>7703</v>
      </c>
      <c r="Z5588" s="2" t="s">
        <v>36</v>
      </c>
      <c r="AA5588" s="13">
        <v>10.50447</v>
      </c>
      <c r="AB5588" s="13">
        <v>43.843690000000002</v>
      </c>
    </row>
    <row r="5589" spans="1:28">
      <c r="A5589" s="2" t="s">
        <v>8947</v>
      </c>
      <c r="B5589" s="2" t="s">
        <v>606</v>
      </c>
      <c r="C5589" s="118" t="s">
        <v>1411</v>
      </c>
      <c r="D5589" s="2" t="s">
        <v>99</v>
      </c>
      <c r="E5589" s="2" t="s">
        <v>415</v>
      </c>
      <c r="F5589" s="11" t="s">
        <v>487</v>
      </c>
      <c r="G5589" s="49" t="s">
        <v>488</v>
      </c>
      <c r="H5589" s="2" t="s">
        <v>1414</v>
      </c>
      <c r="I5589" s="12" t="s">
        <v>1415</v>
      </c>
      <c r="J5589" s="22">
        <f>+Tabla1[[#This Row],[FECHA ENTRADA]]</f>
        <v>45903</v>
      </c>
      <c r="K5589" s="22">
        <v>46209</v>
      </c>
      <c r="L5589" s="23">
        <f>_xlfn.DAYS(Tabla1[[#This Row],[FECHA FIN ]],Tabla1[[#This Row],[FECHA INICIO]])</f>
        <v>306</v>
      </c>
      <c r="M5589" s="12"/>
      <c r="N5589" s="28">
        <v>600</v>
      </c>
      <c r="O5589" s="24">
        <f>(Tabla1[[#This Row],[COSTO FIJO ]]/30)*Tabla1[[#This Row],[TOTAL DIAS PROYECTO]]+(Tabla1[[#This Row],[COSTO TEMPORAL]])</f>
        <v>6120</v>
      </c>
      <c r="P5589" s="12"/>
      <c r="Q5589" s="12">
        <f>+(Tabla1[[#This Row],[COSTO COCHE]]/30)*Tabla1[[#This Row],[TOTAL DIAS PROYECTO]]</f>
        <v>0</v>
      </c>
      <c r="R5589" s="12">
        <f>+Tabla1[[#This Row],[COSTO TOTAL ALOJAMIENTO]]+Tabla1[[#This Row],[COSTO TOTAL COCHE]]</f>
        <v>6120</v>
      </c>
      <c r="S5589" s="2"/>
      <c r="T5589" s="14" t="s">
        <v>35</v>
      </c>
      <c r="U5589" s="14">
        <v>45903</v>
      </c>
      <c r="V5589" s="25"/>
      <c r="W5589" s="12">
        <v>700</v>
      </c>
      <c r="X5589" s="2">
        <v>1</v>
      </c>
      <c r="Y5589" s="11" t="s">
        <v>7711</v>
      </c>
      <c r="Z5589" s="2" t="s">
        <v>36</v>
      </c>
      <c r="AA5589" s="13">
        <v>-0.37739</v>
      </c>
      <c r="AB5589" s="13" t="s">
        <v>10372</v>
      </c>
    </row>
    <row r="5590" spans="1:28">
      <c r="A5590" s="2" t="s">
        <v>9850</v>
      </c>
      <c r="B5590" s="2" t="s">
        <v>606</v>
      </c>
      <c r="C5590" s="118" t="s">
        <v>5034</v>
      </c>
      <c r="D5590" s="2" t="s">
        <v>30</v>
      </c>
      <c r="E5590" s="2" t="s">
        <v>415</v>
      </c>
      <c r="F5590" s="11" t="s">
        <v>487</v>
      </c>
      <c r="G5590" s="49" t="s">
        <v>488</v>
      </c>
      <c r="H5590" s="2" t="s">
        <v>1414</v>
      </c>
      <c r="I5590" s="12" t="s">
        <v>1415</v>
      </c>
      <c r="J5590" s="22">
        <f>+Tabla1[[#This Row],[FECHA ENTRADA]]</f>
        <v>45909</v>
      </c>
      <c r="K5590" s="22">
        <v>46209</v>
      </c>
      <c r="L5590" s="23">
        <f>_xlfn.DAYS(Tabla1[[#This Row],[FECHA FIN ]],Tabla1[[#This Row],[FECHA INICIO]])</f>
        <v>300</v>
      </c>
      <c r="M5590" s="12"/>
      <c r="N5590" s="28">
        <v>600</v>
      </c>
      <c r="O5590" s="24">
        <f>(Tabla1[[#This Row],[COSTO FIJO ]]/30)*Tabla1[[#This Row],[TOTAL DIAS PROYECTO]]+(Tabla1[[#This Row],[COSTO TEMPORAL]])</f>
        <v>6000</v>
      </c>
      <c r="P5590" s="12"/>
      <c r="Q5590" s="12">
        <f>+(Tabla1[[#This Row],[COSTO COCHE]]/30)*Tabla1[[#This Row],[TOTAL DIAS PROYECTO]]</f>
        <v>0</v>
      </c>
      <c r="R5590" s="12">
        <f>+Tabla1[[#This Row],[COSTO TOTAL ALOJAMIENTO]]+Tabla1[[#This Row],[COSTO TOTAL COCHE]]</f>
        <v>6000</v>
      </c>
      <c r="S5590" s="2"/>
      <c r="T5590" s="14" t="s">
        <v>35</v>
      </c>
      <c r="U5590" s="14">
        <v>45909</v>
      </c>
      <c r="V5590" s="25"/>
      <c r="W5590" s="12"/>
      <c r="X5590" s="2">
        <v>1</v>
      </c>
      <c r="Y5590" s="11" t="s">
        <v>7712</v>
      </c>
      <c r="Z5590" s="2" t="s">
        <v>36</v>
      </c>
      <c r="AA5590" s="13">
        <v>-0.37739</v>
      </c>
      <c r="AB5590" s="13" t="s">
        <v>10372</v>
      </c>
    </row>
    <row r="5591" spans="1:28">
      <c r="A5591" s="2" t="s">
        <v>10049</v>
      </c>
      <c r="B5591" s="2" t="s">
        <v>606</v>
      </c>
      <c r="C5591" s="101" t="s">
        <v>6064</v>
      </c>
      <c r="D5591" s="2" t="s">
        <v>99</v>
      </c>
      <c r="E5591" s="2" t="s">
        <v>415</v>
      </c>
      <c r="F5591" s="11" t="s">
        <v>487</v>
      </c>
      <c r="G5591" s="49" t="s">
        <v>488</v>
      </c>
      <c r="H5591" s="2" t="s">
        <v>7684</v>
      </c>
      <c r="I5591" s="12" t="s">
        <v>1415</v>
      </c>
      <c r="J5591" s="22">
        <f>+Tabla1[[#This Row],[FECHA ENTRADA]]</f>
        <v>45984</v>
      </c>
      <c r="K5591" s="22">
        <v>46209</v>
      </c>
      <c r="L5591" s="23">
        <f>_xlfn.DAYS(Tabla1[[#This Row],[FECHA FIN ]],Tabla1[[#This Row],[FECHA INICIO]])</f>
        <v>225</v>
      </c>
      <c r="M5591" s="12"/>
      <c r="N5591" s="28">
        <v>600</v>
      </c>
      <c r="O5591" s="24">
        <f>(Tabla1[[#This Row],[COSTO FIJO ]]/30)*Tabla1[[#This Row],[TOTAL DIAS PROYECTO]]+(Tabla1[[#This Row],[COSTO TEMPORAL]])</f>
        <v>4500</v>
      </c>
      <c r="P5591" s="12"/>
      <c r="Q5591" s="12">
        <f>+(Tabla1[[#This Row],[COSTO COCHE]]/30)*Tabla1[[#This Row],[TOTAL DIAS PROYECTO]]</f>
        <v>0</v>
      </c>
      <c r="R5591" s="12">
        <f>+Tabla1[[#This Row],[COSTO TOTAL ALOJAMIENTO]]+Tabla1[[#This Row],[COSTO TOTAL COCHE]]</f>
        <v>4500</v>
      </c>
      <c r="S5591" s="2"/>
      <c r="T5591" s="14" t="s">
        <v>35</v>
      </c>
      <c r="U5591" s="14">
        <v>45984</v>
      </c>
      <c r="V5591" s="25"/>
      <c r="W5591" s="12"/>
      <c r="X5591" s="2">
        <v>1</v>
      </c>
      <c r="Y5591" s="11" t="s">
        <v>7713</v>
      </c>
      <c r="Z5591" s="2" t="s">
        <v>36</v>
      </c>
      <c r="AA5591" s="13">
        <v>-0.37739</v>
      </c>
      <c r="AB5591" s="13" t="s">
        <v>10372</v>
      </c>
    </row>
    <row r="5592" spans="1:28">
      <c r="A5592" s="2" t="s">
        <v>10275</v>
      </c>
      <c r="B5592" s="2" t="s">
        <v>28</v>
      </c>
      <c r="C5592" s="11" t="s">
        <v>7714</v>
      </c>
      <c r="D5592" s="2" t="s">
        <v>30</v>
      </c>
      <c r="E5592" s="2" t="s">
        <v>213</v>
      </c>
      <c r="F5592" s="11" t="s">
        <v>557</v>
      </c>
      <c r="G5592" s="11" t="s">
        <v>558</v>
      </c>
      <c r="H5592" s="2" t="s">
        <v>7715</v>
      </c>
      <c r="I5592" s="12" t="s">
        <v>560</v>
      </c>
      <c r="J5592" s="8">
        <f>+Tabla1[[#This Row],[FECHA ENTRADA]]</f>
        <v>45415</v>
      </c>
      <c r="K5592" s="8" t="s">
        <v>7716</v>
      </c>
      <c r="L5592" s="13">
        <f>_xlfn.DAYS(Tabla1[[#This Row],[FECHA FIN ]],Tabla1[[#This Row],[FECHA INICIO]])</f>
        <v>21</v>
      </c>
      <c r="M5592" s="12"/>
      <c r="N5592" s="12"/>
      <c r="O5592" s="12">
        <f>(Tabla1[[#This Row],[COSTO FIJO ]]/30)*Tabla1[[#This Row],[TOTAL DIAS PROYECTO]]+(Tabla1[[#This Row],[COSTO TEMPORAL]])</f>
        <v>0</v>
      </c>
      <c r="P5592" s="12"/>
      <c r="Q5592" s="12">
        <f>+(Tabla1[[#This Row],[COSTO COCHE]]/30)*Tabla1[[#This Row],[TOTAL DIAS PROYECTO]]</f>
        <v>0</v>
      </c>
      <c r="R5592" s="12">
        <f>+Tabla1[[#This Row],[COSTO TOTAL ALOJAMIENTO]]+Tabla1[[#This Row],[COSTO TOTAL COCHE]]</f>
        <v>0</v>
      </c>
      <c r="S5592" s="2"/>
      <c r="T5592" s="2" t="s">
        <v>35</v>
      </c>
      <c r="U5592" s="14">
        <v>45415</v>
      </c>
      <c r="V5592" s="14"/>
      <c r="W5592" s="2"/>
      <c r="X5592" s="2">
        <v>20</v>
      </c>
      <c r="Y5592" s="18" t="s">
        <v>7717</v>
      </c>
      <c r="Z5592" s="2" t="s">
        <v>36</v>
      </c>
      <c r="AA5592" s="13" t="s">
        <v>10349</v>
      </c>
      <c r="AB5592" s="13" t="s">
        <v>10350</v>
      </c>
    </row>
    <row r="5593" spans="1:28" ht="14.45" customHeight="1">
      <c r="A5593" s="2" t="s">
        <v>9215</v>
      </c>
      <c r="B5593" s="2" t="s">
        <v>28</v>
      </c>
      <c r="C5593" s="11" t="s">
        <v>2469</v>
      </c>
      <c r="D5593" s="2" t="s">
        <v>30</v>
      </c>
      <c r="E5593" s="2" t="s">
        <v>87</v>
      </c>
      <c r="F5593" s="11" t="s">
        <v>567</v>
      </c>
      <c r="G5593" s="11" t="s">
        <v>568</v>
      </c>
      <c r="H5593" s="2">
        <v>2023</v>
      </c>
      <c r="I5593" s="2" t="s">
        <v>4169</v>
      </c>
      <c r="J5593" s="8" t="s">
        <v>386</v>
      </c>
      <c r="K5593" s="8" t="s">
        <v>7718</v>
      </c>
      <c r="L5593" s="13">
        <f>_xlfn.DAYS(Tabla1[[#This Row],[FECHA FIN ]],Tabla1[[#This Row],[FECHA INICIO]])</f>
        <v>100</v>
      </c>
      <c r="M5593" s="12"/>
      <c r="N5593" s="2"/>
      <c r="O5593" s="12">
        <f>(Tabla1[[#This Row],[COSTO FIJO ]]/30)*Tabla1[[#This Row],[TOTAL DIAS PROYECTO]]+(Tabla1[[#This Row],[COSTO TEMPORAL]])</f>
        <v>0</v>
      </c>
      <c r="P5593" s="12"/>
      <c r="Q5593" s="12">
        <f>+(Tabla1[[#This Row],[COSTO COCHE]]/30)*Tabla1[[#This Row],[TOTAL DIAS PROYECTO]]</f>
        <v>0</v>
      </c>
      <c r="R5593" s="12">
        <f>+Tabla1[[#This Row],[COSTO TOTAL ALOJAMIENTO]]+Tabla1[[#This Row],[COSTO TOTAL COCHE]]</f>
        <v>0</v>
      </c>
      <c r="S5593" s="2"/>
      <c r="T5593" s="2" t="s">
        <v>35</v>
      </c>
      <c r="U5593" s="14"/>
      <c r="V5593" s="14">
        <v>45378</v>
      </c>
      <c r="W5593" s="15"/>
      <c r="X5593" s="16">
        <v>9</v>
      </c>
      <c r="Y5593" s="18" t="s">
        <v>7719</v>
      </c>
      <c r="Z5593" s="2" t="s">
        <v>36</v>
      </c>
      <c r="AA5593" s="13" t="s">
        <v>10335</v>
      </c>
      <c r="AB5593" s="13">
        <v>404.16500000000002</v>
      </c>
    </row>
    <row r="5594" spans="1:28" ht="14.45" customHeight="1">
      <c r="A5594" s="2" t="s">
        <v>8768</v>
      </c>
      <c r="B5594" s="2" t="s">
        <v>28</v>
      </c>
      <c r="C5594" s="11" t="s">
        <v>658</v>
      </c>
      <c r="D5594" s="2" t="s">
        <v>30</v>
      </c>
      <c r="E5594" s="2" t="s">
        <v>370</v>
      </c>
      <c r="F5594" s="11" t="s">
        <v>2629</v>
      </c>
      <c r="G5594" s="11" t="s">
        <v>2630</v>
      </c>
      <c r="H5594" s="2" t="s">
        <v>2631</v>
      </c>
      <c r="I5594" s="2" t="s">
        <v>118</v>
      </c>
      <c r="J5594" s="8">
        <f>+Tabla1[[#This Row],[FECHA ENTRADA]]</f>
        <v>45312</v>
      </c>
      <c r="K5594" s="8"/>
      <c r="L5594" s="13">
        <f>_xlfn.DAYS(Tabla1[[#This Row],[FECHA FIN ]],Tabla1[[#This Row],[FECHA INICIO]])</f>
        <v>-45312</v>
      </c>
      <c r="M5594" s="12"/>
      <c r="N5594" s="12"/>
      <c r="O5594" s="12">
        <f>(Tabla1[[#This Row],[COSTO FIJO ]]/30)*Tabla1[[#This Row],[TOTAL DIAS PROYECTO]]+(Tabla1[[#This Row],[COSTO TEMPORAL]])</f>
        <v>0</v>
      </c>
      <c r="P5594" s="12"/>
      <c r="Q5594" s="12">
        <f>+(Tabla1[[#This Row],[COSTO COCHE]]/30)*Tabla1[[#This Row],[TOTAL DIAS PROYECTO]]</f>
        <v>0</v>
      </c>
      <c r="R5594" s="12">
        <f>+Tabla1[[#This Row],[COSTO TOTAL ALOJAMIENTO]]+Tabla1[[#This Row],[COSTO TOTAL COCHE]]</f>
        <v>0</v>
      </c>
      <c r="S5594" s="2" t="s">
        <v>403</v>
      </c>
      <c r="T5594" s="2" t="s">
        <v>44</v>
      </c>
      <c r="U5594" s="14">
        <v>45312</v>
      </c>
      <c r="V5594" s="14">
        <v>45328</v>
      </c>
      <c r="W5594" s="15"/>
      <c r="X5594" s="16"/>
      <c r="Y5594" s="18"/>
      <c r="Z5594" s="2" t="s">
        <v>36</v>
      </c>
      <c r="AA5594" s="13" t="s">
        <v>10368</v>
      </c>
      <c r="AB5594" s="13" t="s">
        <v>10369</v>
      </c>
    </row>
    <row r="5595" spans="1:28" ht="14.45" customHeight="1">
      <c r="A5595" s="2" t="s">
        <v>8890</v>
      </c>
      <c r="B5595" s="2" t="s">
        <v>28</v>
      </c>
      <c r="C5595" s="11" t="s">
        <v>1172</v>
      </c>
      <c r="D5595" s="2" t="s">
        <v>30</v>
      </c>
      <c r="E5595" s="2" t="s">
        <v>370</v>
      </c>
      <c r="F5595" s="11" t="s">
        <v>2629</v>
      </c>
      <c r="G5595" s="11" t="s">
        <v>2630</v>
      </c>
      <c r="H5595" s="2" t="s">
        <v>2631</v>
      </c>
      <c r="I5595" s="2" t="s">
        <v>118</v>
      </c>
      <c r="J5595" s="8">
        <f>+Tabla1[[#This Row],[FECHA ENTRADA]]</f>
        <v>45312</v>
      </c>
      <c r="K5595" s="8"/>
      <c r="L5595" s="13">
        <f>_xlfn.DAYS(Tabla1[[#This Row],[FECHA FIN ]],Tabla1[[#This Row],[FECHA INICIO]])</f>
        <v>-45312</v>
      </c>
      <c r="M5595" s="12"/>
      <c r="N5595" s="2"/>
      <c r="O5595" s="12">
        <f>(Tabla1[[#This Row],[COSTO FIJO ]]/30)*Tabla1[[#This Row],[TOTAL DIAS PROYECTO]]+(Tabla1[[#This Row],[COSTO TEMPORAL]])</f>
        <v>0</v>
      </c>
      <c r="P5595" s="12"/>
      <c r="Q5595" s="12">
        <f>+(Tabla1[[#This Row],[COSTO COCHE]]/30)*Tabla1[[#This Row],[TOTAL DIAS PROYECTO]]</f>
        <v>0</v>
      </c>
      <c r="R5595" s="12">
        <f>+Tabla1[[#This Row],[COSTO TOTAL ALOJAMIENTO]]+Tabla1[[#This Row],[COSTO TOTAL COCHE]]</f>
        <v>0</v>
      </c>
      <c r="S5595" s="2" t="s">
        <v>403</v>
      </c>
      <c r="T5595" s="2" t="s">
        <v>44</v>
      </c>
      <c r="U5595" s="14">
        <v>45312</v>
      </c>
      <c r="V5595" s="14">
        <v>45328</v>
      </c>
      <c r="W5595" s="15"/>
      <c r="X5595" s="16"/>
      <c r="Y5595" s="18"/>
      <c r="Z5595" s="2" t="s">
        <v>36</v>
      </c>
      <c r="AA5595" s="13" t="s">
        <v>10368</v>
      </c>
      <c r="AB5595" s="13" t="s">
        <v>10369</v>
      </c>
    </row>
    <row r="5596" spans="1:28" ht="14.45" customHeight="1">
      <c r="A5596" s="2" t="s">
        <v>8836</v>
      </c>
      <c r="B5596" s="2" t="s">
        <v>28</v>
      </c>
      <c r="C5596" s="11" t="s">
        <v>955</v>
      </c>
      <c r="D5596" s="2" t="s">
        <v>30</v>
      </c>
      <c r="E5596" s="2" t="s">
        <v>370</v>
      </c>
      <c r="F5596" s="11" t="s">
        <v>2629</v>
      </c>
      <c r="G5596" s="11" t="s">
        <v>2630</v>
      </c>
      <c r="H5596" s="2" t="s">
        <v>2631</v>
      </c>
      <c r="I5596" s="2" t="s">
        <v>118</v>
      </c>
      <c r="J5596" s="8">
        <f>+Tabla1[[#This Row],[FECHA ENTRADA]]</f>
        <v>45312</v>
      </c>
      <c r="K5596" s="8"/>
      <c r="L5596" s="13">
        <f>_xlfn.DAYS(Tabla1[[#This Row],[FECHA FIN ]],Tabla1[[#This Row],[FECHA INICIO]])</f>
        <v>-45312</v>
      </c>
      <c r="M5596" s="12"/>
      <c r="N5596" s="2"/>
      <c r="O5596" s="12">
        <f>(Tabla1[[#This Row],[COSTO FIJO ]]/30)*Tabla1[[#This Row],[TOTAL DIAS PROYECTO]]+(Tabla1[[#This Row],[COSTO TEMPORAL]])</f>
        <v>0</v>
      </c>
      <c r="P5596" s="12"/>
      <c r="Q5596" s="12">
        <f>+(Tabla1[[#This Row],[COSTO COCHE]]/30)*Tabla1[[#This Row],[TOTAL DIAS PROYECTO]]</f>
        <v>0</v>
      </c>
      <c r="R5596" s="12">
        <f>+Tabla1[[#This Row],[COSTO TOTAL ALOJAMIENTO]]+Tabla1[[#This Row],[COSTO TOTAL COCHE]]</f>
        <v>0</v>
      </c>
      <c r="S5596" s="2" t="s">
        <v>403</v>
      </c>
      <c r="T5596" s="2" t="s">
        <v>44</v>
      </c>
      <c r="U5596" s="14">
        <v>45312</v>
      </c>
      <c r="V5596" s="14">
        <v>45328</v>
      </c>
      <c r="W5596" s="15"/>
      <c r="X5596" s="16"/>
      <c r="Y5596" s="18"/>
      <c r="Z5596" s="2" t="s">
        <v>36</v>
      </c>
      <c r="AA5596" s="13" t="s">
        <v>10368</v>
      </c>
      <c r="AB5596" s="13" t="s">
        <v>10369</v>
      </c>
    </row>
    <row r="5597" spans="1:28" ht="14.45" customHeight="1">
      <c r="A5597" s="2" t="s">
        <v>8648</v>
      </c>
      <c r="B5597" s="2" t="s">
        <v>28</v>
      </c>
      <c r="C5597" s="18" t="s">
        <v>126</v>
      </c>
      <c r="D5597" s="2" t="s">
        <v>30</v>
      </c>
      <c r="E5597" s="2" t="s">
        <v>370</v>
      </c>
      <c r="F5597" s="11" t="s">
        <v>2629</v>
      </c>
      <c r="G5597" s="11" t="s">
        <v>2630</v>
      </c>
      <c r="H5597" s="2" t="s">
        <v>2631</v>
      </c>
      <c r="I5597" s="2" t="s">
        <v>118</v>
      </c>
      <c r="J5597" s="8">
        <f>+Tabla1[[#This Row],[FECHA ENTRADA]]</f>
        <v>45312</v>
      </c>
      <c r="K5597" s="8"/>
      <c r="L5597" s="13">
        <f>_xlfn.DAYS(Tabla1[[#This Row],[FECHA FIN ]],Tabla1[[#This Row],[FECHA INICIO]])</f>
        <v>-45312</v>
      </c>
      <c r="M5597" s="12"/>
      <c r="N5597" s="20"/>
      <c r="O5597" s="12">
        <f>(Tabla1[[#This Row],[COSTO FIJO ]]/30)*Tabla1[[#This Row],[TOTAL DIAS PROYECTO]]+(Tabla1[[#This Row],[COSTO TEMPORAL]])</f>
        <v>0</v>
      </c>
      <c r="P5597" s="12"/>
      <c r="Q5597" s="12">
        <f>+(Tabla1[[#This Row],[COSTO COCHE]]/30)*Tabla1[[#This Row],[TOTAL DIAS PROYECTO]]</f>
        <v>0</v>
      </c>
      <c r="R5597" s="12">
        <f>+Tabla1[[#This Row],[COSTO TOTAL ALOJAMIENTO]]+Tabla1[[#This Row],[COSTO TOTAL COCHE]]</f>
        <v>0</v>
      </c>
      <c r="S5597" s="2" t="s">
        <v>403</v>
      </c>
      <c r="T5597" s="2" t="s">
        <v>44</v>
      </c>
      <c r="U5597" s="14">
        <v>45312</v>
      </c>
      <c r="V5597" s="14">
        <v>45329</v>
      </c>
      <c r="W5597" s="15"/>
      <c r="X5597" s="16"/>
      <c r="Y5597" s="18"/>
      <c r="Z5597" s="2" t="s">
        <v>36</v>
      </c>
      <c r="AA5597" s="13" t="s">
        <v>10368</v>
      </c>
      <c r="AB5597" s="13" t="s">
        <v>10369</v>
      </c>
    </row>
    <row r="5598" spans="1:28" ht="14.45" customHeight="1">
      <c r="A5598" s="2" t="s">
        <v>8654</v>
      </c>
      <c r="B5598" s="2" t="s">
        <v>28</v>
      </c>
      <c r="C5598" s="11" t="s">
        <v>148</v>
      </c>
      <c r="D5598" s="2" t="s">
        <v>30</v>
      </c>
      <c r="E5598" s="2" t="s">
        <v>370</v>
      </c>
      <c r="F5598" s="11" t="s">
        <v>2629</v>
      </c>
      <c r="G5598" s="11" t="s">
        <v>2630</v>
      </c>
      <c r="H5598" s="2" t="s">
        <v>2631</v>
      </c>
      <c r="I5598" s="2" t="s">
        <v>118</v>
      </c>
      <c r="J5598" s="8">
        <f>+Tabla1[[#This Row],[FECHA ENTRADA]]</f>
        <v>45312</v>
      </c>
      <c r="K5598" s="8"/>
      <c r="L5598" s="13">
        <f>_xlfn.DAYS(Tabla1[[#This Row],[FECHA FIN ]],Tabla1[[#This Row],[FECHA INICIO]])</f>
        <v>-45312</v>
      </c>
      <c r="M5598" s="12"/>
      <c r="N5598" s="2"/>
      <c r="O5598" s="12">
        <f>(Tabla1[[#This Row],[COSTO FIJO ]]/30)*Tabla1[[#This Row],[TOTAL DIAS PROYECTO]]+(Tabla1[[#This Row],[COSTO TEMPORAL]])</f>
        <v>0</v>
      </c>
      <c r="P5598" s="12"/>
      <c r="Q5598" s="12">
        <f>+(Tabla1[[#This Row],[COSTO COCHE]]/30)*Tabla1[[#This Row],[TOTAL DIAS PROYECTO]]</f>
        <v>0</v>
      </c>
      <c r="R5598" s="12">
        <f>+Tabla1[[#This Row],[COSTO TOTAL ALOJAMIENTO]]+Tabla1[[#This Row],[COSTO TOTAL COCHE]]</f>
        <v>0</v>
      </c>
      <c r="S5598" s="2" t="s">
        <v>403</v>
      </c>
      <c r="T5598" s="2" t="s">
        <v>44</v>
      </c>
      <c r="U5598" s="14">
        <v>45312</v>
      </c>
      <c r="V5598" s="14">
        <v>45329</v>
      </c>
      <c r="W5598" s="15"/>
      <c r="X5598" s="16"/>
      <c r="Y5598" s="18"/>
      <c r="Z5598" s="2" t="s">
        <v>36</v>
      </c>
      <c r="AA5598" s="13" t="s">
        <v>10368</v>
      </c>
      <c r="AB5598" s="13" t="s">
        <v>10369</v>
      </c>
    </row>
    <row r="5599" spans="1:28" ht="14.45" customHeight="1">
      <c r="A5599" s="2" t="s">
        <v>8909</v>
      </c>
      <c r="B5599" s="2" t="s">
        <v>28</v>
      </c>
      <c r="C5599" s="104" t="s">
        <v>1237</v>
      </c>
      <c r="D5599" s="2" t="s">
        <v>30</v>
      </c>
      <c r="E5599" s="2" t="s">
        <v>370</v>
      </c>
      <c r="F5599" s="11" t="s">
        <v>2629</v>
      </c>
      <c r="G5599" s="11" t="s">
        <v>2630</v>
      </c>
      <c r="H5599" s="2" t="s">
        <v>2631</v>
      </c>
      <c r="I5599" s="2" t="s">
        <v>118</v>
      </c>
      <c r="J5599" s="8">
        <f>+Tabla1[[#This Row],[FECHA ENTRADA]]</f>
        <v>45312</v>
      </c>
      <c r="K5599" s="8"/>
      <c r="L5599" s="13">
        <f>_xlfn.DAYS(Tabla1[[#This Row],[FECHA FIN ]],Tabla1[[#This Row],[FECHA INICIO]])</f>
        <v>-45312</v>
      </c>
      <c r="M5599" s="2"/>
      <c r="N5599" s="12">
        <v>325.33333333333331</v>
      </c>
      <c r="O5599" s="12">
        <f>(Tabla1[[#This Row],[COSTO FIJO ]]/30)*Tabla1[[#This Row],[TOTAL DIAS PROYECTO]]+(Tabla1[[#This Row],[COSTO TEMPORAL]])</f>
        <v>-491383.46666666662</v>
      </c>
      <c r="P5599" s="12"/>
      <c r="Q5599" s="12">
        <f>+(Tabla1[[#This Row],[COSTO COCHE]]/30)*Tabla1[[#This Row],[TOTAL DIAS PROYECTO]]</f>
        <v>0</v>
      </c>
      <c r="R5599" s="12">
        <f>+Tabla1[[#This Row],[COSTO TOTAL ALOJAMIENTO]]+Tabla1[[#This Row],[COSTO TOTAL COCHE]]</f>
        <v>-491383.46666666662</v>
      </c>
      <c r="S5599" s="2" t="s">
        <v>403</v>
      </c>
      <c r="T5599" s="2" t="s">
        <v>44</v>
      </c>
      <c r="U5599" s="14">
        <v>45312</v>
      </c>
      <c r="V5599" s="14">
        <v>45329</v>
      </c>
      <c r="W5599" s="15"/>
      <c r="X5599" s="16"/>
      <c r="Y5599" s="18"/>
      <c r="Z5599" s="2" t="s">
        <v>36</v>
      </c>
      <c r="AA5599" s="13" t="s">
        <v>10368</v>
      </c>
      <c r="AB5599" s="13" t="s">
        <v>10369</v>
      </c>
    </row>
    <row r="5600" spans="1:28" ht="14.45" customHeight="1">
      <c r="A5600" s="2" t="s">
        <v>9407</v>
      </c>
      <c r="B5600" s="2" t="s">
        <v>606</v>
      </c>
      <c r="C5600" s="97" t="s">
        <v>3076</v>
      </c>
      <c r="D5600" s="2" t="s">
        <v>30</v>
      </c>
      <c r="E5600" s="2" t="s">
        <v>31</v>
      </c>
      <c r="F5600" s="11" t="s">
        <v>1206</v>
      </c>
      <c r="G5600" s="51" t="s">
        <v>1005</v>
      </c>
      <c r="H5600" s="2" t="s">
        <v>3053</v>
      </c>
      <c r="I5600" s="12" t="s">
        <v>3054</v>
      </c>
      <c r="J5600" s="41">
        <f>+Tabla1[[#This Row],[FECHA ENTRADA]]</f>
        <v>45717</v>
      </c>
      <c r="K5600" s="22">
        <v>46165</v>
      </c>
      <c r="L5600" s="42">
        <f>_xlfn.DAYS(Tabla1[[#This Row],[FECHA FIN ]],Tabla1[[#This Row],[FECHA INICIO]])</f>
        <v>448</v>
      </c>
      <c r="M5600" s="12"/>
      <c r="N5600" s="20">
        <v>357.14285714285717</v>
      </c>
      <c r="O5600" s="28">
        <f>(Tabla1[[#This Row],[COSTO FIJO ]]/30)*Tabla1[[#This Row],[TOTAL DIAS PROYECTO]]+(Tabla1[[#This Row],[COSTO TEMPORAL]])</f>
        <v>5333.3333333333339</v>
      </c>
      <c r="P5600" s="12">
        <v>85.714285714285708</v>
      </c>
      <c r="Q5600" s="12">
        <f>+(Tabla1[[#This Row],[COSTO COCHE]]/30)*Tabla1[[#This Row],[TOTAL DIAS PROYECTO]]</f>
        <v>1279.9999999999998</v>
      </c>
      <c r="R5600" s="12">
        <f>+Tabla1[[#This Row],[COSTO TOTAL ALOJAMIENTO]]+Tabla1[[#This Row],[COSTO TOTAL COCHE]]</f>
        <v>6613.3333333333339</v>
      </c>
      <c r="S5600" s="2"/>
      <c r="T5600" s="2" t="s">
        <v>35</v>
      </c>
      <c r="U5600" s="14">
        <v>45717</v>
      </c>
      <c r="V5600" s="43"/>
      <c r="W5600" s="12">
        <v>2500</v>
      </c>
      <c r="X5600" s="2">
        <v>27</v>
      </c>
      <c r="Y5600" s="11" t="s">
        <v>7720</v>
      </c>
      <c r="Z5600" s="2" t="s">
        <v>36</v>
      </c>
      <c r="AA5600" s="13" t="s">
        <v>10323</v>
      </c>
      <c r="AB5600" s="13" t="s">
        <v>10324</v>
      </c>
    </row>
    <row r="5601" spans="1:28" ht="14.45" customHeight="1">
      <c r="A5601" s="2" t="s">
        <v>10276</v>
      </c>
      <c r="B5601" s="2" t="s">
        <v>28</v>
      </c>
      <c r="C5601" s="104" t="s">
        <v>7721</v>
      </c>
      <c r="D5601" s="2" t="s">
        <v>72</v>
      </c>
      <c r="E5601" s="2" t="s">
        <v>73</v>
      </c>
      <c r="F5601" s="11" t="s">
        <v>2642</v>
      </c>
      <c r="G5601" s="11" t="s">
        <v>2643</v>
      </c>
      <c r="H5601" s="2" t="s">
        <v>188</v>
      </c>
      <c r="I5601" s="157" t="s">
        <v>189</v>
      </c>
      <c r="J5601" s="8">
        <f>+Tabla1[[#This Row],[FECHA ENTRADA]]</f>
        <v>45353</v>
      </c>
      <c r="K5601" s="8"/>
      <c r="L5601" s="13">
        <f>_xlfn.DAYS(Tabla1[[#This Row],[FECHA FIN ]],Tabla1[[#This Row],[FECHA INICIO]])</f>
        <v>-45353</v>
      </c>
      <c r="M5601" s="12"/>
      <c r="N5601" s="12"/>
      <c r="O5601" s="12">
        <f>(Tabla1[[#This Row],[COSTO FIJO ]]/30)*Tabla1[[#This Row],[TOTAL DIAS PROYECTO]]+(Tabla1[[#This Row],[COSTO TEMPORAL]])</f>
        <v>0</v>
      </c>
      <c r="P5601" s="12"/>
      <c r="Q5601" s="12">
        <f>+(Tabla1[[#This Row],[COSTO COCHE]]/30)*Tabla1[[#This Row],[TOTAL DIAS PROYECTO]]</f>
        <v>0</v>
      </c>
      <c r="R5601" s="12">
        <f>+Tabla1[[#This Row],[COSTO TOTAL ALOJAMIENTO]]+Tabla1[[#This Row],[COSTO TOTAL COCHE]]</f>
        <v>0</v>
      </c>
      <c r="S5601" s="2"/>
      <c r="T5601" s="2" t="s">
        <v>44</v>
      </c>
      <c r="U5601" s="14">
        <v>45353</v>
      </c>
      <c r="V5601" s="14">
        <v>45356</v>
      </c>
      <c r="W5601" s="15"/>
      <c r="X5601" s="16"/>
      <c r="Y5601" s="18" t="s">
        <v>2644</v>
      </c>
      <c r="Z5601" s="2" t="s">
        <v>36</v>
      </c>
      <c r="AA5601" s="13" t="s">
        <v>10331</v>
      </c>
      <c r="AB5601" s="13" t="s">
        <v>10332</v>
      </c>
    </row>
    <row r="5602" spans="1:28" ht="14.45" customHeight="1">
      <c r="A5602" s="2" t="s">
        <v>10277</v>
      </c>
      <c r="B5602" s="2" t="s">
        <v>28</v>
      </c>
      <c r="C5602" s="115" t="s">
        <v>7722</v>
      </c>
      <c r="D5602" s="2" t="s">
        <v>30</v>
      </c>
      <c r="E5602" s="2" t="s">
        <v>259</v>
      </c>
      <c r="F5602" s="11" t="s">
        <v>2645</v>
      </c>
      <c r="G5602" s="11"/>
      <c r="H5602" s="2" t="s">
        <v>2646</v>
      </c>
      <c r="I5602" s="12" t="s">
        <v>2647</v>
      </c>
      <c r="J5602" s="8">
        <f>+Tabla1[[#This Row],[FECHA ENTRADA]]</f>
        <v>45368</v>
      </c>
      <c r="K5602" s="8"/>
      <c r="L5602" s="13">
        <f>_xlfn.DAYS(Tabla1[[#This Row],[FECHA FIN ]],Tabla1[[#This Row],[FECHA INICIO]])</f>
        <v>-45368</v>
      </c>
      <c r="M5602" s="12">
        <v>105</v>
      </c>
      <c r="N5602" s="20"/>
      <c r="O5602" s="12">
        <f>(Tabla1[[#This Row],[COSTO FIJO ]]/30)*Tabla1[[#This Row],[TOTAL DIAS PROYECTO]]+(Tabla1[[#This Row],[COSTO TEMPORAL]])</f>
        <v>105</v>
      </c>
      <c r="P5602" s="12"/>
      <c r="Q5602" s="12">
        <f>+(Tabla1[[#This Row],[COSTO COCHE]]/30)*Tabla1[[#This Row],[TOTAL DIAS PROYECTO]]</f>
        <v>0</v>
      </c>
      <c r="R5602" s="12">
        <f>+Tabla1[[#This Row],[COSTO TOTAL ALOJAMIENTO]]+Tabla1[[#This Row],[COSTO TOTAL COCHE]]</f>
        <v>105</v>
      </c>
      <c r="S5602" s="2"/>
      <c r="T5602" s="2" t="s">
        <v>44</v>
      </c>
      <c r="U5602" s="14">
        <v>45368</v>
      </c>
      <c r="V5602" s="14">
        <v>45374</v>
      </c>
      <c r="W5602" s="15"/>
      <c r="X5602" s="16"/>
      <c r="Y5602" s="18" t="s">
        <v>7723</v>
      </c>
      <c r="Z5602" s="2" t="s">
        <v>36</v>
      </c>
      <c r="AA5602" s="13">
        <v>-0.87734000000000001</v>
      </c>
      <c r="AB5602" s="13" t="s">
        <v>10359</v>
      </c>
    </row>
    <row r="5603" spans="1:28" ht="14.45" customHeight="1">
      <c r="A5603" s="2" t="s">
        <v>9785</v>
      </c>
      <c r="B5603" s="2" t="s">
        <v>711</v>
      </c>
      <c r="C5603" s="31" t="s">
        <v>4738</v>
      </c>
      <c r="D5603" s="2" t="s">
        <v>99</v>
      </c>
      <c r="E5603" s="2" t="s">
        <v>7637</v>
      </c>
      <c r="F5603" s="11" t="s">
        <v>7638</v>
      </c>
      <c r="G5603" s="128" t="s">
        <v>7639</v>
      </c>
      <c r="H5603" s="2" t="s">
        <v>5119</v>
      </c>
      <c r="I5603" s="12" t="s">
        <v>5120</v>
      </c>
      <c r="J5603" s="22">
        <f>+Tabla1[[#This Row],[FECHA ENTRADA]]</f>
        <v>45993</v>
      </c>
      <c r="K5603" s="22">
        <v>46177</v>
      </c>
      <c r="L5603" s="23">
        <f>_xlfn.DAYS(Tabla1[[#This Row],[FECHA FIN ]],Tabla1[[#This Row],[FECHA INICIO]])</f>
        <v>184</v>
      </c>
      <c r="M5603" s="12">
        <v>550</v>
      </c>
      <c r="N5603" s="20"/>
      <c r="O5603" s="24">
        <f>(Tabla1[[#This Row],[COSTO FIJO ]]/30)*Tabla1[[#This Row],[TOTAL DIAS PROYECTO]]+(Tabla1[[#This Row],[COSTO TEMPORAL]])</f>
        <v>550</v>
      </c>
      <c r="P5603" s="12"/>
      <c r="Q5603" s="12">
        <f>+(Tabla1[[#This Row],[COSTO COCHE]]/30)*Tabla1[[#This Row],[TOTAL DIAS PROYECTO]]</f>
        <v>0</v>
      </c>
      <c r="R5603" s="12">
        <f>+Tabla1[[#This Row],[COSTO TOTAL ALOJAMIENTO]]+Tabla1[[#This Row],[COSTO TOTAL COCHE]]</f>
        <v>550</v>
      </c>
      <c r="S5603" s="2" t="s">
        <v>84</v>
      </c>
      <c r="T5603" s="14" t="s">
        <v>44</v>
      </c>
      <c r="U5603" s="14">
        <v>45993</v>
      </c>
      <c r="V5603" s="25">
        <v>46177</v>
      </c>
      <c r="W5603" s="12"/>
      <c r="X5603" s="2"/>
      <c r="Y5603" s="11" t="s">
        <v>7645</v>
      </c>
      <c r="Z5603" s="2" t="s">
        <v>36</v>
      </c>
      <c r="AA5603" s="13" t="e">
        <v>#N/A</v>
      </c>
      <c r="AB5603" s="13" t="e">
        <v>#N/A</v>
      </c>
    </row>
    <row r="5604" spans="1:28">
      <c r="A5604" s="2" t="s">
        <v>9144</v>
      </c>
      <c r="B5604" s="2" t="s">
        <v>28</v>
      </c>
      <c r="C5604" s="11" t="s">
        <v>2197</v>
      </c>
      <c r="D5604" s="2" t="s">
        <v>30</v>
      </c>
      <c r="E5604" s="2" t="s">
        <v>225</v>
      </c>
      <c r="F5604" s="11" t="s">
        <v>226</v>
      </c>
      <c r="G5604" s="11" t="s">
        <v>227</v>
      </c>
      <c r="H5604" s="2" t="s">
        <v>2591</v>
      </c>
      <c r="I5604" s="12" t="s">
        <v>228</v>
      </c>
      <c r="J5604" s="41">
        <f>+Tabla1[[#This Row],[FECHA ENTRADA]]</f>
        <v>45827</v>
      </c>
      <c r="K5604" s="41">
        <v>45868</v>
      </c>
      <c r="L5604" s="42">
        <f>_xlfn.DAYS(Tabla1[[#This Row],[FECHA FIN ]],Tabla1[[#This Row],[FECHA INICIO]])</f>
        <v>41</v>
      </c>
      <c r="M5604" s="12"/>
      <c r="N5604" s="12"/>
      <c r="O5604" s="28">
        <f>(Tabla1[[#This Row],[COSTO FIJO ]]/30)*Tabla1[[#This Row],[TOTAL DIAS PROYECTO]]+(Tabla1[[#This Row],[COSTO TEMPORAL]])</f>
        <v>0</v>
      </c>
      <c r="P5604" s="12"/>
      <c r="Q5604" s="12">
        <f>+(Tabla1[[#This Row],[COSTO COCHE]]/30)*Tabla1[[#This Row],[TOTAL DIAS PROYECTO]]</f>
        <v>0</v>
      </c>
      <c r="R5604" s="12">
        <f>+Tabla1[[#This Row],[COSTO TOTAL ALOJAMIENTO]]+Tabla1[[#This Row],[COSTO TOTAL COCHE]]</f>
        <v>0</v>
      </c>
      <c r="S5604" s="2"/>
      <c r="T5604" s="14" t="s">
        <v>35</v>
      </c>
      <c r="U5604" s="22">
        <v>45827</v>
      </c>
      <c r="V5604" s="43"/>
      <c r="W5604" s="2"/>
      <c r="X5604" s="2"/>
      <c r="Y5604" s="11"/>
      <c r="Z5604" s="2" t="s">
        <v>36</v>
      </c>
      <c r="AA5604" s="13" t="s">
        <v>10353</v>
      </c>
      <c r="AB5604" s="13" t="s">
        <v>10354</v>
      </c>
    </row>
    <row r="5605" spans="1:28" ht="14.45" customHeight="1">
      <c r="A5605" s="2" t="s">
        <v>10278</v>
      </c>
      <c r="B5605" s="2" t="s">
        <v>28</v>
      </c>
      <c r="C5605" s="322" t="s">
        <v>7724</v>
      </c>
      <c r="D5605" s="33" t="s">
        <v>78</v>
      </c>
      <c r="E5605" s="33" t="s">
        <v>314</v>
      </c>
      <c r="F5605" s="34" t="s">
        <v>320</v>
      </c>
      <c r="G5605" s="34" t="s">
        <v>321</v>
      </c>
      <c r="H5605" s="33" t="s">
        <v>291</v>
      </c>
      <c r="I5605" s="36" t="s">
        <v>292</v>
      </c>
      <c r="J5605" s="8">
        <f>+Tabla1[[#This Row],[FECHA ENTRADA]]</f>
        <v>45367</v>
      </c>
      <c r="K5605" s="35"/>
      <c r="L5605" s="13">
        <f>_xlfn.DAYS(Tabla1[[#This Row],[FECHA FIN ]],Tabla1[[#This Row],[FECHA INICIO]])</f>
        <v>-45367</v>
      </c>
      <c r="M5605" s="36"/>
      <c r="N5605" s="36">
        <v>217</v>
      </c>
      <c r="O5605" s="36">
        <f>(Tabla1[[#This Row],[COSTO FIJO ]]/30)*Tabla1[[#This Row],[TOTAL DIAS PROYECTO]]+(Tabla1[[#This Row],[COSTO TEMPORAL]])</f>
        <v>-328154.63333333336</v>
      </c>
      <c r="P5605" s="36"/>
      <c r="Q5605" s="36">
        <f>+(Tabla1[[#This Row],[COSTO COCHE]]/30)*Tabla1[[#This Row],[TOTAL DIAS PROYECTO]]</f>
        <v>0</v>
      </c>
      <c r="R5605" s="36">
        <f>+Tabla1[[#This Row],[COSTO TOTAL ALOJAMIENTO]]+Tabla1[[#This Row],[COSTO TOTAL COCHE]]</f>
        <v>-328154.63333333336</v>
      </c>
      <c r="S5605" s="2" t="s">
        <v>84</v>
      </c>
      <c r="T5605" s="33" t="s">
        <v>44</v>
      </c>
      <c r="U5605" s="37">
        <v>45367</v>
      </c>
      <c r="V5605" s="37">
        <v>45462</v>
      </c>
      <c r="W5605" s="40"/>
      <c r="X5605" s="39"/>
      <c r="Y5605" s="18"/>
      <c r="Z5605" s="33" t="s">
        <v>36</v>
      </c>
      <c r="AA5605" s="13">
        <v>392.40300000000002</v>
      </c>
      <c r="AB5605" s="13" t="s">
        <v>10366</v>
      </c>
    </row>
    <row r="5606" spans="1:28" ht="14.45" customHeight="1">
      <c r="A5606" s="2" t="s">
        <v>10279</v>
      </c>
      <c r="B5606" s="2" t="s">
        <v>28</v>
      </c>
      <c r="C5606" s="169" t="s">
        <v>7725</v>
      </c>
      <c r="D5606" s="2" t="s">
        <v>30</v>
      </c>
      <c r="E5606" s="2" t="s">
        <v>7726</v>
      </c>
      <c r="F5606" s="11" t="s">
        <v>7727</v>
      </c>
      <c r="G5606" s="11" t="s">
        <v>7728</v>
      </c>
      <c r="H5606" s="2">
        <v>2023</v>
      </c>
      <c r="I5606" s="2" t="s">
        <v>7729</v>
      </c>
      <c r="J5606" s="8">
        <f>+Tabla1[[#This Row],[FECHA ENTRADA]]</f>
        <v>0</v>
      </c>
      <c r="K5606" s="8"/>
      <c r="L5606" s="13">
        <f>_xlfn.DAYS(Tabla1[[#This Row],[FECHA FIN ]],Tabla1[[#This Row],[FECHA INICIO]])</f>
        <v>0</v>
      </c>
      <c r="M5606" s="12"/>
      <c r="N5606" s="12"/>
      <c r="O5606" s="12">
        <f>(Tabla1[[#This Row],[COSTO FIJO ]]/30)*Tabla1[[#This Row],[TOTAL DIAS PROYECTO]]+(Tabla1[[#This Row],[COSTO TEMPORAL]])</f>
        <v>0</v>
      </c>
      <c r="P5606" s="12"/>
      <c r="Q5606" s="12">
        <f>+(Tabla1[[#This Row],[COSTO COCHE]]/30)*Tabla1[[#This Row],[TOTAL DIAS PROYECTO]]</f>
        <v>0</v>
      </c>
      <c r="R5606" s="12">
        <f>+Tabla1[[#This Row],[COSTO TOTAL ALOJAMIENTO]]+Tabla1[[#This Row],[COSTO TOTAL COCHE]]</f>
        <v>0</v>
      </c>
      <c r="S5606" s="2"/>
      <c r="T5606" s="2" t="s">
        <v>35</v>
      </c>
      <c r="U5606" s="14"/>
      <c r="V5606" s="14"/>
      <c r="W5606" s="15"/>
      <c r="X5606" s="16">
        <v>1</v>
      </c>
      <c r="Y5606" s="18" t="s">
        <v>7730</v>
      </c>
      <c r="Z5606" s="2" t="s">
        <v>36</v>
      </c>
      <c r="AA5606" s="13" t="s">
        <v>10449</v>
      </c>
      <c r="AB5606" s="13" t="s">
        <v>10450</v>
      </c>
    </row>
    <row r="5607" spans="1:28" ht="14.45" customHeight="1">
      <c r="A5607" s="2" t="s">
        <v>8785</v>
      </c>
      <c r="B5607" s="2" t="s">
        <v>28</v>
      </c>
      <c r="C5607" s="104" t="s">
        <v>757</v>
      </c>
      <c r="D5607" s="2" t="s">
        <v>72</v>
      </c>
      <c r="E5607" s="2" t="s">
        <v>218</v>
      </c>
      <c r="F5607" s="11" t="s">
        <v>186</v>
      </c>
      <c r="G5607" s="11" t="s">
        <v>187</v>
      </c>
      <c r="H5607" s="2" t="s">
        <v>7731</v>
      </c>
      <c r="I5607" s="2" t="s">
        <v>189</v>
      </c>
      <c r="J5607" s="8">
        <f>+Tabla1[[#This Row],[FECHA ENTRADA]]</f>
        <v>45396</v>
      </c>
      <c r="K5607" s="8"/>
      <c r="L5607" s="13">
        <f>_xlfn.DAYS(Tabla1[[#This Row],[FECHA FIN ]],Tabla1[[#This Row],[FECHA INICIO]])</f>
        <v>-45396</v>
      </c>
      <c r="M5607" s="12"/>
      <c r="N5607" s="28"/>
      <c r="O5607" s="12">
        <f>(Tabla1[[#This Row],[COSTO FIJO ]]/30)*Tabla1[[#This Row],[TOTAL DIAS PROYECTO]]+(Tabla1[[#This Row],[COSTO TEMPORAL]])</f>
        <v>0</v>
      </c>
      <c r="P5607" s="12"/>
      <c r="Q5607" s="12">
        <f>+(Tabla1[[#This Row],[COSTO COCHE]]/30)*Tabla1[[#This Row],[TOTAL DIAS PROYECTO]]</f>
        <v>0</v>
      </c>
      <c r="R5607" s="12">
        <f>+Tabla1[[#This Row],[COSTO TOTAL ALOJAMIENTO]]+Tabla1[[#This Row],[COSTO TOTAL COCHE]]</f>
        <v>0</v>
      </c>
      <c r="S5607" s="2" t="s">
        <v>84</v>
      </c>
      <c r="T5607" s="2" t="s">
        <v>44</v>
      </c>
      <c r="U5607" s="14">
        <v>45396</v>
      </c>
      <c r="V5607" s="14">
        <v>45473</v>
      </c>
      <c r="W5607" s="26"/>
      <c r="X5607" s="16"/>
      <c r="Y5607" s="18"/>
      <c r="Z5607" s="2" t="s">
        <v>36</v>
      </c>
      <c r="AA5607" s="13" t="s">
        <v>10351</v>
      </c>
      <c r="AB5607" s="13" t="s">
        <v>10352</v>
      </c>
    </row>
    <row r="5608" spans="1:28" ht="14.45" customHeight="1">
      <c r="A5608" s="2" t="s">
        <v>9214</v>
      </c>
      <c r="B5608" s="2" t="s">
        <v>28</v>
      </c>
      <c r="C5608" s="104" t="s">
        <v>2467</v>
      </c>
      <c r="D5608" s="33" t="s">
        <v>78</v>
      </c>
      <c r="E5608" s="33" t="s">
        <v>314</v>
      </c>
      <c r="F5608" s="34" t="s">
        <v>289</v>
      </c>
      <c r="G5608" s="34" t="s">
        <v>290</v>
      </c>
      <c r="H5608" s="33" t="s">
        <v>291</v>
      </c>
      <c r="I5608" s="36" t="s">
        <v>292</v>
      </c>
      <c r="J5608" s="8">
        <f>+Tabla1[[#This Row],[FECHA ENTRADA]]</f>
        <v>45375</v>
      </c>
      <c r="K5608" s="35"/>
      <c r="L5608" s="13">
        <f>_xlfn.DAYS(Tabla1[[#This Row],[FECHA FIN ]],Tabla1[[#This Row],[FECHA INICIO]])</f>
        <v>-45375</v>
      </c>
      <c r="M5608" s="12"/>
      <c r="N5608" s="36"/>
      <c r="O5608" s="36">
        <f>(Tabla1[[#This Row],[COSTO FIJO ]]/30)*Tabla1[[#This Row],[TOTAL DIAS PROYECTO]]+(Tabla1[[#This Row],[COSTO TEMPORAL]])</f>
        <v>0</v>
      </c>
      <c r="P5608" s="36"/>
      <c r="Q5608" s="36">
        <f>+(Tabla1[[#This Row],[COSTO COCHE]]/30)*Tabla1[[#This Row],[TOTAL DIAS PROYECTO]]</f>
        <v>0</v>
      </c>
      <c r="R5608" s="36">
        <f>+Tabla1[[#This Row],[COSTO TOTAL ALOJAMIENTO]]+Tabla1[[#This Row],[COSTO TOTAL COCHE]]</f>
        <v>0</v>
      </c>
      <c r="S5608" s="2" t="s">
        <v>84</v>
      </c>
      <c r="T5608" s="33" t="s">
        <v>44</v>
      </c>
      <c r="U5608" s="37">
        <v>45375</v>
      </c>
      <c r="V5608" s="37">
        <v>45475</v>
      </c>
      <c r="W5608" s="40"/>
      <c r="X5608" s="39"/>
      <c r="Y5608" s="18"/>
      <c r="Z5608" s="33" t="s">
        <v>36</v>
      </c>
      <c r="AA5608" s="13">
        <v>392.40300000000002</v>
      </c>
      <c r="AB5608" s="13" t="s">
        <v>10366</v>
      </c>
    </row>
    <row r="5609" spans="1:28" ht="14.45" customHeight="1">
      <c r="A5609" s="2" t="s">
        <v>8980</v>
      </c>
      <c r="B5609" s="2" t="s">
        <v>28</v>
      </c>
      <c r="C5609" s="11" t="s">
        <v>1578</v>
      </c>
      <c r="D5609" s="33" t="s">
        <v>78</v>
      </c>
      <c r="E5609" s="33" t="s">
        <v>314</v>
      </c>
      <c r="F5609" s="34" t="s">
        <v>289</v>
      </c>
      <c r="G5609" s="34" t="s">
        <v>290</v>
      </c>
      <c r="H5609" s="33" t="s">
        <v>291</v>
      </c>
      <c r="I5609" s="36" t="s">
        <v>292</v>
      </c>
      <c r="J5609" s="8">
        <f>+Tabla1[[#This Row],[FECHA ENTRADA]]</f>
        <v>45375</v>
      </c>
      <c r="K5609" s="35"/>
      <c r="L5609" s="13">
        <f>_xlfn.DAYS(Tabla1[[#This Row],[FECHA FIN ]],Tabla1[[#This Row],[FECHA INICIO]])</f>
        <v>-45375</v>
      </c>
      <c r="M5609" s="36"/>
      <c r="N5609" s="36">
        <v>451.96</v>
      </c>
      <c r="O5609" s="36">
        <f>(Tabla1[[#This Row],[COSTO FIJO ]]/30)*Tabla1[[#This Row],[TOTAL DIAS PROYECTO]]+(Tabla1[[#This Row],[COSTO TEMPORAL]])</f>
        <v>-683589.5</v>
      </c>
      <c r="P5609" s="36"/>
      <c r="Q5609" s="36">
        <f>+(Tabla1[[#This Row],[COSTO COCHE]]/30)*Tabla1[[#This Row],[TOTAL DIAS PROYECTO]]</f>
        <v>0</v>
      </c>
      <c r="R5609" s="36">
        <f>+Tabla1[[#This Row],[COSTO TOTAL ALOJAMIENTO]]+Tabla1[[#This Row],[COSTO TOTAL COCHE]]</f>
        <v>-683589.5</v>
      </c>
      <c r="S5609" s="2" t="s">
        <v>84</v>
      </c>
      <c r="T5609" s="33" t="s">
        <v>44</v>
      </c>
      <c r="U5609" s="37">
        <v>45375</v>
      </c>
      <c r="V5609" s="37">
        <v>45475</v>
      </c>
      <c r="W5609" s="40"/>
      <c r="X5609" s="39"/>
      <c r="Y5609" s="18"/>
      <c r="Z5609" s="33" t="s">
        <v>36</v>
      </c>
      <c r="AA5609" s="13">
        <v>392.40300000000002</v>
      </c>
      <c r="AB5609" s="13" t="s">
        <v>10366</v>
      </c>
    </row>
    <row r="5610" spans="1:28" ht="14.45" customHeight="1">
      <c r="A5610" s="2" t="s">
        <v>8641</v>
      </c>
      <c r="B5610" s="2" t="s">
        <v>28</v>
      </c>
      <c r="C5610" s="18" t="s">
        <v>86</v>
      </c>
      <c r="D5610" s="2" t="s">
        <v>78</v>
      </c>
      <c r="E5610" s="2" t="s">
        <v>79</v>
      </c>
      <c r="F5610" s="11" t="s">
        <v>142</v>
      </c>
      <c r="G5610" s="11" t="s">
        <v>143</v>
      </c>
      <c r="H5610" s="2" t="s">
        <v>2658</v>
      </c>
      <c r="I5610" s="29" t="s">
        <v>145</v>
      </c>
      <c r="J5610" s="8">
        <f>+Tabla1[[#This Row],[FECHA ENTRADA]]</f>
        <v>45366</v>
      </c>
      <c r="K5610" s="8"/>
      <c r="L5610" s="13">
        <f>_xlfn.DAYS(Tabla1[[#This Row],[FECHA FIN ]],Tabla1[[#This Row],[FECHA INICIO]])</f>
        <v>-45366</v>
      </c>
      <c r="M5610" s="12"/>
      <c r="N5610" s="12">
        <v>584.5</v>
      </c>
      <c r="O5610" s="12">
        <f>(Tabla1[[#This Row],[COSTO FIJO ]]/30)*Tabla1[[#This Row],[TOTAL DIAS PROYECTO]]+(Tabla1[[#This Row],[COSTO TEMPORAL]])</f>
        <v>-883880.9</v>
      </c>
      <c r="P5610" s="12"/>
      <c r="Q5610" s="12">
        <f>+(Tabla1[[#This Row],[COSTO COCHE]]/30)*Tabla1[[#This Row],[TOTAL DIAS PROYECTO]]</f>
        <v>0</v>
      </c>
      <c r="R5610" s="12">
        <f>+Tabla1[[#This Row],[COSTO TOTAL ALOJAMIENTO]]+Tabla1[[#This Row],[COSTO TOTAL COCHE]]</f>
        <v>-883880.9</v>
      </c>
      <c r="S5610" s="2"/>
      <c r="T5610" s="2" t="s">
        <v>44</v>
      </c>
      <c r="U5610" s="14">
        <v>45366</v>
      </c>
      <c r="V5610" s="14">
        <v>45481</v>
      </c>
      <c r="W5610" s="15"/>
      <c r="X5610" s="16">
        <v>23</v>
      </c>
      <c r="Y5610" s="18"/>
      <c r="Z5610" s="2" t="s">
        <v>36</v>
      </c>
      <c r="AA5610" s="13" t="s">
        <v>10333</v>
      </c>
      <c r="AB5610" s="13" t="s">
        <v>10334</v>
      </c>
    </row>
    <row r="5611" spans="1:28" ht="14.45" customHeight="1">
      <c r="A5611" s="2" t="s">
        <v>8770</v>
      </c>
      <c r="B5611" s="2" t="s">
        <v>28</v>
      </c>
      <c r="C5611" s="11" t="s">
        <v>672</v>
      </c>
      <c r="D5611" s="2" t="s">
        <v>30</v>
      </c>
      <c r="E5611" s="2" t="s">
        <v>7726</v>
      </c>
      <c r="F5611" s="11" t="s">
        <v>7732</v>
      </c>
      <c r="G5611" s="11" t="s">
        <v>7733</v>
      </c>
      <c r="H5611" s="2" t="s">
        <v>7734</v>
      </c>
      <c r="I5611" s="12" t="s">
        <v>7729</v>
      </c>
      <c r="J5611" s="8">
        <f>+Tabla1[[#This Row],[FECHA ENTRADA]]</f>
        <v>45411</v>
      </c>
      <c r="K5611" s="8"/>
      <c r="L5611" s="13">
        <f>_xlfn.DAYS(Tabla1[[#This Row],[FECHA FIN ]],Tabla1[[#This Row],[FECHA INICIO]])</f>
        <v>-45411</v>
      </c>
      <c r="M5611" s="12"/>
      <c r="N5611" s="12"/>
      <c r="O5611" s="12">
        <f>(Tabla1[[#This Row],[COSTO FIJO ]]/30)*Tabla1[[#This Row],[TOTAL DIAS PROYECTO]]+(Tabla1[[#This Row],[COSTO TEMPORAL]])</f>
        <v>0</v>
      </c>
      <c r="P5611" s="12"/>
      <c r="Q5611" s="12">
        <f>+(Tabla1[[#This Row],[COSTO COCHE]]/30)*Tabla1[[#This Row],[TOTAL DIAS PROYECTO]]</f>
        <v>0</v>
      </c>
      <c r="R5611" s="12">
        <f>+Tabla1[[#This Row],[COSTO TOTAL ALOJAMIENTO]]+Tabla1[[#This Row],[COSTO TOTAL COCHE]]</f>
        <v>0</v>
      </c>
      <c r="S5611" s="2"/>
      <c r="T5611" s="2" t="s">
        <v>35</v>
      </c>
      <c r="U5611" s="14">
        <v>45411</v>
      </c>
      <c r="V5611" s="14">
        <v>45414</v>
      </c>
      <c r="W5611" s="26">
        <v>450</v>
      </c>
      <c r="X5611" s="2">
        <v>1</v>
      </c>
      <c r="Y5611" s="18"/>
      <c r="Z5611" s="2" t="s">
        <v>36</v>
      </c>
      <c r="AA5611" s="13" t="s">
        <v>10449</v>
      </c>
      <c r="AB5611" s="13" t="s">
        <v>10450</v>
      </c>
    </row>
    <row r="5612" spans="1:28" ht="14.45" customHeight="1">
      <c r="A5612" s="2" t="s">
        <v>8835</v>
      </c>
      <c r="B5612" s="2" t="s">
        <v>28</v>
      </c>
      <c r="C5612" s="11" t="s">
        <v>954</v>
      </c>
      <c r="D5612" s="2" t="s">
        <v>30</v>
      </c>
      <c r="E5612" s="2" t="s">
        <v>114</v>
      </c>
      <c r="F5612" s="11" t="s">
        <v>3004</v>
      </c>
      <c r="G5612" s="11" t="s">
        <v>3005</v>
      </c>
      <c r="H5612" s="2">
        <v>2023</v>
      </c>
      <c r="I5612" s="2" t="s">
        <v>118</v>
      </c>
      <c r="J5612" s="8">
        <f>+Tabla1[[#This Row],[FECHA ENTRADA]]</f>
        <v>0</v>
      </c>
      <c r="K5612" s="8"/>
      <c r="L5612" s="13">
        <f>_xlfn.DAYS(Tabla1[[#This Row],[FECHA FIN ]],Tabla1[[#This Row],[FECHA INICIO]])</f>
        <v>0</v>
      </c>
      <c r="M5612" s="12"/>
      <c r="N5612" s="12"/>
      <c r="O5612" s="12">
        <f>(Tabla1[[#This Row],[COSTO FIJO ]]/30)*Tabla1[[#This Row],[TOTAL DIAS PROYECTO]]+(Tabla1[[#This Row],[COSTO TEMPORAL]])</f>
        <v>0</v>
      </c>
      <c r="P5612" s="12"/>
      <c r="Q5612" s="12">
        <f>+(Tabla1[[#This Row],[COSTO COCHE]]/30)*Tabla1[[#This Row],[TOTAL DIAS PROYECTO]]</f>
        <v>0</v>
      </c>
      <c r="R5612" s="12">
        <f>+Tabla1[[#This Row],[COSTO TOTAL ALOJAMIENTO]]+Tabla1[[#This Row],[COSTO TOTAL COCHE]]</f>
        <v>0</v>
      </c>
      <c r="S5612" s="2"/>
      <c r="T5612" s="2" t="s">
        <v>35</v>
      </c>
      <c r="U5612" s="14"/>
      <c r="V5612" s="14">
        <v>45405</v>
      </c>
      <c r="W5612" s="15"/>
      <c r="X5612" s="16">
        <v>1</v>
      </c>
      <c r="Y5612" s="18" t="s">
        <v>223</v>
      </c>
      <c r="Z5612" s="2" t="s">
        <v>36</v>
      </c>
      <c r="AA5612" s="13" t="s">
        <v>10340</v>
      </c>
      <c r="AB5612" s="13" t="s">
        <v>10341</v>
      </c>
    </row>
    <row r="5613" spans="1:28" ht="14.45" customHeight="1">
      <c r="A5613" s="2" t="s">
        <v>8754</v>
      </c>
      <c r="B5613" s="2" t="s">
        <v>28</v>
      </c>
      <c r="C5613" s="11" t="s">
        <v>605</v>
      </c>
      <c r="D5613" s="2" t="s">
        <v>30</v>
      </c>
      <c r="E5613" s="2" t="s">
        <v>447</v>
      </c>
      <c r="F5613" s="11" t="s">
        <v>444</v>
      </c>
      <c r="G5613" s="11" t="s">
        <v>448</v>
      </c>
      <c r="H5613" s="2" t="s">
        <v>449</v>
      </c>
      <c r="I5613" s="12" t="s">
        <v>279</v>
      </c>
      <c r="J5613" s="8">
        <f>+Tabla1[[#This Row],[FECHA ENTRADA]]</f>
        <v>45487</v>
      </c>
      <c r="K5613" s="8"/>
      <c r="L5613" s="13">
        <f>_xlfn.DAYS(Tabla1[[#This Row],[FECHA FIN ]],Tabla1[[#This Row],[FECHA INICIO]])</f>
        <v>-45487</v>
      </c>
      <c r="M5613" s="12"/>
      <c r="N5613" s="12">
        <f>20*20</f>
        <v>400</v>
      </c>
      <c r="O5613" s="12">
        <f>(Tabla1[[#This Row],[COSTO FIJO ]]/30)*Tabla1[[#This Row],[TOTAL DIAS PROYECTO]]+(Tabla1[[#This Row],[COSTO TEMPORAL]])</f>
        <v>-606493.33333333337</v>
      </c>
      <c r="P5613" s="12"/>
      <c r="Q5613" s="12">
        <f>+(Tabla1[[#This Row],[COSTO COCHE]]/30)*Tabla1[[#This Row],[TOTAL DIAS PROYECTO]]</f>
        <v>0</v>
      </c>
      <c r="R5613" s="12">
        <f>+Tabla1[[#This Row],[COSTO TOTAL ALOJAMIENTO]]+Tabla1[[#This Row],[COSTO TOTAL COCHE]]</f>
        <v>-606493.33333333337</v>
      </c>
      <c r="S5613" s="2"/>
      <c r="T5613" s="2" t="s">
        <v>44</v>
      </c>
      <c r="U5613" s="14">
        <v>45487</v>
      </c>
      <c r="V5613" s="14">
        <v>45507</v>
      </c>
      <c r="W5613" s="26"/>
      <c r="X5613" s="2"/>
      <c r="Y5613" s="18" t="s">
        <v>7735</v>
      </c>
      <c r="Z5613" s="2" t="s">
        <v>36</v>
      </c>
      <c r="AA5613" s="13">
        <v>-697.06100000000004</v>
      </c>
      <c r="AB5613" s="13" t="s">
        <v>10377</v>
      </c>
    </row>
    <row r="5614" spans="1:28" ht="15" customHeight="1">
      <c r="A5614" s="2" t="s">
        <v>8747</v>
      </c>
      <c r="B5614" s="2" t="s">
        <v>368</v>
      </c>
      <c r="C5614" s="104" t="s">
        <v>566</v>
      </c>
      <c r="D5614" s="2" t="s">
        <v>30</v>
      </c>
      <c r="E5614" s="2" t="s">
        <v>855</v>
      </c>
      <c r="F5614" s="11" t="s">
        <v>2755</v>
      </c>
      <c r="G5614" s="46" t="s">
        <v>2756</v>
      </c>
      <c r="H5614" s="2" t="s">
        <v>2757</v>
      </c>
      <c r="I5614" s="12" t="s">
        <v>2758</v>
      </c>
      <c r="J5614" s="41">
        <f>+Tabla1[[#This Row],[FECHA ENTRADA]]</f>
        <v>45558</v>
      </c>
      <c r="K5614" s="8"/>
      <c r="L5614" s="42">
        <f>_xlfn.DAYS(Tabla1[[#This Row],[FECHA FIN ]],Tabla1[[#This Row],[FECHA INICIO]])</f>
        <v>-45558</v>
      </c>
      <c r="M5614" s="12"/>
      <c r="N5614" s="12"/>
      <c r="O5614" s="28">
        <f>(Tabla1[[#This Row],[COSTO FIJO ]]/30)*Tabla1[[#This Row],[TOTAL DIAS PROYECTO]]+(Tabla1[[#This Row],[COSTO TEMPORAL]])</f>
        <v>0</v>
      </c>
      <c r="P5614" s="12">
        <f>+(573.76*50%)/6</f>
        <v>47.813333333333333</v>
      </c>
      <c r="Q5614" s="12">
        <f>+(Tabla1[[#This Row],[COSTO COCHE]]/30)*Tabla1[[#This Row],[TOTAL DIAS PROYECTO]]</f>
        <v>-72609.327999999994</v>
      </c>
      <c r="R5614" s="12">
        <f>+Tabla1[[#This Row],[COSTO TOTAL ALOJAMIENTO]]+Tabla1[[#This Row],[COSTO TOTAL COCHE]]</f>
        <v>-72609.327999999994</v>
      </c>
      <c r="S5614" s="2" t="s">
        <v>403</v>
      </c>
      <c r="T5614" s="2" t="s">
        <v>528</v>
      </c>
      <c r="U5614" s="14">
        <v>45558</v>
      </c>
      <c r="V5614" s="43">
        <v>45572</v>
      </c>
      <c r="W5614" s="26"/>
      <c r="X5614" s="2"/>
      <c r="Y5614" s="11"/>
      <c r="Z5614" s="2" t="s">
        <v>36</v>
      </c>
      <c r="AA5614" s="13" t="s">
        <v>10401</v>
      </c>
      <c r="AB5614" s="13" t="s">
        <v>10402</v>
      </c>
    </row>
    <row r="5615" spans="1:28" ht="15" customHeight="1">
      <c r="A5615" s="2" t="s">
        <v>8722</v>
      </c>
      <c r="B5615" s="2" t="s">
        <v>368</v>
      </c>
      <c r="C5615" s="115" t="s">
        <v>450</v>
      </c>
      <c r="D5615" s="2" t="s">
        <v>30</v>
      </c>
      <c r="E5615" s="2" t="s">
        <v>855</v>
      </c>
      <c r="F5615" s="11" t="s">
        <v>2755</v>
      </c>
      <c r="G5615" s="46" t="s">
        <v>2756</v>
      </c>
      <c r="H5615" s="2" t="s">
        <v>2757</v>
      </c>
      <c r="I5615" s="12" t="s">
        <v>2758</v>
      </c>
      <c r="J5615" s="41">
        <f>+Tabla1[[#This Row],[FECHA ENTRADA]]</f>
        <v>45558</v>
      </c>
      <c r="K5615" s="8"/>
      <c r="L5615" s="42">
        <f>_xlfn.DAYS(Tabla1[[#This Row],[FECHA FIN ]],Tabla1[[#This Row],[FECHA INICIO]])</f>
        <v>-45558</v>
      </c>
      <c r="M5615" s="12">
        <v>261.33</v>
      </c>
      <c r="N5615" s="28"/>
      <c r="O5615" s="28">
        <f>(Tabla1[[#This Row],[COSTO FIJO ]]/30)*Tabla1[[#This Row],[TOTAL DIAS PROYECTO]]+(Tabla1[[#This Row],[COSTO TEMPORAL]])</f>
        <v>261.33</v>
      </c>
      <c r="P5615" s="12">
        <f>+(573.76*50%)/6</f>
        <v>47.813333333333333</v>
      </c>
      <c r="Q5615" s="12">
        <f>+(Tabla1[[#This Row],[COSTO COCHE]]/30)*Tabla1[[#This Row],[TOTAL DIAS PROYECTO]]</f>
        <v>-72609.327999999994</v>
      </c>
      <c r="R5615" s="12">
        <f>+Tabla1[[#This Row],[COSTO TOTAL ALOJAMIENTO]]+Tabla1[[#This Row],[COSTO TOTAL COCHE]]</f>
        <v>-72347.997999999992</v>
      </c>
      <c r="S5615" s="2" t="s">
        <v>403</v>
      </c>
      <c r="T5615" s="2" t="s">
        <v>528</v>
      </c>
      <c r="U5615" s="14">
        <v>45558</v>
      </c>
      <c r="V5615" s="43">
        <v>45572</v>
      </c>
      <c r="W5615" s="26"/>
      <c r="X5615" s="2">
        <v>1</v>
      </c>
      <c r="Y5615" s="11"/>
      <c r="Z5615" s="2" t="s">
        <v>36</v>
      </c>
      <c r="AA5615" s="13" t="s">
        <v>10401</v>
      </c>
      <c r="AB5615" s="13" t="s">
        <v>10402</v>
      </c>
    </row>
    <row r="5616" spans="1:28" ht="15" customHeight="1">
      <c r="A5616" s="2" t="s">
        <v>8761</v>
      </c>
      <c r="B5616" s="2" t="s">
        <v>368</v>
      </c>
      <c r="C5616" s="322" t="s">
        <v>633</v>
      </c>
      <c r="D5616" s="2" t="s">
        <v>30</v>
      </c>
      <c r="E5616" s="2" t="s">
        <v>855</v>
      </c>
      <c r="F5616" s="11" t="s">
        <v>2755</v>
      </c>
      <c r="G5616" s="46" t="s">
        <v>2756</v>
      </c>
      <c r="H5616" s="2" t="s">
        <v>2757</v>
      </c>
      <c r="I5616" s="12" t="s">
        <v>2758</v>
      </c>
      <c r="J5616" s="41">
        <f>+Tabla1[[#This Row],[FECHA ENTRADA]]</f>
        <v>45558</v>
      </c>
      <c r="K5616" s="8"/>
      <c r="L5616" s="42">
        <f>_xlfn.DAYS(Tabla1[[#This Row],[FECHA FIN ]],Tabla1[[#This Row],[FECHA INICIO]])</f>
        <v>-45558</v>
      </c>
      <c r="M5616" s="12"/>
      <c r="N5616" s="12">
        <v>261.33</v>
      </c>
      <c r="O5616" s="28">
        <f>(Tabla1[[#This Row],[COSTO FIJO ]]/30)*Tabla1[[#This Row],[TOTAL DIAS PROYECTO]]+(Tabla1[[#This Row],[COSTO TEMPORAL]])</f>
        <v>-396855.73800000001</v>
      </c>
      <c r="P5616" s="12">
        <f>+(573.76*50%)/6</f>
        <v>47.813333333333333</v>
      </c>
      <c r="Q5616" s="12">
        <f>+(Tabla1[[#This Row],[COSTO COCHE]]/30)*Tabla1[[#This Row],[TOTAL DIAS PROYECTO]]</f>
        <v>-72609.327999999994</v>
      </c>
      <c r="R5616" s="12">
        <f>+Tabla1[[#This Row],[COSTO TOTAL ALOJAMIENTO]]+Tabla1[[#This Row],[COSTO TOTAL COCHE]]</f>
        <v>-469465.06599999999</v>
      </c>
      <c r="S5616" s="2" t="s">
        <v>403</v>
      </c>
      <c r="T5616" s="2" t="s">
        <v>528</v>
      </c>
      <c r="U5616" s="14">
        <v>45558</v>
      </c>
      <c r="V5616" s="43">
        <v>45572</v>
      </c>
      <c r="W5616" s="26"/>
      <c r="X5616" s="2"/>
      <c r="Y5616" s="11"/>
      <c r="Z5616" s="2" t="s">
        <v>36</v>
      </c>
      <c r="AA5616" s="13" t="s">
        <v>10401</v>
      </c>
      <c r="AB5616" s="13" t="s">
        <v>10402</v>
      </c>
    </row>
    <row r="5617" spans="1:28" ht="15" customHeight="1">
      <c r="A5617" s="2" t="s">
        <v>9035</v>
      </c>
      <c r="B5617" s="2" t="s">
        <v>606</v>
      </c>
      <c r="C5617" s="31" t="s">
        <v>1758</v>
      </c>
      <c r="D5617" s="2" t="s">
        <v>30</v>
      </c>
      <c r="E5617" s="2" t="s">
        <v>31</v>
      </c>
      <c r="F5617" s="11" t="s">
        <v>1206</v>
      </c>
      <c r="G5617" s="51" t="s">
        <v>1005</v>
      </c>
      <c r="H5617" s="2" t="s">
        <v>7736</v>
      </c>
      <c r="I5617" s="12" t="s">
        <v>3054</v>
      </c>
      <c r="J5617" s="22">
        <f>+Tabla1[[#This Row],[FECHA ENTRADA]]</f>
        <v>45732</v>
      </c>
      <c r="K5617" s="22">
        <v>46165</v>
      </c>
      <c r="L5617" s="23">
        <f>_xlfn.DAYS(Tabla1[[#This Row],[FECHA FIN ]],Tabla1[[#This Row],[FECHA INICIO]])</f>
        <v>433</v>
      </c>
      <c r="M5617" s="12"/>
      <c r="N5617" s="20">
        <v>357.14285714285717</v>
      </c>
      <c r="O5617" s="24">
        <f>(Tabla1[[#This Row],[COSTO FIJO ]]/30)*Tabla1[[#This Row],[TOTAL DIAS PROYECTO]]+(Tabla1[[#This Row],[COSTO TEMPORAL]])</f>
        <v>5154.7619047619046</v>
      </c>
      <c r="P5617" s="12">
        <v>85.714285714285708</v>
      </c>
      <c r="Q5617" s="12">
        <f>+(Tabla1[[#This Row],[COSTO COCHE]]/30)*Tabla1[[#This Row],[TOTAL DIAS PROYECTO]]</f>
        <v>1237.1428571428569</v>
      </c>
      <c r="R5617" s="12">
        <f>+Tabla1[[#This Row],[COSTO TOTAL ALOJAMIENTO]]+Tabla1[[#This Row],[COSTO TOTAL COCHE]]</f>
        <v>6391.9047619047615</v>
      </c>
      <c r="S5617" s="2"/>
      <c r="T5617" s="2" t="s">
        <v>35</v>
      </c>
      <c r="U5617" s="14">
        <v>45732</v>
      </c>
      <c r="V5617" s="25"/>
      <c r="W5617" s="12"/>
      <c r="X5617" s="2">
        <v>27</v>
      </c>
      <c r="Y5617" t="s">
        <v>7720</v>
      </c>
      <c r="Z5617" s="2" t="s">
        <v>36</v>
      </c>
      <c r="AA5617" s="13" t="s">
        <v>10323</v>
      </c>
      <c r="AB5617" s="13" t="s">
        <v>10324</v>
      </c>
    </row>
    <row r="5618" spans="1:28" ht="15" customHeight="1">
      <c r="A5618" s="2" t="s">
        <v>8773</v>
      </c>
      <c r="B5618" s="2" t="s">
        <v>28</v>
      </c>
      <c r="C5618" s="18" t="s">
        <v>690</v>
      </c>
      <c r="D5618" s="2" t="s">
        <v>30</v>
      </c>
      <c r="E5618" s="2" t="s">
        <v>599</v>
      </c>
      <c r="F5618" s="11" t="s">
        <v>600</v>
      </c>
      <c r="G5618" s="11" t="s">
        <v>601</v>
      </c>
      <c r="H5618" s="2" t="s">
        <v>2807</v>
      </c>
      <c r="I5618" s="12" t="s">
        <v>2808</v>
      </c>
      <c r="J5618" s="41">
        <v>45551</v>
      </c>
      <c r="K5618" s="8">
        <v>45596</v>
      </c>
      <c r="L5618" s="42">
        <f>_xlfn.DAYS(Tabla1[[#This Row],[FECHA FIN ]],Tabla1[[#This Row],[FECHA INICIO]])</f>
        <v>45</v>
      </c>
      <c r="M5618" s="20"/>
      <c r="N5618" s="20"/>
      <c r="O5618" s="28">
        <f>(Tabla1[[#This Row],[COSTO FIJO ]]/30)*Tabla1[[#This Row],[TOTAL DIAS PROYECTO]]+(Tabla1[[#This Row],[COSTO TEMPORAL]])</f>
        <v>0</v>
      </c>
      <c r="P5618" s="12"/>
      <c r="Q5618" s="12">
        <f>+(Tabla1[[#This Row],[COSTO COCHE]]/30)*Tabla1[[#This Row],[TOTAL DIAS PROYECTO]]</f>
        <v>0</v>
      </c>
      <c r="R5618" s="12">
        <f>+Tabla1[[#This Row],[COSTO TOTAL ALOJAMIENTO]]+Tabla1[[#This Row],[COSTO TOTAL COCHE]]</f>
        <v>0</v>
      </c>
      <c r="S5618" s="2"/>
      <c r="T5618" s="2" t="s">
        <v>528</v>
      </c>
      <c r="U5618" s="14">
        <v>45551</v>
      </c>
      <c r="V5618" s="79">
        <v>45596</v>
      </c>
      <c r="W5618" s="26"/>
      <c r="X5618" s="2"/>
      <c r="Y5618" s="11" t="s">
        <v>2811</v>
      </c>
      <c r="Z5618" s="2" t="s">
        <v>36</v>
      </c>
      <c r="AA5618" s="13" t="s">
        <v>10382</v>
      </c>
      <c r="AB5618" s="13">
        <v>4038884</v>
      </c>
    </row>
    <row r="5619" spans="1:28" ht="15" customHeight="1">
      <c r="A5619" s="2" t="s">
        <v>8747</v>
      </c>
      <c r="B5619" s="2" t="s">
        <v>28</v>
      </c>
      <c r="C5619" s="11" t="s">
        <v>566</v>
      </c>
      <c r="D5619" s="2" t="s">
        <v>30</v>
      </c>
      <c r="E5619" s="2" t="s">
        <v>599</v>
      </c>
      <c r="F5619" s="11" t="s">
        <v>600</v>
      </c>
      <c r="G5619" s="11" t="s">
        <v>601</v>
      </c>
      <c r="H5619" s="2" t="s">
        <v>7737</v>
      </c>
      <c r="I5619" s="12" t="s">
        <v>1067</v>
      </c>
      <c r="J5619" s="22">
        <f>+Tabla1[[#This Row],[FECHA ENTRADA]]</f>
        <v>45578</v>
      </c>
      <c r="K5619" s="8">
        <v>45597</v>
      </c>
      <c r="L5619" s="23">
        <f>_xlfn.DAYS(Tabla1[[#This Row],[FECHA FIN ]],Tabla1[[#This Row],[FECHA INICIO]])</f>
        <v>19</v>
      </c>
      <c r="M5619" s="12"/>
      <c r="N5619" s="12"/>
      <c r="O5619" s="24">
        <f>(Tabla1[[#This Row],[COSTO FIJO ]]/30)*Tabla1[[#This Row],[TOTAL DIAS PROYECTO]]+(Tabla1[[#This Row],[COSTO TEMPORAL]])</f>
        <v>0</v>
      </c>
      <c r="P5619" s="12"/>
      <c r="Q5619" s="12">
        <f>+(Tabla1[[#This Row],[COSTO COCHE]]/30)*Tabla1[[#This Row],[TOTAL DIAS PROYECTO]]</f>
        <v>0</v>
      </c>
      <c r="R5619" s="12">
        <f>+Tabla1[[#This Row],[COSTO TOTAL ALOJAMIENTO]]+Tabla1[[#This Row],[COSTO TOTAL COCHE]]</f>
        <v>0</v>
      </c>
      <c r="S5619" s="2"/>
      <c r="T5619" s="2" t="s">
        <v>528</v>
      </c>
      <c r="U5619" s="14">
        <v>45578</v>
      </c>
      <c r="V5619" s="79">
        <v>45597</v>
      </c>
      <c r="W5619" s="26"/>
      <c r="X5619" s="2"/>
      <c r="Y5619" s="11"/>
      <c r="Z5619" s="2" t="s">
        <v>36</v>
      </c>
      <c r="AA5619" s="13" t="s">
        <v>10382</v>
      </c>
      <c r="AB5619" s="13">
        <v>4038884</v>
      </c>
    </row>
    <row r="5620" spans="1:28" ht="15" customHeight="1">
      <c r="A5620" s="2" t="s">
        <v>8763</v>
      </c>
      <c r="B5620" s="2" t="s">
        <v>368</v>
      </c>
      <c r="C5620" s="18" t="s">
        <v>641</v>
      </c>
      <c r="D5620" s="2" t="s">
        <v>30</v>
      </c>
      <c r="E5620" s="2" t="s">
        <v>213</v>
      </c>
      <c r="F5620" s="11" t="s">
        <v>996</v>
      </c>
      <c r="G5620" s="11" t="s">
        <v>997</v>
      </c>
      <c r="H5620" s="2" t="s">
        <v>998</v>
      </c>
      <c r="I5620" s="12" t="s">
        <v>514</v>
      </c>
      <c r="J5620" s="8">
        <f>+Tabla1[[#This Row],[FECHA ENTRADA]]</f>
        <v>45529</v>
      </c>
      <c r="K5620" s="8"/>
      <c r="L5620" s="13">
        <f>_xlfn.DAYS(Tabla1[[#This Row],[FECHA FIN ]],Tabla1[[#This Row],[FECHA INICIO]])</f>
        <v>-45529</v>
      </c>
      <c r="M5620" s="12">
        <f>108.8+168</f>
        <v>276.8</v>
      </c>
      <c r="N5620" s="12"/>
      <c r="O5620" s="12">
        <f>(Tabla1[[#This Row],[COSTO FIJO ]]/30)*Tabla1[[#This Row],[TOTAL DIAS PROYECTO]]+(Tabla1[[#This Row],[COSTO TEMPORAL]])</f>
        <v>276.8</v>
      </c>
      <c r="P5620" s="12"/>
      <c r="Q5620" s="12">
        <f>+(Tabla1[[#This Row],[COSTO COCHE]]/30)*Tabla1[[#This Row],[TOTAL DIAS PROYECTO]]</f>
        <v>0</v>
      </c>
      <c r="R5620" s="12">
        <f>+Tabla1[[#This Row],[COSTO TOTAL ALOJAMIENTO]]+Tabla1[[#This Row],[COSTO TOTAL COCHE]]</f>
        <v>276.8</v>
      </c>
      <c r="S5620" s="2"/>
      <c r="T5620" s="2" t="s">
        <v>35</v>
      </c>
      <c r="U5620" s="14">
        <v>45529</v>
      </c>
      <c r="V5620" s="8"/>
      <c r="W5620" s="26"/>
      <c r="X5620" s="2">
        <v>1</v>
      </c>
      <c r="Y5620" s="18" t="s">
        <v>7738</v>
      </c>
      <c r="Z5620" s="2" t="s">
        <v>36</v>
      </c>
      <c r="AA5620" s="13" t="s">
        <v>10349</v>
      </c>
      <c r="AB5620" s="13" t="s">
        <v>10350</v>
      </c>
    </row>
    <row r="5621" spans="1:28" ht="15" customHeight="1">
      <c r="A5621" s="2" t="s">
        <v>8779</v>
      </c>
      <c r="B5621" s="2" t="s">
        <v>28</v>
      </c>
      <c r="C5621" s="18" t="s">
        <v>731</v>
      </c>
      <c r="D5621" s="2" t="s">
        <v>30</v>
      </c>
      <c r="E5621" s="2" t="s">
        <v>114</v>
      </c>
      <c r="F5621" s="11" t="s">
        <v>3004</v>
      </c>
      <c r="G5621" s="11" t="s">
        <v>3005</v>
      </c>
      <c r="H5621" s="2">
        <v>2023</v>
      </c>
      <c r="I5621" s="2" t="s">
        <v>118</v>
      </c>
      <c r="J5621" s="8">
        <f>+Tabla1[[#This Row],[FECHA ENTRADA]]</f>
        <v>0</v>
      </c>
      <c r="K5621" s="8"/>
      <c r="L5621" s="13">
        <f>_xlfn.DAYS(Tabla1[[#This Row],[FECHA FIN ]],Tabla1[[#This Row],[FECHA INICIO]])</f>
        <v>0</v>
      </c>
      <c r="M5621" s="12">
        <v>266.66666666666669</v>
      </c>
      <c r="N5621" s="28"/>
      <c r="O5621" s="12">
        <f>(Tabla1[[#This Row],[COSTO FIJO ]]/30)*Tabla1[[#This Row],[TOTAL DIAS PROYECTO]]+(Tabla1[[#This Row],[COSTO TEMPORAL]])</f>
        <v>266.66666666666669</v>
      </c>
      <c r="P5621" s="12"/>
      <c r="Q5621" s="12">
        <f>+(Tabla1[[#This Row],[COSTO COCHE]]/30)*Tabla1[[#This Row],[TOTAL DIAS PROYECTO]]</f>
        <v>0</v>
      </c>
      <c r="R5621" s="12">
        <f>+Tabla1[[#This Row],[COSTO TOTAL ALOJAMIENTO]]+Tabla1[[#This Row],[COSTO TOTAL COCHE]]</f>
        <v>266.66666666666669</v>
      </c>
      <c r="S5621" s="2"/>
      <c r="T5621" s="2" t="s">
        <v>35</v>
      </c>
      <c r="U5621" s="14"/>
      <c r="V5621" s="14">
        <v>45405</v>
      </c>
      <c r="W5621" s="15"/>
      <c r="X5621" s="16">
        <v>1</v>
      </c>
      <c r="Y5621" s="18" t="s">
        <v>223</v>
      </c>
      <c r="Z5621" s="2" t="s">
        <v>36</v>
      </c>
      <c r="AA5621" s="13" t="s">
        <v>10340</v>
      </c>
      <c r="AB5621" s="13" t="s">
        <v>10341</v>
      </c>
    </row>
    <row r="5622" spans="1:28" ht="15" customHeight="1">
      <c r="A5622" s="2" t="s">
        <v>9487</v>
      </c>
      <c r="B5622" s="2" t="s">
        <v>606</v>
      </c>
      <c r="C5622" s="31" t="s">
        <v>3355</v>
      </c>
      <c r="D5622" s="2" t="s">
        <v>99</v>
      </c>
      <c r="E5622" s="2" t="s">
        <v>31</v>
      </c>
      <c r="F5622" s="11" t="s">
        <v>1206</v>
      </c>
      <c r="G5622" s="51" t="s">
        <v>1005</v>
      </c>
      <c r="H5622" s="157" t="s">
        <v>7739</v>
      </c>
      <c r="I5622" s="158" t="s">
        <v>3054</v>
      </c>
      <c r="J5622" s="41">
        <f>+Tabla1[[#This Row],[FECHA ENTRADA]]</f>
        <v>45775</v>
      </c>
      <c r="K5622" s="22">
        <v>46165</v>
      </c>
      <c r="L5622" s="23">
        <f>_xlfn.DAYS(Tabla1[[#This Row],[FECHA FIN ]],Tabla1[[#This Row],[FECHA INICIO]])</f>
        <v>390</v>
      </c>
      <c r="M5622" s="12"/>
      <c r="N5622" s="20">
        <v>357.14285714285717</v>
      </c>
      <c r="O5622" s="24">
        <f>(Tabla1[[#This Row],[COSTO FIJO ]]/30)*Tabla1[[#This Row],[TOTAL DIAS PROYECTO]]+(Tabla1[[#This Row],[COSTO TEMPORAL]])</f>
        <v>4642.8571428571431</v>
      </c>
      <c r="P5622" s="12">
        <v>85.714285714285708</v>
      </c>
      <c r="Q5622" s="12">
        <f>+(Tabla1[[#This Row],[COSTO COCHE]]/30)*Tabla1[[#This Row],[TOTAL DIAS PROYECTO]]</f>
        <v>1114.2857142857142</v>
      </c>
      <c r="R5622" s="12">
        <f>+Tabla1[[#This Row],[COSTO TOTAL ALOJAMIENTO]]+Tabla1[[#This Row],[COSTO TOTAL COCHE]]</f>
        <v>5757.1428571428569</v>
      </c>
      <c r="S5622" s="2"/>
      <c r="T5622" s="2" t="s">
        <v>35</v>
      </c>
      <c r="U5622" s="14">
        <v>45775</v>
      </c>
      <c r="V5622" s="25"/>
      <c r="W5622" s="12"/>
      <c r="X5622" s="2">
        <v>27</v>
      </c>
      <c r="Y5622" s="11" t="s">
        <v>7720</v>
      </c>
      <c r="Z5622" s="2" t="s">
        <v>36</v>
      </c>
      <c r="AA5622" s="13" t="s">
        <v>10323</v>
      </c>
      <c r="AB5622" s="13" t="s">
        <v>10324</v>
      </c>
    </row>
    <row r="5623" spans="1:28" ht="15" customHeight="1">
      <c r="A5623" s="2" t="s">
        <v>9929</v>
      </c>
      <c r="B5623" s="2" t="s">
        <v>606</v>
      </c>
      <c r="C5623" s="31" t="s">
        <v>5503</v>
      </c>
      <c r="D5623" s="2" t="s">
        <v>30</v>
      </c>
      <c r="E5623" s="2" t="s">
        <v>31</v>
      </c>
      <c r="F5623" s="11" t="s">
        <v>715</v>
      </c>
      <c r="G5623" s="11" t="s">
        <v>716</v>
      </c>
      <c r="H5623" s="2" t="s">
        <v>6619</v>
      </c>
      <c r="I5623" s="12" t="s">
        <v>6620</v>
      </c>
      <c r="J5623" s="41">
        <f>+Tabla1[[#This Row],[FECHA ENTRADA]]</f>
        <v>46112</v>
      </c>
      <c r="K5623" s="22">
        <v>46133</v>
      </c>
      <c r="L5623" s="42">
        <f>_xlfn.DAYS(Tabla1[[#This Row],[FECHA FIN ]],Tabla1[[#This Row],[FECHA INICIO]])</f>
        <v>21</v>
      </c>
      <c r="M5623" s="12"/>
      <c r="N5623" s="12">
        <v>160</v>
      </c>
      <c r="O5623" s="28">
        <f>(Tabla1[[#This Row],[COSTO FIJO ]]/30)*Tabla1[[#This Row],[TOTAL DIAS PROYECTO]]+(Tabla1[[#This Row],[COSTO TEMPORAL]])</f>
        <v>112</v>
      </c>
      <c r="P5623" s="12"/>
      <c r="Q5623" s="12">
        <f>+(Tabla1[[#This Row],[COSTO COCHE]]/30)*Tabla1[[#This Row],[TOTAL DIAS PROYECTO]]</f>
        <v>0</v>
      </c>
      <c r="R5623" s="12">
        <f>+Tabla1[[#This Row],[COSTO TOTAL ALOJAMIENTO]]+Tabla1[[#This Row],[COSTO TOTAL COCHE]]</f>
        <v>112</v>
      </c>
      <c r="S5623" s="2"/>
      <c r="T5623" s="14" t="s">
        <v>35</v>
      </c>
      <c r="U5623" s="14">
        <v>46112</v>
      </c>
      <c r="V5623" s="43"/>
      <c r="W5623" s="12"/>
      <c r="X5623" s="2"/>
      <c r="Y5623" s="11" t="s">
        <v>7343</v>
      </c>
      <c r="Z5623" s="2" t="s">
        <v>36</v>
      </c>
      <c r="AA5623" s="13" t="s">
        <v>10323</v>
      </c>
      <c r="AB5623" s="13" t="s">
        <v>10324</v>
      </c>
    </row>
    <row r="5624" spans="1:28" ht="15" customHeight="1">
      <c r="A5624" s="2" t="s">
        <v>10280</v>
      </c>
      <c r="B5624" s="2" t="s">
        <v>28</v>
      </c>
      <c r="C5624" s="334" t="s">
        <v>7740</v>
      </c>
      <c r="D5624" s="2" t="s">
        <v>30</v>
      </c>
      <c r="E5624" s="2" t="s">
        <v>7726</v>
      </c>
      <c r="F5624" s="11" t="s">
        <v>7727</v>
      </c>
      <c r="G5624" s="11" t="s">
        <v>7741</v>
      </c>
      <c r="H5624" s="2">
        <v>2023</v>
      </c>
      <c r="I5624" s="2" t="s">
        <v>7729</v>
      </c>
      <c r="J5624" s="8">
        <f>+Tabla1[[#This Row],[FECHA ENTRADA]]</f>
        <v>0</v>
      </c>
      <c r="K5624" s="8"/>
      <c r="L5624" s="13">
        <f>_xlfn.DAYS(Tabla1[[#This Row],[FECHA FIN ]],Tabla1[[#This Row],[FECHA INICIO]])</f>
        <v>0</v>
      </c>
      <c r="M5624" s="2"/>
      <c r="N5624" s="12">
        <v>450</v>
      </c>
      <c r="O5624" s="12">
        <f>(Tabla1[[#This Row],[COSTO FIJO ]]/30)*Tabla1[[#This Row],[TOTAL DIAS PROYECTO]]+(Tabla1[[#This Row],[COSTO TEMPORAL]])</f>
        <v>0</v>
      </c>
      <c r="P5624" s="12"/>
      <c r="Q5624" s="12">
        <f>+(Tabla1[[#This Row],[COSTO COCHE]]/30)*Tabla1[[#This Row],[TOTAL DIAS PROYECTO]]</f>
        <v>0</v>
      </c>
      <c r="R5624" s="12">
        <f>+Tabla1[[#This Row],[COSTO TOTAL ALOJAMIENTO]]+Tabla1[[#This Row],[COSTO TOTAL COCHE]]</f>
        <v>0</v>
      </c>
      <c r="S5624" s="2"/>
      <c r="T5624" s="2" t="s">
        <v>35</v>
      </c>
      <c r="U5624" s="14"/>
      <c r="V5624" s="14"/>
      <c r="W5624" s="15"/>
      <c r="X5624" s="16">
        <v>1</v>
      </c>
      <c r="Y5624" s="18" t="s">
        <v>7730</v>
      </c>
      <c r="Z5624" s="2" t="s">
        <v>36</v>
      </c>
      <c r="AA5624" s="13" t="s">
        <v>10449</v>
      </c>
      <c r="AB5624" s="13" t="s">
        <v>10450</v>
      </c>
    </row>
    <row r="5625" spans="1:28" ht="15" customHeight="1">
      <c r="A5625" s="2" t="s">
        <v>9157</v>
      </c>
      <c r="B5625" s="2" t="s">
        <v>28</v>
      </c>
      <c r="C5625" s="48" t="s">
        <v>2265</v>
      </c>
      <c r="D5625" s="2" t="s">
        <v>30</v>
      </c>
      <c r="E5625" s="2" t="s">
        <v>476</v>
      </c>
      <c r="F5625" s="11" t="s">
        <v>482</v>
      </c>
      <c r="G5625" s="11" t="s">
        <v>483</v>
      </c>
      <c r="H5625" s="2" t="s">
        <v>484</v>
      </c>
      <c r="I5625" s="12" t="s">
        <v>165</v>
      </c>
      <c r="J5625" s="8">
        <f>+Tabla1[[#This Row],[FECHA ENTRADA]]</f>
        <v>45396</v>
      </c>
      <c r="K5625" s="8"/>
      <c r="L5625" s="13">
        <f>_xlfn.DAYS(Tabla1[[#This Row],[FECHA FIN ]],Tabla1[[#This Row],[FECHA INICIO]])</f>
        <v>-45396</v>
      </c>
      <c r="M5625" s="12"/>
      <c r="N5625" s="12">
        <v>158.75</v>
      </c>
      <c r="O5625" s="12">
        <f>(Tabla1[[#This Row],[COSTO FIJO ]]/30)*Tabla1[[#This Row],[TOTAL DIAS PROYECTO]]+(Tabla1[[#This Row],[COSTO TEMPORAL]])</f>
        <v>-240220.5</v>
      </c>
      <c r="P5625" s="12"/>
      <c r="Q5625" s="12">
        <f>+(Tabla1[[#This Row],[COSTO COCHE]]/30)*Tabla1[[#This Row],[TOTAL DIAS PROYECTO]]</f>
        <v>0</v>
      </c>
      <c r="R5625" s="12">
        <f>+Tabla1[[#This Row],[COSTO TOTAL ALOJAMIENTO]]+Tabla1[[#This Row],[COSTO TOTAL COCHE]]</f>
        <v>-240220.5</v>
      </c>
      <c r="S5625" s="2"/>
      <c r="T5625" s="2" t="s">
        <v>35</v>
      </c>
      <c r="U5625" s="14">
        <v>45396</v>
      </c>
      <c r="V5625" s="14"/>
      <c r="W5625" s="15"/>
      <c r="X5625" s="16">
        <v>1</v>
      </c>
      <c r="Y5625" s="11"/>
      <c r="Z5625" s="2" t="s">
        <v>36</v>
      </c>
      <c r="AA5625" s="13">
        <v>-7.8640699999999999</v>
      </c>
      <c r="AB5625" s="13">
        <v>42.336689999999997</v>
      </c>
    </row>
    <row r="5626" spans="1:28" ht="15" customHeight="1">
      <c r="A5626" s="2" t="s">
        <v>8638</v>
      </c>
      <c r="B5626" s="2" t="s">
        <v>28</v>
      </c>
      <c r="C5626" s="194" t="s">
        <v>7742</v>
      </c>
      <c r="D5626" s="2" t="s">
        <v>30</v>
      </c>
      <c r="E5626" s="2" t="s">
        <v>7726</v>
      </c>
      <c r="F5626" s="11" t="s">
        <v>7743</v>
      </c>
      <c r="G5626" s="11" t="s">
        <v>7744</v>
      </c>
      <c r="H5626" s="2">
        <v>2023</v>
      </c>
      <c r="I5626" s="2" t="s">
        <v>7729</v>
      </c>
      <c r="J5626" s="8">
        <f>+Tabla1[[#This Row],[FECHA ENTRADA]]</f>
        <v>0</v>
      </c>
      <c r="K5626" s="8"/>
      <c r="L5626" s="13">
        <f>_xlfn.DAYS(Tabla1[[#This Row],[FECHA FIN ]],Tabla1[[#This Row],[FECHA INICIO]])</f>
        <v>0</v>
      </c>
      <c r="M5626" s="2"/>
      <c r="N5626" s="12">
        <v>225</v>
      </c>
      <c r="O5626" s="12">
        <f>(Tabla1[[#This Row],[COSTO FIJO ]]/30)*Tabla1[[#This Row],[TOTAL DIAS PROYECTO]]+(Tabla1[[#This Row],[COSTO TEMPORAL]])</f>
        <v>0</v>
      </c>
      <c r="P5626" s="12"/>
      <c r="Q5626" s="12">
        <f>+(Tabla1[[#This Row],[COSTO COCHE]]/30)*Tabla1[[#This Row],[TOTAL DIAS PROYECTO]]</f>
        <v>0</v>
      </c>
      <c r="R5626" s="12">
        <f>+Tabla1[[#This Row],[COSTO TOTAL ALOJAMIENTO]]+Tabla1[[#This Row],[COSTO TOTAL COCHE]]</f>
        <v>0</v>
      </c>
      <c r="S5626" s="2"/>
      <c r="T5626" s="2" t="s">
        <v>35</v>
      </c>
      <c r="U5626" s="14"/>
      <c r="V5626" s="14"/>
      <c r="W5626" s="15"/>
      <c r="X5626" s="16">
        <v>1</v>
      </c>
      <c r="Y5626" s="18" t="s">
        <v>7745</v>
      </c>
      <c r="Z5626" s="2" t="s">
        <v>36</v>
      </c>
      <c r="AA5626" s="13" t="s">
        <v>10449</v>
      </c>
      <c r="AB5626" s="13" t="s">
        <v>10450</v>
      </c>
    </row>
    <row r="5627" spans="1:28">
      <c r="A5627" s="2" t="s">
        <v>8642</v>
      </c>
      <c r="B5627" s="2" t="s">
        <v>28</v>
      </c>
      <c r="C5627" s="18" t="s">
        <v>7746</v>
      </c>
      <c r="D5627" s="2" t="s">
        <v>161</v>
      </c>
      <c r="E5627" s="2" t="s">
        <v>162</v>
      </c>
      <c r="F5627" s="11" t="s">
        <v>163</v>
      </c>
      <c r="G5627" s="30" t="s">
        <v>156</v>
      </c>
      <c r="H5627" s="2" t="s">
        <v>164</v>
      </c>
      <c r="I5627" s="2" t="s">
        <v>165</v>
      </c>
      <c r="J5627" s="8">
        <f>+Tabla1[[#This Row],[FECHA ENTRADA]]</f>
        <v>45355</v>
      </c>
      <c r="K5627" s="8"/>
      <c r="L5627" s="13">
        <f>_xlfn.DAYS(Tabla1[[#This Row],[FECHA FIN ]],Tabla1[[#This Row],[FECHA INICIO]])</f>
        <v>-45355</v>
      </c>
      <c r="M5627" s="2"/>
      <c r="N5627" s="12">
        <v>325</v>
      </c>
      <c r="O5627" s="12">
        <f>(Tabla1[[#This Row],[COSTO FIJO ]]/30)*Tabla1[[#This Row],[TOTAL DIAS PROYECTO]]+(Tabla1[[#This Row],[COSTO TEMPORAL]])</f>
        <v>-491345.83333333337</v>
      </c>
      <c r="P5627" s="12"/>
      <c r="Q5627" s="12">
        <f>+(Tabla1[[#This Row],[COSTO COCHE]]/30)*Tabla1[[#This Row],[TOTAL DIAS PROYECTO]]</f>
        <v>0</v>
      </c>
      <c r="R5627" s="12">
        <f>+Tabla1[[#This Row],[COSTO TOTAL ALOJAMIENTO]]+Tabla1[[#This Row],[COSTO TOTAL COCHE]]</f>
        <v>-491345.83333333337</v>
      </c>
      <c r="S5627" s="2" t="s">
        <v>84</v>
      </c>
      <c r="T5627" s="2" t="s">
        <v>35</v>
      </c>
      <c r="U5627" s="14">
        <v>45355</v>
      </c>
      <c r="V5627" s="14">
        <v>45591</v>
      </c>
      <c r="W5627" s="15"/>
      <c r="X5627" s="16">
        <v>3</v>
      </c>
      <c r="Y5627" s="18" t="s">
        <v>171</v>
      </c>
      <c r="Z5627" s="2" t="s">
        <v>36</v>
      </c>
      <c r="AA5627" s="13" t="s">
        <v>10347</v>
      </c>
      <c r="AB5627" s="13" t="s">
        <v>10348</v>
      </c>
    </row>
    <row r="5628" spans="1:28">
      <c r="A5628" s="2" t="s">
        <v>10281</v>
      </c>
      <c r="B5628" s="2" t="s">
        <v>28</v>
      </c>
      <c r="C5628" s="18" t="s">
        <v>7747</v>
      </c>
      <c r="D5628" s="2" t="s">
        <v>30</v>
      </c>
      <c r="E5628" s="2" t="s">
        <v>55</v>
      </c>
      <c r="F5628" s="11"/>
      <c r="G5628" s="11" t="s">
        <v>106</v>
      </c>
      <c r="H5628" s="2" t="s">
        <v>3454</v>
      </c>
      <c r="I5628" s="12" t="s">
        <v>1968</v>
      </c>
      <c r="J5628" s="8">
        <f>+Tabla1[[#This Row],[FECHA ENTRADA]]</f>
        <v>45364</v>
      </c>
      <c r="K5628" s="8"/>
      <c r="L5628" s="13">
        <f>_xlfn.DAYS(Tabla1[[#This Row],[FECHA FIN ]],Tabla1[[#This Row],[FECHA INICIO]])</f>
        <v>-45364</v>
      </c>
      <c r="M5628" s="12"/>
      <c r="N5628" s="12">
        <v>500</v>
      </c>
      <c r="O5628" s="12">
        <f>(Tabla1[[#This Row],[COSTO FIJO ]]/30)*Tabla1[[#This Row],[TOTAL DIAS PROYECTO]]+(Tabla1[[#This Row],[COSTO TEMPORAL]])</f>
        <v>-756066.66666666674</v>
      </c>
      <c r="P5628" s="12"/>
      <c r="Q5628" s="12">
        <f>+(Tabla1[[#This Row],[COSTO COCHE]]/30)*Tabla1[[#This Row],[TOTAL DIAS PROYECTO]]</f>
        <v>0</v>
      </c>
      <c r="R5628" s="12">
        <f>+Tabla1[[#This Row],[COSTO TOTAL ALOJAMIENTO]]+Tabla1[[#This Row],[COSTO TOTAL COCHE]]</f>
        <v>-756066.66666666674</v>
      </c>
      <c r="S5628" s="2"/>
      <c r="T5628" s="2" t="s">
        <v>35</v>
      </c>
      <c r="U5628" s="14">
        <v>45364</v>
      </c>
      <c r="V5628" s="14"/>
      <c r="W5628" s="15">
        <v>600</v>
      </c>
      <c r="X5628" s="16">
        <v>5</v>
      </c>
      <c r="Y5628" s="11" t="s">
        <v>231</v>
      </c>
      <c r="Z5628" s="2" t="s">
        <v>36</v>
      </c>
      <c r="AA5628" s="13" t="s">
        <v>10327</v>
      </c>
      <c r="AB5628" s="13" t="s">
        <v>10328</v>
      </c>
    </row>
    <row r="5629" spans="1:28" ht="15" customHeight="1">
      <c r="A5629" s="2" t="s">
        <v>8819</v>
      </c>
      <c r="B5629" s="2" t="s">
        <v>28</v>
      </c>
      <c r="C5629" s="18" t="s">
        <v>885</v>
      </c>
      <c r="D5629" s="2" t="s">
        <v>30</v>
      </c>
      <c r="E5629" s="2" t="s">
        <v>31</v>
      </c>
      <c r="F5629" s="11"/>
      <c r="G5629" s="11"/>
      <c r="H5629" s="2">
        <v>2023</v>
      </c>
      <c r="I5629" s="12" t="s">
        <v>132</v>
      </c>
      <c r="J5629" s="8">
        <f>+Tabla1[[#This Row],[FECHA ENTRADA]]</f>
        <v>0</v>
      </c>
      <c r="K5629" s="8"/>
      <c r="L5629" s="13">
        <f>_xlfn.DAYS(Tabla1[[#This Row],[FECHA FIN ]],Tabla1[[#This Row],[FECHA INICIO]])</f>
        <v>0</v>
      </c>
      <c r="M5629" s="12">
        <v>300</v>
      </c>
      <c r="N5629" s="20"/>
      <c r="O5629" s="12">
        <f>(Tabla1[[#This Row],[COSTO FIJO ]]/30)*Tabla1[[#This Row],[TOTAL DIAS PROYECTO]]+(Tabla1[[#This Row],[COSTO TEMPORAL]])</f>
        <v>300</v>
      </c>
      <c r="P5629" s="12"/>
      <c r="Q5629" s="12">
        <f>+(Tabla1[[#This Row],[COSTO COCHE]]/30)*Tabla1[[#This Row],[TOTAL DIAS PROYECTO]]</f>
        <v>0</v>
      </c>
      <c r="R5629" s="12">
        <f>+Tabla1[[#This Row],[COSTO TOTAL ALOJAMIENTO]]+Tabla1[[#This Row],[COSTO TOTAL COCHE]]</f>
        <v>300</v>
      </c>
      <c r="S5629" s="2"/>
      <c r="T5629" s="2" t="s">
        <v>58</v>
      </c>
      <c r="U5629" s="14"/>
      <c r="V5629" s="14"/>
      <c r="W5629" s="15"/>
      <c r="X5629" s="16"/>
      <c r="Y5629" s="18" t="s">
        <v>7748</v>
      </c>
      <c r="Z5629" s="2" t="s">
        <v>36</v>
      </c>
      <c r="AA5629" s="13" t="s">
        <v>10323</v>
      </c>
      <c r="AB5629" s="13" t="s">
        <v>10324</v>
      </c>
    </row>
    <row r="5630" spans="1:28">
      <c r="A5630" s="2" t="s">
        <v>8769</v>
      </c>
      <c r="B5630" s="2" t="s">
        <v>28</v>
      </c>
      <c r="C5630" s="11" t="s">
        <v>663</v>
      </c>
      <c r="D5630" s="2" t="s">
        <v>30</v>
      </c>
      <c r="E5630" s="2" t="s">
        <v>259</v>
      </c>
      <c r="F5630" s="11"/>
      <c r="G5630" s="11" t="s">
        <v>7282</v>
      </c>
      <c r="H5630" s="157" t="s">
        <v>3025</v>
      </c>
      <c r="I5630" s="158" t="s">
        <v>292</v>
      </c>
      <c r="J5630" s="8">
        <f>+Tabla1[[#This Row],[FECHA ENTRADA]]</f>
        <v>45382</v>
      </c>
      <c r="K5630" s="8"/>
      <c r="L5630" s="13">
        <f>_xlfn.DAYS(Tabla1[[#This Row],[FECHA FIN ]],Tabla1[[#This Row],[FECHA INICIO]])</f>
        <v>-45382</v>
      </c>
      <c r="M5630" s="12"/>
      <c r="N5630" s="12"/>
      <c r="O5630" s="12">
        <f>(Tabla1[[#This Row],[COSTO FIJO ]]/30)*Tabla1[[#This Row],[TOTAL DIAS PROYECTO]]+(Tabla1[[#This Row],[COSTO TEMPORAL]])</f>
        <v>0</v>
      </c>
      <c r="P5630" s="12"/>
      <c r="Q5630" s="12">
        <f>+(Tabla1[[#This Row],[COSTO COCHE]]/30)*Tabla1[[#This Row],[TOTAL DIAS PROYECTO]]</f>
        <v>0</v>
      </c>
      <c r="R5630" s="12">
        <f>+Tabla1[[#This Row],[COSTO TOTAL ALOJAMIENTO]]+Tabla1[[#This Row],[COSTO TOTAL COCHE]]</f>
        <v>0</v>
      </c>
      <c r="S5630" s="2"/>
      <c r="T5630" s="2" t="s">
        <v>35</v>
      </c>
      <c r="U5630" s="14">
        <v>45382</v>
      </c>
      <c r="V5630" s="14"/>
      <c r="W5630" s="15">
        <v>300</v>
      </c>
      <c r="X5630" s="16">
        <v>5</v>
      </c>
      <c r="Y5630" s="11" t="s">
        <v>7283</v>
      </c>
      <c r="Z5630" s="2" t="s">
        <v>36</v>
      </c>
      <c r="AA5630" s="13">
        <v>-0.87734000000000001</v>
      </c>
      <c r="AB5630" s="13" t="s">
        <v>10359</v>
      </c>
    </row>
    <row r="5631" spans="1:28">
      <c r="A5631" s="2" t="s">
        <v>10282</v>
      </c>
      <c r="B5631" s="30" t="s">
        <v>368</v>
      </c>
      <c r="C5631" s="18" t="s">
        <v>7749</v>
      </c>
      <c r="D5631" s="2" t="s">
        <v>30</v>
      </c>
      <c r="E5631" s="2" t="s">
        <v>3533</v>
      </c>
      <c r="F5631" s="11" t="s">
        <v>3534</v>
      </c>
      <c r="G5631" s="30" t="s">
        <v>3535</v>
      </c>
      <c r="H5631" s="157" t="s">
        <v>3536</v>
      </c>
      <c r="I5631" s="158" t="s">
        <v>3537</v>
      </c>
      <c r="J5631" s="8">
        <f>+Tabla1[[#This Row],[FECHA ENTRADA]]</f>
        <v>45515</v>
      </c>
      <c r="K5631" s="22">
        <v>45565</v>
      </c>
      <c r="L5631" s="13">
        <f>_xlfn.DAYS(Tabla1[[#This Row],[FECHA FIN ]],Tabla1[[#This Row],[FECHA INICIO]])</f>
        <v>50</v>
      </c>
      <c r="M5631" s="12"/>
      <c r="N5631" s="12">
        <v>350</v>
      </c>
      <c r="O5631" s="12">
        <f>(Tabla1[[#This Row],[COSTO FIJO ]]/30)*Tabla1[[#This Row],[TOTAL DIAS PROYECTO]]+(Tabla1[[#This Row],[COSTO TEMPORAL]])</f>
        <v>583.33333333333326</v>
      </c>
      <c r="P5631" s="12"/>
      <c r="Q5631" s="12">
        <f>+(Tabla1[[#This Row],[COSTO COCHE]]/30)*Tabla1[[#This Row],[TOTAL DIAS PROYECTO]]</f>
        <v>0</v>
      </c>
      <c r="R5631" s="12">
        <f>+Tabla1[[#This Row],[COSTO TOTAL ALOJAMIENTO]]+Tabla1[[#This Row],[COSTO TOTAL COCHE]]</f>
        <v>583.33333333333326</v>
      </c>
      <c r="S5631" s="2"/>
      <c r="T5631" s="2" t="s">
        <v>35</v>
      </c>
      <c r="U5631" s="14">
        <v>45515</v>
      </c>
      <c r="V5631" s="14"/>
      <c r="W5631" s="26">
        <v>700</v>
      </c>
      <c r="X5631" s="2">
        <v>5</v>
      </c>
      <c r="Y5631" s="11" t="s">
        <v>3534</v>
      </c>
      <c r="Z5631" s="2" t="s">
        <v>36</v>
      </c>
      <c r="AA5631" s="13">
        <v>-164692</v>
      </c>
      <c r="AB5631" s="13">
        <v>4266807</v>
      </c>
    </row>
    <row r="5632" spans="1:28" ht="15" customHeight="1">
      <c r="A5632" s="2" t="s">
        <v>9746</v>
      </c>
      <c r="B5632" s="2" t="s">
        <v>606</v>
      </c>
      <c r="C5632" s="31" t="s">
        <v>4546</v>
      </c>
      <c r="D5632" s="2" t="s">
        <v>30</v>
      </c>
      <c r="E5632" s="2" t="s">
        <v>31</v>
      </c>
      <c r="F5632" s="11" t="s">
        <v>1004</v>
      </c>
      <c r="G5632" s="167" t="s">
        <v>1005</v>
      </c>
      <c r="H5632" s="2" t="s">
        <v>7750</v>
      </c>
      <c r="I5632" s="158" t="s">
        <v>5601</v>
      </c>
      <c r="J5632" s="22">
        <f>+Tabla1[[#This Row],[FECHA ENTRADA]]</f>
        <v>46236</v>
      </c>
      <c r="K5632" s="22">
        <v>46246</v>
      </c>
      <c r="L5632" s="23">
        <f>_xlfn.DAYS(Tabla1[[#This Row],[FECHA FIN ]],Tabla1[[#This Row],[FECHA INICIO]])</f>
        <v>10</v>
      </c>
      <c r="M5632" s="12"/>
      <c r="N5632" s="28">
        <v>400</v>
      </c>
      <c r="O5632" s="24">
        <f>(Tabla1[[#This Row],[COSTO FIJO ]]/30)*Tabla1[[#This Row],[TOTAL DIAS PROYECTO]]+(Tabla1[[#This Row],[COSTO TEMPORAL]])</f>
        <v>133.33333333333334</v>
      </c>
      <c r="P5632" s="12"/>
      <c r="Q5632" s="12">
        <f>+(Tabla1[[#This Row],[COSTO COCHE]]/30)*Tabla1[[#This Row],[TOTAL DIAS PROYECTO]]</f>
        <v>0</v>
      </c>
      <c r="R5632" s="12">
        <f>+Tabla1[[#This Row],[COSTO TOTAL ALOJAMIENTO]]+Tabla1[[#This Row],[COSTO TOTAL COCHE]]</f>
        <v>133.33333333333334</v>
      </c>
      <c r="S5632" s="2"/>
      <c r="T5632" s="14" t="s">
        <v>35</v>
      </c>
      <c r="U5632" s="14">
        <v>46236</v>
      </c>
      <c r="V5632" s="79"/>
      <c r="W5632" s="12"/>
      <c r="X5632" s="2">
        <v>1</v>
      </c>
      <c r="Y5632" s="136" t="s">
        <v>7751</v>
      </c>
      <c r="Z5632" s="2" t="s">
        <v>36</v>
      </c>
      <c r="AA5632" s="13" t="s">
        <v>10323</v>
      </c>
      <c r="AB5632" s="13" t="s">
        <v>10324</v>
      </c>
    </row>
    <row r="5633" spans="1:28">
      <c r="A5633" s="2" t="s">
        <v>8634</v>
      </c>
      <c r="B5633" s="2" t="s">
        <v>28</v>
      </c>
      <c r="C5633" s="18" t="s">
        <v>37</v>
      </c>
      <c r="D5633" s="2" t="s">
        <v>30</v>
      </c>
      <c r="E5633" s="2" t="s">
        <v>259</v>
      </c>
      <c r="F5633" s="11"/>
      <c r="G5633" s="11" t="s">
        <v>7282</v>
      </c>
      <c r="H5633" s="2" t="s">
        <v>285</v>
      </c>
      <c r="I5633" s="2" t="s">
        <v>124</v>
      </c>
      <c r="J5633" s="8">
        <f>+Tabla1[[#This Row],[FECHA ENTRADA]]</f>
        <v>45410</v>
      </c>
      <c r="K5633" s="8"/>
      <c r="L5633" s="13">
        <f>_xlfn.DAYS(Tabla1[[#This Row],[FECHA FIN ]],Tabla1[[#This Row],[FECHA INICIO]])</f>
        <v>-45410</v>
      </c>
      <c r="M5633" s="2"/>
      <c r="N5633" s="12">
        <v>325</v>
      </c>
      <c r="O5633" s="12">
        <f>(Tabla1[[#This Row],[COSTO FIJO ]]/30)*Tabla1[[#This Row],[TOTAL DIAS PROYECTO]]+(Tabla1[[#This Row],[COSTO TEMPORAL]])</f>
        <v>-491941.66666666669</v>
      </c>
      <c r="P5633" s="12"/>
      <c r="Q5633" s="12">
        <f>+(Tabla1[[#This Row],[COSTO COCHE]]/30)*Tabla1[[#This Row],[TOTAL DIAS PROYECTO]]</f>
        <v>0</v>
      </c>
      <c r="R5633" s="12">
        <f>+Tabla1[[#This Row],[COSTO TOTAL ALOJAMIENTO]]+Tabla1[[#This Row],[COSTO TOTAL COCHE]]</f>
        <v>-491941.66666666669</v>
      </c>
      <c r="S5633" s="2"/>
      <c r="T5633" s="2" t="s">
        <v>35</v>
      </c>
      <c r="U5633" s="14">
        <v>45410</v>
      </c>
      <c r="V5633" s="14">
        <v>45426</v>
      </c>
      <c r="W5633" s="26"/>
      <c r="X5633" s="16">
        <v>5</v>
      </c>
      <c r="Y5633" s="11" t="s">
        <v>7283</v>
      </c>
      <c r="Z5633" s="2" t="s">
        <v>36</v>
      </c>
      <c r="AA5633" s="13">
        <v>-0.87734000000000001</v>
      </c>
      <c r="AB5633" s="13" t="s">
        <v>10359</v>
      </c>
    </row>
    <row r="5634" spans="1:28" ht="15" customHeight="1">
      <c r="A5634" s="2" t="s">
        <v>9352</v>
      </c>
      <c r="B5634" s="2" t="s">
        <v>978</v>
      </c>
      <c r="C5634" s="11" t="s">
        <v>2915</v>
      </c>
      <c r="D5634" s="2" t="s">
        <v>30</v>
      </c>
      <c r="E5634" s="2" t="s">
        <v>109</v>
      </c>
      <c r="F5634" s="11" t="s">
        <v>1980</v>
      </c>
      <c r="G5634" s="197" t="s">
        <v>1981</v>
      </c>
      <c r="H5634" s="2" t="s">
        <v>3043</v>
      </c>
      <c r="I5634" s="12" t="s">
        <v>3044</v>
      </c>
      <c r="J5634" s="22">
        <f>+Tabla1[[#This Row],[FECHA ENTRADA]]</f>
        <v>46236</v>
      </c>
      <c r="K5634" s="22">
        <v>46249</v>
      </c>
      <c r="L5634" s="23">
        <f>_xlfn.DAYS(Tabla1[[#This Row],[FECHA FIN ]],Tabla1[[#This Row],[FECHA INICIO]])</f>
        <v>13</v>
      </c>
      <c r="M5634" s="12"/>
      <c r="N5634" s="28">
        <v>250</v>
      </c>
      <c r="O5634" s="24">
        <f>(Tabla1[[#This Row],[COSTO FIJO ]]/30)*Tabla1[[#This Row],[TOTAL DIAS PROYECTO]]+(Tabla1[[#This Row],[COSTO TEMPORAL]])</f>
        <v>108.33333333333334</v>
      </c>
      <c r="P5634" s="12"/>
      <c r="Q5634" s="12">
        <f>+(Tabla1[[#This Row],[COSTO COCHE]]/30)*Tabla1[[#This Row],[TOTAL DIAS PROYECTO]]</f>
        <v>0</v>
      </c>
      <c r="R5634" s="12">
        <f>+Tabla1[[#This Row],[COSTO TOTAL ALOJAMIENTO]]+Tabla1[[#This Row],[COSTO TOTAL COCHE]]</f>
        <v>108.33333333333334</v>
      </c>
      <c r="S5634" s="2"/>
      <c r="T5634" s="14" t="s">
        <v>35</v>
      </c>
      <c r="U5634" s="14">
        <v>46236</v>
      </c>
      <c r="V5634" s="79"/>
      <c r="W5634" s="12"/>
      <c r="X5634" s="2">
        <v>1</v>
      </c>
      <c r="Y5634" s="11" t="s">
        <v>7752</v>
      </c>
      <c r="Z5634" s="2" t="s">
        <v>36</v>
      </c>
      <c r="AA5634" s="13">
        <v>0.62217999999999996</v>
      </c>
      <c r="AB5634" s="13" t="s">
        <v>10339</v>
      </c>
    </row>
    <row r="5635" spans="1:28">
      <c r="A5635" s="2" t="s">
        <v>8834</v>
      </c>
      <c r="B5635" s="2" t="s">
        <v>28</v>
      </c>
      <c r="C5635" s="18" t="s">
        <v>951</v>
      </c>
      <c r="D5635" s="2" t="s">
        <v>30</v>
      </c>
      <c r="E5635" s="2" t="s">
        <v>3400</v>
      </c>
      <c r="F5635" s="11" t="s">
        <v>3925</v>
      </c>
      <c r="G5635" s="11" t="s">
        <v>3874</v>
      </c>
      <c r="H5635" s="2" t="s">
        <v>3403</v>
      </c>
      <c r="I5635" s="2" t="s">
        <v>3404</v>
      </c>
      <c r="J5635" s="8">
        <f>+Tabla1[[#This Row],[FECHA ENTRADA]]</f>
        <v>45339</v>
      </c>
      <c r="K5635" s="8">
        <v>45902</v>
      </c>
      <c r="L5635" s="13">
        <f>_xlfn.DAYS(Tabla1[[#This Row],[FECHA FIN ]],Tabla1[[#This Row],[FECHA INICIO]])</f>
        <v>563</v>
      </c>
      <c r="M5635" s="2"/>
      <c r="N5635" s="12">
        <v>350</v>
      </c>
      <c r="O5635" s="12">
        <f>(Tabla1[[#This Row],[COSTO FIJO ]]/30)*Tabla1[[#This Row],[TOTAL DIAS PROYECTO]]+(Tabla1[[#This Row],[COSTO TEMPORAL]])</f>
        <v>6568.333333333333</v>
      </c>
      <c r="P5635" s="12"/>
      <c r="Q5635" s="12">
        <f>+(Tabla1[[#This Row],[COSTO COCHE]]/30)*Tabla1[[#This Row],[TOTAL DIAS PROYECTO]]</f>
        <v>0</v>
      </c>
      <c r="R5635" s="12">
        <f>+Tabla1[[#This Row],[COSTO TOTAL ALOJAMIENTO]]+Tabla1[[#This Row],[COSTO TOTAL COCHE]]</f>
        <v>6568.333333333333</v>
      </c>
      <c r="S5635" s="2"/>
      <c r="T5635" s="2" t="s">
        <v>35</v>
      </c>
      <c r="U5635" s="14">
        <v>45339</v>
      </c>
      <c r="V5635" s="14"/>
      <c r="W5635" s="62">
        <v>350</v>
      </c>
      <c r="X5635" s="16">
        <v>5</v>
      </c>
      <c r="Y5635" s="11" t="s">
        <v>7753</v>
      </c>
      <c r="Z5635" s="2" t="s">
        <v>36</v>
      </c>
      <c r="AA5635" s="13" t="e">
        <v>#N/A</v>
      </c>
      <c r="AB5635" s="13" t="e">
        <v>#N/A</v>
      </c>
    </row>
    <row r="5636" spans="1:28" ht="15" customHeight="1">
      <c r="A5636" s="2" t="s">
        <v>10283</v>
      </c>
      <c r="B5636" s="2" t="s">
        <v>606</v>
      </c>
      <c r="C5636" s="31" t="s">
        <v>7754</v>
      </c>
      <c r="D5636" s="2" t="s">
        <v>30</v>
      </c>
      <c r="E5636" s="2" t="s">
        <v>380</v>
      </c>
      <c r="F5636" s="11" t="s">
        <v>5604</v>
      </c>
      <c r="G5636" s="11" t="s">
        <v>5111</v>
      </c>
      <c r="H5636" s="2" t="s">
        <v>7755</v>
      </c>
      <c r="I5636" s="12" t="s">
        <v>5328</v>
      </c>
      <c r="J5636" s="22">
        <f>+Tabla1[[#This Row],[FECHA ENTRADA]]</f>
        <v>46041</v>
      </c>
      <c r="K5636" s="22">
        <v>46049</v>
      </c>
      <c r="L5636" s="23">
        <f>_xlfn.DAYS(Tabla1[[#This Row],[FECHA FIN ]],Tabla1[[#This Row],[FECHA INICIO]])</f>
        <v>8</v>
      </c>
      <c r="M5636" s="12">
        <v>200</v>
      </c>
      <c r="N5636" s="20"/>
      <c r="O5636" s="24">
        <f>(Tabla1[[#This Row],[COSTO FIJO ]]/30)*Tabla1[[#This Row],[TOTAL DIAS PROYECTO]]+(Tabla1[[#This Row],[COSTO TEMPORAL]])</f>
        <v>200</v>
      </c>
      <c r="P5636" s="12"/>
      <c r="Q5636" s="12">
        <f>+(Tabla1[[#This Row],[COSTO COCHE]]/30)*Tabla1[[#This Row],[TOTAL DIAS PROYECTO]]</f>
        <v>0</v>
      </c>
      <c r="R5636" s="12">
        <f>+Tabla1[[#This Row],[COSTO TOTAL ALOJAMIENTO]]+Tabla1[[#This Row],[COSTO TOTAL COCHE]]</f>
        <v>200</v>
      </c>
      <c r="S5636" s="2"/>
      <c r="T5636" s="14" t="s">
        <v>44</v>
      </c>
      <c r="U5636" s="14">
        <v>46041</v>
      </c>
      <c r="V5636" s="79">
        <v>46057</v>
      </c>
      <c r="W5636" s="12"/>
      <c r="X5636" s="2"/>
      <c r="Y5636" s="11" t="s">
        <v>7756</v>
      </c>
      <c r="Z5636" s="2" t="s">
        <v>36</v>
      </c>
      <c r="AA5636" s="13" t="s">
        <v>10370</v>
      </c>
      <c r="AB5636" s="13" t="s">
        <v>10371</v>
      </c>
    </row>
    <row r="5637" spans="1:28" ht="15" customHeight="1">
      <c r="A5637" s="2" t="s">
        <v>8720</v>
      </c>
      <c r="B5637" s="2" t="s">
        <v>368</v>
      </c>
      <c r="C5637" s="11" t="s">
        <v>440</v>
      </c>
      <c r="D5637" s="2" t="s">
        <v>30</v>
      </c>
      <c r="E5637" s="2" t="s">
        <v>31</v>
      </c>
      <c r="F5637" s="11"/>
      <c r="G5637" s="11"/>
      <c r="H5637" s="2" t="s">
        <v>453</v>
      </c>
      <c r="I5637" s="12" t="s">
        <v>454</v>
      </c>
      <c r="J5637" s="8">
        <f>+Tabla1[[#This Row],[FECHA ENTRADA]]</f>
        <v>45497</v>
      </c>
      <c r="K5637" s="8"/>
      <c r="L5637" s="13">
        <f>_xlfn.DAYS(Tabla1[[#This Row],[FECHA FIN ]],Tabla1[[#This Row],[FECHA INICIO]])</f>
        <v>-45497</v>
      </c>
      <c r="M5637" s="12"/>
      <c r="N5637" s="12"/>
      <c r="O5637" s="12">
        <f>(Tabla1[[#This Row],[COSTO FIJO ]]/30)*Tabla1[[#This Row],[TOTAL DIAS PROYECTO]]+(Tabla1[[#This Row],[COSTO TEMPORAL]])</f>
        <v>0</v>
      </c>
      <c r="P5637" s="12"/>
      <c r="Q5637" s="12">
        <f>+(Tabla1[[#This Row],[COSTO COCHE]]/30)*Tabla1[[#This Row],[TOTAL DIAS PROYECTO]]</f>
        <v>0</v>
      </c>
      <c r="R5637" s="12">
        <f>+Tabla1[[#This Row],[COSTO TOTAL ALOJAMIENTO]]+Tabla1[[#This Row],[COSTO TOTAL COCHE]]</f>
        <v>0</v>
      </c>
      <c r="S5637" s="2"/>
      <c r="T5637" s="2" t="s">
        <v>58</v>
      </c>
      <c r="U5637" s="14">
        <v>45497</v>
      </c>
      <c r="V5637" s="14"/>
      <c r="W5637" s="26"/>
      <c r="X5637" s="2"/>
      <c r="Y5637" s="18" t="s">
        <v>7757</v>
      </c>
      <c r="Z5637" s="2" t="s">
        <v>36</v>
      </c>
      <c r="AA5637" s="13" t="s">
        <v>10323</v>
      </c>
      <c r="AB5637" s="13" t="s">
        <v>10324</v>
      </c>
    </row>
    <row r="5638" spans="1:28" ht="15" customHeight="1">
      <c r="A5638" s="2" t="s">
        <v>9758</v>
      </c>
      <c r="B5638" s="2" t="s">
        <v>606</v>
      </c>
      <c r="C5638" s="31" t="s">
        <v>4576</v>
      </c>
      <c r="D5638" s="2" t="s">
        <v>30</v>
      </c>
      <c r="E5638" s="2" t="s">
        <v>31</v>
      </c>
      <c r="F5638" s="11"/>
      <c r="G5638" s="46"/>
      <c r="H5638" s="2" t="s">
        <v>4578</v>
      </c>
      <c r="I5638" s="12" t="s">
        <v>385</v>
      </c>
      <c r="J5638" s="41">
        <f>+Tabla1[[#This Row],[FECHA ENTRADA]]</f>
        <v>45870</v>
      </c>
      <c r="K5638" s="41">
        <v>46257</v>
      </c>
      <c r="L5638" s="42">
        <f>_xlfn.DAYS(Tabla1[[#This Row],[FECHA FIN ]],Tabla1[[#This Row],[FECHA INICIO]])</f>
        <v>387</v>
      </c>
      <c r="M5638" s="12"/>
      <c r="N5638" s="28">
        <v>300</v>
      </c>
      <c r="O5638" s="28">
        <f>(Tabla1[[#This Row],[COSTO FIJO ]]/30)*Tabla1[[#This Row],[TOTAL DIAS PROYECTO]]+(Tabla1[[#This Row],[COSTO TEMPORAL]])</f>
        <v>3870</v>
      </c>
      <c r="P5638" s="12"/>
      <c r="Q5638" s="12">
        <f>+(Tabla1[[#This Row],[COSTO COCHE]]/30)*Tabla1[[#This Row],[TOTAL DIAS PROYECTO]]</f>
        <v>0</v>
      </c>
      <c r="R5638" s="12">
        <f>+Tabla1[[#This Row],[COSTO TOTAL ALOJAMIENTO]]+Tabla1[[#This Row],[COSTO TOTAL COCHE]]</f>
        <v>3870</v>
      </c>
      <c r="S5638" s="2"/>
      <c r="T5638" s="14" t="s">
        <v>58</v>
      </c>
      <c r="U5638" s="14">
        <v>45870</v>
      </c>
      <c r="V5638" s="43"/>
      <c r="W5638" s="12"/>
      <c r="X5638" s="2"/>
      <c r="Y5638" s="11" t="s">
        <v>7758</v>
      </c>
      <c r="Z5638" s="2" t="s">
        <v>36</v>
      </c>
      <c r="AA5638" s="13" t="s">
        <v>10323</v>
      </c>
      <c r="AB5638" s="13" t="s">
        <v>10324</v>
      </c>
    </row>
    <row r="5639" spans="1:28" ht="15" customHeight="1">
      <c r="A5639" s="2" t="s">
        <v>8804</v>
      </c>
      <c r="B5639" s="2" t="s">
        <v>28</v>
      </c>
      <c r="C5639" s="18" t="s">
        <v>838</v>
      </c>
      <c r="D5639" s="2" t="s">
        <v>30</v>
      </c>
      <c r="E5639" s="2" t="s">
        <v>127</v>
      </c>
      <c r="F5639" s="11" t="s">
        <v>3641</v>
      </c>
      <c r="G5639" s="21" t="s">
        <v>3642</v>
      </c>
      <c r="H5639" s="2" t="s">
        <v>3643</v>
      </c>
      <c r="I5639" s="12" t="s">
        <v>547</v>
      </c>
      <c r="J5639" s="22">
        <f>+Tabla1[[#This Row],[FECHA ENTRADA]]</f>
        <v>45578</v>
      </c>
      <c r="K5639" s="22"/>
      <c r="L5639" s="23">
        <f>_xlfn.DAYS(Tabla1[[#This Row],[FECHA FIN ]],Tabla1[[#This Row],[FECHA INICIO]])</f>
        <v>-45578</v>
      </c>
      <c r="M5639" s="12"/>
      <c r="N5639" s="20">
        <v>350</v>
      </c>
      <c r="O5639" s="24">
        <f>(Tabla1[[#This Row],[COSTO FIJO ]]/30)*Tabla1[[#This Row],[TOTAL DIAS PROYECTO]]+(Tabla1[[#This Row],[COSTO TEMPORAL]])</f>
        <v>-531743.33333333326</v>
      </c>
      <c r="P5639" s="12"/>
      <c r="Q5639" s="12">
        <f>+(Tabla1[[#This Row],[COSTO COCHE]]/30)*Tabla1[[#This Row],[TOTAL DIAS PROYECTO]]</f>
        <v>0</v>
      </c>
      <c r="R5639" s="12">
        <f>+Tabla1[[#This Row],[COSTO TOTAL ALOJAMIENTO]]+Tabla1[[#This Row],[COSTO TOTAL COCHE]]</f>
        <v>-531743.33333333326</v>
      </c>
      <c r="S5639" s="2"/>
      <c r="T5639" s="2" t="s">
        <v>35</v>
      </c>
      <c r="U5639" s="14">
        <v>45578</v>
      </c>
      <c r="V5639" s="79"/>
      <c r="W5639" s="26">
        <v>300</v>
      </c>
      <c r="X5639" s="2">
        <v>7</v>
      </c>
      <c r="Y5639" s="11" t="s">
        <v>7759</v>
      </c>
      <c r="Z5639" s="2" t="s">
        <v>36</v>
      </c>
      <c r="AA5639" s="13" t="s">
        <v>10342</v>
      </c>
      <c r="AB5639" s="13" t="s">
        <v>10343</v>
      </c>
    </row>
    <row r="5640" spans="1:28" ht="15" customHeight="1">
      <c r="A5640" s="2" t="s">
        <v>10284</v>
      </c>
      <c r="B5640" s="2" t="s">
        <v>368</v>
      </c>
      <c r="C5640" s="11" t="s">
        <v>7760</v>
      </c>
      <c r="D5640" s="2" t="s">
        <v>30</v>
      </c>
      <c r="E5640" s="2" t="s">
        <v>31</v>
      </c>
      <c r="F5640" s="11" t="s">
        <v>67</v>
      </c>
      <c r="G5640" s="50" t="s">
        <v>68</v>
      </c>
      <c r="H5640" s="2" t="s">
        <v>1112</v>
      </c>
      <c r="I5640" s="12" t="s">
        <v>514</v>
      </c>
      <c r="J5640" s="8">
        <f>+Tabla1[[#This Row],[FECHA ENTRADA]]</f>
        <v>45511</v>
      </c>
      <c r="K5640" s="8"/>
      <c r="L5640" s="13">
        <f>_xlfn.DAYS(Tabla1[[#This Row],[FECHA FIN ]],Tabla1[[#This Row],[FECHA INICIO]])</f>
        <v>-45511</v>
      </c>
      <c r="M5640" s="12"/>
      <c r="N5640" s="12"/>
      <c r="O5640" s="12">
        <f>(Tabla1[[#This Row],[COSTO FIJO ]]/30)*Tabla1[[#This Row],[TOTAL DIAS PROYECTO]]+(Tabla1[[#This Row],[COSTO TEMPORAL]])</f>
        <v>0</v>
      </c>
      <c r="P5640" s="12"/>
      <c r="Q5640" s="12">
        <f>+(Tabla1[[#This Row],[COSTO COCHE]]/30)*Tabla1[[#This Row],[TOTAL DIAS PROYECTO]]</f>
        <v>0</v>
      </c>
      <c r="R5640" s="12">
        <f>+Tabla1[[#This Row],[COSTO TOTAL ALOJAMIENTO]]+Tabla1[[#This Row],[COSTO TOTAL COCHE]]</f>
        <v>0</v>
      </c>
      <c r="S5640" s="2"/>
      <c r="T5640" s="2" t="s">
        <v>613</v>
      </c>
      <c r="U5640" s="14">
        <v>45511</v>
      </c>
      <c r="V5640" s="14"/>
      <c r="W5640" s="26"/>
      <c r="X5640" s="2">
        <v>8</v>
      </c>
      <c r="Y5640" s="18"/>
      <c r="Z5640" s="2" t="s">
        <v>36</v>
      </c>
      <c r="AA5640" s="13" t="s">
        <v>10323</v>
      </c>
      <c r="AB5640" s="13" t="s">
        <v>10324</v>
      </c>
    </row>
    <row r="5641" spans="1:28">
      <c r="A5641" s="2" t="s">
        <v>8640</v>
      </c>
      <c r="B5641" s="2" t="s">
        <v>28</v>
      </c>
      <c r="C5641" s="18" t="s">
        <v>71</v>
      </c>
      <c r="D5641" s="2" t="s">
        <v>72</v>
      </c>
      <c r="E5641" s="2" t="s">
        <v>73</v>
      </c>
      <c r="F5641" s="11" t="s">
        <v>74</v>
      </c>
      <c r="G5641" s="11" t="s">
        <v>75</v>
      </c>
      <c r="H5641" s="2" t="s">
        <v>3661</v>
      </c>
      <c r="I5641" s="2" t="s">
        <v>3662</v>
      </c>
      <c r="J5641" s="8">
        <f>+Tabla1[[#This Row],[FECHA ENTRADA]]</f>
        <v>45361</v>
      </c>
      <c r="K5641" s="8"/>
      <c r="L5641" s="13">
        <f>_xlfn.DAYS(Tabla1[[#This Row],[FECHA FIN ]],Tabla1[[#This Row],[FECHA INICIO]])</f>
        <v>-45361</v>
      </c>
      <c r="M5641" s="2"/>
      <c r="N5641" s="12"/>
      <c r="O5641" s="12">
        <f>(Tabla1[[#This Row],[COSTO FIJO ]]/30)*Tabla1[[#This Row],[TOTAL DIAS PROYECTO]]+(Tabla1[[#This Row],[COSTO TEMPORAL]])</f>
        <v>0</v>
      </c>
      <c r="P5641" s="12"/>
      <c r="Q5641" s="12">
        <f>+(Tabla1[[#This Row],[COSTO COCHE]]/30)*Tabla1[[#This Row],[TOTAL DIAS PROYECTO]]</f>
        <v>0</v>
      </c>
      <c r="R5641" s="12">
        <f>+Tabla1[[#This Row],[COSTO TOTAL ALOJAMIENTO]]+Tabla1[[#This Row],[COSTO TOTAL COCHE]]</f>
        <v>0</v>
      </c>
      <c r="S5641" s="2"/>
      <c r="T5641" s="2" t="s">
        <v>35</v>
      </c>
      <c r="U5641" s="14">
        <v>45361</v>
      </c>
      <c r="V5641" s="14"/>
      <c r="W5641" s="15"/>
      <c r="X5641" s="16">
        <v>9</v>
      </c>
      <c r="Y5641" s="18"/>
      <c r="Z5641" s="2" t="s">
        <v>36</v>
      </c>
      <c r="AA5641" s="13" t="s">
        <v>10331</v>
      </c>
      <c r="AB5641" s="13" t="s">
        <v>10332</v>
      </c>
    </row>
    <row r="5642" spans="1:28" ht="15" customHeight="1">
      <c r="A5642" s="2" t="s">
        <v>8700</v>
      </c>
      <c r="B5642" s="2" t="s">
        <v>28</v>
      </c>
      <c r="C5642" s="11" t="s">
        <v>343</v>
      </c>
      <c r="D5642" s="2" t="s">
        <v>30</v>
      </c>
      <c r="E5642" s="2" t="s">
        <v>114</v>
      </c>
      <c r="F5642" s="11" t="s">
        <v>3666</v>
      </c>
      <c r="G5642" s="11" t="s">
        <v>174</v>
      </c>
      <c r="H5642" s="2" t="s">
        <v>117</v>
      </c>
      <c r="I5642" s="12" t="s">
        <v>118</v>
      </c>
      <c r="J5642" s="8">
        <f>+Tabla1[[#This Row],[FECHA ENTRADA]]</f>
        <v>45368</v>
      </c>
      <c r="K5642" s="8"/>
      <c r="L5642" s="13">
        <f>_xlfn.DAYS(Tabla1[[#This Row],[FECHA FIN ]],Tabla1[[#This Row],[FECHA INICIO]])</f>
        <v>-45368</v>
      </c>
      <c r="M5642" s="12"/>
      <c r="N5642" s="12"/>
      <c r="O5642" s="12">
        <f>(Tabla1[[#This Row],[COSTO FIJO ]]/30)*Tabla1[[#This Row],[TOTAL DIAS PROYECTO]]+(Tabla1[[#This Row],[COSTO TEMPORAL]])</f>
        <v>0</v>
      </c>
      <c r="P5642" s="12"/>
      <c r="Q5642" s="12">
        <f>+(Tabla1[[#This Row],[COSTO COCHE]]/30)*Tabla1[[#This Row],[TOTAL DIAS PROYECTO]]</f>
        <v>0</v>
      </c>
      <c r="R5642" s="12">
        <f>+Tabla1[[#This Row],[COSTO TOTAL ALOJAMIENTO]]+Tabla1[[#This Row],[COSTO TOTAL COCHE]]</f>
        <v>0</v>
      </c>
      <c r="S5642" s="2"/>
      <c r="T5642" s="2" t="s">
        <v>35</v>
      </c>
      <c r="U5642" s="14">
        <v>45368</v>
      </c>
      <c r="V5642" s="14"/>
      <c r="W5642" s="15"/>
      <c r="X5642" s="16">
        <v>10</v>
      </c>
      <c r="Y5642" s="18"/>
      <c r="Z5642" s="2" t="s">
        <v>36</v>
      </c>
      <c r="AA5642" s="13" t="s">
        <v>10340</v>
      </c>
      <c r="AB5642" s="13" t="s">
        <v>10341</v>
      </c>
    </row>
    <row r="5643" spans="1:28">
      <c r="A5643" s="2" t="s">
        <v>8768</v>
      </c>
      <c r="B5643" s="2" t="s">
        <v>28</v>
      </c>
      <c r="C5643" s="11" t="s">
        <v>658</v>
      </c>
      <c r="D5643" s="2" t="s">
        <v>30</v>
      </c>
      <c r="E5643" s="2" t="s">
        <v>151</v>
      </c>
      <c r="F5643" s="11" t="s">
        <v>1499</v>
      </c>
      <c r="G5643" s="11" t="s">
        <v>1500</v>
      </c>
      <c r="H5643" s="2" t="s">
        <v>1501</v>
      </c>
      <c r="I5643" s="12" t="s">
        <v>152</v>
      </c>
      <c r="J5643" s="41">
        <f>+Tabla1[[#This Row],[FECHA ENTRADA]]</f>
        <v>45550</v>
      </c>
      <c r="K5643" s="8"/>
      <c r="L5643" s="42">
        <f>_xlfn.DAYS(Tabla1[[#This Row],[FECHA FIN ]],Tabla1[[#This Row],[FECHA INICIO]])</f>
        <v>-45550</v>
      </c>
      <c r="M5643" s="12"/>
      <c r="N5643" s="12"/>
      <c r="O5643" s="28">
        <f>(Tabla1[[#This Row],[COSTO FIJO ]]/30)*Tabla1[[#This Row],[TOTAL DIAS PROYECTO]]+(Tabla1[[#This Row],[COSTO TEMPORAL]])</f>
        <v>0</v>
      </c>
      <c r="P5643" s="12"/>
      <c r="Q5643" s="12">
        <f>+(Tabla1[[#This Row],[COSTO COCHE]]/30)*Tabla1[[#This Row],[TOTAL DIAS PROYECTO]]</f>
        <v>0</v>
      </c>
      <c r="R5643" s="12">
        <f>+Tabla1[[#This Row],[COSTO TOTAL ALOJAMIENTO]]+Tabla1[[#This Row],[COSTO TOTAL COCHE]]</f>
        <v>0</v>
      </c>
      <c r="S5643" s="2"/>
      <c r="T5643" s="2" t="s">
        <v>35</v>
      </c>
      <c r="U5643" s="14">
        <v>45550</v>
      </c>
      <c r="V5643" s="75"/>
      <c r="W5643" s="26"/>
      <c r="X5643" s="2">
        <v>11</v>
      </c>
      <c r="Y5643" s="11" t="s">
        <v>1502</v>
      </c>
      <c r="Z5643" s="2" t="s">
        <v>36</v>
      </c>
      <c r="AA5643" s="13" t="s">
        <v>10345</v>
      </c>
      <c r="AB5643" s="13" t="s">
        <v>10346</v>
      </c>
    </row>
    <row r="5644" spans="1:28">
      <c r="A5644" s="2" t="s">
        <v>10285</v>
      </c>
      <c r="B5644" s="2" t="s">
        <v>28</v>
      </c>
      <c r="C5644" s="18" t="s">
        <v>7761</v>
      </c>
      <c r="D5644" s="2" t="s">
        <v>30</v>
      </c>
      <c r="E5644" s="2" t="s">
        <v>114</v>
      </c>
      <c r="F5644" s="11" t="s">
        <v>155</v>
      </c>
      <c r="G5644" s="11" t="s">
        <v>195</v>
      </c>
      <c r="H5644" s="2" t="s">
        <v>117</v>
      </c>
      <c r="I5644" s="12" t="s">
        <v>118</v>
      </c>
      <c r="J5644" s="8">
        <f>+Tabla1[[#This Row],[FECHA ENTRADA]]</f>
        <v>45375</v>
      </c>
      <c r="K5644" s="8"/>
      <c r="L5644" s="13">
        <f>_xlfn.DAYS(Tabla1[[#This Row],[FECHA FIN ]],Tabla1[[#This Row],[FECHA INICIO]])</f>
        <v>-45375</v>
      </c>
      <c r="M5644" s="12"/>
      <c r="N5644" s="12">
        <v>500</v>
      </c>
      <c r="O5644" s="12">
        <f>(Tabla1[[#This Row],[COSTO FIJO ]]/30)*Tabla1[[#This Row],[TOTAL DIAS PROYECTO]]+(Tabla1[[#This Row],[COSTO TEMPORAL]])</f>
        <v>-756250</v>
      </c>
      <c r="P5644" s="12"/>
      <c r="Q5644" s="12">
        <f>+(Tabla1[[#This Row],[COSTO COCHE]]/30)*Tabla1[[#This Row],[TOTAL DIAS PROYECTO]]</f>
        <v>0</v>
      </c>
      <c r="R5644" s="12">
        <f>+Tabla1[[#This Row],[COSTO TOTAL ALOJAMIENTO]]+Tabla1[[#This Row],[COSTO TOTAL COCHE]]</f>
        <v>-756250</v>
      </c>
      <c r="S5644" s="2"/>
      <c r="T5644" s="2" t="s">
        <v>35</v>
      </c>
      <c r="U5644" s="14">
        <v>45375</v>
      </c>
      <c r="V5644" s="14"/>
      <c r="W5644" s="15"/>
      <c r="X5644" s="16">
        <v>11</v>
      </c>
      <c r="Y5644" s="18"/>
      <c r="Z5644" s="2" t="s">
        <v>36</v>
      </c>
      <c r="AA5644" s="13" t="s">
        <v>10340</v>
      </c>
      <c r="AB5644" s="13" t="s">
        <v>10341</v>
      </c>
    </row>
    <row r="5645" spans="1:28" ht="15" customHeight="1">
      <c r="A5645" s="2" t="s">
        <v>10286</v>
      </c>
      <c r="B5645" s="2" t="s">
        <v>28</v>
      </c>
      <c r="C5645" s="11" t="s">
        <v>7762</v>
      </c>
      <c r="D5645" s="2" t="s">
        <v>30</v>
      </c>
      <c r="E5645" s="2" t="s">
        <v>114</v>
      </c>
      <c r="F5645" s="11" t="s">
        <v>173</v>
      </c>
      <c r="G5645" s="11" t="s">
        <v>174</v>
      </c>
      <c r="H5645" s="2" t="s">
        <v>175</v>
      </c>
      <c r="I5645" s="12" t="s">
        <v>158</v>
      </c>
      <c r="J5645" s="8">
        <f>+Tabla1[[#This Row],[FECHA ENTRADA]]</f>
        <v>45363</v>
      </c>
      <c r="K5645" s="8"/>
      <c r="L5645" s="13">
        <f>_xlfn.DAYS(Tabla1[[#This Row],[FECHA FIN ]],Tabla1[[#This Row],[FECHA INICIO]])</f>
        <v>-45363</v>
      </c>
      <c r="M5645" s="12"/>
      <c r="N5645" s="12"/>
      <c r="O5645" s="12">
        <f>(Tabla1[[#This Row],[COSTO FIJO ]]/30)*Tabla1[[#This Row],[TOTAL DIAS PROYECTO]]+(Tabla1[[#This Row],[COSTO TEMPORAL]])</f>
        <v>0</v>
      </c>
      <c r="P5645" s="12"/>
      <c r="Q5645" s="12">
        <f>+(Tabla1[[#This Row],[COSTO COCHE]]/30)*Tabla1[[#This Row],[TOTAL DIAS PROYECTO]]</f>
        <v>0</v>
      </c>
      <c r="R5645" s="12">
        <f>+Tabla1[[#This Row],[COSTO TOTAL ALOJAMIENTO]]+Tabla1[[#This Row],[COSTO TOTAL COCHE]]</f>
        <v>0</v>
      </c>
      <c r="S5645" s="2"/>
      <c r="T5645" s="2" t="s">
        <v>35</v>
      </c>
      <c r="U5645" s="14">
        <v>45363</v>
      </c>
      <c r="V5645" s="14"/>
      <c r="W5645" s="15"/>
      <c r="X5645" s="16">
        <v>12</v>
      </c>
      <c r="Y5645" s="18"/>
      <c r="Z5645" s="2" t="s">
        <v>36</v>
      </c>
      <c r="AA5645" s="13" t="s">
        <v>10340</v>
      </c>
      <c r="AB5645" s="13" t="s">
        <v>10341</v>
      </c>
    </row>
    <row r="5646" spans="1:28" ht="15" customHeight="1">
      <c r="A5646" s="2" t="s">
        <v>8710</v>
      </c>
      <c r="B5646" s="2" t="s">
        <v>28</v>
      </c>
      <c r="C5646" s="11" t="s">
        <v>399</v>
      </c>
      <c r="D5646" s="2" t="s">
        <v>30</v>
      </c>
      <c r="E5646" s="2" t="s">
        <v>114</v>
      </c>
      <c r="F5646" s="11" t="s">
        <v>173</v>
      </c>
      <c r="G5646" s="11" t="s">
        <v>174</v>
      </c>
      <c r="H5646" s="2" t="s">
        <v>175</v>
      </c>
      <c r="I5646" s="12" t="s">
        <v>158</v>
      </c>
      <c r="J5646" s="8">
        <f>+Tabla1[[#This Row],[FECHA ENTRADA]]</f>
        <v>45363</v>
      </c>
      <c r="K5646" s="8"/>
      <c r="L5646" s="13">
        <f>_xlfn.DAYS(Tabla1[[#This Row],[FECHA FIN ]],Tabla1[[#This Row],[FECHA INICIO]])</f>
        <v>-45363</v>
      </c>
      <c r="M5646" s="12"/>
      <c r="N5646" s="12"/>
      <c r="O5646" s="12">
        <f>(Tabla1[[#This Row],[COSTO FIJO ]]/30)*Tabla1[[#This Row],[TOTAL DIAS PROYECTO]]+(Tabla1[[#This Row],[COSTO TEMPORAL]])</f>
        <v>0</v>
      </c>
      <c r="P5646" s="12"/>
      <c r="Q5646" s="12">
        <f>+(Tabla1[[#This Row],[COSTO COCHE]]/30)*Tabla1[[#This Row],[TOTAL DIAS PROYECTO]]</f>
        <v>0</v>
      </c>
      <c r="R5646" s="12">
        <f>+Tabla1[[#This Row],[COSTO TOTAL ALOJAMIENTO]]+Tabla1[[#This Row],[COSTO TOTAL COCHE]]</f>
        <v>0</v>
      </c>
      <c r="S5646" s="2"/>
      <c r="T5646" s="2" t="s">
        <v>35</v>
      </c>
      <c r="U5646" s="14">
        <v>45363</v>
      </c>
      <c r="V5646" s="14"/>
      <c r="W5646" s="15"/>
      <c r="X5646" s="16">
        <v>12</v>
      </c>
      <c r="Y5646" s="18"/>
      <c r="Z5646" s="2" t="s">
        <v>36</v>
      </c>
      <c r="AA5646" s="13" t="s">
        <v>10340</v>
      </c>
      <c r="AB5646" s="13" t="s">
        <v>10341</v>
      </c>
    </row>
    <row r="5647" spans="1:28">
      <c r="A5647" s="2" t="s">
        <v>8771</v>
      </c>
      <c r="B5647" s="2" t="s">
        <v>28</v>
      </c>
      <c r="C5647" s="11" t="s">
        <v>679</v>
      </c>
      <c r="D5647" s="2" t="s">
        <v>30</v>
      </c>
      <c r="E5647" s="2" t="s">
        <v>114</v>
      </c>
      <c r="F5647" s="11" t="s">
        <v>3725</v>
      </c>
      <c r="G5647" s="11" t="s">
        <v>174</v>
      </c>
      <c r="H5647" s="2" t="s">
        <v>117</v>
      </c>
      <c r="I5647" s="12" t="s">
        <v>118</v>
      </c>
      <c r="J5647" s="8">
        <f>+Tabla1[[#This Row],[FECHA ENTRADA]]</f>
        <v>45368</v>
      </c>
      <c r="K5647" s="8"/>
      <c r="L5647" s="13">
        <f>_xlfn.DAYS(Tabla1[[#This Row],[FECHA FIN ]],Tabla1[[#This Row],[FECHA INICIO]])</f>
        <v>-45368</v>
      </c>
      <c r="M5647" s="12"/>
      <c r="N5647" s="12">
        <v>168.75</v>
      </c>
      <c r="O5647" s="12">
        <f>(Tabla1[[#This Row],[COSTO FIJO ]]/30)*Tabla1[[#This Row],[TOTAL DIAS PROYECTO]]+(Tabla1[[#This Row],[COSTO TEMPORAL]])</f>
        <v>-255195</v>
      </c>
      <c r="P5647" s="12"/>
      <c r="Q5647" s="12">
        <f>+(Tabla1[[#This Row],[COSTO COCHE]]/30)*Tabla1[[#This Row],[TOTAL DIAS PROYECTO]]</f>
        <v>0</v>
      </c>
      <c r="R5647" s="12">
        <f>+Tabla1[[#This Row],[COSTO TOTAL ALOJAMIENTO]]+Tabla1[[#This Row],[COSTO TOTAL COCHE]]</f>
        <v>-255195</v>
      </c>
      <c r="S5647" s="2"/>
      <c r="T5647" s="2" t="s">
        <v>35</v>
      </c>
      <c r="U5647" s="14">
        <v>45368</v>
      </c>
      <c r="V5647" s="14"/>
      <c r="W5647" s="15"/>
      <c r="X5647" s="16">
        <v>12</v>
      </c>
      <c r="Y5647" s="18"/>
      <c r="Z5647" s="2" t="s">
        <v>36</v>
      </c>
      <c r="AA5647" s="13" t="s">
        <v>10340</v>
      </c>
      <c r="AB5647" s="13" t="s">
        <v>10341</v>
      </c>
    </row>
    <row r="5648" spans="1:28">
      <c r="A5648" s="2" t="s">
        <v>8682</v>
      </c>
      <c r="B5648" s="2" t="s">
        <v>28</v>
      </c>
      <c r="C5648" s="11" t="s">
        <v>275</v>
      </c>
      <c r="D5648" s="2" t="s">
        <v>30</v>
      </c>
      <c r="E5648" s="2" t="s">
        <v>114</v>
      </c>
      <c r="F5648" s="11" t="s">
        <v>173</v>
      </c>
      <c r="G5648" s="11" t="s">
        <v>174</v>
      </c>
      <c r="H5648" s="2" t="s">
        <v>175</v>
      </c>
      <c r="I5648" s="12" t="s">
        <v>158</v>
      </c>
      <c r="J5648" s="8">
        <f>+Tabla1[[#This Row],[FECHA ENTRADA]]</f>
        <v>45363</v>
      </c>
      <c r="K5648" s="8"/>
      <c r="L5648" s="13">
        <f>_xlfn.DAYS(Tabla1[[#This Row],[FECHA FIN ]],Tabla1[[#This Row],[FECHA INICIO]])</f>
        <v>-45363</v>
      </c>
      <c r="M5648" s="12"/>
      <c r="N5648" s="12">
        <v>168.75</v>
      </c>
      <c r="O5648" s="12">
        <f>(Tabla1[[#This Row],[COSTO FIJO ]]/30)*Tabla1[[#This Row],[TOTAL DIAS PROYECTO]]+(Tabla1[[#This Row],[COSTO TEMPORAL]])</f>
        <v>-255166.875</v>
      </c>
      <c r="P5648" s="12"/>
      <c r="Q5648" s="12">
        <f>+(Tabla1[[#This Row],[COSTO COCHE]]/30)*Tabla1[[#This Row],[TOTAL DIAS PROYECTO]]</f>
        <v>0</v>
      </c>
      <c r="R5648" s="12">
        <f>+Tabla1[[#This Row],[COSTO TOTAL ALOJAMIENTO]]+Tabla1[[#This Row],[COSTO TOTAL COCHE]]</f>
        <v>-255166.875</v>
      </c>
      <c r="S5648" s="2"/>
      <c r="T5648" s="2" t="s">
        <v>35</v>
      </c>
      <c r="U5648" s="14">
        <v>45363</v>
      </c>
      <c r="V5648" s="14"/>
      <c r="W5648" s="15">
        <v>900</v>
      </c>
      <c r="X5648" s="16">
        <v>12</v>
      </c>
      <c r="Y5648" s="18"/>
      <c r="Z5648" s="2" t="s">
        <v>36</v>
      </c>
      <c r="AA5648" s="13" t="s">
        <v>10340</v>
      </c>
      <c r="AB5648" s="13" t="s">
        <v>10341</v>
      </c>
    </row>
    <row r="5649" spans="1:28">
      <c r="A5649" s="2" t="s">
        <v>8690</v>
      </c>
      <c r="B5649" s="2" t="s">
        <v>368</v>
      </c>
      <c r="C5649" s="11" t="s">
        <v>304</v>
      </c>
      <c r="D5649" s="2" t="s">
        <v>30</v>
      </c>
      <c r="E5649" s="2" t="s">
        <v>31</v>
      </c>
      <c r="F5649" s="11" t="s">
        <v>67</v>
      </c>
      <c r="G5649" s="50" t="s">
        <v>68</v>
      </c>
      <c r="H5649" s="2" t="s">
        <v>513</v>
      </c>
      <c r="I5649" s="12" t="s">
        <v>514</v>
      </c>
      <c r="J5649" s="8">
        <f>+Tabla1[[#This Row],[FECHA ENTRADA]]</f>
        <v>45478</v>
      </c>
      <c r="K5649" s="8"/>
      <c r="L5649" s="13">
        <f>_xlfn.DAYS(Tabla1[[#This Row],[FECHA FIN ]],Tabla1[[#This Row],[FECHA INICIO]])</f>
        <v>-45478</v>
      </c>
      <c r="M5649" s="12"/>
      <c r="N5649" s="12">
        <v>450</v>
      </c>
      <c r="O5649" s="12">
        <f>(Tabla1[[#This Row],[COSTO FIJO ]]/30)*Tabla1[[#This Row],[TOTAL DIAS PROYECTO]]+(Tabla1[[#This Row],[COSTO TEMPORAL]])</f>
        <v>-682170</v>
      </c>
      <c r="P5649" s="12"/>
      <c r="Q5649" s="12">
        <f>+(Tabla1[[#This Row],[COSTO COCHE]]/30)*Tabla1[[#This Row],[TOTAL DIAS PROYECTO]]</f>
        <v>0</v>
      </c>
      <c r="R5649" s="12">
        <f>+Tabla1[[#This Row],[COSTO TOTAL ALOJAMIENTO]]+Tabla1[[#This Row],[COSTO TOTAL COCHE]]</f>
        <v>-682170</v>
      </c>
      <c r="S5649" s="2"/>
      <c r="T5649" s="2" t="s">
        <v>35</v>
      </c>
      <c r="U5649" s="14">
        <v>45478</v>
      </c>
      <c r="V5649" s="14"/>
      <c r="W5649" s="26"/>
      <c r="X5649" s="2">
        <v>13</v>
      </c>
      <c r="Y5649" s="18" t="s">
        <v>7763</v>
      </c>
      <c r="Z5649" s="2" t="s">
        <v>36</v>
      </c>
      <c r="AA5649" s="13" t="s">
        <v>10323</v>
      </c>
      <c r="AB5649" s="13" t="s">
        <v>10324</v>
      </c>
    </row>
    <row r="5650" spans="1:28">
      <c r="A5650" s="2" t="s">
        <v>8704</v>
      </c>
      <c r="B5650" s="2" t="s">
        <v>28</v>
      </c>
      <c r="C5650" s="11" t="s">
        <v>365</v>
      </c>
      <c r="D5650" s="2" t="s">
        <v>30</v>
      </c>
      <c r="E5650" s="2" t="s">
        <v>114</v>
      </c>
      <c r="F5650" s="11" t="s">
        <v>210</v>
      </c>
      <c r="G5650" s="11" t="s">
        <v>211</v>
      </c>
      <c r="H5650" s="2" t="s">
        <v>117</v>
      </c>
      <c r="I5650" s="12" t="s">
        <v>118</v>
      </c>
      <c r="J5650" s="8">
        <f>+Tabla1[[#This Row],[FECHA ENTRADA]]</f>
        <v>45368</v>
      </c>
      <c r="K5650" s="8"/>
      <c r="L5650" s="13">
        <f>_xlfn.DAYS(Tabla1[[#This Row],[FECHA FIN ]],Tabla1[[#This Row],[FECHA INICIO]])</f>
        <v>-45368</v>
      </c>
      <c r="M5650" s="12"/>
      <c r="N5650" s="12"/>
      <c r="O5650" s="12">
        <f>(Tabla1[[#This Row],[COSTO FIJO ]]/30)*Tabla1[[#This Row],[TOTAL DIAS PROYECTO]]+(Tabla1[[#This Row],[COSTO TEMPORAL]])</f>
        <v>0</v>
      </c>
      <c r="P5650" s="12"/>
      <c r="Q5650" s="12">
        <f>+(Tabla1[[#This Row],[COSTO COCHE]]/30)*Tabla1[[#This Row],[TOTAL DIAS PROYECTO]]</f>
        <v>0</v>
      </c>
      <c r="R5650" s="12">
        <f>+Tabla1[[#This Row],[COSTO TOTAL ALOJAMIENTO]]+Tabla1[[#This Row],[COSTO TOTAL COCHE]]</f>
        <v>0</v>
      </c>
      <c r="S5650" s="2" t="s">
        <v>84</v>
      </c>
      <c r="T5650" s="2" t="s">
        <v>35</v>
      </c>
      <c r="U5650" s="14">
        <v>45368</v>
      </c>
      <c r="V5650" s="14"/>
      <c r="W5650" s="15"/>
      <c r="X5650" s="16">
        <v>15</v>
      </c>
      <c r="Y5650" s="18"/>
      <c r="Z5650" s="2" t="s">
        <v>36</v>
      </c>
      <c r="AA5650" s="13" t="s">
        <v>10340</v>
      </c>
      <c r="AB5650" s="13" t="s">
        <v>10341</v>
      </c>
    </row>
    <row r="5651" spans="1:28">
      <c r="A5651" s="2" t="s">
        <v>10287</v>
      </c>
      <c r="B5651" s="2" t="s">
        <v>28</v>
      </c>
      <c r="C5651" s="11" t="s">
        <v>7764</v>
      </c>
      <c r="D5651" s="2" t="s">
        <v>30</v>
      </c>
      <c r="E5651" s="2" t="s">
        <v>114</v>
      </c>
      <c r="F5651" s="11" t="s">
        <v>3746</v>
      </c>
      <c r="G5651" s="11" t="s">
        <v>3747</v>
      </c>
      <c r="H5651" s="2" t="s">
        <v>117</v>
      </c>
      <c r="I5651" s="12" t="s">
        <v>118</v>
      </c>
      <c r="J5651" s="8">
        <f>+Tabla1[[#This Row],[FECHA ENTRADA]]</f>
        <v>45368</v>
      </c>
      <c r="K5651" s="8"/>
      <c r="L5651" s="13">
        <f>_xlfn.DAYS(Tabla1[[#This Row],[FECHA FIN ]],Tabla1[[#This Row],[FECHA INICIO]])</f>
        <v>-45368</v>
      </c>
      <c r="M5651" s="12"/>
      <c r="N5651" s="12"/>
      <c r="O5651" s="12">
        <f>(Tabla1[[#This Row],[COSTO FIJO ]]/30)*Tabla1[[#This Row],[TOTAL DIAS PROYECTO]]+(Tabla1[[#This Row],[COSTO TEMPORAL]])</f>
        <v>0</v>
      </c>
      <c r="P5651" s="12"/>
      <c r="Q5651" s="12">
        <f>+(Tabla1[[#This Row],[COSTO COCHE]]/30)*Tabla1[[#This Row],[TOTAL DIAS PROYECTO]]</f>
        <v>0</v>
      </c>
      <c r="R5651" s="12">
        <f>+Tabla1[[#This Row],[COSTO TOTAL ALOJAMIENTO]]+Tabla1[[#This Row],[COSTO TOTAL COCHE]]</f>
        <v>0</v>
      </c>
      <c r="S5651" s="2" t="s">
        <v>84</v>
      </c>
      <c r="T5651" s="2" t="s">
        <v>35</v>
      </c>
      <c r="U5651" s="14">
        <v>45368</v>
      </c>
      <c r="V5651" s="14"/>
      <c r="W5651" s="15"/>
      <c r="X5651" s="16">
        <v>15</v>
      </c>
      <c r="Y5651" s="18"/>
      <c r="Z5651" s="2" t="s">
        <v>36</v>
      </c>
      <c r="AA5651" s="13" t="s">
        <v>10340</v>
      </c>
      <c r="AB5651" s="13" t="s">
        <v>10341</v>
      </c>
    </row>
    <row r="5652" spans="1:28">
      <c r="A5652" s="2" t="s">
        <v>8711</v>
      </c>
      <c r="B5652" s="2" t="s">
        <v>28</v>
      </c>
      <c r="C5652" s="11" t="s">
        <v>400</v>
      </c>
      <c r="D5652" s="2" t="s">
        <v>30</v>
      </c>
      <c r="E5652" s="2" t="s">
        <v>114</v>
      </c>
      <c r="F5652" s="11" t="s">
        <v>197</v>
      </c>
      <c r="G5652" s="11" t="s">
        <v>198</v>
      </c>
      <c r="H5652" s="2" t="s">
        <v>117</v>
      </c>
      <c r="I5652" s="12" t="s">
        <v>118</v>
      </c>
      <c r="J5652" s="8">
        <f>+Tabla1[[#This Row],[FECHA ENTRADA]]</f>
        <v>45368</v>
      </c>
      <c r="K5652" s="8"/>
      <c r="L5652" s="13">
        <f>_xlfn.DAYS(Tabla1[[#This Row],[FECHA FIN ]],Tabla1[[#This Row],[FECHA INICIO]])</f>
        <v>-45368</v>
      </c>
      <c r="M5652" s="12"/>
      <c r="N5652" s="12"/>
      <c r="O5652" s="12">
        <f>(Tabla1[[#This Row],[COSTO FIJO ]]/30)*Tabla1[[#This Row],[TOTAL DIAS PROYECTO]]+(Tabla1[[#This Row],[COSTO TEMPORAL]])</f>
        <v>0</v>
      </c>
      <c r="P5652" s="12"/>
      <c r="Q5652" s="12">
        <f>+(Tabla1[[#This Row],[COSTO COCHE]]/30)*Tabla1[[#This Row],[TOTAL DIAS PROYECTO]]</f>
        <v>0</v>
      </c>
      <c r="R5652" s="12">
        <f>+Tabla1[[#This Row],[COSTO TOTAL ALOJAMIENTO]]+Tabla1[[#This Row],[COSTO TOTAL COCHE]]</f>
        <v>0</v>
      </c>
      <c r="S5652" s="2"/>
      <c r="T5652" s="2" t="s">
        <v>35</v>
      </c>
      <c r="U5652" s="14">
        <v>45368</v>
      </c>
      <c r="V5652" s="14"/>
      <c r="W5652" s="15">
        <v>500</v>
      </c>
      <c r="X5652" s="16">
        <v>15</v>
      </c>
      <c r="Y5652" s="18"/>
      <c r="Z5652" s="2" t="s">
        <v>36</v>
      </c>
      <c r="AA5652" s="13" t="s">
        <v>10340</v>
      </c>
      <c r="AB5652" s="13" t="s">
        <v>10341</v>
      </c>
    </row>
    <row r="5653" spans="1:28">
      <c r="A5653" s="2" t="s">
        <v>10275</v>
      </c>
      <c r="B5653" s="2" t="s">
        <v>28</v>
      </c>
      <c r="C5653" s="11" t="s">
        <v>7714</v>
      </c>
      <c r="D5653" s="2" t="s">
        <v>30</v>
      </c>
      <c r="E5653" s="2" t="s">
        <v>114</v>
      </c>
      <c r="F5653" s="11" t="s">
        <v>3746</v>
      </c>
      <c r="G5653" s="11" t="s">
        <v>3747</v>
      </c>
      <c r="H5653" s="2" t="s">
        <v>117</v>
      </c>
      <c r="I5653" s="12" t="s">
        <v>118</v>
      </c>
      <c r="J5653" s="8">
        <f>+Tabla1[[#This Row],[FECHA ENTRADA]]</f>
        <v>45368</v>
      </c>
      <c r="K5653" s="8"/>
      <c r="L5653" s="13">
        <f>_xlfn.DAYS(Tabla1[[#This Row],[FECHA FIN ]],Tabla1[[#This Row],[FECHA INICIO]])</f>
        <v>-45368</v>
      </c>
      <c r="M5653" s="12"/>
      <c r="N5653" s="12"/>
      <c r="O5653" s="12">
        <f>(Tabla1[[#This Row],[COSTO FIJO ]]/30)*Tabla1[[#This Row],[TOTAL DIAS PROYECTO]]+(Tabla1[[#This Row],[COSTO TEMPORAL]])</f>
        <v>0</v>
      </c>
      <c r="P5653" s="12"/>
      <c r="Q5653" s="12">
        <f>+(Tabla1[[#This Row],[COSTO COCHE]]/30)*Tabla1[[#This Row],[TOTAL DIAS PROYECTO]]</f>
        <v>0</v>
      </c>
      <c r="R5653" s="12">
        <f>+Tabla1[[#This Row],[COSTO TOTAL ALOJAMIENTO]]+Tabla1[[#This Row],[COSTO TOTAL COCHE]]</f>
        <v>0</v>
      </c>
      <c r="S5653" s="2"/>
      <c r="T5653" s="2" t="s">
        <v>35</v>
      </c>
      <c r="U5653" s="14">
        <v>45368</v>
      </c>
      <c r="V5653" s="14"/>
      <c r="W5653" s="15"/>
      <c r="X5653" s="16">
        <v>15</v>
      </c>
      <c r="Y5653" s="18"/>
      <c r="Z5653" s="2" t="s">
        <v>36</v>
      </c>
      <c r="AA5653" s="13" t="s">
        <v>10340</v>
      </c>
      <c r="AB5653" s="13" t="s">
        <v>10341</v>
      </c>
    </row>
    <row r="5654" spans="1:28">
      <c r="A5654" s="2" t="s">
        <v>8638</v>
      </c>
      <c r="B5654" s="2" t="s">
        <v>28</v>
      </c>
      <c r="C5654" s="11" t="s">
        <v>7765</v>
      </c>
      <c r="D5654" s="2" t="s">
        <v>30</v>
      </c>
      <c r="E5654" s="2" t="s">
        <v>114</v>
      </c>
      <c r="F5654" s="11" t="s">
        <v>210</v>
      </c>
      <c r="G5654" s="11" t="s">
        <v>211</v>
      </c>
      <c r="H5654" s="157" t="s">
        <v>117</v>
      </c>
      <c r="I5654" s="158" t="s">
        <v>118</v>
      </c>
      <c r="J5654" s="8">
        <f>+Tabla1[[#This Row],[FECHA ENTRADA]]</f>
        <v>45368</v>
      </c>
      <c r="K5654" s="8"/>
      <c r="L5654" s="13">
        <f>_xlfn.DAYS(Tabla1[[#This Row],[FECHA FIN ]],Tabla1[[#This Row],[FECHA INICIO]])</f>
        <v>-45368</v>
      </c>
      <c r="M5654" s="12"/>
      <c r="N5654" s="12"/>
      <c r="O5654" s="12">
        <f>(Tabla1[[#This Row],[COSTO FIJO ]]/30)*Tabla1[[#This Row],[TOTAL DIAS PROYECTO]]+(Tabla1[[#This Row],[COSTO TEMPORAL]])</f>
        <v>0</v>
      </c>
      <c r="P5654" s="12"/>
      <c r="Q5654" s="12">
        <f>+(Tabla1[[#This Row],[COSTO COCHE]]/30)*Tabla1[[#This Row],[TOTAL DIAS PROYECTO]]</f>
        <v>0</v>
      </c>
      <c r="R5654" s="12">
        <f>+Tabla1[[#This Row],[COSTO TOTAL ALOJAMIENTO]]+Tabla1[[#This Row],[COSTO TOTAL COCHE]]</f>
        <v>0</v>
      </c>
      <c r="S5654" s="2"/>
      <c r="T5654" s="2" t="s">
        <v>35</v>
      </c>
      <c r="U5654" s="14">
        <v>45368</v>
      </c>
      <c r="V5654" s="14"/>
      <c r="W5654" s="15"/>
      <c r="X5654" s="16">
        <v>15</v>
      </c>
      <c r="Y5654" s="18"/>
      <c r="Z5654" s="2" t="s">
        <v>36</v>
      </c>
      <c r="AA5654" s="13" t="s">
        <v>10340</v>
      </c>
      <c r="AB5654" s="13" t="s">
        <v>10341</v>
      </c>
    </row>
    <row r="5655" spans="1:28">
      <c r="A5655" s="2" t="s">
        <v>8750</v>
      </c>
      <c r="B5655" s="2" t="s">
        <v>28</v>
      </c>
      <c r="C5655" s="11" t="s">
        <v>587</v>
      </c>
      <c r="D5655" s="2" t="s">
        <v>30</v>
      </c>
      <c r="E5655" s="2" t="s">
        <v>3400</v>
      </c>
      <c r="F5655" s="11" t="s">
        <v>7766</v>
      </c>
      <c r="G5655" s="11" t="s">
        <v>7767</v>
      </c>
      <c r="H5655" s="157" t="s">
        <v>3403</v>
      </c>
      <c r="I5655" s="157" t="s">
        <v>3404</v>
      </c>
      <c r="J5655" s="8">
        <f>+Tabla1[[#This Row],[FECHA ENTRADA]]</f>
        <v>45339</v>
      </c>
      <c r="K5655" s="8">
        <v>45397</v>
      </c>
      <c r="L5655" s="13">
        <f>_xlfn.DAYS(Tabla1[[#This Row],[FECHA FIN ]],Tabla1[[#This Row],[FECHA INICIO]])</f>
        <v>58</v>
      </c>
      <c r="M5655" s="12"/>
      <c r="N5655" s="12">
        <v>280</v>
      </c>
      <c r="O5655" s="12">
        <f>(Tabla1[[#This Row],[COSTO FIJO ]]/30)*Tabla1[[#This Row],[TOTAL DIAS PROYECTO]]+(Tabla1[[#This Row],[COSTO TEMPORAL]])</f>
        <v>541.33333333333337</v>
      </c>
      <c r="P5655" s="12"/>
      <c r="Q5655" s="12">
        <f>+(Tabla1[[#This Row],[COSTO COCHE]]/30)*Tabla1[[#This Row],[TOTAL DIAS PROYECTO]]</f>
        <v>0</v>
      </c>
      <c r="R5655" s="12">
        <f>+Tabla1[[#This Row],[COSTO TOTAL ALOJAMIENTO]]+Tabla1[[#This Row],[COSTO TOTAL COCHE]]</f>
        <v>541.33333333333337</v>
      </c>
      <c r="S5655" s="2"/>
      <c r="T5655" s="2" t="s">
        <v>35</v>
      </c>
      <c r="U5655" s="14">
        <v>45339</v>
      </c>
      <c r="V5655" s="14"/>
      <c r="W5655" s="62">
        <v>280</v>
      </c>
      <c r="X5655" s="16">
        <v>15</v>
      </c>
      <c r="Y5655" s="18"/>
      <c r="Z5655" s="2" t="s">
        <v>36</v>
      </c>
      <c r="AA5655" s="13" t="e">
        <v>#N/A</v>
      </c>
      <c r="AB5655" s="13" t="e">
        <v>#N/A</v>
      </c>
    </row>
    <row r="5656" spans="1:28">
      <c r="A5656" s="2" t="s">
        <v>8940</v>
      </c>
      <c r="B5656" s="2" t="s">
        <v>28</v>
      </c>
      <c r="C5656" s="11" t="s">
        <v>1371</v>
      </c>
      <c r="D5656" s="2" t="s">
        <v>30</v>
      </c>
      <c r="E5656" s="2" t="s">
        <v>415</v>
      </c>
      <c r="F5656" s="11" t="s">
        <v>1249</v>
      </c>
      <c r="G5656" s="30" t="s">
        <v>1250</v>
      </c>
      <c r="H5656" s="2" t="s">
        <v>799</v>
      </c>
      <c r="I5656" s="12" t="s">
        <v>800</v>
      </c>
      <c r="J5656" s="8">
        <f>+Tabla1[[#This Row],[FECHA ENTRADA]]</f>
        <v>45510</v>
      </c>
      <c r="K5656" s="8">
        <v>45565</v>
      </c>
      <c r="L5656" s="13">
        <f>_xlfn.DAYS(Tabla1[[#This Row],[FECHA FIN ]],Tabla1[[#This Row],[FECHA INICIO]])</f>
        <v>55</v>
      </c>
      <c r="M5656" s="12"/>
      <c r="N5656" s="12">
        <f>60+150+60</f>
        <v>270</v>
      </c>
      <c r="O5656" s="12">
        <f>(Tabla1[[#This Row],[COSTO FIJO ]]/30)*Tabla1[[#This Row],[TOTAL DIAS PROYECTO]]+(Tabla1[[#This Row],[COSTO TEMPORAL]])</f>
        <v>495</v>
      </c>
      <c r="P5656" s="12"/>
      <c r="Q5656" s="12">
        <f>+(Tabla1[[#This Row],[COSTO COCHE]]/30)*Tabla1[[#This Row],[TOTAL DIAS PROYECTO]]</f>
        <v>0</v>
      </c>
      <c r="R5656" s="12">
        <f>+Tabla1[[#This Row],[COSTO TOTAL ALOJAMIENTO]]+Tabla1[[#This Row],[COSTO TOTAL COCHE]]</f>
        <v>495</v>
      </c>
      <c r="S5656" s="2"/>
      <c r="T5656" s="2" t="s">
        <v>35</v>
      </c>
      <c r="U5656" s="14">
        <v>45510</v>
      </c>
      <c r="V5656" s="14"/>
      <c r="W5656" s="26">
        <v>350</v>
      </c>
      <c r="X5656" s="2">
        <v>19</v>
      </c>
      <c r="Y5656" s="11" t="s">
        <v>7768</v>
      </c>
      <c r="Z5656" s="2" t="s">
        <v>36</v>
      </c>
      <c r="AA5656" s="13">
        <v>-0.37739</v>
      </c>
      <c r="AB5656" s="13" t="s">
        <v>10372</v>
      </c>
    </row>
    <row r="5657" spans="1:28">
      <c r="A5657" s="2" t="s">
        <v>8745</v>
      </c>
      <c r="B5657" s="2" t="s">
        <v>28</v>
      </c>
      <c r="C5657" s="11" t="s">
        <v>552</v>
      </c>
      <c r="D5657" s="2" t="s">
        <v>30</v>
      </c>
      <c r="E5657" s="2" t="s">
        <v>87</v>
      </c>
      <c r="F5657" s="11" t="s">
        <v>121</v>
      </c>
      <c r="G5657" s="11" t="s">
        <v>3433</v>
      </c>
      <c r="H5657" s="2" t="s">
        <v>780</v>
      </c>
      <c r="I5657" s="12" t="s">
        <v>570</v>
      </c>
      <c r="J5657" s="8">
        <f>+Tabla1[[#This Row],[FECHA ENTRADA]]</f>
        <v>45536</v>
      </c>
      <c r="K5657" s="8"/>
      <c r="L5657" s="13">
        <f>_xlfn.DAYS(Tabla1[[#This Row],[FECHA FIN ]],Tabla1[[#This Row],[FECHA INICIO]])</f>
        <v>-45536</v>
      </c>
      <c r="M5657" s="12"/>
      <c r="N5657" s="12"/>
      <c r="O5657" s="12">
        <f>(Tabla1[[#This Row],[COSTO FIJO ]]/30)*Tabla1[[#This Row],[TOTAL DIAS PROYECTO]]+(Tabla1[[#This Row],[COSTO TEMPORAL]])</f>
        <v>0</v>
      </c>
      <c r="P5657" s="12"/>
      <c r="Q5657" s="12">
        <f>+(Tabla1[[#This Row],[COSTO COCHE]]/30)*Tabla1[[#This Row],[TOTAL DIAS PROYECTO]]</f>
        <v>0</v>
      </c>
      <c r="R5657" s="12">
        <f>+Tabla1[[#This Row],[COSTO TOTAL ALOJAMIENTO]]+Tabla1[[#This Row],[COSTO TOTAL COCHE]]</f>
        <v>0</v>
      </c>
      <c r="S5657" s="2"/>
      <c r="T5657" s="2" t="s">
        <v>35</v>
      </c>
      <c r="U5657" s="14">
        <v>45536</v>
      </c>
      <c r="V5657" s="14"/>
      <c r="W5657" s="26"/>
      <c r="X5657" s="2">
        <v>20</v>
      </c>
      <c r="Y5657" s="11"/>
      <c r="Z5657" s="2" t="s">
        <v>36</v>
      </c>
      <c r="AA5657" s="13" t="s">
        <v>10335</v>
      </c>
      <c r="AB5657" s="13">
        <v>404.16500000000002</v>
      </c>
    </row>
    <row r="5658" spans="1:28" ht="15" customHeight="1">
      <c r="A5658" s="2" t="s">
        <v>9468</v>
      </c>
      <c r="B5658" s="2" t="s">
        <v>606</v>
      </c>
      <c r="C5658" s="322" t="s">
        <v>3291</v>
      </c>
      <c r="D5658" s="2" t="s">
        <v>99</v>
      </c>
      <c r="E5658" s="2" t="s">
        <v>31</v>
      </c>
      <c r="F5658" s="11"/>
      <c r="G5658" s="46"/>
      <c r="H5658" s="2" t="s">
        <v>4489</v>
      </c>
      <c r="I5658" s="12" t="s">
        <v>4484</v>
      </c>
      <c r="J5658" s="41">
        <f>+Tabla1[[#This Row],[FECHA ENTRADA]]</f>
        <v>45896</v>
      </c>
      <c r="K5658" s="41">
        <f ca="1">TODAY()</f>
        <v>46260</v>
      </c>
      <c r="L5658" s="42">
        <f ca="1">_xlfn.DAYS(Tabla1[[#This Row],[FECHA FIN ]],Tabla1[[#This Row],[FECHA INICIO]])</f>
        <v>364</v>
      </c>
      <c r="M5658" s="12"/>
      <c r="N5658" s="28">
        <v>300</v>
      </c>
      <c r="O5658" s="28">
        <f ca="1">(Tabla1[[#This Row],[COSTO FIJO ]]/30)*Tabla1[[#This Row],[TOTAL DIAS PROYECTO]]+(Tabla1[[#This Row],[COSTO TEMPORAL]])</f>
        <v>3640</v>
      </c>
      <c r="P5658" s="12"/>
      <c r="Q5658" s="12">
        <f ca="1">+(Tabla1[[#This Row],[COSTO COCHE]]/30)*Tabla1[[#This Row],[TOTAL DIAS PROYECTO]]</f>
        <v>0</v>
      </c>
      <c r="R5658" s="12">
        <f ca="1">+Tabla1[[#This Row],[COSTO TOTAL ALOJAMIENTO]]+Tabla1[[#This Row],[COSTO TOTAL COCHE]]</f>
        <v>3640</v>
      </c>
      <c r="S5658" s="2"/>
      <c r="T5658" s="14" t="s">
        <v>58</v>
      </c>
      <c r="U5658" s="14">
        <v>45896</v>
      </c>
      <c r="V5658" s="43"/>
      <c r="W5658" s="12"/>
      <c r="X5658" s="2"/>
      <c r="Y5658" s="11" t="s">
        <v>7769</v>
      </c>
      <c r="Z5658" s="2" t="s">
        <v>702</v>
      </c>
      <c r="AA5658" s="13" t="s">
        <v>10323</v>
      </c>
      <c r="AB5658" s="13" t="s">
        <v>10324</v>
      </c>
    </row>
    <row r="5659" spans="1:28" ht="15" customHeight="1">
      <c r="A5659" s="2" t="s">
        <v>8667</v>
      </c>
      <c r="B5659" s="2" t="s">
        <v>28</v>
      </c>
      <c r="C5659" s="11" t="s">
        <v>208</v>
      </c>
      <c r="D5659" s="2" t="s">
        <v>30</v>
      </c>
      <c r="E5659" s="2" t="s">
        <v>447</v>
      </c>
      <c r="F5659" s="11" t="s">
        <v>840</v>
      </c>
      <c r="G5659" s="11" t="s">
        <v>3867</v>
      </c>
      <c r="H5659" s="2" t="s">
        <v>3868</v>
      </c>
      <c r="I5659" s="12" t="s">
        <v>279</v>
      </c>
      <c r="J5659" s="8">
        <f>+Tabla1[[#This Row],[FECHA ENTRADA]]</f>
        <v>45544</v>
      </c>
      <c r="K5659" s="8"/>
      <c r="L5659" s="13">
        <f>_xlfn.DAYS(Tabla1[[#This Row],[FECHA FIN ]],Tabla1[[#This Row],[FECHA INICIO]])</f>
        <v>-45544</v>
      </c>
      <c r="M5659" s="12"/>
      <c r="N5659" s="12"/>
      <c r="O5659" s="12">
        <f>(Tabla1[[#This Row],[COSTO FIJO ]]/30)*Tabla1[[#This Row],[TOTAL DIAS PROYECTO]]+(Tabla1[[#This Row],[COSTO TEMPORAL]])</f>
        <v>0</v>
      </c>
      <c r="P5659" s="12"/>
      <c r="Q5659" s="12">
        <f>+(Tabla1[[#This Row],[COSTO COCHE]]/30)*Tabla1[[#This Row],[TOTAL DIAS PROYECTO]]</f>
        <v>0</v>
      </c>
      <c r="R5659" s="12">
        <f>+Tabla1[[#This Row],[COSTO TOTAL ALOJAMIENTO]]+Tabla1[[#This Row],[COSTO TOTAL COCHE]]</f>
        <v>0</v>
      </c>
      <c r="S5659" s="2"/>
      <c r="T5659" s="2" t="s">
        <v>44</v>
      </c>
      <c r="U5659" s="14">
        <v>45544</v>
      </c>
      <c r="V5659" s="14"/>
      <c r="W5659" s="26"/>
      <c r="X5659" s="2"/>
      <c r="Y5659" s="11"/>
      <c r="Z5659" s="64" t="s">
        <v>36</v>
      </c>
      <c r="AA5659" s="13">
        <v>-697.06100000000004</v>
      </c>
      <c r="AB5659" s="13" t="s">
        <v>10377</v>
      </c>
    </row>
    <row r="5660" spans="1:28" ht="15" customHeight="1">
      <c r="A5660" s="2" t="s">
        <v>9257</v>
      </c>
      <c r="B5660" s="30" t="s">
        <v>368</v>
      </c>
      <c r="C5660" s="322" t="s">
        <v>2620</v>
      </c>
      <c r="D5660" s="2" t="s">
        <v>30</v>
      </c>
      <c r="E5660" s="2" t="s">
        <v>31</v>
      </c>
      <c r="F5660" s="11" t="s">
        <v>3840</v>
      </c>
      <c r="G5660" s="11" t="s">
        <v>3841</v>
      </c>
      <c r="H5660" s="2" t="s">
        <v>3842</v>
      </c>
      <c r="I5660" s="12" t="s">
        <v>454</v>
      </c>
      <c r="J5660" s="8">
        <f>+Tabla1[[#This Row],[FECHA ENTRADA]]</f>
        <v>45490</v>
      </c>
      <c r="K5660" s="8"/>
      <c r="L5660" s="13">
        <f>_xlfn.DAYS(Tabla1[[#This Row],[FECHA FIN ]],Tabla1[[#This Row],[FECHA INICIO]])</f>
        <v>-45490</v>
      </c>
      <c r="M5660" s="12"/>
      <c r="N5660" s="12"/>
      <c r="O5660" s="12">
        <f>(Tabla1[[#This Row],[COSTO FIJO ]]/30)*Tabla1[[#This Row],[TOTAL DIAS PROYECTO]]+(Tabla1[[#This Row],[COSTO TEMPORAL]])</f>
        <v>0</v>
      </c>
      <c r="P5660" s="12"/>
      <c r="Q5660" s="12">
        <f>+(Tabla1[[#This Row],[COSTO COCHE]]/30)*Tabla1[[#This Row],[TOTAL DIAS PROYECTO]]</f>
        <v>0</v>
      </c>
      <c r="R5660" s="12">
        <f>+Tabla1[[#This Row],[COSTO TOTAL ALOJAMIENTO]]+Tabla1[[#This Row],[COSTO TOTAL COCHE]]</f>
        <v>0</v>
      </c>
      <c r="S5660" s="2"/>
      <c r="T5660" s="2" t="s">
        <v>44</v>
      </c>
      <c r="U5660" s="14">
        <v>45490</v>
      </c>
      <c r="V5660" s="14"/>
      <c r="W5660" s="26"/>
      <c r="X5660" s="2"/>
      <c r="Y5660" s="18" t="s">
        <v>7770</v>
      </c>
      <c r="Z5660" s="2" t="s">
        <v>36</v>
      </c>
      <c r="AA5660" s="13" t="s">
        <v>10323</v>
      </c>
      <c r="AB5660" s="13" t="s">
        <v>10324</v>
      </c>
    </row>
    <row r="5661" spans="1:28" ht="15" customHeight="1">
      <c r="A5661" s="2" t="s">
        <v>10288</v>
      </c>
      <c r="B5661" s="2" t="s">
        <v>28</v>
      </c>
      <c r="C5661" s="334" t="s">
        <v>7771</v>
      </c>
      <c r="D5661" s="2" t="s">
        <v>30</v>
      </c>
      <c r="E5661" s="2" t="s">
        <v>31</v>
      </c>
      <c r="F5661" s="11"/>
      <c r="G5661" s="30"/>
      <c r="H5661" s="2" t="s">
        <v>1384</v>
      </c>
      <c r="I5661" s="2" t="s">
        <v>52</v>
      </c>
      <c r="J5661" s="8">
        <f>+Tabla1[[#This Row],[FECHA ENTRADA]]</f>
        <v>45468</v>
      </c>
      <c r="K5661" s="8"/>
      <c r="L5661" s="13">
        <f>_xlfn.DAYS(Tabla1[[#This Row],[FECHA FIN ]],Tabla1[[#This Row],[FECHA INICIO]])</f>
        <v>-45468</v>
      </c>
      <c r="M5661" s="12">
        <v>357.14285714285717</v>
      </c>
      <c r="N5661" s="20"/>
      <c r="O5661" s="12">
        <f>(Tabla1[[#This Row],[COSTO FIJO ]]/30)*Tabla1[[#This Row],[TOTAL DIAS PROYECTO]]+(Tabla1[[#This Row],[COSTO TEMPORAL]])</f>
        <v>357.14285714285717</v>
      </c>
      <c r="P5661" s="12"/>
      <c r="Q5661" s="12">
        <f>+(Tabla1[[#This Row],[COSTO COCHE]]/30)*Tabla1[[#This Row],[TOTAL DIAS PROYECTO]]</f>
        <v>0</v>
      </c>
      <c r="R5661" s="12">
        <f>+Tabla1[[#This Row],[COSTO TOTAL ALOJAMIENTO]]+Tabla1[[#This Row],[COSTO TOTAL COCHE]]</f>
        <v>357.14285714285717</v>
      </c>
      <c r="S5661" s="2"/>
      <c r="T5661" s="2" t="s">
        <v>44</v>
      </c>
      <c r="U5661" s="14">
        <v>45468</v>
      </c>
      <c r="V5661" s="14"/>
      <c r="W5661" s="26"/>
      <c r="X5661" s="2"/>
      <c r="Y5661" s="18" t="s">
        <v>3851</v>
      </c>
      <c r="Z5661" s="2" t="s">
        <v>36</v>
      </c>
      <c r="AA5661" s="13" t="s">
        <v>10323</v>
      </c>
      <c r="AB5661" s="13" t="s">
        <v>10324</v>
      </c>
    </row>
    <row r="5662" spans="1:28" ht="15" customHeight="1">
      <c r="A5662" s="2" t="s">
        <v>10289</v>
      </c>
      <c r="B5662" s="2" t="s">
        <v>28</v>
      </c>
      <c r="C5662" s="18" t="s">
        <v>7772</v>
      </c>
      <c r="D5662" s="2" t="s">
        <v>30</v>
      </c>
      <c r="E5662" s="2" t="s">
        <v>476</v>
      </c>
      <c r="F5662" s="11" t="s">
        <v>3848</v>
      </c>
      <c r="G5662" s="11" t="s">
        <v>3849</v>
      </c>
      <c r="H5662" s="2" t="s">
        <v>479</v>
      </c>
      <c r="I5662" s="12" t="s">
        <v>165</v>
      </c>
      <c r="J5662" s="8">
        <f>+Tabla1[[#This Row],[FECHA ENTRADA]]</f>
        <v>45487</v>
      </c>
      <c r="K5662" s="8"/>
      <c r="L5662" s="13">
        <f>_xlfn.DAYS(Tabla1[[#This Row],[FECHA FIN ]],Tabla1[[#This Row],[FECHA INICIO]])</f>
        <v>-45487</v>
      </c>
      <c r="M5662" s="12"/>
      <c r="N5662" s="20"/>
      <c r="O5662" s="12">
        <f>(Tabla1[[#This Row],[COSTO FIJO ]]/30)*Tabla1[[#This Row],[TOTAL DIAS PROYECTO]]+(Tabla1[[#This Row],[COSTO TEMPORAL]])</f>
        <v>0</v>
      </c>
      <c r="P5662" s="12"/>
      <c r="Q5662" s="12">
        <f>+(Tabla1[[#This Row],[COSTO COCHE]]/30)*Tabla1[[#This Row],[TOTAL DIAS PROYECTO]]</f>
        <v>0</v>
      </c>
      <c r="R5662" s="12">
        <f>+Tabla1[[#This Row],[COSTO TOTAL ALOJAMIENTO]]+Tabla1[[#This Row],[COSTO TOTAL COCHE]]</f>
        <v>0</v>
      </c>
      <c r="S5662" s="2"/>
      <c r="T5662" s="2" t="s">
        <v>44</v>
      </c>
      <c r="U5662" s="14">
        <v>45487</v>
      </c>
      <c r="V5662" s="14"/>
      <c r="W5662" s="26"/>
      <c r="X5662" s="2"/>
      <c r="Y5662" s="18"/>
      <c r="Z5662" s="2" t="s">
        <v>36</v>
      </c>
      <c r="AA5662" s="13">
        <v>-7.8640699999999999</v>
      </c>
      <c r="AB5662" s="13">
        <v>42.336689999999997</v>
      </c>
    </row>
    <row r="5663" spans="1:28" ht="15" customHeight="1">
      <c r="A5663" s="2" t="s">
        <v>8711</v>
      </c>
      <c r="B5663" s="2" t="s">
        <v>28</v>
      </c>
      <c r="C5663" s="115" t="s">
        <v>400</v>
      </c>
      <c r="D5663" s="2" t="s">
        <v>30</v>
      </c>
      <c r="E5663" s="2" t="s">
        <v>447</v>
      </c>
      <c r="F5663" s="11" t="s">
        <v>840</v>
      </c>
      <c r="G5663" s="11" t="s">
        <v>3867</v>
      </c>
      <c r="H5663" s="2" t="s">
        <v>3868</v>
      </c>
      <c r="I5663" s="12" t="s">
        <v>279</v>
      </c>
      <c r="J5663" s="8">
        <f>+Tabla1[[#This Row],[FECHA ENTRADA]]</f>
        <v>45544</v>
      </c>
      <c r="K5663" s="8"/>
      <c r="L5663" s="13">
        <f>_xlfn.DAYS(Tabla1[[#This Row],[FECHA FIN ]],Tabla1[[#This Row],[FECHA INICIO]])</f>
        <v>-45544</v>
      </c>
      <c r="M5663" s="12"/>
      <c r="N5663" s="20"/>
      <c r="O5663" s="12">
        <f>(Tabla1[[#This Row],[COSTO FIJO ]]/30)*Tabla1[[#This Row],[TOTAL DIAS PROYECTO]]+(Tabla1[[#This Row],[COSTO TEMPORAL]])</f>
        <v>0</v>
      </c>
      <c r="P5663" s="12"/>
      <c r="Q5663" s="12">
        <f>+(Tabla1[[#This Row],[COSTO COCHE]]/30)*Tabla1[[#This Row],[TOTAL DIAS PROYECTO]]</f>
        <v>0</v>
      </c>
      <c r="R5663" s="12">
        <f>+Tabla1[[#This Row],[COSTO TOTAL ALOJAMIENTO]]+Tabla1[[#This Row],[COSTO TOTAL COCHE]]</f>
        <v>0</v>
      </c>
      <c r="S5663" s="2"/>
      <c r="T5663" s="2" t="s">
        <v>44</v>
      </c>
      <c r="U5663" s="14">
        <v>45544</v>
      </c>
      <c r="V5663" s="14"/>
      <c r="W5663" s="26"/>
      <c r="X5663" s="2"/>
      <c r="Y5663" s="11"/>
      <c r="Z5663" s="64" t="s">
        <v>36</v>
      </c>
      <c r="AA5663" s="13">
        <v>-697.06100000000004</v>
      </c>
      <c r="AB5663" s="13" t="s">
        <v>10377</v>
      </c>
    </row>
    <row r="5664" spans="1:28" ht="15" customHeight="1">
      <c r="A5664" s="117" t="s">
        <v>9974</v>
      </c>
      <c r="B5664" s="117" t="s">
        <v>711</v>
      </c>
      <c r="C5664" s="118" t="s">
        <v>5797</v>
      </c>
      <c r="D5664" s="117" t="s">
        <v>30</v>
      </c>
      <c r="E5664" s="117" t="s">
        <v>648</v>
      </c>
      <c r="F5664" s="11" t="s">
        <v>2219</v>
      </c>
      <c r="G5664" s="68" t="s">
        <v>2220</v>
      </c>
      <c r="H5664" s="117" t="s">
        <v>2221</v>
      </c>
      <c r="I5664" s="119" t="s">
        <v>96</v>
      </c>
      <c r="J5664" s="120">
        <f>+Tabla1[[#This Row],[FECHA ENTRADA]]</f>
        <v>45963</v>
      </c>
      <c r="K5664" s="120">
        <v>45968</v>
      </c>
      <c r="L5664" s="122">
        <f>_xlfn.DAYS(Tabla1[[#This Row],[FECHA FIN ]],Tabla1[[#This Row],[FECHA INICIO]])</f>
        <v>5</v>
      </c>
      <c r="M5664" s="119">
        <v>86.666666666666671</v>
      </c>
      <c r="N5664" s="123"/>
      <c r="O5664" s="123">
        <f>(Tabla1[[#This Row],[COSTO FIJO ]]/30)*Tabla1[[#This Row],[TOTAL DIAS PROYECTO]]+(Tabla1[[#This Row],[COSTO TEMPORAL]])</f>
        <v>86.666666666666671</v>
      </c>
      <c r="P5664" s="119"/>
      <c r="Q5664" s="119">
        <f>+(Tabla1[[#This Row],[COSTO COCHE]]/30)*Tabla1[[#This Row],[TOTAL DIAS PROYECTO]]</f>
        <v>0</v>
      </c>
      <c r="R5664" s="119">
        <f>+Tabla1[[#This Row],[COSTO TOTAL ALOJAMIENTO]]+Tabla1[[#This Row],[COSTO TOTAL COCHE]]</f>
        <v>86.666666666666671</v>
      </c>
      <c r="S5664" s="117"/>
      <c r="T5664" s="124" t="s">
        <v>44</v>
      </c>
      <c r="U5664" s="124">
        <v>45963</v>
      </c>
      <c r="V5664" s="159">
        <v>45968</v>
      </c>
      <c r="W5664" s="126"/>
      <c r="X5664" s="117"/>
      <c r="Y5664" s="118" t="s">
        <v>2222</v>
      </c>
      <c r="Z5664" s="117" t="s">
        <v>36</v>
      </c>
      <c r="AA5664" s="127" t="s">
        <v>10387</v>
      </c>
      <c r="AB5664" s="127" t="s">
        <v>10388</v>
      </c>
    </row>
    <row r="5665" spans="1:28" ht="15" customHeight="1">
      <c r="A5665" s="2" t="s">
        <v>8654</v>
      </c>
      <c r="B5665" s="2" t="s">
        <v>28</v>
      </c>
      <c r="C5665" s="11" t="s">
        <v>148</v>
      </c>
      <c r="D5665" s="2" t="s">
        <v>30</v>
      </c>
      <c r="E5665" s="2" t="s">
        <v>447</v>
      </c>
      <c r="F5665" s="11" t="s">
        <v>840</v>
      </c>
      <c r="G5665" s="11" t="s">
        <v>3867</v>
      </c>
      <c r="H5665" s="2" t="s">
        <v>3868</v>
      </c>
      <c r="I5665" s="12" t="s">
        <v>279</v>
      </c>
      <c r="J5665" s="8">
        <f>+Tabla1[[#This Row],[FECHA ENTRADA]]</f>
        <v>45544</v>
      </c>
      <c r="K5665" s="8"/>
      <c r="L5665" s="13">
        <f>_xlfn.DAYS(Tabla1[[#This Row],[FECHA FIN ]],Tabla1[[#This Row],[FECHA INICIO]])</f>
        <v>-45544</v>
      </c>
      <c r="M5665" s="12"/>
      <c r="N5665" s="12">
        <v>333.33</v>
      </c>
      <c r="O5665" s="12">
        <f>(Tabla1[[#This Row],[COSTO FIJO ]]/30)*Tabla1[[#This Row],[TOTAL DIAS PROYECTO]]+(Tabla1[[#This Row],[COSTO TEMPORAL]])</f>
        <v>-506039.38399999996</v>
      </c>
      <c r="P5665" s="12"/>
      <c r="Q5665" s="12">
        <f>+(Tabla1[[#This Row],[COSTO COCHE]]/30)*Tabla1[[#This Row],[TOTAL DIAS PROYECTO]]</f>
        <v>0</v>
      </c>
      <c r="R5665" s="12">
        <f>+Tabla1[[#This Row],[COSTO TOTAL ALOJAMIENTO]]+Tabla1[[#This Row],[COSTO TOTAL COCHE]]</f>
        <v>-506039.38399999996</v>
      </c>
      <c r="S5665" s="2"/>
      <c r="T5665" s="2" t="s">
        <v>44</v>
      </c>
      <c r="U5665" s="14">
        <v>45544</v>
      </c>
      <c r="V5665" s="14"/>
      <c r="W5665" s="26"/>
      <c r="X5665" s="2"/>
      <c r="Y5665" s="11"/>
      <c r="Z5665" s="64" t="s">
        <v>36</v>
      </c>
      <c r="AA5665" s="13">
        <v>-697.06100000000004</v>
      </c>
      <c r="AB5665" s="13" t="s">
        <v>10377</v>
      </c>
    </row>
    <row r="5666" spans="1:28" ht="15" customHeight="1">
      <c r="A5666" s="2" t="s">
        <v>9933</v>
      </c>
      <c r="B5666" s="2" t="s">
        <v>606</v>
      </c>
      <c r="C5666" s="31" t="s">
        <v>5533</v>
      </c>
      <c r="D5666" s="2" t="s">
        <v>30</v>
      </c>
      <c r="E5666" s="2" t="s">
        <v>380</v>
      </c>
      <c r="F5666" s="11" t="s">
        <v>5604</v>
      </c>
      <c r="G5666" s="11" t="s">
        <v>5111</v>
      </c>
      <c r="H5666" s="2" t="s">
        <v>7755</v>
      </c>
      <c r="I5666" s="12" t="s">
        <v>5328</v>
      </c>
      <c r="J5666" s="22">
        <f>+Tabla1[[#This Row],[FECHA ENTRADA]]</f>
        <v>46041</v>
      </c>
      <c r="K5666" s="22">
        <v>46049</v>
      </c>
      <c r="L5666" s="23">
        <f>_xlfn.DAYS(Tabla1[[#This Row],[FECHA FIN ]],Tabla1[[#This Row],[FECHA INICIO]])</f>
        <v>8</v>
      </c>
      <c r="M5666" s="12">
        <v>200</v>
      </c>
      <c r="N5666" s="20"/>
      <c r="O5666" s="24">
        <f>(Tabla1[[#This Row],[COSTO FIJO ]]/30)*Tabla1[[#This Row],[TOTAL DIAS PROYECTO]]+(Tabla1[[#This Row],[COSTO TEMPORAL]])</f>
        <v>200</v>
      </c>
      <c r="P5666" s="12"/>
      <c r="Q5666" s="12">
        <f>+(Tabla1[[#This Row],[COSTO COCHE]]/30)*Tabla1[[#This Row],[TOTAL DIAS PROYECTO]]</f>
        <v>0</v>
      </c>
      <c r="R5666" s="12">
        <f>+Tabla1[[#This Row],[COSTO TOTAL ALOJAMIENTO]]+Tabla1[[#This Row],[COSTO TOTAL COCHE]]</f>
        <v>200</v>
      </c>
      <c r="S5666" s="2"/>
      <c r="T5666" s="14" t="s">
        <v>44</v>
      </c>
      <c r="U5666" s="14">
        <v>46041</v>
      </c>
      <c r="V5666" s="79">
        <v>46057</v>
      </c>
      <c r="W5666" s="12"/>
      <c r="X5666" s="2"/>
      <c r="Y5666" s="11" t="s">
        <v>7773</v>
      </c>
      <c r="Z5666" s="2" t="s">
        <v>36</v>
      </c>
      <c r="AA5666" s="13" t="s">
        <v>10370</v>
      </c>
      <c r="AB5666" s="13" t="s">
        <v>10371</v>
      </c>
    </row>
    <row r="5667" spans="1:28" ht="15" customHeight="1">
      <c r="A5667" s="2" t="s">
        <v>9116</v>
      </c>
      <c r="B5667" s="2" t="s">
        <v>606</v>
      </c>
      <c r="C5667" s="11" t="s">
        <v>2065</v>
      </c>
      <c r="D5667" s="2" t="s">
        <v>30</v>
      </c>
      <c r="E5667" s="2" t="s">
        <v>213</v>
      </c>
      <c r="F5667" s="11"/>
      <c r="G5667" s="46"/>
      <c r="H5667" s="2" t="s">
        <v>4867</v>
      </c>
      <c r="I5667" s="12" t="s">
        <v>1043</v>
      </c>
      <c r="J5667" s="41">
        <f>+Tabla1[[#This Row],[FECHA ENTRADA]]</f>
        <v>45888</v>
      </c>
      <c r="K5667" s="22">
        <f ca="1">TODAY()</f>
        <v>46260</v>
      </c>
      <c r="L5667" s="42">
        <f ca="1">_xlfn.DAYS(Tabla1[[#This Row],[FECHA FIN ]],Tabla1[[#This Row],[FECHA INICIO]])</f>
        <v>372</v>
      </c>
      <c r="M5667" s="12"/>
      <c r="N5667" s="28">
        <v>300</v>
      </c>
      <c r="O5667" s="28">
        <f ca="1">(Tabla1[[#This Row],[COSTO FIJO ]]/30)*Tabla1[[#This Row],[TOTAL DIAS PROYECTO]]+(Tabla1[[#This Row],[COSTO TEMPORAL]])</f>
        <v>3720</v>
      </c>
      <c r="P5667" s="12"/>
      <c r="Q5667" s="12">
        <f ca="1">+(Tabla1[[#This Row],[COSTO COCHE]]/30)*Tabla1[[#This Row],[TOTAL DIAS PROYECTO]]</f>
        <v>0</v>
      </c>
      <c r="R5667" s="12">
        <f ca="1">+Tabla1[[#This Row],[COSTO TOTAL ALOJAMIENTO]]+Tabla1[[#This Row],[COSTO TOTAL COCHE]]</f>
        <v>3720</v>
      </c>
      <c r="S5667" s="2"/>
      <c r="T5667" s="14" t="s">
        <v>58</v>
      </c>
      <c r="U5667" s="14">
        <v>45888</v>
      </c>
      <c r="V5667" s="43"/>
      <c r="W5667" s="12"/>
      <c r="X5667" s="2"/>
      <c r="Y5667" s="11"/>
      <c r="Z5667" s="2" t="s">
        <v>702</v>
      </c>
      <c r="AA5667" s="13" t="s">
        <v>10349</v>
      </c>
      <c r="AB5667" s="13" t="s">
        <v>10350</v>
      </c>
    </row>
    <row r="5668" spans="1:28" ht="15" customHeight="1">
      <c r="A5668" s="2" t="s">
        <v>8725</v>
      </c>
      <c r="B5668" s="2" t="s">
        <v>28</v>
      </c>
      <c r="C5668" s="104" t="s">
        <v>458</v>
      </c>
      <c r="D5668" s="2" t="s">
        <v>30</v>
      </c>
      <c r="E5668" s="2" t="s">
        <v>447</v>
      </c>
      <c r="F5668" s="11" t="s">
        <v>840</v>
      </c>
      <c r="G5668" s="11" t="s">
        <v>3867</v>
      </c>
      <c r="H5668" s="2" t="s">
        <v>3868</v>
      </c>
      <c r="I5668" s="12" t="s">
        <v>279</v>
      </c>
      <c r="J5668" s="8">
        <f>+Tabla1[[#This Row],[FECHA ENTRADA]]</f>
        <v>45544</v>
      </c>
      <c r="K5668" s="8"/>
      <c r="L5668" s="13">
        <f>_xlfn.DAYS(Tabla1[[#This Row],[FECHA FIN ]],Tabla1[[#This Row],[FECHA INICIO]])</f>
        <v>-45544</v>
      </c>
      <c r="M5668" s="12">
        <v>333.33</v>
      </c>
      <c r="N5668" s="12"/>
      <c r="O5668" s="12">
        <f>(Tabla1[[#This Row],[COSTO FIJO ]]/30)*Tabla1[[#This Row],[TOTAL DIAS PROYECTO]]+(Tabla1[[#This Row],[COSTO TEMPORAL]])</f>
        <v>333.33</v>
      </c>
      <c r="P5668" s="12"/>
      <c r="Q5668" s="12">
        <f>+(Tabla1[[#This Row],[COSTO COCHE]]/30)*Tabla1[[#This Row],[TOTAL DIAS PROYECTO]]</f>
        <v>0</v>
      </c>
      <c r="R5668" s="12">
        <f>+Tabla1[[#This Row],[COSTO TOTAL ALOJAMIENTO]]+Tabla1[[#This Row],[COSTO TOTAL COCHE]]</f>
        <v>333.33</v>
      </c>
      <c r="S5668" s="2"/>
      <c r="T5668" s="2" t="s">
        <v>44</v>
      </c>
      <c r="U5668" s="14">
        <v>45544</v>
      </c>
      <c r="V5668" s="14"/>
      <c r="W5668" s="26">
        <v>300</v>
      </c>
      <c r="X5668" s="2"/>
      <c r="Y5668" s="11"/>
      <c r="Z5668" s="64" t="s">
        <v>36</v>
      </c>
      <c r="AA5668" s="13">
        <v>-697.06100000000004</v>
      </c>
      <c r="AB5668" s="13" t="s">
        <v>10377</v>
      </c>
    </row>
    <row r="5669" spans="1:28" ht="15" customHeight="1">
      <c r="A5669" s="2" t="s">
        <v>9974</v>
      </c>
      <c r="B5669" s="2" t="s">
        <v>711</v>
      </c>
      <c r="C5669" s="104" t="s">
        <v>5797</v>
      </c>
      <c r="D5669" s="2" t="s">
        <v>30</v>
      </c>
      <c r="E5669" s="2" t="s">
        <v>648</v>
      </c>
      <c r="F5669" s="11" t="s">
        <v>2250</v>
      </c>
      <c r="G5669" s="46" t="s">
        <v>2251</v>
      </c>
      <c r="H5669" s="2" t="s">
        <v>2221</v>
      </c>
      <c r="I5669" s="12" t="s">
        <v>96</v>
      </c>
      <c r="J5669" s="41">
        <f>+Tabla1[[#This Row],[FECHA ENTRADA]]</f>
        <v>45968</v>
      </c>
      <c r="K5669" s="22">
        <v>45982</v>
      </c>
      <c r="L5669" s="42">
        <f>_xlfn.DAYS(Tabla1[[#This Row],[FECHA FIN ]],Tabla1[[#This Row],[FECHA INICIO]])</f>
        <v>14</v>
      </c>
      <c r="M5669" s="12">
        <f>678.13/3</f>
        <v>226.04333333333332</v>
      </c>
      <c r="N5669" s="28"/>
      <c r="O5669" s="28">
        <f>(Tabla1[[#This Row],[COSTO FIJO ]]/30)*Tabla1[[#This Row],[TOTAL DIAS PROYECTO]]+(Tabla1[[#This Row],[COSTO TEMPORAL]])</f>
        <v>226.04333333333332</v>
      </c>
      <c r="P5669" s="12"/>
      <c r="Q5669" s="12">
        <f>+(Tabla1[[#This Row],[COSTO COCHE]]/30)*Tabla1[[#This Row],[TOTAL DIAS PROYECTO]]</f>
        <v>0</v>
      </c>
      <c r="R5669" s="12">
        <f>+Tabla1[[#This Row],[COSTO TOTAL ALOJAMIENTO]]+Tabla1[[#This Row],[COSTO TOTAL COCHE]]</f>
        <v>226.04333333333332</v>
      </c>
      <c r="S5669" s="2" t="s">
        <v>403</v>
      </c>
      <c r="T5669" s="14" t="s">
        <v>44</v>
      </c>
      <c r="U5669" s="14">
        <v>45968</v>
      </c>
      <c r="V5669" s="43">
        <v>45986</v>
      </c>
      <c r="W5669" s="71"/>
      <c r="X5669" s="2"/>
      <c r="Y5669" s="11" t="s">
        <v>2252</v>
      </c>
      <c r="Z5669" s="2" t="s">
        <v>36</v>
      </c>
      <c r="AA5669" s="13" t="s">
        <v>10387</v>
      </c>
      <c r="AB5669" s="13" t="s">
        <v>10388</v>
      </c>
    </row>
    <row r="5670" spans="1:28">
      <c r="A5670" s="2" t="s">
        <v>10290</v>
      </c>
      <c r="B5670" s="2" t="s">
        <v>28</v>
      </c>
      <c r="C5670" s="104" t="s">
        <v>7774</v>
      </c>
      <c r="D5670" s="2" t="s">
        <v>30</v>
      </c>
      <c r="E5670" s="2" t="s">
        <v>114</v>
      </c>
      <c r="F5670" s="11" t="s">
        <v>3891</v>
      </c>
      <c r="G5670" s="11" t="s">
        <v>204</v>
      </c>
      <c r="H5670" s="2" t="s">
        <v>117</v>
      </c>
      <c r="I5670" s="12" t="s">
        <v>118</v>
      </c>
      <c r="J5670" s="8">
        <f>+Tabla1[[#This Row],[FECHA ENTRADA]]</f>
        <v>45375</v>
      </c>
      <c r="K5670" s="8"/>
      <c r="L5670" s="13">
        <f>_xlfn.DAYS(Tabla1[[#This Row],[FECHA FIN ]],Tabla1[[#This Row],[FECHA INICIO]])</f>
        <v>-45375</v>
      </c>
      <c r="M5670" s="12"/>
      <c r="N5670" s="12"/>
      <c r="O5670" s="12">
        <f>(Tabla1[[#This Row],[COSTO FIJO ]]/30)*Tabla1[[#This Row],[TOTAL DIAS PROYECTO]]+(Tabla1[[#This Row],[COSTO TEMPORAL]])</f>
        <v>0</v>
      </c>
      <c r="P5670" s="12"/>
      <c r="Q5670" s="12">
        <f>+(Tabla1[[#This Row],[COSTO COCHE]]/30)*Tabla1[[#This Row],[TOTAL DIAS PROYECTO]]</f>
        <v>0</v>
      </c>
      <c r="R5670" s="12">
        <f>+Tabla1[[#This Row],[COSTO TOTAL ALOJAMIENTO]]+Tabla1[[#This Row],[COSTO TOTAL COCHE]]</f>
        <v>0</v>
      </c>
      <c r="S5670" s="2"/>
      <c r="T5670" s="2" t="s">
        <v>35</v>
      </c>
      <c r="U5670" s="14">
        <v>45375</v>
      </c>
      <c r="V5670" s="14"/>
      <c r="W5670" s="15"/>
      <c r="X5670" s="16">
        <v>23</v>
      </c>
      <c r="Y5670" s="18"/>
      <c r="Z5670" s="2" t="s">
        <v>36</v>
      </c>
      <c r="AA5670" s="13" t="s">
        <v>10340</v>
      </c>
      <c r="AB5670" s="13" t="s">
        <v>10341</v>
      </c>
    </row>
    <row r="5671" spans="1:28">
      <c r="A5671" s="2" t="s">
        <v>8680</v>
      </c>
      <c r="B5671" s="2" t="s">
        <v>28</v>
      </c>
      <c r="C5671" s="104" t="s">
        <v>258</v>
      </c>
      <c r="D5671" s="2" t="s">
        <v>30</v>
      </c>
      <c r="E5671" s="2" t="s">
        <v>114</v>
      </c>
      <c r="F5671" s="11" t="s">
        <v>200</v>
      </c>
      <c r="G5671" s="11" t="s">
        <v>201</v>
      </c>
      <c r="H5671" s="2" t="s">
        <v>117</v>
      </c>
      <c r="I5671" s="12" t="s">
        <v>118</v>
      </c>
      <c r="J5671" s="8">
        <f>+Tabla1[[#This Row],[FECHA ENTRADA]]</f>
        <v>45375</v>
      </c>
      <c r="K5671" s="8"/>
      <c r="L5671" s="13">
        <f>_xlfn.DAYS(Tabla1[[#This Row],[FECHA FIN ]],Tabla1[[#This Row],[FECHA INICIO]])</f>
        <v>-45375</v>
      </c>
      <c r="M5671" s="12"/>
      <c r="N5671" s="12"/>
      <c r="O5671" s="12">
        <f>(Tabla1[[#This Row],[COSTO FIJO ]]/30)*Tabla1[[#This Row],[TOTAL DIAS PROYECTO]]+(Tabla1[[#This Row],[COSTO TEMPORAL]])</f>
        <v>0</v>
      </c>
      <c r="P5671" s="12"/>
      <c r="Q5671" s="12">
        <f>+(Tabla1[[#This Row],[COSTO COCHE]]/30)*Tabla1[[#This Row],[TOTAL DIAS PROYECTO]]</f>
        <v>0</v>
      </c>
      <c r="R5671" s="12">
        <f>+Tabla1[[#This Row],[COSTO TOTAL ALOJAMIENTO]]+Tabla1[[#This Row],[COSTO TOTAL COCHE]]</f>
        <v>0</v>
      </c>
      <c r="S5671" s="2"/>
      <c r="T5671" s="2" t="s">
        <v>35</v>
      </c>
      <c r="U5671" s="14">
        <v>45375</v>
      </c>
      <c r="V5671" s="14">
        <v>45397</v>
      </c>
      <c r="W5671" s="15"/>
      <c r="X5671" s="16">
        <v>23</v>
      </c>
      <c r="Y5671" s="18" t="s">
        <v>7775</v>
      </c>
      <c r="Z5671" s="2" t="s">
        <v>36</v>
      </c>
      <c r="AA5671" s="13" t="s">
        <v>10340</v>
      </c>
      <c r="AB5671" s="13" t="s">
        <v>10341</v>
      </c>
    </row>
    <row r="5672" spans="1:28">
      <c r="A5672" s="2" t="s">
        <v>10291</v>
      </c>
      <c r="B5672" s="2" t="s">
        <v>28</v>
      </c>
      <c r="C5672" s="11" t="s">
        <v>7776</v>
      </c>
      <c r="D5672" s="2" t="s">
        <v>30</v>
      </c>
      <c r="E5672" s="2" t="s">
        <v>114</v>
      </c>
      <c r="F5672" s="11" t="s">
        <v>3891</v>
      </c>
      <c r="G5672" s="11" t="s">
        <v>204</v>
      </c>
      <c r="H5672" s="2" t="s">
        <v>117</v>
      </c>
      <c r="I5672" s="12" t="s">
        <v>118</v>
      </c>
      <c r="J5672" s="8">
        <f>+Tabla1[[#This Row],[FECHA ENTRADA]]</f>
        <v>45375</v>
      </c>
      <c r="K5672" s="8"/>
      <c r="L5672" s="13">
        <f>_xlfn.DAYS(Tabla1[[#This Row],[FECHA FIN ]],Tabla1[[#This Row],[FECHA INICIO]])</f>
        <v>-45375</v>
      </c>
      <c r="M5672" s="12"/>
      <c r="N5672" s="12"/>
      <c r="O5672" s="12">
        <f>(Tabla1[[#This Row],[COSTO FIJO ]]/30)*Tabla1[[#This Row],[TOTAL DIAS PROYECTO]]+(Tabla1[[#This Row],[COSTO TEMPORAL]])</f>
        <v>0</v>
      </c>
      <c r="P5672" s="12"/>
      <c r="Q5672" s="12">
        <f>+(Tabla1[[#This Row],[COSTO COCHE]]/30)*Tabla1[[#This Row],[TOTAL DIAS PROYECTO]]</f>
        <v>0</v>
      </c>
      <c r="R5672" s="12">
        <f>+Tabla1[[#This Row],[COSTO TOTAL ALOJAMIENTO]]+Tabla1[[#This Row],[COSTO TOTAL COCHE]]</f>
        <v>0</v>
      </c>
      <c r="S5672" s="2"/>
      <c r="T5672" s="2" t="s">
        <v>35</v>
      </c>
      <c r="U5672" s="14">
        <v>45375</v>
      </c>
      <c r="V5672" s="14"/>
      <c r="W5672" s="15"/>
      <c r="X5672" s="16">
        <v>23</v>
      </c>
      <c r="Y5672" s="18"/>
      <c r="Z5672" s="2" t="s">
        <v>36</v>
      </c>
      <c r="AA5672" s="13" t="s">
        <v>10340</v>
      </c>
      <c r="AB5672" s="13" t="s">
        <v>10341</v>
      </c>
    </row>
    <row r="5673" spans="1:28" ht="15" customHeight="1">
      <c r="A5673" s="116" t="s">
        <v>9553</v>
      </c>
      <c r="B5673" s="2" t="s">
        <v>606</v>
      </c>
      <c r="C5673" s="31" t="s">
        <v>3601</v>
      </c>
      <c r="D5673" s="116" t="s">
        <v>30</v>
      </c>
      <c r="E5673" s="116" t="s">
        <v>380</v>
      </c>
      <c r="F5673" s="136"/>
      <c r="G5673" s="136"/>
      <c r="H5673" s="116" t="s">
        <v>7777</v>
      </c>
      <c r="I5673" s="12" t="s">
        <v>5328</v>
      </c>
      <c r="J5673" s="137">
        <f>+Tabla1[[#This Row],[FECHA ENTRADA]]</f>
        <v>46051</v>
      </c>
      <c r="K5673" s="137">
        <v>46155</v>
      </c>
      <c r="L5673" s="138">
        <f>_xlfn.DAYS(Tabla1[[#This Row],[FECHA FIN ]],Tabla1[[#This Row],[FECHA INICIO]])</f>
        <v>104</v>
      </c>
      <c r="M5673" s="139"/>
      <c r="N5673" s="335">
        <v>300</v>
      </c>
      <c r="O5673" s="140">
        <f>(Tabla1[[#This Row],[COSTO FIJO ]]/30)*Tabla1[[#This Row],[TOTAL DIAS PROYECTO]]+(Tabla1[[#This Row],[COSTO TEMPORAL]])</f>
        <v>1040</v>
      </c>
      <c r="P5673" s="139"/>
      <c r="Q5673" s="139">
        <f>+(Tabla1[[#This Row],[COSTO COCHE]]/30)*Tabla1[[#This Row],[TOTAL DIAS PROYECTO]]</f>
        <v>0</v>
      </c>
      <c r="R5673" s="139">
        <f>+Tabla1[[#This Row],[COSTO TOTAL ALOJAMIENTO]]+Tabla1[[#This Row],[COSTO TOTAL COCHE]]</f>
        <v>1040</v>
      </c>
      <c r="S5673" s="116"/>
      <c r="T5673" s="141" t="s">
        <v>58</v>
      </c>
      <c r="U5673" s="141">
        <v>46051</v>
      </c>
      <c r="V5673" s="336"/>
      <c r="W5673" s="139"/>
      <c r="X5673" s="116"/>
      <c r="Y5673" s="136" t="s">
        <v>7778</v>
      </c>
      <c r="Z5673" s="116" t="s">
        <v>36</v>
      </c>
      <c r="AA5673" s="134" t="s">
        <v>10370</v>
      </c>
      <c r="AB5673" s="134" t="s">
        <v>10371</v>
      </c>
    </row>
    <row r="5674" spans="1:28" ht="15" customHeight="1">
      <c r="A5674" s="2" t="s">
        <v>10165</v>
      </c>
      <c r="B5674" s="2" t="s">
        <v>606</v>
      </c>
      <c r="C5674" s="104" t="s">
        <v>6862</v>
      </c>
      <c r="D5674" s="2" t="s">
        <v>30</v>
      </c>
      <c r="E5674" s="2" t="s">
        <v>213</v>
      </c>
      <c r="F5674" s="11" t="s">
        <v>6517</v>
      </c>
      <c r="G5674" s="21"/>
      <c r="H5674" s="2" t="s">
        <v>5151</v>
      </c>
      <c r="I5674" s="12" t="s">
        <v>1043</v>
      </c>
      <c r="J5674" s="41">
        <f>+Tabla1[[#This Row],[FECHA ENTRADA]]</f>
        <v>46076</v>
      </c>
      <c r="K5674" s="41">
        <f ca="1">TODAY()</f>
        <v>46260</v>
      </c>
      <c r="L5674" s="42">
        <f ca="1">_xlfn.DAYS(Tabla1[[#This Row],[FECHA FIN ]],Tabla1[[#This Row],[FECHA INICIO]])</f>
        <v>184</v>
      </c>
      <c r="M5674" s="12"/>
      <c r="N5674" s="28">
        <v>300</v>
      </c>
      <c r="O5674" s="28">
        <f ca="1">(Tabla1[[#This Row],[COSTO FIJO ]]/30)*Tabla1[[#This Row],[TOTAL DIAS PROYECTO]]+(Tabla1[[#This Row],[COSTO TEMPORAL]])</f>
        <v>1840</v>
      </c>
      <c r="P5674" s="12"/>
      <c r="Q5674" s="12">
        <f ca="1">+(Tabla1[[#This Row],[COSTO COCHE]]/30)*Tabla1[[#This Row],[TOTAL DIAS PROYECTO]]</f>
        <v>0</v>
      </c>
      <c r="R5674" s="12">
        <f ca="1">+Tabla1[[#This Row],[COSTO TOTAL ALOJAMIENTO]]+Tabla1[[#This Row],[COSTO TOTAL COCHE]]</f>
        <v>1840</v>
      </c>
      <c r="S5674" s="2"/>
      <c r="T5674" s="14" t="s">
        <v>58</v>
      </c>
      <c r="U5674" s="14">
        <v>46076</v>
      </c>
      <c r="V5674" s="43"/>
      <c r="W5674" s="12"/>
      <c r="X5674" s="2"/>
      <c r="Y5674" s="11"/>
      <c r="Z5674" s="2" t="s">
        <v>702</v>
      </c>
      <c r="AA5674" s="13" t="s">
        <v>10349</v>
      </c>
      <c r="AB5674" s="13" t="s">
        <v>10350</v>
      </c>
    </row>
    <row r="5675" spans="1:28">
      <c r="A5675" s="2" t="s">
        <v>8638</v>
      </c>
      <c r="B5675" s="2" t="s">
        <v>28</v>
      </c>
      <c r="C5675" s="11" t="s">
        <v>7779</v>
      </c>
      <c r="D5675" s="2" t="s">
        <v>30</v>
      </c>
      <c r="E5675" s="2" t="s">
        <v>114</v>
      </c>
      <c r="F5675" s="11" t="s">
        <v>203</v>
      </c>
      <c r="G5675" s="11" t="s">
        <v>204</v>
      </c>
      <c r="H5675" s="2" t="s">
        <v>117</v>
      </c>
      <c r="I5675" s="12" t="s">
        <v>118</v>
      </c>
      <c r="J5675" s="8">
        <f>+Tabla1[[#This Row],[FECHA ENTRADA]]</f>
        <v>45375</v>
      </c>
      <c r="K5675" s="8"/>
      <c r="L5675" s="13">
        <f>_xlfn.DAYS(Tabla1[[#This Row],[FECHA FIN ]],Tabla1[[#This Row],[FECHA INICIO]])</f>
        <v>-45375</v>
      </c>
      <c r="M5675" s="12"/>
      <c r="N5675" s="12"/>
      <c r="O5675" s="12">
        <f>(Tabla1[[#This Row],[COSTO FIJO ]]/30)*Tabla1[[#This Row],[TOTAL DIAS PROYECTO]]+(Tabla1[[#This Row],[COSTO TEMPORAL]])</f>
        <v>0</v>
      </c>
      <c r="P5675" s="12"/>
      <c r="Q5675" s="12">
        <f>+(Tabla1[[#This Row],[COSTO COCHE]]/30)*Tabla1[[#This Row],[TOTAL DIAS PROYECTO]]</f>
        <v>0</v>
      </c>
      <c r="R5675" s="12">
        <f>+Tabla1[[#This Row],[COSTO TOTAL ALOJAMIENTO]]+Tabla1[[#This Row],[COSTO TOTAL COCHE]]</f>
        <v>0</v>
      </c>
      <c r="S5675" s="2"/>
      <c r="T5675" s="2" t="s">
        <v>35</v>
      </c>
      <c r="U5675" s="14">
        <v>45375</v>
      </c>
      <c r="V5675" s="14">
        <v>45406</v>
      </c>
      <c r="W5675" s="15"/>
      <c r="X5675" s="16">
        <v>23</v>
      </c>
      <c r="Y5675" s="18"/>
      <c r="Z5675" s="2" t="s">
        <v>36</v>
      </c>
      <c r="AA5675" s="13" t="s">
        <v>10340</v>
      </c>
      <c r="AB5675" s="13" t="s">
        <v>10341</v>
      </c>
    </row>
    <row r="5676" spans="1:28" ht="15" customHeight="1">
      <c r="A5676" s="2" t="s">
        <v>9114</v>
      </c>
      <c r="B5676" s="2" t="s">
        <v>606</v>
      </c>
      <c r="C5676" s="104" t="s">
        <v>2057</v>
      </c>
      <c r="D5676" s="2" t="s">
        <v>30</v>
      </c>
      <c r="E5676" s="2" t="s">
        <v>1393</v>
      </c>
      <c r="F5676" s="11"/>
      <c r="G5676" s="21"/>
      <c r="H5676" s="2" t="s">
        <v>6548</v>
      </c>
      <c r="I5676" s="12" t="s">
        <v>5141</v>
      </c>
      <c r="J5676" s="22">
        <f>+Tabla1[[#This Row],[FECHA ENTRADA]]</f>
        <v>46029</v>
      </c>
      <c r="K5676" s="22">
        <f ca="1">TODAY()</f>
        <v>46260</v>
      </c>
      <c r="L5676" s="23">
        <f ca="1">_xlfn.DAYS(Tabla1[[#This Row],[FECHA FIN ]],Tabla1[[#This Row],[FECHA INICIO]])</f>
        <v>231</v>
      </c>
      <c r="M5676" s="12"/>
      <c r="N5676" s="20">
        <v>300</v>
      </c>
      <c r="O5676" s="24">
        <f ca="1">(Tabla1[[#This Row],[COSTO FIJO ]]/30)*Tabla1[[#This Row],[TOTAL DIAS PROYECTO]]+(Tabla1[[#This Row],[COSTO TEMPORAL]])</f>
        <v>2310</v>
      </c>
      <c r="P5676" s="12"/>
      <c r="Q5676" s="12">
        <f ca="1">+(Tabla1[[#This Row],[COSTO COCHE]]/30)*Tabla1[[#This Row],[TOTAL DIAS PROYECTO]]</f>
        <v>0</v>
      </c>
      <c r="R5676" s="12">
        <f ca="1">+Tabla1[[#This Row],[COSTO TOTAL ALOJAMIENTO]]+Tabla1[[#This Row],[COSTO TOTAL COCHE]]</f>
        <v>2310</v>
      </c>
      <c r="S5676" s="2"/>
      <c r="T5676" s="14" t="s">
        <v>58</v>
      </c>
      <c r="U5676" s="14">
        <v>46029</v>
      </c>
      <c r="V5676" s="79"/>
      <c r="W5676" s="12"/>
      <c r="X5676" s="2"/>
      <c r="Y5676" s="11" t="s">
        <v>7780</v>
      </c>
      <c r="Z5676" s="2" t="s">
        <v>702</v>
      </c>
      <c r="AA5676" s="13" t="s">
        <v>10416</v>
      </c>
      <c r="AB5676" s="13" t="s">
        <v>10417</v>
      </c>
    </row>
    <row r="5677" spans="1:28" ht="15" customHeight="1">
      <c r="A5677" s="2" t="s">
        <v>9329</v>
      </c>
      <c r="B5677" s="2" t="s">
        <v>28</v>
      </c>
      <c r="C5677" s="11" t="s">
        <v>2840</v>
      </c>
      <c r="D5677" s="2" t="s">
        <v>30</v>
      </c>
      <c r="E5677" s="2" t="s">
        <v>648</v>
      </c>
      <c r="F5677" s="11" t="s">
        <v>2482</v>
      </c>
      <c r="G5677" s="11" t="s">
        <v>1545</v>
      </c>
      <c r="H5677" s="2" t="s">
        <v>1363</v>
      </c>
      <c r="I5677" s="12" t="s">
        <v>96</v>
      </c>
      <c r="J5677" s="41">
        <f>+Tabla1[[#This Row],[FECHA ENTRADA]]</f>
        <v>45683</v>
      </c>
      <c r="K5677" s="22">
        <v>45946</v>
      </c>
      <c r="L5677" s="42">
        <f>_xlfn.DAYS(Tabla1[[#This Row],[FECHA FIN ]],Tabla1[[#This Row],[FECHA INICIO]])</f>
        <v>263</v>
      </c>
      <c r="M5677" s="12"/>
      <c r="N5677" s="12">
        <v>300</v>
      </c>
      <c r="O5677" s="28">
        <f>(Tabla1[[#This Row],[COSTO FIJO ]]/30)*Tabla1[[#This Row],[TOTAL DIAS PROYECTO]]+(Tabla1[[#This Row],[COSTO TEMPORAL]])</f>
        <v>2630</v>
      </c>
      <c r="P5677" s="12"/>
      <c r="Q5677" s="12">
        <f>+(Tabla1[[#This Row],[COSTO COCHE]]/30)*Tabla1[[#This Row],[TOTAL DIAS PROYECTO]]</f>
        <v>0</v>
      </c>
      <c r="R5677" s="12">
        <f>+Tabla1[[#This Row],[COSTO TOTAL ALOJAMIENTO]]+Tabla1[[#This Row],[COSTO TOTAL COCHE]]</f>
        <v>2630</v>
      </c>
      <c r="S5677" s="2"/>
      <c r="T5677" s="2" t="s">
        <v>35</v>
      </c>
      <c r="U5677" s="14">
        <v>45683</v>
      </c>
      <c r="V5677" s="43"/>
      <c r="W5677" s="26">
        <v>1200</v>
      </c>
      <c r="X5677" s="2">
        <v>1</v>
      </c>
      <c r="Y5677" s="11" t="s">
        <v>7781</v>
      </c>
      <c r="Z5677" s="2" t="s">
        <v>36</v>
      </c>
      <c r="AA5677" s="13" t="s">
        <v>10387</v>
      </c>
      <c r="AB5677" s="13" t="s">
        <v>10388</v>
      </c>
    </row>
    <row r="5678" spans="1:28" ht="15" customHeight="1">
      <c r="A5678" s="2" t="s">
        <v>8687</v>
      </c>
      <c r="B5678" s="2" t="s">
        <v>28</v>
      </c>
      <c r="C5678" s="11" t="s">
        <v>287</v>
      </c>
      <c r="D5678" s="2" t="s">
        <v>30</v>
      </c>
      <c r="E5678" s="2" t="s">
        <v>213</v>
      </c>
      <c r="F5678" s="11" t="s">
        <v>916</v>
      </c>
      <c r="G5678" s="11" t="s">
        <v>917</v>
      </c>
      <c r="H5678" s="2">
        <v>2023</v>
      </c>
      <c r="I5678" s="2" t="s">
        <v>52</v>
      </c>
      <c r="J5678" s="8">
        <f>+Tabla1[[#This Row],[FECHA ENTRADA]]</f>
        <v>0</v>
      </c>
      <c r="K5678" s="8"/>
      <c r="L5678" s="13">
        <f>_xlfn.DAYS(Tabla1[[#This Row],[FECHA FIN ]],Tabla1[[#This Row],[FECHA INICIO]])</f>
        <v>0</v>
      </c>
      <c r="M5678" s="12"/>
      <c r="N5678" s="12"/>
      <c r="O5678" s="12">
        <f>(Tabla1[[#This Row],[COSTO FIJO ]]/30)*Tabla1[[#This Row],[TOTAL DIAS PROYECTO]]+(Tabla1[[#This Row],[COSTO TEMPORAL]])</f>
        <v>0</v>
      </c>
      <c r="P5678" s="12"/>
      <c r="Q5678" s="12">
        <f>+(Tabla1[[#This Row],[COSTO COCHE]]/30)*Tabla1[[#This Row],[TOTAL DIAS PROYECTO]]</f>
        <v>0</v>
      </c>
      <c r="R5678" s="12">
        <f>+Tabla1[[#This Row],[COSTO TOTAL ALOJAMIENTO]]+Tabla1[[#This Row],[COSTO TOTAL COCHE]]</f>
        <v>0</v>
      </c>
      <c r="S5678" s="2"/>
      <c r="T5678" s="2" t="s">
        <v>35</v>
      </c>
      <c r="U5678" s="14"/>
      <c r="V5678" s="14"/>
      <c r="W5678" s="15"/>
      <c r="X5678" s="16"/>
      <c r="Y5678" s="18" t="s">
        <v>7782</v>
      </c>
      <c r="Z5678" s="2" t="s">
        <v>36</v>
      </c>
      <c r="AA5678" s="13" t="s">
        <v>10349</v>
      </c>
      <c r="AB5678" s="13" t="s">
        <v>10350</v>
      </c>
    </row>
    <row r="5679" spans="1:28" ht="15" customHeight="1">
      <c r="A5679" s="2" t="s">
        <v>8700</v>
      </c>
      <c r="B5679" s="2" t="s">
        <v>28</v>
      </c>
      <c r="C5679" s="11" t="s">
        <v>343</v>
      </c>
      <c r="D5679" s="2" t="s">
        <v>30</v>
      </c>
      <c r="E5679" s="2" t="s">
        <v>443</v>
      </c>
      <c r="F5679" s="11" t="s">
        <v>7783</v>
      </c>
      <c r="G5679" s="11" t="s">
        <v>7784</v>
      </c>
      <c r="H5679" s="2" t="s">
        <v>7785</v>
      </c>
      <c r="I5679" s="12" t="s">
        <v>279</v>
      </c>
      <c r="J5679" s="8">
        <f>+Tabla1[[#This Row],[FECHA ENTRADA]]</f>
        <v>45417</v>
      </c>
      <c r="K5679" s="8"/>
      <c r="L5679" s="13">
        <f>_xlfn.DAYS(Tabla1[[#This Row],[FECHA FIN ]],Tabla1[[#This Row],[FECHA INICIO]])</f>
        <v>-45417</v>
      </c>
      <c r="M5679" s="12"/>
      <c r="N5679" s="12">
        <v>150</v>
      </c>
      <c r="O5679" s="12">
        <f>(Tabla1[[#This Row],[COSTO FIJO ]]/30)*Tabla1[[#This Row],[TOTAL DIAS PROYECTO]]+(Tabla1[[#This Row],[COSTO TEMPORAL]])</f>
        <v>-227085</v>
      </c>
      <c r="P5679" s="12"/>
      <c r="Q5679" s="12">
        <f>+(Tabla1[[#This Row],[COSTO COCHE]]/30)*Tabla1[[#This Row],[TOTAL DIAS PROYECTO]]</f>
        <v>0</v>
      </c>
      <c r="R5679" s="12">
        <f>+Tabla1[[#This Row],[COSTO TOTAL ALOJAMIENTO]]+Tabla1[[#This Row],[COSTO TOTAL COCHE]]</f>
        <v>-227085</v>
      </c>
      <c r="S5679" s="2"/>
      <c r="T5679" s="2" t="s">
        <v>35</v>
      </c>
      <c r="U5679" s="14">
        <v>45417</v>
      </c>
      <c r="V5679" s="14">
        <v>45422</v>
      </c>
      <c r="W5679" s="26"/>
      <c r="X5679" s="2"/>
      <c r="Y5679" s="18" t="s">
        <v>7786</v>
      </c>
      <c r="Z5679" s="2" t="s">
        <v>36</v>
      </c>
      <c r="AA5679" s="13" t="s">
        <v>10376</v>
      </c>
      <c r="AB5679" s="13">
        <v>38.4</v>
      </c>
    </row>
    <row r="5680" spans="1:28" ht="15" customHeight="1">
      <c r="A5680" s="2" t="s">
        <v>8810</v>
      </c>
      <c r="B5680" s="2" t="s">
        <v>28</v>
      </c>
      <c r="C5680" s="11" t="s">
        <v>854</v>
      </c>
      <c r="D5680" s="2" t="s">
        <v>72</v>
      </c>
      <c r="E5680" s="2" t="s">
        <v>73</v>
      </c>
      <c r="F5680" s="11" t="s">
        <v>241</v>
      </c>
      <c r="G5680" s="11" t="s">
        <v>242</v>
      </c>
      <c r="H5680" s="2" t="s">
        <v>188</v>
      </c>
      <c r="I5680" s="2" t="s">
        <v>189</v>
      </c>
      <c r="J5680" s="8">
        <f>+Tabla1[[#This Row],[FECHA ENTRADA]]</f>
        <v>45383</v>
      </c>
      <c r="K5680" s="8"/>
      <c r="L5680" s="13">
        <f>_xlfn.DAYS(Tabla1[[#This Row],[FECHA FIN ]],Tabla1[[#This Row],[FECHA INICIO]])</f>
        <v>-45383</v>
      </c>
      <c r="M5680" s="12"/>
      <c r="N5680" s="12"/>
      <c r="O5680" s="12">
        <f>(Tabla1[[#This Row],[COSTO FIJO ]]/30)*Tabla1[[#This Row],[TOTAL DIAS PROYECTO]]+(Tabla1[[#This Row],[COSTO TEMPORAL]])</f>
        <v>0</v>
      </c>
      <c r="P5680" s="12"/>
      <c r="Q5680" s="12">
        <f>+(Tabla1[[#This Row],[COSTO COCHE]]/30)*Tabla1[[#This Row],[TOTAL DIAS PROYECTO]]</f>
        <v>0</v>
      </c>
      <c r="R5680" s="12">
        <f>+Tabla1[[#This Row],[COSTO TOTAL ALOJAMIENTO]]+Tabla1[[#This Row],[COSTO TOTAL COCHE]]</f>
        <v>0</v>
      </c>
      <c r="S5680" s="2"/>
      <c r="T5680" s="2" t="s">
        <v>35</v>
      </c>
      <c r="U5680" s="14">
        <v>45383</v>
      </c>
      <c r="V5680" s="14"/>
      <c r="W5680" s="26"/>
      <c r="X5680" s="16"/>
      <c r="Y5680" s="18" t="s">
        <v>243</v>
      </c>
      <c r="Z5680" s="2" t="s">
        <v>36</v>
      </c>
      <c r="AA5680" s="13" t="s">
        <v>10331</v>
      </c>
      <c r="AB5680" s="13" t="s">
        <v>10332</v>
      </c>
    </row>
    <row r="5681" spans="1:28">
      <c r="A5681" s="2" t="s">
        <v>10284</v>
      </c>
      <c r="B5681" s="2" t="s">
        <v>368</v>
      </c>
      <c r="C5681" s="11" t="s">
        <v>7760</v>
      </c>
      <c r="D5681" s="2" t="s">
        <v>30</v>
      </c>
      <c r="E5681" s="2" t="s">
        <v>213</v>
      </c>
      <c r="F5681" s="11"/>
      <c r="G5681" s="11"/>
      <c r="H5681" s="2" t="s">
        <v>998</v>
      </c>
      <c r="I5681" s="12" t="s">
        <v>514</v>
      </c>
      <c r="J5681" s="8">
        <f>+Tabla1[[#This Row],[FECHA ENTRADA]]</f>
        <v>45529</v>
      </c>
      <c r="K5681" s="8"/>
      <c r="L5681" s="13">
        <f>_xlfn.DAYS(Tabla1[[#This Row],[FECHA FIN ]],Tabla1[[#This Row],[FECHA INICIO]])</f>
        <v>-45529</v>
      </c>
      <c r="M5681" s="12"/>
      <c r="N5681" s="12"/>
      <c r="O5681" s="12">
        <f>(Tabla1[[#This Row],[COSTO FIJO ]]/30)*Tabla1[[#This Row],[TOTAL DIAS PROYECTO]]+(Tabla1[[#This Row],[COSTO TEMPORAL]])</f>
        <v>0</v>
      </c>
      <c r="P5681" s="12"/>
      <c r="Q5681" s="12">
        <f>+(Tabla1[[#This Row],[COSTO COCHE]]/30)*Tabla1[[#This Row],[TOTAL DIAS PROYECTO]]</f>
        <v>0</v>
      </c>
      <c r="R5681" s="12">
        <f>+Tabla1[[#This Row],[COSTO TOTAL ALOJAMIENTO]]+Tabla1[[#This Row],[COSTO TOTAL COCHE]]</f>
        <v>0</v>
      </c>
      <c r="S5681" s="2"/>
      <c r="T5681" s="2" t="s">
        <v>35</v>
      </c>
      <c r="U5681" s="14">
        <v>45529</v>
      </c>
      <c r="V5681" s="8"/>
      <c r="W5681" s="26"/>
      <c r="X5681" s="2"/>
      <c r="Y5681" s="18" t="s">
        <v>7787</v>
      </c>
      <c r="Z5681" s="2" t="s">
        <v>36</v>
      </c>
      <c r="AA5681" s="13" t="s">
        <v>10349</v>
      </c>
      <c r="AB5681" s="13" t="s">
        <v>10350</v>
      </c>
    </row>
    <row r="5682" spans="1:28">
      <c r="A5682" s="2" t="s">
        <v>8710</v>
      </c>
      <c r="B5682" s="2" t="s">
        <v>28</v>
      </c>
      <c r="C5682" s="11" t="s">
        <v>399</v>
      </c>
      <c r="D5682" s="2" t="s">
        <v>30</v>
      </c>
      <c r="E5682" s="2" t="s">
        <v>443</v>
      </c>
      <c r="F5682" s="11" t="s">
        <v>7783</v>
      </c>
      <c r="G5682" s="11" t="s">
        <v>7784</v>
      </c>
      <c r="H5682" s="2" t="s">
        <v>7785</v>
      </c>
      <c r="I5682" s="12" t="s">
        <v>279</v>
      </c>
      <c r="J5682" s="8">
        <f>+Tabla1[[#This Row],[FECHA ENTRADA]]</f>
        <v>45417</v>
      </c>
      <c r="K5682" s="8"/>
      <c r="L5682" s="13">
        <f>_xlfn.DAYS(Tabla1[[#This Row],[FECHA FIN ]],Tabla1[[#This Row],[FECHA INICIO]])</f>
        <v>-45417</v>
      </c>
      <c r="M5682" s="12"/>
      <c r="N5682" s="12">
        <v>150</v>
      </c>
      <c r="O5682" s="12">
        <f>(Tabla1[[#This Row],[COSTO FIJO ]]/30)*Tabla1[[#This Row],[TOTAL DIAS PROYECTO]]+(Tabla1[[#This Row],[COSTO TEMPORAL]])</f>
        <v>-227085</v>
      </c>
      <c r="P5682" s="12"/>
      <c r="Q5682" s="12">
        <f>+(Tabla1[[#This Row],[COSTO COCHE]]/30)*Tabla1[[#This Row],[TOTAL DIAS PROYECTO]]</f>
        <v>0</v>
      </c>
      <c r="R5682" s="12">
        <f>+Tabla1[[#This Row],[COSTO TOTAL ALOJAMIENTO]]+Tabla1[[#This Row],[COSTO TOTAL COCHE]]</f>
        <v>-227085</v>
      </c>
      <c r="S5682" s="2"/>
      <c r="T5682" s="2" t="s">
        <v>35</v>
      </c>
      <c r="U5682" s="14">
        <v>45417</v>
      </c>
      <c r="V5682" s="14">
        <v>45422</v>
      </c>
      <c r="W5682" s="26"/>
      <c r="X5682" s="2"/>
      <c r="Y5682" s="18" t="s">
        <v>7786</v>
      </c>
      <c r="Z5682" s="2" t="s">
        <v>36</v>
      </c>
      <c r="AA5682" s="13" t="s">
        <v>10376</v>
      </c>
      <c r="AB5682" s="13">
        <v>38.4</v>
      </c>
    </row>
    <row r="5683" spans="1:28">
      <c r="A5683" s="2" t="s">
        <v>10292</v>
      </c>
      <c r="B5683" s="2" t="s">
        <v>606</v>
      </c>
      <c r="C5683" s="228" t="s">
        <v>7788</v>
      </c>
      <c r="D5683" s="2" t="s">
        <v>30</v>
      </c>
      <c r="E5683" s="2" t="s">
        <v>31</v>
      </c>
      <c r="F5683" s="11"/>
      <c r="G5683" s="11"/>
      <c r="H5683" s="2">
        <v>2023</v>
      </c>
      <c r="I5683" s="2" t="s">
        <v>385</v>
      </c>
      <c r="J5683" s="8">
        <v>44933</v>
      </c>
      <c r="K5683" s="8">
        <v>46257</v>
      </c>
      <c r="L5683" s="13">
        <f>_xlfn.DAYS(Tabla1[[#This Row],[FECHA FIN ]],Tabla1[[#This Row],[FECHA INICIO]])</f>
        <v>1324</v>
      </c>
      <c r="M5683" s="12"/>
      <c r="N5683" s="28">
        <v>300</v>
      </c>
      <c r="O5683" s="12">
        <f>(Tabla1[[#This Row],[COSTO FIJO ]]/30)*Tabla1[[#This Row],[TOTAL DIAS PROYECTO]]+(Tabla1[[#This Row],[COSTO TEMPORAL]])</f>
        <v>13240</v>
      </c>
      <c r="P5683" s="12"/>
      <c r="Q5683" s="12">
        <f>+(Tabla1[[#This Row],[COSTO COCHE]]/30)*Tabla1[[#This Row],[TOTAL DIAS PROYECTO]]</f>
        <v>0</v>
      </c>
      <c r="R5683" s="12">
        <f>+Tabla1[[#This Row],[COSTO TOTAL ALOJAMIENTO]]+Tabla1[[#This Row],[COSTO TOTAL COCHE]]</f>
        <v>13240</v>
      </c>
      <c r="S5683" s="2"/>
      <c r="T5683" s="2" t="s">
        <v>58</v>
      </c>
      <c r="U5683" s="14"/>
      <c r="V5683" s="14"/>
      <c r="W5683" s="2"/>
      <c r="X5683" s="2"/>
      <c r="Y5683" s="11" t="s">
        <v>7789</v>
      </c>
      <c r="Z5683" s="2" t="s">
        <v>36</v>
      </c>
      <c r="AA5683" s="13" t="s">
        <v>10323</v>
      </c>
      <c r="AB5683" s="13" t="s">
        <v>10324</v>
      </c>
    </row>
    <row r="5684" spans="1:28">
      <c r="A5684" s="2" t="s">
        <v>8787</v>
      </c>
      <c r="B5684" s="2" t="s">
        <v>28</v>
      </c>
      <c r="C5684" s="11" t="s">
        <v>764</v>
      </c>
      <c r="D5684" s="2" t="s">
        <v>72</v>
      </c>
      <c r="E5684" s="2" t="s">
        <v>73</v>
      </c>
      <c r="F5684" s="11" t="s">
        <v>241</v>
      </c>
      <c r="G5684" s="11" t="s">
        <v>242</v>
      </c>
      <c r="H5684" s="2" t="s">
        <v>3947</v>
      </c>
      <c r="I5684" s="2" t="s">
        <v>189</v>
      </c>
      <c r="J5684" s="8">
        <f>+Tabla1[[#This Row],[FECHA ENTRADA]]</f>
        <v>45383</v>
      </c>
      <c r="K5684" s="8"/>
      <c r="L5684" s="13">
        <f>_xlfn.DAYS(Tabla1[[#This Row],[FECHA FIN ]],Tabla1[[#This Row],[FECHA INICIO]])</f>
        <v>-45383</v>
      </c>
      <c r="M5684" s="12"/>
      <c r="N5684" s="12"/>
      <c r="O5684" s="12">
        <f>(Tabla1[[#This Row],[COSTO FIJO ]]/30)*Tabla1[[#This Row],[TOTAL DIAS PROYECTO]]+(Tabla1[[#This Row],[COSTO TEMPORAL]])</f>
        <v>0</v>
      </c>
      <c r="P5684" s="12"/>
      <c r="Q5684" s="12">
        <f>+(Tabla1[[#This Row],[COSTO COCHE]]/30)*Tabla1[[#This Row],[TOTAL DIAS PROYECTO]]</f>
        <v>0</v>
      </c>
      <c r="R5684" s="12">
        <f>+Tabla1[[#This Row],[COSTO TOTAL ALOJAMIENTO]]+Tabla1[[#This Row],[COSTO TOTAL COCHE]]</f>
        <v>0</v>
      </c>
      <c r="S5684" s="2"/>
      <c r="T5684" s="2" t="s">
        <v>35</v>
      </c>
      <c r="U5684" s="14">
        <v>45383</v>
      </c>
      <c r="V5684" s="14"/>
      <c r="W5684" s="26"/>
      <c r="X5684" s="16"/>
      <c r="Y5684" s="18" t="s">
        <v>243</v>
      </c>
      <c r="Z5684" s="2" t="s">
        <v>36</v>
      </c>
      <c r="AA5684" s="13" t="s">
        <v>10331</v>
      </c>
      <c r="AB5684" s="13" t="s">
        <v>10332</v>
      </c>
    </row>
    <row r="5685" spans="1:28">
      <c r="A5685" s="2" t="s">
        <v>8773</v>
      </c>
      <c r="B5685" s="2" t="s">
        <v>28</v>
      </c>
      <c r="C5685" s="104" t="s">
        <v>690</v>
      </c>
      <c r="D5685" s="2" t="s">
        <v>72</v>
      </c>
      <c r="E5685" s="2" t="s">
        <v>73</v>
      </c>
      <c r="F5685" s="11" t="s">
        <v>241</v>
      </c>
      <c r="G5685" s="11" t="s">
        <v>242</v>
      </c>
      <c r="H5685" s="2" t="s">
        <v>3947</v>
      </c>
      <c r="I5685" s="2" t="s">
        <v>189</v>
      </c>
      <c r="J5685" s="8">
        <f>+Tabla1[[#This Row],[FECHA ENTRADA]]</f>
        <v>45383</v>
      </c>
      <c r="K5685" s="8"/>
      <c r="L5685" s="13">
        <f>_xlfn.DAYS(Tabla1[[#This Row],[FECHA FIN ]],Tabla1[[#This Row],[FECHA INICIO]])</f>
        <v>-45383</v>
      </c>
      <c r="M5685" s="12"/>
      <c r="N5685" s="12"/>
      <c r="O5685" s="12">
        <f>(Tabla1[[#This Row],[COSTO FIJO ]]/30)*Tabla1[[#This Row],[TOTAL DIAS PROYECTO]]+(Tabla1[[#This Row],[COSTO TEMPORAL]])</f>
        <v>0</v>
      </c>
      <c r="P5685" s="12"/>
      <c r="Q5685" s="12">
        <f>+(Tabla1[[#This Row],[COSTO COCHE]]/30)*Tabla1[[#This Row],[TOTAL DIAS PROYECTO]]</f>
        <v>0</v>
      </c>
      <c r="R5685" s="12">
        <f>+Tabla1[[#This Row],[COSTO TOTAL ALOJAMIENTO]]+Tabla1[[#This Row],[COSTO TOTAL COCHE]]</f>
        <v>0</v>
      </c>
      <c r="S5685" s="2"/>
      <c r="T5685" s="2" t="s">
        <v>35</v>
      </c>
      <c r="U5685" s="14">
        <v>45383</v>
      </c>
      <c r="V5685" s="14"/>
      <c r="W5685" s="26"/>
      <c r="X5685" s="16"/>
      <c r="Y5685" s="18" t="s">
        <v>243</v>
      </c>
      <c r="Z5685" s="2" t="s">
        <v>36</v>
      </c>
      <c r="AA5685" s="13" t="s">
        <v>10331</v>
      </c>
      <c r="AB5685" s="13" t="s">
        <v>10332</v>
      </c>
    </row>
    <row r="5686" spans="1:28">
      <c r="A5686" s="2" t="s">
        <v>8711</v>
      </c>
      <c r="B5686" s="2" t="s">
        <v>28</v>
      </c>
      <c r="C5686" s="11" t="s">
        <v>400</v>
      </c>
      <c r="D5686" s="2" t="s">
        <v>30</v>
      </c>
      <c r="E5686" s="2" t="s">
        <v>443</v>
      </c>
      <c r="F5686" s="11" t="s">
        <v>7783</v>
      </c>
      <c r="G5686" s="11" t="s">
        <v>7784</v>
      </c>
      <c r="H5686" s="2" t="s">
        <v>7785</v>
      </c>
      <c r="I5686" s="12" t="s">
        <v>279</v>
      </c>
      <c r="J5686" s="8">
        <f>+Tabla1[[#This Row],[FECHA ENTRADA]]</f>
        <v>45417</v>
      </c>
      <c r="K5686" s="8"/>
      <c r="L5686" s="13">
        <f>_xlfn.DAYS(Tabla1[[#This Row],[FECHA FIN ]],Tabla1[[#This Row],[FECHA INICIO]])</f>
        <v>-45417</v>
      </c>
      <c r="M5686" s="12"/>
      <c r="N5686" s="12">
        <v>150</v>
      </c>
      <c r="O5686" s="12">
        <f>(Tabla1[[#This Row],[COSTO FIJO ]]/30)*Tabla1[[#This Row],[TOTAL DIAS PROYECTO]]+(Tabla1[[#This Row],[COSTO TEMPORAL]])</f>
        <v>-227085</v>
      </c>
      <c r="P5686" s="12"/>
      <c r="Q5686" s="12">
        <f>+(Tabla1[[#This Row],[COSTO COCHE]]/30)*Tabla1[[#This Row],[TOTAL DIAS PROYECTO]]</f>
        <v>0</v>
      </c>
      <c r="R5686" s="12">
        <f>+Tabla1[[#This Row],[COSTO TOTAL ALOJAMIENTO]]+Tabla1[[#This Row],[COSTO TOTAL COCHE]]</f>
        <v>-227085</v>
      </c>
      <c r="S5686" s="2"/>
      <c r="T5686" s="2" t="s">
        <v>35</v>
      </c>
      <c r="U5686" s="14">
        <v>45417</v>
      </c>
      <c r="V5686" s="14">
        <v>45422</v>
      </c>
      <c r="W5686" s="235">
        <v>600</v>
      </c>
      <c r="X5686" s="2"/>
      <c r="Y5686" s="18" t="s">
        <v>7786</v>
      </c>
      <c r="Z5686" s="2" t="s">
        <v>36</v>
      </c>
      <c r="AA5686" s="13" t="s">
        <v>10376</v>
      </c>
      <c r="AB5686" s="13">
        <v>38.4</v>
      </c>
    </row>
    <row r="5687" spans="1:28">
      <c r="A5687" s="2" t="s">
        <v>9711</v>
      </c>
      <c r="B5687" s="2" t="s">
        <v>28</v>
      </c>
      <c r="C5687" s="11" t="s">
        <v>4355</v>
      </c>
      <c r="D5687" s="2" t="s">
        <v>72</v>
      </c>
      <c r="E5687" s="2" t="s">
        <v>73</v>
      </c>
      <c r="F5687" s="11" t="s">
        <v>241</v>
      </c>
      <c r="G5687" s="11" t="s">
        <v>242</v>
      </c>
      <c r="H5687" s="2" t="s">
        <v>3947</v>
      </c>
      <c r="I5687" s="2" t="s">
        <v>189</v>
      </c>
      <c r="J5687" s="8">
        <f>+Tabla1[[#This Row],[FECHA ENTRADA]]</f>
        <v>45383</v>
      </c>
      <c r="K5687" s="8"/>
      <c r="L5687" s="13">
        <f>_xlfn.DAYS(Tabla1[[#This Row],[FECHA FIN ]],Tabla1[[#This Row],[FECHA INICIO]])</f>
        <v>-45383</v>
      </c>
      <c r="M5687" s="12"/>
      <c r="N5687" s="2"/>
      <c r="O5687" s="12">
        <f>(Tabla1[[#This Row],[COSTO FIJO ]]/30)*Tabla1[[#This Row],[TOTAL DIAS PROYECTO]]+(Tabla1[[#This Row],[COSTO TEMPORAL]])</f>
        <v>0</v>
      </c>
      <c r="P5687" s="12"/>
      <c r="Q5687" s="12">
        <f>+(Tabla1[[#This Row],[COSTO COCHE]]/30)*Tabla1[[#This Row],[TOTAL DIAS PROYECTO]]</f>
        <v>0</v>
      </c>
      <c r="R5687" s="12">
        <f>+Tabla1[[#This Row],[COSTO TOTAL ALOJAMIENTO]]+Tabla1[[#This Row],[COSTO TOTAL COCHE]]</f>
        <v>0</v>
      </c>
      <c r="S5687" s="2"/>
      <c r="T5687" s="2" t="s">
        <v>35</v>
      </c>
      <c r="U5687" s="14">
        <v>45383</v>
      </c>
      <c r="V5687" s="14"/>
      <c r="W5687" s="26"/>
      <c r="X5687" s="16"/>
      <c r="Y5687" s="18" t="s">
        <v>243</v>
      </c>
      <c r="Z5687" s="2" t="s">
        <v>36</v>
      </c>
      <c r="AA5687" s="13" t="s">
        <v>10331</v>
      </c>
      <c r="AB5687" s="13" t="s">
        <v>10332</v>
      </c>
    </row>
    <row r="5688" spans="1:28">
      <c r="A5688" s="2" t="s">
        <v>10293</v>
      </c>
      <c r="B5688" s="2" t="s">
        <v>28</v>
      </c>
      <c r="C5688" s="11" t="s">
        <v>7790</v>
      </c>
      <c r="D5688" s="2" t="s">
        <v>72</v>
      </c>
      <c r="E5688" s="2" t="s">
        <v>73</v>
      </c>
      <c r="F5688" s="11" t="s">
        <v>74</v>
      </c>
      <c r="G5688" s="11" t="s">
        <v>75</v>
      </c>
      <c r="H5688" s="2"/>
      <c r="I5688" s="2" t="s">
        <v>332</v>
      </c>
      <c r="J5688" s="8">
        <f>+Tabla1[[#This Row],[FECHA ENTRADA]]</f>
        <v>0</v>
      </c>
      <c r="K5688" s="8"/>
      <c r="L5688" s="13">
        <f>_xlfn.DAYS(Tabla1[[#This Row],[FECHA FIN ]],Tabla1[[#This Row],[FECHA INICIO]])</f>
        <v>0</v>
      </c>
      <c r="M5688" s="12"/>
      <c r="N5688" s="12"/>
      <c r="O5688" s="12">
        <f>(Tabla1[[#This Row],[COSTO FIJO ]]/30)*Tabla1[[#This Row],[TOTAL DIAS PROYECTO]]+(Tabla1[[#This Row],[COSTO TEMPORAL]])</f>
        <v>0</v>
      </c>
      <c r="P5688" s="12"/>
      <c r="Q5688" s="12">
        <f>+(Tabla1[[#This Row],[COSTO COCHE]]/30)*Tabla1[[#This Row],[TOTAL DIAS PROYECTO]]</f>
        <v>0</v>
      </c>
      <c r="R5688" s="12">
        <f>+Tabla1[[#This Row],[COSTO TOTAL ALOJAMIENTO]]+Tabla1[[#This Row],[COSTO TOTAL COCHE]]</f>
        <v>0</v>
      </c>
      <c r="S5688" s="2"/>
      <c r="T5688" s="2" t="s">
        <v>35</v>
      </c>
      <c r="U5688" s="14"/>
      <c r="V5688" s="14"/>
      <c r="W5688" s="15"/>
      <c r="X5688" s="16"/>
      <c r="Y5688" s="18" t="s">
        <v>7791</v>
      </c>
      <c r="Z5688" s="2" t="s">
        <v>36</v>
      </c>
      <c r="AA5688" s="13" t="s">
        <v>10331</v>
      </c>
      <c r="AB5688" s="13" t="s">
        <v>10332</v>
      </c>
    </row>
    <row r="5689" spans="1:28">
      <c r="A5689" s="2" t="s">
        <v>9505</v>
      </c>
      <c r="B5689" s="2" t="s">
        <v>28</v>
      </c>
      <c r="C5689" s="11" t="s">
        <v>3443</v>
      </c>
      <c r="D5689" s="2" t="s">
        <v>30</v>
      </c>
      <c r="E5689" s="2" t="s">
        <v>253</v>
      </c>
      <c r="F5689" s="11" t="s">
        <v>1688</v>
      </c>
      <c r="G5689" s="11" t="s">
        <v>660</v>
      </c>
      <c r="H5689" s="2" t="s">
        <v>7792</v>
      </c>
      <c r="I5689" s="12" t="s">
        <v>774</v>
      </c>
      <c r="J5689" s="8">
        <f>+Tabla1[[#This Row],[FECHA ENTRADA]]</f>
        <v>45340</v>
      </c>
      <c r="K5689" s="8"/>
      <c r="L5689" s="13">
        <f>_xlfn.DAYS(Tabla1[[#This Row],[FECHA FIN ]],Tabla1[[#This Row],[FECHA INICIO]])</f>
        <v>-45340</v>
      </c>
      <c r="M5689" s="12"/>
      <c r="N5689" s="12"/>
      <c r="O5689" s="12">
        <f>(Tabla1[[#This Row],[COSTO FIJO ]]/30)*Tabla1[[#This Row],[TOTAL DIAS PROYECTO]]+(Tabla1[[#This Row],[COSTO TEMPORAL]])</f>
        <v>0</v>
      </c>
      <c r="P5689" s="12"/>
      <c r="Q5689" s="12">
        <f>+(Tabla1[[#This Row],[COSTO COCHE]]/30)*Tabla1[[#This Row],[TOTAL DIAS PROYECTO]]</f>
        <v>0</v>
      </c>
      <c r="R5689" s="12">
        <f>+Tabla1[[#This Row],[COSTO TOTAL ALOJAMIENTO]]+Tabla1[[#This Row],[COSTO TOTAL COCHE]]</f>
        <v>0</v>
      </c>
      <c r="S5689" s="2"/>
      <c r="T5689" s="2" t="s">
        <v>35</v>
      </c>
      <c r="U5689" s="14">
        <v>45340</v>
      </c>
      <c r="V5689" s="14">
        <v>45341</v>
      </c>
      <c r="W5689" s="15"/>
      <c r="X5689" s="16"/>
      <c r="Y5689" s="18" t="s">
        <v>7793</v>
      </c>
      <c r="Z5689" s="2" t="s">
        <v>36</v>
      </c>
      <c r="AA5689" s="13" t="s">
        <v>10357</v>
      </c>
      <c r="AB5689" s="13" t="s">
        <v>10358</v>
      </c>
    </row>
    <row r="5690" spans="1:28">
      <c r="A5690" s="2" t="s">
        <v>8654</v>
      </c>
      <c r="B5690" s="2" t="s">
        <v>28</v>
      </c>
      <c r="C5690" s="11" t="s">
        <v>148</v>
      </c>
      <c r="D5690" s="2" t="s">
        <v>30</v>
      </c>
      <c r="E5690" s="2" t="s">
        <v>443</v>
      </c>
      <c r="F5690" s="11" t="s">
        <v>7783</v>
      </c>
      <c r="G5690" s="11" t="s">
        <v>7784</v>
      </c>
      <c r="H5690" s="2" t="s">
        <v>7785</v>
      </c>
      <c r="I5690" s="2" t="s">
        <v>279</v>
      </c>
      <c r="J5690" s="8">
        <f>+Tabla1[[#This Row],[FECHA ENTRADA]]</f>
        <v>45417</v>
      </c>
      <c r="K5690" s="8"/>
      <c r="L5690" s="13">
        <f>_xlfn.DAYS(Tabla1[[#This Row],[FECHA FIN ]],Tabla1[[#This Row],[FECHA INICIO]])</f>
        <v>-45417</v>
      </c>
      <c r="M5690" s="12"/>
      <c r="N5690" s="12">
        <v>150</v>
      </c>
      <c r="O5690" s="12">
        <f>(Tabla1[[#This Row],[COSTO FIJO ]]/30)*Tabla1[[#This Row],[TOTAL DIAS PROYECTO]]+(Tabla1[[#This Row],[COSTO TEMPORAL]])</f>
        <v>-227085</v>
      </c>
      <c r="P5690" s="12"/>
      <c r="Q5690" s="12">
        <f>+(Tabla1[[#This Row],[COSTO COCHE]]/30)*Tabla1[[#This Row],[TOTAL DIAS PROYECTO]]</f>
        <v>0</v>
      </c>
      <c r="R5690" s="12">
        <f>+Tabla1[[#This Row],[COSTO TOTAL ALOJAMIENTO]]+Tabla1[[#This Row],[COSTO TOTAL COCHE]]</f>
        <v>-227085</v>
      </c>
      <c r="S5690" s="2"/>
      <c r="T5690" s="2" t="s">
        <v>35</v>
      </c>
      <c r="U5690" s="14">
        <v>45417</v>
      </c>
      <c r="V5690" s="14">
        <v>45422</v>
      </c>
      <c r="W5690" s="15"/>
      <c r="X5690" s="16"/>
      <c r="Y5690" s="18" t="s">
        <v>7786</v>
      </c>
      <c r="Z5690" s="2" t="s">
        <v>36</v>
      </c>
      <c r="AA5690" s="13" t="s">
        <v>10376</v>
      </c>
      <c r="AB5690" s="13">
        <v>38.4</v>
      </c>
    </row>
    <row r="5691" spans="1:28">
      <c r="A5691" s="2" t="s">
        <v>10294</v>
      </c>
      <c r="B5691" s="2" t="s">
        <v>28</v>
      </c>
      <c r="C5691" s="104" t="s">
        <v>7794</v>
      </c>
      <c r="D5691" s="2" t="s">
        <v>30</v>
      </c>
      <c r="E5691" s="2" t="s">
        <v>253</v>
      </c>
      <c r="F5691" s="11" t="s">
        <v>659</v>
      </c>
      <c r="G5691" s="11" t="s">
        <v>660</v>
      </c>
      <c r="H5691" s="2" t="s">
        <v>7792</v>
      </c>
      <c r="I5691" s="12" t="s">
        <v>774</v>
      </c>
      <c r="J5691" s="8">
        <f>+Tabla1[[#This Row],[FECHA ENTRADA]]</f>
        <v>45354</v>
      </c>
      <c r="K5691" s="8"/>
      <c r="L5691" s="13">
        <f>_xlfn.DAYS(Tabla1[[#This Row],[FECHA FIN ]],Tabla1[[#This Row],[FECHA INICIO]])</f>
        <v>-45354</v>
      </c>
      <c r="M5691" s="12"/>
      <c r="N5691" s="12"/>
      <c r="O5691" s="12">
        <f>(Tabla1[[#This Row],[COSTO FIJO ]]/30)*Tabla1[[#This Row],[TOTAL DIAS PROYECTO]]+(Tabla1[[#This Row],[COSTO TEMPORAL]])</f>
        <v>0</v>
      </c>
      <c r="P5691" s="12"/>
      <c r="Q5691" s="12">
        <f>+(Tabla1[[#This Row],[COSTO COCHE]]/30)*Tabla1[[#This Row],[TOTAL DIAS PROYECTO]]</f>
        <v>0</v>
      </c>
      <c r="R5691" s="12">
        <f>+Tabla1[[#This Row],[COSTO TOTAL ALOJAMIENTO]]+Tabla1[[#This Row],[COSTO TOTAL COCHE]]</f>
        <v>0</v>
      </c>
      <c r="S5691" s="2"/>
      <c r="T5691" s="2" t="s">
        <v>35</v>
      </c>
      <c r="U5691" s="14">
        <v>45354</v>
      </c>
      <c r="V5691" s="14">
        <v>45355</v>
      </c>
      <c r="W5691" s="15"/>
      <c r="X5691" s="16"/>
      <c r="Y5691" s="18" t="s">
        <v>7793</v>
      </c>
      <c r="Z5691" s="2" t="s">
        <v>36</v>
      </c>
      <c r="AA5691" s="13" t="s">
        <v>10357</v>
      </c>
      <c r="AB5691" s="13" t="s">
        <v>10358</v>
      </c>
    </row>
    <row r="5692" spans="1:28">
      <c r="A5692" s="2" t="s">
        <v>9746</v>
      </c>
      <c r="B5692" s="2" t="s">
        <v>978</v>
      </c>
      <c r="C5692" s="97" t="s">
        <v>4546</v>
      </c>
      <c r="D5692" s="2" t="s">
        <v>30</v>
      </c>
      <c r="E5692" s="2" t="s">
        <v>253</v>
      </c>
      <c r="F5692" s="46" t="s">
        <v>7795</v>
      </c>
      <c r="G5692" s="46" t="s">
        <v>7796</v>
      </c>
      <c r="H5692" s="2" t="s">
        <v>6109</v>
      </c>
      <c r="I5692" s="12" t="s">
        <v>5927</v>
      </c>
      <c r="J5692" s="41">
        <f>+Tabla1[[#This Row],[FECHA ENTRADA]]</f>
        <v>0</v>
      </c>
      <c r="K5692" s="41"/>
      <c r="L5692" s="42">
        <f>_xlfn.DAYS(Tabla1[[#This Row],[FECHA FIN ]],Tabla1[[#This Row],[FECHA INICIO]])</f>
        <v>0</v>
      </c>
      <c r="M5692" s="12"/>
      <c r="N5692" s="12"/>
      <c r="O5692" s="28">
        <f>(Tabla1[[#This Row],[COSTO FIJO ]]/30)*Tabla1[[#This Row],[TOTAL DIAS PROYECTO]]+(Tabla1[[#This Row],[COSTO TEMPORAL]])</f>
        <v>0</v>
      </c>
      <c r="P5692" s="12"/>
      <c r="Q5692" s="12">
        <f>+(Tabla1[[#This Row],[COSTO COCHE]]/30)*Tabla1[[#This Row],[TOTAL DIAS PROYECTO]]</f>
        <v>0</v>
      </c>
      <c r="R5692" s="12">
        <f>+Tabla1[[#This Row],[COSTO TOTAL ALOJAMIENTO]]+Tabla1[[#This Row],[COSTO TOTAL COCHE]]</f>
        <v>0</v>
      </c>
      <c r="S5692" s="2"/>
      <c r="T5692" s="14" t="s">
        <v>35</v>
      </c>
      <c r="U5692" s="14"/>
      <c r="V5692" s="43"/>
      <c r="W5692" s="12"/>
      <c r="X5692" s="2"/>
      <c r="Y5692" s="11" t="s">
        <v>7797</v>
      </c>
      <c r="Z5692" s="2" t="s">
        <v>36</v>
      </c>
      <c r="AA5692" s="13" t="s">
        <v>10357</v>
      </c>
      <c r="AB5692" s="13" t="s">
        <v>10358</v>
      </c>
    </row>
    <row r="5693" spans="1:28" s="171" customFormat="1" ht="16.5" customHeight="1">
      <c r="A5693" s="2" t="s">
        <v>9499</v>
      </c>
      <c r="B5693" s="2" t="s">
        <v>606</v>
      </c>
      <c r="C5693" s="322" t="s">
        <v>3399</v>
      </c>
      <c r="D5693" s="2" t="s">
        <v>99</v>
      </c>
      <c r="E5693" s="2" t="s">
        <v>259</v>
      </c>
      <c r="F5693" s="11"/>
      <c r="G5693" s="21"/>
      <c r="H5693" s="2" t="s">
        <v>3397</v>
      </c>
      <c r="I5693" s="12" t="s">
        <v>57</v>
      </c>
      <c r="J5693" s="22">
        <f>+Tabla1[[#This Row],[FECHA ENTRADA]]</f>
        <v>45992</v>
      </c>
      <c r="K5693" s="22">
        <f ca="1">TODAY()</f>
        <v>46260</v>
      </c>
      <c r="L5693" s="23">
        <f ca="1">_xlfn.DAYS(Tabla1[[#This Row],[FECHA FIN ]],Tabla1[[#This Row],[FECHA INICIO]])</f>
        <v>268</v>
      </c>
      <c r="M5693" s="12"/>
      <c r="N5693" s="20">
        <v>300</v>
      </c>
      <c r="O5693" s="24">
        <f ca="1">(Tabla1[[#This Row],[COSTO FIJO ]]/30)*Tabla1[[#This Row],[TOTAL DIAS PROYECTO]]+(Tabla1[[#This Row],[COSTO TEMPORAL]])</f>
        <v>2680</v>
      </c>
      <c r="P5693" s="12"/>
      <c r="Q5693" s="12">
        <f ca="1">+(Tabla1[[#This Row],[COSTO COCHE]]/30)*Tabla1[[#This Row],[TOTAL DIAS PROYECTO]]</f>
        <v>0</v>
      </c>
      <c r="R5693" s="12">
        <f ca="1">+Tabla1[[#This Row],[COSTO TOTAL ALOJAMIENTO]]+Tabla1[[#This Row],[COSTO TOTAL COCHE]]</f>
        <v>2680</v>
      </c>
      <c r="S5693" s="2"/>
      <c r="T5693" s="14" t="s">
        <v>58</v>
      </c>
      <c r="U5693" s="14">
        <v>45992</v>
      </c>
      <c r="V5693" s="79"/>
      <c r="W5693" s="12"/>
      <c r="X5693" s="2"/>
      <c r="Y5693" s="11" t="s">
        <v>7798</v>
      </c>
      <c r="Z5693" s="2" t="s">
        <v>702</v>
      </c>
      <c r="AA5693" s="13">
        <v>-0.87734000000000001</v>
      </c>
      <c r="AB5693" s="13" t="s">
        <v>10359</v>
      </c>
    </row>
    <row r="5694" spans="1:28" ht="15" customHeight="1">
      <c r="A5694" s="2" t="s">
        <v>10156</v>
      </c>
      <c r="B5694" s="2" t="s">
        <v>711</v>
      </c>
      <c r="C5694" s="195" t="s">
        <v>6741</v>
      </c>
      <c r="D5694" s="2" t="s">
        <v>30</v>
      </c>
      <c r="E5694" s="2" t="s">
        <v>87</v>
      </c>
      <c r="F5694" s="11" t="s">
        <v>1106</v>
      </c>
      <c r="G5694" s="49"/>
      <c r="H5694" s="2" t="s">
        <v>7799</v>
      </c>
      <c r="I5694" s="12" t="s">
        <v>2321</v>
      </c>
      <c r="J5694" s="22">
        <f>+Tabla1[[#This Row],[FECHA ENTRADA]]</f>
        <v>46064</v>
      </c>
      <c r="K5694" s="22">
        <v>46132</v>
      </c>
      <c r="L5694" s="23">
        <f>_xlfn.DAYS(Tabla1[[#This Row],[FECHA FIN ]],Tabla1[[#This Row],[FECHA INICIO]])</f>
        <v>68</v>
      </c>
      <c r="M5694" s="12"/>
      <c r="N5694" s="24">
        <v>0</v>
      </c>
      <c r="O5694" s="24">
        <f>(Tabla1[[#This Row],[COSTO FIJO ]]/30)*Tabla1[[#This Row],[TOTAL DIAS PROYECTO]]+(Tabla1[[#This Row],[COSTO TEMPORAL]])</f>
        <v>0</v>
      </c>
      <c r="P5694" s="12"/>
      <c r="Q5694" s="12">
        <f>+(Tabla1[[#This Row],[COSTO COCHE]]/30)*Tabla1[[#This Row],[TOTAL DIAS PROYECTO]]</f>
        <v>0</v>
      </c>
      <c r="R5694" s="12">
        <f>+Tabla1[[#This Row],[COSTO TOTAL ALOJAMIENTO]]+Tabla1[[#This Row],[COSTO TOTAL COCHE]]</f>
        <v>0</v>
      </c>
      <c r="S5694" s="2"/>
      <c r="T5694" s="2" t="s">
        <v>8</v>
      </c>
      <c r="U5694" s="14">
        <v>46064</v>
      </c>
      <c r="V5694" s="25"/>
      <c r="W5694" s="12"/>
      <c r="X5694" s="2"/>
      <c r="Y5694" s="11" t="s">
        <v>7800</v>
      </c>
      <c r="Z5694" s="2" t="s">
        <v>36</v>
      </c>
      <c r="AA5694" s="13" t="s">
        <v>10335</v>
      </c>
      <c r="AB5694" s="13">
        <v>404.16500000000002</v>
      </c>
    </row>
    <row r="5695" spans="1:28" ht="15" customHeight="1">
      <c r="A5695" s="2" t="s">
        <v>9834</v>
      </c>
      <c r="B5695" s="2" t="s">
        <v>978</v>
      </c>
      <c r="C5695" s="321" t="s">
        <v>4960</v>
      </c>
      <c r="D5695" s="2" t="s">
        <v>30</v>
      </c>
      <c r="E5695" s="2" t="s">
        <v>213</v>
      </c>
      <c r="F5695" s="11" t="s">
        <v>1971</v>
      </c>
      <c r="G5695" s="118" t="s">
        <v>1972</v>
      </c>
      <c r="H5695" s="2" t="s">
        <v>7801</v>
      </c>
      <c r="I5695" s="12" t="s">
        <v>3791</v>
      </c>
      <c r="J5695" s="22">
        <f>+Tabla1[[#This Row],[FECHA ENTRADA]]</f>
        <v>45914</v>
      </c>
      <c r="K5695" s="22">
        <v>46059</v>
      </c>
      <c r="L5695" s="23">
        <f>_xlfn.DAYS(Tabla1[[#This Row],[FECHA FIN ]],Tabla1[[#This Row],[FECHA INICIO]])</f>
        <v>145</v>
      </c>
      <c r="M5695" s="12"/>
      <c r="N5695" s="24">
        <v>500</v>
      </c>
      <c r="O5695" s="24">
        <f>(Tabla1[[#This Row],[COSTO FIJO ]]/30)*Tabla1[[#This Row],[TOTAL DIAS PROYECTO]]+(Tabla1[[#This Row],[COSTO TEMPORAL]])</f>
        <v>2416.666666666667</v>
      </c>
      <c r="P5695" s="12"/>
      <c r="Q5695" s="12">
        <f>+(Tabla1[[#This Row],[COSTO COCHE]]/30)*Tabla1[[#This Row],[TOTAL DIAS PROYECTO]]</f>
        <v>0</v>
      </c>
      <c r="R5695" s="12">
        <f>+Tabla1[[#This Row],[COSTO TOTAL ALOJAMIENTO]]+Tabla1[[#This Row],[COSTO TOTAL COCHE]]</f>
        <v>2416.666666666667</v>
      </c>
      <c r="S5695" s="2"/>
      <c r="T5695" s="14" t="s">
        <v>35</v>
      </c>
      <c r="U5695" s="14">
        <v>45914</v>
      </c>
      <c r="V5695" s="79"/>
      <c r="W5695" s="71"/>
      <c r="X5695" s="2">
        <v>29</v>
      </c>
      <c r="Y5695" s="11" t="s">
        <v>7802</v>
      </c>
      <c r="Z5695" s="2" t="s">
        <v>36</v>
      </c>
      <c r="AA5695" s="13" t="s">
        <v>10349</v>
      </c>
      <c r="AB5695" s="13" t="s">
        <v>10350</v>
      </c>
    </row>
    <row r="5696" spans="1:28" ht="15" customHeight="1">
      <c r="A5696" s="2" t="s">
        <v>10080</v>
      </c>
      <c r="B5696" s="2" t="s">
        <v>606</v>
      </c>
      <c r="C5696" s="104" t="s">
        <v>6248</v>
      </c>
      <c r="D5696" s="2" t="s">
        <v>30</v>
      </c>
      <c r="E5696" s="2" t="s">
        <v>259</v>
      </c>
      <c r="F5696" s="11"/>
      <c r="G5696" s="21"/>
      <c r="H5696" s="2" t="s">
        <v>6249</v>
      </c>
      <c r="I5696" s="12" t="s">
        <v>57</v>
      </c>
      <c r="J5696" s="22">
        <f>+Tabla1[[#This Row],[FECHA ENTRADA]]</f>
        <v>46023</v>
      </c>
      <c r="K5696" s="22">
        <f ca="1">TODAY()</f>
        <v>46260</v>
      </c>
      <c r="L5696" s="23">
        <f ca="1">_xlfn.DAYS(Tabla1[[#This Row],[FECHA FIN ]],Tabla1[[#This Row],[FECHA INICIO]])</f>
        <v>237</v>
      </c>
      <c r="M5696" s="12"/>
      <c r="N5696" s="20">
        <v>300</v>
      </c>
      <c r="O5696" s="24">
        <f ca="1">(Tabla1[[#This Row],[COSTO FIJO ]]/30)*Tabla1[[#This Row],[TOTAL DIAS PROYECTO]]+(Tabla1[[#This Row],[COSTO TEMPORAL]])</f>
        <v>2370</v>
      </c>
      <c r="P5696" s="12"/>
      <c r="Q5696" s="12">
        <f ca="1">+(Tabla1[[#This Row],[COSTO COCHE]]/30)*Tabla1[[#This Row],[TOTAL DIAS PROYECTO]]</f>
        <v>0</v>
      </c>
      <c r="R5696" s="12">
        <f ca="1">+Tabla1[[#This Row],[COSTO TOTAL ALOJAMIENTO]]+Tabla1[[#This Row],[COSTO TOTAL COCHE]]</f>
        <v>2370</v>
      </c>
      <c r="S5696" s="2"/>
      <c r="T5696" s="14" t="s">
        <v>58</v>
      </c>
      <c r="U5696" s="14">
        <v>46023</v>
      </c>
      <c r="V5696" s="79"/>
      <c r="W5696" s="12"/>
      <c r="X5696" s="2"/>
      <c r="Y5696" s="11" t="s">
        <v>7798</v>
      </c>
      <c r="Z5696" s="2" t="s">
        <v>702</v>
      </c>
      <c r="AA5696" s="13">
        <v>-0.87734000000000001</v>
      </c>
      <c r="AB5696" s="13" t="s">
        <v>10359</v>
      </c>
    </row>
    <row r="5697" spans="1:28" ht="15" customHeight="1">
      <c r="A5697" s="2" t="s">
        <v>9801</v>
      </c>
      <c r="B5697" s="2" t="s">
        <v>606</v>
      </c>
      <c r="C5697" s="11" t="s">
        <v>4809</v>
      </c>
      <c r="D5697" s="2" t="s">
        <v>99</v>
      </c>
      <c r="E5697" s="2" t="s">
        <v>259</v>
      </c>
      <c r="F5697" s="11"/>
      <c r="G5697" s="21"/>
      <c r="H5697" s="2" t="s">
        <v>4957</v>
      </c>
      <c r="I5697" s="12" t="s">
        <v>57</v>
      </c>
      <c r="J5697" s="22">
        <f>+Tabla1[[#This Row],[FECHA ENTRADA]]</f>
        <v>46054</v>
      </c>
      <c r="K5697" s="22">
        <f ca="1">TODAY()</f>
        <v>46260</v>
      </c>
      <c r="L5697" s="23">
        <f ca="1">_xlfn.DAYS(Tabla1[[#This Row],[FECHA FIN ]],Tabla1[[#This Row],[FECHA INICIO]])</f>
        <v>206</v>
      </c>
      <c r="M5697" s="12"/>
      <c r="N5697" s="20">
        <v>300</v>
      </c>
      <c r="O5697" s="24">
        <f ca="1">(Tabla1[[#This Row],[COSTO FIJO ]]/30)*Tabla1[[#This Row],[TOTAL DIAS PROYECTO]]+(Tabla1[[#This Row],[COSTO TEMPORAL]])</f>
        <v>2060</v>
      </c>
      <c r="P5697" s="12"/>
      <c r="Q5697" s="12">
        <f ca="1">+(Tabla1[[#This Row],[COSTO COCHE]]/30)*Tabla1[[#This Row],[TOTAL DIAS PROYECTO]]</f>
        <v>0</v>
      </c>
      <c r="R5697" s="12">
        <f ca="1">+Tabla1[[#This Row],[COSTO TOTAL ALOJAMIENTO]]+Tabla1[[#This Row],[COSTO TOTAL COCHE]]</f>
        <v>2060</v>
      </c>
      <c r="S5697" s="2"/>
      <c r="T5697" s="14" t="s">
        <v>58</v>
      </c>
      <c r="U5697" s="14">
        <v>46054</v>
      </c>
      <c r="V5697" s="79"/>
      <c r="W5697" s="12"/>
      <c r="X5697" s="2"/>
      <c r="Y5697" s="11" t="s">
        <v>7798</v>
      </c>
      <c r="Z5697" s="2" t="s">
        <v>702</v>
      </c>
      <c r="AA5697" s="13">
        <v>-0.87734000000000001</v>
      </c>
      <c r="AB5697" s="13" t="s">
        <v>10359</v>
      </c>
    </row>
    <row r="5698" spans="1:28" ht="15" customHeight="1">
      <c r="A5698" s="2" t="s">
        <v>9648</v>
      </c>
      <c r="B5698" s="2" t="s">
        <v>711</v>
      </c>
      <c r="C5698" s="322" t="s">
        <v>4051</v>
      </c>
      <c r="D5698" s="2" t="s">
        <v>30</v>
      </c>
      <c r="E5698" s="2" t="s">
        <v>31</v>
      </c>
      <c r="F5698" s="11"/>
      <c r="G5698" s="21"/>
      <c r="H5698" s="2" t="s">
        <v>6128</v>
      </c>
      <c r="I5698" s="12" t="s">
        <v>5531</v>
      </c>
      <c r="J5698" s="22">
        <f>+Tabla1[[#This Row],[FECHA ENTRADA]]</f>
        <v>45944</v>
      </c>
      <c r="K5698" s="22">
        <f ca="1">TODAY()</f>
        <v>46260</v>
      </c>
      <c r="L5698" s="23">
        <f ca="1">_xlfn.DAYS(Tabla1[[#This Row],[FECHA FIN ]],Tabla1[[#This Row],[FECHA INICIO]])</f>
        <v>316</v>
      </c>
      <c r="M5698" s="12"/>
      <c r="N5698" s="20">
        <v>300</v>
      </c>
      <c r="O5698" s="24">
        <f ca="1">(Tabla1[[#This Row],[COSTO FIJO ]]/30)*Tabla1[[#This Row],[TOTAL DIAS PROYECTO]]+(Tabla1[[#This Row],[COSTO TEMPORAL]])</f>
        <v>3160</v>
      </c>
      <c r="P5698" s="12"/>
      <c r="Q5698" s="12">
        <f ca="1">+(Tabla1[[#This Row],[COSTO COCHE]]/30)*Tabla1[[#This Row],[TOTAL DIAS PROYECTO]]</f>
        <v>0</v>
      </c>
      <c r="R5698" s="12">
        <f ca="1">+Tabla1[[#This Row],[COSTO TOTAL ALOJAMIENTO]]+Tabla1[[#This Row],[COSTO TOTAL COCHE]]</f>
        <v>3160</v>
      </c>
      <c r="S5698" s="2"/>
      <c r="T5698" s="14" t="s">
        <v>58</v>
      </c>
      <c r="U5698" s="14">
        <v>45944</v>
      </c>
      <c r="V5698" s="79"/>
      <c r="W5698" s="71"/>
      <c r="X5698" s="2"/>
      <c r="Y5698" s="11"/>
      <c r="Z5698" s="2" t="s">
        <v>702</v>
      </c>
      <c r="AA5698" s="13" t="s">
        <v>10323</v>
      </c>
      <c r="AB5698" s="13" t="s">
        <v>10324</v>
      </c>
    </row>
    <row r="5699" spans="1:28" ht="15" customHeight="1">
      <c r="A5699" s="2" t="s">
        <v>10264</v>
      </c>
      <c r="B5699" s="2" t="s">
        <v>978</v>
      </c>
      <c r="C5699" s="31" t="s">
        <v>7609</v>
      </c>
      <c r="D5699" s="2" t="s">
        <v>30</v>
      </c>
      <c r="E5699" s="2" t="s">
        <v>380</v>
      </c>
      <c r="F5699" s="11" t="s">
        <v>7588</v>
      </c>
      <c r="G5699" s="21"/>
      <c r="H5699" s="2" t="s">
        <v>7594</v>
      </c>
      <c r="I5699" s="12" t="s">
        <v>5328</v>
      </c>
      <c r="J5699" s="22">
        <v>46040</v>
      </c>
      <c r="K5699" s="22">
        <v>46230</v>
      </c>
      <c r="L5699" s="23">
        <f>_xlfn.DAYS(Tabla1[[#This Row],[FECHA FIN ]],Tabla1[[#This Row],[FECHA INICIO]])</f>
        <v>190</v>
      </c>
      <c r="M5699" s="12"/>
      <c r="N5699" s="20">
        <v>300</v>
      </c>
      <c r="O5699" s="24">
        <f>(Tabla1[[#This Row],[COSTO FIJO ]]/30)*Tabla1[[#This Row],[TOTAL DIAS PROYECTO]]+(Tabla1[[#This Row],[COSTO TEMPORAL]])</f>
        <v>1900</v>
      </c>
      <c r="P5699" s="12"/>
      <c r="Q5699" s="12">
        <f>+(Tabla1[[#This Row],[COSTO COCHE]]/30)*Tabla1[[#This Row],[TOTAL DIAS PROYECTO]]</f>
        <v>0</v>
      </c>
      <c r="R5699" s="12">
        <f>+Tabla1[[#This Row],[COSTO TOTAL ALOJAMIENTO]]+Tabla1[[#This Row],[COSTO TOTAL COCHE]]</f>
        <v>1900</v>
      </c>
      <c r="S5699" s="2"/>
      <c r="T5699" s="14" t="s">
        <v>58</v>
      </c>
      <c r="U5699" s="14">
        <v>46039</v>
      </c>
      <c r="V5699" s="79"/>
      <c r="W5699" s="12"/>
      <c r="X5699" s="2"/>
      <c r="Y5699" s="11" t="s">
        <v>7589</v>
      </c>
      <c r="Z5699" s="2" t="s">
        <v>36</v>
      </c>
      <c r="AA5699" s="13" t="s">
        <v>10370</v>
      </c>
      <c r="AB5699" s="13" t="s">
        <v>10371</v>
      </c>
    </row>
    <row r="5700" spans="1:28" ht="15" customHeight="1">
      <c r="A5700" s="2" t="s">
        <v>9278</v>
      </c>
      <c r="B5700" s="2" t="s">
        <v>711</v>
      </c>
      <c r="C5700" s="11" t="s">
        <v>2684</v>
      </c>
      <c r="D5700" s="2" t="s">
        <v>30</v>
      </c>
      <c r="E5700" s="2" t="s">
        <v>31</v>
      </c>
      <c r="F5700" s="11"/>
      <c r="G5700" s="46"/>
      <c r="H5700" s="2" t="s">
        <v>7803</v>
      </c>
      <c r="I5700" s="12" t="s">
        <v>909</v>
      </c>
      <c r="J5700" s="41">
        <f>+Tabla1[[#This Row],[FECHA ENTRADA]]</f>
        <v>45881</v>
      </c>
      <c r="K5700" s="41">
        <f ca="1">TODAY()</f>
        <v>46260</v>
      </c>
      <c r="L5700" s="42">
        <f ca="1">_xlfn.DAYS(Tabla1[[#This Row],[FECHA FIN ]],Tabla1[[#This Row],[FECHA INICIO]])</f>
        <v>379</v>
      </c>
      <c r="M5700" s="12"/>
      <c r="N5700" s="28">
        <v>300</v>
      </c>
      <c r="O5700" s="28">
        <f ca="1">(Tabla1[[#This Row],[COSTO FIJO ]]/30)*Tabla1[[#This Row],[TOTAL DIAS PROYECTO]]+(Tabla1[[#This Row],[COSTO TEMPORAL]])</f>
        <v>3790</v>
      </c>
      <c r="P5700" s="12"/>
      <c r="Q5700" s="12">
        <f ca="1">+(Tabla1[[#This Row],[COSTO COCHE]]/30)*Tabla1[[#This Row],[TOTAL DIAS PROYECTO]]</f>
        <v>0</v>
      </c>
      <c r="R5700" s="12">
        <f ca="1">+Tabla1[[#This Row],[COSTO TOTAL ALOJAMIENTO]]+Tabla1[[#This Row],[COSTO TOTAL COCHE]]</f>
        <v>3790</v>
      </c>
      <c r="S5700" s="2"/>
      <c r="T5700" s="14" t="s">
        <v>58</v>
      </c>
      <c r="U5700" s="14">
        <v>45881</v>
      </c>
      <c r="V5700" s="43"/>
      <c r="W5700" s="12"/>
      <c r="X5700" s="2"/>
      <c r="Y5700" s="11"/>
      <c r="Z5700" s="2" t="s">
        <v>702</v>
      </c>
      <c r="AA5700" s="13" t="s">
        <v>10323</v>
      </c>
      <c r="AB5700" s="13" t="s">
        <v>10324</v>
      </c>
    </row>
    <row r="5701" spans="1:28" ht="15" customHeight="1">
      <c r="A5701" s="2" t="s">
        <v>8747</v>
      </c>
      <c r="B5701" s="2" t="s">
        <v>978</v>
      </c>
      <c r="C5701" s="11" t="s">
        <v>566</v>
      </c>
      <c r="D5701" s="2" t="s">
        <v>99</v>
      </c>
      <c r="E5701" s="2" t="s">
        <v>1393</v>
      </c>
      <c r="F5701" s="11"/>
      <c r="G5701" s="46"/>
      <c r="H5701" s="2" t="s">
        <v>4819</v>
      </c>
      <c r="I5701" s="116" t="s">
        <v>4820</v>
      </c>
      <c r="J5701" s="41">
        <f>+Tabla1[[#This Row],[FECHA ENTRADA]]</f>
        <v>45819</v>
      </c>
      <c r="K5701" s="41">
        <f ca="1">TODAY()</f>
        <v>46260</v>
      </c>
      <c r="L5701" s="42">
        <f ca="1">_xlfn.DAYS(Tabla1[[#This Row],[FECHA FIN ]],Tabla1[[#This Row],[FECHA INICIO]])</f>
        <v>441</v>
      </c>
      <c r="M5701" s="12"/>
      <c r="N5701" s="28">
        <v>300</v>
      </c>
      <c r="O5701" s="28">
        <f ca="1">(Tabla1[[#This Row],[COSTO FIJO ]]/30)*Tabla1[[#This Row],[TOTAL DIAS PROYECTO]]+(Tabla1[[#This Row],[COSTO TEMPORAL]])</f>
        <v>4410</v>
      </c>
      <c r="P5701" s="12"/>
      <c r="Q5701" s="12">
        <f ca="1">+(Tabla1[[#This Row],[COSTO COCHE]]/30)*Tabla1[[#This Row],[TOTAL DIAS PROYECTO]]</f>
        <v>0</v>
      </c>
      <c r="R5701" s="12">
        <f ca="1">+Tabla1[[#This Row],[COSTO TOTAL ALOJAMIENTO]]+Tabla1[[#This Row],[COSTO TOTAL COCHE]]</f>
        <v>4410</v>
      </c>
      <c r="S5701" s="2"/>
      <c r="T5701" s="14" t="s">
        <v>58</v>
      </c>
      <c r="U5701" s="14">
        <v>45819</v>
      </c>
      <c r="V5701" s="43"/>
      <c r="W5701" s="12"/>
      <c r="X5701" s="2"/>
      <c r="Y5701" s="11"/>
      <c r="Z5701" s="2" t="s">
        <v>702</v>
      </c>
      <c r="AA5701" s="13" t="s">
        <v>10416</v>
      </c>
      <c r="AB5701" s="13" t="s">
        <v>10417</v>
      </c>
    </row>
    <row r="5702" spans="1:28" ht="15" customHeight="1">
      <c r="A5702" s="2" t="s">
        <v>8786</v>
      </c>
      <c r="B5702" s="2" t="s">
        <v>978</v>
      </c>
      <c r="C5702" s="165" t="s">
        <v>762</v>
      </c>
      <c r="D5702" s="2" t="s">
        <v>99</v>
      </c>
      <c r="E5702" s="2" t="s">
        <v>1443</v>
      </c>
      <c r="F5702" s="11"/>
      <c r="G5702" s="11"/>
      <c r="H5702" s="2" t="s">
        <v>1866</v>
      </c>
      <c r="I5702" s="12" t="s">
        <v>4477</v>
      </c>
      <c r="J5702" s="41">
        <f>+Tabla1[[#This Row],[FECHA ENTRADA]]</f>
        <v>45917</v>
      </c>
      <c r="K5702" s="22">
        <f ca="1">TODAY()</f>
        <v>46260</v>
      </c>
      <c r="L5702" s="42">
        <f ca="1">_xlfn.DAYS(Tabla1[[#This Row],[FECHA FIN ]],Tabla1[[#This Row],[FECHA INICIO]])</f>
        <v>343</v>
      </c>
      <c r="M5702" s="12"/>
      <c r="N5702" s="28">
        <v>300</v>
      </c>
      <c r="O5702" s="28">
        <f ca="1">(Tabla1[[#This Row],[COSTO FIJO ]]/30)*Tabla1[[#This Row],[TOTAL DIAS PROYECTO]]+(Tabla1[[#This Row],[COSTO TEMPORAL]])</f>
        <v>3430</v>
      </c>
      <c r="P5702" s="12"/>
      <c r="Q5702" s="12">
        <f ca="1">+(Tabla1[[#This Row],[COSTO COCHE]]/30)*Tabla1[[#This Row],[TOTAL DIAS PROYECTO]]</f>
        <v>0</v>
      </c>
      <c r="R5702" s="12">
        <f ca="1">+Tabla1[[#This Row],[COSTO TOTAL ALOJAMIENTO]]+Tabla1[[#This Row],[COSTO TOTAL COCHE]]</f>
        <v>3430</v>
      </c>
      <c r="S5702" s="2"/>
      <c r="T5702" s="14" t="s">
        <v>58</v>
      </c>
      <c r="U5702" s="14">
        <v>45917</v>
      </c>
      <c r="V5702" s="43"/>
      <c r="W5702" s="71"/>
      <c r="X5702" s="2"/>
      <c r="Y5702" s="11"/>
      <c r="Z5702" s="2" t="s">
        <v>702</v>
      </c>
      <c r="AA5702" s="13" t="s">
        <v>10420</v>
      </c>
      <c r="AB5702" s="13">
        <v>3907741</v>
      </c>
    </row>
    <row r="5703" spans="1:28" ht="15" customHeight="1">
      <c r="A5703" s="2" t="s">
        <v>9405</v>
      </c>
      <c r="B5703" s="2" t="s">
        <v>978</v>
      </c>
      <c r="C5703" s="165" t="s">
        <v>3074</v>
      </c>
      <c r="D5703" s="2" t="s">
        <v>99</v>
      </c>
      <c r="E5703" s="2" t="s">
        <v>1443</v>
      </c>
      <c r="F5703" s="11"/>
      <c r="G5703" s="11"/>
      <c r="H5703" s="2" t="s">
        <v>1866</v>
      </c>
      <c r="I5703" s="12" t="s">
        <v>4477</v>
      </c>
      <c r="J5703" s="41">
        <f>+Tabla1[[#This Row],[FECHA ENTRADA]]</f>
        <v>45917</v>
      </c>
      <c r="K5703" s="22">
        <f ca="1">TODAY()</f>
        <v>46260</v>
      </c>
      <c r="L5703" s="42">
        <f ca="1">_xlfn.DAYS(Tabla1[[#This Row],[FECHA FIN ]],Tabla1[[#This Row],[FECHA INICIO]])</f>
        <v>343</v>
      </c>
      <c r="M5703" s="12"/>
      <c r="N5703" s="28">
        <v>300</v>
      </c>
      <c r="O5703" s="28">
        <f ca="1">(Tabla1[[#This Row],[COSTO FIJO ]]/30)*Tabla1[[#This Row],[TOTAL DIAS PROYECTO]]+(Tabla1[[#This Row],[COSTO TEMPORAL]])</f>
        <v>3430</v>
      </c>
      <c r="P5703" s="12"/>
      <c r="Q5703" s="12">
        <f ca="1">+(Tabla1[[#This Row],[COSTO COCHE]]/30)*Tabla1[[#This Row],[TOTAL DIAS PROYECTO]]</f>
        <v>0</v>
      </c>
      <c r="R5703" s="12">
        <f ca="1">+Tabla1[[#This Row],[COSTO TOTAL ALOJAMIENTO]]+Tabla1[[#This Row],[COSTO TOTAL COCHE]]</f>
        <v>3430</v>
      </c>
      <c r="S5703" s="2"/>
      <c r="T5703" s="14" t="s">
        <v>58</v>
      </c>
      <c r="U5703" s="14">
        <v>45917</v>
      </c>
      <c r="V5703" s="43"/>
      <c r="W5703" s="71"/>
      <c r="X5703" s="2"/>
      <c r="Y5703" s="11"/>
      <c r="Z5703" s="2" t="s">
        <v>702</v>
      </c>
      <c r="AA5703" s="13" t="s">
        <v>10420</v>
      </c>
      <c r="AB5703" s="13">
        <v>3907741</v>
      </c>
    </row>
    <row r="5704" spans="1:28" ht="15" customHeight="1">
      <c r="A5704" s="2" t="s">
        <v>9772</v>
      </c>
      <c r="B5704" s="2" t="s">
        <v>606</v>
      </c>
      <c r="C5704" s="31" t="s">
        <v>4674</v>
      </c>
      <c r="D5704" s="2" t="s">
        <v>30</v>
      </c>
      <c r="E5704" s="2" t="s">
        <v>31</v>
      </c>
      <c r="F5704" s="11" t="s">
        <v>1206</v>
      </c>
      <c r="G5704" s="51" t="s">
        <v>1005</v>
      </c>
      <c r="H5704" s="2" t="s">
        <v>7300</v>
      </c>
      <c r="I5704" s="12" t="s">
        <v>2391</v>
      </c>
      <c r="J5704" s="41">
        <f>+Tabla1[[#This Row],[FECHA ENTRADA]]</f>
        <v>46057</v>
      </c>
      <c r="K5704" s="22">
        <v>46188</v>
      </c>
      <c r="L5704" s="42">
        <f>_xlfn.DAYS(Tabla1[[#This Row],[FECHA FIN ]],Tabla1[[#This Row],[FECHA INICIO]])</f>
        <v>131</v>
      </c>
      <c r="M5704" s="12"/>
      <c r="N5704" s="20">
        <v>625</v>
      </c>
      <c r="O5704" s="28">
        <f>(Tabla1[[#This Row],[COSTO FIJO ]]/30)*Tabla1[[#This Row],[TOTAL DIAS PROYECTO]]+(Tabla1[[#This Row],[COSTO TEMPORAL]])</f>
        <v>2729.1666666666665</v>
      </c>
      <c r="P5704" s="12"/>
      <c r="Q5704" s="12">
        <f>+(Tabla1[[#This Row],[COSTO COCHE]]/30)*Tabla1[[#This Row],[TOTAL DIAS PROYECTO]]</f>
        <v>0</v>
      </c>
      <c r="R5704" s="12">
        <f>+Tabla1[[#This Row],[COSTO TOTAL ALOJAMIENTO]]+Tabla1[[#This Row],[COSTO TOTAL COCHE]]</f>
        <v>2729.1666666666665</v>
      </c>
      <c r="S5704" s="2"/>
      <c r="T5704" s="14" t="s">
        <v>35</v>
      </c>
      <c r="U5704" s="14">
        <v>46057</v>
      </c>
      <c r="V5704" s="43"/>
      <c r="W5704" s="12"/>
      <c r="X5704" s="2">
        <v>27</v>
      </c>
      <c r="Y5704" s="11" t="s">
        <v>7804</v>
      </c>
      <c r="Z5704" s="2" t="s">
        <v>36</v>
      </c>
      <c r="AA5704" s="13" t="s">
        <v>10323</v>
      </c>
      <c r="AB5704" s="13" t="s">
        <v>10324</v>
      </c>
    </row>
    <row r="5705" spans="1:28" ht="15" customHeight="1">
      <c r="A5705" s="2" t="s">
        <v>9224</v>
      </c>
      <c r="B5705" s="2" t="s">
        <v>978</v>
      </c>
      <c r="C5705" s="165" t="s">
        <v>2497</v>
      </c>
      <c r="D5705" s="2" t="s">
        <v>99</v>
      </c>
      <c r="E5705" s="2" t="s">
        <v>1443</v>
      </c>
      <c r="F5705" s="11"/>
      <c r="G5705" s="11"/>
      <c r="H5705" s="2" t="s">
        <v>2007</v>
      </c>
      <c r="I5705" s="12" t="s">
        <v>4477</v>
      </c>
      <c r="J5705" s="41">
        <f>+Tabla1[[#This Row],[FECHA ENTRADA]]</f>
        <v>45917</v>
      </c>
      <c r="K5705" s="22">
        <f ca="1">TODAY()</f>
        <v>46260</v>
      </c>
      <c r="L5705" s="42">
        <f ca="1">_xlfn.DAYS(Tabla1[[#This Row],[FECHA FIN ]],Tabla1[[#This Row],[FECHA INICIO]])</f>
        <v>343</v>
      </c>
      <c r="M5705" s="12"/>
      <c r="N5705" s="28">
        <v>300</v>
      </c>
      <c r="O5705" s="28">
        <f ca="1">(Tabla1[[#This Row],[COSTO FIJO ]]/30)*Tabla1[[#This Row],[TOTAL DIAS PROYECTO]]+(Tabla1[[#This Row],[COSTO TEMPORAL]])</f>
        <v>3430</v>
      </c>
      <c r="P5705" s="12"/>
      <c r="Q5705" s="12">
        <f ca="1">+(Tabla1[[#This Row],[COSTO COCHE]]/30)*Tabla1[[#This Row],[TOTAL DIAS PROYECTO]]</f>
        <v>0</v>
      </c>
      <c r="R5705" s="12">
        <f ca="1">+Tabla1[[#This Row],[COSTO TOTAL ALOJAMIENTO]]+Tabla1[[#This Row],[COSTO TOTAL COCHE]]</f>
        <v>3430</v>
      </c>
      <c r="S5705" s="2"/>
      <c r="T5705" s="14" t="s">
        <v>58</v>
      </c>
      <c r="U5705" s="14">
        <v>45917</v>
      </c>
      <c r="V5705" s="43"/>
      <c r="W5705" s="71"/>
      <c r="X5705" s="2"/>
      <c r="Y5705" s="11"/>
      <c r="Z5705" s="2" t="s">
        <v>702</v>
      </c>
      <c r="AA5705" s="13" t="s">
        <v>10420</v>
      </c>
      <c r="AB5705" s="13">
        <v>3907741</v>
      </c>
    </row>
    <row r="5706" spans="1:28" ht="15" customHeight="1">
      <c r="A5706" s="2" t="s">
        <v>8642</v>
      </c>
      <c r="B5706" s="11" t="s">
        <v>3133</v>
      </c>
      <c r="C5706" s="31" t="s">
        <v>7805</v>
      </c>
      <c r="D5706" s="2" t="s">
        <v>30</v>
      </c>
      <c r="E5706" s="2" t="s">
        <v>826</v>
      </c>
      <c r="F5706" s="11" t="s">
        <v>6843</v>
      </c>
      <c r="G5706" s="21" t="s">
        <v>6844</v>
      </c>
      <c r="H5706" s="2" t="s">
        <v>7636</v>
      </c>
      <c r="I5706" s="12" t="s">
        <v>1994</v>
      </c>
      <c r="J5706" s="22">
        <f>+Tabla1[[#This Row],[FECHA ENTRADA]]</f>
        <v>46183</v>
      </c>
      <c r="K5706" s="22">
        <v>46203</v>
      </c>
      <c r="L5706" s="23">
        <f>_xlfn.DAYS(Tabla1[[#This Row],[FECHA FIN ]],Tabla1[[#This Row],[FECHA INICIO]])</f>
        <v>20</v>
      </c>
      <c r="M5706" s="12">
        <v>350</v>
      </c>
      <c r="N5706" s="20"/>
      <c r="O5706" s="24">
        <f>(Tabla1[[#This Row],[COSTO FIJO ]]/30)*Tabla1[[#This Row],[TOTAL DIAS PROYECTO]]+(Tabla1[[#This Row],[COSTO TEMPORAL]])</f>
        <v>350</v>
      </c>
      <c r="P5706" s="12"/>
      <c r="Q5706" s="12">
        <f>+(Tabla1[[#This Row],[COSTO COCHE]]/30)*Tabla1[[#This Row],[TOTAL DIAS PROYECTO]]</f>
        <v>0</v>
      </c>
      <c r="R5706" s="12">
        <f>+Tabla1[[#This Row],[COSTO TOTAL ALOJAMIENTO]]+Tabla1[[#This Row],[COSTO TOTAL COCHE]]</f>
        <v>350</v>
      </c>
      <c r="S5706" s="2"/>
      <c r="T5706" s="14" t="s">
        <v>44</v>
      </c>
      <c r="U5706" s="14">
        <v>46183</v>
      </c>
      <c r="V5706" s="79">
        <v>46198</v>
      </c>
      <c r="W5706" s="12"/>
      <c r="X5706" s="2"/>
      <c r="Y5706" s="11" t="s">
        <v>7806</v>
      </c>
      <c r="Z5706" s="2" t="s">
        <v>36</v>
      </c>
      <c r="AA5706" s="13" t="s">
        <v>10399</v>
      </c>
      <c r="AB5706" s="13" t="s">
        <v>10400</v>
      </c>
    </row>
    <row r="5707" spans="1:28" ht="15" customHeight="1">
      <c r="A5707" s="2" t="s">
        <v>10265</v>
      </c>
      <c r="B5707" s="11" t="s">
        <v>3133</v>
      </c>
      <c r="C5707" s="31" t="s">
        <v>7617</v>
      </c>
      <c r="D5707" s="2" t="s">
        <v>30</v>
      </c>
      <c r="E5707" s="2" t="s">
        <v>826</v>
      </c>
      <c r="F5707" s="11" t="s">
        <v>6843</v>
      </c>
      <c r="G5707" s="21" t="s">
        <v>6844</v>
      </c>
      <c r="H5707" s="2" t="s">
        <v>6845</v>
      </c>
      <c r="I5707" s="12" t="s">
        <v>1994</v>
      </c>
      <c r="J5707" s="22">
        <f>+Tabla1[[#This Row],[FECHA ENTRADA]]</f>
        <v>46061</v>
      </c>
      <c r="K5707" s="41">
        <v>46136</v>
      </c>
      <c r="L5707" s="23">
        <f>_xlfn.DAYS(Tabla1[[#This Row],[FECHA FIN ]],Tabla1[[#This Row],[FECHA INICIO]])</f>
        <v>75</v>
      </c>
      <c r="M5707" s="12">
        <v>116.66666666666667</v>
      </c>
      <c r="N5707" s="20"/>
      <c r="O5707" s="24">
        <f>(Tabla1[[#This Row],[COSTO FIJO ]]/30)*Tabla1[[#This Row],[TOTAL DIAS PROYECTO]]+(Tabla1[[#This Row],[COSTO TEMPORAL]])</f>
        <v>116.66666666666667</v>
      </c>
      <c r="P5707" s="12"/>
      <c r="Q5707" s="12">
        <f>+(Tabla1[[#This Row],[COSTO COCHE]]/30)*Tabla1[[#This Row],[TOTAL DIAS PROYECTO]]</f>
        <v>0</v>
      </c>
      <c r="R5707" s="12">
        <f>+Tabla1[[#This Row],[COSTO TOTAL ALOJAMIENTO]]+Tabla1[[#This Row],[COSTO TOTAL COCHE]]</f>
        <v>116.66666666666667</v>
      </c>
      <c r="S5707" s="2"/>
      <c r="T5707" s="14" t="s">
        <v>44</v>
      </c>
      <c r="U5707" s="14">
        <v>46061</v>
      </c>
      <c r="V5707" s="25">
        <v>46147</v>
      </c>
      <c r="W5707" s="12"/>
      <c r="X5707" s="2"/>
      <c r="Y5707" s="11" t="s">
        <v>7807</v>
      </c>
      <c r="Z5707" s="2" t="s">
        <v>36</v>
      </c>
      <c r="AA5707" s="13" t="s">
        <v>10399</v>
      </c>
      <c r="AB5707" s="13" t="s">
        <v>10400</v>
      </c>
    </row>
    <row r="5708" spans="1:28" ht="15" customHeight="1">
      <c r="A5708" s="2" t="s">
        <v>9756</v>
      </c>
      <c r="B5708" s="2" t="s">
        <v>978</v>
      </c>
      <c r="C5708" s="165" t="s">
        <v>4574</v>
      </c>
      <c r="D5708" s="2" t="s">
        <v>99</v>
      </c>
      <c r="E5708" s="2" t="s">
        <v>1443</v>
      </c>
      <c r="F5708" s="11"/>
      <c r="G5708" s="11"/>
      <c r="H5708" s="2" t="s">
        <v>4612</v>
      </c>
      <c r="I5708" s="12" t="s">
        <v>4477</v>
      </c>
      <c r="J5708" s="22">
        <f>+Tabla1[[#This Row],[FECHA ENTRADA]]</f>
        <v>46010</v>
      </c>
      <c r="K5708" s="22">
        <f ca="1">TODAY()</f>
        <v>46260</v>
      </c>
      <c r="L5708" s="23">
        <f ca="1">_xlfn.DAYS(Tabla1[[#This Row],[FECHA FIN ]],Tabla1[[#This Row],[FECHA INICIO]])</f>
        <v>250</v>
      </c>
      <c r="M5708" s="12"/>
      <c r="N5708" s="20">
        <v>300</v>
      </c>
      <c r="O5708" s="24">
        <f ca="1">(Tabla1[[#This Row],[COSTO FIJO ]]/30)*Tabla1[[#This Row],[TOTAL DIAS PROYECTO]]+(Tabla1[[#This Row],[COSTO TEMPORAL]])</f>
        <v>2500</v>
      </c>
      <c r="P5708" s="12"/>
      <c r="Q5708" s="12">
        <f ca="1">+(Tabla1[[#This Row],[COSTO COCHE]]/30)*Tabla1[[#This Row],[TOTAL DIAS PROYECTO]]</f>
        <v>0</v>
      </c>
      <c r="R5708" s="12">
        <f ca="1">+Tabla1[[#This Row],[COSTO TOTAL ALOJAMIENTO]]+Tabla1[[#This Row],[COSTO TOTAL COCHE]]</f>
        <v>2500</v>
      </c>
      <c r="S5708" s="2"/>
      <c r="T5708" s="14" t="s">
        <v>58</v>
      </c>
      <c r="U5708" s="14">
        <v>46010</v>
      </c>
      <c r="V5708" s="79"/>
      <c r="W5708" s="12"/>
      <c r="X5708" s="2"/>
      <c r="Y5708" s="11"/>
      <c r="Z5708" s="2" t="s">
        <v>702</v>
      </c>
      <c r="AA5708" s="13" t="s">
        <v>10420</v>
      </c>
      <c r="AB5708" s="13">
        <v>3907741</v>
      </c>
    </row>
    <row r="5709" spans="1:28" ht="15" customHeight="1">
      <c r="A5709" s="2" t="s">
        <v>9885</v>
      </c>
      <c r="B5709" s="2" t="s">
        <v>28</v>
      </c>
      <c r="C5709" s="11" t="s">
        <v>5218</v>
      </c>
      <c r="D5709" s="2" t="s">
        <v>30</v>
      </c>
      <c r="E5709" s="2" t="s">
        <v>686</v>
      </c>
      <c r="F5709" s="11" t="s">
        <v>3068</v>
      </c>
      <c r="G5709" s="21" t="s">
        <v>3069</v>
      </c>
      <c r="H5709" s="2" t="s">
        <v>7808</v>
      </c>
      <c r="I5709" s="12" t="s">
        <v>96</v>
      </c>
      <c r="J5709" s="41">
        <f>+Tabla1[[#This Row],[FECHA ENTRADA]]</f>
        <v>45921</v>
      </c>
      <c r="K5709" s="41">
        <v>45931</v>
      </c>
      <c r="L5709" s="42">
        <f>_xlfn.DAYS(Tabla1[[#This Row],[FECHA FIN ]],Tabla1[[#This Row],[FECHA INICIO]])</f>
        <v>10</v>
      </c>
      <c r="M5709" s="12"/>
      <c r="N5709" s="28"/>
      <c r="O5709" s="28">
        <f>(Tabla1[[#This Row],[COSTO FIJO ]]/30)*Tabla1[[#This Row],[TOTAL DIAS PROYECTO]]+(Tabla1[[#This Row],[COSTO TEMPORAL]])</f>
        <v>0</v>
      </c>
      <c r="P5709" s="12"/>
      <c r="Q5709" s="12">
        <f>+(Tabla1[[#This Row],[COSTO COCHE]]/30)*Tabla1[[#This Row],[TOTAL DIAS PROYECTO]]</f>
        <v>0</v>
      </c>
      <c r="R5709" s="12">
        <f>+Tabla1[[#This Row],[COSTO TOTAL ALOJAMIENTO]]+Tabla1[[#This Row],[COSTO TOTAL COCHE]]</f>
        <v>0</v>
      </c>
      <c r="S5709" s="2"/>
      <c r="T5709" s="14" t="s">
        <v>44</v>
      </c>
      <c r="U5709" s="14">
        <v>45921</v>
      </c>
      <c r="V5709" s="25">
        <v>45931</v>
      </c>
      <c r="W5709" s="71"/>
      <c r="X5709" s="2"/>
      <c r="Y5709" s="136" t="s">
        <v>3697</v>
      </c>
      <c r="Z5709" s="2" t="s">
        <v>36</v>
      </c>
      <c r="AA5709" s="13" t="s">
        <v>10393</v>
      </c>
      <c r="AB5709" s="13">
        <v>3834517</v>
      </c>
    </row>
    <row r="5710" spans="1:28" ht="15" customHeight="1">
      <c r="A5710" s="2" t="s">
        <v>9008</v>
      </c>
      <c r="B5710" s="2" t="s">
        <v>711</v>
      </c>
      <c r="C5710" s="11" t="s">
        <v>1682</v>
      </c>
      <c r="D5710" s="2" t="s">
        <v>30</v>
      </c>
      <c r="E5710" s="2" t="s">
        <v>985</v>
      </c>
      <c r="F5710" s="11"/>
      <c r="G5710" s="21"/>
      <c r="H5710" s="2" t="s">
        <v>1683</v>
      </c>
      <c r="I5710" s="12" t="s">
        <v>989</v>
      </c>
      <c r="J5710" s="22">
        <f>+Tabla1[[#This Row],[FECHA ENTRADA]]</f>
        <v>45792</v>
      </c>
      <c r="K5710" s="41">
        <f ca="1">TODAY()</f>
        <v>46260</v>
      </c>
      <c r="L5710" s="23">
        <f ca="1">_xlfn.DAYS(Tabla1[[#This Row],[FECHA FIN ]],Tabla1[[#This Row],[FECHA INICIO]])</f>
        <v>468</v>
      </c>
      <c r="M5710" s="12"/>
      <c r="N5710" s="28">
        <v>300</v>
      </c>
      <c r="O5710" s="24">
        <f ca="1">(Tabla1[[#This Row],[COSTO FIJO ]]/30)*Tabla1[[#This Row],[TOTAL DIAS PROYECTO]]+(Tabla1[[#This Row],[COSTO TEMPORAL]])</f>
        <v>4680</v>
      </c>
      <c r="P5710" s="12"/>
      <c r="Q5710" s="12">
        <f ca="1">+(Tabla1[[#This Row],[COSTO COCHE]]/30)*Tabla1[[#This Row],[TOTAL DIAS PROYECTO]]</f>
        <v>0</v>
      </c>
      <c r="R5710" s="12">
        <f ca="1">+Tabla1[[#This Row],[COSTO TOTAL ALOJAMIENTO]]+Tabla1[[#This Row],[COSTO TOTAL COCHE]]</f>
        <v>4680</v>
      </c>
      <c r="S5710" s="2"/>
      <c r="T5710" s="2" t="s">
        <v>58</v>
      </c>
      <c r="U5710" s="14">
        <v>45792</v>
      </c>
      <c r="V5710" s="25"/>
      <c r="W5710" s="26"/>
      <c r="X5710" s="2"/>
      <c r="Y5710" s="11"/>
      <c r="Z5710" s="2" t="s">
        <v>702</v>
      </c>
      <c r="AA5710" s="13" t="s">
        <v>10407</v>
      </c>
      <c r="AB5710" s="13" t="s">
        <v>10408</v>
      </c>
    </row>
    <row r="5711" spans="1:28" ht="15" customHeight="1">
      <c r="A5711" s="2" t="s">
        <v>8784</v>
      </c>
      <c r="B5711" s="2" t="s">
        <v>711</v>
      </c>
      <c r="C5711" s="11" t="s">
        <v>755</v>
      </c>
      <c r="D5711" s="2" t="s">
        <v>30</v>
      </c>
      <c r="E5711" s="2" t="s">
        <v>985</v>
      </c>
      <c r="F5711" s="11"/>
      <c r="G5711" s="46"/>
      <c r="H5711" s="2" t="s">
        <v>988</v>
      </c>
      <c r="I5711" s="12" t="s">
        <v>989</v>
      </c>
      <c r="J5711" s="41">
        <f>+Tabla1[[#This Row],[FECHA ENTRADA]]</f>
        <v>45876</v>
      </c>
      <c r="K5711" s="22">
        <f ca="1">TODAY()</f>
        <v>46260</v>
      </c>
      <c r="L5711" s="42">
        <f ca="1">_xlfn.DAYS(Tabla1[[#This Row],[FECHA FIN ]],Tabla1[[#This Row],[FECHA INICIO]])</f>
        <v>384</v>
      </c>
      <c r="M5711" s="12"/>
      <c r="N5711" s="28">
        <v>300</v>
      </c>
      <c r="O5711" s="28">
        <f ca="1">(Tabla1[[#This Row],[COSTO FIJO ]]/30)*Tabla1[[#This Row],[TOTAL DIAS PROYECTO]]+(Tabla1[[#This Row],[COSTO TEMPORAL]])</f>
        <v>3840</v>
      </c>
      <c r="P5711" s="12"/>
      <c r="Q5711" s="12">
        <f ca="1">+(Tabla1[[#This Row],[COSTO COCHE]]/30)*Tabla1[[#This Row],[TOTAL DIAS PROYECTO]]</f>
        <v>0</v>
      </c>
      <c r="R5711" s="12">
        <f ca="1">+Tabla1[[#This Row],[COSTO TOTAL ALOJAMIENTO]]+Tabla1[[#This Row],[COSTO TOTAL COCHE]]</f>
        <v>3840</v>
      </c>
      <c r="S5711" s="2"/>
      <c r="T5711" s="14" t="s">
        <v>58</v>
      </c>
      <c r="U5711" s="14">
        <v>45876</v>
      </c>
      <c r="V5711" s="43"/>
      <c r="W5711" s="12"/>
      <c r="X5711" s="2"/>
      <c r="Y5711" s="11" t="s">
        <v>7809</v>
      </c>
      <c r="Z5711" s="2" t="s">
        <v>702</v>
      </c>
      <c r="AA5711" s="13" t="s">
        <v>10407</v>
      </c>
      <c r="AB5711" s="13" t="s">
        <v>10408</v>
      </c>
    </row>
    <row r="5712" spans="1:28">
      <c r="A5712" s="2" t="s">
        <v>8642</v>
      </c>
      <c r="B5712" s="2" t="s">
        <v>606</v>
      </c>
      <c r="C5712" s="31" t="s">
        <v>7150</v>
      </c>
      <c r="D5712" s="2" t="s">
        <v>30</v>
      </c>
      <c r="E5712" s="2" t="s">
        <v>31</v>
      </c>
      <c r="F5712" s="11" t="s">
        <v>344</v>
      </c>
      <c r="G5712" s="11" t="s">
        <v>345</v>
      </c>
      <c r="H5712" s="2" t="s">
        <v>7151</v>
      </c>
      <c r="I5712" s="12" t="s">
        <v>2391</v>
      </c>
      <c r="J5712" s="41">
        <f>+Tabla1[[#This Row],[FECHA ENTRADA]]</f>
        <v>46112</v>
      </c>
      <c r="K5712" s="22">
        <v>46119</v>
      </c>
      <c r="L5712" s="42">
        <f>_xlfn.DAYS(Tabla1[[#This Row],[FECHA FIN ]],Tabla1[[#This Row],[FECHA INICIO]])</f>
        <v>7</v>
      </c>
      <c r="M5712" s="24">
        <f>1677.13/5</f>
        <v>335.42600000000004</v>
      </c>
      <c r="N5712" s="24"/>
      <c r="O5712" s="28">
        <f>(Tabla1[[#This Row],[COSTO FIJO ]]/30)*Tabla1[[#This Row],[TOTAL DIAS PROYECTO]]+(Tabla1[[#This Row],[COSTO TEMPORAL]])</f>
        <v>335.42600000000004</v>
      </c>
      <c r="P5712" s="12"/>
      <c r="Q5712" s="12">
        <f>+(Tabla1[[#This Row],[COSTO COCHE]]/30)*Tabla1[[#This Row],[TOTAL DIAS PROYECTO]]</f>
        <v>0</v>
      </c>
      <c r="R5712" s="12">
        <f>+Tabla1[[#This Row],[COSTO TOTAL ALOJAMIENTO]]+Tabla1[[#This Row],[COSTO TOTAL COCHE]]</f>
        <v>335.42600000000004</v>
      </c>
      <c r="S5712" s="2"/>
      <c r="T5712" s="14" t="s">
        <v>35</v>
      </c>
      <c r="U5712" s="14">
        <v>46112</v>
      </c>
      <c r="V5712" s="43"/>
      <c r="W5712" s="12"/>
      <c r="X5712" s="2"/>
      <c r="Y5712" s="11" t="s">
        <v>7810</v>
      </c>
      <c r="Z5712" s="2" t="s">
        <v>36</v>
      </c>
      <c r="AA5712" s="13" t="s">
        <v>10323</v>
      </c>
      <c r="AB5712" s="13" t="s">
        <v>10324</v>
      </c>
    </row>
    <row r="5713" spans="1:28" ht="15" customHeight="1">
      <c r="A5713" s="2" t="s">
        <v>10218</v>
      </c>
      <c r="B5713" s="2" t="s">
        <v>711</v>
      </c>
      <c r="C5713" s="11" t="s">
        <v>7203</v>
      </c>
      <c r="D5713" s="2" t="s">
        <v>30</v>
      </c>
      <c r="E5713" s="2" t="s">
        <v>985</v>
      </c>
      <c r="F5713" s="11"/>
      <c r="G5713" s="21"/>
      <c r="H5713" s="2" t="s">
        <v>2193</v>
      </c>
      <c r="I5713" s="12" t="s">
        <v>989</v>
      </c>
      <c r="J5713" s="22">
        <f>+Tabla1[[#This Row],[FECHA ENTRADA]]</f>
        <v>45703</v>
      </c>
      <c r="K5713" s="41">
        <f ca="1">TODAY()</f>
        <v>46260</v>
      </c>
      <c r="L5713" s="23">
        <f ca="1">_xlfn.DAYS(Tabla1[[#This Row],[FECHA FIN ]],Tabla1[[#This Row],[FECHA INICIO]])</f>
        <v>557</v>
      </c>
      <c r="M5713" s="12"/>
      <c r="N5713" s="28">
        <v>300</v>
      </c>
      <c r="O5713" s="24">
        <f ca="1">(Tabla1[[#This Row],[COSTO FIJO ]]/30)*Tabla1[[#This Row],[TOTAL DIAS PROYECTO]]+(Tabla1[[#This Row],[COSTO TEMPORAL]])</f>
        <v>5570</v>
      </c>
      <c r="P5713" s="12"/>
      <c r="Q5713" s="12">
        <f ca="1">+(Tabla1[[#This Row],[COSTO COCHE]]/30)*Tabla1[[#This Row],[TOTAL DIAS PROYECTO]]</f>
        <v>0</v>
      </c>
      <c r="R5713" s="12">
        <f ca="1">+Tabla1[[#This Row],[COSTO TOTAL ALOJAMIENTO]]+Tabla1[[#This Row],[COSTO TOTAL COCHE]]</f>
        <v>5570</v>
      </c>
      <c r="S5713" s="2"/>
      <c r="T5713" s="2" t="s">
        <v>58</v>
      </c>
      <c r="U5713" s="14">
        <v>45703</v>
      </c>
      <c r="V5713" s="25"/>
      <c r="W5713" s="26"/>
      <c r="X5713" s="2"/>
      <c r="Y5713" s="11"/>
      <c r="Z5713" s="2" t="s">
        <v>702</v>
      </c>
      <c r="AA5713" s="13" t="s">
        <v>10407</v>
      </c>
      <c r="AB5713" s="13" t="s">
        <v>10408</v>
      </c>
    </row>
    <row r="5714" spans="1:28" ht="15" customHeight="1">
      <c r="A5714" s="2" t="s">
        <v>9316</v>
      </c>
      <c r="B5714" s="2" t="s">
        <v>711</v>
      </c>
      <c r="C5714" s="11" t="s">
        <v>2805</v>
      </c>
      <c r="D5714" s="2" t="s">
        <v>30</v>
      </c>
      <c r="E5714" s="2" t="s">
        <v>985</v>
      </c>
      <c r="F5714" s="11"/>
      <c r="G5714" s="49"/>
      <c r="H5714" s="2" t="s">
        <v>1683</v>
      </c>
      <c r="I5714" s="12" t="s">
        <v>989</v>
      </c>
      <c r="J5714" s="22">
        <f>+Tabla1[[#This Row],[FECHA ENTRADA]]</f>
        <v>45746</v>
      </c>
      <c r="K5714" s="41">
        <f ca="1">TODAY()</f>
        <v>46260</v>
      </c>
      <c r="L5714" s="23">
        <f ca="1">_xlfn.DAYS(Tabla1[[#This Row],[FECHA FIN ]],Tabla1[[#This Row],[FECHA INICIO]])</f>
        <v>514</v>
      </c>
      <c r="M5714" s="12"/>
      <c r="N5714" s="28">
        <v>300</v>
      </c>
      <c r="O5714" s="24">
        <f ca="1">(Tabla1[[#This Row],[COSTO FIJO ]]/30)*Tabla1[[#This Row],[TOTAL DIAS PROYECTO]]+(Tabla1[[#This Row],[COSTO TEMPORAL]])</f>
        <v>5140</v>
      </c>
      <c r="P5714" s="12"/>
      <c r="Q5714" s="12">
        <f ca="1">+(Tabla1[[#This Row],[COSTO COCHE]]/30)*Tabla1[[#This Row],[TOTAL DIAS PROYECTO]]</f>
        <v>0</v>
      </c>
      <c r="R5714" s="12">
        <f ca="1">+Tabla1[[#This Row],[COSTO TOTAL ALOJAMIENTO]]+Tabla1[[#This Row],[COSTO TOTAL COCHE]]</f>
        <v>5140</v>
      </c>
      <c r="S5714" s="2"/>
      <c r="T5714" s="2" t="s">
        <v>58</v>
      </c>
      <c r="U5714" s="14">
        <v>45746</v>
      </c>
      <c r="V5714" s="25"/>
      <c r="W5714" s="26"/>
      <c r="X5714" s="2"/>
      <c r="Y5714" s="11"/>
      <c r="Z5714" s="2" t="s">
        <v>702</v>
      </c>
      <c r="AA5714" s="13" t="s">
        <v>10407</v>
      </c>
      <c r="AB5714" s="13" t="s">
        <v>10408</v>
      </c>
    </row>
    <row r="5715" spans="1:28" ht="15" customHeight="1">
      <c r="A5715" s="2" t="s">
        <v>9082</v>
      </c>
      <c r="B5715" s="2" t="s">
        <v>711</v>
      </c>
      <c r="C5715" s="69" t="s">
        <v>1936</v>
      </c>
      <c r="D5715" s="2" t="s">
        <v>30</v>
      </c>
      <c r="E5715" s="2" t="s">
        <v>1987</v>
      </c>
      <c r="F5715" s="11" t="s">
        <v>3766</v>
      </c>
      <c r="G5715" s="128" t="s">
        <v>3767</v>
      </c>
      <c r="H5715" s="2" t="s">
        <v>3768</v>
      </c>
      <c r="I5715" s="12" t="s">
        <v>3769</v>
      </c>
      <c r="J5715" s="41">
        <f>+Tabla1[[#This Row],[FECHA ENTRADA]]</f>
        <v>46136</v>
      </c>
      <c r="K5715" s="22">
        <v>46223</v>
      </c>
      <c r="L5715" s="42">
        <f>_xlfn.DAYS(Tabla1[[#This Row],[FECHA FIN ]],Tabla1[[#This Row],[FECHA INICIO]])</f>
        <v>87</v>
      </c>
      <c r="M5715" s="12"/>
      <c r="N5715" s="28">
        <v>682</v>
      </c>
      <c r="O5715" s="28">
        <f>(Tabla1[[#This Row],[COSTO FIJO ]]/30)*Tabla1[[#This Row],[TOTAL DIAS PROYECTO]]+(Tabla1[[#This Row],[COSTO TEMPORAL]])</f>
        <v>1977.8000000000002</v>
      </c>
      <c r="P5715" s="12"/>
      <c r="Q5715" s="12">
        <f>+(Tabla1[[#This Row],[COSTO COCHE]]/30)*Tabla1[[#This Row],[TOTAL DIAS PROYECTO]]</f>
        <v>0</v>
      </c>
      <c r="R5715" s="12">
        <f>+Tabla1[[#This Row],[COSTO TOTAL ALOJAMIENTO]]+Tabla1[[#This Row],[COSTO TOTAL COCHE]]</f>
        <v>1977.8000000000002</v>
      </c>
      <c r="S5715" s="2"/>
      <c r="T5715" s="14" t="s">
        <v>35</v>
      </c>
      <c r="U5715" s="14">
        <v>46136</v>
      </c>
      <c r="V5715" s="43"/>
      <c r="W5715" s="12"/>
      <c r="X5715" s="2">
        <v>7</v>
      </c>
      <c r="Y5715" s="11" t="s">
        <v>7811</v>
      </c>
      <c r="Z5715" s="2" t="s">
        <v>36</v>
      </c>
      <c r="AA5715" s="13" t="s">
        <v>10435</v>
      </c>
      <c r="AB5715" s="13">
        <v>42.136150000000001</v>
      </c>
    </row>
    <row r="5716" spans="1:28" ht="15" customHeight="1">
      <c r="A5716" s="2" t="s">
        <v>9626</v>
      </c>
      <c r="B5716" s="2" t="s">
        <v>711</v>
      </c>
      <c r="C5716" s="11" t="s">
        <v>3935</v>
      </c>
      <c r="D5716" s="2" t="s">
        <v>30</v>
      </c>
      <c r="E5716" s="2" t="s">
        <v>985</v>
      </c>
      <c r="F5716" s="11"/>
      <c r="G5716" s="49"/>
      <c r="H5716" s="2" t="s">
        <v>1128</v>
      </c>
      <c r="I5716" s="12" t="s">
        <v>989</v>
      </c>
      <c r="J5716" s="22">
        <f>+Tabla1[[#This Row],[FECHA ENTRADA]]</f>
        <v>45658</v>
      </c>
      <c r="K5716" s="41">
        <f ca="1">TODAY()</f>
        <v>46260</v>
      </c>
      <c r="L5716" s="23">
        <f ca="1">_xlfn.DAYS(Tabla1[[#This Row],[FECHA FIN ]],Tabla1[[#This Row],[FECHA INICIO]])</f>
        <v>602</v>
      </c>
      <c r="M5716" s="12"/>
      <c r="N5716" s="28">
        <v>300</v>
      </c>
      <c r="O5716" s="24">
        <f ca="1">(Tabla1[[#This Row],[COSTO FIJO ]]/30)*Tabla1[[#This Row],[TOTAL DIAS PROYECTO]]+(Tabla1[[#This Row],[COSTO TEMPORAL]])</f>
        <v>6020</v>
      </c>
      <c r="P5716" s="12"/>
      <c r="Q5716" s="12">
        <f ca="1">+(Tabla1[[#This Row],[COSTO COCHE]]/30)*Tabla1[[#This Row],[TOTAL DIAS PROYECTO]]</f>
        <v>0</v>
      </c>
      <c r="R5716" s="12">
        <f ca="1">+Tabla1[[#This Row],[COSTO TOTAL ALOJAMIENTO]]+Tabla1[[#This Row],[COSTO TOTAL COCHE]]</f>
        <v>6020</v>
      </c>
      <c r="S5716" s="2"/>
      <c r="T5716" s="2" t="s">
        <v>58</v>
      </c>
      <c r="U5716" s="14">
        <v>45658</v>
      </c>
      <c r="V5716" s="25"/>
      <c r="W5716" s="26"/>
      <c r="X5716" s="2"/>
      <c r="Y5716" s="11"/>
      <c r="Z5716" s="2" t="s">
        <v>702</v>
      </c>
      <c r="AA5716" s="13" t="s">
        <v>10407</v>
      </c>
      <c r="AB5716" s="13" t="s">
        <v>10408</v>
      </c>
    </row>
    <row r="5717" spans="1:28" ht="15" customHeight="1">
      <c r="A5717" s="117" t="s">
        <v>9885</v>
      </c>
      <c r="B5717" s="117" t="s">
        <v>711</v>
      </c>
      <c r="C5717" s="118" t="s">
        <v>5218</v>
      </c>
      <c r="D5717" s="117" t="s">
        <v>30</v>
      </c>
      <c r="E5717" s="117" t="s">
        <v>686</v>
      </c>
      <c r="F5717" s="11" t="s">
        <v>3253</v>
      </c>
      <c r="G5717" s="128" t="s">
        <v>3254</v>
      </c>
      <c r="H5717" s="117" t="s">
        <v>7808</v>
      </c>
      <c r="I5717" s="119" t="s">
        <v>96</v>
      </c>
      <c r="J5717" s="121">
        <f>+Tabla1[[#This Row],[FECHA ENTRADA]]</f>
        <v>46010</v>
      </c>
      <c r="K5717" s="121">
        <f ca="1">TODAY()</f>
        <v>46260</v>
      </c>
      <c r="L5717" s="129">
        <f ca="1">_xlfn.DAYS(Tabla1[[#This Row],[FECHA FIN ]],Tabla1[[#This Row],[FECHA INICIO]])</f>
        <v>250</v>
      </c>
      <c r="M5717" s="119">
        <v>387.5</v>
      </c>
      <c r="N5717" s="130"/>
      <c r="O5717" s="131">
        <f ca="1">(Tabla1[[#This Row],[COSTO FIJO ]]/30)*Tabla1[[#This Row],[TOTAL DIAS PROYECTO]]+(Tabla1[[#This Row],[COSTO TEMPORAL]])</f>
        <v>387.5</v>
      </c>
      <c r="P5717" s="119"/>
      <c r="Q5717" s="119">
        <f ca="1">+(Tabla1[[#This Row],[COSTO COCHE]]/30)*Tabla1[[#This Row],[TOTAL DIAS PROYECTO]]</f>
        <v>0</v>
      </c>
      <c r="R5717" s="119">
        <f ca="1">+Tabla1[[#This Row],[COSTO TOTAL ALOJAMIENTO]]+Tabla1[[#This Row],[COSTO TOTAL COCHE]]</f>
        <v>387.5</v>
      </c>
      <c r="S5717" s="117"/>
      <c r="T5717" s="124" t="s">
        <v>44</v>
      </c>
      <c r="U5717" s="124">
        <v>46010</v>
      </c>
      <c r="V5717" s="125">
        <v>46101</v>
      </c>
      <c r="W5717" s="119"/>
      <c r="X5717" s="117">
        <v>1</v>
      </c>
      <c r="Y5717" s="118" t="s">
        <v>3255</v>
      </c>
      <c r="Z5717" s="117" t="s">
        <v>36</v>
      </c>
      <c r="AA5717" s="127" t="s">
        <v>10393</v>
      </c>
      <c r="AB5717" s="127">
        <v>3834517</v>
      </c>
    </row>
    <row r="5718" spans="1:28" ht="15" customHeight="1">
      <c r="A5718" s="117" t="s">
        <v>9885</v>
      </c>
      <c r="B5718" s="117" t="s">
        <v>711</v>
      </c>
      <c r="C5718" s="118" t="s">
        <v>5218</v>
      </c>
      <c r="D5718" s="117" t="s">
        <v>30</v>
      </c>
      <c r="E5718" s="117" t="s">
        <v>686</v>
      </c>
      <c r="F5718" s="11" t="s">
        <v>3257</v>
      </c>
      <c r="G5718" s="128" t="s">
        <v>3258</v>
      </c>
      <c r="H5718" s="117" t="s">
        <v>7808</v>
      </c>
      <c r="I5718" s="119" t="s">
        <v>96</v>
      </c>
      <c r="J5718" s="121">
        <f>+Tabla1[[#This Row],[FECHA ENTRADA]]</f>
        <v>46100</v>
      </c>
      <c r="K5718" s="121">
        <v>46120</v>
      </c>
      <c r="L5718" s="129">
        <f>_xlfn.DAYS(Tabla1[[#This Row],[FECHA FIN ]],Tabla1[[#This Row],[FECHA INICIO]])</f>
        <v>20</v>
      </c>
      <c r="M5718" s="119">
        <f>1622.88/4</f>
        <v>405.72</v>
      </c>
      <c r="N5718" s="130"/>
      <c r="O5718" s="131">
        <f>(Tabla1[[#This Row],[COSTO FIJO ]]/30)*Tabla1[[#This Row],[TOTAL DIAS PROYECTO]]+(Tabla1[[#This Row],[COSTO TEMPORAL]])</f>
        <v>405.72</v>
      </c>
      <c r="P5718" s="119"/>
      <c r="Q5718" s="119">
        <f>+(Tabla1[[#This Row],[COSTO COCHE]]/30)*Tabla1[[#This Row],[TOTAL DIAS PROYECTO]]</f>
        <v>0</v>
      </c>
      <c r="R5718" s="119">
        <f>+Tabla1[[#This Row],[COSTO TOTAL ALOJAMIENTO]]+Tabla1[[#This Row],[COSTO TOTAL COCHE]]</f>
        <v>405.72</v>
      </c>
      <c r="S5718" s="117" t="s">
        <v>403</v>
      </c>
      <c r="T5718" s="124" t="s">
        <v>44</v>
      </c>
      <c r="U5718" s="124">
        <v>46100</v>
      </c>
      <c r="V5718" s="132">
        <v>46121</v>
      </c>
      <c r="W5718" s="119"/>
      <c r="X5718" s="117"/>
      <c r="Y5718" s="118" t="s">
        <v>3259</v>
      </c>
      <c r="Z5718" s="117" t="s">
        <v>36</v>
      </c>
      <c r="AA5718" s="127" t="s">
        <v>10393</v>
      </c>
      <c r="AB5718" s="127">
        <v>3834517</v>
      </c>
    </row>
    <row r="5719" spans="1:28" ht="15" customHeight="1">
      <c r="A5719" s="2" t="s">
        <v>9064</v>
      </c>
      <c r="B5719" s="2" t="s">
        <v>711</v>
      </c>
      <c r="C5719" s="11" t="s">
        <v>1847</v>
      </c>
      <c r="D5719" s="2" t="s">
        <v>99</v>
      </c>
      <c r="E5719" s="2" t="s">
        <v>985</v>
      </c>
      <c r="F5719" s="11"/>
      <c r="G5719" s="21"/>
      <c r="H5719" s="2" t="s">
        <v>988</v>
      </c>
      <c r="I5719" s="12" t="s">
        <v>989</v>
      </c>
      <c r="J5719" s="22">
        <f>+Tabla1[[#This Row],[FECHA ENTRADA]]</f>
        <v>45952</v>
      </c>
      <c r="K5719" s="22">
        <f ca="1">TODAY()</f>
        <v>46260</v>
      </c>
      <c r="L5719" s="23">
        <f ca="1">_xlfn.DAYS(Tabla1[[#This Row],[FECHA FIN ]],Tabla1[[#This Row],[FECHA INICIO]])</f>
        <v>308</v>
      </c>
      <c r="M5719" s="12"/>
      <c r="N5719" s="20">
        <v>300</v>
      </c>
      <c r="O5719" s="24">
        <f ca="1">(Tabla1[[#This Row],[COSTO FIJO ]]/30)*Tabla1[[#This Row],[TOTAL DIAS PROYECTO]]+(Tabla1[[#This Row],[COSTO TEMPORAL]])</f>
        <v>3080</v>
      </c>
      <c r="P5719" s="12"/>
      <c r="Q5719" s="12">
        <f ca="1">+(Tabla1[[#This Row],[COSTO COCHE]]/30)*Tabla1[[#This Row],[TOTAL DIAS PROYECTO]]</f>
        <v>0</v>
      </c>
      <c r="R5719" s="12">
        <f ca="1">+Tabla1[[#This Row],[COSTO TOTAL ALOJAMIENTO]]+Tabla1[[#This Row],[COSTO TOTAL COCHE]]</f>
        <v>3080</v>
      </c>
      <c r="S5719" s="2"/>
      <c r="T5719" s="14" t="s">
        <v>58</v>
      </c>
      <c r="U5719" s="14">
        <v>45952</v>
      </c>
      <c r="V5719" s="25"/>
      <c r="W5719" s="71"/>
      <c r="X5719" s="2"/>
      <c r="Y5719" s="11" t="s">
        <v>5727</v>
      </c>
      <c r="Z5719" s="2" t="s">
        <v>702</v>
      </c>
      <c r="AA5719" s="13" t="s">
        <v>10407</v>
      </c>
      <c r="AB5719" s="13" t="s">
        <v>10408</v>
      </c>
    </row>
    <row r="5720" spans="1:28" ht="15" customHeight="1">
      <c r="A5720" s="2" t="s">
        <v>9034</v>
      </c>
      <c r="B5720" s="2" t="s">
        <v>978</v>
      </c>
      <c r="C5720" s="11" t="s">
        <v>1752</v>
      </c>
      <c r="D5720" s="2" t="s">
        <v>99</v>
      </c>
      <c r="E5720" s="2" t="s">
        <v>1393</v>
      </c>
      <c r="F5720" s="11"/>
      <c r="G5720" s="46"/>
      <c r="H5720" s="2" t="s">
        <v>5290</v>
      </c>
      <c r="I5720" s="158" t="s">
        <v>5291</v>
      </c>
      <c r="J5720" s="41">
        <f>+Tabla1[[#This Row],[FECHA ENTRADA]]</f>
        <v>45754</v>
      </c>
      <c r="K5720" s="22">
        <f ca="1">TODAY()</f>
        <v>46260</v>
      </c>
      <c r="L5720" s="42">
        <f ca="1">_xlfn.DAYS(Tabla1[[#This Row],[FECHA FIN ]],Tabla1[[#This Row],[FECHA INICIO]])</f>
        <v>506</v>
      </c>
      <c r="M5720" s="12"/>
      <c r="N5720" s="28">
        <v>300</v>
      </c>
      <c r="O5720" s="28">
        <f ca="1">(Tabla1[[#This Row],[COSTO FIJO ]]/30)*Tabla1[[#This Row],[TOTAL DIAS PROYECTO]]+(Tabla1[[#This Row],[COSTO TEMPORAL]])</f>
        <v>5060</v>
      </c>
      <c r="P5720" s="12"/>
      <c r="Q5720" s="12">
        <f ca="1">+(Tabla1[[#This Row],[COSTO COCHE]]/30)*Tabla1[[#This Row],[TOTAL DIAS PROYECTO]]</f>
        <v>0</v>
      </c>
      <c r="R5720" s="12">
        <f ca="1">+Tabla1[[#This Row],[COSTO TOTAL ALOJAMIENTO]]+Tabla1[[#This Row],[COSTO TOTAL COCHE]]</f>
        <v>5060</v>
      </c>
      <c r="S5720" s="2"/>
      <c r="T5720" s="14" t="s">
        <v>58</v>
      </c>
      <c r="U5720" s="14">
        <v>45754</v>
      </c>
      <c r="V5720" s="43"/>
      <c r="W5720" s="12"/>
      <c r="X5720" s="2"/>
      <c r="Y5720" s="11"/>
      <c r="Z5720" s="2" t="s">
        <v>702</v>
      </c>
      <c r="AA5720" s="13" t="s">
        <v>10416</v>
      </c>
      <c r="AB5720" s="13" t="s">
        <v>10417</v>
      </c>
    </row>
    <row r="5721" spans="1:28" ht="15" customHeight="1">
      <c r="A5721" s="2" t="s">
        <v>10171</v>
      </c>
      <c r="B5721" s="2" t="s">
        <v>711</v>
      </c>
      <c r="C5721" s="31" t="s">
        <v>6885</v>
      </c>
      <c r="D5721" s="2" t="s">
        <v>99</v>
      </c>
      <c r="E5721" s="2" t="s">
        <v>1987</v>
      </c>
      <c r="F5721" s="11" t="s">
        <v>3766</v>
      </c>
      <c r="G5721" s="128" t="s">
        <v>3767</v>
      </c>
      <c r="H5721" s="2" t="s">
        <v>7812</v>
      </c>
      <c r="I5721" s="12" t="s">
        <v>3769</v>
      </c>
      <c r="J5721" s="22">
        <f>+Tabla1[[#This Row],[FECHA ENTRADA]]</f>
        <v>46181</v>
      </c>
      <c r="K5721" s="22">
        <v>46227</v>
      </c>
      <c r="L5721" s="23">
        <f>_xlfn.DAYS(Tabla1[[#This Row],[FECHA FIN ]],Tabla1[[#This Row],[FECHA INICIO]])</f>
        <v>46</v>
      </c>
      <c r="M5721" s="12"/>
      <c r="N5721" s="28">
        <v>542.5</v>
      </c>
      <c r="O5721" s="24">
        <f>(Tabla1[[#This Row],[COSTO FIJO ]]/30)*Tabla1[[#This Row],[TOTAL DIAS PROYECTO]]+(Tabla1[[#This Row],[COSTO TEMPORAL]])</f>
        <v>831.83333333333326</v>
      </c>
      <c r="P5721" s="12"/>
      <c r="Q5721" s="12">
        <f>+(Tabla1[[#This Row],[COSTO COCHE]]/30)*Tabla1[[#This Row],[TOTAL DIAS PROYECTO]]</f>
        <v>0</v>
      </c>
      <c r="R5721" s="12">
        <f>+Tabla1[[#This Row],[COSTO TOTAL ALOJAMIENTO]]+Tabla1[[#This Row],[COSTO TOTAL COCHE]]</f>
        <v>831.83333333333326</v>
      </c>
      <c r="S5721" s="2"/>
      <c r="T5721" s="14" t="s">
        <v>35</v>
      </c>
      <c r="U5721" s="14">
        <v>46181</v>
      </c>
      <c r="V5721" s="25"/>
      <c r="W5721" s="12"/>
      <c r="X5721" s="2">
        <v>7</v>
      </c>
      <c r="Y5721" s="11" t="s">
        <v>7813</v>
      </c>
      <c r="Z5721" s="2" t="s">
        <v>36</v>
      </c>
      <c r="AA5721" s="13" t="s">
        <v>10435</v>
      </c>
      <c r="AB5721" s="13">
        <v>42.136150000000001</v>
      </c>
    </row>
    <row r="5722" spans="1:28" ht="15" customHeight="1">
      <c r="A5722" s="117" t="s">
        <v>9885</v>
      </c>
      <c r="B5722" s="117" t="s">
        <v>711</v>
      </c>
      <c r="C5722" s="118" t="s">
        <v>5218</v>
      </c>
      <c r="D5722" s="117" t="s">
        <v>30</v>
      </c>
      <c r="E5722" s="117" t="s">
        <v>686</v>
      </c>
      <c r="F5722" s="11" t="s">
        <v>3268</v>
      </c>
      <c r="G5722" s="128" t="s">
        <v>3269</v>
      </c>
      <c r="H5722" s="117" t="s">
        <v>7808</v>
      </c>
      <c r="I5722" s="119" t="s">
        <v>96</v>
      </c>
      <c r="J5722" s="120">
        <f>+Tabla1[[#This Row],[FECHA ENTRADA]]</f>
        <v>45931</v>
      </c>
      <c r="K5722" s="121">
        <f ca="1">TODAY()</f>
        <v>46260</v>
      </c>
      <c r="L5722" s="122">
        <f ca="1">_xlfn.DAYS(Tabla1[[#This Row],[FECHA FIN ]],Tabla1[[#This Row],[FECHA INICIO]])</f>
        <v>329</v>
      </c>
      <c r="M5722" s="119">
        <f>4606.12/4</f>
        <v>1151.53</v>
      </c>
      <c r="N5722" s="123"/>
      <c r="O5722" s="123">
        <f ca="1">(Tabla1[[#This Row],[COSTO FIJO ]]/30)*Tabla1[[#This Row],[TOTAL DIAS PROYECTO]]+(Tabla1[[#This Row],[COSTO TEMPORAL]])</f>
        <v>1151.53</v>
      </c>
      <c r="P5722" s="119"/>
      <c r="Q5722" s="119">
        <f ca="1">+(Tabla1[[#This Row],[COSTO COCHE]]/30)*Tabla1[[#This Row],[TOTAL DIAS PROYECTO]]</f>
        <v>0</v>
      </c>
      <c r="R5722" s="119">
        <f ca="1">+Tabla1[[#This Row],[COSTO TOTAL ALOJAMIENTO]]+Tabla1[[#This Row],[COSTO TOTAL COCHE]]</f>
        <v>1151.53</v>
      </c>
      <c r="S5722" s="117" t="s">
        <v>84</v>
      </c>
      <c r="T5722" s="124" t="s">
        <v>44</v>
      </c>
      <c r="U5722" s="124">
        <v>45931</v>
      </c>
      <c r="V5722" s="125">
        <v>46010</v>
      </c>
      <c r="W5722" s="126"/>
      <c r="X5722" s="117"/>
      <c r="Y5722" s="118" t="s">
        <v>4252</v>
      </c>
      <c r="Z5722" s="117" t="s">
        <v>36</v>
      </c>
      <c r="AA5722" s="127" t="s">
        <v>10393</v>
      </c>
      <c r="AB5722" s="127">
        <v>3834517</v>
      </c>
    </row>
    <row r="5723" spans="1:28" ht="15" customHeight="1">
      <c r="A5723" s="117" t="s">
        <v>9885</v>
      </c>
      <c r="B5723" s="117" t="s">
        <v>711</v>
      </c>
      <c r="C5723" s="118" t="s">
        <v>5218</v>
      </c>
      <c r="D5723" s="117" t="s">
        <v>30</v>
      </c>
      <c r="E5723" s="117" t="s">
        <v>686</v>
      </c>
      <c r="F5723" s="11" t="s">
        <v>3068</v>
      </c>
      <c r="G5723" s="128" t="s">
        <v>3312</v>
      </c>
      <c r="H5723" s="117" t="s">
        <v>7808</v>
      </c>
      <c r="I5723" s="119" t="s">
        <v>96</v>
      </c>
      <c r="J5723" s="121">
        <f>+Tabla1[[#This Row],[FECHA ENTRADA]]</f>
        <v>46120</v>
      </c>
      <c r="K5723" s="121">
        <v>46139</v>
      </c>
      <c r="L5723" s="129">
        <f>_xlfn.DAYS(Tabla1[[#This Row],[FECHA FIN ]],Tabla1[[#This Row],[FECHA INICIO]])</f>
        <v>19</v>
      </c>
      <c r="M5723" s="119">
        <f>1122.6/4</f>
        <v>280.64999999999998</v>
      </c>
      <c r="N5723" s="130"/>
      <c r="O5723" s="131">
        <f>(Tabla1[[#This Row],[COSTO FIJO ]]/30)*Tabla1[[#This Row],[TOTAL DIAS PROYECTO]]+(Tabla1[[#This Row],[COSTO TEMPORAL]])</f>
        <v>280.64999999999998</v>
      </c>
      <c r="P5723" s="119"/>
      <c r="Q5723" s="119">
        <f>+(Tabla1[[#This Row],[COSTO COCHE]]/30)*Tabla1[[#This Row],[TOTAL DIAS PROYECTO]]</f>
        <v>0</v>
      </c>
      <c r="R5723" s="119">
        <f>+Tabla1[[#This Row],[COSTO TOTAL ALOJAMIENTO]]+Tabla1[[#This Row],[COSTO TOTAL COCHE]]</f>
        <v>280.64999999999998</v>
      </c>
      <c r="S5723" s="117"/>
      <c r="T5723" s="124" t="s">
        <v>44</v>
      </c>
      <c r="U5723" s="124">
        <v>46120</v>
      </c>
      <c r="V5723" s="132">
        <v>46140</v>
      </c>
      <c r="W5723" s="119"/>
      <c r="X5723" s="117"/>
      <c r="Y5723" s="118" t="s">
        <v>3313</v>
      </c>
      <c r="Z5723" s="117" t="s">
        <v>36</v>
      </c>
      <c r="AA5723" s="127" t="s">
        <v>10393</v>
      </c>
      <c r="AB5723" s="127">
        <v>3834517</v>
      </c>
    </row>
    <row r="5724" spans="1:28" ht="15" customHeight="1">
      <c r="A5724" s="2" t="s">
        <v>9885</v>
      </c>
      <c r="B5724" s="2" t="s">
        <v>711</v>
      </c>
      <c r="C5724" s="118" t="s">
        <v>5218</v>
      </c>
      <c r="D5724" s="2" t="s">
        <v>30</v>
      </c>
      <c r="E5724" s="2" t="s">
        <v>686</v>
      </c>
      <c r="F5724" s="11" t="s">
        <v>3316</v>
      </c>
      <c r="G5724" s="21" t="s">
        <v>3317</v>
      </c>
      <c r="H5724" s="2" t="s">
        <v>7808</v>
      </c>
      <c r="I5724" s="12" t="s">
        <v>96</v>
      </c>
      <c r="J5724" s="41">
        <f>+Tabla1[[#This Row],[FECHA ENTRADA]]</f>
        <v>46139</v>
      </c>
      <c r="K5724" s="22">
        <v>46169</v>
      </c>
      <c r="L5724" s="42">
        <f>_xlfn.DAYS(Tabla1[[#This Row],[FECHA FIN ]],Tabla1[[#This Row],[FECHA INICIO]])</f>
        <v>30</v>
      </c>
      <c r="M5724" s="12">
        <f>2093.04/4</f>
        <v>523.26</v>
      </c>
      <c r="N5724" s="28"/>
      <c r="O5724" s="28">
        <f>(Tabla1[[#This Row],[COSTO FIJO ]]/30)*Tabla1[[#This Row],[TOTAL DIAS PROYECTO]]+(Tabla1[[#This Row],[COSTO TEMPORAL]])</f>
        <v>523.26</v>
      </c>
      <c r="P5724" s="12"/>
      <c r="Q5724" s="12">
        <f>+(Tabla1[[#This Row],[COSTO COCHE]]/30)*Tabla1[[#This Row],[TOTAL DIAS PROYECTO]]</f>
        <v>0</v>
      </c>
      <c r="R5724" s="12">
        <f>+Tabla1[[#This Row],[COSTO TOTAL ALOJAMIENTO]]+Tabla1[[#This Row],[COSTO TOTAL COCHE]]</f>
        <v>523.26</v>
      </c>
      <c r="S5724" s="2" t="s">
        <v>84</v>
      </c>
      <c r="T5724" s="14" t="s">
        <v>44</v>
      </c>
      <c r="U5724" s="14">
        <v>46139</v>
      </c>
      <c r="V5724" s="43">
        <v>46170</v>
      </c>
      <c r="W5724" s="12"/>
      <c r="X5724" s="2"/>
      <c r="Y5724" s="11" t="s">
        <v>3318</v>
      </c>
      <c r="Z5724" s="2" t="s">
        <v>36</v>
      </c>
      <c r="AA5724" s="13" t="s">
        <v>10393</v>
      </c>
      <c r="AB5724" s="13">
        <v>3834517</v>
      </c>
    </row>
    <row r="5725" spans="1:28" ht="15" customHeight="1">
      <c r="A5725" s="2" t="s">
        <v>9885</v>
      </c>
      <c r="B5725" s="2" t="s">
        <v>711</v>
      </c>
      <c r="C5725" s="11" t="s">
        <v>5218</v>
      </c>
      <c r="D5725" s="2" t="s">
        <v>30</v>
      </c>
      <c r="E5725" s="2" t="s">
        <v>686</v>
      </c>
      <c r="F5725" s="11" t="s">
        <v>3319</v>
      </c>
      <c r="G5725" s="21" t="s">
        <v>3320</v>
      </c>
      <c r="H5725" s="2" t="s">
        <v>7808</v>
      </c>
      <c r="I5725" s="12" t="s">
        <v>96</v>
      </c>
      <c r="J5725" s="22">
        <f>+Tabla1[[#This Row],[FECHA ENTRADA]]</f>
        <v>46169</v>
      </c>
      <c r="K5725" s="22">
        <v>46174</v>
      </c>
      <c r="L5725" s="23">
        <f>_xlfn.DAYS(Tabla1[[#This Row],[FECHA FIN ]],Tabla1[[#This Row],[FECHA INICIO]])</f>
        <v>5</v>
      </c>
      <c r="M5725" s="12">
        <v>105</v>
      </c>
      <c r="N5725" s="20"/>
      <c r="O5725" s="24">
        <f>(Tabla1[[#This Row],[COSTO FIJO ]]/30)*Tabla1[[#This Row],[TOTAL DIAS PROYECTO]]+(Tabla1[[#This Row],[COSTO TEMPORAL]])</f>
        <v>105</v>
      </c>
      <c r="P5725" s="12"/>
      <c r="Q5725" s="12">
        <f>+(Tabla1[[#This Row],[COSTO COCHE]]/30)*Tabla1[[#This Row],[TOTAL DIAS PROYECTO]]</f>
        <v>0</v>
      </c>
      <c r="R5725" s="12">
        <f>+Tabla1[[#This Row],[COSTO TOTAL ALOJAMIENTO]]+Tabla1[[#This Row],[COSTO TOTAL COCHE]]</f>
        <v>105</v>
      </c>
      <c r="S5725" s="2" t="s">
        <v>403</v>
      </c>
      <c r="T5725" s="14" t="s">
        <v>44</v>
      </c>
      <c r="U5725" s="14">
        <v>46169</v>
      </c>
      <c r="V5725" s="79">
        <v>46175</v>
      </c>
      <c r="W5725" s="12"/>
      <c r="X5725" s="2"/>
      <c r="Y5725" s="11" t="s">
        <v>3321</v>
      </c>
      <c r="Z5725" s="2" t="s">
        <v>36</v>
      </c>
      <c r="AA5725" s="13" t="s">
        <v>10393</v>
      </c>
      <c r="AB5725" s="13">
        <v>3834517</v>
      </c>
    </row>
    <row r="5726" spans="1:28" ht="15" customHeight="1">
      <c r="A5726" s="2" t="s">
        <v>9406</v>
      </c>
      <c r="B5726" s="2" t="s">
        <v>711</v>
      </c>
      <c r="C5726" s="31" t="s">
        <v>3075</v>
      </c>
      <c r="D5726" s="2" t="s">
        <v>30</v>
      </c>
      <c r="E5726" s="2" t="s">
        <v>608</v>
      </c>
      <c r="F5726" s="11" t="s">
        <v>7814</v>
      </c>
      <c r="G5726" s="49"/>
      <c r="H5726" s="2" t="s">
        <v>7165</v>
      </c>
      <c r="I5726" s="12" t="s">
        <v>7167</v>
      </c>
      <c r="J5726" s="22">
        <f>+Tabla1[[#This Row],[FECHA ENTRADA]]</f>
        <v>46128</v>
      </c>
      <c r="K5726" s="22">
        <v>46131</v>
      </c>
      <c r="L5726" s="23">
        <f>_xlfn.DAYS(Tabla1[[#This Row],[FECHA FIN ]],Tabla1[[#This Row],[FECHA INICIO]])</f>
        <v>3</v>
      </c>
      <c r="M5726" s="12">
        <v>106.5</v>
      </c>
      <c r="N5726" s="24"/>
      <c r="O5726" s="24">
        <f>(Tabla1[[#This Row],[COSTO FIJO ]]/30)*Tabla1[[#This Row],[TOTAL DIAS PROYECTO]]+(Tabla1[[#This Row],[COSTO TEMPORAL]])</f>
        <v>106.5</v>
      </c>
      <c r="P5726" s="12"/>
      <c r="Q5726" s="12">
        <f>+(Tabla1[[#This Row],[COSTO COCHE]]/30)*Tabla1[[#This Row],[TOTAL DIAS PROYECTO]]</f>
        <v>0</v>
      </c>
      <c r="R5726" s="12">
        <f>+Tabla1[[#This Row],[COSTO TOTAL ALOJAMIENTO]]+Tabla1[[#This Row],[COSTO TOTAL COCHE]]</f>
        <v>106.5</v>
      </c>
      <c r="S5726" s="2" t="s">
        <v>403</v>
      </c>
      <c r="T5726" s="14" t="s">
        <v>44</v>
      </c>
      <c r="U5726" s="14">
        <v>46128</v>
      </c>
      <c r="V5726" s="25">
        <v>46131</v>
      </c>
      <c r="W5726" s="12"/>
      <c r="X5726" s="2"/>
      <c r="Y5726" s="11" t="s">
        <v>7815</v>
      </c>
      <c r="Z5726" s="2" t="s">
        <v>36</v>
      </c>
      <c r="AA5726" s="13" t="s">
        <v>10383</v>
      </c>
      <c r="AB5726" s="13" t="s">
        <v>10384</v>
      </c>
    </row>
    <row r="5727" spans="1:28" ht="15" customHeight="1">
      <c r="A5727" s="2" t="s">
        <v>9834</v>
      </c>
      <c r="B5727" s="2" t="s">
        <v>711</v>
      </c>
      <c r="C5727" s="31" t="s">
        <v>4960</v>
      </c>
      <c r="D5727" s="2" t="s">
        <v>30</v>
      </c>
      <c r="E5727" s="2" t="s">
        <v>608</v>
      </c>
      <c r="F5727" s="11" t="s">
        <v>7814</v>
      </c>
      <c r="G5727" s="49"/>
      <c r="H5727" s="2" t="s">
        <v>7165</v>
      </c>
      <c r="I5727" s="12" t="s">
        <v>7167</v>
      </c>
      <c r="J5727" s="22">
        <f>+Tabla1[[#This Row],[FECHA ENTRADA]]</f>
        <v>46128</v>
      </c>
      <c r="K5727" s="22">
        <v>46131</v>
      </c>
      <c r="L5727" s="23">
        <f>_xlfn.DAYS(Tabla1[[#This Row],[FECHA FIN ]],Tabla1[[#This Row],[FECHA INICIO]])</f>
        <v>3</v>
      </c>
      <c r="M5727" s="12">
        <v>106.5</v>
      </c>
      <c r="N5727" s="24"/>
      <c r="O5727" s="24">
        <f>(Tabla1[[#This Row],[COSTO FIJO ]]/30)*Tabla1[[#This Row],[TOTAL DIAS PROYECTO]]+(Tabla1[[#This Row],[COSTO TEMPORAL]])</f>
        <v>106.5</v>
      </c>
      <c r="P5727" s="12"/>
      <c r="Q5727" s="12">
        <f>+(Tabla1[[#This Row],[COSTO COCHE]]/30)*Tabla1[[#This Row],[TOTAL DIAS PROYECTO]]</f>
        <v>0</v>
      </c>
      <c r="R5727" s="12">
        <f>+Tabla1[[#This Row],[COSTO TOTAL ALOJAMIENTO]]+Tabla1[[#This Row],[COSTO TOTAL COCHE]]</f>
        <v>106.5</v>
      </c>
      <c r="S5727" s="2" t="s">
        <v>403</v>
      </c>
      <c r="T5727" s="14" t="s">
        <v>44</v>
      </c>
      <c r="U5727" s="14">
        <v>46128</v>
      </c>
      <c r="V5727" s="25">
        <v>46131</v>
      </c>
      <c r="W5727" s="12"/>
      <c r="X5727" s="2"/>
      <c r="Y5727" s="11" t="s">
        <v>7815</v>
      </c>
      <c r="Z5727" s="2" t="s">
        <v>36</v>
      </c>
      <c r="AA5727" s="13" t="s">
        <v>10383</v>
      </c>
      <c r="AB5727" s="13" t="s">
        <v>10384</v>
      </c>
    </row>
    <row r="5728" spans="1:28" ht="15" customHeight="1">
      <c r="A5728" s="2" t="s">
        <v>9678</v>
      </c>
      <c r="B5728" s="2" t="s">
        <v>28</v>
      </c>
      <c r="C5728" s="31" t="s">
        <v>4189</v>
      </c>
      <c r="D5728" s="2" t="s">
        <v>749</v>
      </c>
      <c r="E5728" s="2" t="s">
        <v>288</v>
      </c>
      <c r="F5728" s="11" t="s">
        <v>4873</v>
      </c>
      <c r="G5728" s="21" t="s">
        <v>4752</v>
      </c>
      <c r="H5728" s="2" t="s">
        <v>7555</v>
      </c>
      <c r="I5728" s="12" t="s">
        <v>753</v>
      </c>
      <c r="J5728" s="22">
        <f>+Tabla1[[#This Row],[FECHA ENTRADA]]</f>
        <v>46125</v>
      </c>
      <c r="K5728" s="22">
        <f ca="1">TODAY()</f>
        <v>46260</v>
      </c>
      <c r="L5728" s="23">
        <f ca="1">_xlfn.DAYS(Tabla1[[#This Row],[FECHA FIN ]],Tabla1[[#This Row],[FECHA INICIO]])</f>
        <v>135</v>
      </c>
      <c r="M5728" s="12">
        <v>500</v>
      </c>
      <c r="N5728" s="24"/>
      <c r="O5728" s="24">
        <f ca="1">(Tabla1[[#This Row],[COSTO FIJO ]]/30)*Tabla1[[#This Row],[TOTAL DIAS PROYECTO]]+(Tabla1[[#This Row],[COSTO TEMPORAL]])</f>
        <v>500</v>
      </c>
      <c r="P5728" s="12"/>
      <c r="Q5728" s="12">
        <f ca="1">+(Tabla1[[#This Row],[COSTO COCHE]]/30)*Tabla1[[#This Row],[TOTAL DIAS PROYECTO]]</f>
        <v>0</v>
      </c>
      <c r="R5728" s="12">
        <f ca="1">+Tabla1[[#This Row],[COSTO TOTAL ALOJAMIENTO]]+Tabla1[[#This Row],[COSTO TOTAL COCHE]]</f>
        <v>500</v>
      </c>
      <c r="S5728" s="2"/>
      <c r="T5728" s="14" t="s">
        <v>44</v>
      </c>
      <c r="U5728" s="14">
        <v>46125</v>
      </c>
      <c r="V5728" s="25">
        <v>46143</v>
      </c>
      <c r="W5728" s="12"/>
      <c r="X5728" s="2"/>
      <c r="Y5728" s="11" t="s">
        <v>7816</v>
      </c>
      <c r="Z5728" s="2" t="s">
        <v>36</v>
      </c>
      <c r="AA5728" s="13" t="s">
        <v>10362</v>
      </c>
      <c r="AB5728" s="13" t="s">
        <v>10363</v>
      </c>
    </row>
    <row r="5729" spans="1:28" ht="15" customHeight="1">
      <c r="A5729" s="2" t="s">
        <v>8686</v>
      </c>
      <c r="B5729" s="2" t="s">
        <v>606</v>
      </c>
      <c r="C5729" s="11" t="s">
        <v>284</v>
      </c>
      <c r="D5729" s="2" t="s">
        <v>30</v>
      </c>
      <c r="E5729" s="2" t="s">
        <v>31</v>
      </c>
      <c r="F5729" s="11"/>
      <c r="G5729" s="49"/>
      <c r="H5729" s="2" t="s">
        <v>2256</v>
      </c>
      <c r="I5729" s="12" t="s">
        <v>412</v>
      </c>
      <c r="J5729" s="22">
        <v>45615</v>
      </c>
      <c r="K5729" s="8">
        <f ca="1">TODAY()</f>
        <v>46260</v>
      </c>
      <c r="L5729" s="23">
        <f ca="1">_xlfn.DAYS(Tabla1[[#This Row],[FECHA FIN ]],Tabla1[[#This Row],[FECHA INICIO]])</f>
        <v>645</v>
      </c>
      <c r="M5729" s="12"/>
      <c r="N5729" s="28">
        <v>300</v>
      </c>
      <c r="O5729" s="24">
        <f ca="1">(Tabla1[[#This Row],[COSTO FIJO ]]/30)*Tabla1[[#This Row],[TOTAL DIAS PROYECTO]]+(Tabla1[[#This Row],[COSTO TEMPORAL]])</f>
        <v>6450</v>
      </c>
      <c r="P5729" s="12"/>
      <c r="Q5729" s="12">
        <f ca="1">+(Tabla1[[#This Row],[COSTO COCHE]]/30)*Tabla1[[#This Row],[TOTAL DIAS PROYECTO]]</f>
        <v>0</v>
      </c>
      <c r="R5729" s="12">
        <f ca="1">+Tabla1[[#This Row],[COSTO TOTAL ALOJAMIENTO]]+Tabla1[[#This Row],[COSTO TOTAL COCHE]]</f>
        <v>6450</v>
      </c>
      <c r="S5729" s="2"/>
      <c r="T5729" s="2" t="s">
        <v>58</v>
      </c>
      <c r="U5729" s="14"/>
      <c r="V5729" s="25"/>
      <c r="W5729" s="26"/>
      <c r="X5729" s="2"/>
      <c r="Y5729" s="31" t="s">
        <v>3899</v>
      </c>
      <c r="Z5729" s="2" t="s">
        <v>702</v>
      </c>
      <c r="AA5729" s="13" t="s">
        <v>10323</v>
      </c>
      <c r="AB5729" s="13" t="s">
        <v>10324</v>
      </c>
    </row>
    <row r="5730" spans="1:28" ht="15" customHeight="1">
      <c r="A5730" s="2" t="s">
        <v>9857</v>
      </c>
      <c r="B5730" s="2" t="s">
        <v>711</v>
      </c>
      <c r="C5730" s="11" t="s">
        <v>5063</v>
      </c>
      <c r="D5730" s="2" t="s">
        <v>30</v>
      </c>
      <c r="E5730" s="2" t="s">
        <v>648</v>
      </c>
      <c r="F5730" s="11" t="s">
        <v>3681</v>
      </c>
      <c r="G5730" s="11" t="s">
        <v>1545</v>
      </c>
      <c r="H5730" s="2" t="s">
        <v>1546</v>
      </c>
      <c r="I5730" s="12" t="s">
        <v>96</v>
      </c>
      <c r="J5730" s="22">
        <f>+Tabla1[[#This Row],[FECHA ENTRADA]]</f>
        <v>45908</v>
      </c>
      <c r="K5730" s="22">
        <v>46174</v>
      </c>
      <c r="L5730" s="23">
        <f>_xlfn.DAYS(Tabla1[[#This Row],[FECHA FIN ]],Tabla1[[#This Row],[FECHA INICIO]])</f>
        <v>266</v>
      </c>
      <c r="M5730" s="12"/>
      <c r="N5730" s="12">
        <v>183.33333333333334</v>
      </c>
      <c r="O5730" s="24">
        <f>(Tabla1[[#This Row],[COSTO FIJO ]]/30)*Tabla1[[#This Row],[TOTAL DIAS PROYECTO]]+(Tabla1[[#This Row],[COSTO TEMPORAL]])</f>
        <v>1625.5555555555557</v>
      </c>
      <c r="P5730" s="12"/>
      <c r="Q5730" s="12">
        <f>+(Tabla1[[#This Row],[COSTO COCHE]]/30)*Tabla1[[#This Row],[TOTAL DIAS PROYECTO]]</f>
        <v>0</v>
      </c>
      <c r="R5730" s="12">
        <f>+Tabla1[[#This Row],[COSTO TOTAL ALOJAMIENTO]]+Tabla1[[#This Row],[COSTO TOTAL COCHE]]</f>
        <v>1625.5555555555557</v>
      </c>
      <c r="S5730" s="2"/>
      <c r="T5730" s="14" t="s">
        <v>35</v>
      </c>
      <c r="U5730" s="14">
        <v>45908</v>
      </c>
      <c r="V5730" s="79"/>
      <c r="W5730" s="12"/>
      <c r="X5730" s="2">
        <v>1</v>
      </c>
      <c r="Y5730" s="11" t="s">
        <v>1364</v>
      </c>
      <c r="Z5730" s="2" t="s">
        <v>36</v>
      </c>
      <c r="AA5730" s="13" t="s">
        <v>10387</v>
      </c>
      <c r="AB5730" s="13" t="s">
        <v>10388</v>
      </c>
    </row>
    <row r="5731" spans="1:28" ht="15" customHeight="1">
      <c r="A5731" s="2" t="s">
        <v>9857</v>
      </c>
      <c r="B5731" s="2" t="s">
        <v>711</v>
      </c>
      <c r="C5731" s="11" t="s">
        <v>5063</v>
      </c>
      <c r="D5731" s="2" t="s">
        <v>30</v>
      </c>
      <c r="E5731" s="2" t="s">
        <v>648</v>
      </c>
      <c r="F5731" s="11" t="s">
        <v>6509</v>
      </c>
      <c r="G5731" s="46"/>
      <c r="H5731" s="2" t="s">
        <v>1546</v>
      </c>
      <c r="I5731" s="12" t="s">
        <v>96</v>
      </c>
      <c r="J5731" s="41">
        <f>+Tabla1[[#This Row],[FECHA ENTRADA]]</f>
        <v>46174</v>
      </c>
      <c r="K5731" s="41">
        <v>46235</v>
      </c>
      <c r="L5731" s="42">
        <f>_xlfn.DAYS(Tabla1[[#This Row],[FECHA FIN ]],Tabla1[[#This Row],[FECHA INICIO]])</f>
        <v>61</v>
      </c>
      <c r="M5731" s="12"/>
      <c r="N5731" s="28">
        <v>0</v>
      </c>
      <c r="O5731" s="28">
        <f>(Tabla1[[#This Row],[COSTO FIJO ]]/30)*Tabla1[[#This Row],[TOTAL DIAS PROYECTO]]+(Tabla1[[#This Row],[COSTO TEMPORAL]])</f>
        <v>0</v>
      </c>
      <c r="P5731" s="12"/>
      <c r="Q5731" s="12">
        <f>+(Tabla1[[#This Row],[COSTO COCHE]]/30)*Tabla1[[#This Row],[TOTAL DIAS PROYECTO]]</f>
        <v>0</v>
      </c>
      <c r="R5731" s="12">
        <f>+Tabla1[[#This Row],[COSTO TOTAL ALOJAMIENTO]]+Tabla1[[#This Row],[COSTO TOTAL COCHE]]</f>
        <v>0</v>
      </c>
      <c r="S5731" s="2"/>
      <c r="T5731" s="14" t="s">
        <v>8</v>
      </c>
      <c r="U5731" s="14">
        <v>46174</v>
      </c>
      <c r="V5731" s="43"/>
      <c r="W5731" s="12"/>
      <c r="X5731" s="2"/>
      <c r="Y5731" s="11" t="s">
        <v>7817</v>
      </c>
      <c r="Z5731" s="2" t="s">
        <v>36</v>
      </c>
      <c r="AA5731" s="13" t="s">
        <v>10387</v>
      </c>
      <c r="AB5731" s="13" t="s">
        <v>10388</v>
      </c>
    </row>
    <row r="5732" spans="1:28" ht="15" customHeight="1">
      <c r="A5732" s="2" t="s">
        <v>9131</v>
      </c>
      <c r="B5732" s="2" t="s">
        <v>978</v>
      </c>
      <c r="C5732" s="31" t="s">
        <v>2131</v>
      </c>
      <c r="D5732" s="2" t="s">
        <v>30</v>
      </c>
      <c r="E5732" s="2" t="s">
        <v>855</v>
      </c>
      <c r="F5732" s="11" t="s">
        <v>5772</v>
      </c>
      <c r="G5732" s="21" t="s">
        <v>1474</v>
      </c>
      <c r="H5732" s="2" t="s">
        <v>5807</v>
      </c>
      <c r="I5732" s="12" t="s">
        <v>5808</v>
      </c>
      <c r="J5732" s="22">
        <f>+Tabla1[[#This Row],[FECHA ENTRADA]]</f>
        <v>46132</v>
      </c>
      <c r="K5732" s="22">
        <v>46073</v>
      </c>
      <c r="L5732" s="23">
        <f>_xlfn.DAYS(Tabla1[[#This Row],[FECHA FIN ]],Tabla1[[#This Row],[FECHA INICIO]])</f>
        <v>-59</v>
      </c>
      <c r="M5732" s="12">
        <v>282.33333333333331</v>
      </c>
      <c r="N5732" s="20"/>
      <c r="O5732" s="24">
        <v>484</v>
      </c>
      <c r="P5732" s="12"/>
      <c r="Q5732" s="12">
        <f>+(Tabla1[[#This Row],[COSTO COCHE]]/30)*Tabla1[[#This Row],[TOTAL DIAS PROYECTO]]</f>
        <v>0</v>
      </c>
      <c r="R5732" s="12">
        <f>+Tabla1[[#This Row],[COSTO TOTAL ALOJAMIENTO]]+Tabla1[[#This Row],[COSTO TOTAL COCHE]]</f>
        <v>484</v>
      </c>
      <c r="S5732" s="2"/>
      <c r="T5732" s="14" t="s">
        <v>44</v>
      </c>
      <c r="U5732" s="14">
        <v>46132</v>
      </c>
      <c r="V5732" s="79">
        <v>46156</v>
      </c>
      <c r="W5732" s="12"/>
      <c r="X5732" s="2"/>
      <c r="Y5732" s="11" t="s">
        <v>7818</v>
      </c>
      <c r="Z5732" s="2" t="s">
        <v>36</v>
      </c>
      <c r="AA5732" s="13" t="s">
        <v>10401</v>
      </c>
      <c r="AB5732" s="13" t="s">
        <v>10402</v>
      </c>
    </row>
    <row r="5733" spans="1:28" ht="15" customHeight="1">
      <c r="A5733" s="2" t="s">
        <v>9716</v>
      </c>
      <c r="B5733" s="2" t="s">
        <v>978</v>
      </c>
      <c r="C5733" s="31" t="s">
        <v>4377</v>
      </c>
      <c r="D5733" s="2" t="s">
        <v>30</v>
      </c>
      <c r="E5733" s="2" t="s">
        <v>855</v>
      </c>
      <c r="F5733" s="11" t="s">
        <v>5772</v>
      </c>
      <c r="G5733" s="21" t="s">
        <v>1474</v>
      </c>
      <c r="H5733" s="2" t="s">
        <v>5917</v>
      </c>
      <c r="I5733" s="12" t="s">
        <v>5808</v>
      </c>
      <c r="J5733" s="22">
        <f>+Tabla1[[#This Row],[FECHA ENTRADA]]</f>
        <v>46132</v>
      </c>
      <c r="K5733" s="22">
        <v>46125</v>
      </c>
      <c r="L5733" s="23">
        <f>_xlfn.DAYS(Tabla1[[#This Row],[FECHA FIN ]],Tabla1[[#This Row],[FECHA INICIO]])</f>
        <v>-7</v>
      </c>
      <c r="M5733" s="12">
        <v>282.33333333333331</v>
      </c>
      <c r="N5733" s="20"/>
      <c r="O5733" s="24">
        <v>484</v>
      </c>
      <c r="P5733" s="12"/>
      <c r="Q5733" s="12">
        <f>+(Tabla1[[#This Row],[COSTO COCHE]]/30)*Tabla1[[#This Row],[TOTAL DIAS PROYECTO]]</f>
        <v>0</v>
      </c>
      <c r="R5733" s="12">
        <f>+Tabla1[[#This Row],[COSTO TOTAL ALOJAMIENTO]]+Tabla1[[#This Row],[COSTO TOTAL COCHE]]</f>
        <v>484</v>
      </c>
      <c r="S5733" s="2"/>
      <c r="T5733" s="14" t="s">
        <v>44</v>
      </c>
      <c r="U5733" s="14">
        <v>46132</v>
      </c>
      <c r="V5733" s="79">
        <v>46156</v>
      </c>
      <c r="W5733" s="12"/>
      <c r="X5733" s="2"/>
      <c r="Y5733" s="11" t="s">
        <v>7819</v>
      </c>
      <c r="Z5733" s="2" t="s">
        <v>36</v>
      </c>
      <c r="AA5733" s="13" t="s">
        <v>10401</v>
      </c>
      <c r="AB5733" s="13" t="s">
        <v>10402</v>
      </c>
    </row>
    <row r="5734" spans="1:28" ht="15" customHeight="1">
      <c r="A5734" s="2" t="s">
        <v>9861</v>
      </c>
      <c r="B5734" s="2" t="s">
        <v>711</v>
      </c>
      <c r="C5734" s="11" t="s">
        <v>5091</v>
      </c>
      <c r="D5734" s="2" t="s">
        <v>30</v>
      </c>
      <c r="E5734" s="2" t="s">
        <v>127</v>
      </c>
      <c r="F5734" s="11"/>
      <c r="G5734" s="21"/>
      <c r="H5734" s="2" t="s">
        <v>7453</v>
      </c>
      <c r="I5734" s="12" t="s">
        <v>96</v>
      </c>
      <c r="J5734" s="41">
        <f>+Tabla1[[#This Row],[FECHA ENTRADA]]</f>
        <v>46204</v>
      </c>
      <c r="K5734" s="22">
        <f ca="1">TODAY()</f>
        <v>46260</v>
      </c>
      <c r="L5734" s="42">
        <f ca="1">_xlfn.DAYS(Tabla1[[#This Row],[FECHA FIN ]],Tabla1[[#This Row],[FECHA INICIO]])</f>
        <v>56</v>
      </c>
      <c r="M5734" s="12"/>
      <c r="N5734" s="28">
        <v>300</v>
      </c>
      <c r="O5734" s="28">
        <f ca="1">(Tabla1[[#This Row],[COSTO FIJO ]]/30)*Tabla1[[#This Row],[TOTAL DIAS PROYECTO]]+(Tabla1[[#This Row],[COSTO TEMPORAL]])</f>
        <v>560</v>
      </c>
      <c r="P5734" s="12"/>
      <c r="Q5734" s="12">
        <f ca="1">+(Tabla1[[#This Row],[COSTO COCHE]]/30)*Tabla1[[#This Row],[TOTAL DIAS PROYECTO]]</f>
        <v>0</v>
      </c>
      <c r="R5734" s="12">
        <f ca="1">+Tabla1[[#This Row],[COSTO TOTAL ALOJAMIENTO]]+Tabla1[[#This Row],[COSTO TOTAL COCHE]]</f>
        <v>560</v>
      </c>
      <c r="S5734" s="2"/>
      <c r="T5734" s="14" t="s">
        <v>58</v>
      </c>
      <c r="U5734" s="14">
        <v>46204</v>
      </c>
      <c r="V5734" s="43"/>
      <c r="W5734" s="12"/>
      <c r="X5734" s="2"/>
      <c r="Y5734" s="11"/>
      <c r="Z5734" s="2" t="s">
        <v>702</v>
      </c>
      <c r="AA5734" s="13" t="s">
        <v>10342</v>
      </c>
      <c r="AB5734" s="13" t="s">
        <v>10343</v>
      </c>
    </row>
    <row r="5735" spans="1:28" ht="15" customHeight="1">
      <c r="A5735" s="2" t="s">
        <v>10295</v>
      </c>
      <c r="B5735" s="2" t="s">
        <v>606</v>
      </c>
      <c r="C5735" s="11" t="s">
        <v>7820</v>
      </c>
      <c r="D5735" s="2" t="s">
        <v>30</v>
      </c>
      <c r="E5735" s="2" t="s">
        <v>31</v>
      </c>
      <c r="F5735" s="11"/>
      <c r="G5735" s="46"/>
      <c r="H5735" s="2" t="s">
        <v>7821</v>
      </c>
      <c r="I5735" s="10" t="s">
        <v>412</v>
      </c>
      <c r="J5735" s="41">
        <f>+Tabla1[[#This Row],[FECHA ENTRADA]]</f>
        <v>45789</v>
      </c>
      <c r="K5735" s="8">
        <f ca="1">TODAY()</f>
        <v>46260</v>
      </c>
      <c r="L5735" s="23">
        <f ca="1">_xlfn.DAYS(Tabla1[[#This Row],[FECHA FIN ]],Tabla1[[#This Row],[FECHA INICIO]])</f>
        <v>471</v>
      </c>
      <c r="M5735" s="12"/>
      <c r="N5735" s="28">
        <v>300</v>
      </c>
      <c r="O5735" s="28">
        <f ca="1">(Tabla1[[#This Row],[COSTO FIJO ]]/30)*Tabla1[[#This Row],[TOTAL DIAS PROYECTO]]+(Tabla1[[#This Row],[COSTO TEMPORAL]])</f>
        <v>4710</v>
      </c>
      <c r="P5735" s="12"/>
      <c r="Q5735" s="12">
        <f ca="1">+(Tabla1[[#This Row],[COSTO COCHE]]/30)*Tabla1[[#This Row],[TOTAL DIAS PROYECTO]]</f>
        <v>0</v>
      </c>
      <c r="R5735" s="12">
        <f ca="1">+Tabla1[[#This Row],[COSTO TOTAL ALOJAMIENTO]]+Tabla1[[#This Row],[COSTO TOTAL COCHE]]</f>
        <v>4710</v>
      </c>
      <c r="S5735" s="2"/>
      <c r="T5735" s="2" t="s">
        <v>58</v>
      </c>
      <c r="U5735" s="14">
        <v>45789</v>
      </c>
      <c r="V5735" s="25"/>
      <c r="W5735" s="26"/>
      <c r="X5735" s="2"/>
      <c r="Y5735" s="31"/>
      <c r="Z5735" s="2" t="s">
        <v>702</v>
      </c>
      <c r="AA5735" s="13" t="s">
        <v>10323</v>
      </c>
      <c r="AB5735" s="13" t="s">
        <v>10324</v>
      </c>
    </row>
    <row r="5736" spans="1:28" ht="15" customHeight="1">
      <c r="A5736" s="2" t="s">
        <v>8642</v>
      </c>
      <c r="B5736" s="2" t="s">
        <v>711</v>
      </c>
      <c r="C5736" s="179" t="s">
        <v>7822</v>
      </c>
      <c r="D5736" s="2" t="s">
        <v>30</v>
      </c>
      <c r="E5736" s="2" t="s">
        <v>648</v>
      </c>
      <c r="F5736" s="11"/>
      <c r="G5736" s="21"/>
      <c r="H5736" s="2" t="s">
        <v>7823</v>
      </c>
      <c r="I5736" s="158" t="s">
        <v>96</v>
      </c>
      <c r="J5736" s="22">
        <f>+Tabla1[[#This Row],[FECHA ENTRADA]]</f>
        <v>46209</v>
      </c>
      <c r="K5736" s="22">
        <v>46214</v>
      </c>
      <c r="L5736" s="23">
        <f>_xlfn.DAYS(Tabla1[[#This Row],[FECHA FIN ]],Tabla1[[#This Row],[FECHA INICIO]])</f>
        <v>5</v>
      </c>
      <c r="M5736" s="12"/>
      <c r="N5736" s="20">
        <v>0</v>
      </c>
      <c r="O5736" s="24">
        <f>(Tabla1[[#This Row],[COSTO FIJO ]]/30)*Tabla1[[#This Row],[TOTAL DIAS PROYECTO]]+(Tabla1[[#This Row],[COSTO TEMPORAL]])</f>
        <v>0</v>
      </c>
      <c r="P5736" s="12"/>
      <c r="Q5736" s="12">
        <f>+(Tabla1[[#This Row],[COSTO COCHE]]/30)*Tabla1[[#This Row],[TOTAL DIAS PROYECTO]]</f>
        <v>0</v>
      </c>
      <c r="R5736" s="12">
        <f>+Tabla1[[#This Row],[COSTO TOTAL ALOJAMIENTO]]+Tabla1[[#This Row],[COSTO TOTAL COCHE]]</f>
        <v>0</v>
      </c>
      <c r="S5736" s="2"/>
      <c r="T5736" s="14" t="s">
        <v>8</v>
      </c>
      <c r="U5736" s="14">
        <v>46209</v>
      </c>
      <c r="V5736" s="79"/>
      <c r="W5736" s="12"/>
      <c r="X5736" s="2"/>
      <c r="Y5736" s="337"/>
      <c r="Z5736" s="2" t="s">
        <v>36</v>
      </c>
      <c r="AA5736" s="13" t="s">
        <v>10387</v>
      </c>
      <c r="AB5736" s="13" t="s">
        <v>10388</v>
      </c>
    </row>
    <row r="5737" spans="1:28" ht="15" customHeight="1">
      <c r="A5737" s="2" t="s">
        <v>8642</v>
      </c>
      <c r="B5737" s="2" t="s">
        <v>606</v>
      </c>
      <c r="C5737" s="31" t="s">
        <v>7824</v>
      </c>
      <c r="D5737" s="2" t="s">
        <v>30</v>
      </c>
      <c r="E5737" s="2" t="s">
        <v>6794</v>
      </c>
      <c r="F5737" s="11" t="s">
        <v>7825</v>
      </c>
      <c r="G5737" s="68" t="s">
        <v>7826</v>
      </c>
      <c r="H5737" s="2" t="s">
        <v>7827</v>
      </c>
      <c r="I5737" s="158" t="s">
        <v>5443</v>
      </c>
      <c r="J5737" s="22">
        <f>+Tabla1[[#This Row],[FECHA ENTRADA]]</f>
        <v>46214</v>
      </c>
      <c r="K5737" s="22">
        <v>46223</v>
      </c>
      <c r="L5737" s="23">
        <f>_xlfn.DAYS(Tabla1[[#This Row],[FECHA FIN ]],Tabla1[[#This Row],[FECHA INICIO]])</f>
        <v>9</v>
      </c>
      <c r="M5737" s="12"/>
      <c r="N5737" s="24">
        <v>310</v>
      </c>
      <c r="O5737" s="24">
        <f>(Tabla1[[#This Row],[COSTO FIJO ]]/30)*Tabla1[[#This Row],[TOTAL DIAS PROYECTO]]+(Tabla1[[#This Row],[COSTO TEMPORAL]])</f>
        <v>93</v>
      </c>
      <c r="P5737" s="12"/>
      <c r="Q5737" s="12">
        <f>+(Tabla1[[#This Row],[COSTO COCHE]]/30)*Tabla1[[#This Row],[TOTAL DIAS PROYECTO]]</f>
        <v>0</v>
      </c>
      <c r="R5737" s="12">
        <f>+Tabla1[[#This Row],[COSTO TOTAL ALOJAMIENTO]]+Tabla1[[#This Row],[COSTO TOTAL COCHE]]</f>
        <v>93</v>
      </c>
      <c r="S5737" s="2"/>
      <c r="T5737" s="14" t="s">
        <v>35</v>
      </c>
      <c r="U5737" s="14">
        <v>46214</v>
      </c>
      <c r="V5737" s="25"/>
      <c r="W5737" s="12">
        <v>300</v>
      </c>
      <c r="X5737" s="2">
        <v>7</v>
      </c>
      <c r="Y5737" s="136" t="s">
        <v>7828</v>
      </c>
      <c r="Z5737" s="2" t="s">
        <v>36</v>
      </c>
      <c r="AA5737" s="13">
        <v>-6.0884499999999999</v>
      </c>
      <c r="AB5737" s="13">
        <v>40.03116</v>
      </c>
    </row>
    <row r="5738" spans="1:28" ht="15" customHeight="1">
      <c r="A5738" s="2" t="s">
        <v>9015</v>
      </c>
      <c r="B5738" s="2" t="s">
        <v>711</v>
      </c>
      <c r="C5738" s="11" t="s">
        <v>1703</v>
      </c>
      <c r="D5738" s="2" t="s">
        <v>30</v>
      </c>
      <c r="E5738" s="2" t="s">
        <v>31</v>
      </c>
      <c r="F5738" s="11"/>
      <c r="G5738" s="49"/>
      <c r="H5738" s="2" t="s">
        <v>5489</v>
      </c>
      <c r="I5738" s="157" t="s">
        <v>5085</v>
      </c>
      <c r="J5738" s="22">
        <f>+Tabla1[[#This Row],[FECHA ENTRADA]]</f>
        <v>45942</v>
      </c>
      <c r="K5738" s="22">
        <f ca="1">TODAY()</f>
        <v>46260</v>
      </c>
      <c r="L5738" s="23">
        <f ca="1">_xlfn.DAYS(Tabla1[[#This Row],[FECHA FIN ]],Tabla1[[#This Row],[FECHA INICIO]])</f>
        <v>318</v>
      </c>
      <c r="M5738" s="12"/>
      <c r="N5738" s="20">
        <v>300</v>
      </c>
      <c r="O5738" s="24">
        <f ca="1">(Tabla1[[#This Row],[COSTO FIJO ]]/30)*Tabla1[[#This Row],[TOTAL DIAS PROYECTO]]+(Tabla1[[#This Row],[COSTO TEMPORAL]])</f>
        <v>3180</v>
      </c>
      <c r="P5738" s="12"/>
      <c r="Q5738" s="12">
        <f ca="1">+(Tabla1[[#This Row],[COSTO COCHE]]/30)*Tabla1[[#This Row],[TOTAL DIAS PROYECTO]]</f>
        <v>0</v>
      </c>
      <c r="R5738" s="12">
        <f ca="1">+Tabla1[[#This Row],[COSTO TOTAL ALOJAMIENTO]]+Tabla1[[#This Row],[COSTO TOTAL COCHE]]</f>
        <v>3180</v>
      </c>
      <c r="S5738" s="2"/>
      <c r="T5738" s="14" t="s">
        <v>58</v>
      </c>
      <c r="U5738" s="14">
        <v>45942</v>
      </c>
      <c r="V5738" s="25"/>
      <c r="W5738" s="71"/>
      <c r="X5738" s="2"/>
      <c r="Y5738" s="11" t="s">
        <v>7829</v>
      </c>
      <c r="Z5738" s="2" t="s">
        <v>702</v>
      </c>
      <c r="AA5738" s="13" t="s">
        <v>10323</v>
      </c>
      <c r="AB5738" s="13" t="s">
        <v>10324</v>
      </c>
    </row>
    <row r="5739" spans="1:28" ht="15" customHeight="1">
      <c r="A5739" s="2" t="s">
        <v>9092</v>
      </c>
      <c r="B5739" s="2" t="s">
        <v>606</v>
      </c>
      <c r="C5739" s="11" t="s">
        <v>1977</v>
      </c>
      <c r="D5739" s="2" t="s">
        <v>99</v>
      </c>
      <c r="E5739" s="2" t="s">
        <v>422</v>
      </c>
      <c r="F5739" s="49" t="s">
        <v>7830</v>
      </c>
      <c r="G5739" s="46" t="s">
        <v>7831</v>
      </c>
      <c r="H5739" s="2" t="s">
        <v>2856</v>
      </c>
      <c r="I5739" s="12" t="s">
        <v>2638</v>
      </c>
      <c r="J5739" s="41">
        <f>+Tabla1[[#This Row],[FECHA ENTRADA]]</f>
        <v>46142</v>
      </c>
      <c r="K5739" s="22">
        <v>46174</v>
      </c>
      <c r="L5739" s="42">
        <f>_xlfn.DAYS(Tabla1[[#This Row],[FECHA FIN ]],Tabla1[[#This Row],[FECHA INICIO]])</f>
        <v>32</v>
      </c>
      <c r="M5739" s="12">
        <f>(190/2)+(266/2)+(266/2)</f>
        <v>361</v>
      </c>
      <c r="N5739" s="28"/>
      <c r="O5739" s="28">
        <f>(Tabla1[[#This Row],[COSTO FIJO ]]/30)*Tabla1[[#This Row],[TOTAL DIAS PROYECTO]]+(Tabla1[[#This Row],[COSTO TEMPORAL]])</f>
        <v>361</v>
      </c>
      <c r="P5739" s="12"/>
      <c r="Q5739" s="12">
        <f>+(Tabla1[[#This Row],[COSTO COCHE]]/30)*Tabla1[[#This Row],[TOTAL DIAS PROYECTO]]</f>
        <v>0</v>
      </c>
      <c r="R5739" s="12">
        <f>+Tabla1[[#This Row],[COSTO TOTAL ALOJAMIENTO]]+Tabla1[[#This Row],[COSTO TOTAL COCHE]]</f>
        <v>361</v>
      </c>
      <c r="S5739" s="2"/>
      <c r="T5739" s="14" t="s">
        <v>44</v>
      </c>
      <c r="U5739" s="14">
        <v>46142</v>
      </c>
      <c r="V5739" s="79">
        <v>46175</v>
      </c>
      <c r="W5739" s="12"/>
      <c r="X5739" s="2"/>
      <c r="Y5739" s="11"/>
      <c r="Z5739" s="2" t="s">
        <v>36</v>
      </c>
      <c r="AA5739" s="13">
        <v>-326.69799999999998</v>
      </c>
      <c r="AB5739" s="13" t="s">
        <v>10373</v>
      </c>
    </row>
    <row r="5740" spans="1:28" ht="15" customHeight="1">
      <c r="A5740" s="2" t="s">
        <v>9179</v>
      </c>
      <c r="B5740" s="2" t="s">
        <v>28</v>
      </c>
      <c r="C5740" s="31" t="s">
        <v>2336</v>
      </c>
      <c r="D5740" s="2" t="s">
        <v>749</v>
      </c>
      <c r="E5740" s="2" t="s">
        <v>288</v>
      </c>
      <c r="F5740" s="11" t="s">
        <v>4873</v>
      </c>
      <c r="G5740" s="21" t="s">
        <v>4752</v>
      </c>
      <c r="H5740" s="2" t="s">
        <v>3675</v>
      </c>
      <c r="I5740" s="10" t="s">
        <v>753</v>
      </c>
      <c r="J5740" s="41">
        <f>+Tabla1[[#This Row],[FECHA ENTRADA]]</f>
        <v>45877</v>
      </c>
      <c r="K5740" s="41">
        <v>46160</v>
      </c>
      <c r="L5740" s="42">
        <f>_xlfn.DAYS(Tabla1[[#This Row],[FECHA FIN ]],Tabla1[[#This Row],[FECHA INICIO]])</f>
        <v>283</v>
      </c>
      <c r="M5740" s="12">
        <v>500</v>
      </c>
      <c r="N5740" s="12"/>
      <c r="O5740" s="28">
        <f>(Tabla1[[#This Row],[COSTO FIJO ]]/30)*Tabla1[[#This Row],[TOTAL DIAS PROYECTO]]+(Tabla1[[#This Row],[COSTO TEMPORAL]])</f>
        <v>500</v>
      </c>
      <c r="P5740" s="12"/>
      <c r="Q5740" s="12">
        <f>+(Tabla1[[#This Row],[COSTO COCHE]]/30)*Tabla1[[#This Row],[TOTAL DIAS PROYECTO]]</f>
        <v>0</v>
      </c>
      <c r="R5740" s="12">
        <f>+Tabla1[[#This Row],[COSTO TOTAL ALOJAMIENTO]]+Tabla1[[#This Row],[COSTO TOTAL COCHE]]</f>
        <v>500</v>
      </c>
      <c r="S5740" s="2"/>
      <c r="T5740" s="14" t="s">
        <v>44</v>
      </c>
      <c r="U5740" s="14">
        <v>45877</v>
      </c>
      <c r="V5740" s="79">
        <v>46174</v>
      </c>
      <c r="W5740" s="12"/>
      <c r="X5740" s="2"/>
      <c r="Y5740" s="11" t="s">
        <v>7832</v>
      </c>
      <c r="Z5740" s="2" t="s">
        <v>36</v>
      </c>
      <c r="AA5740" s="13" t="s">
        <v>10362</v>
      </c>
      <c r="AB5740" s="13" t="s">
        <v>10363</v>
      </c>
    </row>
    <row r="5741" spans="1:28" ht="15" customHeight="1">
      <c r="A5741" s="2" t="s">
        <v>9284</v>
      </c>
      <c r="B5741" s="2" t="s">
        <v>978</v>
      </c>
      <c r="C5741" s="11" t="s">
        <v>2694</v>
      </c>
      <c r="D5741" s="2" t="s">
        <v>99</v>
      </c>
      <c r="E5741" s="2" t="s">
        <v>422</v>
      </c>
      <c r="F5741" s="49" t="s">
        <v>7830</v>
      </c>
      <c r="G5741" s="46" t="s">
        <v>7831</v>
      </c>
      <c r="H5741" s="2" t="s">
        <v>1431</v>
      </c>
      <c r="I5741" s="12" t="s">
        <v>2473</v>
      </c>
      <c r="J5741" s="41">
        <f>+Tabla1[[#This Row],[FECHA ENTRADA]]</f>
        <v>46142</v>
      </c>
      <c r="K5741" s="22">
        <v>46174</v>
      </c>
      <c r="L5741" s="42">
        <f>_xlfn.DAYS(Tabla1[[#This Row],[FECHA FIN ]],Tabla1[[#This Row],[FECHA INICIO]])</f>
        <v>32</v>
      </c>
      <c r="M5741" s="12">
        <f>(190/2)+(266/2)+(266/2)</f>
        <v>361</v>
      </c>
      <c r="N5741" s="28"/>
      <c r="O5741" s="28">
        <f>(Tabla1[[#This Row],[COSTO FIJO ]]/30)*Tabla1[[#This Row],[TOTAL DIAS PROYECTO]]+(Tabla1[[#This Row],[COSTO TEMPORAL]])</f>
        <v>361</v>
      </c>
      <c r="P5741" s="12"/>
      <c r="Q5741" s="12">
        <f>+(Tabla1[[#This Row],[COSTO COCHE]]/30)*Tabla1[[#This Row],[TOTAL DIAS PROYECTO]]</f>
        <v>0</v>
      </c>
      <c r="R5741" s="12">
        <f>+Tabla1[[#This Row],[COSTO TOTAL ALOJAMIENTO]]+Tabla1[[#This Row],[COSTO TOTAL COCHE]]</f>
        <v>361</v>
      </c>
      <c r="S5741" s="2"/>
      <c r="T5741" s="14" t="s">
        <v>44</v>
      </c>
      <c r="U5741" s="14">
        <v>46142</v>
      </c>
      <c r="V5741" s="79">
        <v>46175</v>
      </c>
      <c r="W5741" s="12"/>
      <c r="X5741" s="2"/>
      <c r="Y5741" s="11" t="s">
        <v>7833</v>
      </c>
      <c r="Z5741" s="2" t="s">
        <v>36</v>
      </c>
      <c r="AA5741" s="13">
        <v>-326.69799999999998</v>
      </c>
      <c r="AB5741" s="13" t="s">
        <v>10373</v>
      </c>
    </row>
    <row r="5742" spans="1:28" ht="15" customHeight="1">
      <c r="A5742" s="2" t="s">
        <v>8642</v>
      </c>
      <c r="B5742" s="2" t="s">
        <v>606</v>
      </c>
      <c r="C5742" s="104" t="s">
        <v>7834</v>
      </c>
      <c r="D5742" s="2" t="s">
        <v>30</v>
      </c>
      <c r="E5742" s="2" t="s">
        <v>259</v>
      </c>
      <c r="F5742" s="11" t="s">
        <v>7362</v>
      </c>
      <c r="G5742" s="68" t="s">
        <v>4207</v>
      </c>
      <c r="H5742" s="2" t="s">
        <v>7664</v>
      </c>
      <c r="I5742" s="12" t="s">
        <v>7665</v>
      </c>
      <c r="J5742" s="41">
        <f>+Tabla1[[#This Row],[FECHA ENTRADA]]</f>
        <v>46242</v>
      </c>
      <c r="K5742" s="41">
        <f ca="1">TODAY()</f>
        <v>46260</v>
      </c>
      <c r="L5742" s="42">
        <f ca="1">_xlfn.DAYS(Tabla1[[#This Row],[FECHA FIN ]],Tabla1[[#This Row],[FECHA INICIO]])</f>
        <v>18</v>
      </c>
      <c r="M5742" s="12"/>
      <c r="N5742" s="28">
        <v>485</v>
      </c>
      <c r="O5742" s="28">
        <f ca="1">(Tabla1[[#This Row],[COSTO FIJO ]]/30)*Tabla1[[#This Row],[TOTAL DIAS PROYECTO]]+(Tabla1[[#This Row],[COSTO TEMPORAL]])</f>
        <v>291</v>
      </c>
      <c r="P5742" s="12"/>
      <c r="Q5742" s="12">
        <f ca="1">+(Tabla1[[#This Row],[COSTO COCHE]]/30)*Tabla1[[#This Row],[TOTAL DIAS PROYECTO]]</f>
        <v>0</v>
      </c>
      <c r="R5742" s="12">
        <f ca="1">+Tabla1[[#This Row],[COSTO TOTAL ALOJAMIENTO]]+Tabla1[[#This Row],[COSTO TOTAL COCHE]]</f>
        <v>291</v>
      </c>
      <c r="S5742" s="2"/>
      <c r="T5742" s="14" t="s">
        <v>35</v>
      </c>
      <c r="U5742" s="14">
        <v>46242</v>
      </c>
      <c r="V5742" s="43"/>
      <c r="W5742" s="12"/>
      <c r="X5742" s="2">
        <v>1</v>
      </c>
      <c r="Y5742" s="11"/>
      <c r="Z5742" s="2" t="s">
        <v>702</v>
      </c>
      <c r="AA5742" s="13">
        <v>-0.87734000000000001</v>
      </c>
      <c r="AB5742" s="13" t="s">
        <v>10359</v>
      </c>
    </row>
    <row r="5743" spans="1:28">
      <c r="A5743" s="2" t="s">
        <v>9738</v>
      </c>
      <c r="B5743" s="2" t="s">
        <v>606</v>
      </c>
      <c r="C5743" s="31" t="s">
        <v>4506</v>
      </c>
      <c r="D5743" s="2" t="s">
        <v>30</v>
      </c>
      <c r="E5743" s="2" t="s">
        <v>31</v>
      </c>
      <c r="F5743" s="11" t="s">
        <v>344</v>
      </c>
      <c r="G5743" s="11" t="s">
        <v>345</v>
      </c>
      <c r="H5743" s="2" t="s">
        <v>6519</v>
      </c>
      <c r="I5743" s="12" t="s">
        <v>2391</v>
      </c>
      <c r="J5743" s="22">
        <f>+Tabla1[[#This Row],[FECHA ENTRADA]]</f>
        <v>46092</v>
      </c>
      <c r="K5743" s="22">
        <v>46130</v>
      </c>
      <c r="L5743" s="23">
        <f>_xlfn.DAYS(Tabla1[[#This Row],[FECHA FIN ]],Tabla1[[#This Row],[FECHA INICIO]])</f>
        <v>38</v>
      </c>
      <c r="M5743" s="12"/>
      <c r="N5743" s="28">
        <f>1677.13/5</f>
        <v>335.42600000000004</v>
      </c>
      <c r="O5743" s="24">
        <f>(Tabla1[[#This Row],[COSTO FIJO ]]/30)*Tabla1[[#This Row],[TOTAL DIAS PROYECTO]]+(Tabla1[[#This Row],[COSTO TEMPORAL]])</f>
        <v>424.87293333333338</v>
      </c>
      <c r="P5743" s="12"/>
      <c r="Q5743" s="12">
        <f>+(Tabla1[[#This Row],[COSTO COCHE]]/30)*Tabla1[[#This Row],[TOTAL DIAS PROYECTO]]</f>
        <v>0</v>
      </c>
      <c r="R5743" s="12">
        <f>+Tabla1[[#This Row],[COSTO TOTAL ALOJAMIENTO]]+Tabla1[[#This Row],[COSTO TOTAL COCHE]]</f>
        <v>424.87293333333338</v>
      </c>
      <c r="S5743" s="2"/>
      <c r="T5743" s="14" t="s">
        <v>35</v>
      </c>
      <c r="U5743" s="14">
        <v>46092</v>
      </c>
      <c r="V5743" s="25"/>
      <c r="W5743" s="12"/>
      <c r="X5743" s="2"/>
      <c r="Y5743" s="11"/>
      <c r="Z5743" s="2" t="s">
        <v>36</v>
      </c>
      <c r="AA5743" s="13" t="s">
        <v>10323</v>
      </c>
      <c r="AB5743" s="13" t="s">
        <v>10324</v>
      </c>
    </row>
    <row r="5744" spans="1:28" ht="15" customHeight="1">
      <c r="A5744" s="2" t="s">
        <v>9133</v>
      </c>
      <c r="B5744" s="2" t="s">
        <v>606</v>
      </c>
      <c r="C5744" s="169" t="s">
        <v>2143</v>
      </c>
      <c r="D5744" s="2" t="s">
        <v>99</v>
      </c>
      <c r="E5744" s="2" t="s">
        <v>213</v>
      </c>
      <c r="F5744" s="11"/>
      <c r="G5744" s="21"/>
      <c r="H5744" s="2" t="s">
        <v>2146</v>
      </c>
      <c r="I5744" s="12" t="s">
        <v>2147</v>
      </c>
      <c r="J5744" s="22">
        <f>+Tabla1[[#This Row],[FECHA ENTRADA]]</f>
        <v>45938</v>
      </c>
      <c r="K5744" s="22">
        <f ca="1">TODAY()</f>
        <v>46260</v>
      </c>
      <c r="L5744" s="23">
        <f ca="1">_xlfn.DAYS(Tabla1[[#This Row],[FECHA FIN ]],Tabla1[[#This Row],[FECHA INICIO]])</f>
        <v>322</v>
      </c>
      <c r="M5744" s="12"/>
      <c r="N5744" s="20">
        <v>300</v>
      </c>
      <c r="O5744" s="24">
        <f ca="1">(Tabla1[[#This Row],[COSTO FIJO ]]/30)*Tabla1[[#This Row],[TOTAL DIAS PROYECTO]]+(Tabla1[[#This Row],[COSTO TEMPORAL]])</f>
        <v>3220</v>
      </c>
      <c r="P5744" s="12"/>
      <c r="Q5744" s="12">
        <f ca="1">+(Tabla1[[#This Row],[COSTO COCHE]]/30)*Tabla1[[#This Row],[TOTAL DIAS PROYECTO]]</f>
        <v>0</v>
      </c>
      <c r="R5744" s="12">
        <f ca="1">+Tabla1[[#This Row],[COSTO TOTAL ALOJAMIENTO]]+Tabla1[[#This Row],[COSTO TOTAL COCHE]]</f>
        <v>3220</v>
      </c>
      <c r="S5744" s="2"/>
      <c r="T5744" s="14" t="s">
        <v>58</v>
      </c>
      <c r="U5744" s="14">
        <v>45938</v>
      </c>
      <c r="V5744" s="79"/>
      <c r="W5744" s="71"/>
      <c r="X5744" s="2"/>
      <c r="Y5744" s="11" t="s">
        <v>5485</v>
      </c>
      <c r="Z5744" s="2" t="s">
        <v>702</v>
      </c>
      <c r="AA5744" s="13" t="s">
        <v>10349</v>
      </c>
      <c r="AB5744" s="13" t="s">
        <v>10350</v>
      </c>
    </row>
    <row r="5745" spans="1:28">
      <c r="A5745" s="2" t="s">
        <v>10200</v>
      </c>
      <c r="B5745" s="2" t="s">
        <v>711</v>
      </c>
      <c r="C5745" s="195" t="s">
        <v>7112</v>
      </c>
      <c r="D5745" s="2" t="s">
        <v>749</v>
      </c>
      <c r="E5745" s="2" t="s">
        <v>4598</v>
      </c>
      <c r="F5745" s="11" t="s">
        <v>1106</v>
      </c>
      <c r="G5745" s="21"/>
      <c r="H5745" s="2" t="s">
        <v>7702</v>
      </c>
      <c r="I5745" s="12" t="s">
        <v>2862</v>
      </c>
      <c r="J5745" s="22">
        <f>+Tabla1[[#This Row],[FECHA ENTRADA]]</f>
        <v>46103</v>
      </c>
      <c r="K5745" s="22">
        <v>46129</v>
      </c>
      <c r="L5745" s="23">
        <f>_xlfn.DAYS(Tabla1[[#This Row],[FECHA FIN ]],Tabla1[[#This Row],[FECHA INICIO]])</f>
        <v>26</v>
      </c>
      <c r="M5745" s="12"/>
      <c r="N5745" s="20">
        <v>0</v>
      </c>
      <c r="O5745" s="24">
        <f>(Tabla1[[#This Row],[COSTO FIJO ]]/30)*Tabla1[[#This Row],[TOTAL DIAS PROYECTO]]+(Tabla1[[#This Row],[COSTO TEMPORAL]])</f>
        <v>0</v>
      </c>
      <c r="P5745" s="12"/>
      <c r="Q5745" s="12">
        <f>+(Tabla1[[#This Row],[COSTO COCHE]]/30)*Tabla1[[#This Row],[TOTAL DIAS PROYECTO]]</f>
        <v>0</v>
      </c>
      <c r="R5745" s="12">
        <f>+Tabla1[[#This Row],[COSTO TOTAL ALOJAMIENTO]]+Tabla1[[#This Row],[COSTO TOTAL COCHE]]</f>
        <v>0</v>
      </c>
      <c r="S5745" s="2"/>
      <c r="T5745" s="2" t="s">
        <v>8</v>
      </c>
      <c r="U5745" s="14">
        <v>46103</v>
      </c>
      <c r="V5745" s="79"/>
      <c r="W5745" s="12"/>
      <c r="X5745" s="2"/>
      <c r="Y5745" s="11" t="s">
        <v>7835</v>
      </c>
      <c r="Z5745" s="2" t="s">
        <v>36</v>
      </c>
      <c r="AA5745" s="13">
        <v>10.50447</v>
      </c>
      <c r="AB5745" s="13">
        <v>43.843690000000002</v>
      </c>
    </row>
    <row r="5746" spans="1:28" ht="15" customHeight="1">
      <c r="A5746" s="2" t="s">
        <v>8642</v>
      </c>
      <c r="B5746" s="2" t="s">
        <v>606</v>
      </c>
      <c r="C5746" s="239" t="s">
        <v>7686</v>
      </c>
      <c r="D5746" s="2" t="s">
        <v>30</v>
      </c>
      <c r="E5746" s="2" t="s">
        <v>259</v>
      </c>
      <c r="F5746" s="11" t="s">
        <v>7836</v>
      </c>
      <c r="G5746" s="68" t="s">
        <v>7837</v>
      </c>
      <c r="H5746" s="2" t="s">
        <v>7664</v>
      </c>
      <c r="I5746" s="12" t="s">
        <v>7665</v>
      </c>
      <c r="J5746" s="41">
        <f>+Tabla1[[#This Row],[FECHA ENTRADA]]</f>
        <v>46188</v>
      </c>
      <c r="K5746" s="41">
        <v>46217</v>
      </c>
      <c r="L5746" s="42">
        <f>_xlfn.DAYS(Tabla1[[#This Row],[FECHA FIN ]],Tabla1[[#This Row],[FECHA INICIO]])</f>
        <v>29</v>
      </c>
      <c r="M5746" s="12"/>
      <c r="N5746" s="28">
        <v>360</v>
      </c>
      <c r="O5746" s="28">
        <f>(Tabla1[[#This Row],[COSTO FIJO ]]/30)*Tabla1[[#This Row],[TOTAL DIAS PROYECTO]]+(Tabla1[[#This Row],[COSTO TEMPORAL]])</f>
        <v>348</v>
      </c>
      <c r="P5746" s="12"/>
      <c r="Q5746" s="12">
        <f>+(Tabla1[[#This Row],[COSTO COCHE]]/30)*Tabla1[[#This Row],[TOTAL DIAS PROYECTO]]</f>
        <v>0</v>
      </c>
      <c r="R5746" s="12">
        <f>+Tabla1[[#This Row],[COSTO TOTAL ALOJAMIENTO]]+Tabla1[[#This Row],[COSTO TOTAL COCHE]]</f>
        <v>348</v>
      </c>
      <c r="S5746" s="2"/>
      <c r="T5746" s="14" t="s">
        <v>35</v>
      </c>
      <c r="U5746" s="14">
        <v>46188</v>
      </c>
      <c r="V5746" s="43"/>
      <c r="W5746" s="12"/>
      <c r="X5746" s="2">
        <v>13</v>
      </c>
      <c r="Y5746" s="11" t="s">
        <v>7838</v>
      </c>
      <c r="Z5746" s="2" t="s">
        <v>36</v>
      </c>
      <c r="AA5746" s="13">
        <v>-0.87734000000000001</v>
      </c>
      <c r="AB5746" s="13" t="s">
        <v>10359</v>
      </c>
    </row>
    <row r="5747" spans="1:28" ht="15" customHeight="1">
      <c r="A5747" s="2" t="s">
        <v>9649</v>
      </c>
      <c r="B5747" s="2" t="s">
        <v>606</v>
      </c>
      <c r="C5747" s="97" t="s">
        <v>4058</v>
      </c>
      <c r="D5747" s="2" t="s">
        <v>99</v>
      </c>
      <c r="E5747" s="2" t="s">
        <v>31</v>
      </c>
      <c r="F5747" s="11"/>
      <c r="G5747" s="21"/>
      <c r="H5747" s="2" t="s">
        <v>7658</v>
      </c>
      <c r="I5747" s="12" t="s">
        <v>385</v>
      </c>
      <c r="J5747" s="41">
        <f>+Tabla1[[#This Row],[FECHA ENTRADA]]</f>
        <v>46220</v>
      </c>
      <c r="K5747" s="22">
        <v>46257</v>
      </c>
      <c r="L5747" s="42">
        <f>_xlfn.DAYS(Tabla1[[#This Row],[FECHA FIN ]],Tabla1[[#This Row],[FECHA INICIO]])</f>
        <v>37</v>
      </c>
      <c r="M5747" s="12"/>
      <c r="N5747" s="28">
        <v>300</v>
      </c>
      <c r="O5747" s="28">
        <f>(Tabla1[[#This Row],[COSTO FIJO ]]/30)*Tabla1[[#This Row],[TOTAL DIAS PROYECTO]]+(Tabla1[[#This Row],[COSTO TEMPORAL]])</f>
        <v>370</v>
      </c>
      <c r="P5747" s="12"/>
      <c r="Q5747" s="12">
        <f>+(Tabla1[[#This Row],[COSTO COCHE]]/30)*Tabla1[[#This Row],[TOTAL DIAS PROYECTO]]</f>
        <v>0</v>
      </c>
      <c r="R5747" s="12">
        <f>+Tabla1[[#This Row],[COSTO TOTAL ALOJAMIENTO]]+Tabla1[[#This Row],[COSTO TOTAL COCHE]]</f>
        <v>370</v>
      </c>
      <c r="S5747" s="2"/>
      <c r="T5747" s="14" t="s">
        <v>58</v>
      </c>
      <c r="U5747" s="14">
        <v>46220</v>
      </c>
      <c r="V5747" s="43"/>
      <c r="W5747" s="12"/>
      <c r="X5747" s="2"/>
      <c r="Y5747" s="11" t="s">
        <v>7839</v>
      </c>
      <c r="Z5747" s="2" t="s">
        <v>36</v>
      </c>
      <c r="AA5747" s="13" t="s">
        <v>10323</v>
      </c>
      <c r="AB5747" s="13" t="s">
        <v>10324</v>
      </c>
    </row>
    <row r="5748" spans="1:28" ht="15" customHeight="1">
      <c r="A5748" s="2" t="s">
        <v>10296</v>
      </c>
      <c r="B5748" s="2" t="s">
        <v>28</v>
      </c>
      <c r="C5748" s="11" t="s">
        <v>7840</v>
      </c>
      <c r="D5748" s="2" t="s">
        <v>30</v>
      </c>
      <c r="E5748" s="2" t="s">
        <v>92</v>
      </c>
      <c r="F5748" s="11" t="s">
        <v>93</v>
      </c>
      <c r="G5748" s="11" t="s">
        <v>94</v>
      </c>
      <c r="H5748" s="2" t="s">
        <v>95</v>
      </c>
      <c r="I5748" s="12" t="s">
        <v>96</v>
      </c>
      <c r="J5748" s="8">
        <f>+Tabla1[[#This Row],[FECHA ENTRADA]]</f>
        <v>45363</v>
      </c>
      <c r="K5748" s="22">
        <v>45821</v>
      </c>
      <c r="L5748" s="13">
        <f>_xlfn.DAYS(Tabla1[[#This Row],[FECHA FIN ]],Tabla1[[#This Row],[FECHA INICIO]])</f>
        <v>458</v>
      </c>
      <c r="M5748" s="12"/>
      <c r="N5748" s="12"/>
      <c r="O5748" s="12">
        <f>(Tabla1[[#This Row],[COSTO FIJO ]]/30)*Tabla1[[#This Row],[TOTAL DIAS PROYECTO]]+(Tabla1[[#This Row],[COSTO TEMPORAL]])</f>
        <v>0</v>
      </c>
      <c r="P5748" s="12"/>
      <c r="Q5748" s="12">
        <f>+(Tabla1[[#This Row],[COSTO COCHE]]/30)*Tabla1[[#This Row],[TOTAL DIAS PROYECTO]]</f>
        <v>0</v>
      </c>
      <c r="R5748" s="12">
        <f>+Tabla1[[#This Row],[COSTO TOTAL ALOJAMIENTO]]+Tabla1[[#This Row],[COSTO TOTAL COCHE]]</f>
        <v>0</v>
      </c>
      <c r="S5748" s="2"/>
      <c r="T5748" s="2" t="s">
        <v>35</v>
      </c>
      <c r="U5748" s="14">
        <v>45363</v>
      </c>
      <c r="V5748" s="14">
        <v>45365</v>
      </c>
      <c r="W5748" s="15"/>
      <c r="X5748" s="16">
        <v>11</v>
      </c>
      <c r="Y5748" s="18" t="s">
        <v>97</v>
      </c>
      <c r="Z5748" s="2" t="s">
        <v>36</v>
      </c>
      <c r="AA5748" s="13" t="s">
        <v>10336</v>
      </c>
      <c r="AB5748" s="13" t="s">
        <v>10337</v>
      </c>
    </row>
    <row r="5749" spans="1:28" ht="15" customHeight="1">
      <c r="A5749" s="2" t="s">
        <v>8642</v>
      </c>
      <c r="B5749" s="11" t="s">
        <v>3133</v>
      </c>
      <c r="C5749" s="104" t="s">
        <v>7841</v>
      </c>
      <c r="D5749" s="2" t="s">
        <v>749</v>
      </c>
      <c r="E5749" s="2" t="s">
        <v>288</v>
      </c>
      <c r="F5749" s="11" t="s">
        <v>4873</v>
      </c>
      <c r="G5749" s="128" t="s">
        <v>4752</v>
      </c>
      <c r="H5749" s="2" t="s">
        <v>7842</v>
      </c>
      <c r="I5749" s="12" t="s">
        <v>753</v>
      </c>
      <c r="J5749" s="22">
        <f>+Tabla1[[#This Row],[FECHA ENTRADA]]</f>
        <v>46238</v>
      </c>
      <c r="K5749" s="22">
        <f ca="1">TODAY()</f>
        <v>46260</v>
      </c>
      <c r="L5749" s="23">
        <f ca="1">_xlfn.DAYS(Tabla1[[#This Row],[FECHA FIN ]],Tabla1[[#This Row],[FECHA INICIO]])</f>
        <v>22</v>
      </c>
      <c r="M5749" s="12"/>
      <c r="N5749" s="24">
        <v>500</v>
      </c>
      <c r="O5749" s="24">
        <f ca="1">(Tabla1[[#This Row],[COSTO FIJO ]]/30)*Tabla1[[#This Row],[TOTAL DIAS PROYECTO]]+(Tabla1[[#This Row],[COSTO TEMPORAL]])</f>
        <v>366.66666666666669</v>
      </c>
      <c r="P5749" s="12"/>
      <c r="Q5749" s="12">
        <f ca="1">+(Tabla1[[#This Row],[COSTO COCHE]]/30)*Tabla1[[#This Row],[TOTAL DIAS PROYECTO]]</f>
        <v>0</v>
      </c>
      <c r="R5749" s="12">
        <f ca="1">+Tabla1[[#This Row],[COSTO TOTAL ALOJAMIENTO]]+Tabla1[[#This Row],[COSTO TOTAL COCHE]]</f>
        <v>366.66666666666669</v>
      </c>
      <c r="S5749" s="2"/>
      <c r="T5749" s="14" t="s">
        <v>35</v>
      </c>
      <c r="U5749" s="14">
        <v>46238</v>
      </c>
      <c r="V5749" s="25">
        <v>46266</v>
      </c>
      <c r="W5749" s="12"/>
      <c r="X5749" s="2">
        <v>1</v>
      </c>
      <c r="Y5749" s="165" t="s">
        <v>7587</v>
      </c>
      <c r="Z5749" s="2" t="s">
        <v>702</v>
      </c>
      <c r="AA5749" s="13" t="s">
        <v>10362</v>
      </c>
      <c r="AB5749" s="13" t="s">
        <v>10363</v>
      </c>
    </row>
    <row r="5750" spans="1:28">
      <c r="A5750" s="2" t="s">
        <v>10020</v>
      </c>
      <c r="B5750" s="2" t="s">
        <v>711</v>
      </c>
      <c r="C5750" s="31" t="s">
        <v>5980</v>
      </c>
      <c r="D5750" s="2" t="s">
        <v>749</v>
      </c>
      <c r="E5750" s="2" t="s">
        <v>4598</v>
      </c>
      <c r="F5750" s="11" t="s">
        <v>4873</v>
      </c>
      <c r="G5750" s="21" t="s">
        <v>4752</v>
      </c>
      <c r="H5750" s="2" t="s">
        <v>7843</v>
      </c>
      <c r="I5750" s="12" t="s">
        <v>2862</v>
      </c>
      <c r="J5750" s="41">
        <f>+Tabla1[[#This Row],[FECHA ENTRADA]]</f>
        <v>46116</v>
      </c>
      <c r="K5750" s="22">
        <v>46129</v>
      </c>
      <c r="L5750" s="42">
        <f>_xlfn.DAYS(Tabla1[[#This Row],[FECHA FIN ]],Tabla1[[#This Row],[FECHA INICIO]])</f>
        <v>13</v>
      </c>
      <c r="M5750" s="12"/>
      <c r="N5750" s="28"/>
      <c r="O5750" s="28">
        <f>(Tabla1[[#This Row],[COSTO FIJO ]]/30)*Tabla1[[#This Row],[TOTAL DIAS PROYECTO]]+(Tabla1[[#This Row],[COSTO TEMPORAL]])</f>
        <v>0</v>
      </c>
      <c r="P5750" s="12"/>
      <c r="Q5750" s="12">
        <f>+(Tabla1[[#This Row],[COSTO COCHE]]/30)*Tabla1[[#This Row],[TOTAL DIAS PROYECTO]]</f>
        <v>0</v>
      </c>
      <c r="R5750" s="12">
        <f>+Tabla1[[#This Row],[COSTO TOTAL ALOJAMIENTO]]+Tabla1[[#This Row],[COSTO TOTAL COCHE]]</f>
        <v>0</v>
      </c>
      <c r="S5750" s="2"/>
      <c r="T5750" s="14" t="s">
        <v>35</v>
      </c>
      <c r="U5750" s="14">
        <v>46116</v>
      </c>
      <c r="V5750" s="43"/>
      <c r="W5750" s="12"/>
      <c r="X5750" s="2"/>
      <c r="Y5750" s="11" t="s">
        <v>7835</v>
      </c>
      <c r="Z5750" s="2" t="s">
        <v>36</v>
      </c>
      <c r="AA5750" s="13">
        <v>10.50447</v>
      </c>
      <c r="AB5750" s="13">
        <v>43.843690000000002</v>
      </c>
    </row>
    <row r="5751" spans="1:28" ht="15" customHeight="1">
      <c r="A5751" s="2" t="s">
        <v>9198</v>
      </c>
      <c r="B5751" s="2" t="s">
        <v>606</v>
      </c>
      <c r="C5751" s="31" t="s">
        <v>2407</v>
      </c>
      <c r="D5751" s="2" t="s">
        <v>30</v>
      </c>
      <c r="E5751" s="2" t="s">
        <v>31</v>
      </c>
      <c r="F5751" s="11" t="s">
        <v>715</v>
      </c>
      <c r="G5751" s="11" t="s">
        <v>716</v>
      </c>
      <c r="H5751" s="2" t="s">
        <v>6619</v>
      </c>
      <c r="I5751" s="12" t="s">
        <v>6620</v>
      </c>
      <c r="J5751" s="41">
        <f>+Tabla1[[#This Row],[FECHA ENTRADA]]</f>
        <v>46112</v>
      </c>
      <c r="K5751" s="22">
        <v>46133</v>
      </c>
      <c r="L5751" s="42">
        <f>_xlfn.DAYS(Tabla1[[#This Row],[FECHA FIN ]],Tabla1[[#This Row],[FECHA INICIO]])</f>
        <v>21</v>
      </c>
      <c r="M5751" s="12"/>
      <c r="N5751" s="12">
        <v>160</v>
      </c>
      <c r="O5751" s="28">
        <f>(Tabla1[[#This Row],[COSTO FIJO ]]/30)*Tabla1[[#This Row],[TOTAL DIAS PROYECTO]]+(Tabla1[[#This Row],[COSTO TEMPORAL]])</f>
        <v>112</v>
      </c>
      <c r="P5751" s="12"/>
      <c r="Q5751" s="12">
        <f>+(Tabla1[[#This Row],[COSTO COCHE]]/30)*Tabla1[[#This Row],[TOTAL DIAS PROYECTO]]</f>
        <v>0</v>
      </c>
      <c r="R5751" s="12">
        <f>+Tabla1[[#This Row],[COSTO TOTAL ALOJAMIENTO]]+Tabla1[[#This Row],[COSTO TOTAL COCHE]]</f>
        <v>112</v>
      </c>
      <c r="S5751" s="2"/>
      <c r="T5751" s="14" t="s">
        <v>35</v>
      </c>
      <c r="U5751" s="14">
        <v>46112</v>
      </c>
      <c r="V5751" s="43"/>
      <c r="W5751" s="12"/>
      <c r="X5751" s="2"/>
      <c r="Y5751" s="11" t="s">
        <v>7343</v>
      </c>
      <c r="Z5751" s="2" t="s">
        <v>36</v>
      </c>
      <c r="AA5751" s="13" t="s">
        <v>10323</v>
      </c>
      <c r="AB5751" s="13" t="s">
        <v>10324</v>
      </c>
    </row>
    <row r="5752" spans="1:28" ht="15" customHeight="1">
      <c r="A5752" s="2" t="s">
        <v>10206</v>
      </c>
      <c r="B5752" s="2" t="s">
        <v>606</v>
      </c>
      <c r="C5752" s="31" t="s">
        <v>7149</v>
      </c>
      <c r="D5752" s="2" t="s">
        <v>30</v>
      </c>
      <c r="E5752" s="2" t="s">
        <v>31</v>
      </c>
      <c r="F5752" s="11" t="s">
        <v>715</v>
      </c>
      <c r="G5752" s="11" t="s">
        <v>716</v>
      </c>
      <c r="H5752" s="2" t="s">
        <v>7147</v>
      </c>
      <c r="I5752" s="12" t="s">
        <v>7148</v>
      </c>
      <c r="J5752" s="41">
        <f>+Tabla1[[#This Row],[FECHA ENTRADA]]</f>
        <v>46112</v>
      </c>
      <c r="K5752" s="22">
        <v>46133</v>
      </c>
      <c r="L5752" s="42">
        <f>_xlfn.DAYS(Tabla1[[#This Row],[FECHA FIN ]],Tabla1[[#This Row],[FECHA INICIO]])</f>
        <v>21</v>
      </c>
      <c r="M5752" s="12"/>
      <c r="N5752" s="12">
        <v>160</v>
      </c>
      <c r="O5752" s="28">
        <f>(Tabla1[[#This Row],[COSTO FIJO ]]/30)*Tabla1[[#This Row],[TOTAL DIAS PROYECTO]]+(Tabla1[[#This Row],[COSTO TEMPORAL]])</f>
        <v>112</v>
      </c>
      <c r="P5752" s="12"/>
      <c r="Q5752" s="12">
        <f>+(Tabla1[[#This Row],[COSTO COCHE]]/30)*Tabla1[[#This Row],[TOTAL DIAS PROYECTO]]</f>
        <v>0</v>
      </c>
      <c r="R5752" s="12">
        <f>+Tabla1[[#This Row],[COSTO TOTAL ALOJAMIENTO]]+Tabla1[[#This Row],[COSTO TOTAL COCHE]]</f>
        <v>112</v>
      </c>
      <c r="S5752" s="2"/>
      <c r="T5752" s="14" t="s">
        <v>35</v>
      </c>
      <c r="U5752" s="14">
        <v>46112</v>
      </c>
      <c r="V5752" s="43"/>
      <c r="W5752" s="12"/>
      <c r="X5752" s="2"/>
      <c r="Y5752" s="11" t="s">
        <v>7343</v>
      </c>
      <c r="Z5752" s="2" t="s">
        <v>36</v>
      </c>
      <c r="AA5752" s="13" t="s">
        <v>10323</v>
      </c>
      <c r="AB5752" s="13" t="s">
        <v>10324</v>
      </c>
    </row>
    <row r="5753" spans="1:28" ht="15" customHeight="1">
      <c r="A5753" s="2" t="s">
        <v>9082</v>
      </c>
      <c r="B5753" s="2" t="s">
        <v>711</v>
      </c>
      <c r="C5753" s="11" t="s">
        <v>1936</v>
      </c>
      <c r="D5753" s="2" t="s">
        <v>30</v>
      </c>
      <c r="E5753" s="2" t="s">
        <v>1987</v>
      </c>
      <c r="F5753" s="11" t="s">
        <v>7844</v>
      </c>
      <c r="G5753" s="46" t="s">
        <v>7845</v>
      </c>
      <c r="H5753" s="2" t="s">
        <v>3768</v>
      </c>
      <c r="I5753" s="12" t="s">
        <v>3769</v>
      </c>
      <c r="J5753" s="41">
        <f>+Tabla1[[#This Row],[FECHA ENTRADA]]</f>
        <v>46133</v>
      </c>
      <c r="K5753" s="22">
        <v>46136</v>
      </c>
      <c r="L5753" s="42">
        <f>_xlfn.DAYS(Tabla1[[#This Row],[FECHA FIN ]],Tabla1[[#This Row],[FECHA INICIO]])</f>
        <v>3</v>
      </c>
      <c r="M5753" s="12">
        <v>100</v>
      </c>
      <c r="N5753" s="28"/>
      <c r="O5753" s="28">
        <f>(Tabla1[[#This Row],[COSTO FIJO ]]/30)*Tabla1[[#This Row],[TOTAL DIAS PROYECTO]]+(Tabla1[[#This Row],[COSTO TEMPORAL]])</f>
        <v>100</v>
      </c>
      <c r="P5753" s="12"/>
      <c r="Q5753" s="12">
        <f>+(Tabla1[[#This Row],[COSTO COCHE]]/30)*Tabla1[[#This Row],[TOTAL DIAS PROYECTO]]</f>
        <v>0</v>
      </c>
      <c r="R5753" s="12">
        <f>+Tabla1[[#This Row],[COSTO TOTAL ALOJAMIENTO]]+Tabla1[[#This Row],[COSTO TOTAL COCHE]]</f>
        <v>100</v>
      </c>
      <c r="S5753" s="2"/>
      <c r="T5753" s="14" t="s">
        <v>44</v>
      </c>
      <c r="U5753" s="14">
        <v>46133</v>
      </c>
      <c r="V5753" s="43">
        <v>46136</v>
      </c>
      <c r="W5753" s="12"/>
      <c r="X5753" s="2"/>
      <c r="Y5753" s="11" t="s">
        <v>7846</v>
      </c>
      <c r="Z5753" s="2" t="s">
        <v>36</v>
      </c>
      <c r="AA5753" s="13" t="s">
        <v>10435</v>
      </c>
      <c r="AB5753" s="13">
        <v>42.136150000000001</v>
      </c>
    </row>
    <row r="5754" spans="1:28" ht="15" customHeight="1">
      <c r="A5754" s="2" t="s">
        <v>8642</v>
      </c>
      <c r="B5754" s="2" t="s">
        <v>711</v>
      </c>
      <c r="C5754" s="11" t="s">
        <v>3765</v>
      </c>
      <c r="D5754" s="2" t="s">
        <v>30</v>
      </c>
      <c r="E5754" s="2" t="s">
        <v>1987</v>
      </c>
      <c r="F5754" s="11" t="s">
        <v>7844</v>
      </c>
      <c r="G5754" s="46" t="s">
        <v>7845</v>
      </c>
      <c r="H5754" s="2" t="s">
        <v>3768</v>
      </c>
      <c r="I5754" s="12" t="s">
        <v>3769</v>
      </c>
      <c r="J5754" s="41">
        <f>+Tabla1[[#This Row],[FECHA ENTRADA]]</f>
        <v>46133</v>
      </c>
      <c r="K5754" s="22">
        <v>46136</v>
      </c>
      <c r="L5754" s="42">
        <f>_xlfn.DAYS(Tabla1[[#This Row],[FECHA FIN ]],Tabla1[[#This Row],[FECHA INICIO]])</f>
        <v>3</v>
      </c>
      <c r="M5754" s="12">
        <v>100</v>
      </c>
      <c r="N5754" s="28"/>
      <c r="O5754" s="28">
        <f>(Tabla1[[#This Row],[COSTO FIJO ]]/30)*Tabla1[[#This Row],[TOTAL DIAS PROYECTO]]+(Tabla1[[#This Row],[COSTO TEMPORAL]])</f>
        <v>100</v>
      </c>
      <c r="P5754" s="12"/>
      <c r="Q5754" s="12">
        <f>+(Tabla1[[#This Row],[COSTO COCHE]]/30)*Tabla1[[#This Row],[TOTAL DIAS PROYECTO]]</f>
        <v>0</v>
      </c>
      <c r="R5754" s="12">
        <f>+Tabla1[[#This Row],[COSTO TOTAL ALOJAMIENTO]]+Tabla1[[#This Row],[COSTO TOTAL COCHE]]</f>
        <v>100</v>
      </c>
      <c r="S5754" s="2"/>
      <c r="T5754" s="14" t="s">
        <v>44</v>
      </c>
      <c r="U5754" s="14">
        <v>46133</v>
      </c>
      <c r="V5754" s="43">
        <v>46136</v>
      </c>
      <c r="W5754" s="12"/>
      <c r="X5754" s="2"/>
      <c r="Y5754" s="11" t="s">
        <v>7846</v>
      </c>
      <c r="Z5754" s="2" t="s">
        <v>36</v>
      </c>
      <c r="AA5754" s="13" t="s">
        <v>10435</v>
      </c>
      <c r="AB5754" s="13">
        <v>42.136150000000001</v>
      </c>
    </row>
    <row r="5755" spans="1:28" ht="15" customHeight="1">
      <c r="A5755" s="2" t="s">
        <v>10026</v>
      </c>
      <c r="B5755" s="2" t="s">
        <v>711</v>
      </c>
      <c r="C5755" s="11" t="s">
        <v>5990</v>
      </c>
      <c r="D5755" s="2" t="s">
        <v>30</v>
      </c>
      <c r="E5755" s="2" t="s">
        <v>1987</v>
      </c>
      <c r="F5755" s="11" t="s">
        <v>7844</v>
      </c>
      <c r="G5755" s="46" t="s">
        <v>7845</v>
      </c>
      <c r="H5755" s="2" t="s">
        <v>3768</v>
      </c>
      <c r="I5755" s="12" t="s">
        <v>3769</v>
      </c>
      <c r="J5755" s="41">
        <f>+Tabla1[[#This Row],[FECHA ENTRADA]]</f>
        <v>46133</v>
      </c>
      <c r="K5755" s="22">
        <v>46136</v>
      </c>
      <c r="L5755" s="42">
        <f>_xlfn.DAYS(Tabla1[[#This Row],[FECHA FIN ]],Tabla1[[#This Row],[FECHA INICIO]])</f>
        <v>3</v>
      </c>
      <c r="M5755" s="12">
        <v>100</v>
      </c>
      <c r="N5755" s="28"/>
      <c r="O5755" s="28">
        <f>(Tabla1[[#This Row],[COSTO FIJO ]]/30)*Tabla1[[#This Row],[TOTAL DIAS PROYECTO]]+(Tabla1[[#This Row],[COSTO TEMPORAL]])</f>
        <v>100</v>
      </c>
      <c r="P5755" s="12"/>
      <c r="Q5755" s="12">
        <f>+(Tabla1[[#This Row],[COSTO COCHE]]/30)*Tabla1[[#This Row],[TOTAL DIAS PROYECTO]]</f>
        <v>0</v>
      </c>
      <c r="R5755" s="12">
        <f>+Tabla1[[#This Row],[COSTO TOTAL ALOJAMIENTO]]+Tabla1[[#This Row],[COSTO TOTAL COCHE]]</f>
        <v>100</v>
      </c>
      <c r="S5755" s="2"/>
      <c r="T5755" s="14" t="s">
        <v>44</v>
      </c>
      <c r="U5755" s="14">
        <v>46133</v>
      </c>
      <c r="V5755" s="43">
        <v>46136</v>
      </c>
      <c r="W5755" s="12"/>
      <c r="X5755" s="2"/>
      <c r="Y5755" s="11" t="s">
        <v>7846</v>
      </c>
      <c r="Z5755" s="2" t="s">
        <v>36</v>
      </c>
      <c r="AA5755" s="13" t="s">
        <v>10435</v>
      </c>
      <c r="AB5755" s="13">
        <v>42.136150000000001</v>
      </c>
    </row>
    <row r="5756" spans="1:28" ht="15" customHeight="1">
      <c r="A5756" s="2" t="s">
        <v>9909</v>
      </c>
      <c r="B5756" s="2" t="s">
        <v>606</v>
      </c>
      <c r="C5756" s="31" t="s">
        <v>5341</v>
      </c>
      <c r="D5756" s="2" t="s">
        <v>30</v>
      </c>
      <c r="E5756" s="2" t="s">
        <v>31</v>
      </c>
      <c r="F5756" s="11" t="s">
        <v>715</v>
      </c>
      <c r="G5756" s="11" t="s">
        <v>716</v>
      </c>
      <c r="H5756" s="2" t="s">
        <v>7147</v>
      </c>
      <c r="I5756" s="12" t="s">
        <v>7148</v>
      </c>
      <c r="J5756" s="41">
        <f>+Tabla1[[#This Row],[FECHA ENTRADA]]</f>
        <v>46112</v>
      </c>
      <c r="K5756" s="22">
        <v>46133</v>
      </c>
      <c r="L5756" s="42">
        <f>_xlfn.DAYS(Tabla1[[#This Row],[FECHA FIN ]],Tabla1[[#This Row],[FECHA INICIO]])</f>
        <v>21</v>
      </c>
      <c r="M5756" s="12"/>
      <c r="N5756" s="12">
        <v>160</v>
      </c>
      <c r="O5756" s="28">
        <f>(Tabla1[[#This Row],[COSTO FIJO ]]/30)*Tabla1[[#This Row],[TOTAL DIAS PROYECTO]]+(Tabla1[[#This Row],[COSTO TEMPORAL]])</f>
        <v>112</v>
      </c>
      <c r="P5756" s="12"/>
      <c r="Q5756" s="12">
        <f>+(Tabla1[[#This Row],[COSTO COCHE]]/30)*Tabla1[[#This Row],[TOTAL DIAS PROYECTO]]</f>
        <v>0</v>
      </c>
      <c r="R5756" s="12">
        <f>+Tabla1[[#This Row],[COSTO TOTAL ALOJAMIENTO]]+Tabla1[[#This Row],[COSTO TOTAL COCHE]]</f>
        <v>112</v>
      </c>
      <c r="S5756" s="2"/>
      <c r="T5756" s="14" t="s">
        <v>35</v>
      </c>
      <c r="U5756" s="14">
        <v>46112</v>
      </c>
      <c r="V5756" s="43"/>
      <c r="W5756" s="12"/>
      <c r="X5756" s="2"/>
      <c r="Y5756" s="11" t="s">
        <v>7343</v>
      </c>
      <c r="Z5756" s="2" t="s">
        <v>36</v>
      </c>
      <c r="AA5756" s="13" t="s">
        <v>10323</v>
      </c>
      <c r="AB5756" s="13" t="s">
        <v>10324</v>
      </c>
    </row>
    <row r="5757" spans="1:28" ht="15" customHeight="1">
      <c r="A5757" s="2" t="s">
        <v>10205</v>
      </c>
      <c r="B5757" s="2" t="s">
        <v>606</v>
      </c>
      <c r="C5757" s="31" t="s">
        <v>7146</v>
      </c>
      <c r="D5757" s="2" t="s">
        <v>30</v>
      </c>
      <c r="E5757" s="2" t="s">
        <v>31</v>
      </c>
      <c r="F5757" s="11" t="s">
        <v>715</v>
      </c>
      <c r="G5757" s="11" t="s">
        <v>716</v>
      </c>
      <c r="H5757" s="2" t="s">
        <v>7147</v>
      </c>
      <c r="I5757" s="12" t="s">
        <v>7148</v>
      </c>
      <c r="J5757" s="41">
        <f>+Tabla1[[#This Row],[FECHA ENTRADA]]</f>
        <v>46112</v>
      </c>
      <c r="K5757" s="22">
        <v>46179</v>
      </c>
      <c r="L5757" s="42">
        <f>_xlfn.DAYS(Tabla1[[#This Row],[FECHA FIN ]],Tabla1[[#This Row],[FECHA INICIO]])</f>
        <v>67</v>
      </c>
      <c r="M5757" s="12"/>
      <c r="N5757" s="12">
        <v>160</v>
      </c>
      <c r="O5757" s="28">
        <f>(Tabla1[[#This Row],[COSTO FIJO ]]/30)*Tabla1[[#This Row],[TOTAL DIAS PROYECTO]]+(Tabla1[[#This Row],[COSTO TEMPORAL]])</f>
        <v>357.33333333333331</v>
      </c>
      <c r="P5757" s="12"/>
      <c r="Q5757" s="12">
        <f>+(Tabla1[[#This Row],[COSTO COCHE]]/30)*Tabla1[[#This Row],[TOTAL DIAS PROYECTO]]</f>
        <v>0</v>
      </c>
      <c r="R5757" s="12">
        <f>+Tabla1[[#This Row],[COSTO TOTAL ALOJAMIENTO]]+Tabla1[[#This Row],[COSTO TOTAL COCHE]]</f>
        <v>357.33333333333331</v>
      </c>
      <c r="S5757" s="2"/>
      <c r="T5757" s="14" t="s">
        <v>35</v>
      </c>
      <c r="U5757" s="14">
        <v>46112</v>
      </c>
      <c r="V5757" s="43"/>
      <c r="W5757" s="12"/>
      <c r="X5757" s="2"/>
      <c r="Y5757" s="202" t="s">
        <v>7847</v>
      </c>
      <c r="Z5757" s="2" t="s">
        <v>36</v>
      </c>
      <c r="AA5757" s="13" t="s">
        <v>10323</v>
      </c>
      <c r="AB5757" s="13" t="s">
        <v>10324</v>
      </c>
    </row>
    <row r="5758" spans="1:28" ht="15" customHeight="1">
      <c r="A5758" s="2" t="s">
        <v>9929</v>
      </c>
      <c r="B5758" s="2" t="s">
        <v>606</v>
      </c>
      <c r="C5758" s="31" t="s">
        <v>5503</v>
      </c>
      <c r="D5758" s="2" t="s">
        <v>99</v>
      </c>
      <c r="E5758" s="2" t="s">
        <v>31</v>
      </c>
      <c r="F5758" s="11" t="s">
        <v>715</v>
      </c>
      <c r="G5758" s="11" t="s">
        <v>716</v>
      </c>
      <c r="H5758" s="2" t="s">
        <v>7848</v>
      </c>
      <c r="I5758" s="12" t="s">
        <v>1642</v>
      </c>
      <c r="J5758" s="22">
        <f>+Tabla1[[#This Row],[FECHA ENTRADA]]</f>
        <v>46183</v>
      </c>
      <c r="K5758" s="22">
        <v>46188</v>
      </c>
      <c r="L5758" s="23">
        <f>_xlfn.DAYS(Tabla1[[#This Row],[FECHA FIN ]],Tabla1[[#This Row],[FECHA INICIO]])</f>
        <v>5</v>
      </c>
      <c r="M5758" s="12"/>
      <c r="N5758" s="12">
        <v>160</v>
      </c>
      <c r="O5758" s="24">
        <f>(Tabla1[[#This Row],[COSTO FIJO ]]/30)*Tabla1[[#This Row],[TOTAL DIAS PROYECTO]]+(Tabla1[[#This Row],[COSTO TEMPORAL]])</f>
        <v>26.666666666666664</v>
      </c>
      <c r="P5758" s="12"/>
      <c r="Q5758" s="12">
        <f>+(Tabla1[[#This Row],[COSTO COCHE]]/30)*Tabla1[[#This Row],[TOTAL DIAS PROYECTO]]</f>
        <v>0</v>
      </c>
      <c r="R5758" s="12">
        <f>+Tabla1[[#This Row],[COSTO TOTAL ALOJAMIENTO]]+Tabla1[[#This Row],[COSTO TOTAL COCHE]]</f>
        <v>26.666666666666664</v>
      </c>
      <c r="S5758" s="2"/>
      <c r="T5758" s="14" t="s">
        <v>35</v>
      </c>
      <c r="U5758" s="14">
        <v>46183</v>
      </c>
      <c r="V5758" s="25"/>
      <c r="W5758" s="12"/>
      <c r="X5758" s="2"/>
      <c r="Y5758" s="11" t="s">
        <v>7849</v>
      </c>
      <c r="Z5758" s="2" t="s">
        <v>36</v>
      </c>
      <c r="AA5758" s="13" t="s">
        <v>10323</v>
      </c>
      <c r="AB5758" s="13" t="s">
        <v>10324</v>
      </c>
    </row>
    <row r="5759" spans="1:28" ht="15" customHeight="1">
      <c r="A5759" s="2" t="s">
        <v>10120</v>
      </c>
      <c r="B5759" s="2" t="s">
        <v>606</v>
      </c>
      <c r="C5759" s="31" t="s">
        <v>6502</v>
      </c>
      <c r="D5759" s="2" t="s">
        <v>99</v>
      </c>
      <c r="E5759" s="2" t="s">
        <v>31</v>
      </c>
      <c r="F5759" s="11" t="s">
        <v>715</v>
      </c>
      <c r="G5759" s="11" t="s">
        <v>716</v>
      </c>
      <c r="H5759" s="2" t="s">
        <v>7848</v>
      </c>
      <c r="I5759" s="12" t="s">
        <v>1642</v>
      </c>
      <c r="J5759" s="22">
        <f>+Tabla1[[#This Row],[FECHA ENTRADA]]</f>
        <v>46183</v>
      </c>
      <c r="K5759" s="22">
        <v>46188</v>
      </c>
      <c r="L5759" s="23">
        <f>_xlfn.DAYS(Tabla1[[#This Row],[FECHA FIN ]],Tabla1[[#This Row],[FECHA INICIO]])</f>
        <v>5</v>
      </c>
      <c r="M5759" s="12"/>
      <c r="N5759" s="12">
        <v>160</v>
      </c>
      <c r="O5759" s="24">
        <f>(Tabla1[[#This Row],[COSTO FIJO ]]/30)*Tabla1[[#This Row],[TOTAL DIAS PROYECTO]]+(Tabla1[[#This Row],[COSTO TEMPORAL]])</f>
        <v>26.666666666666664</v>
      </c>
      <c r="P5759" s="12"/>
      <c r="Q5759" s="12">
        <f>+(Tabla1[[#This Row],[COSTO COCHE]]/30)*Tabla1[[#This Row],[TOTAL DIAS PROYECTO]]</f>
        <v>0</v>
      </c>
      <c r="R5759" s="12">
        <f>+Tabla1[[#This Row],[COSTO TOTAL ALOJAMIENTO]]+Tabla1[[#This Row],[COSTO TOTAL COCHE]]</f>
        <v>26.666666666666664</v>
      </c>
      <c r="S5759" s="2"/>
      <c r="T5759" s="14" t="s">
        <v>35</v>
      </c>
      <c r="U5759" s="14">
        <v>46183</v>
      </c>
      <c r="V5759" s="25"/>
      <c r="W5759" s="12"/>
      <c r="X5759" s="2"/>
      <c r="Y5759" s="11" t="s">
        <v>7849</v>
      </c>
      <c r="Z5759" s="2" t="s">
        <v>36</v>
      </c>
      <c r="AA5759" s="13" t="s">
        <v>10323</v>
      </c>
      <c r="AB5759" s="13" t="s">
        <v>10324</v>
      </c>
    </row>
    <row r="5760" spans="1:28" ht="15" customHeight="1">
      <c r="A5760" s="2" t="s">
        <v>9011</v>
      </c>
      <c r="B5760" s="2" t="s">
        <v>606</v>
      </c>
      <c r="C5760" s="11" t="s">
        <v>1694</v>
      </c>
      <c r="D5760" s="2" t="s">
        <v>30</v>
      </c>
      <c r="E5760" s="2" t="s">
        <v>31</v>
      </c>
      <c r="F5760" s="11" t="s">
        <v>1004</v>
      </c>
      <c r="G5760" s="167" t="s">
        <v>1005</v>
      </c>
      <c r="H5760" s="2" t="s">
        <v>2909</v>
      </c>
      <c r="I5760" s="12" t="s">
        <v>1540</v>
      </c>
      <c r="J5760" s="41">
        <f>+Tabla1[[#This Row],[FECHA ENTRADA]]</f>
        <v>45717</v>
      </c>
      <c r="K5760" s="41">
        <f ca="1">TODAY()</f>
        <v>46260</v>
      </c>
      <c r="L5760" s="42">
        <f ca="1">_xlfn.DAYS(Tabla1[[#This Row],[FECHA FIN ]],Tabla1[[#This Row],[FECHA INICIO]])</f>
        <v>543</v>
      </c>
      <c r="M5760" s="12"/>
      <c r="N5760" s="28">
        <v>533.33333333333337</v>
      </c>
      <c r="O5760" s="28">
        <f ca="1">(Tabla1[[#This Row],[COSTO FIJO ]]/30)*Tabla1[[#This Row],[TOTAL DIAS PROYECTO]]+(Tabla1[[#This Row],[COSTO TEMPORAL]])</f>
        <v>9653.3333333333339</v>
      </c>
      <c r="P5760" s="12"/>
      <c r="Q5760" s="12">
        <f ca="1">+(Tabla1[[#This Row],[COSTO COCHE]]/30)*Tabla1[[#This Row],[TOTAL DIAS PROYECTO]]</f>
        <v>0</v>
      </c>
      <c r="R5760" s="12">
        <f ca="1">+Tabla1[[#This Row],[COSTO TOTAL ALOJAMIENTO]]+Tabla1[[#This Row],[COSTO TOTAL COCHE]]</f>
        <v>9653.3333333333339</v>
      </c>
      <c r="S5760" s="2"/>
      <c r="T5760" s="2" t="s">
        <v>35</v>
      </c>
      <c r="U5760" s="14">
        <v>45717</v>
      </c>
      <c r="V5760" s="43"/>
      <c r="W5760" s="12"/>
      <c r="X5760" s="2">
        <v>1</v>
      </c>
      <c r="Y5760" s="11"/>
      <c r="Z5760" s="2" t="s">
        <v>702</v>
      </c>
      <c r="AA5760" s="13" t="s">
        <v>10323</v>
      </c>
      <c r="AB5760" s="13" t="s">
        <v>10324</v>
      </c>
    </row>
    <row r="5761" spans="1:28" ht="15" customHeight="1">
      <c r="A5761" s="2" t="s">
        <v>8642</v>
      </c>
      <c r="B5761" s="2" t="s">
        <v>606</v>
      </c>
      <c r="C5761" s="31" t="s">
        <v>7850</v>
      </c>
      <c r="D5761" s="2" t="s">
        <v>30</v>
      </c>
      <c r="E5761" s="2" t="s">
        <v>31</v>
      </c>
      <c r="F5761" s="11" t="s">
        <v>715</v>
      </c>
      <c r="G5761" s="11" t="s">
        <v>716</v>
      </c>
      <c r="H5761" s="2" t="s">
        <v>7851</v>
      </c>
      <c r="I5761" s="12" t="s">
        <v>1642</v>
      </c>
      <c r="J5761" s="22">
        <f>+Tabla1[[#This Row],[FECHA ENTRADA]]</f>
        <v>46198</v>
      </c>
      <c r="K5761" s="22">
        <v>46198</v>
      </c>
      <c r="L5761" s="23">
        <f>_xlfn.DAYS(Tabla1[[#This Row],[FECHA FIN ]],Tabla1[[#This Row],[FECHA INICIO]])</f>
        <v>0</v>
      </c>
      <c r="M5761" s="12"/>
      <c r="N5761" s="12">
        <v>160</v>
      </c>
      <c r="O5761" s="24">
        <f>(Tabla1[[#This Row],[COSTO FIJO ]]/30)*Tabla1[[#This Row],[TOTAL DIAS PROYECTO]]+(Tabla1[[#This Row],[COSTO TEMPORAL]])</f>
        <v>0</v>
      </c>
      <c r="P5761" s="12"/>
      <c r="Q5761" s="12">
        <f>+(Tabla1[[#This Row],[COSTO COCHE]]/30)*Tabla1[[#This Row],[TOTAL DIAS PROYECTO]]</f>
        <v>0</v>
      </c>
      <c r="R5761" s="12">
        <f>+Tabla1[[#This Row],[COSTO TOTAL ALOJAMIENTO]]+Tabla1[[#This Row],[COSTO TOTAL COCHE]]</f>
        <v>0</v>
      </c>
      <c r="S5761" s="2"/>
      <c r="T5761" s="14" t="s">
        <v>35</v>
      </c>
      <c r="U5761" s="14">
        <v>46198</v>
      </c>
      <c r="V5761" s="79"/>
      <c r="W5761" s="12"/>
      <c r="X5761" s="2"/>
      <c r="Y5761" s="11" t="s">
        <v>7852</v>
      </c>
      <c r="Z5761" s="2" t="s">
        <v>36</v>
      </c>
      <c r="AA5761" s="13" t="s">
        <v>10323</v>
      </c>
      <c r="AB5761" s="13" t="s">
        <v>10324</v>
      </c>
    </row>
    <row r="5762" spans="1:28" ht="15" customHeight="1">
      <c r="A5762" s="2" t="s">
        <v>10297</v>
      </c>
      <c r="B5762" s="2" t="s">
        <v>28</v>
      </c>
      <c r="C5762" s="11" t="s">
        <v>7853</v>
      </c>
      <c r="D5762" s="2" t="s">
        <v>30</v>
      </c>
      <c r="E5762" s="2" t="s">
        <v>359</v>
      </c>
      <c r="F5762" s="11" t="s">
        <v>6803</v>
      </c>
      <c r="G5762" s="21" t="s">
        <v>7854</v>
      </c>
      <c r="H5762" s="2" t="s">
        <v>4338</v>
      </c>
      <c r="I5762" s="12" t="s">
        <v>96</v>
      </c>
      <c r="J5762" s="22">
        <f>+Tabla1[[#This Row],[FECHA ENTRADA]]</f>
        <v>45685</v>
      </c>
      <c r="K5762" s="22">
        <v>45821</v>
      </c>
      <c r="L5762" s="23">
        <f>_xlfn.DAYS(Tabla1[[#This Row],[FECHA FIN ]],Tabla1[[#This Row],[FECHA INICIO]])</f>
        <v>136</v>
      </c>
      <c r="M5762" s="12"/>
      <c r="N5762" s="12"/>
      <c r="O5762" s="24">
        <f>(Tabla1[[#This Row],[COSTO FIJO ]]/30)*Tabla1[[#This Row],[TOTAL DIAS PROYECTO]]+(Tabla1[[#This Row],[COSTO TEMPORAL]])</f>
        <v>0</v>
      </c>
      <c r="P5762" s="12"/>
      <c r="Q5762" s="12">
        <f>+(Tabla1[[#This Row],[COSTO COCHE]]/30)*Tabla1[[#This Row],[TOTAL DIAS PROYECTO]]</f>
        <v>0</v>
      </c>
      <c r="R5762" s="12">
        <f>+Tabla1[[#This Row],[COSTO TOTAL ALOJAMIENTO]]+Tabla1[[#This Row],[COSTO TOTAL COCHE]]</f>
        <v>0</v>
      </c>
      <c r="S5762" s="2"/>
      <c r="T5762" s="2" t="s">
        <v>44</v>
      </c>
      <c r="U5762" s="14">
        <v>45685</v>
      </c>
      <c r="V5762" s="25">
        <v>45690</v>
      </c>
      <c r="W5762" s="26"/>
      <c r="X5762" s="2"/>
      <c r="Y5762" s="11"/>
      <c r="Z5762" s="2" t="s">
        <v>36</v>
      </c>
      <c r="AA5762" s="13" t="s">
        <v>10367</v>
      </c>
      <c r="AB5762" s="13">
        <v>3899424</v>
      </c>
    </row>
    <row r="5763" spans="1:28" ht="15" customHeight="1">
      <c r="A5763" s="2" t="s">
        <v>10297</v>
      </c>
      <c r="B5763" s="2" t="s">
        <v>28</v>
      </c>
      <c r="C5763" s="11" t="s">
        <v>7853</v>
      </c>
      <c r="D5763" s="2" t="s">
        <v>30</v>
      </c>
      <c r="E5763" s="2" t="s">
        <v>359</v>
      </c>
      <c r="F5763" s="11" t="s">
        <v>6821</v>
      </c>
      <c r="G5763" s="46" t="s">
        <v>3326</v>
      </c>
      <c r="H5763" s="2" t="s">
        <v>4338</v>
      </c>
      <c r="I5763" s="12" t="s">
        <v>96</v>
      </c>
      <c r="J5763" s="41">
        <f>+Tabla1[[#This Row],[FECHA ENTRADA]]</f>
        <v>45690</v>
      </c>
      <c r="K5763" s="22">
        <v>45821</v>
      </c>
      <c r="L5763" s="42">
        <f>_xlfn.DAYS(Tabla1[[#This Row],[FECHA FIN ]],Tabla1[[#This Row],[FECHA INICIO]])</f>
        <v>131</v>
      </c>
      <c r="M5763" s="12"/>
      <c r="N5763" s="12">
        <v>330</v>
      </c>
      <c r="O5763" s="28">
        <f>(Tabla1[[#This Row],[COSTO FIJO ]]/30)*Tabla1[[#This Row],[TOTAL DIAS PROYECTO]]+(Tabla1[[#This Row],[COSTO TEMPORAL]])</f>
        <v>1441</v>
      </c>
      <c r="P5763" s="12"/>
      <c r="Q5763" s="12">
        <f>+(Tabla1[[#This Row],[COSTO COCHE]]/30)*Tabla1[[#This Row],[TOTAL DIAS PROYECTO]]</f>
        <v>0</v>
      </c>
      <c r="R5763" s="12">
        <f>+Tabla1[[#This Row],[COSTO TOTAL ALOJAMIENTO]]+Tabla1[[#This Row],[COSTO TOTAL COCHE]]</f>
        <v>1441</v>
      </c>
      <c r="S5763" s="2"/>
      <c r="T5763" s="2" t="s">
        <v>44</v>
      </c>
      <c r="U5763" s="14">
        <v>45690</v>
      </c>
      <c r="V5763" s="43">
        <v>45710</v>
      </c>
      <c r="W5763" s="26"/>
      <c r="X5763" s="2">
        <v>1</v>
      </c>
      <c r="Y5763" s="11" t="s">
        <v>1120</v>
      </c>
      <c r="Z5763" s="2" t="s">
        <v>36</v>
      </c>
      <c r="AA5763" s="13" t="s">
        <v>10367</v>
      </c>
      <c r="AB5763" s="13">
        <v>3899424</v>
      </c>
    </row>
    <row r="5764" spans="1:28" ht="15" customHeight="1">
      <c r="A5764" s="2" t="s">
        <v>10274</v>
      </c>
      <c r="B5764" s="2" t="s">
        <v>711</v>
      </c>
      <c r="C5764" s="11" t="s">
        <v>7682</v>
      </c>
      <c r="D5764" s="2" t="s">
        <v>30</v>
      </c>
      <c r="E5764" s="2" t="s">
        <v>648</v>
      </c>
      <c r="F5764" s="11" t="s">
        <v>7855</v>
      </c>
      <c r="G5764" s="11"/>
      <c r="H5764" s="2" t="s">
        <v>1363</v>
      </c>
      <c r="I5764" s="12" t="s">
        <v>96</v>
      </c>
      <c r="J5764" s="22">
        <f>+Tabla1[[#This Row],[FECHA ENTRADA]]</f>
        <v>45931</v>
      </c>
      <c r="K5764" s="22">
        <f ca="1">TODAY()</f>
        <v>46260</v>
      </c>
      <c r="L5764" s="23">
        <f ca="1">_xlfn.DAYS(Tabla1[[#This Row],[FECHA FIN ]],Tabla1[[#This Row],[FECHA INICIO]])</f>
        <v>329</v>
      </c>
      <c r="M5764" s="12"/>
      <c r="N5764" s="20">
        <v>300</v>
      </c>
      <c r="O5764" s="24">
        <f ca="1">(Tabla1[[#This Row],[COSTO FIJO ]]/30)*Tabla1[[#This Row],[TOTAL DIAS PROYECTO]]+(Tabla1[[#This Row],[COSTO TEMPORAL]])</f>
        <v>3290</v>
      </c>
      <c r="P5764" s="12"/>
      <c r="Q5764" s="12">
        <f ca="1">+(Tabla1[[#This Row],[COSTO COCHE]]/30)*Tabla1[[#This Row],[TOTAL DIAS PROYECTO]]</f>
        <v>0</v>
      </c>
      <c r="R5764" s="12">
        <f ca="1">+Tabla1[[#This Row],[COSTO TOTAL ALOJAMIENTO]]+Tabla1[[#This Row],[COSTO TOTAL COCHE]]</f>
        <v>3290</v>
      </c>
      <c r="S5764" s="2"/>
      <c r="T5764" s="14" t="s">
        <v>58</v>
      </c>
      <c r="U5764" s="14">
        <v>45931</v>
      </c>
      <c r="V5764" s="25"/>
      <c r="W5764" s="71"/>
      <c r="X5764" s="2"/>
      <c r="Y5764" s="11"/>
      <c r="Z5764" s="2" t="s">
        <v>702</v>
      </c>
      <c r="AA5764" s="13" t="s">
        <v>10387</v>
      </c>
      <c r="AB5764" s="13" t="s">
        <v>10388</v>
      </c>
    </row>
    <row r="5765" spans="1:28" ht="15" customHeight="1">
      <c r="A5765" s="2" t="s">
        <v>8642</v>
      </c>
      <c r="B5765" s="2" t="s">
        <v>711</v>
      </c>
      <c r="C5765" s="31" t="s">
        <v>6900</v>
      </c>
      <c r="D5765" s="2" t="s">
        <v>749</v>
      </c>
      <c r="E5765" s="2" t="s">
        <v>4598</v>
      </c>
      <c r="F5765" s="11" t="s">
        <v>1106</v>
      </c>
      <c r="G5765" s="21"/>
      <c r="H5765" s="2" t="s">
        <v>7702</v>
      </c>
      <c r="I5765" s="12" t="s">
        <v>2862</v>
      </c>
      <c r="J5765" s="22">
        <f>+Tabla1[[#This Row],[FECHA ENTRADA]]</f>
        <v>46103</v>
      </c>
      <c r="K5765" s="22">
        <v>46171</v>
      </c>
      <c r="L5765" s="23">
        <f>_xlfn.DAYS(Tabla1[[#This Row],[FECHA FIN ]],Tabla1[[#This Row],[FECHA INICIO]])</f>
        <v>68</v>
      </c>
      <c r="M5765" s="12"/>
      <c r="N5765" s="20">
        <v>0</v>
      </c>
      <c r="O5765" s="24">
        <f>(Tabla1[[#This Row],[COSTO FIJO ]]/30)*Tabla1[[#This Row],[TOTAL DIAS PROYECTO]]+(Tabla1[[#This Row],[COSTO TEMPORAL]])</f>
        <v>0</v>
      </c>
      <c r="P5765" s="12"/>
      <c r="Q5765" s="12">
        <f>+(Tabla1[[#This Row],[COSTO COCHE]]/30)*Tabla1[[#This Row],[TOTAL DIAS PROYECTO]]</f>
        <v>0</v>
      </c>
      <c r="R5765" s="12">
        <f>+Tabla1[[#This Row],[COSTO TOTAL ALOJAMIENTO]]+Tabla1[[#This Row],[COSTO TOTAL COCHE]]</f>
        <v>0</v>
      </c>
      <c r="S5765" s="2"/>
      <c r="T5765" s="2" t="s">
        <v>8</v>
      </c>
      <c r="U5765" s="14">
        <v>46103</v>
      </c>
      <c r="V5765" s="79"/>
      <c r="W5765" s="12"/>
      <c r="X5765" s="2"/>
      <c r="Y5765" s="11" t="s">
        <v>7856</v>
      </c>
      <c r="Z5765" s="2" t="s">
        <v>36</v>
      </c>
      <c r="AA5765" s="13">
        <v>10.50447</v>
      </c>
      <c r="AB5765" s="13">
        <v>43.843690000000002</v>
      </c>
    </row>
    <row r="5766" spans="1:28" ht="15" customHeight="1">
      <c r="A5766" s="2" t="s">
        <v>10297</v>
      </c>
      <c r="B5766" s="2" t="s">
        <v>28</v>
      </c>
      <c r="C5766" s="11" t="s">
        <v>7853</v>
      </c>
      <c r="D5766" s="2" t="s">
        <v>30</v>
      </c>
      <c r="E5766" s="2" t="s">
        <v>359</v>
      </c>
      <c r="F5766" s="11" t="s">
        <v>3347</v>
      </c>
      <c r="G5766" s="46" t="s">
        <v>3348</v>
      </c>
      <c r="H5766" s="2" t="s">
        <v>4338</v>
      </c>
      <c r="I5766" s="12" t="s">
        <v>96</v>
      </c>
      <c r="J5766" s="41">
        <f>+Tabla1[[#This Row],[FECHA ENTRADA]]</f>
        <v>45710</v>
      </c>
      <c r="K5766" s="22">
        <v>45870</v>
      </c>
      <c r="L5766" s="42">
        <f>_xlfn.DAYS(Tabla1[[#This Row],[FECHA FIN ]],Tabla1[[#This Row],[FECHA INICIO]])</f>
        <v>160</v>
      </c>
      <c r="M5766" s="12"/>
      <c r="N5766" s="24"/>
      <c r="O5766" s="28">
        <f>(Tabla1[[#This Row],[COSTO FIJO ]]/30)*Tabla1[[#This Row],[TOTAL DIAS PROYECTO]]+(Tabla1[[#This Row],[COSTO TEMPORAL]])</f>
        <v>0</v>
      </c>
      <c r="P5766" s="12"/>
      <c r="Q5766" s="12">
        <f>+(Tabla1[[#This Row],[COSTO COCHE]]/30)*Tabla1[[#This Row],[TOTAL DIAS PROYECTO]]</f>
        <v>0</v>
      </c>
      <c r="R5766" s="12">
        <f>+Tabla1[[#This Row],[COSTO TOTAL ALOJAMIENTO]]+Tabla1[[#This Row],[COSTO TOTAL COCHE]]</f>
        <v>0</v>
      </c>
      <c r="S5766" s="2" t="s">
        <v>84</v>
      </c>
      <c r="T5766" s="2" t="s">
        <v>44</v>
      </c>
      <c r="U5766" s="14">
        <v>45710</v>
      </c>
      <c r="V5766" s="25">
        <v>45870</v>
      </c>
      <c r="W5766" s="26"/>
      <c r="X5766" s="2"/>
      <c r="Y5766" s="11"/>
      <c r="Z5766" s="2" t="s">
        <v>36</v>
      </c>
      <c r="AA5766" s="13" t="s">
        <v>10367</v>
      </c>
      <c r="AB5766" s="13">
        <v>3899424</v>
      </c>
    </row>
    <row r="5767" spans="1:28" ht="15" customHeight="1">
      <c r="A5767" s="2" t="s">
        <v>10297</v>
      </c>
      <c r="B5767" s="2" t="s">
        <v>28</v>
      </c>
      <c r="C5767" s="31" t="s">
        <v>7853</v>
      </c>
      <c r="D5767" s="2" t="s">
        <v>30</v>
      </c>
      <c r="E5767" s="2" t="s">
        <v>359</v>
      </c>
      <c r="F5767" s="11" t="s">
        <v>494</v>
      </c>
      <c r="G5767" s="49" t="s">
        <v>495</v>
      </c>
      <c r="H5767" s="10" t="s">
        <v>4338</v>
      </c>
      <c r="I5767" s="10" t="s">
        <v>96</v>
      </c>
      <c r="J5767" s="41">
        <f>+Tabla1[[#This Row],[FECHA ENTRADA]]</f>
        <v>45870</v>
      </c>
      <c r="K5767" s="22">
        <v>45879</v>
      </c>
      <c r="L5767" s="42">
        <f>_xlfn.DAYS(Tabla1[[#This Row],[FECHA FIN ]],Tabla1[[#This Row],[FECHA INICIO]])</f>
        <v>9</v>
      </c>
      <c r="M5767" s="12"/>
      <c r="N5767" s="28">
        <v>425</v>
      </c>
      <c r="O5767" s="28">
        <f>(Tabla1[[#This Row],[COSTO FIJO ]]/30)*Tabla1[[#This Row],[TOTAL DIAS PROYECTO]]+(Tabla1[[#This Row],[COSTO TEMPORAL]])</f>
        <v>127.5</v>
      </c>
      <c r="P5767" s="12"/>
      <c r="Q5767" s="12">
        <f>+(Tabla1[[#This Row],[COSTO COCHE]]/30)*Tabla1[[#This Row],[TOTAL DIAS PROYECTO]]</f>
        <v>0</v>
      </c>
      <c r="R5767" s="12">
        <f>+Tabla1[[#This Row],[COSTO TOTAL ALOJAMIENTO]]+Tabla1[[#This Row],[COSTO TOTAL COCHE]]</f>
        <v>127.5</v>
      </c>
      <c r="S5767" s="2"/>
      <c r="T5767" s="14" t="s">
        <v>35</v>
      </c>
      <c r="U5767" s="14">
        <v>45870</v>
      </c>
      <c r="V5767" s="43"/>
      <c r="W5767" s="12"/>
      <c r="X5767" s="2">
        <v>1</v>
      </c>
      <c r="Y5767" s="11"/>
      <c r="Z5767" s="2" t="s">
        <v>36</v>
      </c>
      <c r="AA5767" s="13" t="s">
        <v>10367</v>
      </c>
      <c r="AB5767" s="13">
        <v>3899424</v>
      </c>
    </row>
    <row r="5768" spans="1:28" ht="15" customHeight="1">
      <c r="A5768" s="2" t="s">
        <v>8969</v>
      </c>
      <c r="B5768" s="2" t="s">
        <v>606</v>
      </c>
      <c r="C5768" s="31" t="s">
        <v>1533</v>
      </c>
      <c r="D5768" s="2" t="s">
        <v>99</v>
      </c>
      <c r="E5768" s="2" t="s">
        <v>109</v>
      </c>
      <c r="F5768" s="11" t="s">
        <v>1106</v>
      </c>
      <c r="G5768" s="46"/>
      <c r="H5768" s="2" t="s">
        <v>7126</v>
      </c>
      <c r="I5768" s="12" t="s">
        <v>42</v>
      </c>
      <c r="J5768" s="41">
        <f>+Tabla1[[#This Row],[FECHA ENTRADA]]</f>
        <v>46150</v>
      </c>
      <c r="K5768" s="22">
        <v>46175</v>
      </c>
      <c r="L5768" s="42">
        <f>_xlfn.DAYS(Tabla1[[#This Row],[FECHA FIN ]],Tabla1[[#This Row],[FECHA INICIO]])</f>
        <v>25</v>
      </c>
      <c r="M5768" s="12">
        <v>0</v>
      </c>
      <c r="N5768" s="28"/>
      <c r="O5768" s="28">
        <f>(Tabla1[[#This Row],[COSTO FIJO ]]/30)*Tabla1[[#This Row],[TOTAL DIAS PROYECTO]]+(Tabla1[[#This Row],[COSTO TEMPORAL]])</f>
        <v>0</v>
      </c>
      <c r="P5768" s="12"/>
      <c r="Q5768" s="12">
        <f>+(Tabla1[[#This Row],[COSTO COCHE]]/30)*Tabla1[[#This Row],[TOTAL DIAS PROYECTO]]</f>
        <v>0</v>
      </c>
      <c r="R5768" s="12">
        <f>+Tabla1[[#This Row],[COSTO TOTAL ALOJAMIENTO]]+Tabla1[[#This Row],[COSTO TOTAL COCHE]]</f>
        <v>0</v>
      </c>
      <c r="S5768" s="2"/>
      <c r="T5768" s="2" t="s">
        <v>8</v>
      </c>
      <c r="U5768" s="14">
        <v>46150</v>
      </c>
      <c r="V5768" s="25">
        <v>46174</v>
      </c>
      <c r="W5768" s="12"/>
      <c r="X5768" s="2"/>
      <c r="Y5768" s="11" t="s">
        <v>7857</v>
      </c>
      <c r="Z5768" s="2" t="s">
        <v>36</v>
      </c>
      <c r="AA5768" s="13">
        <v>0.62217999999999996</v>
      </c>
      <c r="AB5768" s="13" t="s">
        <v>10339</v>
      </c>
    </row>
    <row r="5769" spans="1:28" ht="15" customHeight="1">
      <c r="A5769" s="2" t="s">
        <v>9672</v>
      </c>
      <c r="B5769" s="2" t="s">
        <v>28</v>
      </c>
      <c r="C5769" s="169" t="s">
        <v>4170</v>
      </c>
      <c r="D5769" s="2" t="s">
        <v>30</v>
      </c>
      <c r="E5769" s="2" t="s">
        <v>359</v>
      </c>
      <c r="F5769" s="11" t="s">
        <v>494</v>
      </c>
      <c r="G5769" s="46" t="s">
        <v>495</v>
      </c>
      <c r="H5769" s="2" t="s">
        <v>3327</v>
      </c>
      <c r="I5769" s="12" t="s">
        <v>96</v>
      </c>
      <c r="J5769" s="41">
        <f>+Tabla1[[#This Row],[FECHA ENTRADA]]</f>
        <v>45716</v>
      </c>
      <c r="K5769" s="41">
        <v>45792</v>
      </c>
      <c r="L5769" s="42">
        <f>_xlfn.DAYS(Tabla1[[#This Row],[FECHA FIN ]],Tabla1[[#This Row],[FECHA INICIO]])</f>
        <v>76</v>
      </c>
      <c r="M5769" s="12"/>
      <c r="N5769" s="12">
        <v>170</v>
      </c>
      <c r="O5769" s="28">
        <f>(Tabla1[[#This Row],[COSTO FIJO ]]/30)*Tabla1[[#This Row],[TOTAL DIAS PROYECTO]]+(Tabla1[[#This Row],[COSTO TEMPORAL]])</f>
        <v>430.66666666666669</v>
      </c>
      <c r="P5769" s="12"/>
      <c r="Q5769" s="12">
        <f>+(Tabla1[[#This Row],[COSTO COCHE]]/30)*Tabla1[[#This Row],[TOTAL DIAS PROYECTO]]</f>
        <v>0</v>
      </c>
      <c r="R5769" s="12">
        <f>+Tabla1[[#This Row],[COSTO TOTAL ALOJAMIENTO]]+Tabla1[[#This Row],[COSTO TOTAL COCHE]]</f>
        <v>430.66666666666669</v>
      </c>
      <c r="S5769" s="2"/>
      <c r="T5769" s="2" t="s">
        <v>35</v>
      </c>
      <c r="U5769" s="14">
        <v>45716</v>
      </c>
      <c r="V5769" s="43"/>
      <c r="W5769" s="26"/>
      <c r="X5769" s="2">
        <v>1</v>
      </c>
      <c r="Y5769" s="11"/>
      <c r="Z5769" s="2" t="s">
        <v>36</v>
      </c>
      <c r="AA5769" s="13" t="s">
        <v>10367</v>
      </c>
      <c r="AB5769" s="13">
        <v>3899424</v>
      </c>
    </row>
    <row r="5770" spans="1:28" ht="15" customHeight="1">
      <c r="A5770" s="2" t="s">
        <v>9123</v>
      </c>
      <c r="B5770" s="2" t="s">
        <v>606</v>
      </c>
      <c r="C5770" s="322" t="s">
        <v>2094</v>
      </c>
      <c r="D5770" s="2" t="s">
        <v>30</v>
      </c>
      <c r="E5770" s="2" t="s">
        <v>109</v>
      </c>
      <c r="F5770" s="11" t="s">
        <v>3066</v>
      </c>
      <c r="G5770" s="68" t="s">
        <v>3067</v>
      </c>
      <c r="H5770" s="2" t="s">
        <v>2095</v>
      </c>
      <c r="I5770" s="12" t="s">
        <v>1830</v>
      </c>
      <c r="J5770" s="41">
        <f>+Tabla1[[#This Row],[FECHA ENTRADA]]</f>
        <v>45799</v>
      </c>
      <c r="K5770" s="41">
        <f ca="1">TODAY()</f>
        <v>46260</v>
      </c>
      <c r="L5770" s="42">
        <f ca="1">_xlfn.DAYS(Tabla1[[#This Row],[FECHA FIN ]],Tabla1[[#This Row],[FECHA INICIO]])</f>
        <v>461</v>
      </c>
      <c r="M5770" s="12"/>
      <c r="N5770" s="12">
        <v>247.2</v>
      </c>
      <c r="O5770" s="28">
        <f ca="1">(Tabla1[[#This Row],[COSTO FIJO ]]/30)*Tabla1[[#This Row],[TOTAL DIAS PROYECTO]]+(Tabla1[[#This Row],[COSTO TEMPORAL]])</f>
        <v>3798.64</v>
      </c>
      <c r="P5770" s="12"/>
      <c r="Q5770" s="12">
        <f ca="1">+(Tabla1[[#This Row],[COSTO COCHE]]/30)*Tabla1[[#This Row],[TOTAL DIAS PROYECTO]]</f>
        <v>0</v>
      </c>
      <c r="R5770" s="12">
        <f ca="1">+Tabla1[[#This Row],[COSTO TOTAL ALOJAMIENTO]]+Tabla1[[#This Row],[COSTO TOTAL COCHE]]</f>
        <v>3798.64</v>
      </c>
      <c r="S5770" s="2"/>
      <c r="T5770" s="14" t="s">
        <v>35</v>
      </c>
      <c r="U5770" s="14">
        <v>45799</v>
      </c>
      <c r="V5770" s="43"/>
      <c r="W5770" s="12">
        <v>2400</v>
      </c>
      <c r="X5770" s="2">
        <v>4</v>
      </c>
      <c r="Y5770" s="11" t="s">
        <v>7858</v>
      </c>
      <c r="Z5770" s="2" t="s">
        <v>702</v>
      </c>
      <c r="AA5770" s="13">
        <v>0.62217999999999996</v>
      </c>
      <c r="AB5770" s="13" t="s">
        <v>10339</v>
      </c>
    </row>
    <row r="5771" spans="1:28" ht="15" customHeight="1">
      <c r="A5771" s="2" t="s">
        <v>10240</v>
      </c>
      <c r="B5771" s="2" t="s">
        <v>711</v>
      </c>
      <c r="C5771" s="31" t="s">
        <v>7351</v>
      </c>
      <c r="D5771" s="2" t="s">
        <v>30</v>
      </c>
      <c r="E5771" s="2" t="s">
        <v>213</v>
      </c>
      <c r="F5771" s="11" t="s">
        <v>7502</v>
      </c>
      <c r="G5771" s="46" t="s">
        <v>7503</v>
      </c>
      <c r="H5771" s="2" t="s">
        <v>6732</v>
      </c>
      <c r="I5771" s="12" t="s">
        <v>4464</v>
      </c>
      <c r="J5771" s="41">
        <f>+Tabla1[[#This Row],[FECHA ENTRADA]]</f>
        <v>45953</v>
      </c>
      <c r="K5771" s="41">
        <v>45959</v>
      </c>
      <c r="L5771" s="42">
        <f>_xlfn.DAYS(Tabla1[[#This Row],[FECHA FIN ]],Tabla1[[#This Row],[FECHA INICIO]])</f>
        <v>6</v>
      </c>
      <c r="M5771" s="12">
        <f>875.03/4</f>
        <v>218.75749999999999</v>
      </c>
      <c r="N5771" s="28"/>
      <c r="O5771" s="28">
        <f>(Tabla1[[#This Row],[COSTO FIJO ]]/30)*Tabla1[[#This Row],[TOTAL DIAS PROYECTO]]+(Tabla1[[#This Row],[COSTO TEMPORAL]])</f>
        <v>218.75749999999999</v>
      </c>
      <c r="P5771" s="12"/>
      <c r="Q5771" s="12">
        <f>+(Tabla1[[#This Row],[COSTO COCHE]]/30)*Tabla1[[#This Row],[TOTAL DIAS PROYECTO]]</f>
        <v>0</v>
      </c>
      <c r="R5771" s="12">
        <f>+Tabla1[[#This Row],[COSTO TOTAL ALOJAMIENTO]]+Tabla1[[#This Row],[COSTO TOTAL COCHE]]</f>
        <v>218.75749999999999</v>
      </c>
      <c r="S5771" s="2"/>
      <c r="T5771" s="14" t="s">
        <v>44</v>
      </c>
      <c r="U5771" s="14">
        <v>45953</v>
      </c>
      <c r="V5771" s="43">
        <v>45960</v>
      </c>
      <c r="W5771" s="71"/>
      <c r="X5771" s="2"/>
      <c r="Y5771" s="11" t="s">
        <v>7859</v>
      </c>
      <c r="Z5771" s="2" t="s">
        <v>36</v>
      </c>
      <c r="AA5771" s="13" t="s">
        <v>10349</v>
      </c>
      <c r="AB5771" s="13" t="s">
        <v>10350</v>
      </c>
    </row>
    <row r="5772" spans="1:28" ht="15" customHeight="1">
      <c r="A5772" s="2" t="s">
        <v>9976</v>
      </c>
      <c r="B5772" s="2" t="s">
        <v>978</v>
      </c>
      <c r="C5772" s="11" t="s">
        <v>5801</v>
      </c>
      <c r="D5772" s="2" t="s">
        <v>99</v>
      </c>
      <c r="E5772" s="2" t="s">
        <v>109</v>
      </c>
      <c r="F5772" s="11" t="s">
        <v>3066</v>
      </c>
      <c r="G5772" s="68" t="s">
        <v>3067</v>
      </c>
      <c r="H5772" s="2" t="s">
        <v>7860</v>
      </c>
      <c r="I5772" s="12" t="s">
        <v>4681</v>
      </c>
      <c r="J5772" s="41">
        <f>+Tabla1[[#This Row],[FECHA ENTRADA]]</f>
        <v>46239</v>
      </c>
      <c r="K5772" s="22">
        <f ca="1">TODAY()</f>
        <v>46260</v>
      </c>
      <c r="L5772" s="42">
        <f ca="1">_xlfn.DAYS(Tabla1[[#This Row],[FECHA FIN ]],Tabla1[[#This Row],[FECHA INICIO]])</f>
        <v>21</v>
      </c>
      <c r="M5772" s="12"/>
      <c r="N5772" s="12">
        <v>247.2</v>
      </c>
      <c r="O5772" s="28">
        <f ca="1">(Tabla1[[#This Row],[COSTO FIJO ]]/30)*Tabla1[[#This Row],[TOTAL DIAS PROYECTO]]+(Tabla1[[#This Row],[COSTO TEMPORAL]])</f>
        <v>173.04</v>
      </c>
      <c r="P5772" s="12"/>
      <c r="Q5772" s="12">
        <f ca="1">+(Tabla1[[#This Row],[COSTO COCHE]]/30)*Tabla1[[#This Row],[TOTAL DIAS PROYECTO]]</f>
        <v>0</v>
      </c>
      <c r="R5772" s="12">
        <f ca="1">+Tabla1[[#This Row],[COSTO TOTAL ALOJAMIENTO]]+Tabla1[[#This Row],[COSTO TOTAL COCHE]]</f>
        <v>173.04</v>
      </c>
      <c r="S5772" s="2"/>
      <c r="T5772" s="14" t="s">
        <v>35</v>
      </c>
      <c r="U5772" s="14">
        <v>46239</v>
      </c>
      <c r="V5772" s="43"/>
      <c r="W5772" s="12"/>
      <c r="X5772" s="2">
        <v>4</v>
      </c>
      <c r="Y5772" s="11"/>
      <c r="Z5772" s="2" t="s">
        <v>702</v>
      </c>
      <c r="AA5772" s="13">
        <v>0.62217999999999996</v>
      </c>
      <c r="AB5772" s="13" t="s">
        <v>10339</v>
      </c>
    </row>
    <row r="5773" spans="1:28" ht="15" customHeight="1">
      <c r="A5773" s="2" t="s">
        <v>9716</v>
      </c>
      <c r="B5773" s="2" t="s">
        <v>978</v>
      </c>
      <c r="C5773" s="31" t="s">
        <v>4377</v>
      </c>
      <c r="D5773" s="2" t="s">
        <v>30</v>
      </c>
      <c r="E5773" s="2" t="s">
        <v>380</v>
      </c>
      <c r="F5773" s="11" t="s">
        <v>4631</v>
      </c>
      <c r="G5773" s="46" t="s">
        <v>7861</v>
      </c>
      <c r="H5773" s="2" t="s">
        <v>5112</v>
      </c>
      <c r="I5773" s="12" t="s">
        <v>4276</v>
      </c>
      <c r="J5773" s="41">
        <f>+Tabla1[[#This Row],[FECHA ENTRADA]]</f>
        <v>46152</v>
      </c>
      <c r="K5773" s="22">
        <v>46222</v>
      </c>
      <c r="L5773" s="42">
        <f>_xlfn.DAYS(Tabla1[[#This Row],[FECHA FIN ]],Tabla1[[#This Row],[FECHA INICIO]])</f>
        <v>70</v>
      </c>
      <c r="M5773" s="12">
        <v>450</v>
      </c>
      <c r="N5773" s="28"/>
      <c r="O5773" s="28">
        <f>(Tabla1[[#This Row],[COSTO FIJO ]]/30)*Tabla1[[#This Row],[TOTAL DIAS PROYECTO]]+(Tabla1[[#This Row],[COSTO TEMPORAL]])</f>
        <v>450</v>
      </c>
      <c r="P5773" s="12"/>
      <c r="Q5773" s="12">
        <f>+(Tabla1[[#This Row],[COSTO COCHE]]/30)*Tabla1[[#This Row],[TOTAL DIAS PROYECTO]]</f>
        <v>0</v>
      </c>
      <c r="R5773" s="12">
        <f>+Tabla1[[#This Row],[COSTO TOTAL ALOJAMIENTO]]+Tabla1[[#This Row],[COSTO TOTAL COCHE]]</f>
        <v>450</v>
      </c>
      <c r="S5773" s="2"/>
      <c r="T5773" s="14" t="s">
        <v>44</v>
      </c>
      <c r="U5773" s="14">
        <v>46152</v>
      </c>
      <c r="V5773" s="79">
        <v>46200</v>
      </c>
      <c r="W5773" s="12"/>
      <c r="X5773" s="2"/>
      <c r="Y5773" s="11" t="s">
        <v>7862</v>
      </c>
      <c r="Z5773" s="2" t="s">
        <v>36</v>
      </c>
      <c r="AA5773" s="13" t="s">
        <v>10370</v>
      </c>
      <c r="AB5773" s="13" t="s">
        <v>10371</v>
      </c>
    </row>
    <row r="5774" spans="1:28" ht="15" customHeight="1">
      <c r="A5774" s="2" t="s">
        <v>8642</v>
      </c>
      <c r="B5774" s="2" t="s">
        <v>978</v>
      </c>
      <c r="C5774" s="11" t="s">
        <v>7863</v>
      </c>
      <c r="D5774" s="2" t="s">
        <v>99</v>
      </c>
      <c r="E5774" s="2" t="s">
        <v>109</v>
      </c>
      <c r="F5774" s="11" t="s">
        <v>3066</v>
      </c>
      <c r="G5774" s="68" t="s">
        <v>3067</v>
      </c>
      <c r="H5774" s="2" t="s">
        <v>7860</v>
      </c>
      <c r="I5774" s="12" t="s">
        <v>4681</v>
      </c>
      <c r="J5774" s="41">
        <f>+Tabla1[[#This Row],[FECHA ENTRADA]]</f>
        <v>46239</v>
      </c>
      <c r="K5774" s="22">
        <f ca="1">TODAY()</f>
        <v>46260</v>
      </c>
      <c r="L5774" s="42">
        <f ca="1">_xlfn.DAYS(Tabla1[[#This Row],[FECHA FIN ]],Tabla1[[#This Row],[FECHA INICIO]])</f>
        <v>21</v>
      </c>
      <c r="M5774" s="12"/>
      <c r="N5774" s="12">
        <v>247.2</v>
      </c>
      <c r="O5774" s="28">
        <f ca="1">(Tabla1[[#This Row],[COSTO FIJO ]]/30)*Tabla1[[#This Row],[TOTAL DIAS PROYECTO]]+(Tabla1[[#This Row],[COSTO TEMPORAL]])</f>
        <v>173.04</v>
      </c>
      <c r="P5774" s="12"/>
      <c r="Q5774" s="12">
        <f ca="1">+(Tabla1[[#This Row],[COSTO COCHE]]/30)*Tabla1[[#This Row],[TOTAL DIAS PROYECTO]]</f>
        <v>0</v>
      </c>
      <c r="R5774" s="12">
        <f ca="1">+Tabla1[[#This Row],[COSTO TOTAL ALOJAMIENTO]]+Tabla1[[#This Row],[COSTO TOTAL COCHE]]</f>
        <v>173.04</v>
      </c>
      <c r="S5774" s="2"/>
      <c r="T5774" s="14" t="s">
        <v>35</v>
      </c>
      <c r="U5774" s="14">
        <v>46239</v>
      </c>
      <c r="V5774" s="43"/>
      <c r="W5774" s="12"/>
      <c r="X5774" s="2">
        <v>4</v>
      </c>
      <c r="Y5774" s="11"/>
      <c r="Z5774" s="2" t="s">
        <v>702</v>
      </c>
      <c r="AA5774" s="13">
        <v>0.62217999999999996</v>
      </c>
      <c r="AB5774" s="13" t="s">
        <v>10339</v>
      </c>
    </row>
    <row r="5775" spans="1:28" ht="15" customHeight="1">
      <c r="A5775" s="2" t="s">
        <v>8642</v>
      </c>
      <c r="B5775" s="2" t="s">
        <v>978</v>
      </c>
      <c r="C5775" s="11" t="s">
        <v>7864</v>
      </c>
      <c r="D5775" s="2" t="s">
        <v>99</v>
      </c>
      <c r="E5775" s="2" t="s">
        <v>109</v>
      </c>
      <c r="F5775" s="11" t="s">
        <v>3066</v>
      </c>
      <c r="G5775" s="68" t="s">
        <v>3067</v>
      </c>
      <c r="H5775" s="2" t="s">
        <v>7860</v>
      </c>
      <c r="I5775" s="12" t="s">
        <v>4681</v>
      </c>
      <c r="J5775" s="41">
        <f>+Tabla1[[#This Row],[FECHA ENTRADA]]</f>
        <v>46239</v>
      </c>
      <c r="K5775" s="22">
        <f ca="1">TODAY()</f>
        <v>46260</v>
      </c>
      <c r="L5775" s="42">
        <f ca="1">_xlfn.DAYS(Tabla1[[#This Row],[FECHA FIN ]],Tabla1[[#This Row],[FECHA INICIO]])</f>
        <v>21</v>
      </c>
      <c r="M5775" s="12"/>
      <c r="N5775" s="12">
        <v>247.2</v>
      </c>
      <c r="O5775" s="28">
        <f ca="1">(Tabla1[[#This Row],[COSTO FIJO ]]/30)*Tabla1[[#This Row],[TOTAL DIAS PROYECTO]]+(Tabla1[[#This Row],[COSTO TEMPORAL]])</f>
        <v>173.04</v>
      </c>
      <c r="P5775" s="12"/>
      <c r="Q5775" s="12">
        <f ca="1">+(Tabla1[[#This Row],[COSTO COCHE]]/30)*Tabla1[[#This Row],[TOTAL DIAS PROYECTO]]</f>
        <v>0</v>
      </c>
      <c r="R5775" s="12">
        <f ca="1">+Tabla1[[#This Row],[COSTO TOTAL ALOJAMIENTO]]+Tabla1[[#This Row],[COSTO TOTAL COCHE]]</f>
        <v>173.04</v>
      </c>
      <c r="S5775" s="2"/>
      <c r="T5775" s="14" t="s">
        <v>35</v>
      </c>
      <c r="U5775" s="14">
        <v>46239</v>
      </c>
      <c r="V5775" s="43"/>
      <c r="W5775" s="12"/>
      <c r="X5775" s="2">
        <v>4</v>
      </c>
      <c r="Y5775" s="11"/>
      <c r="Z5775" s="2" t="s">
        <v>702</v>
      </c>
      <c r="AA5775" s="13">
        <v>0.62217999999999996</v>
      </c>
      <c r="AB5775" s="13" t="s">
        <v>10339</v>
      </c>
    </row>
    <row r="5776" spans="1:28" ht="15" customHeight="1">
      <c r="A5776" s="2" t="s">
        <v>10142</v>
      </c>
      <c r="B5776" s="2" t="s">
        <v>978</v>
      </c>
      <c r="C5776" t="s">
        <v>6613</v>
      </c>
      <c r="D5776" s="2" t="s">
        <v>99</v>
      </c>
      <c r="E5776" s="2" t="s">
        <v>109</v>
      </c>
      <c r="F5776" s="11" t="s">
        <v>3066</v>
      </c>
      <c r="G5776" s="68" t="s">
        <v>3067</v>
      </c>
      <c r="H5776" s="2" t="s">
        <v>7860</v>
      </c>
      <c r="I5776" s="12" t="s">
        <v>4681</v>
      </c>
      <c r="J5776" s="41">
        <f>+Tabla1[[#This Row],[FECHA ENTRADA]]</f>
        <v>46239</v>
      </c>
      <c r="K5776" s="22">
        <f ca="1">TODAY()</f>
        <v>46260</v>
      </c>
      <c r="L5776" s="42">
        <f ca="1">_xlfn.DAYS(Tabla1[[#This Row],[FECHA FIN ]],Tabla1[[#This Row],[FECHA INICIO]])</f>
        <v>21</v>
      </c>
      <c r="M5776" s="12"/>
      <c r="N5776" s="12">
        <v>247.2</v>
      </c>
      <c r="O5776" s="28">
        <f ca="1">(Tabla1[[#This Row],[COSTO FIJO ]]/30)*Tabla1[[#This Row],[TOTAL DIAS PROYECTO]]+(Tabla1[[#This Row],[COSTO TEMPORAL]])</f>
        <v>173.04</v>
      </c>
      <c r="P5776" s="12"/>
      <c r="Q5776" s="12">
        <f ca="1">+(Tabla1[[#This Row],[COSTO COCHE]]/30)*Tabla1[[#This Row],[TOTAL DIAS PROYECTO]]</f>
        <v>0</v>
      </c>
      <c r="R5776" s="12">
        <f ca="1">+Tabla1[[#This Row],[COSTO TOTAL ALOJAMIENTO]]+Tabla1[[#This Row],[COSTO TOTAL COCHE]]</f>
        <v>173.04</v>
      </c>
      <c r="S5776" s="2"/>
      <c r="T5776" s="14" t="s">
        <v>35</v>
      </c>
      <c r="U5776" s="14">
        <v>46239</v>
      </c>
      <c r="V5776" s="43"/>
      <c r="W5776" s="12"/>
      <c r="X5776" s="2">
        <v>4</v>
      </c>
      <c r="Y5776" s="11"/>
      <c r="Z5776" s="2" t="s">
        <v>702</v>
      </c>
      <c r="AA5776" s="13">
        <v>0.62217999999999996</v>
      </c>
      <c r="AB5776" s="13" t="s">
        <v>10339</v>
      </c>
    </row>
    <row r="5777" spans="1:28" ht="15" customHeight="1">
      <c r="A5777" s="2" t="s">
        <v>9862</v>
      </c>
      <c r="B5777" s="2" t="s">
        <v>711</v>
      </c>
      <c r="C5777" s="11" t="s">
        <v>5097</v>
      </c>
      <c r="D5777" s="2" t="s">
        <v>749</v>
      </c>
      <c r="E5777" s="2" t="s">
        <v>4598</v>
      </c>
      <c r="F5777" s="11" t="s">
        <v>4873</v>
      </c>
      <c r="G5777" s="21" t="s">
        <v>4752</v>
      </c>
      <c r="H5777" s="2" t="s">
        <v>7843</v>
      </c>
      <c r="I5777" s="12" t="s">
        <v>2862</v>
      </c>
      <c r="J5777" s="41">
        <f>+Tabla1[[#This Row],[FECHA ENTRADA]]</f>
        <v>46116</v>
      </c>
      <c r="K5777" s="22">
        <v>46118</v>
      </c>
      <c r="L5777" s="42">
        <f>_xlfn.DAYS(Tabla1[[#This Row],[FECHA FIN ]],Tabla1[[#This Row],[FECHA INICIO]])</f>
        <v>2</v>
      </c>
      <c r="M5777" s="12"/>
      <c r="N5777" s="28"/>
      <c r="O5777" s="28">
        <f>(Tabla1[[#This Row],[COSTO FIJO ]]/30)*Tabla1[[#This Row],[TOTAL DIAS PROYECTO]]+(Tabla1[[#This Row],[COSTO TEMPORAL]])</f>
        <v>0</v>
      </c>
      <c r="P5777" s="12"/>
      <c r="Q5777" s="12">
        <f>+(Tabla1[[#This Row],[COSTO COCHE]]/30)*Tabla1[[#This Row],[TOTAL DIAS PROYECTO]]</f>
        <v>0</v>
      </c>
      <c r="R5777" s="12">
        <f>+Tabla1[[#This Row],[COSTO TOTAL ALOJAMIENTO]]+Tabla1[[#This Row],[COSTO TOTAL COCHE]]</f>
        <v>0</v>
      </c>
      <c r="S5777" s="2"/>
      <c r="T5777" s="14" t="s">
        <v>35</v>
      </c>
      <c r="U5777" s="14">
        <v>46116</v>
      </c>
      <c r="V5777" s="43"/>
      <c r="W5777" s="12"/>
      <c r="X5777" s="2"/>
      <c r="Y5777" s="11"/>
      <c r="Z5777" s="2" t="s">
        <v>36</v>
      </c>
      <c r="AA5777" s="13">
        <v>10.50447</v>
      </c>
      <c r="AB5777" s="13">
        <v>43.843690000000002</v>
      </c>
    </row>
    <row r="5778" spans="1:28" ht="15" customHeight="1">
      <c r="A5778" s="2" t="s">
        <v>10298</v>
      </c>
      <c r="B5778" s="2" t="s">
        <v>978</v>
      </c>
      <c r="C5778" s="31" t="s">
        <v>7865</v>
      </c>
      <c r="D5778" s="2" t="s">
        <v>30</v>
      </c>
      <c r="E5778" s="2" t="s">
        <v>380</v>
      </c>
      <c r="F5778" s="11" t="s">
        <v>4631</v>
      </c>
      <c r="G5778" s="46" t="s">
        <v>7861</v>
      </c>
      <c r="H5778" s="2" t="s">
        <v>5112</v>
      </c>
      <c r="I5778" s="12" t="s">
        <v>4276</v>
      </c>
      <c r="J5778" s="41">
        <f>+Tabla1[[#This Row],[FECHA ENTRADA]]</f>
        <v>46152</v>
      </c>
      <c r="K5778" s="22">
        <v>46222</v>
      </c>
      <c r="L5778" s="42">
        <f>_xlfn.DAYS(Tabla1[[#This Row],[FECHA FIN ]],Tabla1[[#This Row],[FECHA INICIO]])</f>
        <v>70</v>
      </c>
      <c r="M5778" s="12">
        <v>450</v>
      </c>
      <c r="N5778" s="28"/>
      <c r="O5778" s="28">
        <f>(Tabla1[[#This Row],[COSTO FIJO ]]/30)*Tabla1[[#This Row],[TOTAL DIAS PROYECTO]]+(Tabla1[[#This Row],[COSTO TEMPORAL]])</f>
        <v>450</v>
      </c>
      <c r="P5778" s="12"/>
      <c r="Q5778" s="12">
        <f>+(Tabla1[[#This Row],[COSTO COCHE]]/30)*Tabla1[[#This Row],[TOTAL DIAS PROYECTO]]</f>
        <v>0</v>
      </c>
      <c r="R5778" s="12">
        <f>+Tabla1[[#This Row],[COSTO TOTAL ALOJAMIENTO]]+Tabla1[[#This Row],[COSTO TOTAL COCHE]]</f>
        <v>450</v>
      </c>
      <c r="S5778" s="2"/>
      <c r="T5778" s="14" t="s">
        <v>44</v>
      </c>
      <c r="U5778" s="14">
        <v>46152</v>
      </c>
      <c r="V5778" s="79">
        <v>46200</v>
      </c>
      <c r="W5778" s="12"/>
      <c r="X5778" s="2"/>
      <c r="Y5778" s="11" t="s">
        <v>7862</v>
      </c>
      <c r="Z5778" s="2" t="s">
        <v>36</v>
      </c>
      <c r="AA5778" s="13" t="s">
        <v>10370</v>
      </c>
      <c r="AB5778" s="13" t="s">
        <v>10371</v>
      </c>
    </row>
    <row r="5779" spans="1:28" ht="15" customHeight="1">
      <c r="A5779" s="2" t="s">
        <v>10123</v>
      </c>
      <c r="B5779" s="2" t="s">
        <v>606</v>
      </c>
      <c r="C5779" s="11" t="s">
        <v>6518</v>
      </c>
      <c r="D5779" s="2" t="s">
        <v>30</v>
      </c>
      <c r="E5779" s="2" t="s">
        <v>259</v>
      </c>
      <c r="F5779" s="11" t="s">
        <v>7836</v>
      </c>
      <c r="G5779" s="46" t="s">
        <v>7837</v>
      </c>
      <c r="H5779" s="2" t="s">
        <v>7664</v>
      </c>
      <c r="I5779" s="12" t="s">
        <v>7665</v>
      </c>
      <c r="J5779" s="41">
        <f>+Tabla1[[#This Row],[FECHA ENTRADA]]</f>
        <v>46188</v>
      </c>
      <c r="K5779" s="41">
        <v>46242</v>
      </c>
      <c r="L5779" s="42">
        <f>_xlfn.DAYS(Tabla1[[#This Row],[FECHA FIN ]],Tabla1[[#This Row],[FECHA INICIO]])</f>
        <v>54</v>
      </c>
      <c r="M5779" s="12"/>
      <c r="N5779" s="28">
        <v>465</v>
      </c>
      <c r="O5779" s="28">
        <f>(Tabla1[[#This Row],[COSTO FIJO ]]/30)*Tabla1[[#This Row],[TOTAL DIAS PROYECTO]]+(Tabla1[[#This Row],[COSTO TEMPORAL]])</f>
        <v>837</v>
      </c>
      <c r="P5779" s="12"/>
      <c r="Q5779" s="12">
        <f>+(Tabla1[[#This Row],[COSTO COCHE]]/30)*Tabla1[[#This Row],[TOTAL DIAS PROYECTO]]</f>
        <v>0</v>
      </c>
      <c r="R5779" s="12">
        <f>+Tabla1[[#This Row],[COSTO TOTAL ALOJAMIENTO]]+Tabla1[[#This Row],[COSTO TOTAL COCHE]]</f>
        <v>837</v>
      </c>
      <c r="S5779" s="2"/>
      <c r="T5779" s="14" t="s">
        <v>35</v>
      </c>
      <c r="U5779" s="14">
        <v>46188</v>
      </c>
      <c r="V5779" s="43"/>
      <c r="W5779" s="12"/>
      <c r="X5779" s="2">
        <v>13</v>
      </c>
      <c r="Y5779" s="11"/>
      <c r="Z5779" s="2" t="s">
        <v>36</v>
      </c>
      <c r="AA5779" s="13">
        <v>-0.87734000000000001</v>
      </c>
      <c r="AB5779" s="13" t="s">
        <v>10359</v>
      </c>
    </row>
    <row r="5780" spans="1:28" ht="15" customHeight="1">
      <c r="A5780" s="2" t="s">
        <v>8642</v>
      </c>
      <c r="B5780" s="2" t="s">
        <v>711</v>
      </c>
      <c r="C5780" s="11" t="s">
        <v>7866</v>
      </c>
      <c r="D5780" s="2" t="s">
        <v>749</v>
      </c>
      <c r="E5780" s="2" t="s">
        <v>4598</v>
      </c>
      <c r="F5780" s="11" t="s">
        <v>4873</v>
      </c>
      <c r="G5780" s="21" t="s">
        <v>4752</v>
      </c>
      <c r="H5780" s="2" t="s">
        <v>7843</v>
      </c>
      <c r="I5780" s="12" t="s">
        <v>2862</v>
      </c>
      <c r="J5780" s="41">
        <f>+Tabla1[[#This Row],[FECHA ENTRADA]]</f>
        <v>46116</v>
      </c>
      <c r="K5780" s="22">
        <v>46118</v>
      </c>
      <c r="L5780" s="42">
        <f>_xlfn.DAYS(Tabla1[[#This Row],[FECHA FIN ]],Tabla1[[#This Row],[FECHA INICIO]])</f>
        <v>2</v>
      </c>
      <c r="M5780" s="12"/>
      <c r="N5780" s="28"/>
      <c r="O5780" s="28">
        <f>(Tabla1[[#This Row],[COSTO FIJO ]]/30)*Tabla1[[#This Row],[TOTAL DIAS PROYECTO]]+(Tabla1[[#This Row],[COSTO TEMPORAL]])</f>
        <v>0</v>
      </c>
      <c r="P5780" s="12"/>
      <c r="Q5780" s="12">
        <f>+(Tabla1[[#This Row],[COSTO COCHE]]/30)*Tabla1[[#This Row],[TOTAL DIAS PROYECTO]]</f>
        <v>0</v>
      </c>
      <c r="R5780" s="12">
        <f>+Tabla1[[#This Row],[COSTO TOTAL ALOJAMIENTO]]+Tabla1[[#This Row],[COSTO TOTAL COCHE]]</f>
        <v>0</v>
      </c>
      <c r="S5780" s="2"/>
      <c r="T5780" s="14" t="s">
        <v>35</v>
      </c>
      <c r="U5780" s="14">
        <v>46116</v>
      </c>
      <c r="V5780" s="43"/>
      <c r="W5780" s="12"/>
      <c r="X5780" s="2"/>
      <c r="Y5780" s="11"/>
      <c r="Z5780" s="2" t="s">
        <v>36</v>
      </c>
      <c r="AA5780" s="13">
        <v>10.50447</v>
      </c>
      <c r="AB5780" s="13">
        <v>43.843690000000002</v>
      </c>
    </row>
    <row r="5781" spans="1:28" ht="15" customHeight="1">
      <c r="A5781" s="2" t="s">
        <v>8642</v>
      </c>
      <c r="B5781" s="2" t="s">
        <v>606</v>
      </c>
      <c r="C5781" s="11" t="s">
        <v>7834</v>
      </c>
      <c r="D5781" s="2" t="s">
        <v>30</v>
      </c>
      <c r="E5781" s="2" t="s">
        <v>259</v>
      </c>
      <c r="F5781" s="11" t="s">
        <v>7836</v>
      </c>
      <c r="G5781" s="46" t="s">
        <v>7837</v>
      </c>
      <c r="H5781" s="2" t="s">
        <v>7664</v>
      </c>
      <c r="I5781" s="12" t="s">
        <v>7665</v>
      </c>
      <c r="J5781" s="41">
        <f>+Tabla1[[#This Row],[FECHA ENTRADA]]</f>
        <v>46188</v>
      </c>
      <c r="K5781" s="41">
        <v>46242</v>
      </c>
      <c r="L5781" s="42">
        <f>_xlfn.DAYS(Tabla1[[#This Row],[FECHA FIN ]],Tabla1[[#This Row],[FECHA INICIO]])</f>
        <v>54</v>
      </c>
      <c r="M5781" s="12"/>
      <c r="N5781" s="28">
        <v>360</v>
      </c>
      <c r="O5781" s="28">
        <f>(Tabla1[[#This Row],[COSTO FIJO ]]/30)*Tabla1[[#This Row],[TOTAL DIAS PROYECTO]]+(Tabla1[[#This Row],[COSTO TEMPORAL]])</f>
        <v>648</v>
      </c>
      <c r="P5781" s="12"/>
      <c r="Q5781" s="12">
        <f>+(Tabla1[[#This Row],[COSTO COCHE]]/30)*Tabla1[[#This Row],[TOTAL DIAS PROYECTO]]</f>
        <v>0</v>
      </c>
      <c r="R5781" s="12">
        <f>+Tabla1[[#This Row],[COSTO TOTAL ALOJAMIENTO]]+Tabla1[[#This Row],[COSTO TOTAL COCHE]]</f>
        <v>648</v>
      </c>
      <c r="S5781" s="2"/>
      <c r="T5781" s="14" t="s">
        <v>35</v>
      </c>
      <c r="U5781" s="14">
        <v>46188</v>
      </c>
      <c r="V5781" s="43"/>
      <c r="W5781" s="12"/>
      <c r="X5781" s="2">
        <v>13</v>
      </c>
      <c r="Y5781" s="11"/>
      <c r="Z5781" s="2" t="s">
        <v>36</v>
      </c>
      <c r="AA5781" s="13">
        <v>-0.87734000000000001</v>
      </c>
      <c r="AB5781" s="13" t="s">
        <v>10359</v>
      </c>
    </row>
    <row r="5782" spans="1:28" ht="15" customHeight="1">
      <c r="A5782" s="2" t="s">
        <v>8642</v>
      </c>
      <c r="B5782" s="2" t="s">
        <v>606</v>
      </c>
      <c r="C5782" s="31" t="s">
        <v>3701</v>
      </c>
      <c r="D5782" s="2" t="s">
        <v>30</v>
      </c>
      <c r="E5782" s="2" t="s">
        <v>259</v>
      </c>
      <c r="F5782" s="11" t="s">
        <v>7836</v>
      </c>
      <c r="G5782" s="46" t="s">
        <v>7837</v>
      </c>
      <c r="H5782" s="2" t="s">
        <v>7664</v>
      </c>
      <c r="I5782" s="12" t="s">
        <v>7665</v>
      </c>
      <c r="J5782" s="41">
        <f>+Tabla1[[#This Row],[FECHA ENTRADA]]</f>
        <v>46188</v>
      </c>
      <c r="K5782" s="41">
        <v>46231</v>
      </c>
      <c r="L5782" s="42">
        <f>_xlfn.DAYS(Tabla1[[#This Row],[FECHA FIN ]],Tabla1[[#This Row],[FECHA INICIO]])</f>
        <v>43</v>
      </c>
      <c r="M5782" s="12"/>
      <c r="N5782" s="28">
        <v>360</v>
      </c>
      <c r="O5782" s="28">
        <f>(Tabla1[[#This Row],[COSTO FIJO ]]/30)*Tabla1[[#This Row],[TOTAL DIAS PROYECTO]]+(Tabla1[[#This Row],[COSTO TEMPORAL]])</f>
        <v>516</v>
      </c>
      <c r="P5782" s="12"/>
      <c r="Q5782" s="12">
        <f>+(Tabla1[[#This Row],[COSTO COCHE]]/30)*Tabla1[[#This Row],[TOTAL DIAS PROYECTO]]</f>
        <v>0</v>
      </c>
      <c r="R5782" s="12">
        <f>+Tabla1[[#This Row],[COSTO TOTAL ALOJAMIENTO]]+Tabla1[[#This Row],[COSTO TOTAL COCHE]]</f>
        <v>516</v>
      </c>
      <c r="S5782" s="2"/>
      <c r="T5782" s="14" t="s">
        <v>35</v>
      </c>
      <c r="U5782" s="14">
        <v>46188</v>
      </c>
      <c r="V5782" s="43"/>
      <c r="W5782" s="12"/>
      <c r="X5782" s="2">
        <v>13</v>
      </c>
      <c r="Y5782" s="11" t="s">
        <v>7867</v>
      </c>
      <c r="Z5782" s="2" t="s">
        <v>36</v>
      </c>
      <c r="AA5782" s="13">
        <v>-0.87734000000000001</v>
      </c>
      <c r="AB5782" s="13" t="s">
        <v>10359</v>
      </c>
    </row>
    <row r="5783" spans="1:28" ht="15" customHeight="1">
      <c r="A5783" s="2" t="s">
        <v>8642</v>
      </c>
      <c r="B5783" s="2" t="s">
        <v>606</v>
      </c>
      <c r="C5783" s="11" t="s">
        <v>7663</v>
      </c>
      <c r="D5783" s="2" t="s">
        <v>30</v>
      </c>
      <c r="E5783" s="2" t="s">
        <v>259</v>
      </c>
      <c r="F5783" s="11" t="s">
        <v>7836</v>
      </c>
      <c r="G5783" s="46" t="s">
        <v>7837</v>
      </c>
      <c r="H5783" s="2" t="s">
        <v>7664</v>
      </c>
      <c r="I5783" s="12" t="s">
        <v>7665</v>
      </c>
      <c r="J5783" s="41">
        <f>+Tabla1[[#This Row],[FECHA ENTRADA]]</f>
        <v>46188</v>
      </c>
      <c r="K5783" s="41">
        <v>46242</v>
      </c>
      <c r="L5783" s="42">
        <f>_xlfn.DAYS(Tabla1[[#This Row],[FECHA FIN ]],Tabla1[[#This Row],[FECHA INICIO]])</f>
        <v>54</v>
      </c>
      <c r="M5783" s="12"/>
      <c r="N5783" s="28">
        <v>360</v>
      </c>
      <c r="O5783" s="28">
        <f>(Tabla1[[#This Row],[COSTO FIJO ]]/30)*Tabla1[[#This Row],[TOTAL DIAS PROYECTO]]+(Tabla1[[#This Row],[COSTO TEMPORAL]])</f>
        <v>648</v>
      </c>
      <c r="P5783" s="12"/>
      <c r="Q5783" s="12">
        <f>+(Tabla1[[#This Row],[COSTO COCHE]]/30)*Tabla1[[#This Row],[TOTAL DIAS PROYECTO]]</f>
        <v>0</v>
      </c>
      <c r="R5783" s="12">
        <f>+Tabla1[[#This Row],[COSTO TOTAL ALOJAMIENTO]]+Tabla1[[#This Row],[COSTO TOTAL COCHE]]</f>
        <v>648</v>
      </c>
      <c r="S5783" s="2"/>
      <c r="T5783" s="14" t="s">
        <v>35</v>
      </c>
      <c r="U5783" s="14">
        <v>46188</v>
      </c>
      <c r="V5783" s="43"/>
      <c r="W5783" s="12"/>
      <c r="X5783" s="2">
        <v>13</v>
      </c>
      <c r="Y5783" s="11"/>
      <c r="Z5783" s="2" t="s">
        <v>36</v>
      </c>
      <c r="AA5783" s="13">
        <v>-0.87734000000000001</v>
      </c>
      <c r="AB5783" s="13" t="s">
        <v>10359</v>
      </c>
    </row>
    <row r="5784" spans="1:28" ht="15" customHeight="1">
      <c r="A5784" s="2" t="s">
        <v>8642</v>
      </c>
      <c r="B5784" s="2" t="s">
        <v>606</v>
      </c>
      <c r="C5784" s="31" t="s">
        <v>7868</v>
      </c>
      <c r="D5784" s="2" t="s">
        <v>30</v>
      </c>
      <c r="E5784" s="2" t="s">
        <v>380</v>
      </c>
      <c r="F5784" s="31" t="s">
        <v>6222</v>
      </c>
      <c r="G5784" s="21" t="s">
        <v>6223</v>
      </c>
      <c r="H5784" s="2" t="s">
        <v>7869</v>
      </c>
      <c r="I5784" s="12" t="s">
        <v>5328</v>
      </c>
      <c r="J5784" s="22">
        <f>+Tabla1[[#This Row],[FECHA ENTRADA]]</f>
        <v>46189</v>
      </c>
      <c r="K5784" s="22">
        <v>46236</v>
      </c>
      <c r="L5784" s="23">
        <f>_xlfn.DAYS(Tabla1[[#This Row],[FECHA FIN ]],Tabla1[[#This Row],[FECHA INICIO]])</f>
        <v>47</v>
      </c>
      <c r="M5784" s="12"/>
      <c r="N5784" s="24">
        <v>500</v>
      </c>
      <c r="O5784" s="24">
        <f>(Tabla1[[#This Row],[COSTO FIJO ]]/30)*Tabla1[[#This Row],[TOTAL DIAS PROYECTO]]+(Tabla1[[#This Row],[COSTO TEMPORAL]])</f>
        <v>783.33333333333337</v>
      </c>
      <c r="P5784" s="12"/>
      <c r="Q5784" s="12">
        <f>+(Tabla1[[#This Row],[COSTO COCHE]]/30)*Tabla1[[#This Row],[TOTAL DIAS PROYECTO]]</f>
        <v>0</v>
      </c>
      <c r="R5784" s="12">
        <f>+Tabla1[[#This Row],[COSTO TOTAL ALOJAMIENTO]]+Tabla1[[#This Row],[COSTO TOTAL COCHE]]</f>
        <v>783.33333333333337</v>
      </c>
      <c r="S5784" s="2"/>
      <c r="T5784" s="14" t="s">
        <v>35</v>
      </c>
      <c r="U5784" s="14">
        <v>46189</v>
      </c>
      <c r="V5784" s="25"/>
      <c r="W5784" s="12">
        <v>500</v>
      </c>
      <c r="X5784" s="2">
        <v>13</v>
      </c>
      <c r="Y5784" s="11" t="s">
        <v>7870</v>
      </c>
      <c r="Z5784" s="2" t="s">
        <v>36</v>
      </c>
      <c r="AA5784" s="13" t="s">
        <v>10370</v>
      </c>
      <c r="AB5784" s="13" t="s">
        <v>10371</v>
      </c>
    </row>
    <row r="5785" spans="1:28" ht="15" customHeight="1">
      <c r="A5785" s="2" t="s">
        <v>9036</v>
      </c>
      <c r="B5785" s="2" t="s">
        <v>711</v>
      </c>
      <c r="C5785" s="11" t="s">
        <v>1765</v>
      </c>
      <c r="D5785" s="2" t="s">
        <v>30</v>
      </c>
      <c r="E5785" s="2" t="s">
        <v>114</v>
      </c>
      <c r="F5785" s="133" t="s">
        <v>7676</v>
      </c>
      <c r="G5785" s="46" t="s">
        <v>7677</v>
      </c>
      <c r="H5785" s="2" t="s">
        <v>6775</v>
      </c>
      <c r="I5785" s="12" t="s">
        <v>118</v>
      </c>
      <c r="J5785" s="22">
        <f>+Tabla1[[#This Row],[FECHA ENTRADA]]</f>
        <v>46074</v>
      </c>
      <c r="K5785" s="22">
        <v>46214</v>
      </c>
      <c r="L5785" s="23">
        <f>_xlfn.DAYS(Tabla1[[#This Row],[FECHA FIN ]],Tabla1[[#This Row],[FECHA INICIO]])</f>
        <v>140</v>
      </c>
      <c r="M5785" s="12"/>
      <c r="N5785" s="20">
        <v>483.33333333333331</v>
      </c>
      <c r="O5785" s="24">
        <f>(Tabla1[[#This Row],[COSTO FIJO ]]/30)*Tabla1[[#This Row],[TOTAL DIAS PROYECTO]]+(Tabla1[[#This Row],[COSTO TEMPORAL]])</f>
        <v>2255.5555555555557</v>
      </c>
      <c r="P5785" s="12"/>
      <c r="Q5785" s="12">
        <f>+(Tabla1[[#This Row],[COSTO COCHE]]/30)*Tabla1[[#This Row],[TOTAL DIAS PROYECTO]]</f>
        <v>0</v>
      </c>
      <c r="R5785" s="12">
        <f>+Tabla1[[#This Row],[COSTO TOTAL ALOJAMIENTO]]+Tabla1[[#This Row],[COSTO TOTAL COCHE]]</f>
        <v>2255.5555555555557</v>
      </c>
      <c r="S5785" s="2"/>
      <c r="T5785" s="14" t="s">
        <v>35</v>
      </c>
      <c r="U5785" s="14">
        <v>46074</v>
      </c>
      <c r="V5785" s="79"/>
      <c r="W5785" s="12"/>
      <c r="X5785" s="2">
        <v>19</v>
      </c>
      <c r="Y5785" s="11" t="s">
        <v>7871</v>
      </c>
      <c r="Z5785" s="2" t="s">
        <v>36</v>
      </c>
      <c r="AA5785" s="13" t="s">
        <v>10340</v>
      </c>
      <c r="AB5785" s="13" t="s">
        <v>10341</v>
      </c>
    </row>
    <row r="5786" spans="1:28" ht="15" customHeight="1">
      <c r="A5786" s="2" t="s">
        <v>9049</v>
      </c>
      <c r="B5786" s="2" t="s">
        <v>711</v>
      </c>
      <c r="C5786" s="11" t="s">
        <v>1808</v>
      </c>
      <c r="D5786" s="2" t="s">
        <v>30</v>
      </c>
      <c r="E5786" s="2" t="s">
        <v>114</v>
      </c>
      <c r="F5786" s="133" t="s">
        <v>7676</v>
      </c>
      <c r="G5786" s="46" t="s">
        <v>7677</v>
      </c>
      <c r="H5786" s="2" t="s">
        <v>6775</v>
      </c>
      <c r="I5786" s="12" t="s">
        <v>118</v>
      </c>
      <c r="J5786" s="22">
        <f>+Tabla1[[#This Row],[FECHA ENTRADA]]</f>
        <v>46074</v>
      </c>
      <c r="K5786" s="22">
        <v>46214</v>
      </c>
      <c r="L5786" s="23">
        <f>_xlfn.DAYS(Tabla1[[#This Row],[FECHA FIN ]],Tabla1[[#This Row],[FECHA INICIO]])</f>
        <v>140</v>
      </c>
      <c r="M5786" s="12"/>
      <c r="N5786" s="20">
        <v>483.33333333333331</v>
      </c>
      <c r="O5786" s="24">
        <f>(Tabla1[[#This Row],[COSTO FIJO ]]/30)*Tabla1[[#This Row],[TOTAL DIAS PROYECTO]]+(Tabla1[[#This Row],[COSTO TEMPORAL]])</f>
        <v>2255.5555555555557</v>
      </c>
      <c r="P5786" s="12"/>
      <c r="Q5786" s="12">
        <f>+(Tabla1[[#This Row],[COSTO COCHE]]/30)*Tabla1[[#This Row],[TOTAL DIAS PROYECTO]]</f>
        <v>0</v>
      </c>
      <c r="R5786" s="12">
        <f>+Tabla1[[#This Row],[COSTO TOTAL ALOJAMIENTO]]+Tabla1[[#This Row],[COSTO TOTAL COCHE]]</f>
        <v>2255.5555555555557</v>
      </c>
      <c r="S5786" s="2"/>
      <c r="T5786" s="14" t="s">
        <v>35</v>
      </c>
      <c r="U5786" s="14">
        <v>46074</v>
      </c>
      <c r="V5786" s="79"/>
      <c r="W5786" s="12"/>
      <c r="X5786" s="2">
        <v>19</v>
      </c>
      <c r="Y5786" s="11" t="s">
        <v>7872</v>
      </c>
      <c r="Z5786" s="2" t="s">
        <v>36</v>
      </c>
      <c r="AA5786" s="13" t="s">
        <v>10340</v>
      </c>
      <c r="AB5786" s="13" t="s">
        <v>10341</v>
      </c>
    </row>
    <row r="5787" spans="1:28" ht="15" customHeight="1">
      <c r="A5787" s="2" t="s">
        <v>10094</v>
      </c>
      <c r="B5787" s="2" t="s">
        <v>606</v>
      </c>
      <c r="C5787" s="11" t="s">
        <v>6330</v>
      </c>
      <c r="D5787" s="2" t="s">
        <v>30</v>
      </c>
      <c r="E5787" s="2" t="s">
        <v>855</v>
      </c>
      <c r="F5787" s="11" t="s">
        <v>6925</v>
      </c>
      <c r="G5787" s="49" t="s">
        <v>6926</v>
      </c>
      <c r="H5787" s="2" t="s">
        <v>6686</v>
      </c>
      <c r="I5787" s="12" t="s">
        <v>3274</v>
      </c>
      <c r="J5787" s="22">
        <f>+Tabla1[[#This Row],[FECHA ENTRADA]]</f>
        <v>46187</v>
      </c>
      <c r="K5787" s="22">
        <f ca="1">TODAY()</f>
        <v>46260</v>
      </c>
      <c r="L5787" s="23">
        <f ca="1">_xlfn.DAYS(Tabla1[[#This Row],[FECHA FIN ]],Tabla1[[#This Row],[FECHA INICIO]])</f>
        <v>73</v>
      </c>
      <c r="M5787" s="12">
        <f>1704.92/4</f>
        <v>426.23</v>
      </c>
      <c r="N5787" s="24"/>
      <c r="O5787" s="24">
        <f ca="1">(Tabla1[[#This Row],[COSTO FIJO ]]/30)*Tabla1[[#This Row],[TOTAL DIAS PROYECTO]]+(Tabla1[[#This Row],[COSTO TEMPORAL]])</f>
        <v>426.23</v>
      </c>
      <c r="P5787" s="12"/>
      <c r="Q5787" s="12">
        <f ca="1">+(Tabla1[[#This Row],[COSTO COCHE]]/30)*Tabla1[[#This Row],[TOTAL DIAS PROYECTO]]</f>
        <v>0</v>
      </c>
      <c r="R5787" s="12">
        <f ca="1">+Tabla1[[#This Row],[COSTO TOTAL ALOJAMIENTO]]+Tabla1[[#This Row],[COSTO TOTAL COCHE]]</f>
        <v>426.23</v>
      </c>
      <c r="S5787" s="2" t="s">
        <v>84</v>
      </c>
      <c r="T5787" s="14" t="s">
        <v>44</v>
      </c>
      <c r="U5787" s="14">
        <v>46187</v>
      </c>
      <c r="V5787" s="25">
        <v>46204</v>
      </c>
      <c r="W5787" s="12"/>
      <c r="X5787" s="2"/>
      <c r="Y5787" s="11" t="s">
        <v>6927</v>
      </c>
      <c r="Z5787" s="2" t="s">
        <v>36</v>
      </c>
      <c r="AA5787" s="13" t="s">
        <v>10401</v>
      </c>
      <c r="AB5787" s="13" t="s">
        <v>10402</v>
      </c>
    </row>
    <row r="5788" spans="1:28" ht="15" customHeight="1">
      <c r="A5788" s="2" t="s">
        <v>8642</v>
      </c>
      <c r="B5788" s="2" t="s">
        <v>606</v>
      </c>
      <c r="C5788" s="31" t="s">
        <v>7699</v>
      </c>
      <c r="D5788" s="2" t="s">
        <v>30</v>
      </c>
      <c r="E5788" s="2" t="s">
        <v>1393</v>
      </c>
      <c r="F5788" s="11" t="s">
        <v>5124</v>
      </c>
      <c r="G5788" s="21" t="s">
        <v>7873</v>
      </c>
      <c r="H5788" s="2" t="s">
        <v>7874</v>
      </c>
      <c r="I5788" s="12" t="s">
        <v>7875</v>
      </c>
      <c r="J5788" s="22">
        <f>+Tabla1[[#This Row],[FECHA ENTRADA]]</f>
        <v>46197</v>
      </c>
      <c r="K5788" s="8">
        <v>46205</v>
      </c>
      <c r="L5788" s="23">
        <f>_xlfn.DAYS(Tabla1[[#This Row],[FECHA FIN ]],Tabla1[[#This Row],[FECHA INICIO]])</f>
        <v>8</v>
      </c>
      <c r="M5788" s="12">
        <v>383.16666666666669</v>
      </c>
      <c r="N5788" s="20"/>
      <c r="O5788" s="24">
        <f>(Tabla1[[#This Row],[COSTO FIJO ]]/30)*Tabla1[[#This Row],[TOTAL DIAS PROYECTO]]+(Tabla1[[#This Row],[COSTO TEMPORAL]])</f>
        <v>383.16666666666669</v>
      </c>
      <c r="P5788" s="12"/>
      <c r="Q5788" s="12">
        <f>+(Tabla1[[#This Row],[COSTO COCHE]]/30)*Tabla1[[#This Row],[TOTAL DIAS PROYECTO]]</f>
        <v>0</v>
      </c>
      <c r="R5788" s="12">
        <f>+Tabla1[[#This Row],[COSTO TOTAL ALOJAMIENTO]]+Tabla1[[#This Row],[COSTO TOTAL COCHE]]</f>
        <v>383.16666666666669</v>
      </c>
      <c r="S5788" s="2"/>
      <c r="T5788" s="14" t="s">
        <v>44</v>
      </c>
      <c r="U5788" s="14">
        <v>46197</v>
      </c>
      <c r="V5788" s="79">
        <v>46205</v>
      </c>
      <c r="W5788" s="12"/>
      <c r="X5788" s="2"/>
      <c r="Y5788" s="11" t="s">
        <v>7876</v>
      </c>
      <c r="Z5788" s="2" t="s">
        <v>36</v>
      </c>
      <c r="AA5788" s="13" t="s">
        <v>10416</v>
      </c>
      <c r="AB5788" s="13" t="s">
        <v>10417</v>
      </c>
    </row>
    <row r="5789" spans="1:28" ht="15" customHeight="1">
      <c r="A5789" s="2" t="s">
        <v>9672</v>
      </c>
      <c r="B5789" s="2" t="s">
        <v>28</v>
      </c>
      <c r="C5789" s="11" t="s">
        <v>4170</v>
      </c>
      <c r="D5789" s="2" t="s">
        <v>30</v>
      </c>
      <c r="E5789" s="2" t="s">
        <v>359</v>
      </c>
      <c r="F5789" s="11" t="s">
        <v>6821</v>
      </c>
      <c r="G5789" s="46" t="s">
        <v>3326</v>
      </c>
      <c r="H5789" s="2" t="s">
        <v>3327</v>
      </c>
      <c r="I5789" s="12" t="s">
        <v>96</v>
      </c>
      <c r="J5789" s="41">
        <f>+Tabla1[[#This Row],[FECHA ENTRADA]]</f>
        <v>45690</v>
      </c>
      <c r="K5789" s="22">
        <v>45821</v>
      </c>
      <c r="L5789" s="42">
        <f>_xlfn.DAYS(Tabla1[[#This Row],[FECHA FIN ]],Tabla1[[#This Row],[FECHA INICIO]])</f>
        <v>131</v>
      </c>
      <c r="M5789" s="12"/>
      <c r="N5789" s="12">
        <v>330</v>
      </c>
      <c r="O5789" s="28">
        <f>(Tabla1[[#This Row],[COSTO FIJO ]]/30)*Tabla1[[#This Row],[TOTAL DIAS PROYECTO]]+(Tabla1[[#This Row],[COSTO TEMPORAL]])</f>
        <v>1441</v>
      </c>
      <c r="P5789" s="12"/>
      <c r="Q5789" s="12">
        <f>+(Tabla1[[#This Row],[COSTO COCHE]]/30)*Tabla1[[#This Row],[TOTAL DIAS PROYECTO]]</f>
        <v>0</v>
      </c>
      <c r="R5789" s="12">
        <f>+Tabla1[[#This Row],[COSTO TOTAL ALOJAMIENTO]]+Tabla1[[#This Row],[COSTO TOTAL COCHE]]</f>
        <v>1441</v>
      </c>
      <c r="S5789" s="2"/>
      <c r="T5789" s="2" t="s">
        <v>44</v>
      </c>
      <c r="U5789" s="14">
        <v>45690</v>
      </c>
      <c r="V5789" s="43">
        <v>45710</v>
      </c>
      <c r="W5789" s="26"/>
      <c r="X5789" s="2">
        <v>1</v>
      </c>
      <c r="Y5789" s="11" t="s">
        <v>1120</v>
      </c>
      <c r="Z5789" s="2" t="s">
        <v>36</v>
      </c>
      <c r="AA5789" s="13" t="s">
        <v>10367</v>
      </c>
      <c r="AB5789" s="13">
        <v>3899424</v>
      </c>
    </row>
    <row r="5790" spans="1:28" ht="15" customHeight="1">
      <c r="A5790" s="2" t="s">
        <v>9672</v>
      </c>
      <c r="B5790" s="2" t="s">
        <v>28</v>
      </c>
      <c r="C5790" s="11" t="s">
        <v>4170</v>
      </c>
      <c r="D5790" s="2" t="s">
        <v>30</v>
      </c>
      <c r="E5790" s="2" t="s">
        <v>359</v>
      </c>
      <c r="F5790" s="11" t="s">
        <v>7462</v>
      </c>
      <c r="G5790" s="46" t="s">
        <v>7463</v>
      </c>
      <c r="H5790" s="2" t="s">
        <v>3327</v>
      </c>
      <c r="I5790" s="12" t="s">
        <v>96</v>
      </c>
      <c r="J5790" s="41">
        <f>+Tabla1[[#This Row],[FECHA ENTRADA]]</f>
        <v>45710</v>
      </c>
      <c r="K5790" s="22">
        <v>45821</v>
      </c>
      <c r="L5790" s="42">
        <f>_xlfn.DAYS(Tabla1[[#This Row],[FECHA FIN ]],Tabla1[[#This Row],[FECHA INICIO]])</f>
        <v>111</v>
      </c>
      <c r="M5790" s="12"/>
      <c r="N5790" s="12"/>
      <c r="O5790" s="28">
        <f>(Tabla1[[#This Row],[COSTO FIJO ]]/30)*Tabla1[[#This Row],[TOTAL DIAS PROYECTO]]+(Tabla1[[#This Row],[COSTO TEMPORAL]])</f>
        <v>0</v>
      </c>
      <c r="P5790" s="12">
        <f>1600/17</f>
        <v>94.117647058823536</v>
      </c>
      <c r="Q5790" s="12">
        <f>+(Tabla1[[#This Row],[COSTO COCHE]]/30)*Tabla1[[#This Row],[TOTAL DIAS PROYECTO]]</f>
        <v>348.23529411764713</v>
      </c>
      <c r="R5790" s="12">
        <f>+Tabla1[[#This Row],[COSTO TOTAL ALOJAMIENTO]]+Tabla1[[#This Row],[COSTO TOTAL COCHE]]</f>
        <v>348.23529411764713</v>
      </c>
      <c r="S5790" s="2"/>
      <c r="T5790" s="2" t="s">
        <v>44</v>
      </c>
      <c r="U5790" s="14">
        <v>45710</v>
      </c>
      <c r="V5790" s="43">
        <v>45716</v>
      </c>
      <c r="W5790" s="26"/>
      <c r="X5790" s="2"/>
      <c r="Y5790" s="11"/>
      <c r="Z5790" s="2" t="s">
        <v>36</v>
      </c>
      <c r="AA5790" s="13" t="s">
        <v>10367</v>
      </c>
      <c r="AB5790" s="13">
        <v>3899424</v>
      </c>
    </row>
    <row r="5791" spans="1:28" ht="15" customHeight="1">
      <c r="A5791" s="2" t="s">
        <v>10191</v>
      </c>
      <c r="B5791" s="2" t="s">
        <v>606</v>
      </c>
      <c r="C5791" s="31" t="s">
        <v>7034</v>
      </c>
      <c r="D5791" s="2" t="s">
        <v>30</v>
      </c>
      <c r="E5791" s="2" t="s">
        <v>1393</v>
      </c>
      <c r="F5791" s="11" t="s">
        <v>5124</v>
      </c>
      <c r="G5791" s="21" t="s">
        <v>7873</v>
      </c>
      <c r="H5791" s="2" t="s">
        <v>7874</v>
      </c>
      <c r="I5791" s="12" t="s">
        <v>7875</v>
      </c>
      <c r="J5791" s="22">
        <f>+Tabla1[[#This Row],[FECHA ENTRADA]]</f>
        <v>46199</v>
      </c>
      <c r="K5791" s="8">
        <v>46205</v>
      </c>
      <c r="L5791" s="23">
        <f>_xlfn.DAYS(Tabla1[[#This Row],[FECHA FIN ]],Tabla1[[#This Row],[FECHA INICIO]])</f>
        <v>6</v>
      </c>
      <c r="M5791" s="12">
        <v>383.16666666666669</v>
      </c>
      <c r="N5791" s="20"/>
      <c r="O5791" s="24">
        <f>(Tabla1[[#This Row],[COSTO FIJO ]]/30)*Tabla1[[#This Row],[TOTAL DIAS PROYECTO]]+(Tabla1[[#This Row],[COSTO TEMPORAL]])</f>
        <v>383.16666666666669</v>
      </c>
      <c r="P5791" s="12"/>
      <c r="Q5791" s="12">
        <f>+(Tabla1[[#This Row],[COSTO COCHE]]/30)*Tabla1[[#This Row],[TOTAL DIAS PROYECTO]]</f>
        <v>0</v>
      </c>
      <c r="R5791" s="12">
        <f>+Tabla1[[#This Row],[COSTO TOTAL ALOJAMIENTO]]+Tabla1[[#This Row],[COSTO TOTAL COCHE]]</f>
        <v>383.16666666666669</v>
      </c>
      <c r="S5791" s="2"/>
      <c r="T5791" s="14" t="s">
        <v>44</v>
      </c>
      <c r="U5791" s="14">
        <v>46199</v>
      </c>
      <c r="V5791" s="79">
        <v>46205</v>
      </c>
      <c r="W5791" s="12"/>
      <c r="X5791" s="2"/>
      <c r="Y5791" s="11" t="s">
        <v>7877</v>
      </c>
      <c r="Z5791" s="2" t="s">
        <v>36</v>
      </c>
      <c r="AA5791" s="13" t="s">
        <v>10416</v>
      </c>
      <c r="AB5791" s="13" t="s">
        <v>10417</v>
      </c>
    </row>
    <row r="5792" spans="1:28" ht="15" customHeight="1">
      <c r="A5792" s="2" t="s">
        <v>10005</v>
      </c>
      <c r="B5792" s="2" t="s">
        <v>978</v>
      </c>
      <c r="C5792" s="31" t="s">
        <v>5914</v>
      </c>
      <c r="D5792" s="2" t="s">
        <v>30</v>
      </c>
      <c r="E5792" s="2" t="s">
        <v>855</v>
      </c>
      <c r="F5792" s="11" t="s">
        <v>3272</v>
      </c>
      <c r="G5792" s="49" t="s">
        <v>1474</v>
      </c>
      <c r="H5792" s="2" t="s">
        <v>5807</v>
      </c>
      <c r="I5792" s="12" t="s">
        <v>5808</v>
      </c>
      <c r="J5792" s="22">
        <f>+Tabla1[[#This Row],[FECHA ENTRADA]]</f>
        <v>46156</v>
      </c>
      <c r="K5792" s="22">
        <v>46159</v>
      </c>
      <c r="L5792" s="23">
        <f>_xlfn.DAYS(Tabla1[[#This Row],[FECHA FIN ]],Tabla1[[#This Row],[FECHA INICIO]])</f>
        <v>3</v>
      </c>
      <c r="M5792" s="12">
        <v>403.33333333333331</v>
      </c>
      <c r="N5792" s="24"/>
      <c r="O5792" s="24">
        <f>(Tabla1[[#This Row],[COSTO FIJO ]]/30)*Tabla1[[#This Row],[TOTAL DIAS PROYECTO]]+(Tabla1[[#This Row],[COSTO TEMPORAL]])</f>
        <v>403.33333333333331</v>
      </c>
      <c r="P5792" s="12"/>
      <c r="Q5792" s="12">
        <f>+(Tabla1[[#This Row],[COSTO COCHE]]/30)*Tabla1[[#This Row],[TOTAL DIAS PROYECTO]]</f>
        <v>0</v>
      </c>
      <c r="R5792" s="12">
        <f>+Tabla1[[#This Row],[COSTO TOTAL ALOJAMIENTO]]+Tabla1[[#This Row],[COSTO TOTAL COCHE]]</f>
        <v>403.33333333333331</v>
      </c>
      <c r="S5792" s="2"/>
      <c r="T5792" s="14" t="s">
        <v>44</v>
      </c>
      <c r="U5792" s="14">
        <v>46156</v>
      </c>
      <c r="V5792" s="25">
        <v>46172</v>
      </c>
      <c r="W5792" s="12"/>
      <c r="X5792" s="2"/>
      <c r="Y5792" s="11" t="s">
        <v>7878</v>
      </c>
      <c r="Z5792" s="2" t="s">
        <v>36</v>
      </c>
      <c r="AA5792" s="13" t="s">
        <v>10401</v>
      </c>
      <c r="AB5792" s="13" t="s">
        <v>10402</v>
      </c>
    </row>
    <row r="5793" spans="1:28" ht="15" customHeight="1">
      <c r="A5793" s="2" t="s">
        <v>9462</v>
      </c>
      <c r="B5793" s="2" t="s">
        <v>606</v>
      </c>
      <c r="C5793" s="11" t="s">
        <v>3271</v>
      </c>
      <c r="D5793" s="2" t="s">
        <v>30</v>
      </c>
      <c r="E5793" s="2" t="s">
        <v>855</v>
      </c>
      <c r="F5793" s="11" t="s">
        <v>7879</v>
      </c>
      <c r="G5793" s="21" t="s">
        <v>7880</v>
      </c>
      <c r="H5793" s="2" t="s">
        <v>3273</v>
      </c>
      <c r="I5793" s="12" t="s">
        <v>3274</v>
      </c>
      <c r="J5793" s="22">
        <f>+Tabla1[[#This Row],[FECHA ENTRADA]]</f>
        <v>46203</v>
      </c>
      <c r="K5793" s="22">
        <v>46210</v>
      </c>
      <c r="L5793" s="23">
        <f>_xlfn.DAYS(Tabla1[[#This Row],[FECHA FIN ]],Tabla1[[#This Row],[FECHA INICIO]])</f>
        <v>7</v>
      </c>
      <c r="M5793" s="12">
        <f>634.49/3</f>
        <v>211.49666666666667</v>
      </c>
      <c r="N5793" s="20"/>
      <c r="O5793" s="24">
        <f>(Tabla1[[#This Row],[COSTO FIJO ]]/30)*Tabla1[[#This Row],[TOTAL DIAS PROYECTO]]+(Tabla1[[#This Row],[COSTO TEMPORAL]])</f>
        <v>211.49666666666667</v>
      </c>
      <c r="P5793" s="12"/>
      <c r="Q5793" s="12">
        <f>+(Tabla1[[#This Row],[COSTO COCHE]]/30)*Tabla1[[#This Row],[TOTAL DIAS PROYECTO]]</f>
        <v>0</v>
      </c>
      <c r="R5793" s="12">
        <f>+Tabla1[[#This Row],[COSTO TOTAL ALOJAMIENTO]]+Tabla1[[#This Row],[COSTO TOTAL COCHE]]</f>
        <v>211.49666666666667</v>
      </c>
      <c r="S5793" s="2" t="s">
        <v>84</v>
      </c>
      <c r="T5793" s="14" t="s">
        <v>44</v>
      </c>
      <c r="U5793" s="14">
        <v>46203</v>
      </c>
      <c r="V5793" s="79">
        <v>46210</v>
      </c>
      <c r="W5793" s="12"/>
      <c r="X5793" s="2"/>
      <c r="Y5793" s="11" t="s">
        <v>7881</v>
      </c>
      <c r="Z5793" s="2" t="s">
        <v>36</v>
      </c>
      <c r="AA5793" s="13" t="s">
        <v>10401</v>
      </c>
      <c r="AB5793" s="13" t="s">
        <v>10402</v>
      </c>
    </row>
    <row r="5794" spans="1:28" ht="15" customHeight="1">
      <c r="A5794" s="2" t="s">
        <v>9933</v>
      </c>
      <c r="B5794" s="2" t="s">
        <v>606</v>
      </c>
      <c r="C5794" s="11" t="s">
        <v>5533</v>
      </c>
      <c r="D5794" s="2" t="s">
        <v>30</v>
      </c>
      <c r="E5794" s="2" t="s">
        <v>855</v>
      </c>
      <c r="F5794" s="11" t="s">
        <v>7879</v>
      </c>
      <c r="G5794" s="21" t="s">
        <v>7880</v>
      </c>
      <c r="H5794" s="2" t="s">
        <v>3273</v>
      </c>
      <c r="I5794" s="12" t="s">
        <v>3274</v>
      </c>
      <c r="J5794" s="22">
        <f>+Tabla1[[#This Row],[FECHA ENTRADA]]</f>
        <v>46203</v>
      </c>
      <c r="K5794" s="22">
        <v>46210</v>
      </c>
      <c r="L5794" s="23">
        <f>_xlfn.DAYS(Tabla1[[#This Row],[FECHA FIN ]],Tabla1[[#This Row],[FECHA INICIO]])</f>
        <v>7</v>
      </c>
      <c r="M5794" s="12">
        <f>634.49/3</f>
        <v>211.49666666666667</v>
      </c>
      <c r="N5794" s="20"/>
      <c r="O5794" s="24">
        <f>(Tabla1[[#This Row],[COSTO FIJO ]]/30)*Tabla1[[#This Row],[TOTAL DIAS PROYECTO]]+(Tabla1[[#This Row],[COSTO TEMPORAL]])</f>
        <v>211.49666666666667</v>
      </c>
      <c r="P5794" s="12"/>
      <c r="Q5794" s="12">
        <f>+(Tabla1[[#This Row],[COSTO COCHE]]/30)*Tabla1[[#This Row],[TOTAL DIAS PROYECTO]]</f>
        <v>0</v>
      </c>
      <c r="R5794" s="12">
        <f>+Tabla1[[#This Row],[COSTO TOTAL ALOJAMIENTO]]+Tabla1[[#This Row],[COSTO TOTAL COCHE]]</f>
        <v>211.49666666666667</v>
      </c>
      <c r="S5794" s="2" t="s">
        <v>84</v>
      </c>
      <c r="T5794" s="14" t="s">
        <v>44</v>
      </c>
      <c r="U5794" s="14">
        <v>46203</v>
      </c>
      <c r="V5794" s="79">
        <v>46210</v>
      </c>
      <c r="W5794" s="12"/>
      <c r="X5794" s="2"/>
      <c r="Y5794" s="11" t="s">
        <v>7881</v>
      </c>
      <c r="Z5794" s="2" t="s">
        <v>36</v>
      </c>
      <c r="AA5794" s="13" t="s">
        <v>10401</v>
      </c>
      <c r="AB5794" s="13" t="s">
        <v>10402</v>
      </c>
    </row>
    <row r="5795" spans="1:28" ht="15" customHeight="1">
      <c r="A5795" s="2" t="s">
        <v>8642</v>
      </c>
      <c r="B5795" s="2" t="s">
        <v>606</v>
      </c>
      <c r="C5795" s="239" t="s">
        <v>7882</v>
      </c>
      <c r="D5795" s="2" t="s">
        <v>30</v>
      </c>
      <c r="E5795" s="2" t="s">
        <v>259</v>
      </c>
      <c r="F5795" s="11" t="s">
        <v>7836</v>
      </c>
      <c r="G5795" s="49" t="s">
        <v>7837</v>
      </c>
      <c r="H5795" s="2" t="s">
        <v>7688</v>
      </c>
      <c r="I5795" s="12" t="s">
        <v>7665</v>
      </c>
      <c r="J5795" s="41">
        <f>+Tabla1[[#This Row],[FECHA ENTRADA]]</f>
        <v>46225</v>
      </c>
      <c r="K5795" s="22">
        <v>46225</v>
      </c>
      <c r="L5795" s="42">
        <f>_xlfn.DAYS(Tabla1[[#This Row],[FECHA FIN ]],Tabla1[[#This Row],[FECHA INICIO]])</f>
        <v>0</v>
      </c>
      <c r="M5795" s="12"/>
      <c r="N5795" s="28">
        <v>360</v>
      </c>
      <c r="O5795" s="28">
        <f>(Tabla1[[#This Row],[COSTO FIJO ]]/30)*Tabla1[[#This Row],[TOTAL DIAS PROYECTO]]+(Tabla1[[#This Row],[COSTO TEMPORAL]])</f>
        <v>0</v>
      </c>
      <c r="P5795" s="12"/>
      <c r="Q5795" s="12">
        <f>+(Tabla1[[#This Row],[COSTO COCHE]]/30)*Tabla1[[#This Row],[TOTAL DIAS PROYECTO]]</f>
        <v>0</v>
      </c>
      <c r="R5795" s="12">
        <f>+Tabla1[[#This Row],[COSTO TOTAL ALOJAMIENTO]]+Tabla1[[#This Row],[COSTO TOTAL COCHE]]</f>
        <v>0</v>
      </c>
      <c r="S5795" s="2"/>
      <c r="T5795" s="14" t="s">
        <v>35</v>
      </c>
      <c r="U5795" s="14">
        <v>46225</v>
      </c>
      <c r="V5795" s="43"/>
      <c r="W5795" s="12"/>
      <c r="X5795" s="2">
        <v>13</v>
      </c>
      <c r="Y5795" s="11" t="s">
        <v>7883</v>
      </c>
      <c r="Z5795" s="2" t="s">
        <v>36</v>
      </c>
      <c r="AA5795" s="13">
        <v>-0.87734000000000001</v>
      </c>
      <c r="AB5795" s="13" t="s">
        <v>10359</v>
      </c>
    </row>
    <row r="5796" spans="1:28" ht="15" customHeight="1">
      <c r="A5796" s="2" t="s">
        <v>10196</v>
      </c>
      <c r="B5796" s="2" t="s">
        <v>606</v>
      </c>
      <c r="C5796" s="321" t="s">
        <v>7064</v>
      </c>
      <c r="D5796" s="2" t="s">
        <v>30</v>
      </c>
      <c r="E5796" s="2" t="s">
        <v>380</v>
      </c>
      <c r="F5796" s="31" t="s">
        <v>6222</v>
      </c>
      <c r="G5796" s="21" t="s">
        <v>6223</v>
      </c>
      <c r="H5796" s="2" t="s">
        <v>7869</v>
      </c>
      <c r="I5796" s="12" t="s">
        <v>5328</v>
      </c>
      <c r="J5796" s="22">
        <f>+Tabla1[[#This Row],[FECHA ENTRADA]]</f>
        <v>46194</v>
      </c>
      <c r="K5796" s="22">
        <v>46236</v>
      </c>
      <c r="L5796" s="23">
        <f>_xlfn.DAYS(Tabla1[[#This Row],[FECHA FIN ]],Tabla1[[#This Row],[FECHA INICIO]])</f>
        <v>42</v>
      </c>
      <c r="M5796" s="12"/>
      <c r="N5796" s="24">
        <v>500</v>
      </c>
      <c r="O5796" s="24">
        <f>(Tabla1[[#This Row],[COSTO FIJO ]]/30)*Tabla1[[#This Row],[TOTAL DIAS PROYECTO]]+(Tabla1[[#This Row],[COSTO TEMPORAL]])</f>
        <v>700</v>
      </c>
      <c r="P5796" s="12"/>
      <c r="Q5796" s="12">
        <f>+(Tabla1[[#This Row],[COSTO COCHE]]/30)*Tabla1[[#This Row],[TOTAL DIAS PROYECTO]]</f>
        <v>0</v>
      </c>
      <c r="R5796" s="12">
        <f>+Tabla1[[#This Row],[COSTO TOTAL ALOJAMIENTO]]+Tabla1[[#This Row],[COSTO TOTAL COCHE]]</f>
        <v>700</v>
      </c>
      <c r="S5796" s="2"/>
      <c r="T5796" s="14" t="s">
        <v>35</v>
      </c>
      <c r="U5796" s="14">
        <v>46194</v>
      </c>
      <c r="V5796" s="25"/>
      <c r="W5796" s="12"/>
      <c r="X5796" s="2">
        <v>13</v>
      </c>
      <c r="Y5796" s="11" t="s">
        <v>7884</v>
      </c>
      <c r="Z5796" s="2" t="s">
        <v>36</v>
      </c>
      <c r="AA5796" s="13" t="s">
        <v>10370</v>
      </c>
      <c r="AB5796" s="13" t="s">
        <v>10371</v>
      </c>
    </row>
    <row r="5797" spans="1:28" ht="15" customHeight="1">
      <c r="A5797" s="2" t="s">
        <v>8642</v>
      </c>
      <c r="B5797" s="2" t="s">
        <v>606</v>
      </c>
      <c r="C5797" s="97" t="s">
        <v>7885</v>
      </c>
      <c r="D5797" s="2" t="s">
        <v>30</v>
      </c>
      <c r="E5797" s="2" t="s">
        <v>380</v>
      </c>
      <c r="F5797" s="31" t="s">
        <v>6222</v>
      </c>
      <c r="G5797" s="21" t="s">
        <v>6223</v>
      </c>
      <c r="H5797" s="2" t="s">
        <v>7869</v>
      </c>
      <c r="I5797" s="12" t="s">
        <v>5328</v>
      </c>
      <c r="J5797" s="22">
        <f>+Tabla1[[#This Row],[FECHA ENTRADA]]</f>
        <v>46198</v>
      </c>
      <c r="K5797" s="22">
        <v>46236</v>
      </c>
      <c r="L5797" s="23">
        <f>_xlfn.DAYS(Tabla1[[#This Row],[FECHA FIN ]],Tabla1[[#This Row],[FECHA INICIO]])</f>
        <v>38</v>
      </c>
      <c r="M5797" s="12"/>
      <c r="N5797" s="24">
        <v>500</v>
      </c>
      <c r="O5797" s="24">
        <f>(Tabla1[[#This Row],[COSTO FIJO ]]/30)*Tabla1[[#This Row],[TOTAL DIAS PROYECTO]]+(Tabla1[[#This Row],[COSTO TEMPORAL]])</f>
        <v>633.33333333333337</v>
      </c>
      <c r="P5797" s="12"/>
      <c r="Q5797" s="12">
        <f>+(Tabla1[[#This Row],[COSTO COCHE]]/30)*Tabla1[[#This Row],[TOTAL DIAS PROYECTO]]</f>
        <v>0</v>
      </c>
      <c r="R5797" s="12">
        <f>+Tabla1[[#This Row],[COSTO TOTAL ALOJAMIENTO]]+Tabla1[[#This Row],[COSTO TOTAL COCHE]]</f>
        <v>633.33333333333337</v>
      </c>
      <c r="S5797" s="2"/>
      <c r="T5797" s="14" t="s">
        <v>35</v>
      </c>
      <c r="U5797" s="14">
        <v>46198</v>
      </c>
      <c r="V5797" s="25"/>
      <c r="W5797" s="12"/>
      <c r="X5797" s="2">
        <v>13</v>
      </c>
      <c r="Y5797" s="11" t="s">
        <v>7870</v>
      </c>
      <c r="Z5797" s="2" t="s">
        <v>36</v>
      </c>
      <c r="AA5797" s="13" t="s">
        <v>10370</v>
      </c>
      <c r="AB5797" s="13" t="s">
        <v>10371</v>
      </c>
    </row>
    <row r="5798" spans="1:28" ht="15" customHeight="1">
      <c r="A5798" s="2" t="s">
        <v>9349</v>
      </c>
      <c r="B5798" s="2" t="s">
        <v>711</v>
      </c>
      <c r="C5798" s="31" t="s">
        <v>2900</v>
      </c>
      <c r="D5798" s="2" t="s">
        <v>30</v>
      </c>
      <c r="E5798" s="2" t="s">
        <v>114</v>
      </c>
      <c r="F5798" s="133" t="s">
        <v>7676</v>
      </c>
      <c r="G5798" s="49" t="s">
        <v>7677</v>
      </c>
      <c r="H5798" s="2" t="s">
        <v>6775</v>
      </c>
      <c r="I5798" s="12" t="s">
        <v>118</v>
      </c>
      <c r="J5798" s="22">
        <f>+Tabla1[[#This Row],[FECHA ENTRADA]]</f>
        <v>46074</v>
      </c>
      <c r="K5798" s="22">
        <v>46208</v>
      </c>
      <c r="L5798" s="23">
        <f>_xlfn.DAYS(Tabla1[[#This Row],[FECHA FIN ]],Tabla1[[#This Row],[FECHA INICIO]])</f>
        <v>134</v>
      </c>
      <c r="M5798" s="12"/>
      <c r="N5798" s="20">
        <v>483.33333333333331</v>
      </c>
      <c r="O5798" s="24">
        <f>(Tabla1[[#This Row],[COSTO FIJO ]]/30)*Tabla1[[#This Row],[TOTAL DIAS PROYECTO]]+(Tabla1[[#This Row],[COSTO TEMPORAL]])</f>
        <v>2158.8888888888887</v>
      </c>
      <c r="P5798" s="12"/>
      <c r="Q5798" s="12">
        <f>+(Tabla1[[#This Row],[COSTO COCHE]]/30)*Tabla1[[#This Row],[TOTAL DIAS PROYECTO]]</f>
        <v>0</v>
      </c>
      <c r="R5798" s="12">
        <f>+Tabla1[[#This Row],[COSTO TOTAL ALOJAMIENTO]]+Tabla1[[#This Row],[COSTO TOTAL COCHE]]</f>
        <v>2158.8888888888887</v>
      </c>
      <c r="S5798" s="2"/>
      <c r="T5798" s="14" t="s">
        <v>35</v>
      </c>
      <c r="U5798" s="14">
        <v>46074</v>
      </c>
      <c r="V5798" s="79"/>
      <c r="W5798" s="12">
        <v>1450</v>
      </c>
      <c r="X5798" s="2">
        <v>19</v>
      </c>
      <c r="Y5798" s="11" t="s">
        <v>7886</v>
      </c>
      <c r="Z5798" s="2" t="s">
        <v>36</v>
      </c>
      <c r="AA5798" s="13" t="s">
        <v>10340</v>
      </c>
      <c r="AB5798" s="13" t="s">
        <v>10341</v>
      </c>
    </row>
    <row r="5799" spans="1:28" ht="15" customHeight="1">
      <c r="A5799" s="2" t="s">
        <v>10105</v>
      </c>
      <c r="B5799" s="2" t="s">
        <v>606</v>
      </c>
      <c r="C5799" s="11" t="s">
        <v>6412</v>
      </c>
      <c r="D5799" s="2" t="s">
        <v>30</v>
      </c>
      <c r="E5799" s="2" t="s">
        <v>259</v>
      </c>
      <c r="F5799" s="11" t="s">
        <v>7836</v>
      </c>
      <c r="G5799" s="49" t="s">
        <v>7837</v>
      </c>
      <c r="H5799" s="2" t="s">
        <v>7688</v>
      </c>
      <c r="I5799" s="12" t="s">
        <v>7665</v>
      </c>
      <c r="J5799" s="41">
        <f>+Tabla1[[#This Row],[FECHA ENTRADA]]</f>
        <v>46236</v>
      </c>
      <c r="K5799" s="41">
        <v>46242</v>
      </c>
      <c r="L5799" s="42">
        <f>_xlfn.DAYS(Tabla1[[#This Row],[FECHA FIN ]],Tabla1[[#This Row],[FECHA INICIO]])</f>
        <v>6</v>
      </c>
      <c r="M5799" s="12"/>
      <c r="N5799" s="24">
        <v>360</v>
      </c>
      <c r="O5799" s="28">
        <f>(Tabla1[[#This Row],[COSTO FIJO ]]/30)*Tabla1[[#This Row],[TOTAL DIAS PROYECTO]]+(Tabla1[[#This Row],[COSTO TEMPORAL]])</f>
        <v>72</v>
      </c>
      <c r="P5799" s="12"/>
      <c r="Q5799" s="12">
        <f>+(Tabla1[[#This Row],[COSTO COCHE]]/30)*Tabla1[[#This Row],[TOTAL DIAS PROYECTO]]</f>
        <v>0</v>
      </c>
      <c r="R5799" s="12">
        <f>+Tabla1[[#This Row],[COSTO TOTAL ALOJAMIENTO]]+Tabla1[[#This Row],[COSTO TOTAL COCHE]]</f>
        <v>72</v>
      </c>
      <c r="S5799" s="2"/>
      <c r="T5799" s="14" t="s">
        <v>35</v>
      </c>
      <c r="U5799" s="14">
        <v>46236</v>
      </c>
      <c r="V5799" s="43"/>
      <c r="W5799" s="12"/>
      <c r="X5799" s="2">
        <v>13</v>
      </c>
      <c r="Y5799" s="11"/>
      <c r="Z5799" s="2" t="s">
        <v>36</v>
      </c>
      <c r="AA5799" s="13">
        <v>-0.87734000000000001</v>
      </c>
      <c r="AB5799" s="13" t="s">
        <v>10359</v>
      </c>
    </row>
    <row r="5800" spans="1:28" ht="15" customHeight="1">
      <c r="A5800" s="2" t="s">
        <v>9402</v>
      </c>
      <c r="B5800" s="2" t="s">
        <v>606</v>
      </c>
      <c r="C5800" s="11" t="s">
        <v>3063</v>
      </c>
      <c r="D5800" s="2" t="s">
        <v>99</v>
      </c>
      <c r="E5800" s="2" t="s">
        <v>245</v>
      </c>
      <c r="F5800" s="11" t="s">
        <v>7887</v>
      </c>
      <c r="G5800" s="251" t="s">
        <v>7888</v>
      </c>
      <c r="H5800" s="2" t="s">
        <v>2985</v>
      </c>
      <c r="I5800" s="12" t="s">
        <v>1019</v>
      </c>
      <c r="J5800" s="41">
        <f>+Tabla1[[#This Row],[FECHA ENTRADA]]</f>
        <v>45817</v>
      </c>
      <c r="K5800" s="41">
        <f ca="1">TODAY()</f>
        <v>46260</v>
      </c>
      <c r="L5800" s="42">
        <f ca="1">_xlfn.DAYS(Tabla1[[#This Row],[FECHA FIN ]],Tabla1[[#This Row],[FECHA INICIO]])</f>
        <v>443</v>
      </c>
      <c r="M5800" s="12"/>
      <c r="N5800" s="12">
        <v>470</v>
      </c>
      <c r="O5800" s="28">
        <f ca="1">(Tabla1[[#This Row],[COSTO FIJO ]]/30)*Tabla1[[#This Row],[TOTAL DIAS PROYECTO]]+(Tabla1[[#This Row],[COSTO TEMPORAL]])</f>
        <v>6940.333333333333</v>
      </c>
      <c r="P5800" s="12"/>
      <c r="Q5800" s="12">
        <f ca="1">+(Tabla1[[#This Row],[COSTO COCHE]]/30)*Tabla1[[#This Row],[TOTAL DIAS PROYECTO]]</f>
        <v>0</v>
      </c>
      <c r="R5800" s="12">
        <f ca="1">+Tabla1[[#This Row],[COSTO TOTAL ALOJAMIENTO]]+Tabla1[[#This Row],[COSTO TOTAL COCHE]]</f>
        <v>6940.333333333333</v>
      </c>
      <c r="S5800" s="2"/>
      <c r="T5800" s="14" t="s">
        <v>35</v>
      </c>
      <c r="U5800" s="14">
        <v>45817</v>
      </c>
      <c r="V5800" s="75"/>
      <c r="W5800" s="12">
        <v>1880</v>
      </c>
      <c r="X5800" s="2">
        <v>5</v>
      </c>
      <c r="Y5800" s="11" t="s">
        <v>7889</v>
      </c>
      <c r="Z5800" s="2" t="s">
        <v>702</v>
      </c>
      <c r="AA5800" s="13" t="s">
        <v>10355</v>
      </c>
      <c r="AB5800" s="13" t="s">
        <v>10356</v>
      </c>
    </row>
    <row r="5801" spans="1:28" ht="15" customHeight="1">
      <c r="A5801" s="2" t="s">
        <v>9380</v>
      </c>
      <c r="B5801" s="2" t="s">
        <v>606</v>
      </c>
      <c r="C5801" s="11" t="s">
        <v>2982</v>
      </c>
      <c r="D5801" s="2" t="s">
        <v>99</v>
      </c>
      <c r="E5801" s="2" t="s">
        <v>245</v>
      </c>
      <c r="F5801" s="11" t="s">
        <v>7887</v>
      </c>
      <c r="G5801" s="251" t="s">
        <v>7888</v>
      </c>
      <c r="H5801" s="2" t="s">
        <v>2985</v>
      </c>
      <c r="I5801" s="12" t="s">
        <v>1019</v>
      </c>
      <c r="J5801" s="41">
        <f>+Tabla1[[#This Row],[FECHA ENTRADA]]</f>
        <v>45817</v>
      </c>
      <c r="K5801" s="41">
        <f ca="1">TODAY()</f>
        <v>46260</v>
      </c>
      <c r="L5801" s="42">
        <f ca="1">_xlfn.DAYS(Tabla1[[#This Row],[FECHA FIN ]],Tabla1[[#This Row],[FECHA INICIO]])</f>
        <v>443</v>
      </c>
      <c r="M5801" s="12"/>
      <c r="N5801" s="12">
        <v>470</v>
      </c>
      <c r="O5801" s="28">
        <f ca="1">(Tabla1[[#This Row],[COSTO FIJO ]]/30)*Tabla1[[#This Row],[TOTAL DIAS PROYECTO]]+(Tabla1[[#This Row],[COSTO TEMPORAL]])</f>
        <v>6940.333333333333</v>
      </c>
      <c r="P5801" s="12"/>
      <c r="Q5801" s="12">
        <f ca="1">+(Tabla1[[#This Row],[COSTO COCHE]]/30)*Tabla1[[#This Row],[TOTAL DIAS PROYECTO]]</f>
        <v>0</v>
      </c>
      <c r="R5801" s="12">
        <f ca="1">+Tabla1[[#This Row],[COSTO TOTAL ALOJAMIENTO]]+Tabla1[[#This Row],[COSTO TOTAL COCHE]]</f>
        <v>6940.333333333333</v>
      </c>
      <c r="S5801" s="2"/>
      <c r="T5801" s="14" t="s">
        <v>35</v>
      </c>
      <c r="U5801" s="14">
        <v>45817</v>
      </c>
      <c r="V5801" s="75"/>
      <c r="W5801" s="12"/>
      <c r="X5801" s="2">
        <v>5</v>
      </c>
      <c r="Y5801" s="11" t="s">
        <v>7889</v>
      </c>
      <c r="Z5801" s="2" t="s">
        <v>702</v>
      </c>
      <c r="AA5801" s="13" t="s">
        <v>10355</v>
      </c>
      <c r="AB5801" s="13" t="s">
        <v>10356</v>
      </c>
    </row>
    <row r="5802" spans="1:28" ht="15" customHeight="1">
      <c r="A5802" s="2" t="s">
        <v>8642</v>
      </c>
      <c r="B5802" s="2" t="s">
        <v>711</v>
      </c>
      <c r="C5802" s="31" t="s">
        <v>2389</v>
      </c>
      <c r="D5802" s="2" t="s">
        <v>99</v>
      </c>
      <c r="E5802" s="2" t="s">
        <v>1987</v>
      </c>
      <c r="F5802" s="11" t="s">
        <v>3766</v>
      </c>
      <c r="G5802" s="128" t="s">
        <v>3767</v>
      </c>
      <c r="H5802" s="2" t="s">
        <v>7812</v>
      </c>
      <c r="I5802" s="12" t="s">
        <v>3769</v>
      </c>
      <c r="J5802" s="22">
        <f>+Tabla1[[#This Row],[FECHA ENTRADA]]</f>
        <v>46181</v>
      </c>
      <c r="K5802" s="22">
        <v>46238</v>
      </c>
      <c r="L5802" s="23">
        <f>_xlfn.DAYS(Tabla1[[#This Row],[FECHA FIN ]],Tabla1[[#This Row],[FECHA INICIO]])</f>
        <v>57</v>
      </c>
      <c r="M5802" s="12"/>
      <c r="N5802" s="28">
        <v>542.5</v>
      </c>
      <c r="O5802" s="24">
        <f>(Tabla1[[#This Row],[COSTO FIJO ]]/30)*Tabla1[[#This Row],[TOTAL DIAS PROYECTO]]+(Tabla1[[#This Row],[COSTO TEMPORAL]])</f>
        <v>1030.75</v>
      </c>
      <c r="P5802" s="12"/>
      <c r="Q5802" s="12">
        <f>+(Tabla1[[#This Row],[COSTO COCHE]]/30)*Tabla1[[#This Row],[TOTAL DIAS PROYECTO]]</f>
        <v>0</v>
      </c>
      <c r="R5802" s="12">
        <f>+Tabla1[[#This Row],[COSTO TOTAL ALOJAMIENTO]]+Tabla1[[#This Row],[COSTO TOTAL COCHE]]</f>
        <v>1030.75</v>
      </c>
      <c r="S5802" s="2"/>
      <c r="T5802" s="14" t="s">
        <v>35</v>
      </c>
      <c r="U5802" s="14">
        <v>46181</v>
      </c>
      <c r="V5802" s="25"/>
      <c r="W5802" s="12"/>
      <c r="X5802" s="2">
        <v>7</v>
      </c>
      <c r="Y5802" s="11" t="s">
        <v>7890</v>
      </c>
      <c r="Z5802" s="2" t="s">
        <v>36</v>
      </c>
      <c r="AA5802" s="13" t="s">
        <v>10435</v>
      </c>
      <c r="AB5802" s="13">
        <v>42.136150000000001</v>
      </c>
    </row>
    <row r="5803" spans="1:28" ht="15" customHeight="1">
      <c r="A5803" s="2" t="s">
        <v>8770</v>
      </c>
      <c r="B5803" s="2" t="s">
        <v>711</v>
      </c>
      <c r="C5803" s="115" t="s">
        <v>672</v>
      </c>
      <c r="D5803" s="2" t="s">
        <v>30</v>
      </c>
      <c r="E5803" s="2" t="s">
        <v>422</v>
      </c>
      <c r="F5803" s="11" t="s">
        <v>1375</v>
      </c>
      <c r="G5803" s="70" t="s">
        <v>1376</v>
      </c>
      <c r="H5803" s="2" t="s">
        <v>4331</v>
      </c>
      <c r="I5803" s="10" t="s">
        <v>6897</v>
      </c>
      <c r="J5803" s="41">
        <f>+Tabla1[[#This Row],[FECHA ENTRADA]]</f>
        <v>45683</v>
      </c>
      <c r="K5803" s="41">
        <f ca="1">TODAY()</f>
        <v>46260</v>
      </c>
      <c r="L5803" s="42">
        <f ca="1">_xlfn.DAYS(Tabla1[[#This Row],[FECHA FIN ]],Tabla1[[#This Row],[FECHA INICIO]])</f>
        <v>577</v>
      </c>
      <c r="M5803" s="12"/>
      <c r="N5803" s="12">
        <v>525</v>
      </c>
      <c r="O5803" s="28">
        <f ca="1">(Tabla1[[#This Row],[COSTO FIJO ]]/30)*Tabla1[[#This Row],[TOTAL DIAS PROYECTO]]+(Tabla1[[#This Row],[COSTO TEMPORAL]])</f>
        <v>10097.5</v>
      </c>
      <c r="P5803" s="12"/>
      <c r="Q5803" s="12">
        <f ca="1">+(Tabla1[[#This Row],[COSTO COCHE]]/30)*Tabla1[[#This Row],[TOTAL DIAS PROYECTO]]</f>
        <v>0</v>
      </c>
      <c r="R5803" s="12">
        <f ca="1">+Tabla1[[#This Row],[COSTO TOTAL ALOJAMIENTO]]+Tabla1[[#This Row],[COSTO TOTAL COCHE]]</f>
        <v>10097.5</v>
      </c>
      <c r="S5803" s="2"/>
      <c r="T5803" s="2" t="s">
        <v>35</v>
      </c>
      <c r="U5803" s="14">
        <v>45683</v>
      </c>
      <c r="V5803" s="43"/>
      <c r="W5803" s="12">
        <v>2100</v>
      </c>
      <c r="X5803" s="2">
        <v>5</v>
      </c>
      <c r="Y5803" s="11"/>
      <c r="Z5803" s="2" t="s">
        <v>702</v>
      </c>
      <c r="AA5803" s="13">
        <v>-326.69799999999998</v>
      </c>
      <c r="AB5803" s="13" t="s">
        <v>10373</v>
      </c>
    </row>
    <row r="5804" spans="1:28" ht="15" customHeight="1">
      <c r="A5804" s="2" t="s">
        <v>9867</v>
      </c>
      <c r="B5804" s="2" t="s">
        <v>978</v>
      </c>
      <c r="C5804" s="11" t="s">
        <v>5109</v>
      </c>
      <c r="D5804" s="2" t="s">
        <v>30</v>
      </c>
      <c r="E5804" s="2" t="s">
        <v>380</v>
      </c>
      <c r="F5804" s="11" t="s">
        <v>4631</v>
      </c>
      <c r="G5804" s="46" t="s">
        <v>7861</v>
      </c>
      <c r="H5804" s="2" t="s">
        <v>5112</v>
      </c>
      <c r="I5804" s="12" t="s">
        <v>4276</v>
      </c>
      <c r="J5804" s="41">
        <f>+Tabla1[[#This Row],[FECHA ENTRADA]]</f>
        <v>46152</v>
      </c>
      <c r="K5804" s="22">
        <v>46215</v>
      </c>
      <c r="L5804" s="42">
        <f>_xlfn.DAYS(Tabla1[[#This Row],[FECHA FIN ]],Tabla1[[#This Row],[FECHA INICIO]])</f>
        <v>63</v>
      </c>
      <c r="M5804" s="12">
        <v>450</v>
      </c>
      <c r="N5804" s="28"/>
      <c r="O5804" s="28">
        <f>(Tabla1[[#This Row],[COSTO FIJO ]]/30)*Tabla1[[#This Row],[TOTAL DIAS PROYECTO]]+(Tabla1[[#This Row],[COSTO TEMPORAL]])</f>
        <v>450</v>
      </c>
      <c r="P5804" s="12"/>
      <c r="Q5804" s="12">
        <f>+(Tabla1[[#This Row],[COSTO COCHE]]/30)*Tabla1[[#This Row],[TOTAL DIAS PROYECTO]]</f>
        <v>0</v>
      </c>
      <c r="R5804" s="12">
        <f>+Tabla1[[#This Row],[COSTO TOTAL ALOJAMIENTO]]+Tabla1[[#This Row],[COSTO TOTAL COCHE]]</f>
        <v>450</v>
      </c>
      <c r="S5804" s="2"/>
      <c r="T5804" s="14" t="s">
        <v>44</v>
      </c>
      <c r="U5804" s="14">
        <v>46152</v>
      </c>
      <c r="V5804" s="79">
        <v>46217</v>
      </c>
      <c r="W5804" s="12"/>
      <c r="X5804" s="2"/>
      <c r="Y5804" s="11" t="s">
        <v>7891</v>
      </c>
      <c r="Z5804" s="2" t="s">
        <v>36</v>
      </c>
      <c r="AA5804" s="13" t="s">
        <v>10370</v>
      </c>
      <c r="AB5804" s="13" t="s">
        <v>10371</v>
      </c>
    </row>
    <row r="5805" spans="1:28" ht="15" customHeight="1">
      <c r="A5805" s="2" t="s">
        <v>8642</v>
      </c>
      <c r="B5805" s="2" t="s">
        <v>606</v>
      </c>
      <c r="C5805" s="321" t="s">
        <v>3913</v>
      </c>
      <c r="D5805" s="2" t="s">
        <v>30</v>
      </c>
      <c r="E5805" s="2" t="s">
        <v>1393</v>
      </c>
      <c r="F5805" s="11" t="s">
        <v>5124</v>
      </c>
      <c r="G5805" s="21" t="s">
        <v>7873</v>
      </c>
      <c r="H5805" s="2" t="s">
        <v>7874</v>
      </c>
      <c r="I5805" s="12" t="s">
        <v>7875</v>
      </c>
      <c r="J5805" s="22">
        <f>+Tabla1[[#This Row],[FECHA ENTRADA]]</f>
        <v>46194</v>
      </c>
      <c r="K5805" s="8">
        <v>46208</v>
      </c>
      <c r="L5805" s="23">
        <f>_xlfn.DAYS(Tabla1[[#This Row],[FECHA FIN ]],Tabla1[[#This Row],[FECHA INICIO]])</f>
        <v>14</v>
      </c>
      <c r="M5805" s="12">
        <v>383.16666666666669</v>
      </c>
      <c r="N5805" s="20"/>
      <c r="O5805" s="24">
        <f>(Tabla1[[#This Row],[COSTO FIJO ]]/30)*Tabla1[[#This Row],[TOTAL DIAS PROYECTO]]+(Tabla1[[#This Row],[COSTO TEMPORAL]])</f>
        <v>383.16666666666669</v>
      </c>
      <c r="P5805" s="12"/>
      <c r="Q5805" s="12">
        <f>+(Tabla1[[#This Row],[COSTO COCHE]]/30)*Tabla1[[#This Row],[TOTAL DIAS PROYECTO]]</f>
        <v>0</v>
      </c>
      <c r="R5805" s="12">
        <f>+Tabla1[[#This Row],[COSTO TOTAL ALOJAMIENTO]]+Tabla1[[#This Row],[COSTO TOTAL COCHE]]</f>
        <v>383.16666666666669</v>
      </c>
      <c r="S5805" s="2"/>
      <c r="T5805" s="14" t="s">
        <v>44</v>
      </c>
      <c r="U5805" s="14">
        <v>46194</v>
      </c>
      <c r="V5805" s="79">
        <v>46208</v>
      </c>
      <c r="W5805" s="12"/>
      <c r="X5805" s="2"/>
      <c r="Y5805" s="11" t="s">
        <v>7892</v>
      </c>
      <c r="Z5805" s="2" t="s">
        <v>36</v>
      </c>
      <c r="AA5805" s="13" t="s">
        <v>10416</v>
      </c>
      <c r="AB5805" s="13" t="s">
        <v>10417</v>
      </c>
    </row>
    <row r="5806" spans="1:28" ht="15" customHeight="1">
      <c r="A5806" s="2" t="s">
        <v>8642</v>
      </c>
      <c r="B5806" s="2" t="s">
        <v>606</v>
      </c>
      <c r="C5806" s="321" t="s">
        <v>7893</v>
      </c>
      <c r="D5806" s="2" t="s">
        <v>30</v>
      </c>
      <c r="E5806" s="2" t="s">
        <v>1393</v>
      </c>
      <c r="F5806" s="11" t="s">
        <v>5124</v>
      </c>
      <c r="G5806" s="21" t="s">
        <v>7873</v>
      </c>
      <c r="H5806" s="2" t="s">
        <v>7874</v>
      </c>
      <c r="I5806" s="12" t="s">
        <v>7875</v>
      </c>
      <c r="J5806" s="22">
        <f>+Tabla1[[#This Row],[FECHA ENTRADA]]</f>
        <v>46201</v>
      </c>
      <c r="K5806" s="8">
        <v>46208</v>
      </c>
      <c r="L5806" s="23">
        <f>_xlfn.DAYS(Tabla1[[#This Row],[FECHA FIN ]],Tabla1[[#This Row],[FECHA INICIO]])</f>
        <v>7</v>
      </c>
      <c r="M5806" s="12">
        <v>383.16666666666669</v>
      </c>
      <c r="N5806" s="20"/>
      <c r="O5806" s="24">
        <f>(Tabla1[[#This Row],[COSTO FIJO ]]/30)*Tabla1[[#This Row],[TOTAL DIAS PROYECTO]]+(Tabla1[[#This Row],[COSTO TEMPORAL]])</f>
        <v>383.16666666666669</v>
      </c>
      <c r="P5806" s="12"/>
      <c r="Q5806" s="12">
        <f>+(Tabla1[[#This Row],[COSTO COCHE]]/30)*Tabla1[[#This Row],[TOTAL DIAS PROYECTO]]</f>
        <v>0</v>
      </c>
      <c r="R5806" s="12">
        <f>+Tabla1[[#This Row],[COSTO TOTAL ALOJAMIENTO]]+Tabla1[[#This Row],[COSTO TOTAL COCHE]]</f>
        <v>383.16666666666669</v>
      </c>
      <c r="S5806" s="2"/>
      <c r="T5806" s="14" t="s">
        <v>44</v>
      </c>
      <c r="U5806" s="14">
        <v>46201</v>
      </c>
      <c r="V5806" s="79">
        <v>46208</v>
      </c>
      <c r="W5806" s="12"/>
      <c r="X5806" s="2"/>
      <c r="Y5806" s="11" t="s">
        <v>7894</v>
      </c>
      <c r="Z5806" s="2" t="s">
        <v>36</v>
      </c>
      <c r="AA5806" s="13" t="s">
        <v>10416</v>
      </c>
      <c r="AB5806" s="13" t="s">
        <v>10417</v>
      </c>
    </row>
    <row r="5807" spans="1:28" ht="15" customHeight="1">
      <c r="A5807" s="2" t="s">
        <v>9864</v>
      </c>
      <c r="B5807" s="2" t="s">
        <v>978</v>
      </c>
      <c r="C5807" s="11" t="s">
        <v>5100</v>
      </c>
      <c r="D5807" s="2" t="s">
        <v>30</v>
      </c>
      <c r="E5807" s="2" t="s">
        <v>380</v>
      </c>
      <c r="F5807" s="11" t="s">
        <v>4631</v>
      </c>
      <c r="G5807" s="46" t="s">
        <v>7861</v>
      </c>
      <c r="H5807" s="2" t="s">
        <v>5112</v>
      </c>
      <c r="I5807" s="12" t="s">
        <v>4276</v>
      </c>
      <c r="J5807" s="41">
        <f>+Tabla1[[#This Row],[FECHA ENTRADA]]</f>
        <v>46152</v>
      </c>
      <c r="K5807" s="22">
        <v>46199</v>
      </c>
      <c r="L5807" s="42">
        <f>_xlfn.DAYS(Tabla1[[#This Row],[FECHA FIN ]],Tabla1[[#This Row],[FECHA INICIO]])</f>
        <v>47</v>
      </c>
      <c r="M5807" s="12">
        <v>450</v>
      </c>
      <c r="N5807" s="28"/>
      <c r="O5807" s="28">
        <f>(Tabla1[[#This Row],[COSTO FIJO ]]/30)*Tabla1[[#This Row],[TOTAL DIAS PROYECTO]]+(Tabla1[[#This Row],[COSTO TEMPORAL]])</f>
        <v>450</v>
      </c>
      <c r="P5807" s="12"/>
      <c r="Q5807" s="12">
        <f>+(Tabla1[[#This Row],[COSTO COCHE]]/30)*Tabla1[[#This Row],[TOTAL DIAS PROYECTO]]</f>
        <v>0</v>
      </c>
      <c r="R5807" s="12">
        <f>+Tabla1[[#This Row],[COSTO TOTAL ALOJAMIENTO]]+Tabla1[[#This Row],[COSTO TOTAL COCHE]]</f>
        <v>450</v>
      </c>
      <c r="S5807" s="2"/>
      <c r="T5807" s="14" t="s">
        <v>44</v>
      </c>
      <c r="U5807" s="14">
        <v>46152</v>
      </c>
      <c r="V5807" s="79">
        <v>46217</v>
      </c>
      <c r="W5807" s="12"/>
      <c r="X5807" s="2"/>
      <c r="Y5807" s="11" t="s">
        <v>7895</v>
      </c>
      <c r="Z5807" s="2" t="s">
        <v>36</v>
      </c>
      <c r="AA5807" s="13" t="s">
        <v>10370</v>
      </c>
      <c r="AB5807" s="13" t="s">
        <v>10371</v>
      </c>
    </row>
    <row r="5808" spans="1:28" ht="15" customHeight="1">
      <c r="A5808" s="2" t="s">
        <v>9774</v>
      </c>
      <c r="B5808" s="2" t="s">
        <v>606</v>
      </c>
      <c r="C5808" s="31" t="s">
        <v>4676</v>
      </c>
      <c r="D5808" s="2" t="s">
        <v>30</v>
      </c>
      <c r="E5808" s="2" t="s">
        <v>213</v>
      </c>
      <c r="F5808" s="11" t="s">
        <v>1733</v>
      </c>
      <c r="G5808" s="21" t="s">
        <v>1734</v>
      </c>
      <c r="H5808" s="2" t="s">
        <v>7896</v>
      </c>
      <c r="I5808" s="10" t="s">
        <v>3364</v>
      </c>
      <c r="J5808" s="22">
        <f>+Tabla1[[#This Row],[FECHA ENTRADA]]</f>
        <v>46199</v>
      </c>
      <c r="K5808" s="22">
        <v>46238</v>
      </c>
      <c r="L5808" s="23">
        <f>_xlfn.DAYS(Tabla1[[#This Row],[FECHA FIN ]],Tabla1[[#This Row],[FECHA INICIO]])</f>
        <v>39</v>
      </c>
      <c r="M5808" s="12">
        <v>379.5</v>
      </c>
      <c r="N5808" s="20"/>
      <c r="O5808" s="24">
        <f>(Tabla1[[#This Row],[COSTO FIJO ]]/30)*Tabla1[[#This Row],[TOTAL DIAS PROYECTO]]+(Tabla1[[#This Row],[COSTO TEMPORAL]])</f>
        <v>379.5</v>
      </c>
      <c r="P5808" s="12"/>
      <c r="Q5808" s="12">
        <f>+(Tabla1[[#This Row],[COSTO COCHE]]/30)*Tabla1[[#This Row],[TOTAL DIAS PROYECTO]]</f>
        <v>0</v>
      </c>
      <c r="R5808" s="12">
        <f>+Tabla1[[#This Row],[COSTO TOTAL ALOJAMIENTO]]+Tabla1[[#This Row],[COSTO TOTAL COCHE]]</f>
        <v>379.5</v>
      </c>
      <c r="S5808" s="2"/>
      <c r="T5808" s="14" t="s">
        <v>44</v>
      </c>
      <c r="U5808" s="14">
        <v>46199</v>
      </c>
      <c r="V5808" s="25">
        <v>46229</v>
      </c>
      <c r="W5808" s="12"/>
      <c r="X5808" s="2"/>
      <c r="Y5808" s="338" t="s">
        <v>7897</v>
      </c>
      <c r="Z5808" s="2" t="s">
        <v>36</v>
      </c>
      <c r="AA5808" s="13" t="s">
        <v>10349</v>
      </c>
      <c r="AB5808" s="13" t="s">
        <v>10350</v>
      </c>
    </row>
    <row r="5809" spans="1:28" ht="49.5">
      <c r="A5809" s="2" t="s">
        <v>9544</v>
      </c>
      <c r="B5809" s="2" t="s">
        <v>711</v>
      </c>
      <c r="C5809" s="31" t="s">
        <v>3586</v>
      </c>
      <c r="D5809" s="2" t="s">
        <v>99</v>
      </c>
      <c r="E5809" s="2" t="s">
        <v>422</v>
      </c>
      <c r="F5809" s="11"/>
      <c r="G5809" s="46"/>
      <c r="H5809" s="2" t="s">
        <v>2442</v>
      </c>
      <c r="I5809" s="12" t="s">
        <v>2443</v>
      </c>
      <c r="J5809" s="41">
        <f>+Tabla1[[#This Row],[FECHA ENTRADA]]</f>
        <v>46163</v>
      </c>
      <c r="K5809" s="22">
        <v>46168</v>
      </c>
      <c r="L5809" s="42">
        <f>_xlfn.DAYS(Tabla1[[#This Row],[FECHA FIN ]],Tabla1[[#This Row],[FECHA INICIO]])</f>
        <v>5</v>
      </c>
      <c r="M5809" s="12"/>
      <c r="N5809" s="28">
        <v>300</v>
      </c>
      <c r="O5809" s="28">
        <f>(Tabla1[[#This Row],[COSTO FIJO ]]/30)*Tabla1[[#This Row],[TOTAL DIAS PROYECTO]]+(Tabla1[[#This Row],[COSTO TEMPORAL]])</f>
        <v>50</v>
      </c>
      <c r="P5809" s="12"/>
      <c r="Q5809" s="12">
        <f>+(Tabla1[[#This Row],[COSTO COCHE]]/30)*Tabla1[[#This Row],[TOTAL DIAS PROYECTO]]</f>
        <v>0</v>
      </c>
      <c r="R5809" s="12">
        <f>+Tabla1[[#This Row],[COSTO TOTAL ALOJAMIENTO]]+Tabla1[[#This Row],[COSTO TOTAL COCHE]]</f>
        <v>50</v>
      </c>
      <c r="S5809" s="2"/>
      <c r="T5809" s="14" t="s">
        <v>58</v>
      </c>
      <c r="U5809" s="14">
        <v>46163</v>
      </c>
      <c r="V5809" s="43"/>
      <c r="W5809" s="12"/>
      <c r="X5809" s="2"/>
      <c r="Y5809" s="339" t="s">
        <v>7898</v>
      </c>
      <c r="Z5809" s="2" t="s">
        <v>36</v>
      </c>
      <c r="AA5809" s="13">
        <v>-326.69799999999998</v>
      </c>
      <c r="AB5809" s="13" t="s">
        <v>10373</v>
      </c>
    </row>
    <row r="5810" spans="1:28" ht="15" customHeight="1">
      <c r="A5810" s="2" t="s">
        <v>10102</v>
      </c>
      <c r="B5810" s="2" t="s">
        <v>978</v>
      </c>
      <c r="C5810" s="11" t="s">
        <v>6397</v>
      </c>
      <c r="D5810" s="2" t="s">
        <v>99</v>
      </c>
      <c r="E5810" s="2" t="s">
        <v>380</v>
      </c>
      <c r="F5810" s="11" t="s">
        <v>5110</v>
      </c>
      <c r="G5810" s="11" t="s">
        <v>5111</v>
      </c>
      <c r="H5810" s="2" t="s">
        <v>6396</v>
      </c>
      <c r="I5810" s="12" t="s">
        <v>4276</v>
      </c>
      <c r="J5810" s="22">
        <f>+Tabla1[[#This Row],[FECHA ENTRADA]]</f>
        <v>46009</v>
      </c>
      <c r="K5810" s="22">
        <f ca="1">TODAY()</f>
        <v>46260</v>
      </c>
      <c r="L5810" s="23">
        <f ca="1">_xlfn.DAYS(Tabla1[[#This Row],[FECHA FIN ]],Tabla1[[#This Row],[FECHA INICIO]])</f>
        <v>251</v>
      </c>
      <c r="M5810" s="12">
        <v>333.33333333333331</v>
      </c>
      <c r="N5810" s="20"/>
      <c r="O5810" s="24">
        <f ca="1">(Tabla1[[#This Row],[COSTO FIJO ]]/30)*Tabla1[[#This Row],[TOTAL DIAS PROYECTO]]+(Tabla1[[#This Row],[COSTO TEMPORAL]])</f>
        <v>333.33333333333331</v>
      </c>
      <c r="P5810" s="12"/>
      <c r="Q5810" s="12">
        <f ca="1">+(Tabla1[[#This Row],[COSTO COCHE]]/30)*Tabla1[[#This Row],[TOTAL DIAS PROYECTO]]</f>
        <v>0</v>
      </c>
      <c r="R5810" s="12">
        <f ca="1">+Tabla1[[#This Row],[COSTO TOTAL ALOJAMIENTO]]+Tabla1[[#This Row],[COSTO TOTAL COCHE]]</f>
        <v>333.33333333333331</v>
      </c>
      <c r="S5810" s="2"/>
      <c r="T5810" s="14" t="s">
        <v>44</v>
      </c>
      <c r="U5810" s="14">
        <v>46009</v>
      </c>
      <c r="V5810" s="79">
        <v>46217</v>
      </c>
      <c r="W5810" s="12"/>
      <c r="X5810" s="2"/>
      <c r="Y5810" s="340" t="s">
        <v>7899</v>
      </c>
      <c r="Z5810" s="2" t="s">
        <v>36</v>
      </c>
      <c r="AA5810" s="13" t="s">
        <v>10370</v>
      </c>
      <c r="AB5810" s="13" t="s">
        <v>10371</v>
      </c>
    </row>
    <row r="5811" spans="1:28" ht="15" customHeight="1">
      <c r="A5811" s="2" t="s">
        <v>10299</v>
      </c>
      <c r="B5811" s="2" t="s">
        <v>606</v>
      </c>
      <c r="C5811" s="11" t="s">
        <v>7900</v>
      </c>
      <c r="D5811" s="2" t="s">
        <v>99</v>
      </c>
      <c r="E5811" s="2" t="s">
        <v>1393</v>
      </c>
      <c r="F5811" s="11" t="s">
        <v>600</v>
      </c>
      <c r="G5811" s="11" t="s">
        <v>601</v>
      </c>
      <c r="H5811" s="2" t="s">
        <v>7901</v>
      </c>
      <c r="I5811" s="12" t="s">
        <v>7902</v>
      </c>
      <c r="J5811" s="22">
        <f>+Tabla1[[#This Row],[FECHA ENTRADA]]</f>
        <v>46043</v>
      </c>
      <c r="K5811" s="22">
        <f ca="1">TODAY()</f>
        <v>46260</v>
      </c>
      <c r="L5811" s="23">
        <f ca="1">_xlfn.DAYS(Tabla1[[#This Row],[FECHA FIN ]],Tabla1[[#This Row],[FECHA INICIO]])</f>
        <v>217</v>
      </c>
      <c r="M5811" s="12"/>
      <c r="N5811" s="20">
        <v>600</v>
      </c>
      <c r="O5811" s="24">
        <f ca="1">(Tabla1[[#This Row],[COSTO FIJO ]]/30)*Tabla1[[#This Row],[TOTAL DIAS PROYECTO]]+(Tabla1[[#This Row],[COSTO TEMPORAL]])</f>
        <v>4340</v>
      </c>
      <c r="P5811" s="12"/>
      <c r="Q5811" s="12">
        <f ca="1">+(Tabla1[[#This Row],[COSTO COCHE]]/30)*Tabla1[[#This Row],[TOTAL DIAS PROYECTO]]</f>
        <v>0</v>
      </c>
      <c r="R5811" s="12">
        <f ca="1">+Tabla1[[#This Row],[COSTO TOTAL ALOJAMIENTO]]+Tabla1[[#This Row],[COSTO TOTAL COCHE]]</f>
        <v>4340</v>
      </c>
      <c r="S5811" s="2"/>
      <c r="T5811" s="14" t="s">
        <v>35</v>
      </c>
      <c r="U5811" s="14">
        <v>46043</v>
      </c>
      <c r="V5811" s="79">
        <v>46065</v>
      </c>
      <c r="W5811" s="12"/>
      <c r="X5811" s="2">
        <v>5</v>
      </c>
      <c r="Y5811" s="11" t="s">
        <v>7903</v>
      </c>
      <c r="Z5811" s="2" t="s">
        <v>702</v>
      </c>
      <c r="AA5811" s="13" t="s">
        <v>10416</v>
      </c>
      <c r="AB5811" s="13" t="s">
        <v>10417</v>
      </c>
    </row>
    <row r="5812" spans="1:28" ht="15" customHeight="1">
      <c r="A5812" s="116" t="s">
        <v>9483</v>
      </c>
      <c r="B5812" s="116" t="s">
        <v>978</v>
      </c>
      <c r="C5812" s="136" t="s">
        <v>3349</v>
      </c>
      <c r="D5812" s="116" t="s">
        <v>30</v>
      </c>
      <c r="E5812" s="116" t="s">
        <v>734</v>
      </c>
      <c r="F5812" s="136" t="s">
        <v>735</v>
      </c>
      <c r="G5812" s="341" t="s">
        <v>736</v>
      </c>
      <c r="H5812" s="116" t="s">
        <v>1869</v>
      </c>
      <c r="I5812" s="116" t="s">
        <v>3356</v>
      </c>
      <c r="J5812" s="342">
        <f>+Tabla1[[#This Row],[FECHA ENTRADA]]</f>
        <v>45810</v>
      </c>
      <c r="K5812" s="137">
        <f ca="1">TODAY()</f>
        <v>46260</v>
      </c>
      <c r="L5812" s="343">
        <f ca="1">_xlfn.DAYS(Tabla1[[#This Row],[FECHA FIN ]],Tabla1[[#This Row],[FECHA INICIO]])</f>
        <v>450</v>
      </c>
      <c r="M5812" s="139"/>
      <c r="N5812" s="139">
        <v>260</v>
      </c>
      <c r="O5812" s="344">
        <f ca="1">(Tabla1[[#This Row],[COSTO FIJO ]]/30)*Tabla1[[#This Row],[TOTAL DIAS PROYECTO]]+(Tabla1[[#This Row],[COSTO TEMPORAL]])</f>
        <v>3899.9999999999995</v>
      </c>
      <c r="P5812" s="139"/>
      <c r="Q5812" s="139">
        <f ca="1">+(Tabla1[[#This Row],[COSTO COCHE]]/30)*Tabla1[[#This Row],[TOTAL DIAS PROYECTO]]</f>
        <v>0</v>
      </c>
      <c r="R5812" s="139">
        <f ca="1">+Tabla1[[#This Row],[COSTO TOTAL ALOJAMIENTO]]+Tabla1[[#This Row],[COSTO TOTAL COCHE]]</f>
        <v>3899.9999999999995</v>
      </c>
      <c r="S5812" s="116"/>
      <c r="T5812" s="116" t="s">
        <v>35</v>
      </c>
      <c r="U5812" s="141">
        <v>45810</v>
      </c>
      <c r="V5812" s="345"/>
      <c r="W5812" s="139"/>
      <c r="X5812" s="116">
        <v>5</v>
      </c>
      <c r="Y5812" s="11" t="s">
        <v>6493</v>
      </c>
      <c r="Z5812" s="116" t="s">
        <v>702</v>
      </c>
      <c r="AA5812" s="134" t="s">
        <v>10396</v>
      </c>
      <c r="AB5812" s="134" t="s">
        <v>10397</v>
      </c>
    </row>
    <row r="5813" spans="1:28" ht="15" customHeight="1">
      <c r="A5813" s="2" t="s">
        <v>10300</v>
      </c>
      <c r="B5813" s="2" t="s">
        <v>606</v>
      </c>
      <c r="C5813" s="11" t="s">
        <v>7904</v>
      </c>
      <c r="D5813" s="2" t="s">
        <v>99</v>
      </c>
      <c r="E5813" s="2" t="s">
        <v>599</v>
      </c>
      <c r="F5813" s="11" t="s">
        <v>600</v>
      </c>
      <c r="G5813" s="11" t="s">
        <v>601</v>
      </c>
      <c r="H5813" s="2" t="s">
        <v>2095</v>
      </c>
      <c r="I5813" s="12" t="s">
        <v>7902</v>
      </c>
      <c r="J5813" s="41">
        <f>+Tabla1[[#This Row],[FECHA ENTRADA]]</f>
        <v>45819</v>
      </c>
      <c r="K5813" s="41">
        <v>46254</v>
      </c>
      <c r="L5813" s="42">
        <f>_xlfn.DAYS(Tabla1[[#This Row],[FECHA FIN ]],Tabla1[[#This Row],[FECHA INICIO]])</f>
        <v>435</v>
      </c>
      <c r="M5813" s="12"/>
      <c r="N5813" s="28">
        <v>600</v>
      </c>
      <c r="O5813" s="28">
        <f>(Tabla1[[#This Row],[COSTO FIJO ]]/30)*Tabla1[[#This Row],[TOTAL DIAS PROYECTO]]+(Tabla1[[#This Row],[COSTO TEMPORAL]])</f>
        <v>8700</v>
      </c>
      <c r="P5813" s="12"/>
      <c r="Q5813" s="12">
        <f>+(Tabla1[[#This Row],[COSTO COCHE]]/30)*Tabla1[[#This Row],[TOTAL DIAS PROYECTO]]</f>
        <v>0</v>
      </c>
      <c r="R5813" s="12">
        <f>+Tabla1[[#This Row],[COSTO TOTAL ALOJAMIENTO]]+Tabla1[[#This Row],[COSTO TOTAL COCHE]]</f>
        <v>8700</v>
      </c>
      <c r="S5813" s="2"/>
      <c r="T5813" s="14" t="s">
        <v>35</v>
      </c>
      <c r="U5813" s="14">
        <v>45819</v>
      </c>
      <c r="V5813" s="43">
        <v>45869</v>
      </c>
      <c r="W5813" s="12"/>
      <c r="X5813" s="2">
        <v>5</v>
      </c>
      <c r="Y5813" s="11" t="s">
        <v>7905</v>
      </c>
      <c r="Z5813" s="2" t="s">
        <v>36</v>
      </c>
      <c r="AA5813" s="13" t="s">
        <v>10382</v>
      </c>
      <c r="AB5813" s="13">
        <v>4038884</v>
      </c>
    </row>
    <row r="5814" spans="1:28" ht="15" customHeight="1">
      <c r="A5814" s="2" t="s">
        <v>10301</v>
      </c>
      <c r="B5814" s="2" t="s">
        <v>978</v>
      </c>
      <c r="C5814" s="11" t="s">
        <v>7906</v>
      </c>
      <c r="D5814" s="2" t="s">
        <v>30</v>
      </c>
      <c r="E5814" s="2" t="s">
        <v>734</v>
      </c>
      <c r="F5814" s="11" t="s">
        <v>735</v>
      </c>
      <c r="G5814" s="251" t="s">
        <v>736</v>
      </c>
      <c r="H5814" s="2" t="s">
        <v>1869</v>
      </c>
      <c r="I5814" s="116" t="s">
        <v>3356</v>
      </c>
      <c r="J5814" s="41">
        <f>+Tabla1[[#This Row],[FECHA ENTRADA]]</f>
        <v>45810</v>
      </c>
      <c r="K5814" s="22">
        <f ca="1">TODAY()</f>
        <v>46260</v>
      </c>
      <c r="L5814" s="42">
        <f ca="1">_xlfn.DAYS(Tabla1[[#This Row],[FECHA FIN ]],Tabla1[[#This Row],[FECHA INICIO]])</f>
        <v>450</v>
      </c>
      <c r="M5814" s="12"/>
      <c r="N5814" s="12">
        <v>260</v>
      </c>
      <c r="O5814" s="28">
        <f ca="1">(Tabla1[[#This Row],[COSTO FIJO ]]/30)*Tabla1[[#This Row],[TOTAL DIAS PROYECTO]]+(Tabla1[[#This Row],[COSTO TEMPORAL]])</f>
        <v>3899.9999999999995</v>
      </c>
      <c r="P5814" s="12"/>
      <c r="Q5814" s="12">
        <f ca="1">+(Tabla1[[#This Row],[COSTO COCHE]]/30)*Tabla1[[#This Row],[TOTAL DIAS PROYECTO]]</f>
        <v>0</v>
      </c>
      <c r="R5814" s="12">
        <f ca="1">+Tabla1[[#This Row],[COSTO TOTAL ALOJAMIENTO]]+Tabla1[[#This Row],[COSTO TOTAL COCHE]]</f>
        <v>3899.9999999999995</v>
      </c>
      <c r="S5814" s="2"/>
      <c r="T5814" s="2" t="s">
        <v>35</v>
      </c>
      <c r="U5814" s="14">
        <v>45810</v>
      </c>
      <c r="V5814" s="75"/>
      <c r="W5814" s="12">
        <v>400</v>
      </c>
      <c r="X5814" s="2">
        <v>5</v>
      </c>
      <c r="Y5814" s="340" t="s">
        <v>7907</v>
      </c>
      <c r="Z5814" s="2" t="s">
        <v>702</v>
      </c>
      <c r="AA5814" s="13" t="s">
        <v>10396</v>
      </c>
      <c r="AB5814" s="13" t="s">
        <v>10397</v>
      </c>
    </row>
    <row r="5815" spans="1:28">
      <c r="A5815" s="2" t="s">
        <v>10034</v>
      </c>
      <c r="B5815" s="2" t="s">
        <v>711</v>
      </c>
      <c r="C5815" s="31" t="s">
        <v>6009</v>
      </c>
      <c r="D5815" s="2" t="s">
        <v>99</v>
      </c>
      <c r="E5815" s="2" t="s">
        <v>422</v>
      </c>
      <c r="F5815" s="11" t="s">
        <v>1106</v>
      </c>
      <c r="G5815" s="49" t="s">
        <v>7440</v>
      </c>
      <c r="H5815" s="2" t="s">
        <v>7441</v>
      </c>
      <c r="I5815" s="12" t="s">
        <v>7442</v>
      </c>
      <c r="J5815" s="22">
        <f>+Tabla1[[#This Row],[FECHA ENTRADA]]</f>
        <v>45984</v>
      </c>
      <c r="K5815" s="22">
        <v>46217</v>
      </c>
      <c r="L5815" s="23">
        <f>_xlfn.DAYS(Tabla1[[#This Row],[FECHA FIN ]],Tabla1[[#This Row],[FECHA INICIO]])</f>
        <v>233</v>
      </c>
      <c r="M5815" s="12"/>
      <c r="N5815" s="24">
        <v>0</v>
      </c>
      <c r="O5815" s="24">
        <f>(Tabla1[[#This Row],[COSTO FIJO ]]/30)*Tabla1[[#This Row],[TOTAL DIAS PROYECTO]]+(Tabla1[[#This Row],[COSTO TEMPORAL]])</f>
        <v>0</v>
      </c>
      <c r="P5815" s="12"/>
      <c r="Q5815" s="12">
        <f>+(Tabla1[[#This Row],[COSTO COCHE]]/30)*Tabla1[[#This Row],[TOTAL DIAS PROYECTO]]</f>
        <v>0</v>
      </c>
      <c r="R5815" s="12">
        <f>+Tabla1[[#This Row],[COSTO TOTAL ALOJAMIENTO]]+Tabla1[[#This Row],[COSTO TOTAL COCHE]]</f>
        <v>0</v>
      </c>
      <c r="S5815" s="2"/>
      <c r="T5815" s="2" t="s">
        <v>8</v>
      </c>
      <c r="U5815" s="14">
        <v>45984</v>
      </c>
      <c r="V5815" s="25"/>
      <c r="W5815" s="12"/>
      <c r="X5815" s="2"/>
      <c r="Y5815" s="11" t="s">
        <v>7908</v>
      </c>
      <c r="Z5815" s="2" t="s">
        <v>36</v>
      </c>
      <c r="AA5815" s="13">
        <v>-326.69799999999998</v>
      </c>
      <c r="AB5815" s="13" t="s">
        <v>10373</v>
      </c>
    </row>
    <row r="5816" spans="1:28">
      <c r="A5816" s="2" t="s">
        <v>9017</v>
      </c>
      <c r="B5816" s="2" t="s">
        <v>606</v>
      </c>
      <c r="C5816" s="31" t="s">
        <v>1705</v>
      </c>
      <c r="D5816" s="2" t="s">
        <v>30</v>
      </c>
      <c r="E5816" s="2" t="s">
        <v>31</v>
      </c>
      <c r="F5816" s="11" t="s">
        <v>715</v>
      </c>
      <c r="G5816" s="11" t="s">
        <v>716</v>
      </c>
      <c r="H5816" s="2" t="s">
        <v>7851</v>
      </c>
      <c r="I5816" s="12" t="s">
        <v>1642</v>
      </c>
      <c r="J5816" s="22">
        <f>+Tabla1[[#This Row],[FECHA ENTRADA]]</f>
        <v>46198</v>
      </c>
      <c r="K5816" s="22">
        <v>46199</v>
      </c>
      <c r="L5816" s="23">
        <f>_xlfn.DAYS(Tabla1[[#This Row],[FECHA FIN ]],Tabla1[[#This Row],[FECHA INICIO]])</f>
        <v>1</v>
      </c>
      <c r="M5816" s="12"/>
      <c r="N5816" s="12">
        <v>160</v>
      </c>
      <c r="O5816" s="24">
        <f>(Tabla1[[#This Row],[COSTO FIJO ]]/30)*Tabla1[[#This Row],[TOTAL DIAS PROYECTO]]+(Tabla1[[#This Row],[COSTO TEMPORAL]])</f>
        <v>5.333333333333333</v>
      </c>
      <c r="P5816" s="12"/>
      <c r="Q5816" s="12">
        <f>+(Tabla1[[#This Row],[COSTO COCHE]]/30)*Tabla1[[#This Row],[TOTAL DIAS PROYECTO]]</f>
        <v>0</v>
      </c>
      <c r="R5816" s="12">
        <f>+Tabla1[[#This Row],[COSTO TOTAL ALOJAMIENTO]]+Tabla1[[#This Row],[COSTO TOTAL COCHE]]</f>
        <v>5.333333333333333</v>
      </c>
      <c r="S5816" s="2"/>
      <c r="T5816" s="14" t="s">
        <v>35</v>
      </c>
      <c r="U5816" s="14">
        <v>46198</v>
      </c>
      <c r="V5816" s="79"/>
      <c r="W5816" s="12"/>
      <c r="X5816" s="2"/>
      <c r="Y5816" s="11" t="s">
        <v>7909</v>
      </c>
      <c r="Z5816" s="2" t="s">
        <v>36</v>
      </c>
      <c r="AA5816" s="13" t="s">
        <v>10323</v>
      </c>
      <c r="AB5816" s="13" t="s">
        <v>10324</v>
      </c>
    </row>
    <row r="5817" spans="1:28" ht="15" customHeight="1">
      <c r="A5817" s="2" t="s">
        <v>9329</v>
      </c>
      <c r="B5817" s="2" t="s">
        <v>711</v>
      </c>
      <c r="C5817" s="11" t="s">
        <v>2840</v>
      </c>
      <c r="D5817" s="2" t="s">
        <v>30</v>
      </c>
      <c r="E5817" s="2" t="s">
        <v>648</v>
      </c>
      <c r="F5817" s="11"/>
      <c r="G5817" s="21"/>
      <c r="H5817" s="2" t="s">
        <v>1363</v>
      </c>
      <c r="I5817" s="12" t="s">
        <v>96</v>
      </c>
      <c r="J5817" s="22">
        <f>+Tabla1[[#This Row],[FECHA ENTRADA]]</f>
        <v>45962</v>
      </c>
      <c r="K5817" s="22">
        <f ca="1">TODAY()</f>
        <v>46260</v>
      </c>
      <c r="L5817" s="23">
        <f ca="1">_xlfn.DAYS(Tabla1[[#This Row],[FECHA FIN ]],Tabla1[[#This Row],[FECHA INICIO]])</f>
        <v>298</v>
      </c>
      <c r="M5817" s="12"/>
      <c r="N5817" s="20">
        <v>300</v>
      </c>
      <c r="O5817" s="24">
        <f ca="1">(Tabla1[[#This Row],[COSTO FIJO ]]/30)*Tabla1[[#This Row],[TOTAL DIAS PROYECTO]]+(Tabla1[[#This Row],[COSTO TEMPORAL]])</f>
        <v>2980</v>
      </c>
      <c r="P5817" s="12"/>
      <c r="Q5817" s="12">
        <f ca="1">+(Tabla1[[#This Row],[COSTO COCHE]]/30)*Tabla1[[#This Row],[TOTAL DIAS PROYECTO]]</f>
        <v>0</v>
      </c>
      <c r="R5817" s="12">
        <f ca="1">+Tabla1[[#This Row],[COSTO TOTAL ALOJAMIENTO]]+Tabla1[[#This Row],[COSTO TOTAL COCHE]]</f>
        <v>2980</v>
      </c>
      <c r="S5817" s="2"/>
      <c r="T5817" s="14" t="s">
        <v>58</v>
      </c>
      <c r="U5817" s="14">
        <v>45962</v>
      </c>
      <c r="V5817" s="79"/>
      <c r="W5817" s="71"/>
      <c r="X5817" s="2"/>
      <c r="Y5817" s="11"/>
      <c r="Z5817" s="2" t="s">
        <v>702</v>
      </c>
      <c r="AA5817" s="13" t="s">
        <v>10387</v>
      </c>
      <c r="AB5817" s="13" t="s">
        <v>10388</v>
      </c>
    </row>
    <row r="5818" spans="1:28" ht="15" customHeight="1">
      <c r="A5818" s="2" t="s">
        <v>9696</v>
      </c>
      <c r="B5818" s="2" t="s">
        <v>978</v>
      </c>
      <c r="C5818" s="104" t="s">
        <v>4278</v>
      </c>
      <c r="D5818" s="2" t="s">
        <v>30</v>
      </c>
      <c r="E5818" s="2" t="s">
        <v>380</v>
      </c>
      <c r="F5818" s="11"/>
      <c r="G5818" s="21"/>
      <c r="H5818" s="2" t="s">
        <v>4279</v>
      </c>
      <c r="I5818" s="12" t="s">
        <v>4276</v>
      </c>
      <c r="J5818" s="22">
        <f>+Tabla1[[#This Row],[FECHA ENTRADA]]</f>
        <v>46030</v>
      </c>
      <c r="K5818" s="22">
        <f ca="1">TODAY()</f>
        <v>46260</v>
      </c>
      <c r="L5818" s="23">
        <f ca="1">_xlfn.DAYS(Tabla1[[#This Row],[FECHA FIN ]],Tabla1[[#This Row],[FECHA INICIO]])</f>
        <v>230</v>
      </c>
      <c r="M5818" s="12"/>
      <c r="N5818" s="20">
        <v>300</v>
      </c>
      <c r="O5818" s="24">
        <f ca="1">(Tabla1[[#This Row],[COSTO FIJO ]]/30)*Tabla1[[#This Row],[TOTAL DIAS PROYECTO]]+(Tabla1[[#This Row],[COSTO TEMPORAL]])</f>
        <v>2300</v>
      </c>
      <c r="P5818" s="12"/>
      <c r="Q5818" s="12">
        <f ca="1">+(Tabla1[[#This Row],[COSTO COCHE]]/30)*Tabla1[[#This Row],[TOTAL DIAS PROYECTO]]</f>
        <v>0</v>
      </c>
      <c r="R5818" s="12">
        <f ca="1">+Tabla1[[#This Row],[COSTO TOTAL ALOJAMIENTO]]+Tabla1[[#This Row],[COSTO TOTAL COCHE]]</f>
        <v>2300</v>
      </c>
      <c r="S5818" s="2"/>
      <c r="T5818" s="14" t="s">
        <v>58</v>
      </c>
      <c r="U5818" s="14">
        <v>46030</v>
      </c>
      <c r="V5818" s="79"/>
      <c r="W5818" s="12"/>
      <c r="X5818" s="2"/>
      <c r="Y5818" s="11" t="s">
        <v>7910</v>
      </c>
      <c r="Z5818" s="2" t="s">
        <v>702</v>
      </c>
      <c r="AA5818" s="13" t="s">
        <v>10370</v>
      </c>
      <c r="AB5818" s="13" t="s">
        <v>10371</v>
      </c>
    </row>
    <row r="5819" spans="1:28" ht="15" customHeight="1">
      <c r="A5819" s="2" t="s">
        <v>10302</v>
      </c>
      <c r="B5819" s="2" t="s">
        <v>606</v>
      </c>
      <c r="C5819" s="31" t="s">
        <v>7911</v>
      </c>
      <c r="D5819" s="2" t="s">
        <v>30</v>
      </c>
      <c r="E5819" s="2" t="s">
        <v>31</v>
      </c>
      <c r="F5819" s="11"/>
      <c r="G5819" s="11"/>
      <c r="H5819" s="2">
        <v>2023</v>
      </c>
      <c r="I5819" s="2" t="s">
        <v>385</v>
      </c>
      <c r="J5819" s="8">
        <f>+Tabla1[[#This Row],[FECHA ENTRADA]]</f>
        <v>45311</v>
      </c>
      <c r="K5819" s="8">
        <v>46265</v>
      </c>
      <c r="L5819" s="13">
        <f>_xlfn.DAYS(Tabla1[[#This Row],[FECHA FIN ]],Tabla1[[#This Row],[FECHA INICIO]])</f>
        <v>954</v>
      </c>
      <c r="M5819" s="12"/>
      <c r="N5819" s="28">
        <v>300</v>
      </c>
      <c r="O5819" s="12">
        <f>(Tabla1[[#This Row],[COSTO FIJO ]]/30)*Tabla1[[#This Row],[TOTAL DIAS PROYECTO]]+(Tabla1[[#This Row],[COSTO TEMPORAL]])</f>
        <v>9540</v>
      </c>
      <c r="P5819" s="12"/>
      <c r="Q5819" s="12">
        <f>+(Tabla1[[#This Row],[COSTO COCHE]]/30)*Tabla1[[#This Row],[TOTAL DIAS PROYECTO]]</f>
        <v>0</v>
      </c>
      <c r="R5819" s="12">
        <f>+Tabla1[[#This Row],[COSTO TOTAL ALOJAMIENTO]]+Tabla1[[#This Row],[COSTO TOTAL COCHE]]</f>
        <v>9540</v>
      </c>
      <c r="S5819" s="2"/>
      <c r="T5819" s="2" t="s">
        <v>58</v>
      </c>
      <c r="U5819" s="14">
        <v>45311</v>
      </c>
      <c r="V5819" s="14"/>
      <c r="W5819" s="15"/>
      <c r="X5819" s="16"/>
      <c r="Y5819" s="11" t="s">
        <v>7912</v>
      </c>
      <c r="Z5819" s="2" t="s">
        <v>36</v>
      </c>
      <c r="AA5819" s="13" t="s">
        <v>10323</v>
      </c>
      <c r="AB5819" s="13" t="s">
        <v>10324</v>
      </c>
    </row>
    <row r="5820" spans="1:28" ht="15" customHeight="1">
      <c r="A5820" s="2" t="s">
        <v>10199</v>
      </c>
      <c r="B5820" s="2" t="s">
        <v>711</v>
      </c>
      <c r="C5820" s="97" t="s">
        <v>7111</v>
      </c>
      <c r="D5820" s="2" t="s">
        <v>30</v>
      </c>
      <c r="E5820" s="2" t="s">
        <v>213</v>
      </c>
      <c r="F5820" s="11" t="s">
        <v>7705</v>
      </c>
      <c r="G5820" s="68" t="s">
        <v>558</v>
      </c>
      <c r="H5820" s="2" t="s">
        <v>6732</v>
      </c>
      <c r="I5820" s="12" t="s">
        <v>4464</v>
      </c>
      <c r="J5820" s="22">
        <f>+Tabla1[[#This Row],[FECHA ENTRADA]]</f>
        <v>45959</v>
      </c>
      <c r="K5820" s="22">
        <v>46053</v>
      </c>
      <c r="L5820" s="23">
        <f>_xlfn.DAYS(Tabla1[[#This Row],[FECHA FIN ]],Tabla1[[#This Row],[FECHA INICIO]])</f>
        <v>94</v>
      </c>
      <c r="M5820" s="12"/>
      <c r="N5820" s="20">
        <v>500</v>
      </c>
      <c r="O5820" s="24">
        <f>(Tabla1[[#This Row],[COSTO FIJO ]]/30)*Tabla1[[#This Row],[TOTAL DIAS PROYECTO]]+(Tabla1[[#This Row],[COSTO TEMPORAL]])</f>
        <v>1566.6666666666667</v>
      </c>
      <c r="P5820" s="12"/>
      <c r="Q5820" s="12">
        <f>+(Tabla1[[#This Row],[COSTO COCHE]]/30)*Tabla1[[#This Row],[TOTAL DIAS PROYECTO]]</f>
        <v>0</v>
      </c>
      <c r="R5820" s="12">
        <f>+Tabla1[[#This Row],[COSTO TOTAL ALOJAMIENTO]]+Tabla1[[#This Row],[COSTO TOTAL COCHE]]</f>
        <v>1566.6666666666667</v>
      </c>
      <c r="S5820" s="2"/>
      <c r="T5820" s="14" t="s">
        <v>35</v>
      </c>
      <c r="U5820" s="14">
        <v>45959</v>
      </c>
      <c r="V5820" s="79"/>
      <c r="W5820" s="71"/>
      <c r="X5820" s="2">
        <v>25</v>
      </c>
      <c r="Y5820" s="11" t="s">
        <v>7913</v>
      </c>
      <c r="Z5820" s="2" t="s">
        <v>36</v>
      </c>
      <c r="AA5820" s="13" t="s">
        <v>10349</v>
      </c>
      <c r="AB5820" s="13" t="s">
        <v>10350</v>
      </c>
    </row>
    <row r="5821" spans="1:28" ht="15" customHeight="1">
      <c r="A5821" s="117" t="s">
        <v>9155</v>
      </c>
      <c r="B5821" s="117" t="s">
        <v>711</v>
      </c>
      <c r="C5821" s="118" t="s">
        <v>2253</v>
      </c>
      <c r="D5821" s="117" t="s">
        <v>30</v>
      </c>
      <c r="E5821" s="117" t="s">
        <v>213</v>
      </c>
      <c r="F5821" s="11" t="s">
        <v>7502</v>
      </c>
      <c r="G5821" s="197" t="s">
        <v>7503</v>
      </c>
      <c r="H5821" s="117" t="s">
        <v>7914</v>
      </c>
      <c r="I5821" s="119" t="s">
        <v>4464</v>
      </c>
      <c r="J5821" s="121">
        <f>+Tabla1[[#This Row],[FECHA ENTRADA]]</f>
        <v>45959</v>
      </c>
      <c r="K5821" s="121">
        <f ca="1">TODAY()</f>
        <v>46260</v>
      </c>
      <c r="L5821" s="129">
        <f ca="1">_xlfn.DAYS(Tabla1[[#This Row],[FECHA FIN ]],Tabla1[[#This Row],[FECHA INICIO]])</f>
        <v>301</v>
      </c>
      <c r="M5821" s="119"/>
      <c r="N5821" s="130"/>
      <c r="O5821" s="131">
        <f ca="1">(Tabla1[[#This Row],[COSTO FIJO ]]/30)*Tabla1[[#This Row],[TOTAL DIAS PROYECTO]]+(Tabla1[[#This Row],[COSTO TEMPORAL]])</f>
        <v>0</v>
      </c>
      <c r="P5821" s="119"/>
      <c r="Q5821" s="119">
        <f ca="1">+(Tabla1[[#This Row],[COSTO COCHE]]/30)*Tabla1[[#This Row],[TOTAL DIAS PROYECTO]]</f>
        <v>0</v>
      </c>
      <c r="R5821" s="119">
        <f ca="1">+Tabla1[[#This Row],[COSTO TOTAL ALOJAMIENTO]]+Tabla1[[#This Row],[COSTO TOTAL COCHE]]</f>
        <v>0</v>
      </c>
      <c r="S5821" s="117"/>
      <c r="T5821" s="124" t="s">
        <v>44</v>
      </c>
      <c r="U5821" s="124">
        <v>45959</v>
      </c>
      <c r="V5821" s="132">
        <v>45972</v>
      </c>
      <c r="W5821" s="126"/>
      <c r="X5821" s="117"/>
      <c r="Y5821" s="118" t="s">
        <v>7915</v>
      </c>
      <c r="Z5821" s="117" t="s">
        <v>36</v>
      </c>
      <c r="AA5821" s="127" t="s">
        <v>10349</v>
      </c>
      <c r="AB5821" s="127" t="s">
        <v>10350</v>
      </c>
    </row>
    <row r="5822" spans="1:28" ht="15" customHeight="1">
      <c r="A5822" s="2" t="s">
        <v>8642</v>
      </c>
      <c r="B5822" s="2" t="s">
        <v>3133</v>
      </c>
      <c r="C5822" s="31" t="s">
        <v>7094</v>
      </c>
      <c r="D5822" s="2" t="s">
        <v>99</v>
      </c>
      <c r="E5822" s="2" t="s">
        <v>87</v>
      </c>
      <c r="F5822" s="11" t="s">
        <v>1668</v>
      </c>
      <c r="G5822" s="21" t="s">
        <v>1669</v>
      </c>
      <c r="H5822" s="2" t="s">
        <v>3193</v>
      </c>
      <c r="I5822" s="12" t="s">
        <v>3137</v>
      </c>
      <c r="J5822" s="22">
        <f>+Tabla1[[#This Row],[FECHA ENTRADA]]</f>
        <v>46143</v>
      </c>
      <c r="K5822" s="8">
        <v>46238</v>
      </c>
      <c r="L5822" s="23">
        <f>_xlfn.DAYS(Tabla1[[#This Row],[FECHA FIN ]],Tabla1[[#This Row],[FECHA INICIO]])</f>
        <v>95</v>
      </c>
      <c r="M5822" s="12"/>
      <c r="N5822" s="24">
        <v>425</v>
      </c>
      <c r="O5822" s="24">
        <f>(Tabla1[[#This Row],[COSTO FIJO ]]/30)*Tabla1[[#This Row],[TOTAL DIAS PROYECTO]]+(Tabla1[[#This Row],[COSTO TEMPORAL]])</f>
        <v>1345.8333333333333</v>
      </c>
      <c r="P5822" s="12"/>
      <c r="Q5822" s="12">
        <f>+(Tabla1[[#This Row],[COSTO COCHE]]/30)*Tabla1[[#This Row],[TOTAL DIAS PROYECTO]]</f>
        <v>0</v>
      </c>
      <c r="R5822" s="12">
        <f>+Tabla1[[#This Row],[COSTO TOTAL ALOJAMIENTO]]+Tabla1[[#This Row],[COSTO TOTAL COCHE]]</f>
        <v>1345.8333333333333</v>
      </c>
      <c r="S5822" s="2"/>
      <c r="T5822" s="14" t="s">
        <v>35</v>
      </c>
      <c r="U5822" s="14">
        <v>46143</v>
      </c>
      <c r="V5822" s="25"/>
      <c r="W5822" s="12"/>
      <c r="X5822" s="2">
        <v>15</v>
      </c>
      <c r="Y5822" s="11" t="s">
        <v>7916</v>
      </c>
      <c r="Z5822" s="2" t="s">
        <v>36</v>
      </c>
      <c r="AA5822" s="13" t="s">
        <v>10335</v>
      </c>
      <c r="AB5822" s="13">
        <v>404.16500000000002</v>
      </c>
    </row>
    <row r="5823" spans="1:28" ht="15" customHeight="1">
      <c r="A5823" s="2" t="s">
        <v>10271</v>
      </c>
      <c r="B5823" s="2" t="s">
        <v>3133</v>
      </c>
      <c r="C5823" s="31" t="s">
        <v>7667</v>
      </c>
      <c r="D5823" s="2" t="s">
        <v>99</v>
      </c>
      <c r="E5823" s="2" t="s">
        <v>87</v>
      </c>
      <c r="F5823" s="11" t="s">
        <v>1668</v>
      </c>
      <c r="G5823" s="21" t="s">
        <v>1669</v>
      </c>
      <c r="H5823" s="2" t="s">
        <v>3193</v>
      </c>
      <c r="I5823" s="12" t="s">
        <v>3137</v>
      </c>
      <c r="J5823" s="22">
        <f>+Tabla1[[#This Row],[FECHA ENTRADA]]</f>
        <v>46143</v>
      </c>
      <c r="K5823" s="8">
        <v>46238</v>
      </c>
      <c r="L5823" s="23">
        <f>_xlfn.DAYS(Tabla1[[#This Row],[FECHA FIN ]],Tabla1[[#This Row],[FECHA INICIO]])</f>
        <v>95</v>
      </c>
      <c r="M5823" s="12"/>
      <c r="N5823" s="24">
        <v>425</v>
      </c>
      <c r="O5823" s="24">
        <f>(Tabla1[[#This Row],[COSTO FIJO ]]/30)*Tabla1[[#This Row],[TOTAL DIAS PROYECTO]]+(Tabla1[[#This Row],[COSTO TEMPORAL]])</f>
        <v>1345.8333333333333</v>
      </c>
      <c r="P5823" s="12"/>
      <c r="Q5823" s="12">
        <f>+(Tabla1[[#This Row],[COSTO COCHE]]/30)*Tabla1[[#This Row],[TOTAL DIAS PROYECTO]]</f>
        <v>0</v>
      </c>
      <c r="R5823" s="12">
        <f>+Tabla1[[#This Row],[COSTO TOTAL ALOJAMIENTO]]+Tabla1[[#This Row],[COSTO TOTAL COCHE]]</f>
        <v>1345.8333333333333</v>
      </c>
      <c r="S5823" s="2"/>
      <c r="T5823" s="14" t="s">
        <v>35</v>
      </c>
      <c r="U5823" s="14">
        <v>46143</v>
      </c>
      <c r="V5823" s="25"/>
      <c r="W5823" s="12"/>
      <c r="X5823" s="2">
        <v>15</v>
      </c>
      <c r="Y5823" s="11" t="s">
        <v>7917</v>
      </c>
      <c r="Z5823" s="2" t="s">
        <v>36</v>
      </c>
      <c r="AA5823" s="13" t="s">
        <v>10335</v>
      </c>
      <c r="AB5823" s="13">
        <v>404.16500000000002</v>
      </c>
    </row>
    <row r="5824" spans="1:28" ht="15.75">
      <c r="A5824" s="2" t="s">
        <v>10138</v>
      </c>
      <c r="B5824" s="2" t="s">
        <v>606</v>
      </c>
      <c r="C5824" s="31" t="s">
        <v>6599</v>
      </c>
      <c r="D5824" s="2" t="s">
        <v>30</v>
      </c>
      <c r="E5824" s="2" t="s">
        <v>31</v>
      </c>
      <c r="F5824" s="11" t="s">
        <v>344</v>
      </c>
      <c r="G5824" s="11" t="s">
        <v>345</v>
      </c>
      <c r="H5824" s="2" t="s">
        <v>7147</v>
      </c>
      <c r="I5824" s="12" t="s">
        <v>7148</v>
      </c>
      <c r="J5824" s="41">
        <f>+Tabla1[[#This Row],[FECHA ENTRADA]]</f>
        <v>46112</v>
      </c>
      <c r="K5824" s="22">
        <v>46179</v>
      </c>
      <c r="L5824" s="42">
        <f>_xlfn.DAYS(Tabla1[[#This Row],[FECHA FIN ]],Tabla1[[#This Row],[FECHA INICIO]])</f>
        <v>67</v>
      </c>
      <c r="M5824" s="12"/>
      <c r="N5824" s="28"/>
      <c r="O5824" s="28">
        <f>(Tabla1[[#This Row],[COSTO FIJO ]]/30)*Tabla1[[#This Row],[TOTAL DIAS PROYECTO]]+(Tabla1[[#This Row],[COSTO TEMPORAL]])</f>
        <v>0</v>
      </c>
      <c r="P5824" s="12"/>
      <c r="Q5824" s="12">
        <f>+(Tabla1[[#This Row],[COSTO COCHE]]/30)*Tabla1[[#This Row],[TOTAL DIAS PROYECTO]]</f>
        <v>0</v>
      </c>
      <c r="R5824" s="12">
        <f>+Tabla1[[#This Row],[COSTO TOTAL ALOJAMIENTO]]+Tabla1[[#This Row],[COSTO TOTAL COCHE]]</f>
        <v>0</v>
      </c>
      <c r="S5824" s="2"/>
      <c r="T5824" s="14" t="s">
        <v>35</v>
      </c>
      <c r="U5824" s="14">
        <v>46112</v>
      </c>
      <c r="V5824" s="43"/>
      <c r="W5824" s="12"/>
      <c r="X5824" s="2"/>
      <c r="Y5824" s="202" t="s">
        <v>7847</v>
      </c>
      <c r="Z5824" s="2" t="s">
        <v>36</v>
      </c>
      <c r="AA5824" s="13" t="s">
        <v>10323</v>
      </c>
      <c r="AB5824" s="13" t="s">
        <v>10324</v>
      </c>
    </row>
    <row r="5825" spans="1:28" ht="15" customHeight="1">
      <c r="A5825" s="2" t="s">
        <v>10053</v>
      </c>
      <c r="B5825" s="2" t="s">
        <v>711</v>
      </c>
      <c r="C5825" s="31" t="s">
        <v>6100</v>
      </c>
      <c r="D5825" s="2" t="s">
        <v>99</v>
      </c>
      <c r="E5825" s="2" t="s">
        <v>422</v>
      </c>
      <c r="F5825" s="11" t="s">
        <v>1106</v>
      </c>
      <c r="G5825" s="49" t="s">
        <v>7440</v>
      </c>
      <c r="H5825" s="2" t="s">
        <v>7441</v>
      </c>
      <c r="I5825" s="12" t="s">
        <v>7442</v>
      </c>
      <c r="J5825" s="22">
        <f>+Tabla1[[#This Row],[FECHA ENTRADA]]</f>
        <v>45984</v>
      </c>
      <c r="K5825" s="22">
        <v>46221</v>
      </c>
      <c r="L5825" s="23">
        <f>_xlfn.DAYS(Tabla1[[#This Row],[FECHA FIN ]],Tabla1[[#This Row],[FECHA INICIO]])</f>
        <v>237</v>
      </c>
      <c r="M5825" s="12"/>
      <c r="N5825" s="24">
        <v>0</v>
      </c>
      <c r="O5825" s="24">
        <f>(Tabla1[[#This Row],[COSTO FIJO ]]/30)*Tabla1[[#This Row],[TOTAL DIAS PROYECTO]]+(Tabla1[[#This Row],[COSTO TEMPORAL]])</f>
        <v>0</v>
      </c>
      <c r="P5825" s="12"/>
      <c r="Q5825" s="12">
        <f>+(Tabla1[[#This Row],[COSTO COCHE]]/30)*Tabla1[[#This Row],[TOTAL DIAS PROYECTO]]</f>
        <v>0</v>
      </c>
      <c r="R5825" s="12">
        <f>+Tabla1[[#This Row],[COSTO TOTAL ALOJAMIENTO]]+Tabla1[[#This Row],[COSTO TOTAL COCHE]]</f>
        <v>0</v>
      </c>
      <c r="S5825" s="2"/>
      <c r="T5825" s="2" t="s">
        <v>8</v>
      </c>
      <c r="U5825" s="14">
        <v>45984</v>
      </c>
      <c r="V5825" s="25"/>
      <c r="W5825" s="12"/>
      <c r="X5825" s="2"/>
      <c r="Y5825" s="11" t="s">
        <v>7918</v>
      </c>
      <c r="Z5825" s="2" t="s">
        <v>36</v>
      </c>
      <c r="AA5825" s="13">
        <v>-326.69799999999998</v>
      </c>
      <c r="AB5825" s="13" t="s">
        <v>10373</v>
      </c>
    </row>
    <row r="5826" spans="1:28" ht="15" customHeight="1">
      <c r="A5826" s="116" t="s">
        <v>9509</v>
      </c>
      <c r="B5826" s="116" t="s">
        <v>978</v>
      </c>
      <c r="C5826" s="136" t="s">
        <v>3467</v>
      </c>
      <c r="D5826" s="116" t="s">
        <v>30</v>
      </c>
      <c r="E5826" s="116" t="s">
        <v>734</v>
      </c>
      <c r="F5826" s="136" t="s">
        <v>735</v>
      </c>
      <c r="G5826" s="346" t="s">
        <v>736</v>
      </c>
      <c r="H5826" s="116" t="s">
        <v>1869</v>
      </c>
      <c r="I5826" s="116" t="s">
        <v>3356</v>
      </c>
      <c r="J5826" s="342">
        <f>+Tabla1[[#This Row],[FECHA ENTRADA]]</f>
        <v>45810</v>
      </c>
      <c r="K5826" s="137">
        <f ca="1">TODAY()</f>
        <v>46260</v>
      </c>
      <c r="L5826" s="343">
        <f ca="1">_xlfn.DAYS(Tabla1[[#This Row],[FECHA FIN ]],Tabla1[[#This Row],[FECHA INICIO]])</f>
        <v>450</v>
      </c>
      <c r="M5826" s="139"/>
      <c r="N5826" s="139">
        <v>260</v>
      </c>
      <c r="O5826" s="344">
        <f ca="1">(Tabla1[[#This Row],[COSTO FIJO ]]/30)*Tabla1[[#This Row],[TOTAL DIAS PROYECTO]]+(Tabla1[[#This Row],[COSTO TEMPORAL]])</f>
        <v>3899.9999999999995</v>
      </c>
      <c r="P5826" s="139"/>
      <c r="Q5826" s="139">
        <f ca="1">+(Tabla1[[#This Row],[COSTO COCHE]]/30)*Tabla1[[#This Row],[TOTAL DIAS PROYECTO]]</f>
        <v>0</v>
      </c>
      <c r="R5826" s="139">
        <f ca="1">+Tabla1[[#This Row],[COSTO TOTAL ALOJAMIENTO]]+Tabla1[[#This Row],[COSTO TOTAL COCHE]]</f>
        <v>3899.9999999999995</v>
      </c>
      <c r="S5826" s="116"/>
      <c r="T5826" s="116" t="s">
        <v>35</v>
      </c>
      <c r="U5826" s="141">
        <v>45810</v>
      </c>
      <c r="V5826" s="345"/>
      <c r="W5826" s="139"/>
      <c r="X5826" s="116">
        <v>5</v>
      </c>
      <c r="Y5826" s="340" t="s">
        <v>7907</v>
      </c>
      <c r="Z5826" s="116" t="s">
        <v>702</v>
      </c>
      <c r="AA5826" s="134" t="s">
        <v>10396</v>
      </c>
      <c r="AB5826" s="134" t="s">
        <v>10397</v>
      </c>
    </row>
    <row r="5827" spans="1:28" ht="15" customHeight="1">
      <c r="A5827" s="117" t="s">
        <v>9891</v>
      </c>
      <c r="B5827" s="117" t="s">
        <v>606</v>
      </c>
      <c r="C5827" s="118" t="s">
        <v>5232</v>
      </c>
      <c r="D5827" s="117" t="s">
        <v>30</v>
      </c>
      <c r="E5827" s="117" t="s">
        <v>87</v>
      </c>
      <c r="F5827" s="101" t="s">
        <v>5052</v>
      </c>
      <c r="G5827" s="197" t="s">
        <v>5053</v>
      </c>
      <c r="H5827" s="117" t="s">
        <v>2106</v>
      </c>
      <c r="I5827" s="119" t="s">
        <v>4169</v>
      </c>
      <c r="J5827" s="121">
        <f>+Tabla1[[#This Row],[FECHA ENTRADA]]</f>
        <v>46092</v>
      </c>
      <c r="K5827" s="121">
        <v>46248</v>
      </c>
      <c r="L5827" s="129">
        <f>_xlfn.DAYS(Tabla1[[#This Row],[FECHA FIN ]],Tabla1[[#This Row],[FECHA INICIO]])</f>
        <v>156</v>
      </c>
      <c r="M5827" s="119">
        <v>500</v>
      </c>
      <c r="N5827" s="130"/>
      <c r="O5827" s="131">
        <f>(Tabla1[[#This Row],[COSTO FIJO ]]/30)*Tabla1[[#This Row],[TOTAL DIAS PROYECTO]]+(Tabla1[[#This Row],[COSTO TEMPORAL]])</f>
        <v>500</v>
      </c>
      <c r="P5827" s="119"/>
      <c r="Q5827" s="119">
        <f>+(Tabla1[[#This Row],[COSTO COCHE]]/30)*Tabla1[[#This Row],[TOTAL DIAS PROYECTO]]</f>
        <v>0</v>
      </c>
      <c r="R5827" s="119">
        <f>+Tabla1[[#This Row],[COSTO TOTAL ALOJAMIENTO]]+Tabla1[[#This Row],[COSTO TOTAL COCHE]]</f>
        <v>500</v>
      </c>
      <c r="S5827" s="117" t="s">
        <v>403</v>
      </c>
      <c r="T5827" s="124" t="s">
        <v>44</v>
      </c>
      <c r="U5827" s="124">
        <v>46092</v>
      </c>
      <c r="V5827" s="125">
        <v>46249</v>
      </c>
      <c r="W5827" s="119"/>
      <c r="X5827" s="117"/>
      <c r="Y5827" s="118" t="s">
        <v>5054</v>
      </c>
      <c r="Z5827" s="117" t="s">
        <v>36</v>
      </c>
      <c r="AA5827" s="127" t="s">
        <v>10335</v>
      </c>
      <c r="AB5827" s="127">
        <v>404.16500000000002</v>
      </c>
    </row>
    <row r="5828" spans="1:28" ht="15" customHeight="1">
      <c r="A5828" s="2" t="s">
        <v>9695</v>
      </c>
      <c r="B5828" s="2" t="s">
        <v>978</v>
      </c>
      <c r="C5828" s="11" t="s">
        <v>4277</v>
      </c>
      <c r="D5828" s="2" t="s">
        <v>30</v>
      </c>
      <c r="E5828" s="2" t="s">
        <v>380</v>
      </c>
      <c r="F5828" s="11"/>
      <c r="G5828" s="11"/>
      <c r="H5828" s="2" t="s">
        <v>1363</v>
      </c>
      <c r="I5828" s="12" t="s">
        <v>4276</v>
      </c>
      <c r="J5828" s="41">
        <f>+Tabla1[[#This Row],[FECHA ENTRADA]]</f>
        <v>46067</v>
      </c>
      <c r="K5828" s="22">
        <f ca="1">TODAY()</f>
        <v>46260</v>
      </c>
      <c r="L5828" s="42">
        <f ca="1">_xlfn.DAYS(Tabla1[[#This Row],[FECHA FIN ]],Tabla1[[#This Row],[FECHA INICIO]])</f>
        <v>193</v>
      </c>
      <c r="M5828" s="12"/>
      <c r="N5828" s="28">
        <v>300</v>
      </c>
      <c r="O5828" s="28">
        <f ca="1">(Tabla1[[#This Row],[COSTO FIJO ]]/30)*Tabla1[[#This Row],[TOTAL DIAS PROYECTO]]+(Tabla1[[#This Row],[COSTO TEMPORAL]])</f>
        <v>1930</v>
      </c>
      <c r="P5828" s="12"/>
      <c r="Q5828" s="12">
        <f ca="1">+(Tabla1[[#This Row],[COSTO COCHE]]/30)*Tabla1[[#This Row],[TOTAL DIAS PROYECTO]]</f>
        <v>0</v>
      </c>
      <c r="R5828" s="12">
        <f ca="1">+Tabla1[[#This Row],[COSTO TOTAL ALOJAMIENTO]]+Tabla1[[#This Row],[COSTO TOTAL COCHE]]</f>
        <v>1930</v>
      </c>
      <c r="S5828" s="2"/>
      <c r="T5828" s="14" t="s">
        <v>58</v>
      </c>
      <c r="U5828" s="14">
        <v>46067</v>
      </c>
      <c r="V5828" s="43"/>
      <c r="W5828" s="12"/>
      <c r="X5828" s="2"/>
      <c r="Y5828" s="11" t="s">
        <v>7919</v>
      </c>
      <c r="Z5828" s="2" t="s">
        <v>702</v>
      </c>
      <c r="AA5828" s="13" t="s">
        <v>10370</v>
      </c>
      <c r="AB5828" s="13" t="s">
        <v>10371</v>
      </c>
    </row>
    <row r="5829" spans="1:28" ht="15" customHeight="1">
      <c r="A5829" s="2" t="s">
        <v>10303</v>
      </c>
      <c r="B5829" s="2" t="s">
        <v>711</v>
      </c>
      <c r="C5829" s="31" t="s">
        <v>7920</v>
      </c>
      <c r="D5829" s="2" t="s">
        <v>30</v>
      </c>
      <c r="E5829" s="2" t="s">
        <v>87</v>
      </c>
      <c r="F5829" s="11" t="s">
        <v>1106</v>
      </c>
      <c r="G5829" s="46"/>
      <c r="H5829" s="2" t="s">
        <v>6727</v>
      </c>
      <c r="I5829" s="12" t="s">
        <v>2321</v>
      </c>
      <c r="J5829" s="41">
        <f>+Tabla1[[#This Row],[FECHA ENTRADA]]</f>
        <v>45964</v>
      </c>
      <c r="K5829" s="41">
        <v>46233</v>
      </c>
      <c r="L5829" s="42">
        <f>_xlfn.DAYS(Tabla1[[#This Row],[FECHA FIN ]],Tabla1[[#This Row],[FECHA INICIO]])</f>
        <v>269</v>
      </c>
      <c r="M5829" s="12"/>
      <c r="N5829" s="28">
        <v>0</v>
      </c>
      <c r="O5829" s="28">
        <f>(Tabla1[[#This Row],[COSTO FIJO ]]/30)*Tabla1[[#This Row],[TOTAL DIAS PROYECTO]]+(Tabla1[[#This Row],[COSTO TEMPORAL]])</f>
        <v>0</v>
      </c>
      <c r="P5829" s="12"/>
      <c r="Q5829" s="12">
        <f>+(Tabla1[[#This Row],[COSTO COCHE]]/30)*Tabla1[[#This Row],[TOTAL DIAS PROYECTO]]</f>
        <v>0</v>
      </c>
      <c r="R5829" s="12">
        <f>+Tabla1[[#This Row],[COSTO TOTAL ALOJAMIENTO]]+Tabla1[[#This Row],[COSTO TOTAL COCHE]]</f>
        <v>0</v>
      </c>
      <c r="S5829" s="2"/>
      <c r="T5829" s="2" t="s">
        <v>8</v>
      </c>
      <c r="U5829" s="14">
        <v>45964</v>
      </c>
      <c r="V5829" s="43"/>
      <c r="W5829" s="12"/>
      <c r="X5829" s="2"/>
      <c r="Y5829" s="11" t="s">
        <v>7921</v>
      </c>
      <c r="Z5829" s="2" t="s">
        <v>36</v>
      </c>
      <c r="AA5829" s="13" t="s">
        <v>10335</v>
      </c>
      <c r="AB5829" s="13">
        <v>404.16500000000002</v>
      </c>
    </row>
    <row r="5830" spans="1:28" ht="15" customHeight="1">
      <c r="A5830" s="117" t="s">
        <v>10177</v>
      </c>
      <c r="B5830" s="117" t="s">
        <v>606</v>
      </c>
      <c r="C5830" s="118" t="s">
        <v>6948</v>
      </c>
      <c r="D5830" s="117" t="s">
        <v>30</v>
      </c>
      <c r="E5830" s="117" t="s">
        <v>87</v>
      </c>
      <c r="F5830" s="101" t="s">
        <v>5052</v>
      </c>
      <c r="G5830" s="197" t="s">
        <v>5053</v>
      </c>
      <c r="H5830" s="117" t="s">
        <v>2106</v>
      </c>
      <c r="I5830" s="119" t="s">
        <v>4169</v>
      </c>
      <c r="J5830" s="121">
        <f>+Tabla1[[#This Row],[FECHA ENTRADA]]</f>
        <v>46092</v>
      </c>
      <c r="K5830" s="121">
        <v>46248</v>
      </c>
      <c r="L5830" s="129">
        <f>_xlfn.DAYS(Tabla1[[#This Row],[FECHA FIN ]],Tabla1[[#This Row],[FECHA INICIO]])</f>
        <v>156</v>
      </c>
      <c r="M5830" s="119">
        <v>500</v>
      </c>
      <c r="N5830" s="130"/>
      <c r="O5830" s="131">
        <f>(Tabla1[[#This Row],[COSTO FIJO ]]/30)*Tabla1[[#This Row],[TOTAL DIAS PROYECTO]]+(Tabla1[[#This Row],[COSTO TEMPORAL]])</f>
        <v>500</v>
      </c>
      <c r="P5830" s="119"/>
      <c r="Q5830" s="119">
        <f>+(Tabla1[[#This Row],[COSTO COCHE]]/30)*Tabla1[[#This Row],[TOTAL DIAS PROYECTO]]</f>
        <v>0</v>
      </c>
      <c r="R5830" s="119">
        <f>+Tabla1[[#This Row],[COSTO TOTAL ALOJAMIENTO]]+Tabla1[[#This Row],[COSTO TOTAL COCHE]]</f>
        <v>500</v>
      </c>
      <c r="S5830" s="117" t="s">
        <v>403</v>
      </c>
      <c r="T5830" s="124" t="s">
        <v>44</v>
      </c>
      <c r="U5830" s="124">
        <v>46092</v>
      </c>
      <c r="V5830" s="125">
        <v>46249</v>
      </c>
      <c r="W5830" s="119"/>
      <c r="X5830" s="117"/>
      <c r="Y5830" s="118" t="s">
        <v>5054</v>
      </c>
      <c r="Z5830" s="117" t="s">
        <v>36</v>
      </c>
      <c r="AA5830" s="127" t="s">
        <v>10335</v>
      </c>
      <c r="AB5830" s="127">
        <v>404.16500000000002</v>
      </c>
    </row>
    <row r="5831" spans="1:28" ht="15" customHeight="1">
      <c r="A5831" s="2" t="s">
        <v>9450</v>
      </c>
      <c r="B5831" s="2" t="s">
        <v>978</v>
      </c>
      <c r="C5831" s="321" t="s">
        <v>3224</v>
      </c>
      <c r="D5831" s="2" t="s">
        <v>30</v>
      </c>
      <c r="E5831" s="2" t="s">
        <v>380</v>
      </c>
      <c r="F5831" s="21" t="s">
        <v>5246</v>
      </c>
      <c r="G5831" s="197" t="s">
        <v>2237</v>
      </c>
      <c r="H5831" s="2" t="s">
        <v>7572</v>
      </c>
      <c r="I5831" s="12" t="s">
        <v>5328</v>
      </c>
      <c r="J5831" s="22">
        <f>+Tabla1[[#This Row],[FECHA ENTRADA]]</f>
        <v>45985</v>
      </c>
      <c r="K5831" s="22">
        <v>46220</v>
      </c>
      <c r="L5831" s="23">
        <f>_xlfn.DAYS(Tabla1[[#This Row],[FECHA FIN ]],Tabla1[[#This Row],[FECHA INICIO]])</f>
        <v>235</v>
      </c>
      <c r="M5831" s="12"/>
      <c r="N5831" s="24">
        <v>400</v>
      </c>
      <c r="O5831" s="24">
        <f>(Tabla1[[#This Row],[COSTO FIJO ]]/30)*Tabla1[[#This Row],[TOTAL DIAS PROYECTO]]+(Tabla1[[#This Row],[COSTO TEMPORAL]])</f>
        <v>3133.3333333333335</v>
      </c>
      <c r="P5831" s="12"/>
      <c r="Q5831" s="12">
        <f>+(Tabla1[[#This Row],[COSTO COCHE]]/30)*Tabla1[[#This Row],[TOTAL DIAS PROYECTO]]</f>
        <v>0</v>
      </c>
      <c r="R5831" s="12">
        <f>+Tabla1[[#This Row],[COSTO TOTAL ALOJAMIENTO]]+Tabla1[[#This Row],[COSTO TOTAL COCHE]]</f>
        <v>3133.3333333333335</v>
      </c>
      <c r="S5831" s="2"/>
      <c r="T5831" s="14" t="s">
        <v>35</v>
      </c>
      <c r="U5831" s="14">
        <v>45985</v>
      </c>
      <c r="V5831" s="25"/>
      <c r="W5831" s="12"/>
      <c r="X5831" s="2">
        <v>17</v>
      </c>
      <c r="Y5831" s="11" t="s">
        <v>7922</v>
      </c>
      <c r="Z5831" s="2" t="s">
        <v>36</v>
      </c>
      <c r="AA5831" s="13" t="s">
        <v>10370</v>
      </c>
      <c r="AB5831" s="13" t="s">
        <v>10371</v>
      </c>
    </row>
    <row r="5832" spans="1:28" ht="15" customHeight="1">
      <c r="A5832" s="117" t="s">
        <v>9924</v>
      </c>
      <c r="B5832" s="117" t="s">
        <v>606</v>
      </c>
      <c r="C5832" s="118" t="s">
        <v>5471</v>
      </c>
      <c r="D5832" s="117" t="s">
        <v>30</v>
      </c>
      <c r="E5832" s="117" t="s">
        <v>87</v>
      </c>
      <c r="F5832" s="101" t="s">
        <v>5052</v>
      </c>
      <c r="G5832" s="197" t="s">
        <v>5053</v>
      </c>
      <c r="H5832" s="117" t="s">
        <v>2106</v>
      </c>
      <c r="I5832" s="119" t="s">
        <v>4169</v>
      </c>
      <c r="J5832" s="121">
        <f>+Tabla1[[#This Row],[FECHA ENTRADA]]</f>
        <v>46092</v>
      </c>
      <c r="K5832" s="121">
        <v>46248</v>
      </c>
      <c r="L5832" s="129">
        <f>_xlfn.DAYS(Tabla1[[#This Row],[FECHA FIN ]],Tabla1[[#This Row],[FECHA INICIO]])</f>
        <v>156</v>
      </c>
      <c r="M5832" s="119">
        <v>500</v>
      </c>
      <c r="N5832" s="130"/>
      <c r="O5832" s="131">
        <f>(Tabla1[[#This Row],[COSTO FIJO ]]/30)*Tabla1[[#This Row],[TOTAL DIAS PROYECTO]]+(Tabla1[[#This Row],[COSTO TEMPORAL]])</f>
        <v>500</v>
      </c>
      <c r="P5832" s="119"/>
      <c r="Q5832" s="119">
        <f>+(Tabla1[[#This Row],[COSTO COCHE]]/30)*Tabla1[[#This Row],[TOTAL DIAS PROYECTO]]</f>
        <v>0</v>
      </c>
      <c r="R5832" s="119">
        <f>+Tabla1[[#This Row],[COSTO TOTAL ALOJAMIENTO]]+Tabla1[[#This Row],[COSTO TOTAL COCHE]]</f>
        <v>500</v>
      </c>
      <c r="S5832" s="117" t="s">
        <v>403</v>
      </c>
      <c r="T5832" s="124" t="s">
        <v>44</v>
      </c>
      <c r="U5832" s="124">
        <v>46092</v>
      </c>
      <c r="V5832" s="125">
        <v>46249</v>
      </c>
      <c r="W5832" s="119"/>
      <c r="X5832" s="117"/>
      <c r="Y5832" s="118" t="s">
        <v>5054</v>
      </c>
      <c r="Z5832" s="117" t="s">
        <v>36</v>
      </c>
      <c r="AA5832" s="127" t="s">
        <v>10335</v>
      </c>
      <c r="AB5832" s="127">
        <v>404.16500000000002</v>
      </c>
    </row>
    <row r="5833" spans="1:28" ht="15" customHeight="1">
      <c r="A5833" s="2" t="s">
        <v>10174</v>
      </c>
      <c r="B5833" s="2" t="s">
        <v>711</v>
      </c>
      <c r="C5833" s="11" t="s">
        <v>6895</v>
      </c>
      <c r="D5833" s="2" t="s">
        <v>30</v>
      </c>
      <c r="E5833" s="2" t="s">
        <v>422</v>
      </c>
      <c r="F5833" s="11" t="s">
        <v>1375</v>
      </c>
      <c r="G5833" s="70" t="s">
        <v>1376</v>
      </c>
      <c r="H5833" s="2" t="s">
        <v>6896</v>
      </c>
      <c r="I5833" s="12" t="s">
        <v>6897</v>
      </c>
      <c r="J5833" s="22">
        <v>46037</v>
      </c>
      <c r="K5833" s="22">
        <f ca="1">TODAY()</f>
        <v>46260</v>
      </c>
      <c r="L5833" s="23">
        <f ca="1">_xlfn.DAYS(Tabla1[[#This Row],[FECHA FIN ]],Tabla1[[#This Row],[FECHA INICIO]])</f>
        <v>223</v>
      </c>
      <c r="M5833" s="12"/>
      <c r="N5833" s="12">
        <v>525</v>
      </c>
      <c r="O5833" s="24">
        <f ca="1">(Tabla1[[#This Row],[COSTO FIJO ]]/30)*Tabla1[[#This Row],[TOTAL DIAS PROYECTO]]+(Tabla1[[#This Row],[COSTO TEMPORAL]])</f>
        <v>3902.5</v>
      </c>
      <c r="P5833" s="12"/>
      <c r="Q5833" s="12">
        <f ca="1">+(Tabla1[[#This Row],[COSTO COCHE]]/30)*Tabla1[[#This Row],[TOTAL DIAS PROYECTO]]</f>
        <v>0</v>
      </c>
      <c r="R5833" s="12">
        <f ca="1">+Tabla1[[#This Row],[COSTO TOTAL ALOJAMIENTO]]+Tabla1[[#This Row],[COSTO TOTAL COCHE]]</f>
        <v>3902.5</v>
      </c>
      <c r="S5833" s="2"/>
      <c r="T5833" s="14" t="s">
        <v>35</v>
      </c>
      <c r="U5833" s="14">
        <v>46047</v>
      </c>
      <c r="V5833" s="79"/>
      <c r="W5833" s="12"/>
      <c r="X5833" s="2">
        <v>5</v>
      </c>
      <c r="Y5833" s="11" t="s">
        <v>7923</v>
      </c>
      <c r="Z5833" s="2" t="s">
        <v>702</v>
      </c>
      <c r="AA5833" s="13">
        <v>-326.69799999999998</v>
      </c>
      <c r="AB5833" s="13" t="s">
        <v>10373</v>
      </c>
    </row>
    <row r="5834" spans="1:28">
      <c r="A5834" s="2" t="s">
        <v>8642</v>
      </c>
      <c r="B5834" s="2" t="s">
        <v>711</v>
      </c>
      <c r="C5834" s="31" t="s">
        <v>7866</v>
      </c>
      <c r="D5834" s="2" t="s">
        <v>749</v>
      </c>
      <c r="E5834" s="2" t="s">
        <v>4598</v>
      </c>
      <c r="F5834" s="11" t="s">
        <v>1106</v>
      </c>
      <c r="G5834" s="21"/>
      <c r="H5834" s="2" t="s">
        <v>7843</v>
      </c>
      <c r="I5834" s="12" t="s">
        <v>2862</v>
      </c>
      <c r="J5834" s="22">
        <f>+Tabla1[[#This Row],[FECHA ENTRADA]]</f>
        <v>46118</v>
      </c>
      <c r="K5834" s="22">
        <v>46199</v>
      </c>
      <c r="L5834" s="23">
        <f>_xlfn.DAYS(Tabla1[[#This Row],[FECHA FIN ]],Tabla1[[#This Row],[FECHA INICIO]])</f>
        <v>81</v>
      </c>
      <c r="M5834" s="12"/>
      <c r="N5834" s="12"/>
      <c r="O5834" s="24">
        <f>(Tabla1[[#This Row],[COSTO FIJO ]]/30)*Tabla1[[#This Row],[TOTAL DIAS PROYECTO]]+(Tabla1[[#This Row],[COSTO TEMPORAL]])</f>
        <v>0</v>
      </c>
      <c r="P5834" s="12"/>
      <c r="Q5834" s="12">
        <f>+(Tabla1[[#This Row],[COSTO COCHE]]/30)*Tabla1[[#This Row],[TOTAL DIAS PROYECTO]]</f>
        <v>0</v>
      </c>
      <c r="R5834" s="12">
        <f>+Tabla1[[#This Row],[COSTO TOTAL ALOJAMIENTO]]+Tabla1[[#This Row],[COSTO TOTAL COCHE]]</f>
        <v>0</v>
      </c>
      <c r="S5834" s="2"/>
      <c r="T5834" s="2" t="s">
        <v>8</v>
      </c>
      <c r="U5834" s="14">
        <v>46118</v>
      </c>
      <c r="V5834" s="79"/>
      <c r="W5834" s="12"/>
      <c r="X5834" s="2"/>
      <c r="Y5834" s="11" t="s">
        <v>7924</v>
      </c>
      <c r="Z5834" s="2" t="s">
        <v>36</v>
      </c>
      <c r="AA5834" s="13">
        <v>10.50447</v>
      </c>
      <c r="AB5834" s="13">
        <v>43.843690000000002</v>
      </c>
    </row>
    <row r="5835" spans="1:28" ht="15" customHeight="1">
      <c r="A5835" s="2" t="s">
        <v>9871</v>
      </c>
      <c r="B5835" s="2" t="s">
        <v>606</v>
      </c>
      <c r="C5835" s="11" t="s">
        <v>5150</v>
      </c>
      <c r="D5835" s="2" t="s">
        <v>30</v>
      </c>
      <c r="E5835" s="2" t="s">
        <v>213</v>
      </c>
      <c r="F5835" s="11" t="s">
        <v>1733</v>
      </c>
      <c r="G5835" s="21" t="s">
        <v>1734</v>
      </c>
      <c r="H5835" s="2" t="s">
        <v>5151</v>
      </c>
      <c r="I5835" s="12" t="s">
        <v>1043</v>
      </c>
      <c r="J5835" s="41">
        <f>+Tabla1[[#This Row],[FECHA ENTRADA]]</f>
        <v>46133</v>
      </c>
      <c r="K5835" s="22">
        <v>46218</v>
      </c>
      <c r="L5835" s="42">
        <f>_xlfn.DAYS(Tabla1[[#This Row],[FECHA FIN ]],Tabla1[[#This Row],[FECHA INICIO]])</f>
        <v>85</v>
      </c>
      <c r="M5835" s="12"/>
      <c r="N5835" s="12">
        <f>1461.19/4</f>
        <v>365.29750000000001</v>
      </c>
      <c r="O5835" s="28">
        <f>(Tabla1[[#This Row],[COSTO FIJO ]]/30)*Tabla1[[#This Row],[TOTAL DIAS PROYECTO]]+(Tabla1[[#This Row],[COSTO TEMPORAL]])</f>
        <v>1035.0095833333332</v>
      </c>
      <c r="P5835" s="12"/>
      <c r="Q5835" s="12">
        <f>+(Tabla1[[#This Row],[COSTO COCHE]]/30)*Tabla1[[#This Row],[TOTAL DIAS PROYECTO]]</f>
        <v>0</v>
      </c>
      <c r="R5835" s="12">
        <f>+Tabla1[[#This Row],[COSTO TOTAL ALOJAMIENTO]]+Tabla1[[#This Row],[COSTO TOTAL COCHE]]</f>
        <v>1035.0095833333332</v>
      </c>
      <c r="S5835" s="2"/>
      <c r="T5835" s="14" t="s">
        <v>35</v>
      </c>
      <c r="U5835" s="14">
        <v>46133</v>
      </c>
      <c r="V5835" s="43"/>
      <c r="W5835" s="12"/>
      <c r="X5835" s="2">
        <v>20</v>
      </c>
      <c r="Y5835" s="11" t="s">
        <v>7925</v>
      </c>
      <c r="Z5835" s="2" t="s">
        <v>36</v>
      </c>
      <c r="AA5835" s="13" t="s">
        <v>10349</v>
      </c>
      <c r="AB5835" s="13" t="s">
        <v>10350</v>
      </c>
    </row>
    <row r="5836" spans="1:28" ht="15" customHeight="1">
      <c r="A5836" s="2" t="s">
        <v>9516</v>
      </c>
      <c r="B5836" s="2" t="s">
        <v>606</v>
      </c>
      <c r="C5836" s="11" t="s">
        <v>3495</v>
      </c>
      <c r="D5836" s="2" t="s">
        <v>99</v>
      </c>
      <c r="E5836" s="2" t="s">
        <v>422</v>
      </c>
      <c r="F5836" s="11" t="s">
        <v>1375</v>
      </c>
      <c r="G5836" s="70" t="s">
        <v>1376</v>
      </c>
      <c r="H5836" s="2" t="s">
        <v>2856</v>
      </c>
      <c r="I5836" s="186" t="s">
        <v>2638</v>
      </c>
      <c r="J5836" s="41">
        <f>+Tabla1[[#This Row],[FECHA ENTRADA]]</f>
        <v>46089</v>
      </c>
      <c r="K5836" s="22">
        <f ca="1">TODAY()</f>
        <v>46260</v>
      </c>
      <c r="L5836" s="42">
        <f ca="1">_xlfn.DAYS(Tabla1[[#This Row],[FECHA FIN ]],Tabla1[[#This Row],[FECHA INICIO]])</f>
        <v>171</v>
      </c>
      <c r="M5836" s="12"/>
      <c r="N5836" s="12">
        <v>525</v>
      </c>
      <c r="O5836" s="28">
        <f ca="1">(Tabla1[[#This Row],[COSTO FIJO ]]/30)*Tabla1[[#This Row],[TOTAL DIAS PROYECTO]]+(Tabla1[[#This Row],[COSTO TEMPORAL]])</f>
        <v>2992.5</v>
      </c>
      <c r="P5836" s="12"/>
      <c r="Q5836" s="12">
        <f ca="1">+(Tabla1[[#This Row],[COSTO COCHE]]/30)*Tabla1[[#This Row],[TOTAL DIAS PROYECTO]]</f>
        <v>0</v>
      </c>
      <c r="R5836" s="12">
        <f ca="1">+Tabla1[[#This Row],[COSTO TOTAL ALOJAMIENTO]]+Tabla1[[#This Row],[COSTO TOTAL COCHE]]</f>
        <v>2992.5</v>
      </c>
      <c r="S5836" s="2"/>
      <c r="T5836" s="14" t="s">
        <v>35</v>
      </c>
      <c r="U5836" s="14">
        <v>46089</v>
      </c>
      <c r="V5836" s="43"/>
      <c r="W5836" s="12"/>
      <c r="X5836" s="2">
        <v>5</v>
      </c>
      <c r="Y5836" s="11" t="s">
        <v>7926</v>
      </c>
      <c r="Z5836" s="2" t="s">
        <v>5712</v>
      </c>
      <c r="AA5836" s="13">
        <v>-326.69799999999998</v>
      </c>
      <c r="AB5836" s="13" t="s">
        <v>10373</v>
      </c>
    </row>
    <row r="5837" spans="1:28" ht="15" customHeight="1">
      <c r="A5837" s="2" t="s">
        <v>9826</v>
      </c>
      <c r="B5837" s="2" t="s">
        <v>606</v>
      </c>
      <c r="C5837" s="11" t="s">
        <v>4927</v>
      </c>
      <c r="D5837" s="2" t="s">
        <v>30</v>
      </c>
      <c r="E5837" s="2" t="s">
        <v>31</v>
      </c>
      <c r="F5837" s="11"/>
      <c r="G5837" s="11"/>
      <c r="H5837" s="2" t="s">
        <v>4926</v>
      </c>
      <c r="I5837" s="12" t="s">
        <v>412</v>
      </c>
      <c r="J5837" s="22">
        <v>46114</v>
      </c>
      <c r="K5837" s="22">
        <f ca="1">TODAY()</f>
        <v>46260</v>
      </c>
      <c r="L5837" s="23">
        <f ca="1">_xlfn.DAYS(Tabla1[[#This Row],[FECHA FIN ]],Tabla1[[#This Row],[FECHA INICIO]])</f>
        <v>146</v>
      </c>
      <c r="M5837" s="12"/>
      <c r="N5837" s="24">
        <v>300</v>
      </c>
      <c r="O5837" s="24">
        <f ca="1">(Tabla1[[#This Row],[COSTO FIJO ]]/30)*Tabla1[[#This Row],[TOTAL DIAS PROYECTO]]+(Tabla1[[#This Row],[COSTO TEMPORAL]])</f>
        <v>1460</v>
      </c>
      <c r="P5837" s="12"/>
      <c r="Q5837" s="12">
        <f ca="1">+(Tabla1[[#This Row],[COSTO COCHE]]/30)*Tabla1[[#This Row],[TOTAL DIAS PROYECTO]]</f>
        <v>0</v>
      </c>
      <c r="R5837" s="12">
        <f ca="1">+Tabla1[[#This Row],[COSTO TOTAL ALOJAMIENTO]]+Tabla1[[#This Row],[COSTO TOTAL COCHE]]</f>
        <v>1460</v>
      </c>
      <c r="S5837" s="2"/>
      <c r="T5837" s="14" t="s">
        <v>58</v>
      </c>
      <c r="U5837" s="14">
        <v>46113</v>
      </c>
      <c r="V5837" s="25"/>
      <c r="W5837" s="12"/>
      <c r="X5837" s="2"/>
      <c r="Y5837" s="11"/>
      <c r="Z5837" s="2" t="s">
        <v>702</v>
      </c>
      <c r="AA5837" s="13" t="s">
        <v>10323</v>
      </c>
      <c r="AB5837" s="13" t="s">
        <v>10324</v>
      </c>
    </row>
    <row r="5838" spans="1:28" ht="15" customHeight="1">
      <c r="A5838" s="2" t="s">
        <v>9019</v>
      </c>
      <c r="B5838" s="2" t="s">
        <v>606</v>
      </c>
      <c r="C5838" s="11" t="s">
        <v>1710</v>
      </c>
      <c r="D5838" s="2" t="s">
        <v>99</v>
      </c>
      <c r="E5838" s="2" t="s">
        <v>422</v>
      </c>
      <c r="F5838" s="11" t="s">
        <v>1375</v>
      </c>
      <c r="G5838" s="70" t="s">
        <v>1376</v>
      </c>
      <c r="H5838" s="2" t="s">
        <v>4686</v>
      </c>
      <c r="I5838" s="186" t="s">
        <v>2638</v>
      </c>
      <c r="J5838" s="41">
        <f>+Tabla1[[#This Row],[FECHA ENTRADA]]</f>
        <v>46089</v>
      </c>
      <c r="K5838" s="22">
        <f ca="1">TODAY()</f>
        <v>46260</v>
      </c>
      <c r="L5838" s="42">
        <f ca="1">_xlfn.DAYS(Tabla1[[#This Row],[FECHA FIN ]],Tabla1[[#This Row],[FECHA INICIO]])</f>
        <v>171</v>
      </c>
      <c r="M5838" s="12"/>
      <c r="N5838" s="12">
        <v>525</v>
      </c>
      <c r="O5838" s="28">
        <f ca="1">(Tabla1[[#This Row],[COSTO FIJO ]]/30)*Tabla1[[#This Row],[TOTAL DIAS PROYECTO]]+(Tabla1[[#This Row],[COSTO TEMPORAL]])</f>
        <v>2992.5</v>
      </c>
      <c r="P5838" s="12"/>
      <c r="Q5838" s="12">
        <f ca="1">+(Tabla1[[#This Row],[COSTO COCHE]]/30)*Tabla1[[#This Row],[TOTAL DIAS PROYECTO]]</f>
        <v>0</v>
      </c>
      <c r="R5838" s="12">
        <f ca="1">+Tabla1[[#This Row],[COSTO TOTAL ALOJAMIENTO]]+Tabla1[[#This Row],[COSTO TOTAL COCHE]]</f>
        <v>2992.5</v>
      </c>
      <c r="S5838" s="2"/>
      <c r="T5838" s="14" t="s">
        <v>35</v>
      </c>
      <c r="U5838" s="14">
        <v>46089</v>
      </c>
      <c r="V5838" s="43"/>
      <c r="W5838" s="12"/>
      <c r="X5838" s="2">
        <v>5</v>
      </c>
      <c r="Y5838" s="11" t="s">
        <v>7926</v>
      </c>
      <c r="Z5838" s="2" t="s">
        <v>5712</v>
      </c>
      <c r="AA5838" s="13">
        <v>-326.69799999999998</v>
      </c>
      <c r="AB5838" s="13" t="s">
        <v>10373</v>
      </c>
    </row>
    <row r="5839" spans="1:28" ht="15" customHeight="1">
      <c r="A5839" s="2" t="s">
        <v>8777</v>
      </c>
      <c r="B5839" s="2" t="s">
        <v>606</v>
      </c>
      <c r="C5839" s="31" t="s">
        <v>725</v>
      </c>
      <c r="D5839" s="2" t="s">
        <v>99</v>
      </c>
      <c r="E5839" s="2" t="s">
        <v>87</v>
      </c>
      <c r="F5839" s="11" t="s">
        <v>7927</v>
      </c>
      <c r="G5839" t="s">
        <v>7928</v>
      </c>
      <c r="H5839" s="2" t="s">
        <v>726</v>
      </c>
      <c r="I5839" s="12" t="s">
        <v>727</v>
      </c>
      <c r="J5839" s="22">
        <v>45554</v>
      </c>
      <c r="K5839" s="22">
        <v>46216</v>
      </c>
      <c r="L5839" s="23">
        <f>_xlfn.DAYS(Tabla1[[#This Row],[FECHA FIN ]],Tabla1[[#This Row],[FECHA INICIO]])</f>
        <v>662</v>
      </c>
      <c r="M5839" s="12"/>
      <c r="N5839" s="24">
        <v>450</v>
      </c>
      <c r="O5839" s="24">
        <f>(Tabla1[[#This Row],[COSTO FIJO ]]/30)*Tabla1[[#This Row],[TOTAL DIAS PROYECTO]]+(Tabla1[[#This Row],[COSTO TEMPORAL]])</f>
        <v>9930</v>
      </c>
      <c r="P5839" s="12"/>
      <c r="Q5839" s="12">
        <f>+(Tabla1[[#This Row],[COSTO COCHE]]/30)*Tabla1[[#This Row],[TOTAL DIAS PROYECTO]]</f>
        <v>0</v>
      </c>
      <c r="R5839" s="12">
        <f>+Tabla1[[#This Row],[COSTO TOTAL ALOJAMIENTO]]+Tabla1[[#This Row],[COSTO TOTAL COCHE]]</f>
        <v>9930</v>
      </c>
      <c r="S5839" s="2"/>
      <c r="T5839" s="14" t="s">
        <v>35</v>
      </c>
      <c r="U5839" s="14">
        <v>45536</v>
      </c>
      <c r="V5839" s="25"/>
      <c r="W5839" s="12">
        <v>400</v>
      </c>
      <c r="X5839" s="2">
        <v>22</v>
      </c>
      <c r="Y5839" s="11" t="s">
        <v>7929</v>
      </c>
      <c r="Z5839" s="2" t="s">
        <v>36</v>
      </c>
      <c r="AA5839" s="13" t="s">
        <v>10335</v>
      </c>
      <c r="AB5839" s="13">
        <v>404.16500000000002</v>
      </c>
    </row>
    <row r="5840" spans="1:28" ht="15" customHeight="1">
      <c r="A5840" s="2" t="s">
        <v>8642</v>
      </c>
      <c r="B5840" s="2" t="s">
        <v>606</v>
      </c>
      <c r="C5840" s="11" t="s">
        <v>7930</v>
      </c>
      <c r="D5840" s="2" t="s">
        <v>30</v>
      </c>
      <c r="E5840" s="2" t="s">
        <v>1393</v>
      </c>
      <c r="F5840" s="11" t="s">
        <v>600</v>
      </c>
      <c r="G5840" s="11" t="s">
        <v>601</v>
      </c>
      <c r="H5840" s="2" t="s">
        <v>7931</v>
      </c>
      <c r="I5840" s="12" t="s">
        <v>7932</v>
      </c>
      <c r="J5840" s="41">
        <f>+Tabla1[[#This Row],[FECHA ENTRADA]]</f>
        <v>46190</v>
      </c>
      <c r="K5840" s="22">
        <f ca="1">TODAY()</f>
        <v>46260</v>
      </c>
      <c r="L5840" s="42">
        <f ca="1">_xlfn.DAYS(Tabla1[[#This Row],[FECHA FIN ]],Tabla1[[#This Row],[FECHA INICIO]])</f>
        <v>70</v>
      </c>
      <c r="M5840" s="12"/>
      <c r="N5840" s="28">
        <v>600</v>
      </c>
      <c r="O5840" s="28">
        <f ca="1">(Tabla1[[#This Row],[COSTO FIJO ]]/30)*Tabla1[[#This Row],[TOTAL DIAS PROYECTO]]+(Tabla1[[#This Row],[COSTO TEMPORAL]])</f>
        <v>1400</v>
      </c>
      <c r="P5840" s="12"/>
      <c r="Q5840" s="12">
        <f ca="1">+(Tabla1[[#This Row],[COSTO COCHE]]/30)*Tabla1[[#This Row],[TOTAL DIAS PROYECTO]]</f>
        <v>0</v>
      </c>
      <c r="R5840" s="12">
        <f ca="1">+Tabla1[[#This Row],[COSTO TOTAL ALOJAMIENTO]]+Tabla1[[#This Row],[COSTO TOTAL COCHE]]</f>
        <v>1400</v>
      </c>
      <c r="S5840" s="2"/>
      <c r="T5840" s="14" t="s">
        <v>35</v>
      </c>
      <c r="U5840" s="14">
        <v>46190</v>
      </c>
      <c r="V5840" s="43"/>
      <c r="W5840" s="12"/>
      <c r="X5840" s="2">
        <v>5</v>
      </c>
      <c r="Y5840" s="11"/>
      <c r="Z5840" s="2" t="s">
        <v>702</v>
      </c>
      <c r="AA5840" s="13" t="s">
        <v>10416</v>
      </c>
      <c r="AB5840" s="13" t="s">
        <v>10417</v>
      </c>
    </row>
    <row r="5841" spans="1:28" ht="15" customHeight="1">
      <c r="A5841" s="2" t="s">
        <v>9885</v>
      </c>
      <c r="B5841" s="2" t="s">
        <v>711</v>
      </c>
      <c r="C5841" s="322" t="s">
        <v>5218</v>
      </c>
      <c r="D5841" s="2" t="s">
        <v>30</v>
      </c>
      <c r="E5841" s="2" t="s">
        <v>686</v>
      </c>
      <c r="F5841" s="11" t="s">
        <v>7423</v>
      </c>
      <c r="G5841" s="46"/>
      <c r="H5841" s="2" t="s">
        <v>7808</v>
      </c>
      <c r="I5841" s="12" t="s">
        <v>96</v>
      </c>
      <c r="J5841" s="41">
        <f>+Tabla1[[#This Row],[FECHA ENTRADA]]</f>
        <v>46174</v>
      </c>
      <c r="K5841" s="41">
        <f ca="1">TODAY()</f>
        <v>46260</v>
      </c>
      <c r="L5841" s="42">
        <f ca="1">_xlfn.DAYS(Tabla1[[#This Row],[FECHA FIN ]],Tabla1[[#This Row],[FECHA INICIO]])</f>
        <v>86</v>
      </c>
      <c r="M5841" s="12"/>
      <c r="N5841" s="28">
        <v>0</v>
      </c>
      <c r="O5841" s="28">
        <f ca="1">(Tabla1[[#This Row],[COSTO FIJO ]]/30)*Tabla1[[#This Row],[TOTAL DIAS PROYECTO]]+(Tabla1[[#This Row],[COSTO TEMPORAL]])</f>
        <v>0</v>
      </c>
      <c r="P5841" s="12"/>
      <c r="Q5841" s="12">
        <f ca="1">+(Tabla1[[#This Row],[COSTO COCHE]]/30)*Tabla1[[#This Row],[TOTAL DIAS PROYECTO]]</f>
        <v>0</v>
      </c>
      <c r="R5841" s="12">
        <f ca="1">+Tabla1[[#This Row],[COSTO TOTAL ALOJAMIENTO]]+Tabla1[[#This Row],[COSTO TOTAL COCHE]]</f>
        <v>0</v>
      </c>
      <c r="S5841" s="2"/>
      <c r="T5841" s="14" t="s">
        <v>8</v>
      </c>
      <c r="U5841" s="14">
        <v>46174</v>
      </c>
      <c r="V5841" s="43"/>
      <c r="W5841" s="12"/>
      <c r="X5841" s="2"/>
      <c r="Y5841" s="11" t="s">
        <v>7371</v>
      </c>
      <c r="Z5841" s="2" t="s">
        <v>702</v>
      </c>
      <c r="AA5841" s="13" t="s">
        <v>10393</v>
      </c>
      <c r="AB5841" s="13">
        <v>3834517</v>
      </c>
    </row>
    <row r="5842" spans="1:28" ht="15" customHeight="1">
      <c r="A5842" s="2" t="s">
        <v>9857</v>
      </c>
      <c r="B5842" s="2" t="s">
        <v>711</v>
      </c>
      <c r="C5842" s="11" t="s">
        <v>5063</v>
      </c>
      <c r="D5842" s="2" t="s">
        <v>30</v>
      </c>
      <c r="E5842" s="2" t="s">
        <v>648</v>
      </c>
      <c r="F5842" s="11"/>
      <c r="G5842" s="49"/>
      <c r="H5842" s="2" t="s">
        <v>1546</v>
      </c>
      <c r="I5842" s="12" t="s">
        <v>96</v>
      </c>
      <c r="J5842" s="22">
        <f>+Tabla1[[#This Row],[FECHA ENTRADA]]</f>
        <v>46235</v>
      </c>
      <c r="K5842" s="22">
        <f ca="1">TODAY()</f>
        <v>46260</v>
      </c>
      <c r="L5842" s="23">
        <f ca="1">_xlfn.DAYS(Tabla1[[#This Row],[FECHA FIN ]],Tabla1[[#This Row],[FECHA INICIO]])</f>
        <v>25</v>
      </c>
      <c r="M5842" s="12"/>
      <c r="N5842" s="24">
        <v>300</v>
      </c>
      <c r="O5842" s="24">
        <f ca="1">(Tabla1[[#This Row],[COSTO FIJO ]]/30)*Tabla1[[#This Row],[TOTAL DIAS PROYECTO]]+(Tabla1[[#This Row],[COSTO TEMPORAL]])</f>
        <v>250</v>
      </c>
      <c r="P5842" s="12"/>
      <c r="Q5842" s="12">
        <f ca="1">+(Tabla1[[#This Row],[COSTO COCHE]]/30)*Tabla1[[#This Row],[TOTAL DIAS PROYECTO]]</f>
        <v>0</v>
      </c>
      <c r="R5842" s="12">
        <f ca="1">+Tabla1[[#This Row],[COSTO TOTAL ALOJAMIENTO]]+Tabla1[[#This Row],[COSTO TOTAL COCHE]]</f>
        <v>250</v>
      </c>
      <c r="S5842" s="2"/>
      <c r="T5842" s="14" t="s">
        <v>58</v>
      </c>
      <c r="U5842" s="14">
        <v>46235</v>
      </c>
      <c r="V5842" s="25"/>
      <c r="W5842" s="12"/>
      <c r="X5842" s="2"/>
      <c r="Y5842" s="11"/>
      <c r="Z5842" s="2" t="s">
        <v>702</v>
      </c>
      <c r="AA5842" s="13" t="s">
        <v>10387</v>
      </c>
      <c r="AB5842" s="13" t="s">
        <v>10388</v>
      </c>
    </row>
    <row r="5843" spans="1:28">
      <c r="A5843" s="2" t="s">
        <v>9339</v>
      </c>
      <c r="B5843" s="11" t="s">
        <v>3133</v>
      </c>
      <c r="C5843" s="31" t="s">
        <v>2858</v>
      </c>
      <c r="D5843" s="2" t="s">
        <v>749</v>
      </c>
      <c r="E5843" s="2" t="s">
        <v>4598</v>
      </c>
      <c r="F5843" s="11" t="s">
        <v>1106</v>
      </c>
      <c r="G5843" s="21"/>
      <c r="H5843" s="2" t="s">
        <v>7933</v>
      </c>
      <c r="I5843" s="12" t="s">
        <v>2862</v>
      </c>
      <c r="J5843" s="22">
        <f>+Tabla1[[#This Row],[FECHA ENTRADA]]</f>
        <v>46161</v>
      </c>
      <c r="K5843" s="22">
        <v>46209</v>
      </c>
      <c r="L5843" s="23">
        <f>_xlfn.DAYS(Tabla1[[#This Row],[FECHA FIN ]],Tabla1[[#This Row],[FECHA INICIO]])</f>
        <v>48</v>
      </c>
      <c r="M5843" s="12"/>
      <c r="N5843" s="20">
        <v>0</v>
      </c>
      <c r="O5843" s="24">
        <f>(Tabla1[[#This Row],[COSTO FIJO ]]/30)*Tabla1[[#This Row],[TOTAL DIAS PROYECTO]]+(Tabla1[[#This Row],[COSTO TEMPORAL]])</f>
        <v>0</v>
      </c>
      <c r="P5843" s="12"/>
      <c r="Q5843" s="12">
        <f>+(Tabla1[[#This Row],[COSTO COCHE]]/30)*Tabla1[[#This Row],[TOTAL DIAS PROYECTO]]</f>
        <v>0</v>
      </c>
      <c r="R5843" s="12">
        <f>+Tabla1[[#This Row],[COSTO TOTAL ALOJAMIENTO]]+Tabla1[[#This Row],[COSTO TOTAL COCHE]]</f>
        <v>0</v>
      </c>
      <c r="S5843" s="2"/>
      <c r="T5843" s="2" t="s">
        <v>8</v>
      </c>
      <c r="U5843" s="14">
        <v>46161</v>
      </c>
      <c r="V5843" s="79"/>
      <c r="W5843" s="12"/>
      <c r="X5843" s="2"/>
      <c r="Y5843" s="11" t="s">
        <v>7934</v>
      </c>
      <c r="Z5843" s="2" t="s">
        <v>36</v>
      </c>
      <c r="AA5843" s="13">
        <v>10.50447</v>
      </c>
      <c r="AB5843" s="13">
        <v>43.843690000000002</v>
      </c>
    </row>
    <row r="5844" spans="1:28">
      <c r="A5844" s="2" t="s">
        <v>9036</v>
      </c>
      <c r="B5844" s="2" t="s">
        <v>711</v>
      </c>
      <c r="C5844" s="11" t="s">
        <v>1765</v>
      </c>
      <c r="D5844" s="2" t="s">
        <v>30</v>
      </c>
      <c r="E5844" s="2" t="s">
        <v>114</v>
      </c>
      <c r="F5844" s="11" t="s">
        <v>6956</v>
      </c>
      <c r="G5844" s="128" t="s">
        <v>3882</v>
      </c>
      <c r="H5844" s="2" t="s">
        <v>6775</v>
      </c>
      <c r="I5844" s="12" t="s">
        <v>118</v>
      </c>
      <c r="J5844" s="22">
        <f>+Tabla1[[#This Row],[FECHA ENTRADA]]</f>
        <v>46214</v>
      </c>
      <c r="K5844" s="22">
        <f ca="1">TODAY()</f>
        <v>46260</v>
      </c>
      <c r="L5844" s="23">
        <f ca="1">_xlfn.DAYS(Tabla1[[#This Row],[FECHA FIN ]],Tabla1[[#This Row],[FECHA INICIO]])</f>
        <v>46</v>
      </c>
      <c r="M5844" s="12"/>
      <c r="N5844" s="24">
        <v>325</v>
      </c>
      <c r="O5844" s="24">
        <f ca="1">(Tabla1[[#This Row],[COSTO FIJO ]]/30)*Tabla1[[#This Row],[TOTAL DIAS PROYECTO]]+(Tabla1[[#This Row],[COSTO TEMPORAL]])</f>
        <v>498.33333333333337</v>
      </c>
      <c r="P5844" s="12"/>
      <c r="Q5844" s="12">
        <f ca="1">+(Tabla1[[#This Row],[COSTO COCHE]]/30)*Tabla1[[#This Row],[TOTAL DIAS PROYECTO]]</f>
        <v>0</v>
      </c>
      <c r="R5844" s="12">
        <f ca="1">+Tabla1[[#This Row],[COSTO TOTAL ALOJAMIENTO]]+Tabla1[[#This Row],[COSTO TOTAL COCHE]]</f>
        <v>498.33333333333337</v>
      </c>
      <c r="S5844" s="2"/>
      <c r="T5844" s="14" t="s">
        <v>35</v>
      </c>
      <c r="U5844" s="14">
        <v>46214</v>
      </c>
      <c r="V5844" s="25"/>
      <c r="W5844" s="12">
        <v>650</v>
      </c>
      <c r="X5844" s="2">
        <v>5</v>
      </c>
      <c r="Y5844" s="11"/>
      <c r="Z5844" s="2" t="s">
        <v>702</v>
      </c>
      <c r="AA5844" s="13" t="s">
        <v>10340</v>
      </c>
      <c r="AB5844" s="13" t="s">
        <v>10341</v>
      </c>
    </row>
    <row r="5845" spans="1:28" ht="15" customHeight="1">
      <c r="A5845" s="2" t="s">
        <v>9049</v>
      </c>
      <c r="B5845" s="2" t="s">
        <v>711</v>
      </c>
      <c r="C5845" s="11" t="s">
        <v>1808</v>
      </c>
      <c r="D5845" s="2" t="s">
        <v>30</v>
      </c>
      <c r="E5845" s="2" t="s">
        <v>114</v>
      </c>
      <c r="F5845" s="11" t="s">
        <v>6956</v>
      </c>
      <c r="G5845" s="128" t="s">
        <v>3882</v>
      </c>
      <c r="H5845" s="2" t="s">
        <v>6775</v>
      </c>
      <c r="I5845" s="12" t="s">
        <v>118</v>
      </c>
      <c r="J5845" s="22">
        <f>+Tabla1[[#This Row],[FECHA ENTRADA]]</f>
        <v>46214</v>
      </c>
      <c r="K5845" s="22">
        <f ca="1">TODAY()</f>
        <v>46260</v>
      </c>
      <c r="L5845" s="23">
        <f ca="1">_xlfn.DAYS(Tabla1[[#This Row],[FECHA FIN ]],Tabla1[[#This Row],[FECHA INICIO]])</f>
        <v>46</v>
      </c>
      <c r="M5845" s="12"/>
      <c r="N5845" s="24">
        <v>325</v>
      </c>
      <c r="O5845" s="24">
        <f ca="1">(Tabla1[[#This Row],[COSTO FIJO ]]/30)*Tabla1[[#This Row],[TOTAL DIAS PROYECTO]]+(Tabla1[[#This Row],[COSTO TEMPORAL]])</f>
        <v>498.33333333333337</v>
      </c>
      <c r="P5845" s="12"/>
      <c r="Q5845" s="12">
        <f ca="1">+(Tabla1[[#This Row],[COSTO COCHE]]/30)*Tabla1[[#This Row],[TOTAL DIAS PROYECTO]]</f>
        <v>0</v>
      </c>
      <c r="R5845" s="12">
        <f ca="1">+Tabla1[[#This Row],[COSTO TOTAL ALOJAMIENTO]]+Tabla1[[#This Row],[COSTO TOTAL COCHE]]</f>
        <v>498.33333333333337</v>
      </c>
      <c r="S5845" s="2"/>
      <c r="T5845" s="14" t="s">
        <v>35</v>
      </c>
      <c r="U5845" s="14">
        <v>46214</v>
      </c>
      <c r="V5845" s="25"/>
      <c r="W5845" s="12"/>
      <c r="X5845" s="2">
        <v>5</v>
      </c>
      <c r="Y5845" s="11"/>
      <c r="Z5845" s="2" t="s">
        <v>702</v>
      </c>
      <c r="AA5845" s="13" t="s">
        <v>10340</v>
      </c>
      <c r="AB5845" s="13" t="s">
        <v>10341</v>
      </c>
    </row>
    <row r="5846" spans="1:28" ht="15" customHeight="1">
      <c r="A5846" s="2" t="s">
        <v>9689</v>
      </c>
      <c r="B5846" s="2" t="s">
        <v>978</v>
      </c>
      <c r="C5846" s="11" t="s">
        <v>4246</v>
      </c>
      <c r="D5846" s="2" t="s">
        <v>99</v>
      </c>
      <c r="E5846" s="2" t="s">
        <v>2231</v>
      </c>
      <c r="F5846" s="11" t="s">
        <v>7935</v>
      </c>
      <c r="G5846" s="128" t="s">
        <v>7936</v>
      </c>
      <c r="H5846" s="2" t="s">
        <v>7937</v>
      </c>
      <c r="I5846" s="12" t="s">
        <v>7938</v>
      </c>
      <c r="J5846" s="22">
        <f>+Tabla1[[#This Row],[FECHA ENTRADA]]</f>
        <v>46240</v>
      </c>
      <c r="K5846" s="22">
        <f ca="1">TODAY()</f>
        <v>46260</v>
      </c>
      <c r="L5846" s="23">
        <f ca="1">_xlfn.DAYS(Tabla1[[#This Row],[FECHA FIN ]],Tabla1[[#This Row],[FECHA INICIO]])</f>
        <v>20</v>
      </c>
      <c r="M5846" s="12"/>
      <c r="N5846" s="20">
        <v>400</v>
      </c>
      <c r="O5846" s="24">
        <f ca="1">(Tabla1[[#This Row],[COSTO FIJO ]]/30)*Tabla1[[#This Row],[TOTAL DIAS PROYECTO]]+(Tabla1[[#This Row],[COSTO TEMPORAL]])</f>
        <v>266.66666666666669</v>
      </c>
      <c r="P5846" s="12"/>
      <c r="Q5846" s="12">
        <f ca="1">+(Tabla1[[#This Row],[COSTO COCHE]]/30)*Tabla1[[#This Row],[TOTAL DIAS PROYECTO]]</f>
        <v>0</v>
      </c>
      <c r="R5846" s="12">
        <f ca="1">+Tabla1[[#This Row],[COSTO TOTAL ALOJAMIENTO]]+Tabla1[[#This Row],[COSTO TOTAL COCHE]]</f>
        <v>266.66666666666669</v>
      </c>
      <c r="S5846" s="2"/>
      <c r="T5846" s="14" t="s">
        <v>35</v>
      </c>
      <c r="U5846" s="14">
        <v>46240</v>
      </c>
      <c r="V5846" s="79"/>
      <c r="W5846" s="12"/>
      <c r="X5846" s="2">
        <v>5</v>
      </c>
      <c r="Y5846" s="11" t="s">
        <v>7939</v>
      </c>
      <c r="Z5846" s="2" t="s">
        <v>702</v>
      </c>
      <c r="AA5846" s="13">
        <v>-8.6443499999999993</v>
      </c>
      <c r="AB5846" s="13">
        <v>42.430999999999997</v>
      </c>
    </row>
    <row r="5847" spans="1:28" ht="15" customHeight="1">
      <c r="A5847" s="2" t="s">
        <v>10304</v>
      </c>
      <c r="B5847" s="2" t="s">
        <v>711</v>
      </c>
      <c r="C5847" s="321" t="s">
        <v>7940</v>
      </c>
      <c r="D5847" s="2" t="s">
        <v>30</v>
      </c>
      <c r="E5847" s="2" t="s">
        <v>87</v>
      </c>
      <c r="F5847" s="11" t="s">
        <v>1106</v>
      </c>
      <c r="G5847" s="49"/>
      <c r="H5847" s="2" t="s">
        <v>7941</v>
      </c>
      <c r="I5847" s="12" t="s">
        <v>2321</v>
      </c>
      <c r="J5847" s="22">
        <f>+Tabla1[[#This Row],[FECHA ENTRADA]]</f>
        <v>46054</v>
      </c>
      <c r="K5847" s="22">
        <v>46241</v>
      </c>
      <c r="L5847" s="23">
        <f>_xlfn.DAYS(Tabla1[[#This Row],[FECHA FIN ]],Tabla1[[#This Row],[FECHA INICIO]])</f>
        <v>187</v>
      </c>
      <c r="M5847" s="12"/>
      <c r="N5847" s="24">
        <v>0</v>
      </c>
      <c r="O5847" s="24">
        <f>(Tabla1[[#This Row],[COSTO FIJO ]]/30)*Tabla1[[#This Row],[TOTAL DIAS PROYECTO]]+(Tabla1[[#This Row],[COSTO TEMPORAL]])</f>
        <v>0</v>
      </c>
      <c r="P5847" s="12"/>
      <c r="Q5847" s="12">
        <f>+(Tabla1[[#This Row],[COSTO COCHE]]/30)*Tabla1[[#This Row],[TOTAL DIAS PROYECTO]]</f>
        <v>0</v>
      </c>
      <c r="R5847" s="12">
        <f>+Tabla1[[#This Row],[COSTO TOTAL ALOJAMIENTO]]+Tabla1[[#This Row],[COSTO TOTAL COCHE]]</f>
        <v>0</v>
      </c>
      <c r="S5847" s="2"/>
      <c r="T5847" s="14" t="s">
        <v>8</v>
      </c>
      <c r="U5847" s="14">
        <v>46054</v>
      </c>
      <c r="V5847" s="25"/>
      <c r="W5847" s="12"/>
      <c r="X5847" s="2"/>
      <c r="Y5847" s="136" t="s">
        <v>7942</v>
      </c>
      <c r="Z5847" s="2" t="s">
        <v>36</v>
      </c>
      <c r="AA5847" s="13" t="s">
        <v>10335</v>
      </c>
      <c r="AB5847" s="13">
        <v>404.16500000000002</v>
      </c>
    </row>
    <row r="5848" spans="1:28" ht="15" customHeight="1">
      <c r="A5848" s="2" t="s">
        <v>10305</v>
      </c>
      <c r="B5848" s="2" t="s">
        <v>978</v>
      </c>
      <c r="C5848" s="11" t="s">
        <v>7943</v>
      </c>
      <c r="D5848" s="2" t="s">
        <v>30</v>
      </c>
      <c r="E5848" s="2" t="s">
        <v>213</v>
      </c>
      <c r="F5848" s="11" t="s">
        <v>7944</v>
      </c>
      <c r="G5848" s="68" t="s">
        <v>558</v>
      </c>
      <c r="H5848" s="2" t="s">
        <v>3154</v>
      </c>
      <c r="I5848" s="12" t="s">
        <v>3791</v>
      </c>
      <c r="J5848" s="41">
        <f>+Tabla1[[#This Row],[FECHA ENTRADA]]</f>
        <v>45809</v>
      </c>
      <c r="K5848" s="8">
        <f ca="1">TODAY()</f>
        <v>46260</v>
      </c>
      <c r="L5848" s="42">
        <f ca="1">_xlfn.DAYS(Tabla1[[#This Row],[FECHA FIN ]],Tabla1[[#This Row],[FECHA INICIO]])</f>
        <v>451</v>
      </c>
      <c r="M5848" s="12"/>
      <c r="N5848" s="28">
        <v>500</v>
      </c>
      <c r="O5848" s="28">
        <f ca="1">(Tabla1[[#This Row],[COSTO FIJO ]]/30)*Tabla1[[#This Row],[TOTAL DIAS PROYECTO]]+(Tabla1[[#This Row],[COSTO TEMPORAL]])</f>
        <v>7516.666666666667</v>
      </c>
      <c r="P5848" s="12"/>
      <c r="Q5848" s="12">
        <f ca="1">+(Tabla1[[#This Row],[COSTO COCHE]]/30)*Tabla1[[#This Row],[TOTAL DIAS PROYECTO]]</f>
        <v>0</v>
      </c>
      <c r="R5848" s="12">
        <f ca="1">+Tabla1[[#This Row],[COSTO TOTAL ALOJAMIENTO]]+Tabla1[[#This Row],[COSTO TOTAL COCHE]]</f>
        <v>7516.666666666667</v>
      </c>
      <c r="S5848" s="2"/>
      <c r="T5848" s="14" t="s">
        <v>35</v>
      </c>
      <c r="U5848" s="14">
        <v>45809</v>
      </c>
      <c r="V5848" s="43"/>
      <c r="W5848" s="12">
        <v>1500</v>
      </c>
      <c r="X5848" s="2">
        <v>5</v>
      </c>
      <c r="Y5848" s="11" t="s">
        <v>7945</v>
      </c>
      <c r="Z5848" s="2" t="s">
        <v>5712</v>
      </c>
      <c r="AA5848" s="13" t="s">
        <v>10349</v>
      </c>
      <c r="AB5848" s="13" t="s">
        <v>10350</v>
      </c>
    </row>
    <row r="5849" spans="1:28" ht="15" customHeight="1">
      <c r="A5849" s="2" t="s">
        <v>10306</v>
      </c>
      <c r="B5849" s="2" t="s">
        <v>978</v>
      </c>
      <c r="C5849" s="11" t="s">
        <v>7946</v>
      </c>
      <c r="D5849" s="2" t="s">
        <v>30</v>
      </c>
      <c r="E5849" s="2" t="s">
        <v>213</v>
      </c>
      <c r="F5849" s="11" t="s">
        <v>7944</v>
      </c>
      <c r="G5849" s="68" t="s">
        <v>558</v>
      </c>
      <c r="H5849" s="2" t="s">
        <v>3197</v>
      </c>
      <c r="I5849" s="12" t="s">
        <v>3791</v>
      </c>
      <c r="J5849" s="41">
        <f>+Tabla1[[#This Row],[FECHA ENTRADA]]</f>
        <v>45809</v>
      </c>
      <c r="K5849" s="8">
        <f ca="1">TODAY()</f>
        <v>46260</v>
      </c>
      <c r="L5849" s="42">
        <f ca="1">_xlfn.DAYS(Tabla1[[#This Row],[FECHA FIN ]],Tabla1[[#This Row],[FECHA INICIO]])</f>
        <v>451</v>
      </c>
      <c r="M5849" s="12"/>
      <c r="N5849" s="28">
        <v>500</v>
      </c>
      <c r="O5849" s="28">
        <f ca="1">(Tabla1[[#This Row],[COSTO FIJO ]]/30)*Tabla1[[#This Row],[TOTAL DIAS PROYECTO]]+(Tabla1[[#This Row],[COSTO TEMPORAL]])</f>
        <v>7516.666666666667</v>
      </c>
      <c r="P5849" s="12"/>
      <c r="Q5849" s="12">
        <f ca="1">+(Tabla1[[#This Row],[COSTO COCHE]]/30)*Tabla1[[#This Row],[TOTAL DIAS PROYECTO]]</f>
        <v>0</v>
      </c>
      <c r="R5849" s="12">
        <f ca="1">+Tabla1[[#This Row],[COSTO TOTAL ALOJAMIENTO]]+Tabla1[[#This Row],[COSTO TOTAL COCHE]]</f>
        <v>7516.666666666667</v>
      </c>
      <c r="S5849" s="2"/>
      <c r="T5849" s="14" t="s">
        <v>35</v>
      </c>
      <c r="U5849" s="14">
        <v>45809</v>
      </c>
      <c r="V5849" s="43"/>
      <c r="W5849" s="12"/>
      <c r="X5849" s="2">
        <v>5</v>
      </c>
      <c r="Y5849" s="11" t="s">
        <v>7945</v>
      </c>
      <c r="Z5849" s="2" t="s">
        <v>5712</v>
      </c>
      <c r="AA5849" s="13" t="s">
        <v>10349</v>
      </c>
      <c r="AB5849" s="13" t="s">
        <v>10350</v>
      </c>
    </row>
    <row r="5850" spans="1:28">
      <c r="A5850" s="2" t="s">
        <v>9957</v>
      </c>
      <c r="B5850" s="2" t="s">
        <v>711</v>
      </c>
      <c r="C5850" s="31" t="s">
        <v>5717</v>
      </c>
      <c r="D5850" s="2" t="s">
        <v>30</v>
      </c>
      <c r="E5850" s="2" t="s">
        <v>127</v>
      </c>
      <c r="F5850" s="11"/>
      <c r="G5850" s="49"/>
      <c r="H5850" s="2" t="s">
        <v>6062</v>
      </c>
      <c r="I5850" s="12" t="s">
        <v>96</v>
      </c>
      <c r="J5850" s="22">
        <f>+Tabla1[[#This Row],[FECHA ENTRADA]]</f>
        <v>46180</v>
      </c>
      <c r="K5850" s="22">
        <v>46184</v>
      </c>
      <c r="L5850" s="23">
        <f>_xlfn.DAYS(Tabla1[[#This Row],[FECHA FIN ]],Tabla1[[#This Row],[FECHA INICIO]])</f>
        <v>4</v>
      </c>
      <c r="M5850" s="12"/>
      <c r="N5850" s="24">
        <v>0</v>
      </c>
      <c r="O5850" s="24">
        <f>(Tabla1[[#This Row],[COSTO FIJO ]]/30)*Tabla1[[#This Row],[TOTAL DIAS PROYECTO]]+(Tabla1[[#This Row],[COSTO TEMPORAL]])</f>
        <v>0</v>
      </c>
      <c r="P5850" s="12"/>
      <c r="Q5850" s="12">
        <f>+(Tabla1[[#This Row],[COSTO COCHE]]/30)*Tabla1[[#This Row],[TOTAL DIAS PROYECTO]]</f>
        <v>0</v>
      </c>
      <c r="R5850" s="12">
        <f>+Tabla1[[#This Row],[COSTO TOTAL ALOJAMIENTO]]+Tabla1[[#This Row],[COSTO TOTAL COCHE]]</f>
        <v>0</v>
      </c>
      <c r="S5850" s="2"/>
      <c r="T5850" s="14" t="s">
        <v>35</v>
      </c>
      <c r="U5850" s="14">
        <v>46180</v>
      </c>
      <c r="V5850" s="25"/>
      <c r="W5850" s="12"/>
      <c r="X5850" s="2"/>
      <c r="Y5850" s="11" t="s">
        <v>7947</v>
      </c>
      <c r="Z5850" s="2" t="s">
        <v>36</v>
      </c>
      <c r="AA5850" s="13" t="s">
        <v>10342</v>
      </c>
      <c r="AB5850" s="13" t="s">
        <v>10343</v>
      </c>
    </row>
    <row r="5851" spans="1:28" ht="15" customHeight="1">
      <c r="A5851" s="2" t="s">
        <v>9431</v>
      </c>
      <c r="B5851" s="2" t="s">
        <v>606</v>
      </c>
      <c r="C5851" s="11" t="s">
        <v>3165</v>
      </c>
      <c r="D5851" s="2" t="s">
        <v>30</v>
      </c>
      <c r="E5851" s="2" t="s">
        <v>648</v>
      </c>
      <c r="F5851" s="11" t="s">
        <v>7598</v>
      </c>
      <c r="G5851" s="11" t="s">
        <v>7599</v>
      </c>
      <c r="H5851" s="2" t="s">
        <v>6822</v>
      </c>
      <c r="I5851" s="12" t="s">
        <v>4663</v>
      </c>
      <c r="J5851" s="41">
        <f>+Tabla1[[#This Row],[FECHA ENTRADA]]</f>
        <v>46172</v>
      </c>
      <c r="K5851" s="22">
        <v>46180</v>
      </c>
      <c r="L5851" s="42">
        <f>_xlfn.DAYS(Tabla1[[#This Row],[FECHA FIN ]],Tabla1[[#This Row],[FECHA INICIO]])</f>
        <v>8</v>
      </c>
      <c r="M5851" s="12">
        <f>85+(595/4)</f>
        <v>233.75</v>
      </c>
      <c r="N5851" s="28"/>
      <c r="O5851" s="28">
        <f>(Tabla1[[#This Row],[COSTO FIJO ]]/30)*Tabla1[[#This Row],[TOTAL DIAS PROYECTO]]+(Tabla1[[#This Row],[COSTO TEMPORAL]])</f>
        <v>233.75</v>
      </c>
      <c r="P5851" s="12"/>
      <c r="Q5851" s="12">
        <f>+(Tabla1[[#This Row],[COSTO COCHE]]/30)*Tabla1[[#This Row],[TOTAL DIAS PROYECTO]]</f>
        <v>0</v>
      </c>
      <c r="R5851" s="12">
        <f>+Tabla1[[#This Row],[COSTO TOTAL ALOJAMIENTO]]+Tabla1[[#This Row],[COSTO TOTAL COCHE]]</f>
        <v>233.75</v>
      </c>
      <c r="S5851" s="2"/>
      <c r="T5851" s="14" t="s">
        <v>44</v>
      </c>
      <c r="U5851" s="14">
        <v>46172</v>
      </c>
      <c r="V5851" s="43">
        <v>46183</v>
      </c>
      <c r="W5851" s="12"/>
      <c r="X5851" s="2"/>
      <c r="Y5851" s="11" t="s">
        <v>7948</v>
      </c>
      <c r="Z5851" s="2" t="s">
        <v>36</v>
      </c>
      <c r="AA5851" s="13" t="s">
        <v>10387</v>
      </c>
      <c r="AB5851" s="13" t="s">
        <v>10388</v>
      </c>
    </row>
    <row r="5852" spans="1:28" ht="15" customHeight="1">
      <c r="A5852" s="2" t="s">
        <v>8885</v>
      </c>
      <c r="B5852" s="2" t="s">
        <v>606</v>
      </c>
      <c r="C5852" s="11" t="s">
        <v>1167</v>
      </c>
      <c r="D5852" s="2" t="s">
        <v>30</v>
      </c>
      <c r="E5852" s="2" t="s">
        <v>648</v>
      </c>
      <c r="F5852" s="11" t="s">
        <v>7598</v>
      </c>
      <c r="G5852" s="11" t="s">
        <v>7599</v>
      </c>
      <c r="H5852" s="2" t="s">
        <v>6822</v>
      </c>
      <c r="I5852" s="12" t="s">
        <v>4663</v>
      </c>
      <c r="J5852" s="41">
        <f>+Tabla1[[#This Row],[FECHA ENTRADA]]</f>
        <v>46172</v>
      </c>
      <c r="K5852" s="22">
        <v>46180</v>
      </c>
      <c r="L5852" s="42">
        <f>_xlfn.DAYS(Tabla1[[#This Row],[FECHA FIN ]],Tabla1[[#This Row],[FECHA INICIO]])</f>
        <v>8</v>
      </c>
      <c r="M5852" s="12">
        <f>85+(595/4)</f>
        <v>233.75</v>
      </c>
      <c r="N5852" s="28"/>
      <c r="O5852" s="28">
        <f>(Tabla1[[#This Row],[COSTO FIJO ]]/30)*Tabla1[[#This Row],[TOTAL DIAS PROYECTO]]+(Tabla1[[#This Row],[COSTO TEMPORAL]])</f>
        <v>233.75</v>
      </c>
      <c r="P5852" s="12"/>
      <c r="Q5852" s="12">
        <f>+(Tabla1[[#This Row],[COSTO COCHE]]/30)*Tabla1[[#This Row],[TOTAL DIAS PROYECTO]]</f>
        <v>0</v>
      </c>
      <c r="R5852" s="12">
        <f>+Tabla1[[#This Row],[COSTO TOTAL ALOJAMIENTO]]+Tabla1[[#This Row],[COSTO TOTAL COCHE]]</f>
        <v>233.75</v>
      </c>
      <c r="S5852" s="2"/>
      <c r="T5852" s="14" t="s">
        <v>44</v>
      </c>
      <c r="U5852" s="14">
        <v>46172</v>
      </c>
      <c r="V5852" s="43">
        <v>46183</v>
      </c>
      <c r="W5852" s="12"/>
      <c r="X5852" s="2"/>
      <c r="Y5852" s="11" t="s">
        <v>7948</v>
      </c>
      <c r="Z5852" s="2" t="s">
        <v>36</v>
      </c>
      <c r="AA5852" s="13" t="s">
        <v>10387</v>
      </c>
      <c r="AB5852" s="13" t="s">
        <v>10388</v>
      </c>
    </row>
    <row r="5853" spans="1:28" ht="15" customHeight="1">
      <c r="A5853" s="2" t="s">
        <v>10307</v>
      </c>
      <c r="B5853" s="2" t="s">
        <v>978</v>
      </c>
      <c r="C5853" s="11" t="s">
        <v>7949</v>
      </c>
      <c r="D5853" s="2" t="s">
        <v>30</v>
      </c>
      <c r="E5853" s="2" t="s">
        <v>213</v>
      </c>
      <c r="F5853" s="11" t="s">
        <v>7944</v>
      </c>
      <c r="G5853" s="68" t="s">
        <v>558</v>
      </c>
      <c r="H5853" s="2" t="s">
        <v>3786</v>
      </c>
      <c r="I5853" s="12" t="s">
        <v>3791</v>
      </c>
      <c r="J5853" s="41">
        <f>+Tabla1[[#This Row],[FECHA ENTRADA]]</f>
        <v>45809</v>
      </c>
      <c r="K5853" s="8">
        <f ca="1">TODAY()</f>
        <v>46260</v>
      </c>
      <c r="L5853" s="42">
        <f ca="1">_xlfn.DAYS(Tabla1[[#This Row],[FECHA FIN ]],Tabla1[[#This Row],[FECHA INICIO]])</f>
        <v>451</v>
      </c>
      <c r="M5853" s="12"/>
      <c r="N5853" s="28">
        <v>500</v>
      </c>
      <c r="O5853" s="28">
        <f ca="1">(Tabla1[[#This Row],[COSTO FIJO ]]/30)*Tabla1[[#This Row],[TOTAL DIAS PROYECTO]]+(Tabla1[[#This Row],[COSTO TEMPORAL]])</f>
        <v>7516.666666666667</v>
      </c>
      <c r="P5853" s="12"/>
      <c r="Q5853" s="12">
        <f ca="1">+(Tabla1[[#This Row],[COSTO COCHE]]/30)*Tabla1[[#This Row],[TOTAL DIAS PROYECTO]]</f>
        <v>0</v>
      </c>
      <c r="R5853" s="12">
        <f ca="1">+Tabla1[[#This Row],[COSTO TOTAL ALOJAMIENTO]]+Tabla1[[#This Row],[COSTO TOTAL COCHE]]</f>
        <v>7516.666666666667</v>
      </c>
      <c r="S5853" s="2"/>
      <c r="T5853" s="14" t="s">
        <v>35</v>
      </c>
      <c r="U5853" s="14">
        <v>45809</v>
      </c>
      <c r="V5853" s="43"/>
      <c r="W5853" s="12"/>
      <c r="X5853" s="2">
        <v>5</v>
      </c>
      <c r="Y5853" s="11" t="s">
        <v>7945</v>
      </c>
      <c r="Z5853" s="2" t="s">
        <v>5712</v>
      </c>
      <c r="AA5853" s="13" t="s">
        <v>10349</v>
      </c>
      <c r="AB5853" s="13" t="s">
        <v>10350</v>
      </c>
    </row>
    <row r="5854" spans="1:28" ht="15" customHeight="1">
      <c r="A5854" s="2" t="s">
        <v>9753</v>
      </c>
      <c r="B5854" s="2" t="s">
        <v>978</v>
      </c>
      <c r="C5854" s="321" t="s">
        <v>4566</v>
      </c>
      <c r="D5854" s="2" t="s">
        <v>99</v>
      </c>
      <c r="E5854" s="2" t="s">
        <v>380</v>
      </c>
      <c r="F5854" s="133" t="s">
        <v>5246</v>
      </c>
      <c r="G5854" s="46" t="s">
        <v>2237</v>
      </c>
      <c r="H5854" s="2" t="s">
        <v>1799</v>
      </c>
      <c r="I5854" s="12" t="s">
        <v>5328</v>
      </c>
      <c r="J5854" s="41">
        <f>+Tabla1[[#This Row],[FECHA ENTRADA]]</f>
        <v>45855</v>
      </c>
      <c r="K5854" s="41">
        <v>46236</v>
      </c>
      <c r="L5854" s="42">
        <f>_xlfn.DAYS(Tabla1[[#This Row],[FECHA FIN ]],Tabla1[[#This Row],[FECHA INICIO]])</f>
        <v>381</v>
      </c>
      <c r="M5854" s="12"/>
      <c r="N5854" s="24">
        <v>533.33333333333337</v>
      </c>
      <c r="O5854" s="28">
        <f>(Tabla1[[#This Row],[COSTO FIJO ]]/30)*Tabla1[[#This Row],[TOTAL DIAS PROYECTO]]+(Tabla1[[#This Row],[COSTO TEMPORAL]])</f>
        <v>6773.3333333333339</v>
      </c>
      <c r="P5854" s="12"/>
      <c r="Q5854" s="12">
        <f>+(Tabla1[[#This Row],[COSTO COCHE]]/30)*Tabla1[[#This Row],[TOTAL DIAS PROYECTO]]</f>
        <v>0</v>
      </c>
      <c r="R5854" s="12">
        <f>+Tabla1[[#This Row],[COSTO TOTAL ALOJAMIENTO]]+Tabla1[[#This Row],[COSTO TOTAL COCHE]]</f>
        <v>6773.3333333333339</v>
      </c>
      <c r="S5854" s="2"/>
      <c r="T5854" s="14" t="s">
        <v>35</v>
      </c>
      <c r="U5854" s="14">
        <v>45855</v>
      </c>
      <c r="V5854" s="43"/>
      <c r="W5854" s="12"/>
      <c r="X5854" s="2">
        <v>17</v>
      </c>
      <c r="Y5854" s="30" t="s">
        <v>7950</v>
      </c>
      <c r="Z5854" s="2" t="s">
        <v>36</v>
      </c>
      <c r="AA5854" s="13" t="s">
        <v>10370</v>
      </c>
      <c r="AB5854" s="13" t="s">
        <v>10371</v>
      </c>
    </row>
    <row r="5855" spans="1:28" ht="15" customHeight="1">
      <c r="A5855" s="2" t="s">
        <v>9198</v>
      </c>
      <c r="B5855" s="2" t="s">
        <v>711</v>
      </c>
      <c r="C5855" s="31" t="s">
        <v>2407</v>
      </c>
      <c r="D5855" s="2" t="s">
        <v>30</v>
      </c>
      <c r="E5855" s="2" t="s">
        <v>648</v>
      </c>
      <c r="F5855" s="11" t="s">
        <v>2329</v>
      </c>
      <c r="G5855" s="49" t="s">
        <v>2330</v>
      </c>
      <c r="H5855" s="2" t="s">
        <v>2331</v>
      </c>
      <c r="I5855" s="12" t="s">
        <v>96</v>
      </c>
      <c r="J5855" s="22">
        <f>+Tabla1[[#This Row],[FECHA ENTRADA]]</f>
        <v>45943</v>
      </c>
      <c r="K5855" s="8">
        <v>45951</v>
      </c>
      <c r="L5855" s="23">
        <f>_xlfn.DAYS(Tabla1[[#This Row],[FECHA FIN ]],Tabla1[[#This Row],[FECHA INICIO]])</f>
        <v>8</v>
      </c>
      <c r="M5855" s="12">
        <f>1106.94/3</f>
        <v>368.98</v>
      </c>
      <c r="N5855" s="24"/>
      <c r="O5855" s="24">
        <f>(Tabla1[[#This Row],[COSTO FIJO ]]/30)*Tabla1[[#This Row],[TOTAL DIAS PROYECTO]]+(Tabla1[[#This Row],[COSTO TEMPORAL]])</f>
        <v>368.98</v>
      </c>
      <c r="P5855" s="12"/>
      <c r="Q5855" s="12">
        <f>+(Tabla1[[#This Row],[COSTO COCHE]]/30)*Tabla1[[#This Row],[TOTAL DIAS PROYECTO]]</f>
        <v>0</v>
      </c>
      <c r="R5855" s="12">
        <f>+Tabla1[[#This Row],[COSTO TOTAL ALOJAMIENTO]]+Tabla1[[#This Row],[COSTO TOTAL COCHE]]</f>
        <v>368.98</v>
      </c>
      <c r="S5855" s="2" t="s">
        <v>84</v>
      </c>
      <c r="T5855" s="14" t="s">
        <v>44</v>
      </c>
      <c r="U5855" s="14">
        <v>45943</v>
      </c>
      <c r="V5855" s="25">
        <v>45959</v>
      </c>
      <c r="W5855" s="71"/>
      <c r="X5855" s="2"/>
      <c r="Y5855" s="11" t="s">
        <v>2332</v>
      </c>
      <c r="Z5855" s="2" t="s">
        <v>36</v>
      </c>
      <c r="AA5855" s="13" t="s">
        <v>10387</v>
      </c>
      <c r="AB5855" s="13" t="s">
        <v>10388</v>
      </c>
    </row>
    <row r="5856" spans="1:28" ht="15" customHeight="1">
      <c r="A5856" s="2" t="s">
        <v>8737</v>
      </c>
      <c r="B5856" s="2" t="s">
        <v>711</v>
      </c>
      <c r="C5856" s="11" t="s">
        <v>510</v>
      </c>
      <c r="D5856" s="2" t="s">
        <v>30</v>
      </c>
      <c r="E5856" s="2" t="s">
        <v>1987</v>
      </c>
      <c r="F5856" s="11" t="s">
        <v>3766</v>
      </c>
      <c r="G5856" s="128" t="s">
        <v>3767</v>
      </c>
      <c r="H5856" s="2" t="s">
        <v>7951</v>
      </c>
      <c r="I5856" s="12" t="s">
        <v>3769</v>
      </c>
      <c r="J5856" s="22">
        <f>+Tabla1[[#This Row],[FECHA ENTRADA]]</f>
        <v>46161</v>
      </c>
      <c r="K5856" s="22">
        <f ca="1">TODAY()</f>
        <v>46260</v>
      </c>
      <c r="L5856" s="23">
        <f ca="1">_xlfn.DAYS(Tabla1[[#This Row],[FECHA FIN ]],Tabla1[[#This Row],[FECHA INICIO]])</f>
        <v>99</v>
      </c>
      <c r="M5856" s="12"/>
      <c r="N5856" s="28">
        <v>542.5</v>
      </c>
      <c r="O5856" s="24">
        <f ca="1">(Tabla1[[#This Row],[COSTO FIJO ]]/30)*Tabla1[[#This Row],[TOTAL DIAS PROYECTO]]+(Tabla1[[#This Row],[COSTO TEMPORAL]])</f>
        <v>1790.2499999999998</v>
      </c>
      <c r="P5856" s="12"/>
      <c r="Q5856" s="12">
        <f ca="1">+(Tabla1[[#This Row],[COSTO COCHE]]/30)*Tabla1[[#This Row],[TOTAL DIAS PROYECTO]]</f>
        <v>0</v>
      </c>
      <c r="R5856" s="12">
        <f ca="1">+Tabla1[[#This Row],[COSTO TOTAL ALOJAMIENTO]]+Tabla1[[#This Row],[COSTO TOTAL COCHE]]</f>
        <v>1790.2499999999998</v>
      </c>
      <c r="S5856" s="2"/>
      <c r="T5856" s="14" t="s">
        <v>35</v>
      </c>
      <c r="U5856" s="14">
        <v>46161</v>
      </c>
      <c r="V5856" s="79"/>
      <c r="W5856" s="12"/>
      <c r="X5856" s="2">
        <v>7</v>
      </c>
      <c r="Y5856" s="11" t="s">
        <v>7952</v>
      </c>
      <c r="Z5856" s="2" t="s">
        <v>702</v>
      </c>
      <c r="AA5856" s="13" t="s">
        <v>10435</v>
      </c>
      <c r="AB5856" s="13">
        <v>42.136150000000001</v>
      </c>
    </row>
    <row r="5857" spans="1:28" ht="15" customHeight="1">
      <c r="A5857" s="2" t="s">
        <v>9979</v>
      </c>
      <c r="B5857" s="2" t="s">
        <v>978</v>
      </c>
      <c r="C5857" s="11" t="s">
        <v>5819</v>
      </c>
      <c r="D5857" s="2" t="s">
        <v>30</v>
      </c>
      <c r="E5857" s="2" t="s">
        <v>31</v>
      </c>
      <c r="F5857" s="11"/>
      <c r="G5857" s="21"/>
      <c r="H5857" s="2" t="s">
        <v>5789</v>
      </c>
      <c r="I5857" s="12" t="s">
        <v>5790</v>
      </c>
      <c r="J5857" s="41">
        <f>+Tabla1[[#This Row],[FECHA ENTRADA]]</f>
        <v>46138</v>
      </c>
      <c r="K5857" s="22">
        <f ca="1">TODAY()</f>
        <v>46260</v>
      </c>
      <c r="L5857" s="42">
        <f ca="1">_xlfn.DAYS(Tabla1[[#This Row],[FECHA FIN ]],Tabla1[[#This Row],[FECHA INICIO]])</f>
        <v>122</v>
      </c>
      <c r="M5857" s="28"/>
      <c r="N5857" s="24">
        <v>300</v>
      </c>
      <c r="O5857" s="28">
        <f ca="1">(Tabla1[[#This Row],[COSTO FIJO ]]/30)*Tabla1[[#This Row],[TOTAL DIAS PROYECTO]]+(Tabla1[[#This Row],[COSTO TEMPORAL]])</f>
        <v>1220</v>
      </c>
      <c r="P5857" s="12"/>
      <c r="Q5857" s="12">
        <f ca="1">+(Tabla1[[#This Row],[COSTO COCHE]]/30)*Tabla1[[#This Row],[TOTAL DIAS PROYECTO]]</f>
        <v>0</v>
      </c>
      <c r="R5857" s="12">
        <f ca="1">+Tabla1[[#This Row],[COSTO TOTAL ALOJAMIENTO]]+Tabla1[[#This Row],[COSTO TOTAL COCHE]]</f>
        <v>1220</v>
      </c>
      <c r="S5857" s="2"/>
      <c r="T5857" s="14" t="s">
        <v>58</v>
      </c>
      <c r="U5857" s="14">
        <v>46138</v>
      </c>
      <c r="V5857" s="43">
        <v>46147</v>
      </c>
      <c r="W5857" s="12"/>
      <c r="X5857" s="2"/>
      <c r="Y5857" s="136" t="s">
        <v>7953</v>
      </c>
      <c r="Z5857" s="2" t="s">
        <v>702</v>
      </c>
      <c r="AA5857" s="13" t="s">
        <v>10323</v>
      </c>
      <c r="AB5857" s="13" t="s">
        <v>10324</v>
      </c>
    </row>
    <row r="5858" spans="1:28" ht="15" customHeight="1">
      <c r="A5858" s="2" t="s">
        <v>10094</v>
      </c>
      <c r="B5858" s="2" t="s">
        <v>606</v>
      </c>
      <c r="C5858" s="11" t="s">
        <v>6330</v>
      </c>
      <c r="D5858" s="2" t="s">
        <v>30</v>
      </c>
      <c r="E5858" s="2" t="s">
        <v>855</v>
      </c>
      <c r="F5858" s="11" t="s">
        <v>7879</v>
      </c>
      <c r="G5858" s="21" t="s">
        <v>7880</v>
      </c>
      <c r="H5858" s="2" t="s">
        <v>6686</v>
      </c>
      <c r="I5858" s="12" t="s">
        <v>3274</v>
      </c>
      <c r="J5858" s="22">
        <f>+Tabla1[[#This Row],[FECHA ENTRADA]]</f>
        <v>46203</v>
      </c>
      <c r="K5858" s="22">
        <v>46210</v>
      </c>
      <c r="L5858" s="23">
        <f>_xlfn.DAYS(Tabla1[[#This Row],[FECHA FIN ]],Tabla1[[#This Row],[FECHA INICIO]])</f>
        <v>7</v>
      </c>
      <c r="M5858" s="12">
        <f>634.49/3</f>
        <v>211.49666666666667</v>
      </c>
      <c r="N5858" s="20"/>
      <c r="O5858" s="24">
        <f>(Tabla1[[#This Row],[COSTO FIJO ]]/30)*Tabla1[[#This Row],[TOTAL DIAS PROYECTO]]+(Tabla1[[#This Row],[COSTO TEMPORAL]])</f>
        <v>211.49666666666667</v>
      </c>
      <c r="P5858" s="12"/>
      <c r="Q5858" s="12">
        <f>+(Tabla1[[#This Row],[COSTO COCHE]]/30)*Tabla1[[#This Row],[TOTAL DIAS PROYECTO]]</f>
        <v>0</v>
      </c>
      <c r="R5858" s="12">
        <f>+Tabla1[[#This Row],[COSTO TOTAL ALOJAMIENTO]]+Tabla1[[#This Row],[COSTO TOTAL COCHE]]</f>
        <v>211.49666666666667</v>
      </c>
      <c r="S5858" s="2" t="s">
        <v>84</v>
      </c>
      <c r="T5858" s="14" t="s">
        <v>44</v>
      </c>
      <c r="U5858" s="14">
        <v>46203</v>
      </c>
      <c r="V5858" s="79">
        <v>46210</v>
      </c>
      <c r="W5858" s="12"/>
      <c r="X5858" s="2"/>
      <c r="Y5858" s="11" t="s">
        <v>7881</v>
      </c>
      <c r="Z5858" s="2" t="s">
        <v>36</v>
      </c>
      <c r="AA5858" s="13" t="s">
        <v>10401</v>
      </c>
      <c r="AB5858" s="13" t="s">
        <v>10402</v>
      </c>
    </row>
    <row r="5859" spans="1:28" ht="15" customHeight="1">
      <c r="A5859" s="2" t="s">
        <v>9462</v>
      </c>
      <c r="B5859" s="2" t="s">
        <v>606</v>
      </c>
      <c r="C5859" s="31" t="s">
        <v>3271</v>
      </c>
      <c r="D5859" s="2" t="s">
        <v>30</v>
      </c>
      <c r="E5859" s="2" t="s">
        <v>855</v>
      </c>
      <c r="F5859" s="31" t="s">
        <v>7954</v>
      </c>
      <c r="G5859" s="21" t="s">
        <v>7955</v>
      </c>
      <c r="H5859" s="2" t="s">
        <v>3273</v>
      </c>
      <c r="I5859" s="12" t="s">
        <v>3274</v>
      </c>
      <c r="J5859" s="22">
        <f>+Tabla1[[#This Row],[FECHA ENTRADA]]</f>
        <v>46210</v>
      </c>
      <c r="K5859" s="22">
        <v>46256</v>
      </c>
      <c r="L5859" s="23">
        <f>_xlfn.DAYS(Tabla1[[#This Row],[FECHA FIN ]],Tabla1[[#This Row],[FECHA INICIO]])</f>
        <v>46</v>
      </c>
      <c r="M5859" s="12">
        <f>Tabla1[[#This Row],[TOTAL DIAS PROYECTO]]*50/3</f>
        <v>766.66666666666663</v>
      </c>
      <c r="N5859" s="20"/>
      <c r="O5859" s="24">
        <f>(Tabla1[[#This Row],[COSTO FIJO ]]/30)*Tabla1[[#This Row],[TOTAL DIAS PROYECTO]]+(Tabla1[[#This Row],[COSTO TEMPORAL]])</f>
        <v>766.66666666666663</v>
      </c>
      <c r="P5859" s="12"/>
      <c r="Q5859" s="12">
        <f>+(Tabla1[[#This Row],[COSTO COCHE]]/30)*Tabla1[[#This Row],[TOTAL DIAS PROYECTO]]</f>
        <v>0</v>
      </c>
      <c r="R5859" s="12">
        <f>+Tabla1[[#This Row],[COSTO TOTAL ALOJAMIENTO]]+Tabla1[[#This Row],[COSTO TOTAL COCHE]]</f>
        <v>766.66666666666663</v>
      </c>
      <c r="S5859" s="2"/>
      <c r="T5859" s="14" t="s">
        <v>44</v>
      </c>
      <c r="U5859" s="14">
        <v>46210</v>
      </c>
      <c r="V5859" s="25">
        <v>46256</v>
      </c>
      <c r="W5859" s="12">
        <v>300</v>
      </c>
      <c r="X5859" s="2"/>
      <c r="Y5859" s="85" t="s">
        <v>7956</v>
      </c>
      <c r="Z5859" s="2" t="s">
        <v>36</v>
      </c>
      <c r="AA5859" s="13" t="s">
        <v>10401</v>
      </c>
      <c r="AB5859" s="13" t="s">
        <v>10402</v>
      </c>
    </row>
    <row r="5860" spans="1:28" ht="15" customHeight="1">
      <c r="A5860" s="2" t="s">
        <v>9933</v>
      </c>
      <c r="B5860" s="2" t="s">
        <v>606</v>
      </c>
      <c r="C5860" s="321" t="s">
        <v>5533</v>
      </c>
      <c r="D5860" s="2" t="s">
        <v>30</v>
      </c>
      <c r="E5860" s="2" t="s">
        <v>855</v>
      </c>
      <c r="F5860" s="31" t="s">
        <v>7954</v>
      </c>
      <c r="G5860" s="21" t="s">
        <v>7955</v>
      </c>
      <c r="H5860" s="2" t="s">
        <v>3273</v>
      </c>
      <c r="I5860" s="12" t="s">
        <v>3274</v>
      </c>
      <c r="J5860" s="22">
        <f>+Tabla1[[#This Row],[FECHA ENTRADA]]</f>
        <v>46210</v>
      </c>
      <c r="K5860" s="22">
        <v>46256</v>
      </c>
      <c r="L5860" s="23">
        <f>_xlfn.DAYS(Tabla1[[#This Row],[FECHA FIN ]],Tabla1[[#This Row],[FECHA INICIO]])</f>
        <v>46</v>
      </c>
      <c r="M5860" s="12">
        <f>Tabla1[[#This Row],[TOTAL DIAS PROYECTO]]*50/3</f>
        <v>766.66666666666663</v>
      </c>
      <c r="N5860" s="20"/>
      <c r="O5860" s="24">
        <f>(Tabla1[[#This Row],[COSTO FIJO ]]/30)*Tabla1[[#This Row],[TOTAL DIAS PROYECTO]]+(Tabla1[[#This Row],[COSTO TEMPORAL]])</f>
        <v>766.66666666666663</v>
      </c>
      <c r="P5860" s="12"/>
      <c r="Q5860" s="12">
        <f>+(Tabla1[[#This Row],[COSTO COCHE]]/30)*Tabla1[[#This Row],[TOTAL DIAS PROYECTO]]</f>
        <v>0</v>
      </c>
      <c r="R5860" s="12">
        <f>+Tabla1[[#This Row],[COSTO TOTAL ALOJAMIENTO]]+Tabla1[[#This Row],[COSTO TOTAL COCHE]]</f>
        <v>766.66666666666663</v>
      </c>
      <c r="S5860" s="2"/>
      <c r="T5860" s="14" t="s">
        <v>44</v>
      </c>
      <c r="U5860" s="14">
        <v>46210</v>
      </c>
      <c r="V5860" s="25">
        <v>46256</v>
      </c>
      <c r="W5860" s="12"/>
      <c r="X5860" s="2"/>
      <c r="Y5860" s="85" t="s">
        <v>7957</v>
      </c>
      <c r="Z5860" s="2" t="s">
        <v>36</v>
      </c>
      <c r="AA5860" s="13" t="s">
        <v>10401</v>
      </c>
      <c r="AB5860" s="13" t="s">
        <v>10402</v>
      </c>
    </row>
    <row r="5861" spans="1:28" ht="15" customHeight="1">
      <c r="A5861" s="2" t="s">
        <v>10094</v>
      </c>
      <c r="B5861" s="2" t="s">
        <v>606</v>
      </c>
      <c r="C5861" s="322" t="s">
        <v>6330</v>
      </c>
      <c r="D5861" s="2" t="s">
        <v>30</v>
      </c>
      <c r="E5861" s="2" t="s">
        <v>855</v>
      </c>
      <c r="F5861" s="31" t="s">
        <v>7954</v>
      </c>
      <c r="G5861" s="21" t="s">
        <v>7955</v>
      </c>
      <c r="H5861" s="2" t="s">
        <v>6686</v>
      </c>
      <c r="I5861" s="12" t="s">
        <v>3274</v>
      </c>
      <c r="J5861" s="22">
        <f>+Tabla1[[#This Row],[FECHA ENTRADA]]</f>
        <v>46210</v>
      </c>
      <c r="K5861" s="22">
        <v>46256</v>
      </c>
      <c r="L5861" s="23">
        <f>_xlfn.DAYS(Tabla1[[#This Row],[FECHA FIN ]],Tabla1[[#This Row],[FECHA INICIO]])</f>
        <v>46</v>
      </c>
      <c r="M5861" s="12">
        <f>Tabla1[[#This Row],[TOTAL DIAS PROYECTO]]*50/3</f>
        <v>766.66666666666663</v>
      </c>
      <c r="N5861" s="20"/>
      <c r="O5861" s="24">
        <f>(Tabla1[[#This Row],[COSTO FIJO ]]/30)*Tabla1[[#This Row],[TOTAL DIAS PROYECTO]]+(Tabla1[[#This Row],[COSTO TEMPORAL]])</f>
        <v>766.66666666666663</v>
      </c>
      <c r="P5861" s="12"/>
      <c r="Q5861" s="12">
        <f>+(Tabla1[[#This Row],[COSTO COCHE]]/30)*Tabla1[[#This Row],[TOTAL DIAS PROYECTO]]</f>
        <v>0</v>
      </c>
      <c r="R5861" s="12">
        <f>+Tabla1[[#This Row],[COSTO TOTAL ALOJAMIENTO]]+Tabla1[[#This Row],[COSTO TOTAL COCHE]]</f>
        <v>766.66666666666663</v>
      </c>
      <c r="S5861" s="2"/>
      <c r="T5861" s="14" t="s">
        <v>44</v>
      </c>
      <c r="U5861" s="14">
        <v>46210</v>
      </c>
      <c r="V5861" s="25">
        <v>46256</v>
      </c>
      <c r="W5861" s="12"/>
      <c r="X5861" s="2"/>
      <c r="Y5861" s="85" t="s">
        <v>7958</v>
      </c>
      <c r="Z5861" s="2" t="s">
        <v>36</v>
      </c>
      <c r="AA5861" s="13" t="s">
        <v>10401</v>
      </c>
      <c r="AB5861" s="13" t="s">
        <v>10402</v>
      </c>
    </row>
    <row r="5862" spans="1:28">
      <c r="A5862" s="2" t="s">
        <v>9306</v>
      </c>
      <c r="B5862" s="2" t="s">
        <v>28</v>
      </c>
      <c r="C5862" s="31" t="s">
        <v>2762</v>
      </c>
      <c r="D5862" s="2" t="s">
        <v>99</v>
      </c>
      <c r="E5862" s="2" t="s">
        <v>127</v>
      </c>
      <c r="F5862" s="11" t="s">
        <v>820</v>
      </c>
      <c r="G5862" s="21" t="s">
        <v>821</v>
      </c>
      <c r="H5862" s="2" t="s">
        <v>7623</v>
      </c>
      <c r="I5862" s="12" t="s">
        <v>96</v>
      </c>
      <c r="J5862" s="22">
        <f>+Tabla1[[#This Row],[FECHA ENTRADA]]</f>
        <v>45916</v>
      </c>
      <c r="K5862" s="8">
        <v>46022</v>
      </c>
      <c r="L5862" s="23">
        <f>_xlfn.DAYS(Tabla1[[#This Row],[FECHA FIN ]],Tabla1[[#This Row],[FECHA INICIO]])</f>
        <v>106</v>
      </c>
      <c r="M5862" s="12"/>
      <c r="N5862" s="12">
        <f>3150/9</f>
        <v>350</v>
      </c>
      <c r="O5862" s="24">
        <f>(Tabla1[[#This Row],[COSTO FIJO ]]/30)*Tabla1[[#This Row],[TOTAL DIAS PROYECTO]]+(Tabla1[[#This Row],[COSTO TEMPORAL]])</f>
        <v>1236.6666666666665</v>
      </c>
      <c r="P5862" s="12"/>
      <c r="Q5862" s="12">
        <f>+(Tabla1[[#This Row],[COSTO COCHE]]/30)*Tabla1[[#This Row],[TOTAL DIAS PROYECTO]]</f>
        <v>0</v>
      </c>
      <c r="R5862" s="12">
        <f>+Tabla1[[#This Row],[COSTO TOTAL ALOJAMIENTO]]+Tabla1[[#This Row],[COSTO TOTAL COCHE]]</f>
        <v>1236.6666666666665</v>
      </c>
      <c r="S5862" s="2"/>
      <c r="T5862" s="14" t="s">
        <v>44</v>
      </c>
      <c r="U5862" s="14">
        <v>45916</v>
      </c>
      <c r="V5862" s="79">
        <v>46038</v>
      </c>
      <c r="W5862" s="71"/>
      <c r="X5862" s="2"/>
      <c r="Y5862" s="11" t="s">
        <v>7206</v>
      </c>
      <c r="Z5862" s="2" t="s">
        <v>36</v>
      </c>
      <c r="AA5862" s="13" t="s">
        <v>10342</v>
      </c>
      <c r="AB5862" s="13" t="s">
        <v>10343</v>
      </c>
    </row>
    <row r="5863" spans="1:28" ht="15" customHeight="1">
      <c r="A5863" s="2" t="s">
        <v>8642</v>
      </c>
      <c r="B5863" s="11" t="s">
        <v>3133</v>
      </c>
      <c r="C5863" s="31" t="s">
        <v>7959</v>
      </c>
      <c r="D5863" s="2" t="s">
        <v>30</v>
      </c>
      <c r="E5863" s="2" t="s">
        <v>1393</v>
      </c>
      <c r="F5863" s="11" t="s">
        <v>5124</v>
      </c>
      <c r="G5863" s="21" t="s">
        <v>7873</v>
      </c>
      <c r="H5863" s="2" t="s">
        <v>7960</v>
      </c>
      <c r="I5863" s="12" t="s">
        <v>7961</v>
      </c>
      <c r="J5863" s="22">
        <f>+Tabla1[[#This Row],[FECHA ENTRADA]]</f>
        <v>46196</v>
      </c>
      <c r="K5863" s="8">
        <v>46242</v>
      </c>
      <c r="L5863" s="23">
        <f>_xlfn.DAYS(Tabla1[[#This Row],[FECHA FIN ]],Tabla1[[#This Row],[FECHA INICIO]])</f>
        <v>46</v>
      </c>
      <c r="M5863" s="12">
        <v>383.16666666666669</v>
      </c>
      <c r="N5863" s="20"/>
      <c r="O5863" s="24">
        <f>(Tabla1[[#This Row],[COSTO FIJO ]]/30)*Tabla1[[#This Row],[TOTAL DIAS PROYECTO]]+(Tabla1[[#This Row],[COSTO TEMPORAL]])</f>
        <v>383.16666666666669</v>
      </c>
      <c r="P5863" s="12"/>
      <c r="Q5863" s="12">
        <f>+(Tabla1[[#This Row],[COSTO COCHE]]/30)*Tabla1[[#This Row],[TOTAL DIAS PROYECTO]]</f>
        <v>0</v>
      </c>
      <c r="R5863" s="12">
        <f>+Tabla1[[#This Row],[COSTO TOTAL ALOJAMIENTO]]+Tabla1[[#This Row],[COSTO TOTAL COCHE]]</f>
        <v>383.16666666666669</v>
      </c>
      <c r="S5863" s="2"/>
      <c r="T5863" s="14" t="s">
        <v>44</v>
      </c>
      <c r="U5863" s="14">
        <v>46196</v>
      </c>
      <c r="V5863" s="25">
        <v>46242</v>
      </c>
      <c r="W5863" s="12"/>
      <c r="X5863" s="2"/>
      <c r="Y5863" s="11" t="s">
        <v>7962</v>
      </c>
      <c r="Z5863" s="2" t="s">
        <v>36</v>
      </c>
      <c r="AA5863" s="13" t="s">
        <v>10416</v>
      </c>
      <c r="AB5863" s="13" t="s">
        <v>10417</v>
      </c>
    </row>
    <row r="5864" spans="1:28">
      <c r="A5864" s="2" t="s">
        <v>8844</v>
      </c>
      <c r="B5864" s="2" t="s">
        <v>606</v>
      </c>
      <c r="C5864" s="11" t="s">
        <v>984</v>
      </c>
      <c r="D5864" s="2" t="s">
        <v>30</v>
      </c>
      <c r="E5864" s="2" t="s">
        <v>31</v>
      </c>
      <c r="F5864" s="11"/>
      <c r="G5864" s="49"/>
      <c r="H5864" s="2" t="s">
        <v>7963</v>
      </c>
      <c r="I5864" s="12" t="s">
        <v>2391</v>
      </c>
      <c r="J5864" s="22">
        <f>+Tabla1[[#This Row],[FECHA ENTRADA]]</f>
        <v>46180</v>
      </c>
      <c r="K5864" s="22">
        <v>46182</v>
      </c>
      <c r="L5864" s="23">
        <f>_xlfn.DAYS(Tabla1[[#This Row],[FECHA FIN ]],Tabla1[[#This Row],[FECHA INICIO]])</f>
        <v>2</v>
      </c>
      <c r="M5864" s="12"/>
      <c r="N5864" s="24">
        <v>300</v>
      </c>
      <c r="O5864" s="24">
        <f>(Tabla1[[#This Row],[COSTO FIJO ]]/30)*Tabla1[[#This Row],[TOTAL DIAS PROYECTO]]+(Tabla1[[#This Row],[COSTO TEMPORAL]])</f>
        <v>20</v>
      </c>
      <c r="P5864" s="12"/>
      <c r="Q5864" s="12">
        <f>+(Tabla1[[#This Row],[COSTO COCHE]]/30)*Tabla1[[#This Row],[TOTAL DIAS PROYECTO]]</f>
        <v>0</v>
      </c>
      <c r="R5864" s="12">
        <f>+Tabla1[[#This Row],[COSTO TOTAL ALOJAMIENTO]]+Tabla1[[#This Row],[COSTO TOTAL COCHE]]</f>
        <v>20</v>
      </c>
      <c r="S5864" s="2"/>
      <c r="T5864" s="14" t="s">
        <v>58</v>
      </c>
      <c r="U5864" s="14">
        <v>46180</v>
      </c>
      <c r="V5864" s="25"/>
      <c r="W5864" s="12"/>
      <c r="X5864" s="2"/>
      <c r="Y5864" s="11" t="s">
        <v>7964</v>
      </c>
      <c r="Z5864" s="2" t="s">
        <v>36</v>
      </c>
      <c r="AA5864" s="13" t="s">
        <v>10323</v>
      </c>
      <c r="AB5864" s="13" t="s">
        <v>10324</v>
      </c>
    </row>
    <row r="5865" spans="1:28" ht="15" customHeight="1">
      <c r="A5865" s="117" t="s">
        <v>9946</v>
      </c>
      <c r="B5865" s="117" t="s">
        <v>978</v>
      </c>
      <c r="C5865" s="118" t="s">
        <v>5625</v>
      </c>
      <c r="D5865" s="117" t="s">
        <v>99</v>
      </c>
      <c r="E5865" s="2" t="s">
        <v>31</v>
      </c>
      <c r="F5865" s="118" t="s">
        <v>6382</v>
      </c>
      <c r="G5865" s="128" t="s">
        <v>6372</v>
      </c>
      <c r="H5865" s="117" t="s">
        <v>5628</v>
      </c>
      <c r="I5865" s="119" t="s">
        <v>5629</v>
      </c>
      <c r="J5865" s="121">
        <f>+Tabla1[[#This Row],[FECHA ENTRADA]]</f>
        <v>46165</v>
      </c>
      <c r="K5865" s="121">
        <v>46184</v>
      </c>
      <c r="L5865" s="129">
        <f>_xlfn.DAYS(Tabla1[[#This Row],[FECHA FIN ]],Tabla1[[#This Row],[FECHA INICIO]])</f>
        <v>19</v>
      </c>
      <c r="M5865" s="119"/>
      <c r="N5865" s="130"/>
      <c r="O5865" s="131">
        <f>(Tabla1[[#This Row],[COSTO FIJO ]]/30)*Tabla1[[#This Row],[TOTAL DIAS PROYECTO]]+(Tabla1[[#This Row],[COSTO TEMPORAL]])</f>
        <v>0</v>
      </c>
      <c r="P5865" s="119"/>
      <c r="Q5865" s="119">
        <f>+(Tabla1[[#This Row],[COSTO COCHE]]/30)*Tabla1[[#This Row],[TOTAL DIAS PROYECTO]]</f>
        <v>0</v>
      </c>
      <c r="R5865" s="119">
        <f>+Tabla1[[#This Row],[COSTO TOTAL ALOJAMIENTO]]+Tabla1[[#This Row],[COSTO TOTAL COCHE]]</f>
        <v>0</v>
      </c>
      <c r="S5865" s="117"/>
      <c r="T5865" s="124" t="s">
        <v>44</v>
      </c>
      <c r="U5865" s="124">
        <v>46165</v>
      </c>
      <c r="V5865" s="132">
        <v>46185</v>
      </c>
      <c r="W5865" s="119"/>
      <c r="X5865" s="117"/>
      <c r="Y5865" s="118" t="s">
        <v>7965</v>
      </c>
      <c r="Z5865" s="117" t="s">
        <v>36</v>
      </c>
      <c r="AA5865" s="127" t="s">
        <v>10323</v>
      </c>
      <c r="AB5865" s="127" t="s">
        <v>10324</v>
      </c>
    </row>
    <row r="5866" spans="1:28" ht="15" customHeight="1">
      <c r="A5866" s="2" t="s">
        <v>10084</v>
      </c>
      <c r="B5866" s="2" t="s">
        <v>606</v>
      </c>
      <c r="C5866" s="322" t="s">
        <v>6288</v>
      </c>
      <c r="D5866" s="2" t="s">
        <v>30</v>
      </c>
      <c r="E5866" s="2" t="s">
        <v>31</v>
      </c>
      <c r="F5866" s="11"/>
      <c r="G5866" s="11"/>
      <c r="H5866" s="2" t="s">
        <v>6289</v>
      </c>
      <c r="I5866" s="12" t="s">
        <v>1642</v>
      </c>
      <c r="J5866" s="22">
        <f>+Tabla1[[#This Row],[FECHA ENTRADA]]</f>
        <v>46129</v>
      </c>
      <c r="K5866" s="8">
        <f ca="1">TODAY()</f>
        <v>46260</v>
      </c>
      <c r="L5866" s="23">
        <f ca="1">_xlfn.DAYS(Tabla1[[#This Row],[FECHA FIN ]],Tabla1[[#This Row],[FECHA INICIO]])</f>
        <v>131</v>
      </c>
      <c r="M5866" s="12"/>
      <c r="N5866" s="20">
        <v>300</v>
      </c>
      <c r="O5866" s="24">
        <f ca="1">(Tabla1[[#This Row],[COSTO FIJO ]]/30)*Tabla1[[#This Row],[TOTAL DIAS PROYECTO]]+(Tabla1[[#This Row],[COSTO TEMPORAL]])</f>
        <v>1310</v>
      </c>
      <c r="P5866" s="12"/>
      <c r="Q5866" s="12">
        <f ca="1">+(Tabla1[[#This Row],[COSTO COCHE]]/30)*Tabla1[[#This Row],[TOTAL DIAS PROYECTO]]</f>
        <v>0</v>
      </c>
      <c r="R5866" s="12">
        <f ca="1">+Tabla1[[#This Row],[COSTO TOTAL ALOJAMIENTO]]+Tabla1[[#This Row],[COSTO TOTAL COCHE]]</f>
        <v>1310</v>
      </c>
      <c r="S5866" s="2"/>
      <c r="T5866" s="14" t="s">
        <v>58</v>
      </c>
      <c r="U5866" s="14">
        <v>46129</v>
      </c>
      <c r="V5866" s="79"/>
      <c r="W5866" s="12"/>
      <c r="X5866" s="2"/>
      <c r="Y5866" s="136"/>
      <c r="Z5866" s="2" t="s">
        <v>702</v>
      </c>
      <c r="AA5866" s="13" t="s">
        <v>10323</v>
      </c>
      <c r="AB5866" s="13" t="s">
        <v>10324</v>
      </c>
    </row>
    <row r="5867" spans="1:28">
      <c r="A5867" s="117" t="s">
        <v>10308</v>
      </c>
      <c r="B5867" s="117" t="s">
        <v>711</v>
      </c>
      <c r="C5867" s="118" t="s">
        <v>7966</v>
      </c>
      <c r="D5867" s="117" t="s">
        <v>30</v>
      </c>
      <c r="E5867" s="117" t="s">
        <v>855</v>
      </c>
      <c r="F5867" s="11" t="s">
        <v>5757</v>
      </c>
      <c r="G5867" s="68" t="s">
        <v>7967</v>
      </c>
      <c r="H5867" s="117" t="s">
        <v>5753</v>
      </c>
      <c r="I5867" s="119" t="s">
        <v>96</v>
      </c>
      <c r="J5867" s="120">
        <f>+Tabla1[[#This Row],[FECHA ENTRADA]]</f>
        <v>45966</v>
      </c>
      <c r="K5867" s="121">
        <v>46014</v>
      </c>
      <c r="L5867" s="122">
        <f>_xlfn.DAYS(Tabla1[[#This Row],[FECHA FIN ]],Tabla1[[#This Row],[FECHA INICIO]])</f>
        <v>48</v>
      </c>
      <c r="M5867" s="119">
        <v>210</v>
      </c>
      <c r="N5867" s="123"/>
      <c r="O5867" s="123">
        <f>(Tabla1[[#This Row],[COSTO FIJO ]]/30)*Tabla1[[#This Row],[TOTAL DIAS PROYECTO]]+(Tabla1[[#This Row],[COSTO TEMPORAL]])</f>
        <v>210</v>
      </c>
      <c r="P5867" s="119"/>
      <c r="Q5867" s="119">
        <f>+(Tabla1[[#This Row],[COSTO COCHE]]/30)*Tabla1[[#This Row],[TOTAL DIAS PROYECTO]]</f>
        <v>0</v>
      </c>
      <c r="R5867" s="119">
        <f>+Tabla1[[#This Row],[COSTO TOTAL ALOJAMIENTO]]+Tabla1[[#This Row],[COSTO TOTAL COCHE]]</f>
        <v>210</v>
      </c>
      <c r="S5867" s="117"/>
      <c r="T5867" s="124" t="s">
        <v>44</v>
      </c>
      <c r="U5867" s="124">
        <v>45966</v>
      </c>
      <c r="V5867" s="125">
        <v>46014</v>
      </c>
      <c r="W5867" s="126"/>
      <c r="X5867" s="117"/>
      <c r="Y5867" s="118" t="s">
        <v>5759</v>
      </c>
      <c r="Z5867" s="117" t="s">
        <v>36</v>
      </c>
      <c r="AA5867" s="127" t="s">
        <v>10401</v>
      </c>
      <c r="AB5867" s="127" t="s">
        <v>10402</v>
      </c>
    </row>
    <row r="5868" spans="1:28" ht="15" customHeight="1">
      <c r="A5868" s="2" t="s">
        <v>10107</v>
      </c>
      <c r="B5868" s="11" t="s">
        <v>3133</v>
      </c>
      <c r="C5868" s="31" t="s">
        <v>6415</v>
      </c>
      <c r="D5868" s="2" t="s">
        <v>749</v>
      </c>
      <c r="E5868" s="2" t="s">
        <v>4598</v>
      </c>
      <c r="F5868" s="11" t="s">
        <v>1106</v>
      </c>
      <c r="G5868" s="21"/>
      <c r="H5868" s="2" t="s">
        <v>7933</v>
      </c>
      <c r="I5868" s="12" t="s">
        <v>2862</v>
      </c>
      <c r="J5868" s="22">
        <f>+Tabla1[[#This Row],[FECHA ENTRADA]]</f>
        <v>46161</v>
      </c>
      <c r="K5868" s="22">
        <v>46239</v>
      </c>
      <c r="L5868" s="23">
        <f>_xlfn.DAYS(Tabla1[[#This Row],[FECHA FIN ]],Tabla1[[#This Row],[FECHA INICIO]])</f>
        <v>78</v>
      </c>
      <c r="M5868" s="12"/>
      <c r="N5868" s="20">
        <v>0</v>
      </c>
      <c r="O5868" s="24">
        <f>(Tabla1[[#This Row],[COSTO FIJO ]]/30)*Tabla1[[#This Row],[TOTAL DIAS PROYECTO]]+(Tabla1[[#This Row],[COSTO TEMPORAL]])</f>
        <v>0</v>
      </c>
      <c r="P5868" s="12"/>
      <c r="Q5868" s="12">
        <f>+(Tabla1[[#This Row],[COSTO COCHE]]/30)*Tabla1[[#This Row],[TOTAL DIAS PROYECTO]]</f>
        <v>0</v>
      </c>
      <c r="R5868" s="12">
        <f>+Tabla1[[#This Row],[COSTO TOTAL ALOJAMIENTO]]+Tabla1[[#This Row],[COSTO TOTAL COCHE]]</f>
        <v>0</v>
      </c>
      <c r="S5868" s="2"/>
      <c r="T5868" s="2" t="s">
        <v>8</v>
      </c>
      <c r="U5868" s="14">
        <v>46161</v>
      </c>
      <c r="V5868" s="79"/>
      <c r="W5868" s="12"/>
      <c r="X5868" s="2"/>
      <c r="Y5868" s="136" t="s">
        <v>7968</v>
      </c>
      <c r="Z5868" s="2" t="s">
        <v>36</v>
      </c>
      <c r="AA5868" s="13">
        <v>10.50447</v>
      </c>
      <c r="AB5868" s="13">
        <v>43.843690000000002</v>
      </c>
    </row>
    <row r="5869" spans="1:28" ht="15" customHeight="1">
      <c r="A5869" s="2" t="s">
        <v>8642</v>
      </c>
      <c r="B5869" s="2" t="s">
        <v>711</v>
      </c>
      <c r="C5869" s="11" t="s">
        <v>7969</v>
      </c>
      <c r="D5869" s="2" t="s">
        <v>30</v>
      </c>
      <c r="E5869" s="2" t="s">
        <v>1987</v>
      </c>
      <c r="F5869" s="11" t="s">
        <v>3766</v>
      </c>
      <c r="G5869" s="128" t="s">
        <v>3767</v>
      </c>
      <c r="H5869" s="2" t="s">
        <v>7970</v>
      </c>
      <c r="I5869" s="12" t="s">
        <v>3769</v>
      </c>
      <c r="J5869" s="41">
        <f>+Tabla1[[#This Row],[FECHA ENTRADA]]</f>
        <v>46230</v>
      </c>
      <c r="K5869" s="22">
        <f ca="1">TODAY()</f>
        <v>46260</v>
      </c>
      <c r="L5869" s="42">
        <f ca="1">_xlfn.DAYS(Tabla1[[#This Row],[FECHA FIN ]],Tabla1[[#This Row],[FECHA INICIO]])</f>
        <v>30</v>
      </c>
      <c r="M5869" s="12"/>
      <c r="N5869" s="24">
        <v>542.5</v>
      </c>
      <c r="O5869" s="28">
        <f ca="1">(Tabla1[[#This Row],[COSTO FIJO ]]/30)*Tabla1[[#This Row],[TOTAL DIAS PROYECTO]]+(Tabla1[[#This Row],[COSTO TEMPORAL]])</f>
        <v>542.5</v>
      </c>
      <c r="P5869" s="12"/>
      <c r="Q5869" s="12">
        <f ca="1">+(Tabla1[[#This Row],[COSTO COCHE]]/30)*Tabla1[[#This Row],[TOTAL DIAS PROYECTO]]</f>
        <v>0</v>
      </c>
      <c r="R5869" s="12">
        <f ca="1">+Tabla1[[#This Row],[COSTO TOTAL ALOJAMIENTO]]+Tabla1[[#This Row],[COSTO TOTAL COCHE]]</f>
        <v>542.5</v>
      </c>
      <c r="S5869" s="2"/>
      <c r="T5869" s="14" t="s">
        <v>35</v>
      </c>
      <c r="U5869" s="14">
        <v>46230</v>
      </c>
      <c r="V5869" s="43"/>
      <c r="W5869" s="12"/>
      <c r="X5869" s="2">
        <v>7</v>
      </c>
      <c r="Y5869" s="11" t="s">
        <v>7971</v>
      </c>
      <c r="Z5869" s="2" t="s">
        <v>702</v>
      </c>
      <c r="AA5869" s="13" t="s">
        <v>10435</v>
      </c>
      <c r="AB5869" s="13">
        <v>42.136150000000001</v>
      </c>
    </row>
    <row r="5870" spans="1:28" ht="15" customHeight="1">
      <c r="A5870" s="2" t="s">
        <v>10308</v>
      </c>
      <c r="B5870" s="2" t="s">
        <v>711</v>
      </c>
      <c r="C5870" s="31" t="s">
        <v>7966</v>
      </c>
      <c r="D5870" s="2" t="s">
        <v>30</v>
      </c>
      <c r="E5870" s="2" t="s">
        <v>855</v>
      </c>
      <c r="F5870" s="11" t="s">
        <v>5772</v>
      </c>
      <c r="G5870" s="21" t="s">
        <v>1474</v>
      </c>
      <c r="H5870" s="2" t="s">
        <v>5753</v>
      </c>
      <c r="I5870" s="12" t="s">
        <v>96</v>
      </c>
      <c r="J5870" s="22">
        <f>+Tabla1[[#This Row],[FECHA ENTRADA]]</f>
        <v>46014</v>
      </c>
      <c r="K5870" s="22">
        <v>46128</v>
      </c>
      <c r="L5870" s="23">
        <f>_xlfn.DAYS(Tabla1[[#This Row],[FECHA FIN ]],Tabla1[[#This Row],[FECHA INICIO]])</f>
        <v>114</v>
      </c>
      <c r="M5870" s="20"/>
      <c r="N5870" s="24"/>
      <c r="O5870" s="24">
        <f>(Tabla1[[#This Row],[COSTO FIJO ]]/30)*Tabla1[[#This Row],[TOTAL DIAS PROYECTO]]+(Tabla1[[#This Row],[COSTO TEMPORAL]])</f>
        <v>0</v>
      </c>
      <c r="P5870" s="12"/>
      <c r="Q5870" s="12">
        <f>+(Tabla1[[#This Row],[COSTO COCHE]]/30)*Tabla1[[#This Row],[TOTAL DIAS PROYECTO]]</f>
        <v>0</v>
      </c>
      <c r="R5870" s="12">
        <f>+Tabla1[[#This Row],[COSTO TOTAL ALOJAMIENTO]]+Tabla1[[#This Row],[COSTO TOTAL COCHE]]</f>
        <v>0</v>
      </c>
      <c r="S5870" s="2"/>
      <c r="T5870" s="14" t="s">
        <v>44</v>
      </c>
      <c r="U5870" s="14">
        <v>46014</v>
      </c>
      <c r="V5870" s="25">
        <v>46156</v>
      </c>
      <c r="W5870" s="12"/>
      <c r="X5870" s="2"/>
      <c r="Y5870" s="11" t="s">
        <v>5773</v>
      </c>
      <c r="Z5870" s="2" t="s">
        <v>36</v>
      </c>
      <c r="AA5870" s="13" t="s">
        <v>10401</v>
      </c>
      <c r="AB5870" s="13" t="s">
        <v>10402</v>
      </c>
    </row>
    <row r="5871" spans="1:28" ht="15" customHeight="1">
      <c r="A5871" s="117" t="s">
        <v>9689</v>
      </c>
      <c r="B5871" s="117" t="s">
        <v>978</v>
      </c>
      <c r="C5871" s="118" t="s">
        <v>4246</v>
      </c>
      <c r="D5871" s="117" t="s">
        <v>99</v>
      </c>
      <c r="E5871" s="117" t="s">
        <v>2231</v>
      </c>
      <c r="F5871" s="118" t="s">
        <v>7972</v>
      </c>
      <c r="G5871" s="197" t="s">
        <v>7973</v>
      </c>
      <c r="H5871" s="117" t="s">
        <v>7937</v>
      </c>
      <c r="I5871" s="119" t="s">
        <v>7938</v>
      </c>
      <c r="J5871" s="121">
        <f>+Tabla1[[#This Row],[FECHA ENTRADA]]</f>
        <v>45945</v>
      </c>
      <c r="K5871" s="121">
        <f ca="1">TODAY()</f>
        <v>46260</v>
      </c>
      <c r="L5871" s="129">
        <f ca="1">_xlfn.DAYS(Tabla1[[#This Row],[FECHA FIN ]],Tabla1[[#This Row],[FECHA INICIO]])</f>
        <v>315</v>
      </c>
      <c r="M5871" s="119">
        <f>27.27*30</f>
        <v>818.1</v>
      </c>
      <c r="N5871" s="131"/>
      <c r="O5871" s="131">
        <f ca="1">(Tabla1[[#This Row],[COSTO FIJO ]]/30)*Tabla1[[#This Row],[TOTAL DIAS PROYECTO]]+(Tabla1[[#This Row],[COSTO TEMPORAL]])</f>
        <v>818.1</v>
      </c>
      <c r="P5871" s="119"/>
      <c r="Q5871" s="119">
        <f ca="1">+(Tabla1[[#This Row],[COSTO COCHE]]/30)*Tabla1[[#This Row],[TOTAL DIAS PROYECTO]]</f>
        <v>0</v>
      </c>
      <c r="R5871" s="119">
        <f ca="1">+Tabla1[[#This Row],[COSTO TOTAL ALOJAMIENTO]]+Tabla1[[#This Row],[COSTO TOTAL COCHE]]</f>
        <v>818.1</v>
      </c>
      <c r="S5871" s="117"/>
      <c r="T5871" s="124" t="s">
        <v>44</v>
      </c>
      <c r="U5871" s="124">
        <v>45945</v>
      </c>
      <c r="V5871" s="125">
        <v>46240</v>
      </c>
      <c r="W5871" s="126"/>
      <c r="X5871" s="117"/>
      <c r="Y5871" s="118" t="s">
        <v>7974</v>
      </c>
      <c r="Z5871" s="117" t="s">
        <v>36</v>
      </c>
      <c r="AA5871" s="127">
        <v>-8.6443499999999993</v>
      </c>
      <c r="AB5871" s="127">
        <v>42.430999999999997</v>
      </c>
    </row>
    <row r="5872" spans="1:28" ht="15" customHeight="1">
      <c r="A5872" s="2" t="s">
        <v>9917</v>
      </c>
      <c r="B5872" s="2" t="s">
        <v>711</v>
      </c>
      <c r="C5872" s="31" t="s">
        <v>5405</v>
      </c>
      <c r="D5872" s="2" t="s">
        <v>30</v>
      </c>
      <c r="E5872" s="2" t="s">
        <v>1719</v>
      </c>
      <c r="F5872" s="11" t="s">
        <v>7633</v>
      </c>
      <c r="G5872" s="49" t="s">
        <v>7634</v>
      </c>
      <c r="H5872" s="2" t="s">
        <v>7975</v>
      </c>
      <c r="I5872" s="12" t="s">
        <v>1392</v>
      </c>
      <c r="J5872" s="22">
        <f>+Tabla1[[#This Row],[FECHA ENTRADA]]</f>
        <v>46166</v>
      </c>
      <c r="K5872" s="22">
        <v>46231</v>
      </c>
      <c r="L5872" s="23">
        <f>_xlfn.DAYS(Tabla1[[#This Row],[FECHA FIN ]],Tabla1[[#This Row],[FECHA INICIO]])</f>
        <v>65</v>
      </c>
      <c r="M5872" s="12">
        <v>420</v>
      </c>
      <c r="N5872" s="24"/>
      <c r="O5872" s="24">
        <f>(Tabla1[[#This Row],[COSTO FIJO ]]/30)*Tabla1[[#This Row],[TOTAL DIAS PROYECTO]]+(Tabla1[[#This Row],[COSTO TEMPORAL]])</f>
        <v>420</v>
      </c>
      <c r="P5872" s="12"/>
      <c r="Q5872" s="12">
        <f>+(Tabla1[[#This Row],[COSTO COCHE]]/30)*Tabla1[[#This Row],[TOTAL DIAS PROYECTO]]</f>
        <v>0</v>
      </c>
      <c r="R5872" s="12">
        <f>+Tabla1[[#This Row],[COSTO TOTAL ALOJAMIENTO]]+Tabla1[[#This Row],[COSTO TOTAL COCHE]]</f>
        <v>420</v>
      </c>
      <c r="S5872" s="2" t="s">
        <v>403</v>
      </c>
      <c r="T5872" s="14" t="s">
        <v>44</v>
      </c>
      <c r="U5872" s="14">
        <v>46166</v>
      </c>
      <c r="V5872" s="25">
        <v>46230</v>
      </c>
      <c r="W5872" s="12"/>
      <c r="X5872" s="2"/>
      <c r="Y5872" s="11" t="s">
        <v>7976</v>
      </c>
      <c r="Z5872" s="2" t="s">
        <v>36</v>
      </c>
      <c r="AA5872" s="13" t="s">
        <v>10427</v>
      </c>
      <c r="AB5872" s="13">
        <v>4260003</v>
      </c>
    </row>
    <row r="5873" spans="1:28">
      <c r="A5873" s="2" t="s">
        <v>9572</v>
      </c>
      <c r="B5873" s="2" t="s">
        <v>711</v>
      </c>
      <c r="C5873" s="11" t="s">
        <v>3695</v>
      </c>
      <c r="D5873" s="2" t="s">
        <v>749</v>
      </c>
      <c r="E5873" s="2" t="s">
        <v>4598</v>
      </c>
      <c r="F5873" s="11" t="s">
        <v>1106</v>
      </c>
      <c r="G5873" s="49"/>
      <c r="H5873" s="2" t="s">
        <v>7977</v>
      </c>
      <c r="I5873" s="12" t="s">
        <v>2862</v>
      </c>
      <c r="J5873" s="22">
        <f>+Tabla1[[#This Row],[FECHA ENTRADA]]</f>
        <v>46182</v>
      </c>
      <c r="K5873" s="8">
        <v>46182</v>
      </c>
      <c r="L5873" s="23">
        <f>_xlfn.DAYS(Tabla1[[#This Row],[FECHA FIN ]],Tabla1[[#This Row],[FECHA INICIO]])</f>
        <v>0</v>
      </c>
      <c r="M5873" s="12"/>
      <c r="N5873" s="24">
        <v>0</v>
      </c>
      <c r="O5873" s="24">
        <f>(Tabla1[[#This Row],[COSTO FIJO ]]/30)*Tabla1[[#This Row],[TOTAL DIAS PROYECTO]]+(Tabla1[[#This Row],[COSTO TEMPORAL]])</f>
        <v>0</v>
      </c>
      <c r="P5873" s="12"/>
      <c r="Q5873" s="12">
        <f>+(Tabla1[[#This Row],[COSTO COCHE]]/30)*Tabla1[[#This Row],[TOTAL DIAS PROYECTO]]</f>
        <v>0</v>
      </c>
      <c r="R5873" s="12">
        <f>+Tabla1[[#This Row],[COSTO TOTAL ALOJAMIENTO]]+Tabla1[[#This Row],[COSTO TOTAL COCHE]]</f>
        <v>0</v>
      </c>
      <c r="S5873" s="2"/>
      <c r="T5873" s="2" t="s">
        <v>8</v>
      </c>
      <c r="U5873" s="14">
        <v>46182</v>
      </c>
      <c r="V5873" s="25"/>
      <c r="W5873" s="12"/>
      <c r="X5873" s="2"/>
      <c r="Y5873" s="11" t="s">
        <v>7978</v>
      </c>
      <c r="Z5873" s="2" t="s">
        <v>36</v>
      </c>
      <c r="AA5873" s="13">
        <v>10.50447</v>
      </c>
      <c r="AB5873" s="13">
        <v>43.843690000000002</v>
      </c>
    </row>
    <row r="5874" spans="1:28" ht="15" customHeight="1">
      <c r="A5874" s="117" t="s">
        <v>9976</v>
      </c>
      <c r="B5874" s="117" t="s">
        <v>978</v>
      </c>
      <c r="C5874" s="118" t="s">
        <v>5801</v>
      </c>
      <c r="D5874" s="117" t="s">
        <v>99</v>
      </c>
      <c r="E5874" s="117" t="s">
        <v>109</v>
      </c>
      <c r="F5874" s="101" t="s">
        <v>7979</v>
      </c>
      <c r="G5874" s="128" t="s">
        <v>7980</v>
      </c>
      <c r="H5874" s="117" t="s">
        <v>7860</v>
      </c>
      <c r="I5874" s="119" t="s">
        <v>4681</v>
      </c>
      <c r="J5874" s="120">
        <f>+Tabla1[[#This Row],[FECHA ENTRADA]]</f>
        <v>46217</v>
      </c>
      <c r="K5874" s="120">
        <v>46239</v>
      </c>
      <c r="L5874" s="122">
        <f>_xlfn.DAYS(Tabla1[[#This Row],[FECHA FIN ]],Tabla1[[#This Row],[FECHA INICIO]])</f>
        <v>22</v>
      </c>
      <c r="M5874" s="119">
        <f>2301.37/4</f>
        <v>575.34249999999997</v>
      </c>
      <c r="N5874" s="123"/>
      <c r="O5874" s="123">
        <f>(Tabla1[[#This Row],[COSTO FIJO ]]/30)*Tabla1[[#This Row],[TOTAL DIAS PROYECTO]]+(Tabla1[[#This Row],[COSTO TEMPORAL]])</f>
        <v>575.34249999999997</v>
      </c>
      <c r="P5874" s="119"/>
      <c r="Q5874" s="119">
        <f>+(Tabla1[[#This Row],[COSTO COCHE]]/30)*Tabla1[[#This Row],[TOTAL DIAS PROYECTO]]</f>
        <v>0</v>
      </c>
      <c r="R5874" s="119">
        <f>+Tabla1[[#This Row],[COSTO TOTAL ALOJAMIENTO]]+Tabla1[[#This Row],[COSTO TOTAL COCHE]]</f>
        <v>575.34249999999997</v>
      </c>
      <c r="S5874" s="117" t="s">
        <v>84</v>
      </c>
      <c r="T5874" s="124" t="s">
        <v>44</v>
      </c>
      <c r="U5874" s="124">
        <v>46217</v>
      </c>
      <c r="V5874" s="25">
        <v>46240</v>
      </c>
      <c r="W5874" s="119"/>
      <c r="X5874" s="117"/>
      <c r="Y5874" s="118" t="s">
        <v>7981</v>
      </c>
      <c r="Z5874" s="117" t="s">
        <v>36</v>
      </c>
      <c r="AA5874" s="127">
        <v>0.62217999999999996</v>
      </c>
      <c r="AB5874" s="127" t="s">
        <v>10339</v>
      </c>
    </row>
    <row r="5875" spans="1:28" ht="15" customHeight="1">
      <c r="A5875" s="117" t="s">
        <v>8642</v>
      </c>
      <c r="B5875" s="117" t="s">
        <v>978</v>
      </c>
      <c r="C5875" s="118" t="s">
        <v>7863</v>
      </c>
      <c r="D5875" s="117" t="s">
        <v>99</v>
      </c>
      <c r="E5875" s="117" t="s">
        <v>109</v>
      </c>
      <c r="F5875" s="101" t="s">
        <v>7979</v>
      </c>
      <c r="G5875" s="128" t="s">
        <v>7980</v>
      </c>
      <c r="H5875" s="117" t="s">
        <v>7860</v>
      </c>
      <c r="I5875" s="119" t="s">
        <v>4681</v>
      </c>
      <c r="J5875" s="120">
        <f>+Tabla1[[#This Row],[FECHA ENTRADA]]</f>
        <v>46217</v>
      </c>
      <c r="K5875" s="120">
        <v>46239</v>
      </c>
      <c r="L5875" s="122">
        <f>_xlfn.DAYS(Tabla1[[#This Row],[FECHA FIN ]],Tabla1[[#This Row],[FECHA INICIO]])</f>
        <v>22</v>
      </c>
      <c r="M5875" s="119">
        <f>2301.37/4</f>
        <v>575.34249999999997</v>
      </c>
      <c r="N5875" s="123"/>
      <c r="O5875" s="123">
        <f>(Tabla1[[#This Row],[COSTO FIJO ]]/30)*Tabla1[[#This Row],[TOTAL DIAS PROYECTO]]+(Tabla1[[#This Row],[COSTO TEMPORAL]])</f>
        <v>575.34249999999997</v>
      </c>
      <c r="P5875" s="119"/>
      <c r="Q5875" s="119">
        <f>+(Tabla1[[#This Row],[COSTO COCHE]]/30)*Tabla1[[#This Row],[TOTAL DIAS PROYECTO]]</f>
        <v>0</v>
      </c>
      <c r="R5875" s="119">
        <f>+Tabla1[[#This Row],[COSTO TOTAL ALOJAMIENTO]]+Tabla1[[#This Row],[COSTO TOTAL COCHE]]</f>
        <v>575.34249999999997</v>
      </c>
      <c r="S5875" s="117" t="s">
        <v>84</v>
      </c>
      <c r="T5875" s="124" t="s">
        <v>44</v>
      </c>
      <c r="U5875" s="124">
        <v>46217</v>
      </c>
      <c r="V5875" s="25">
        <v>46240</v>
      </c>
      <c r="W5875" s="119"/>
      <c r="X5875" s="117"/>
      <c r="Y5875" s="118" t="s">
        <v>7981</v>
      </c>
      <c r="Z5875" s="117" t="s">
        <v>36</v>
      </c>
      <c r="AA5875" s="127">
        <v>0.62217999999999996</v>
      </c>
      <c r="AB5875" s="127" t="s">
        <v>10339</v>
      </c>
    </row>
    <row r="5876" spans="1:28" ht="15" customHeight="1">
      <c r="A5876" s="2" t="s">
        <v>10105</v>
      </c>
      <c r="B5876" s="2" t="s">
        <v>606</v>
      </c>
      <c r="C5876" s="11" t="s">
        <v>6412</v>
      </c>
      <c r="D5876" s="2" t="s">
        <v>30</v>
      </c>
      <c r="E5876" s="2" t="s">
        <v>259</v>
      </c>
      <c r="F5876" s="11" t="s">
        <v>7982</v>
      </c>
      <c r="G5876" s="21">
        <v>976401821</v>
      </c>
      <c r="H5876" s="2" t="s">
        <v>7363</v>
      </c>
      <c r="I5876" s="12" t="s">
        <v>57</v>
      </c>
      <c r="J5876" s="22">
        <f>+Tabla1[[#This Row],[FECHA ENTRADA]]</f>
        <v>46187</v>
      </c>
      <c r="K5876" s="22">
        <v>46189</v>
      </c>
      <c r="L5876" s="23">
        <f>_xlfn.DAYS(Tabla1[[#This Row],[FECHA FIN ]],Tabla1[[#This Row],[FECHA INICIO]])</f>
        <v>2</v>
      </c>
      <c r="M5876" s="12">
        <v>75</v>
      </c>
      <c r="N5876" s="20"/>
      <c r="O5876" s="24">
        <f>(Tabla1[[#This Row],[COSTO FIJO ]]/30)*Tabla1[[#This Row],[TOTAL DIAS PROYECTO]]+(Tabla1[[#This Row],[COSTO TEMPORAL]])</f>
        <v>75</v>
      </c>
      <c r="P5876" s="12"/>
      <c r="Q5876" s="12">
        <f>+(Tabla1[[#This Row],[COSTO COCHE]]/30)*Tabla1[[#This Row],[TOTAL DIAS PROYECTO]]</f>
        <v>0</v>
      </c>
      <c r="R5876" s="12">
        <f>+Tabla1[[#This Row],[COSTO TOTAL ALOJAMIENTO]]+Tabla1[[#This Row],[COSTO TOTAL COCHE]]</f>
        <v>75</v>
      </c>
      <c r="S5876" s="2"/>
      <c r="T5876" s="14" t="s">
        <v>44</v>
      </c>
      <c r="U5876" s="14">
        <v>46187</v>
      </c>
      <c r="V5876" s="79">
        <v>46190</v>
      </c>
      <c r="W5876" s="12"/>
      <c r="X5876" s="2"/>
      <c r="Y5876" s="11" t="s">
        <v>7983</v>
      </c>
      <c r="Z5876" s="2" t="s">
        <v>36</v>
      </c>
      <c r="AA5876" s="13">
        <v>-0.87734000000000001</v>
      </c>
      <c r="AB5876" s="13" t="s">
        <v>10359</v>
      </c>
    </row>
    <row r="5877" spans="1:28" ht="15" customHeight="1">
      <c r="A5877" s="2" t="s">
        <v>9746</v>
      </c>
      <c r="B5877" s="2" t="s">
        <v>606</v>
      </c>
      <c r="C5877" s="11" t="s">
        <v>4546</v>
      </c>
      <c r="D5877" s="2" t="s">
        <v>30</v>
      </c>
      <c r="E5877" s="2" t="s">
        <v>259</v>
      </c>
      <c r="F5877" s="11" t="s">
        <v>7982</v>
      </c>
      <c r="G5877" s="21">
        <v>976401821</v>
      </c>
      <c r="H5877" s="2" t="s">
        <v>7363</v>
      </c>
      <c r="I5877" s="12" t="s">
        <v>57</v>
      </c>
      <c r="J5877" s="22">
        <f>+Tabla1[[#This Row],[FECHA ENTRADA]]</f>
        <v>46187</v>
      </c>
      <c r="K5877" s="22">
        <v>46189</v>
      </c>
      <c r="L5877" s="23">
        <f>_xlfn.DAYS(Tabla1[[#This Row],[FECHA FIN ]],Tabla1[[#This Row],[FECHA INICIO]])</f>
        <v>2</v>
      </c>
      <c r="M5877" s="12">
        <v>75</v>
      </c>
      <c r="N5877" s="20"/>
      <c r="O5877" s="24">
        <f>(Tabla1[[#This Row],[COSTO FIJO ]]/30)*Tabla1[[#This Row],[TOTAL DIAS PROYECTO]]+(Tabla1[[#This Row],[COSTO TEMPORAL]])</f>
        <v>75</v>
      </c>
      <c r="P5877" s="12"/>
      <c r="Q5877" s="12">
        <f>+(Tabla1[[#This Row],[COSTO COCHE]]/30)*Tabla1[[#This Row],[TOTAL DIAS PROYECTO]]</f>
        <v>0</v>
      </c>
      <c r="R5877" s="12">
        <f>+Tabla1[[#This Row],[COSTO TOTAL ALOJAMIENTO]]+Tabla1[[#This Row],[COSTO TOTAL COCHE]]</f>
        <v>75</v>
      </c>
      <c r="S5877" s="2"/>
      <c r="T5877" s="14" t="s">
        <v>44</v>
      </c>
      <c r="U5877" s="14">
        <v>46187</v>
      </c>
      <c r="V5877" s="79">
        <v>46190</v>
      </c>
      <c r="W5877" s="12"/>
      <c r="X5877" s="2"/>
      <c r="Y5877" s="11" t="s">
        <v>7983</v>
      </c>
      <c r="Z5877" s="2" t="s">
        <v>36</v>
      </c>
      <c r="AA5877" s="13">
        <v>-0.87734000000000001</v>
      </c>
      <c r="AB5877" s="13" t="s">
        <v>10359</v>
      </c>
    </row>
    <row r="5878" spans="1:28" ht="15" customHeight="1">
      <c r="A5878" s="2" t="s">
        <v>9325</v>
      </c>
      <c r="B5878" s="10" t="s">
        <v>711</v>
      </c>
      <c r="C5878" s="11" t="s">
        <v>2828</v>
      </c>
      <c r="D5878" s="2" t="s">
        <v>749</v>
      </c>
      <c r="E5878" s="2" t="s">
        <v>4598</v>
      </c>
      <c r="F5878" s="11" t="s">
        <v>4599</v>
      </c>
      <c r="G5878" s="46" t="s">
        <v>4600</v>
      </c>
      <c r="H5878" s="2" t="s">
        <v>4601</v>
      </c>
      <c r="I5878" s="12" t="s">
        <v>4602</v>
      </c>
      <c r="J5878" s="22">
        <f>+Tabla1[[#This Row],[FECHA ENTRADA]]</f>
        <v>46242</v>
      </c>
      <c r="K5878" s="22">
        <v>46252</v>
      </c>
      <c r="L5878" s="23">
        <f>_xlfn.DAYS(Tabla1[[#This Row],[FECHA FIN ]],Tabla1[[#This Row],[FECHA INICIO]])</f>
        <v>10</v>
      </c>
      <c r="M5878" s="12">
        <v>309.5</v>
      </c>
      <c r="N5878" s="24"/>
      <c r="O5878" s="24">
        <f>(Tabla1[[#This Row],[COSTO FIJO ]]/30)*Tabla1[[#This Row],[TOTAL DIAS PROYECTO]]+(Tabla1[[#This Row],[COSTO TEMPORAL]])</f>
        <v>309.5</v>
      </c>
      <c r="P5878" s="12"/>
      <c r="Q5878" s="12">
        <f>+(Tabla1[[#This Row],[COSTO COCHE]]/30)*Tabla1[[#This Row],[TOTAL DIAS PROYECTO]]</f>
        <v>0</v>
      </c>
      <c r="R5878" s="12">
        <f>+Tabla1[[#This Row],[COSTO TOTAL ALOJAMIENTO]]+Tabla1[[#This Row],[COSTO TOTAL COCHE]]</f>
        <v>309.5</v>
      </c>
      <c r="S5878" s="2" t="s">
        <v>84</v>
      </c>
      <c r="T5878" s="14" t="s">
        <v>44</v>
      </c>
      <c r="U5878" s="14">
        <v>46242</v>
      </c>
      <c r="V5878" s="25">
        <v>46252</v>
      </c>
      <c r="W5878" s="12"/>
      <c r="X5878" s="2"/>
      <c r="Y5878" s="11"/>
      <c r="Z5878" s="2" t="s">
        <v>36</v>
      </c>
      <c r="AA5878" s="13">
        <v>10.50447</v>
      </c>
      <c r="AB5878" s="13">
        <v>43.843690000000002</v>
      </c>
    </row>
    <row r="5879" spans="1:28" ht="15" customHeight="1">
      <c r="A5879" s="2" t="s">
        <v>9764</v>
      </c>
      <c r="B5879" s="2" t="s">
        <v>606</v>
      </c>
      <c r="C5879" s="11" t="s">
        <v>4643</v>
      </c>
      <c r="D5879" s="2" t="s">
        <v>30</v>
      </c>
      <c r="E5879" s="2" t="s">
        <v>6794</v>
      </c>
      <c r="F5879" s="11" t="s">
        <v>7825</v>
      </c>
      <c r="G5879" s="68" t="s">
        <v>7826</v>
      </c>
      <c r="H5879" s="2" t="s">
        <v>7984</v>
      </c>
      <c r="I5879" s="12" t="s">
        <v>5443</v>
      </c>
      <c r="J5879" s="41">
        <f>+Tabla1[[#This Row],[FECHA ENTRADA]]</f>
        <v>46231</v>
      </c>
      <c r="K5879" s="22">
        <f ca="1">TODAY()</f>
        <v>46260</v>
      </c>
      <c r="L5879" s="42">
        <f ca="1">_xlfn.DAYS(Tabla1[[#This Row],[FECHA FIN ]],Tabla1[[#This Row],[FECHA INICIO]])</f>
        <v>29</v>
      </c>
      <c r="M5879" s="12"/>
      <c r="N5879" s="28">
        <v>310</v>
      </c>
      <c r="O5879" s="28">
        <f ca="1">(Tabla1[[#This Row],[COSTO FIJO ]]/30)*Tabla1[[#This Row],[TOTAL DIAS PROYECTO]]+(Tabla1[[#This Row],[COSTO TEMPORAL]])</f>
        <v>299.66666666666669</v>
      </c>
      <c r="P5879" s="12"/>
      <c r="Q5879" s="12">
        <f ca="1">+(Tabla1[[#This Row],[COSTO COCHE]]/30)*Tabla1[[#This Row],[TOTAL DIAS PROYECTO]]</f>
        <v>0</v>
      </c>
      <c r="R5879" s="12">
        <f ca="1">+Tabla1[[#This Row],[COSTO TOTAL ALOJAMIENTO]]+Tabla1[[#This Row],[COSTO TOTAL COCHE]]</f>
        <v>299.66666666666669</v>
      </c>
      <c r="S5879" s="2"/>
      <c r="T5879" s="14" t="s">
        <v>35</v>
      </c>
      <c r="U5879" s="14">
        <v>46231</v>
      </c>
      <c r="V5879" s="43"/>
      <c r="W5879" s="12">
        <v>300</v>
      </c>
      <c r="X5879" s="2">
        <v>7</v>
      </c>
      <c r="Y5879" s="11"/>
      <c r="Z5879" s="2" t="s">
        <v>702</v>
      </c>
      <c r="AA5879" s="13">
        <v>-6.0884499999999999</v>
      </c>
      <c r="AB5879" s="13">
        <v>40.03116</v>
      </c>
    </row>
    <row r="5880" spans="1:28" ht="15" customHeight="1">
      <c r="A5880" s="2" t="s">
        <v>8642</v>
      </c>
      <c r="B5880" s="2" t="s">
        <v>711</v>
      </c>
      <c r="C5880" s="11" t="s">
        <v>7985</v>
      </c>
      <c r="D5880" s="2" t="s">
        <v>30</v>
      </c>
      <c r="E5880" s="2" t="s">
        <v>1987</v>
      </c>
      <c r="F5880" s="11" t="s">
        <v>3766</v>
      </c>
      <c r="G5880" s="128" t="s">
        <v>3767</v>
      </c>
      <c r="H5880" s="2" t="s">
        <v>7986</v>
      </c>
      <c r="I5880" s="12" t="s">
        <v>3769</v>
      </c>
      <c r="J5880" s="41">
        <f>+Tabla1[[#This Row],[FECHA ENTRADA]]</f>
        <v>46250</v>
      </c>
      <c r="K5880" s="22">
        <f ca="1">TODAY()</f>
        <v>46260</v>
      </c>
      <c r="L5880" s="42">
        <f ca="1">_xlfn.DAYS(Tabla1[[#This Row],[FECHA FIN ]],Tabla1[[#This Row],[FECHA INICIO]])</f>
        <v>10</v>
      </c>
      <c r="M5880" s="12"/>
      <c r="N5880" s="28">
        <v>542.5</v>
      </c>
      <c r="O5880" s="28">
        <f ca="1">(Tabla1[[#This Row],[COSTO FIJO ]]/30)*Tabla1[[#This Row],[TOTAL DIAS PROYECTO]]+(Tabla1[[#This Row],[COSTO TEMPORAL]])</f>
        <v>180.83333333333331</v>
      </c>
      <c r="P5880" s="12"/>
      <c r="Q5880" s="12">
        <f ca="1">+(Tabla1[[#This Row],[COSTO COCHE]]/30)*Tabla1[[#This Row],[TOTAL DIAS PROYECTO]]</f>
        <v>0</v>
      </c>
      <c r="R5880" s="12">
        <f ca="1">+Tabla1[[#This Row],[COSTO TOTAL ALOJAMIENTO]]+Tabla1[[#This Row],[COSTO TOTAL COCHE]]</f>
        <v>180.83333333333331</v>
      </c>
      <c r="S5880" s="2"/>
      <c r="T5880" s="14" t="s">
        <v>35</v>
      </c>
      <c r="U5880" s="14">
        <v>46250</v>
      </c>
      <c r="V5880" s="43"/>
      <c r="W5880" s="12"/>
      <c r="X5880" s="2">
        <v>7</v>
      </c>
      <c r="Y5880" s="11"/>
      <c r="Z5880" s="2" t="s">
        <v>702</v>
      </c>
      <c r="AA5880" s="13" t="s">
        <v>10435</v>
      </c>
      <c r="AB5880" s="13">
        <v>42.136150000000001</v>
      </c>
    </row>
    <row r="5881" spans="1:28" ht="15" customHeight="1">
      <c r="A5881" s="2" t="s">
        <v>10067</v>
      </c>
      <c r="B5881" s="2" t="s">
        <v>606</v>
      </c>
      <c r="C5881" s="11" t="s">
        <v>6186</v>
      </c>
      <c r="D5881" s="2" t="s">
        <v>99</v>
      </c>
      <c r="E5881" s="2" t="s">
        <v>686</v>
      </c>
      <c r="F5881" s="11"/>
      <c r="G5881" s="46"/>
      <c r="H5881" s="2" t="s">
        <v>6263</v>
      </c>
      <c r="I5881" s="12" t="s">
        <v>57</v>
      </c>
      <c r="J5881" s="41">
        <f>+Tabla1[[#This Row],[FECHA ENTRADA]]</f>
        <v>46065</v>
      </c>
      <c r="K5881" s="22">
        <f ca="1">TODAY()</f>
        <v>46260</v>
      </c>
      <c r="L5881" s="42">
        <f ca="1">_xlfn.DAYS(Tabla1[[#This Row],[FECHA FIN ]],Tabla1[[#This Row],[FECHA INICIO]])</f>
        <v>195</v>
      </c>
      <c r="M5881" s="12"/>
      <c r="N5881" s="28">
        <v>300</v>
      </c>
      <c r="O5881" s="28">
        <f ca="1">(Tabla1[[#This Row],[COSTO FIJO ]]/30)*Tabla1[[#This Row],[TOTAL DIAS PROYECTO]]+(Tabla1[[#This Row],[COSTO TEMPORAL]])</f>
        <v>1950</v>
      </c>
      <c r="P5881" s="12"/>
      <c r="Q5881" s="12">
        <f ca="1">+(Tabla1[[#This Row],[COSTO COCHE]]/30)*Tabla1[[#This Row],[TOTAL DIAS PROYECTO]]</f>
        <v>0</v>
      </c>
      <c r="R5881" s="12">
        <f ca="1">+Tabla1[[#This Row],[COSTO TOTAL ALOJAMIENTO]]+Tabla1[[#This Row],[COSTO TOTAL COCHE]]</f>
        <v>1950</v>
      </c>
      <c r="S5881" s="2"/>
      <c r="T5881" s="14" t="s">
        <v>58</v>
      </c>
      <c r="U5881" s="14">
        <v>46065</v>
      </c>
      <c r="V5881" s="43"/>
      <c r="W5881" s="12"/>
      <c r="X5881" s="2"/>
      <c r="Y5881" s="136" t="s">
        <v>7987</v>
      </c>
      <c r="Z5881" s="2" t="s">
        <v>702</v>
      </c>
      <c r="AA5881" s="13" t="s">
        <v>10393</v>
      </c>
      <c r="AB5881" s="13">
        <v>3834517</v>
      </c>
    </row>
    <row r="5882" spans="1:28" ht="15" customHeight="1">
      <c r="A5882" s="2" t="s">
        <v>8642</v>
      </c>
      <c r="B5882" s="2" t="s">
        <v>711</v>
      </c>
      <c r="C5882" s="11" t="s">
        <v>7988</v>
      </c>
      <c r="D5882" s="2" t="s">
        <v>30</v>
      </c>
      <c r="E5882" s="2" t="s">
        <v>1987</v>
      </c>
      <c r="F5882" s="11" t="s">
        <v>3766</v>
      </c>
      <c r="G5882" s="128" t="s">
        <v>3767</v>
      </c>
      <c r="H5882" s="2" t="s">
        <v>5237</v>
      </c>
      <c r="I5882" s="12" t="s">
        <v>3769</v>
      </c>
      <c r="J5882" s="41">
        <f>+Tabla1[[#This Row],[FECHA ENTRADA]]</f>
        <v>46258</v>
      </c>
      <c r="K5882" s="22">
        <f ca="1">TODAY()</f>
        <v>46260</v>
      </c>
      <c r="L5882" s="42">
        <f ca="1">_xlfn.DAYS(Tabla1[[#This Row],[FECHA FIN ]],Tabla1[[#This Row],[FECHA INICIO]])</f>
        <v>2</v>
      </c>
      <c r="M5882" s="12"/>
      <c r="N5882" s="28">
        <v>542.5</v>
      </c>
      <c r="O5882" s="28">
        <f ca="1">(Tabla1[[#This Row],[COSTO FIJO ]]/30)*Tabla1[[#This Row],[TOTAL DIAS PROYECTO]]+(Tabla1[[#This Row],[COSTO TEMPORAL]])</f>
        <v>36.166666666666664</v>
      </c>
      <c r="P5882" s="12"/>
      <c r="Q5882" s="12">
        <f ca="1">+(Tabla1[[#This Row],[COSTO COCHE]]/30)*Tabla1[[#This Row],[TOTAL DIAS PROYECTO]]</f>
        <v>0</v>
      </c>
      <c r="R5882" s="12">
        <f ca="1">+Tabla1[[#This Row],[COSTO TOTAL ALOJAMIENTO]]+Tabla1[[#This Row],[COSTO TOTAL COCHE]]</f>
        <v>36.166666666666664</v>
      </c>
      <c r="S5882" s="2"/>
      <c r="T5882" s="14" t="s">
        <v>35</v>
      </c>
      <c r="U5882" s="14">
        <v>46258</v>
      </c>
      <c r="V5882" s="43"/>
      <c r="W5882" s="12"/>
      <c r="X5882" s="2">
        <v>7</v>
      </c>
      <c r="Y5882" s="11"/>
      <c r="Z5882" s="2" t="s">
        <v>702</v>
      </c>
      <c r="AA5882" s="13" t="s">
        <v>10435</v>
      </c>
      <c r="AB5882" s="13">
        <v>42.136150000000001</v>
      </c>
    </row>
    <row r="5883" spans="1:28" ht="15" customHeight="1">
      <c r="A5883" s="2" t="s">
        <v>9876</v>
      </c>
      <c r="B5883" s="2" t="s">
        <v>978</v>
      </c>
      <c r="C5883" s="31" t="s">
        <v>5182</v>
      </c>
      <c r="D5883" s="2" t="s">
        <v>30</v>
      </c>
      <c r="E5883" s="2" t="s">
        <v>380</v>
      </c>
      <c r="F5883" s="11"/>
      <c r="G5883" s="46"/>
      <c r="H5883" s="2" t="s">
        <v>7989</v>
      </c>
      <c r="I5883" s="12" t="s">
        <v>4276</v>
      </c>
      <c r="J5883" s="41">
        <f>+Tabla1[[#This Row],[FECHA ENTRADA]]</f>
        <v>46188</v>
      </c>
      <c r="K5883" s="41">
        <v>46227</v>
      </c>
      <c r="L5883" s="42">
        <f>_xlfn.DAYS(Tabla1[[#This Row],[FECHA FIN ]],Tabla1[[#This Row],[FECHA INICIO]])</f>
        <v>39</v>
      </c>
      <c r="M5883" s="12"/>
      <c r="N5883" s="28">
        <v>300</v>
      </c>
      <c r="O5883" s="28">
        <f>(Tabla1[[#This Row],[COSTO FIJO ]]/30)*Tabla1[[#This Row],[TOTAL DIAS PROYECTO]]+(Tabla1[[#This Row],[COSTO TEMPORAL]])</f>
        <v>390</v>
      </c>
      <c r="P5883" s="12"/>
      <c r="Q5883" s="12">
        <f>+(Tabla1[[#This Row],[COSTO COCHE]]/30)*Tabla1[[#This Row],[TOTAL DIAS PROYECTO]]</f>
        <v>0</v>
      </c>
      <c r="R5883" s="12">
        <f>+Tabla1[[#This Row],[COSTO TOTAL ALOJAMIENTO]]+Tabla1[[#This Row],[COSTO TOTAL COCHE]]</f>
        <v>390</v>
      </c>
      <c r="S5883" s="2"/>
      <c r="T5883" s="14" t="s">
        <v>58</v>
      </c>
      <c r="U5883" s="14">
        <v>46188</v>
      </c>
      <c r="V5883" s="43"/>
      <c r="W5883" s="12"/>
      <c r="X5883" s="2"/>
      <c r="Y5883" s="11" t="s">
        <v>7990</v>
      </c>
      <c r="Z5883" s="2" t="s">
        <v>36</v>
      </c>
      <c r="AA5883" s="13" t="s">
        <v>10370</v>
      </c>
      <c r="AB5883" s="13" t="s">
        <v>10371</v>
      </c>
    </row>
    <row r="5884" spans="1:28" ht="15" customHeight="1">
      <c r="A5884" s="2" t="s">
        <v>9964</v>
      </c>
      <c r="B5884" s="2" t="s">
        <v>711</v>
      </c>
      <c r="C5884" s="11" t="s">
        <v>5747</v>
      </c>
      <c r="D5884" s="2" t="s">
        <v>30</v>
      </c>
      <c r="E5884" s="2" t="s">
        <v>213</v>
      </c>
      <c r="F5884" s="11" t="s">
        <v>7991</v>
      </c>
      <c r="G5884" s="68" t="s">
        <v>558</v>
      </c>
      <c r="H5884" s="2" t="s">
        <v>5130</v>
      </c>
      <c r="I5884" s="12" t="s">
        <v>4464</v>
      </c>
      <c r="J5884" s="22">
        <f>+Tabla1[[#This Row],[FECHA ENTRADA]]</f>
        <v>46067</v>
      </c>
      <c r="K5884" s="22">
        <f ca="1">TODAY()</f>
        <v>46260</v>
      </c>
      <c r="L5884" s="23">
        <f ca="1">_xlfn.DAYS(Tabla1[[#This Row],[FECHA FIN ]],Tabla1[[#This Row],[FECHA INICIO]])</f>
        <v>193</v>
      </c>
      <c r="M5884" s="12"/>
      <c r="N5884" s="20">
        <v>500</v>
      </c>
      <c r="O5884" s="24">
        <f ca="1">(Tabla1[[#This Row],[COSTO FIJO ]]/30)*Tabla1[[#This Row],[TOTAL DIAS PROYECTO]]+(Tabla1[[#This Row],[COSTO TEMPORAL]])</f>
        <v>3216.666666666667</v>
      </c>
      <c r="P5884" s="12"/>
      <c r="Q5884" s="12">
        <f ca="1">+(Tabla1[[#This Row],[COSTO COCHE]]/30)*Tabla1[[#This Row],[TOTAL DIAS PROYECTO]]</f>
        <v>0</v>
      </c>
      <c r="R5884" s="12">
        <f ca="1">+Tabla1[[#This Row],[COSTO TOTAL ALOJAMIENTO]]+Tabla1[[#This Row],[COSTO TOTAL COCHE]]</f>
        <v>3216.666666666667</v>
      </c>
      <c r="S5884" s="2"/>
      <c r="T5884" s="14" t="s">
        <v>35</v>
      </c>
      <c r="U5884" s="14">
        <v>46067</v>
      </c>
      <c r="V5884" s="79"/>
      <c r="W5884" s="12"/>
      <c r="X5884" s="2">
        <v>10</v>
      </c>
      <c r="Y5884" s="11"/>
      <c r="Z5884" s="2" t="s">
        <v>702</v>
      </c>
      <c r="AA5884" s="13" t="s">
        <v>10349</v>
      </c>
      <c r="AB5884" s="13" t="s">
        <v>10350</v>
      </c>
    </row>
    <row r="5885" spans="1:28" ht="15" customHeight="1">
      <c r="A5885" s="2" t="s">
        <v>10309</v>
      </c>
      <c r="B5885" s="2" t="s">
        <v>28</v>
      </c>
      <c r="C5885" s="11" t="s">
        <v>7992</v>
      </c>
      <c r="D5885" s="2" t="s">
        <v>30</v>
      </c>
      <c r="E5885" s="2" t="s">
        <v>127</v>
      </c>
      <c r="F5885" s="11" t="s">
        <v>820</v>
      </c>
      <c r="G5885" s="21" t="s">
        <v>1234</v>
      </c>
      <c r="H5885" s="2" t="s">
        <v>1802</v>
      </c>
      <c r="I5885" s="12" t="s">
        <v>96</v>
      </c>
      <c r="J5885" s="22">
        <f>+Tabla1[[#This Row],[FECHA ENTRADA]]</f>
        <v>45700</v>
      </c>
      <c r="K5885" s="8">
        <v>45798</v>
      </c>
      <c r="L5885" s="23">
        <f>_xlfn.DAYS(Tabla1[[#This Row],[FECHA FIN ]],Tabla1[[#This Row],[FECHA INICIO]])</f>
        <v>98</v>
      </c>
      <c r="M5885" s="12"/>
      <c r="N5885" s="12"/>
      <c r="O5885" s="24">
        <f>(Tabla1[[#This Row],[COSTO FIJO ]]/30)*Tabla1[[#This Row],[TOTAL DIAS PROYECTO]]+(Tabla1[[#This Row],[COSTO TEMPORAL]])</f>
        <v>0</v>
      </c>
      <c r="P5885" s="12"/>
      <c r="Q5885" s="12">
        <f>+(Tabla1[[#This Row],[COSTO COCHE]]/30)*Tabla1[[#This Row],[TOTAL DIAS PROYECTO]]</f>
        <v>0</v>
      </c>
      <c r="R5885" s="12">
        <f>+Tabla1[[#This Row],[COSTO TOTAL ALOJAMIENTO]]+Tabla1[[#This Row],[COSTO TOTAL COCHE]]</f>
        <v>0</v>
      </c>
      <c r="S5885" s="2"/>
      <c r="T5885" s="2" t="s">
        <v>44</v>
      </c>
      <c r="U5885" s="14">
        <v>45700</v>
      </c>
      <c r="V5885" s="25">
        <v>45798</v>
      </c>
      <c r="W5885" s="26"/>
      <c r="X5885" s="2"/>
      <c r="Y5885" s="11"/>
      <c r="Z5885" s="2" t="s">
        <v>36</v>
      </c>
      <c r="AA5885" s="13" t="s">
        <v>10342</v>
      </c>
      <c r="AB5885" s="13" t="s">
        <v>10343</v>
      </c>
    </row>
    <row r="5886" spans="1:28">
      <c r="A5886" s="2" t="s">
        <v>10309</v>
      </c>
      <c r="B5886" s="2" t="s">
        <v>28</v>
      </c>
      <c r="C5886" s="69" t="s">
        <v>7992</v>
      </c>
      <c r="D5886" s="2" t="s">
        <v>30</v>
      </c>
      <c r="E5886" s="2" t="s">
        <v>127</v>
      </c>
      <c r="F5886" s="11" t="s">
        <v>820</v>
      </c>
      <c r="G5886" s="21" t="s">
        <v>821</v>
      </c>
      <c r="H5886" s="2" t="s">
        <v>1802</v>
      </c>
      <c r="I5886" s="12" t="s">
        <v>96</v>
      </c>
      <c r="J5886" s="22">
        <f>+Tabla1[[#This Row],[FECHA ENTRADA]]</f>
        <v>45798</v>
      </c>
      <c r="K5886" s="8">
        <v>45969</v>
      </c>
      <c r="L5886" s="23">
        <f>_xlfn.DAYS(Tabla1[[#This Row],[FECHA FIN ]],Tabla1[[#This Row],[FECHA INICIO]])</f>
        <v>171</v>
      </c>
      <c r="M5886" s="12"/>
      <c r="N5886" s="12">
        <f>3150/9</f>
        <v>350</v>
      </c>
      <c r="O5886" s="24">
        <f>(Tabla1[[#This Row],[COSTO FIJO ]]/30)*Tabla1[[#This Row],[TOTAL DIAS PROYECTO]]+(Tabla1[[#This Row],[COSTO TEMPORAL]])</f>
        <v>1995</v>
      </c>
      <c r="P5886" s="12"/>
      <c r="Q5886" s="12">
        <f>+(Tabla1[[#This Row],[COSTO COCHE]]/30)*Tabla1[[#This Row],[TOTAL DIAS PROYECTO]]</f>
        <v>0</v>
      </c>
      <c r="R5886" s="12">
        <f>+Tabla1[[#This Row],[COSTO TOTAL ALOJAMIENTO]]+Tabla1[[#This Row],[COSTO TOTAL COCHE]]</f>
        <v>1995</v>
      </c>
      <c r="S5886" s="2"/>
      <c r="T5886" s="2" t="s">
        <v>44</v>
      </c>
      <c r="U5886" s="14">
        <v>45798</v>
      </c>
      <c r="V5886" s="25">
        <v>45969</v>
      </c>
      <c r="W5886" s="26"/>
      <c r="X5886" s="2"/>
      <c r="Y5886" s="11" t="s">
        <v>7993</v>
      </c>
      <c r="Z5886" s="2" t="s">
        <v>36</v>
      </c>
      <c r="AA5886" s="13" t="s">
        <v>10342</v>
      </c>
      <c r="AB5886" s="13" t="s">
        <v>10343</v>
      </c>
    </row>
    <row r="5887" spans="1:28" ht="15" customHeight="1">
      <c r="A5887" s="2" t="s">
        <v>10309</v>
      </c>
      <c r="B5887" s="2" t="s">
        <v>711</v>
      </c>
      <c r="C5887" s="69" t="s">
        <v>7992</v>
      </c>
      <c r="D5887" s="2" t="s">
        <v>30</v>
      </c>
      <c r="E5887" s="2" t="s">
        <v>648</v>
      </c>
      <c r="F5887" s="11" t="s">
        <v>1544</v>
      </c>
      <c r="G5887" s="118" t="s">
        <v>1545</v>
      </c>
      <c r="H5887" s="2" t="s">
        <v>7994</v>
      </c>
      <c r="I5887" s="12" t="s">
        <v>96</v>
      </c>
      <c r="J5887" s="22">
        <f>+Tabla1[[#This Row],[FECHA ENTRADA]]</f>
        <v>45969</v>
      </c>
      <c r="K5887" s="8">
        <v>46042</v>
      </c>
      <c r="L5887" s="23">
        <f>_xlfn.DAYS(Tabla1[[#This Row],[FECHA FIN ]],Tabla1[[#This Row],[FECHA INICIO]])</f>
        <v>73</v>
      </c>
      <c r="M5887" s="12"/>
      <c r="N5887" s="24">
        <v>183.33333333333334</v>
      </c>
      <c r="O5887" s="24">
        <f>(Tabla1[[#This Row],[COSTO FIJO ]]/30)*Tabla1[[#This Row],[TOTAL DIAS PROYECTO]]+(Tabla1[[#This Row],[COSTO TEMPORAL]])</f>
        <v>446.11111111111114</v>
      </c>
      <c r="P5887" s="12"/>
      <c r="Q5887" s="12">
        <f>+(Tabla1[[#This Row],[COSTO COCHE]]/30)*Tabla1[[#This Row],[TOTAL DIAS PROYECTO]]</f>
        <v>0</v>
      </c>
      <c r="R5887" s="12">
        <f>+Tabla1[[#This Row],[COSTO TOTAL ALOJAMIENTO]]+Tabla1[[#This Row],[COSTO TOTAL COCHE]]</f>
        <v>446.11111111111114</v>
      </c>
      <c r="S5887" s="2"/>
      <c r="T5887" s="14" t="s">
        <v>35</v>
      </c>
      <c r="U5887" s="14">
        <v>45969</v>
      </c>
      <c r="V5887" s="25"/>
      <c r="W5887" s="71">
        <v>550</v>
      </c>
      <c r="X5887" s="2">
        <v>1</v>
      </c>
      <c r="Y5887" s="11" t="s">
        <v>7995</v>
      </c>
      <c r="Z5887" s="2" t="s">
        <v>36</v>
      </c>
      <c r="AA5887" s="13" t="s">
        <v>10387</v>
      </c>
      <c r="AB5887" s="13" t="s">
        <v>10388</v>
      </c>
    </row>
    <row r="5888" spans="1:28">
      <c r="A5888" s="2" t="s">
        <v>10309</v>
      </c>
      <c r="B5888" s="2" t="s">
        <v>711</v>
      </c>
      <c r="C5888" s="69" t="s">
        <v>7992</v>
      </c>
      <c r="D5888" s="2" t="s">
        <v>30</v>
      </c>
      <c r="E5888" s="2" t="s">
        <v>648</v>
      </c>
      <c r="F5888" s="11" t="s">
        <v>2103</v>
      </c>
      <c r="G5888" s="118" t="s">
        <v>1545</v>
      </c>
      <c r="H5888" s="2" t="s">
        <v>7994</v>
      </c>
      <c r="I5888" s="12" t="s">
        <v>96</v>
      </c>
      <c r="J5888" s="22">
        <f>+Tabla1[[#This Row],[FECHA ENTRADA]]</f>
        <v>46042</v>
      </c>
      <c r="K5888" s="22">
        <v>46159</v>
      </c>
      <c r="L5888" s="23">
        <f>_xlfn.DAYS(Tabla1[[#This Row],[FECHA FIN ]],Tabla1[[#This Row],[FECHA INICIO]])</f>
        <v>117</v>
      </c>
      <c r="M5888" s="12"/>
      <c r="N5888" s="20">
        <v>240</v>
      </c>
      <c r="O5888" s="24">
        <f>(Tabla1[[#This Row],[COSTO FIJO ]]/30)*Tabla1[[#This Row],[TOTAL DIAS PROYECTO]]+(Tabla1[[#This Row],[COSTO TEMPORAL]])</f>
        <v>936</v>
      </c>
      <c r="P5888" s="12"/>
      <c r="Q5888" s="12">
        <f>+(Tabla1[[#This Row],[COSTO COCHE]]/30)*Tabla1[[#This Row],[TOTAL DIAS PROYECTO]]</f>
        <v>0</v>
      </c>
      <c r="R5888" s="12">
        <f>+Tabla1[[#This Row],[COSTO TOTAL ALOJAMIENTO]]+Tabla1[[#This Row],[COSTO TOTAL COCHE]]</f>
        <v>936</v>
      </c>
      <c r="S5888" s="2"/>
      <c r="T5888" s="14" t="s">
        <v>35</v>
      </c>
      <c r="U5888" s="14">
        <v>46042</v>
      </c>
      <c r="V5888" s="79"/>
      <c r="W5888" s="12"/>
      <c r="X5888" s="2">
        <v>1</v>
      </c>
      <c r="Y5888" s="11" t="s">
        <v>7996</v>
      </c>
      <c r="Z5888" s="2" t="s">
        <v>36</v>
      </c>
      <c r="AA5888" s="13" t="s">
        <v>10387</v>
      </c>
      <c r="AB5888" s="13" t="s">
        <v>10388</v>
      </c>
    </row>
    <row r="5889" spans="1:28">
      <c r="A5889" s="2" t="s">
        <v>9980</v>
      </c>
      <c r="B5889" s="2" t="s">
        <v>606</v>
      </c>
      <c r="C5889" s="31" t="s">
        <v>5820</v>
      </c>
      <c r="D5889" s="2" t="s">
        <v>30</v>
      </c>
      <c r="E5889" s="2" t="s">
        <v>31</v>
      </c>
      <c r="F5889" s="11" t="s">
        <v>715</v>
      </c>
      <c r="G5889" s="11" t="s">
        <v>716</v>
      </c>
      <c r="H5889" s="2" t="s">
        <v>7997</v>
      </c>
      <c r="I5889" s="12" t="s">
        <v>2391</v>
      </c>
      <c r="J5889" s="22">
        <f>+Tabla1[[#This Row],[FECHA ENTRADA]]</f>
        <v>46201</v>
      </c>
      <c r="K5889" s="22">
        <v>46206</v>
      </c>
      <c r="L5889" s="23">
        <f>_xlfn.DAYS(Tabla1[[#This Row],[FECHA FIN ]],Tabla1[[#This Row],[FECHA INICIO]])</f>
        <v>5</v>
      </c>
      <c r="M5889" s="12"/>
      <c r="N5889" s="12">
        <v>160</v>
      </c>
      <c r="O5889" s="24">
        <f>(Tabla1[[#This Row],[COSTO FIJO ]]/30)*Tabla1[[#This Row],[TOTAL DIAS PROYECTO]]+(Tabla1[[#This Row],[COSTO TEMPORAL]])</f>
        <v>26.666666666666664</v>
      </c>
      <c r="P5889" s="12"/>
      <c r="Q5889" s="12">
        <f>+(Tabla1[[#This Row],[COSTO COCHE]]/30)*Tabla1[[#This Row],[TOTAL DIAS PROYECTO]]</f>
        <v>0</v>
      </c>
      <c r="R5889" s="12">
        <f>+Tabla1[[#This Row],[COSTO TOTAL ALOJAMIENTO]]+Tabla1[[#This Row],[COSTO TOTAL COCHE]]</f>
        <v>26.666666666666664</v>
      </c>
      <c r="S5889" s="2"/>
      <c r="T5889" s="14" t="s">
        <v>35</v>
      </c>
      <c r="U5889" s="14">
        <v>46201</v>
      </c>
      <c r="V5889" s="79"/>
      <c r="W5889" s="12"/>
      <c r="X5889" s="2"/>
      <c r="Y5889" s="11" t="s">
        <v>7998</v>
      </c>
      <c r="Z5889" s="2" t="s">
        <v>36</v>
      </c>
      <c r="AA5889" s="13" t="s">
        <v>10323</v>
      </c>
      <c r="AB5889" s="13" t="s">
        <v>10324</v>
      </c>
    </row>
    <row r="5890" spans="1:28">
      <c r="A5890" s="2" t="s">
        <v>10191</v>
      </c>
      <c r="B5890" s="2" t="s">
        <v>978</v>
      </c>
      <c r="C5890" s="31" t="s">
        <v>7034</v>
      </c>
      <c r="D5890" s="2" t="s">
        <v>99</v>
      </c>
      <c r="E5890" s="2" t="s">
        <v>31</v>
      </c>
      <c r="F5890" s="11" t="s">
        <v>715</v>
      </c>
      <c r="G5890" s="11" t="s">
        <v>716</v>
      </c>
      <c r="H5890" s="2" t="s">
        <v>7700</v>
      </c>
      <c r="I5890" s="12" t="s">
        <v>4681</v>
      </c>
      <c r="J5890" s="41">
        <f>+Tabla1[[#This Row],[FECHA ENTRADA]]</f>
        <v>46214</v>
      </c>
      <c r="K5890" s="41">
        <v>46235</v>
      </c>
      <c r="L5890" s="42">
        <f>_xlfn.DAYS(Tabla1[[#This Row],[FECHA FIN ]],Tabla1[[#This Row],[FECHA INICIO]])</f>
        <v>21</v>
      </c>
      <c r="M5890" s="12"/>
      <c r="N5890" s="12">
        <v>160</v>
      </c>
      <c r="O5890" s="28">
        <f>(Tabla1[[#This Row],[COSTO FIJO ]]/30)*Tabla1[[#This Row],[TOTAL DIAS PROYECTO]]+(Tabla1[[#This Row],[COSTO TEMPORAL]])</f>
        <v>112</v>
      </c>
      <c r="P5890" s="12"/>
      <c r="Q5890" s="12">
        <f>+(Tabla1[[#This Row],[COSTO COCHE]]/30)*Tabla1[[#This Row],[TOTAL DIAS PROYECTO]]</f>
        <v>0</v>
      </c>
      <c r="R5890" s="12">
        <f>+Tabla1[[#This Row],[COSTO TOTAL ALOJAMIENTO]]+Tabla1[[#This Row],[COSTO TOTAL COCHE]]</f>
        <v>112</v>
      </c>
      <c r="S5890" s="2"/>
      <c r="T5890" s="14" t="s">
        <v>35</v>
      </c>
      <c r="U5890" s="14">
        <v>46214</v>
      </c>
      <c r="V5890" s="43"/>
      <c r="W5890" s="12"/>
      <c r="X5890" s="2"/>
      <c r="Y5890" s="11" t="s">
        <v>7999</v>
      </c>
      <c r="Z5890" s="2" t="s">
        <v>36</v>
      </c>
      <c r="AA5890" s="13" t="s">
        <v>10323</v>
      </c>
      <c r="AB5890" s="13" t="s">
        <v>10324</v>
      </c>
    </row>
    <row r="5891" spans="1:28" ht="15" customHeight="1">
      <c r="A5891" s="2" t="s">
        <v>10309</v>
      </c>
      <c r="B5891" s="2" t="s">
        <v>711</v>
      </c>
      <c r="C5891" s="11" t="s">
        <v>7992</v>
      </c>
      <c r="D5891" s="2" t="s">
        <v>30</v>
      </c>
      <c r="E5891" s="2" t="s">
        <v>127</v>
      </c>
      <c r="F5891" s="11" t="s">
        <v>820</v>
      </c>
      <c r="G5891" s="21" t="s">
        <v>821</v>
      </c>
      <c r="H5891" s="2" t="s">
        <v>3440</v>
      </c>
      <c r="I5891" s="12" t="s">
        <v>96</v>
      </c>
      <c r="J5891" s="22">
        <f>+Tabla1[[#This Row],[FECHA ENTRADA]]</f>
        <v>46159</v>
      </c>
      <c r="K5891" s="22">
        <v>46174</v>
      </c>
      <c r="L5891" s="23">
        <f>_xlfn.DAYS(Tabla1[[#This Row],[FECHA FIN ]],Tabla1[[#This Row],[FECHA INICIO]])</f>
        <v>15</v>
      </c>
      <c r="M5891" s="20">
        <f>80*15/4</f>
        <v>300</v>
      </c>
      <c r="N5891" s="24"/>
      <c r="O5891" s="24">
        <f>(Tabla1[[#This Row],[COSTO FIJO ]]/30)*Tabla1[[#This Row],[TOTAL DIAS PROYECTO]]+(Tabla1[[#This Row],[COSTO TEMPORAL]])</f>
        <v>300</v>
      </c>
      <c r="P5891" s="12"/>
      <c r="Q5891" s="12">
        <f>+(Tabla1[[#This Row],[COSTO COCHE]]/30)*Tabla1[[#This Row],[TOTAL DIAS PROYECTO]]</f>
        <v>0</v>
      </c>
      <c r="R5891" s="12">
        <f>+Tabla1[[#This Row],[COSTO TOTAL ALOJAMIENTO]]+Tabla1[[#This Row],[COSTO TOTAL COCHE]]</f>
        <v>300</v>
      </c>
      <c r="S5891" s="2"/>
      <c r="T5891" s="14" t="s">
        <v>44</v>
      </c>
      <c r="U5891" s="14">
        <v>46159</v>
      </c>
      <c r="V5891" s="79">
        <v>46174</v>
      </c>
      <c r="W5891" s="12"/>
      <c r="X5891" s="2"/>
      <c r="Y5891" s="11" t="s">
        <v>1364</v>
      </c>
      <c r="Z5891" s="2" t="s">
        <v>36</v>
      </c>
      <c r="AA5891" s="13" t="s">
        <v>10342</v>
      </c>
      <c r="AB5891" s="13" t="s">
        <v>10343</v>
      </c>
    </row>
    <row r="5892" spans="1:28">
      <c r="A5892" s="2" t="s">
        <v>10309</v>
      </c>
      <c r="B5892" s="2" t="s">
        <v>711</v>
      </c>
      <c r="C5892" s="11" t="s">
        <v>7992</v>
      </c>
      <c r="D5892" s="2" t="s">
        <v>30</v>
      </c>
      <c r="E5892" s="2" t="s">
        <v>855</v>
      </c>
      <c r="F5892" s="11" t="s">
        <v>5772</v>
      </c>
      <c r="G5892" s="21" t="s">
        <v>1474</v>
      </c>
      <c r="H5892" s="2" t="s">
        <v>8000</v>
      </c>
      <c r="I5892" s="12" t="s">
        <v>96</v>
      </c>
      <c r="J5892" s="41">
        <f>+Tabla1[[#This Row],[FECHA ENTRADA]]</f>
        <v>46132</v>
      </c>
      <c r="K5892" s="22">
        <v>46132</v>
      </c>
      <c r="L5892" s="42">
        <f>_xlfn.DAYS(Tabla1[[#This Row],[FECHA FIN ]],Tabla1[[#This Row],[FECHA INICIO]])</f>
        <v>0</v>
      </c>
      <c r="M5892" s="12">
        <v>484</v>
      </c>
      <c r="N5892" s="28"/>
      <c r="O5892" s="28">
        <f>(Tabla1[[#This Row],[COSTO FIJO ]]/30)*Tabla1[[#This Row],[TOTAL DIAS PROYECTO]]+(Tabla1[[#This Row],[COSTO TEMPORAL]])</f>
        <v>484</v>
      </c>
      <c r="P5892" s="12"/>
      <c r="Q5892" s="12">
        <f>+(Tabla1[[#This Row],[COSTO COCHE]]/30)*Tabla1[[#This Row],[TOTAL DIAS PROYECTO]]</f>
        <v>0</v>
      </c>
      <c r="R5892" s="12">
        <f>+Tabla1[[#This Row],[COSTO TOTAL ALOJAMIENTO]]+Tabla1[[#This Row],[COSTO TOTAL COCHE]]</f>
        <v>484</v>
      </c>
      <c r="S5892" s="2"/>
      <c r="T5892" s="14" t="s">
        <v>44</v>
      </c>
      <c r="U5892" s="14">
        <v>46132</v>
      </c>
      <c r="V5892" s="79">
        <v>46156</v>
      </c>
      <c r="W5892" s="12"/>
      <c r="X5892" s="2"/>
      <c r="Y5892" s="11" t="s">
        <v>8001</v>
      </c>
      <c r="Z5892" s="2" t="s">
        <v>36</v>
      </c>
      <c r="AA5892" s="13" t="s">
        <v>10401</v>
      </c>
      <c r="AB5892" s="13" t="s">
        <v>10402</v>
      </c>
    </row>
    <row r="5893" spans="1:28" ht="15" customHeight="1">
      <c r="A5893" s="2" t="s">
        <v>9798</v>
      </c>
      <c r="B5893" s="2" t="s">
        <v>711</v>
      </c>
      <c r="C5893" s="11" t="s">
        <v>4800</v>
      </c>
      <c r="D5893" s="2" t="s">
        <v>30</v>
      </c>
      <c r="E5893" s="2" t="s">
        <v>213</v>
      </c>
      <c r="F5893" s="11" t="s">
        <v>7991</v>
      </c>
      <c r="G5893" s="68" t="s">
        <v>558</v>
      </c>
      <c r="H5893" s="2" t="s">
        <v>8002</v>
      </c>
      <c r="I5893" s="12" t="s">
        <v>4464</v>
      </c>
      <c r="J5893" s="41">
        <f>+Tabla1[[#This Row],[FECHA ENTRADA]]</f>
        <v>46134</v>
      </c>
      <c r="K5893" s="22">
        <f ca="1">TODAY()</f>
        <v>46260</v>
      </c>
      <c r="L5893" s="42">
        <f ca="1">_xlfn.DAYS(Tabla1[[#This Row],[FECHA FIN ]],Tabla1[[#This Row],[FECHA INICIO]])</f>
        <v>126</v>
      </c>
      <c r="M5893" s="12"/>
      <c r="N5893" s="28">
        <v>500</v>
      </c>
      <c r="O5893" s="28">
        <f ca="1">(Tabla1[[#This Row],[COSTO FIJO ]]/30)*Tabla1[[#This Row],[TOTAL DIAS PROYECTO]]+(Tabla1[[#This Row],[COSTO TEMPORAL]])</f>
        <v>2100</v>
      </c>
      <c r="P5893" s="12"/>
      <c r="Q5893" s="12">
        <f ca="1">+(Tabla1[[#This Row],[COSTO COCHE]]/30)*Tabla1[[#This Row],[TOTAL DIAS PROYECTO]]</f>
        <v>0</v>
      </c>
      <c r="R5893" s="12">
        <f ca="1">+Tabla1[[#This Row],[COSTO TOTAL ALOJAMIENTO]]+Tabla1[[#This Row],[COSTO TOTAL COCHE]]</f>
        <v>2100</v>
      </c>
      <c r="S5893" s="2"/>
      <c r="T5893" s="14" t="s">
        <v>35</v>
      </c>
      <c r="U5893" s="14">
        <v>46134</v>
      </c>
      <c r="V5893" s="43"/>
      <c r="W5893" s="12"/>
      <c r="X5893" s="2">
        <v>10</v>
      </c>
      <c r="Y5893" s="11"/>
      <c r="Z5893" s="2" t="s">
        <v>702</v>
      </c>
      <c r="AA5893" s="13" t="s">
        <v>10349</v>
      </c>
      <c r="AB5893" s="13" t="s">
        <v>10350</v>
      </c>
    </row>
    <row r="5894" spans="1:28" ht="15" customHeight="1">
      <c r="A5894" s="2" t="s">
        <v>10310</v>
      </c>
      <c r="B5894" s="2" t="s">
        <v>28</v>
      </c>
      <c r="C5894" s="11" t="s">
        <v>8003</v>
      </c>
      <c r="D5894" s="2" t="s">
        <v>30</v>
      </c>
      <c r="E5894" s="2" t="s">
        <v>92</v>
      </c>
      <c r="F5894" s="11" t="s">
        <v>3144</v>
      </c>
      <c r="G5894" s="11" t="s">
        <v>3145</v>
      </c>
      <c r="H5894" s="2" t="s">
        <v>2459</v>
      </c>
      <c r="I5894" s="12" t="s">
        <v>96</v>
      </c>
      <c r="J5894" s="8">
        <f>+Tabla1[[#This Row],[FECHA ENTRADA]]</f>
        <v>45383</v>
      </c>
      <c r="K5894" s="8">
        <v>45555</v>
      </c>
      <c r="L5894" s="13">
        <f>_xlfn.DAYS(Tabla1[[#This Row],[FECHA FIN ]],Tabla1[[#This Row],[FECHA INICIO]])</f>
        <v>172</v>
      </c>
      <c r="M5894" s="12"/>
      <c r="N5894" s="12"/>
      <c r="O5894" s="12">
        <f>(Tabla1[[#This Row],[COSTO FIJO ]]/30)*Tabla1[[#This Row],[TOTAL DIAS PROYECTO]]+(Tabla1[[#This Row],[COSTO TEMPORAL]])</f>
        <v>0</v>
      </c>
      <c r="P5894" s="12"/>
      <c r="Q5894" s="12">
        <f>+(Tabla1[[#This Row],[COSTO COCHE]]/30)*Tabla1[[#This Row],[TOTAL DIAS PROYECTO]]</f>
        <v>0</v>
      </c>
      <c r="R5894" s="12">
        <f>+Tabla1[[#This Row],[COSTO TOTAL ALOJAMIENTO]]+Tabla1[[#This Row],[COSTO TOTAL COCHE]]</f>
        <v>0</v>
      </c>
      <c r="S5894" s="2"/>
      <c r="T5894" s="2" t="s">
        <v>44</v>
      </c>
      <c r="U5894" s="14">
        <v>45383</v>
      </c>
      <c r="V5894" s="14"/>
      <c r="W5894" s="15"/>
      <c r="X5894" s="16">
        <v>11</v>
      </c>
      <c r="Y5894" s="11" t="s">
        <v>8004</v>
      </c>
      <c r="Z5894" s="2" t="s">
        <v>36</v>
      </c>
      <c r="AA5894" s="13" t="s">
        <v>10336</v>
      </c>
      <c r="AB5894" s="13" t="s">
        <v>10337</v>
      </c>
    </row>
    <row r="5895" spans="1:28" ht="15" customHeight="1">
      <c r="A5895" s="117" t="s">
        <v>8642</v>
      </c>
      <c r="B5895" s="117" t="s">
        <v>978</v>
      </c>
      <c r="C5895" s="118" t="s">
        <v>7864</v>
      </c>
      <c r="D5895" s="117" t="s">
        <v>99</v>
      </c>
      <c r="E5895" s="117" t="s">
        <v>109</v>
      </c>
      <c r="F5895" s="101" t="s">
        <v>7979</v>
      </c>
      <c r="G5895" s="128" t="s">
        <v>7980</v>
      </c>
      <c r="H5895" s="117" t="s">
        <v>7860</v>
      </c>
      <c r="I5895" s="119" t="s">
        <v>4681</v>
      </c>
      <c r="J5895" s="120">
        <f>+Tabla1[[#This Row],[FECHA ENTRADA]]</f>
        <v>46217</v>
      </c>
      <c r="K5895" s="120">
        <v>46239</v>
      </c>
      <c r="L5895" s="122">
        <f>_xlfn.DAYS(Tabla1[[#This Row],[FECHA FIN ]],Tabla1[[#This Row],[FECHA INICIO]])</f>
        <v>22</v>
      </c>
      <c r="M5895" s="119">
        <f>2301.37/4</f>
        <v>575.34249999999997</v>
      </c>
      <c r="N5895" s="123"/>
      <c r="O5895" s="123">
        <f>(Tabla1[[#This Row],[COSTO FIJO ]]/30)*Tabla1[[#This Row],[TOTAL DIAS PROYECTO]]+(Tabla1[[#This Row],[COSTO TEMPORAL]])</f>
        <v>575.34249999999997</v>
      </c>
      <c r="P5895" s="119"/>
      <c r="Q5895" s="119">
        <f>+(Tabla1[[#This Row],[COSTO COCHE]]/30)*Tabla1[[#This Row],[TOTAL DIAS PROYECTO]]</f>
        <v>0</v>
      </c>
      <c r="R5895" s="119">
        <f>+Tabla1[[#This Row],[COSTO TOTAL ALOJAMIENTO]]+Tabla1[[#This Row],[COSTO TOTAL COCHE]]</f>
        <v>575.34249999999997</v>
      </c>
      <c r="S5895" s="117" t="s">
        <v>84</v>
      </c>
      <c r="T5895" s="124" t="s">
        <v>44</v>
      </c>
      <c r="U5895" s="124">
        <v>46217</v>
      </c>
      <c r="V5895" s="25">
        <v>46240</v>
      </c>
      <c r="W5895" s="119"/>
      <c r="X5895" s="117"/>
      <c r="Y5895" s="118" t="s">
        <v>7981</v>
      </c>
      <c r="Z5895" s="117" t="s">
        <v>36</v>
      </c>
      <c r="AA5895" s="127">
        <v>0.62217999999999996</v>
      </c>
      <c r="AB5895" s="127" t="s">
        <v>10339</v>
      </c>
    </row>
    <row r="5896" spans="1:28" ht="15" customHeight="1">
      <c r="A5896" s="2" t="s">
        <v>8952</v>
      </c>
      <c r="B5896" s="2" t="s">
        <v>28</v>
      </c>
      <c r="C5896" s="11" t="s">
        <v>1442</v>
      </c>
      <c r="D5896" s="2" t="s">
        <v>30</v>
      </c>
      <c r="E5896" s="2" t="s">
        <v>127</v>
      </c>
      <c r="F5896" s="11" t="s">
        <v>820</v>
      </c>
      <c r="G5896" s="21" t="s">
        <v>1234</v>
      </c>
      <c r="H5896" s="2" t="s">
        <v>1509</v>
      </c>
      <c r="I5896" s="12" t="s">
        <v>96</v>
      </c>
      <c r="J5896" s="22">
        <f>+Tabla1[[#This Row],[FECHA ENTRADA]]</f>
        <v>45700</v>
      </c>
      <c r="K5896" s="22">
        <v>45751</v>
      </c>
      <c r="L5896" s="23">
        <f>_xlfn.DAYS(Tabla1[[#This Row],[FECHA FIN ]],Tabla1[[#This Row],[FECHA INICIO]])</f>
        <v>51</v>
      </c>
      <c r="M5896" s="12"/>
      <c r="N5896" s="12">
        <f>1811.6/17</f>
        <v>106.56470588235294</v>
      </c>
      <c r="O5896" s="24">
        <f>(Tabla1[[#This Row],[COSTO FIJO ]]/30)*Tabla1[[#This Row],[TOTAL DIAS PROYECTO]]+(Tabla1[[#This Row],[COSTO TEMPORAL]])</f>
        <v>181.16</v>
      </c>
      <c r="P5896" s="12"/>
      <c r="Q5896" s="12">
        <f>+(Tabla1[[#This Row],[COSTO COCHE]]/30)*Tabla1[[#This Row],[TOTAL DIAS PROYECTO]]</f>
        <v>0</v>
      </c>
      <c r="R5896" s="12">
        <f>+Tabla1[[#This Row],[COSTO TOTAL ALOJAMIENTO]]+Tabla1[[#This Row],[COSTO TOTAL COCHE]]</f>
        <v>181.16</v>
      </c>
      <c r="S5896" s="2"/>
      <c r="T5896" s="2" t="s">
        <v>44</v>
      </c>
      <c r="U5896" s="14">
        <v>45700</v>
      </c>
      <c r="V5896" s="79">
        <v>45768</v>
      </c>
      <c r="W5896" s="26"/>
      <c r="X5896" s="2"/>
      <c r="Y5896" s="11"/>
      <c r="Z5896" s="2" t="s">
        <v>36</v>
      </c>
      <c r="AA5896" s="13" t="s">
        <v>10342</v>
      </c>
      <c r="AB5896" s="13" t="s">
        <v>10343</v>
      </c>
    </row>
    <row r="5897" spans="1:28" ht="15" customHeight="1">
      <c r="A5897" s="2" t="s">
        <v>8932</v>
      </c>
      <c r="B5897" s="157" t="s">
        <v>28</v>
      </c>
      <c r="C5897" s="104" t="s">
        <v>1331</v>
      </c>
      <c r="D5897" s="2" t="s">
        <v>30</v>
      </c>
      <c r="E5897" s="2" t="s">
        <v>127</v>
      </c>
      <c r="F5897" s="11" t="s">
        <v>820</v>
      </c>
      <c r="G5897" s="21" t="s">
        <v>1234</v>
      </c>
      <c r="H5897" s="2" t="s">
        <v>1509</v>
      </c>
      <c r="I5897" s="12" t="s">
        <v>96</v>
      </c>
      <c r="J5897" s="22">
        <f>+Tabla1[[#This Row],[FECHA ENTRADA]]</f>
        <v>45700</v>
      </c>
      <c r="K5897" s="22">
        <v>45738</v>
      </c>
      <c r="L5897" s="23">
        <f>_xlfn.DAYS(Tabla1[[#This Row],[FECHA FIN ]],Tabla1[[#This Row],[FECHA INICIO]])</f>
        <v>38</v>
      </c>
      <c r="M5897" s="12"/>
      <c r="N5897" s="12">
        <v>368.18181818181819</v>
      </c>
      <c r="O5897" s="24">
        <f>(Tabla1[[#This Row],[COSTO FIJO ]]/30)*Tabla1[[#This Row],[TOTAL DIAS PROYECTO]]+(Tabla1[[#This Row],[COSTO TEMPORAL]])</f>
        <v>466.36363636363637</v>
      </c>
      <c r="P5897" s="12"/>
      <c r="Q5897" s="12">
        <f>+(Tabla1[[#This Row],[COSTO COCHE]]/30)*Tabla1[[#This Row],[TOTAL DIAS PROYECTO]]</f>
        <v>0</v>
      </c>
      <c r="R5897" s="12">
        <f>+Tabla1[[#This Row],[COSTO TOTAL ALOJAMIENTO]]+Tabla1[[#This Row],[COSTO TOTAL COCHE]]</f>
        <v>466.36363636363637</v>
      </c>
      <c r="S5897" s="2"/>
      <c r="T5897" s="2" t="s">
        <v>44</v>
      </c>
      <c r="U5897" s="14">
        <v>45700</v>
      </c>
      <c r="V5897" s="79">
        <v>45738</v>
      </c>
      <c r="W5897" s="26"/>
      <c r="X5897" s="2"/>
      <c r="Y5897" s="11" t="s">
        <v>1166</v>
      </c>
      <c r="Z5897" s="2" t="s">
        <v>36</v>
      </c>
      <c r="AA5897" s="13" t="s">
        <v>10342</v>
      </c>
      <c r="AB5897" s="13" t="s">
        <v>10343</v>
      </c>
    </row>
    <row r="5898" spans="1:28" ht="15" customHeight="1">
      <c r="A5898" s="2" t="s">
        <v>8932</v>
      </c>
      <c r="B5898" s="2" t="s">
        <v>28</v>
      </c>
      <c r="C5898" s="104" t="s">
        <v>1331</v>
      </c>
      <c r="D5898" s="2" t="s">
        <v>30</v>
      </c>
      <c r="E5898" s="2" t="s">
        <v>127</v>
      </c>
      <c r="F5898" s="11"/>
      <c r="G5898" s="49"/>
      <c r="H5898" s="2" t="s">
        <v>1509</v>
      </c>
      <c r="I5898" s="12" t="s">
        <v>96</v>
      </c>
      <c r="J5898" s="22">
        <f>+Tabla1[[#This Row],[FECHA ENTRADA]]</f>
        <v>45738</v>
      </c>
      <c r="K5898" s="8">
        <v>45775</v>
      </c>
      <c r="L5898" s="23">
        <f>_xlfn.DAYS(Tabla1[[#This Row],[FECHA FIN ]],Tabla1[[#This Row],[FECHA INICIO]])</f>
        <v>37</v>
      </c>
      <c r="M5898" s="12"/>
      <c r="N5898" s="12"/>
      <c r="O5898" s="24">
        <f>(Tabla1[[#This Row],[COSTO FIJO ]]/30)*Tabla1[[#This Row],[TOTAL DIAS PROYECTO]]+(Tabla1[[#This Row],[COSTO TEMPORAL]])</f>
        <v>0</v>
      </c>
      <c r="P5898" s="12"/>
      <c r="Q5898" s="12">
        <f>+(Tabla1[[#This Row],[COSTO COCHE]]/30)*Tabla1[[#This Row],[TOTAL DIAS PROYECTO]]</f>
        <v>0</v>
      </c>
      <c r="R5898" s="12">
        <f>+Tabla1[[#This Row],[COSTO TOTAL ALOJAMIENTO]]+Tabla1[[#This Row],[COSTO TOTAL COCHE]]</f>
        <v>0</v>
      </c>
      <c r="S5898" s="2"/>
      <c r="T5898" s="2" t="s">
        <v>58</v>
      </c>
      <c r="U5898" s="14">
        <v>45738</v>
      </c>
      <c r="V5898" s="25"/>
      <c r="W5898" s="26"/>
      <c r="X5898" s="2"/>
      <c r="Y5898" s="106" t="s">
        <v>1510</v>
      </c>
      <c r="Z5898" s="2" t="s">
        <v>36</v>
      </c>
      <c r="AA5898" s="13" t="s">
        <v>10342</v>
      </c>
      <c r="AB5898" s="13" t="s">
        <v>10343</v>
      </c>
    </row>
    <row r="5899" spans="1:28" ht="15" customHeight="1">
      <c r="A5899" s="2" t="s">
        <v>10311</v>
      </c>
      <c r="B5899" s="2" t="s">
        <v>28</v>
      </c>
      <c r="C5899" s="11" t="s">
        <v>8005</v>
      </c>
      <c r="D5899" s="2" t="s">
        <v>30</v>
      </c>
      <c r="E5899" s="2" t="s">
        <v>92</v>
      </c>
      <c r="F5899" s="11" t="s">
        <v>585</v>
      </c>
      <c r="G5899" s="11" t="s">
        <v>94</v>
      </c>
      <c r="H5899" s="2" t="s">
        <v>586</v>
      </c>
      <c r="I5899" s="12" t="s">
        <v>96</v>
      </c>
      <c r="J5899" s="8">
        <f>+Tabla1[[#This Row],[FECHA ENTRADA]]</f>
        <v>45319</v>
      </c>
      <c r="K5899" s="8"/>
      <c r="L5899" s="13">
        <f>_xlfn.DAYS(Tabla1[[#This Row],[FECHA FIN ]],Tabla1[[#This Row],[FECHA INICIO]])</f>
        <v>-45319</v>
      </c>
      <c r="M5899" s="12"/>
      <c r="N5899" s="12"/>
      <c r="O5899" s="12">
        <f>(Tabla1[[#This Row],[COSTO FIJO ]]/30)*Tabla1[[#This Row],[TOTAL DIAS PROYECTO]]+(Tabla1[[#This Row],[COSTO TEMPORAL]])</f>
        <v>0</v>
      </c>
      <c r="P5899" s="12"/>
      <c r="Q5899" s="12">
        <f>+(Tabla1[[#This Row],[COSTO COCHE]]/30)*Tabla1[[#This Row],[TOTAL DIAS PROYECTO]]</f>
        <v>0</v>
      </c>
      <c r="R5899" s="12">
        <f>+Tabla1[[#This Row],[COSTO TOTAL ALOJAMIENTO]]+Tabla1[[#This Row],[COSTO TOTAL COCHE]]</f>
        <v>0</v>
      </c>
      <c r="S5899" s="2"/>
      <c r="T5899" s="2" t="s">
        <v>44</v>
      </c>
      <c r="U5899" s="14">
        <v>45319</v>
      </c>
      <c r="V5899" s="14"/>
      <c r="W5899" s="15"/>
      <c r="X5899" s="16">
        <v>28</v>
      </c>
      <c r="Y5899" s="11"/>
      <c r="Z5899" s="2" t="s">
        <v>36</v>
      </c>
      <c r="AA5899" s="13" t="s">
        <v>10336</v>
      </c>
      <c r="AB5899" s="13" t="s">
        <v>10337</v>
      </c>
    </row>
    <row r="5900" spans="1:28">
      <c r="A5900" s="2" t="s">
        <v>9028</v>
      </c>
      <c r="B5900" s="2" t="s">
        <v>606</v>
      </c>
      <c r="C5900" s="11" t="s">
        <v>1737</v>
      </c>
      <c r="D5900" s="2" t="s">
        <v>30</v>
      </c>
      <c r="E5900" s="2" t="s">
        <v>213</v>
      </c>
      <c r="F5900" s="11" t="s">
        <v>8006</v>
      </c>
      <c r="G5900" s="11"/>
      <c r="H5900" s="2" t="s">
        <v>1738</v>
      </c>
      <c r="I5900" s="12" t="s">
        <v>1043</v>
      </c>
      <c r="J5900" s="41">
        <f>+Tabla1[[#This Row],[FECHA ENTRADA]]</f>
        <v>46158</v>
      </c>
      <c r="K5900" s="22">
        <f ca="1">TODAY()</f>
        <v>46260</v>
      </c>
      <c r="L5900" s="42">
        <f ca="1">_xlfn.DAYS(Tabla1[[#This Row],[FECHA FIN ]],Tabla1[[#This Row],[FECHA INICIO]])</f>
        <v>102</v>
      </c>
      <c r="M5900" s="12"/>
      <c r="N5900" s="28">
        <v>300</v>
      </c>
      <c r="O5900" s="28">
        <f ca="1">(Tabla1[[#This Row],[COSTO FIJO ]]/30)*Tabla1[[#This Row],[TOTAL DIAS PROYECTO]]+(Tabla1[[#This Row],[COSTO TEMPORAL]])</f>
        <v>1020</v>
      </c>
      <c r="P5900" s="12"/>
      <c r="Q5900" s="12">
        <f ca="1">+(Tabla1[[#This Row],[COSTO COCHE]]/30)*Tabla1[[#This Row],[TOTAL DIAS PROYECTO]]</f>
        <v>0</v>
      </c>
      <c r="R5900" s="12">
        <f ca="1">+Tabla1[[#This Row],[COSTO TOTAL ALOJAMIENTO]]+Tabla1[[#This Row],[COSTO TOTAL COCHE]]</f>
        <v>1020</v>
      </c>
      <c r="S5900" s="2"/>
      <c r="T5900" s="14" t="s">
        <v>58</v>
      </c>
      <c r="U5900" s="14">
        <v>46158</v>
      </c>
      <c r="V5900" s="43"/>
      <c r="W5900" s="12"/>
      <c r="X5900" s="2"/>
      <c r="Y5900" s="136"/>
      <c r="Z5900" s="2" t="s">
        <v>702</v>
      </c>
      <c r="AA5900" s="13" t="s">
        <v>10349</v>
      </c>
      <c r="AB5900" s="13" t="s">
        <v>10350</v>
      </c>
    </row>
    <row r="5901" spans="1:28" ht="15" customHeight="1">
      <c r="A5901" s="2" t="s">
        <v>10312</v>
      </c>
      <c r="B5901" s="2" t="s">
        <v>28</v>
      </c>
      <c r="C5901" s="11" t="s">
        <v>8007</v>
      </c>
      <c r="D5901" s="2" t="s">
        <v>30</v>
      </c>
      <c r="E5901" s="2" t="s">
        <v>92</v>
      </c>
      <c r="F5901" s="11"/>
      <c r="G5901" s="11"/>
      <c r="H5901" s="2" t="s">
        <v>3084</v>
      </c>
      <c r="I5901" s="158" t="s">
        <v>96</v>
      </c>
      <c r="J5901" s="8">
        <f>+Tabla1[[#This Row],[FECHA ENTRADA]]</f>
        <v>45333</v>
      </c>
      <c r="K5901" s="8">
        <v>45551</v>
      </c>
      <c r="L5901" s="13">
        <f>_xlfn.DAYS(Tabla1[[#This Row],[FECHA FIN ]],Tabla1[[#This Row],[FECHA INICIO]])</f>
        <v>218</v>
      </c>
      <c r="M5901" s="12"/>
      <c r="N5901" s="12"/>
      <c r="O5901" s="12">
        <f>(Tabla1[[#This Row],[COSTO FIJO ]]/30)*Tabla1[[#This Row],[TOTAL DIAS PROYECTO]]+(Tabla1[[#This Row],[COSTO TEMPORAL]])</f>
        <v>0</v>
      </c>
      <c r="P5901" s="12"/>
      <c r="Q5901" s="12">
        <f>+(Tabla1[[#This Row],[COSTO COCHE]]/30)*Tabla1[[#This Row],[TOTAL DIAS PROYECTO]]</f>
        <v>0</v>
      </c>
      <c r="R5901" s="12">
        <f>+Tabla1[[#This Row],[COSTO TOTAL ALOJAMIENTO]]+Tabla1[[#This Row],[COSTO TOTAL COCHE]]</f>
        <v>0</v>
      </c>
      <c r="S5901" s="2"/>
      <c r="T5901" s="2" t="s">
        <v>58</v>
      </c>
      <c r="U5901" s="14">
        <v>45333</v>
      </c>
      <c r="V5901" s="14"/>
      <c r="W5901" s="15"/>
      <c r="X5901" s="16"/>
      <c r="Y5901" s="11" t="s">
        <v>8008</v>
      </c>
      <c r="Z5901" s="2" t="s">
        <v>36</v>
      </c>
      <c r="AA5901" s="13" t="s">
        <v>10336</v>
      </c>
      <c r="AB5901" s="13" t="s">
        <v>10337</v>
      </c>
    </row>
    <row r="5902" spans="1:28" ht="15" customHeight="1">
      <c r="A5902" s="2" t="s">
        <v>9966</v>
      </c>
      <c r="B5902" s="2" t="s">
        <v>711</v>
      </c>
      <c r="C5902" s="31" t="s">
        <v>5750</v>
      </c>
      <c r="D5902" s="2" t="s">
        <v>99</v>
      </c>
      <c r="E5902" s="2" t="s">
        <v>213</v>
      </c>
      <c r="F5902" s="11" t="s">
        <v>7991</v>
      </c>
      <c r="G5902" s="197" t="s">
        <v>558</v>
      </c>
      <c r="H5902" s="2" t="s">
        <v>5130</v>
      </c>
      <c r="I5902" s="10" t="s">
        <v>4464</v>
      </c>
      <c r="J5902" s="41">
        <f>+Tabla1[[#This Row],[FECHA ENTRADA]]</f>
        <v>46184</v>
      </c>
      <c r="K5902" s="22">
        <v>46240</v>
      </c>
      <c r="L5902" s="42">
        <f>_xlfn.DAYS(Tabla1[[#This Row],[FECHA FIN ]],Tabla1[[#This Row],[FECHA INICIO]])</f>
        <v>56</v>
      </c>
      <c r="M5902" s="12"/>
      <c r="N5902" s="28">
        <v>500</v>
      </c>
      <c r="O5902" s="28">
        <f>(Tabla1[[#This Row],[COSTO FIJO ]]/30)*Tabla1[[#This Row],[TOTAL DIAS PROYECTO]]+(Tabla1[[#This Row],[COSTO TEMPORAL]])</f>
        <v>933.33333333333337</v>
      </c>
      <c r="P5902" s="12"/>
      <c r="Q5902" s="12">
        <f>+(Tabla1[[#This Row],[COSTO COCHE]]/30)*Tabla1[[#This Row],[TOTAL DIAS PROYECTO]]</f>
        <v>0</v>
      </c>
      <c r="R5902" s="12">
        <f>+Tabla1[[#This Row],[COSTO TOTAL ALOJAMIENTO]]+Tabla1[[#This Row],[COSTO TOTAL COCHE]]</f>
        <v>933.33333333333337</v>
      </c>
      <c r="S5902" s="2"/>
      <c r="T5902" s="14" t="s">
        <v>35</v>
      </c>
      <c r="U5902" s="14">
        <v>46184</v>
      </c>
      <c r="V5902" s="43"/>
      <c r="W5902" s="12"/>
      <c r="X5902" s="2">
        <v>10</v>
      </c>
      <c r="Y5902" s="11" t="s">
        <v>8009</v>
      </c>
      <c r="Z5902" s="2" t="s">
        <v>36</v>
      </c>
      <c r="AA5902" s="13" t="s">
        <v>10349</v>
      </c>
      <c r="AB5902" s="13" t="s">
        <v>10350</v>
      </c>
    </row>
    <row r="5903" spans="1:28" ht="15" customHeight="1">
      <c r="A5903" s="2" t="s">
        <v>10312</v>
      </c>
      <c r="B5903" s="2" t="s">
        <v>28</v>
      </c>
      <c r="C5903" s="104" t="s">
        <v>8007</v>
      </c>
      <c r="D5903" s="2" t="s">
        <v>30</v>
      </c>
      <c r="E5903" s="2" t="s">
        <v>1404</v>
      </c>
      <c r="F5903" s="11" t="s">
        <v>5396</v>
      </c>
      <c r="G5903" s="11" t="s">
        <v>5397</v>
      </c>
      <c r="H5903" s="2" t="s">
        <v>5398</v>
      </c>
      <c r="I5903" s="12" t="s">
        <v>96</v>
      </c>
      <c r="J5903" s="8">
        <f>+Tabla1[[#This Row],[FECHA ENTRADA]]</f>
        <v>45587</v>
      </c>
      <c r="K5903" s="8">
        <v>45646</v>
      </c>
      <c r="L5903" s="13">
        <f>_xlfn.DAYS(Tabla1[[#This Row],[FECHA FIN ]],Tabla1[[#This Row],[FECHA INICIO]])</f>
        <v>59</v>
      </c>
      <c r="M5903" s="12"/>
      <c r="N5903" s="12"/>
      <c r="O5903" s="12">
        <f>(Tabla1[[#This Row],[COSTO FIJO ]]/30)*Tabla1[[#This Row],[TOTAL DIAS PROYECTO]]+(Tabla1[[#This Row],[COSTO TEMPORAL]])</f>
        <v>0</v>
      </c>
      <c r="P5903" s="12">
        <f>+(784.73*50%)/4</f>
        <v>98.091250000000002</v>
      </c>
      <c r="Q5903" s="12">
        <f>+(Tabla1[[#This Row],[COSTO COCHE]]/30)*Tabla1[[#This Row],[TOTAL DIAS PROYECTO]]</f>
        <v>192.91279166666666</v>
      </c>
      <c r="R5903" s="12">
        <f>+Tabla1[[#This Row],[COSTO TOTAL ALOJAMIENTO]]+Tabla1[[#This Row],[COSTO TOTAL COCHE]]</f>
        <v>192.91279166666666</v>
      </c>
      <c r="S5903" s="2"/>
      <c r="T5903" s="2" t="s">
        <v>44</v>
      </c>
      <c r="U5903" s="14">
        <v>45587</v>
      </c>
      <c r="V5903" s="14">
        <v>45654</v>
      </c>
      <c r="W5903" s="15"/>
      <c r="X5903" s="16"/>
      <c r="Y5903" s="11" t="s">
        <v>7101</v>
      </c>
      <c r="Z5903" s="2" t="s">
        <v>36</v>
      </c>
      <c r="AA5903" s="13" t="s">
        <v>10418</v>
      </c>
      <c r="AB5903" s="13" t="s">
        <v>10419</v>
      </c>
    </row>
    <row r="5904" spans="1:28" ht="15" customHeight="1">
      <c r="A5904" s="2" t="s">
        <v>10312</v>
      </c>
      <c r="B5904" s="2" t="s">
        <v>28</v>
      </c>
      <c r="C5904" s="11" t="s">
        <v>8007</v>
      </c>
      <c r="D5904" s="2" t="s">
        <v>30</v>
      </c>
      <c r="E5904" s="2" t="s">
        <v>92</v>
      </c>
      <c r="F5904" s="11"/>
      <c r="G5904" s="49"/>
      <c r="H5904" s="2" t="s">
        <v>5506</v>
      </c>
      <c r="I5904" s="12" t="s">
        <v>96</v>
      </c>
      <c r="J5904" s="22">
        <f>+Tabla1[[#This Row],[FECHA ENTRADA]]</f>
        <v>45664</v>
      </c>
      <c r="K5904" s="8">
        <v>45675</v>
      </c>
      <c r="L5904" s="23">
        <f>_xlfn.DAYS(Tabla1[[#This Row],[FECHA FIN ]],Tabla1[[#This Row],[FECHA INICIO]])</f>
        <v>11</v>
      </c>
      <c r="M5904" s="12"/>
      <c r="N5904" s="12">
        <f>1811.6/17</f>
        <v>106.56470588235294</v>
      </c>
      <c r="O5904" s="24">
        <f>(Tabla1[[#This Row],[COSTO FIJO ]]/30)*Tabla1[[#This Row],[TOTAL DIAS PROYECTO]]+(Tabla1[[#This Row],[COSTO TEMPORAL]])</f>
        <v>39.073725490196082</v>
      </c>
      <c r="P5904" s="12"/>
      <c r="Q5904" s="12">
        <f>+(Tabla1[[#This Row],[COSTO COCHE]]/30)*Tabla1[[#This Row],[TOTAL DIAS PROYECTO]]</f>
        <v>0</v>
      </c>
      <c r="R5904" s="12">
        <f>+Tabla1[[#This Row],[COSTO TOTAL ALOJAMIENTO]]+Tabla1[[#This Row],[COSTO TOTAL COCHE]]</f>
        <v>39.073725490196082</v>
      </c>
      <c r="S5904" s="2"/>
      <c r="T5904" s="2" t="s">
        <v>58</v>
      </c>
      <c r="U5904" s="14">
        <v>45664</v>
      </c>
      <c r="V5904" s="43"/>
      <c r="W5904" s="26"/>
      <c r="X5904" s="2"/>
      <c r="Y5904" s="11" t="s">
        <v>8010</v>
      </c>
      <c r="Z5904" s="2" t="s">
        <v>36</v>
      </c>
      <c r="AA5904" s="13" t="s">
        <v>10336</v>
      </c>
      <c r="AB5904" s="13" t="s">
        <v>10337</v>
      </c>
    </row>
    <row r="5905" spans="1:28" ht="15" customHeight="1">
      <c r="A5905" s="2" t="s">
        <v>10312</v>
      </c>
      <c r="B5905" s="2" t="s">
        <v>28</v>
      </c>
      <c r="C5905" s="322" t="s">
        <v>8007</v>
      </c>
      <c r="D5905" s="2" t="s">
        <v>30</v>
      </c>
      <c r="E5905" s="2" t="s">
        <v>92</v>
      </c>
      <c r="F5905" s="11"/>
      <c r="G5905" s="46"/>
      <c r="H5905" s="2" t="s">
        <v>8011</v>
      </c>
      <c r="I5905" s="12" t="s">
        <v>96</v>
      </c>
      <c r="J5905" s="41">
        <f>+Tabla1[[#This Row],[FECHA ENTRADA]]</f>
        <v>45677</v>
      </c>
      <c r="K5905" s="22">
        <v>45742</v>
      </c>
      <c r="L5905" s="42">
        <f>_xlfn.DAYS(Tabla1[[#This Row],[FECHA FIN ]],Tabla1[[#This Row],[FECHA INICIO]])</f>
        <v>65</v>
      </c>
      <c r="M5905" s="12"/>
      <c r="N5905" s="12"/>
      <c r="O5905" s="28">
        <f>(Tabla1[[#This Row],[COSTO FIJO ]]/30)*Tabla1[[#This Row],[TOTAL DIAS PROYECTO]]+(Tabla1[[#This Row],[COSTO TEMPORAL]])</f>
        <v>0</v>
      </c>
      <c r="P5905" s="12"/>
      <c r="Q5905" s="12">
        <f>+(Tabla1[[#This Row],[COSTO COCHE]]/30)*Tabla1[[#This Row],[TOTAL DIAS PROYECTO]]</f>
        <v>0</v>
      </c>
      <c r="R5905" s="12">
        <f>+Tabla1[[#This Row],[COSTO TOTAL ALOJAMIENTO]]+Tabla1[[#This Row],[COSTO TOTAL COCHE]]</f>
        <v>0</v>
      </c>
      <c r="S5905" s="2"/>
      <c r="T5905" s="2" t="s">
        <v>35</v>
      </c>
      <c r="U5905" s="14">
        <v>45677</v>
      </c>
      <c r="V5905" s="43"/>
      <c r="W5905" s="26"/>
      <c r="X5905" s="2"/>
      <c r="Y5905" s="11" t="s">
        <v>8012</v>
      </c>
      <c r="Z5905" s="116" t="s">
        <v>36</v>
      </c>
      <c r="AA5905" s="13" t="s">
        <v>10336</v>
      </c>
      <c r="AB5905" s="13" t="s">
        <v>10337</v>
      </c>
    </row>
    <row r="5906" spans="1:28" ht="15" customHeight="1">
      <c r="A5906" s="2" t="s">
        <v>9352</v>
      </c>
      <c r="B5906" s="2" t="s">
        <v>978</v>
      </c>
      <c r="C5906" s="31" t="s">
        <v>2915</v>
      </c>
      <c r="D5906" s="2" t="s">
        <v>30</v>
      </c>
      <c r="E5906" s="2" t="s">
        <v>380</v>
      </c>
      <c r="F5906" s="133" t="s">
        <v>5246</v>
      </c>
      <c r="G5906" s="49" t="s">
        <v>2237</v>
      </c>
      <c r="H5906" s="2" t="s">
        <v>7594</v>
      </c>
      <c r="I5906" s="12" t="s">
        <v>5328</v>
      </c>
      <c r="J5906" s="22">
        <f>+Tabla1[[#This Row],[FECHA ENTRADA]]</f>
        <v>45867</v>
      </c>
      <c r="K5906" s="22">
        <v>46236</v>
      </c>
      <c r="L5906" s="23">
        <f>_xlfn.DAYS(Tabla1[[#This Row],[FECHA FIN ]],Tabla1[[#This Row],[FECHA INICIO]])</f>
        <v>369</v>
      </c>
      <c r="M5906" s="12"/>
      <c r="N5906" s="24">
        <v>533.33333333333337</v>
      </c>
      <c r="O5906" s="24">
        <f>(Tabla1[[#This Row],[COSTO FIJO ]]/30)*Tabla1[[#This Row],[TOTAL DIAS PROYECTO]]+(Tabla1[[#This Row],[COSTO TEMPORAL]])</f>
        <v>6560</v>
      </c>
      <c r="P5906" s="12"/>
      <c r="Q5906" s="12">
        <f>+(Tabla1[[#This Row],[COSTO COCHE]]/30)*Tabla1[[#This Row],[TOTAL DIAS PROYECTO]]</f>
        <v>0</v>
      </c>
      <c r="R5906" s="12">
        <f>+Tabla1[[#This Row],[COSTO TOTAL ALOJAMIENTO]]+Tabla1[[#This Row],[COSTO TOTAL COCHE]]</f>
        <v>6560</v>
      </c>
      <c r="S5906" s="2"/>
      <c r="T5906" s="14" t="s">
        <v>35</v>
      </c>
      <c r="U5906" s="14">
        <v>45867</v>
      </c>
      <c r="V5906" s="25"/>
      <c r="W5906" s="12">
        <v>1200</v>
      </c>
      <c r="X5906" s="2">
        <v>17</v>
      </c>
      <c r="Y5906" s="30" t="s">
        <v>7950</v>
      </c>
      <c r="Z5906" s="2" t="s">
        <v>36</v>
      </c>
      <c r="AA5906" s="13" t="s">
        <v>10370</v>
      </c>
      <c r="AB5906" s="13" t="s">
        <v>10371</v>
      </c>
    </row>
    <row r="5907" spans="1:28" ht="15" customHeight="1">
      <c r="A5907" s="2" t="s">
        <v>9693</v>
      </c>
      <c r="B5907" s="2" t="s">
        <v>28</v>
      </c>
      <c r="C5907" s="322" t="s">
        <v>4272</v>
      </c>
      <c r="D5907" s="2" t="s">
        <v>30</v>
      </c>
      <c r="E5907" s="2" t="s">
        <v>359</v>
      </c>
      <c r="F5907" s="11" t="s">
        <v>6821</v>
      </c>
      <c r="G5907" s="46" t="s">
        <v>3326</v>
      </c>
      <c r="H5907" s="2" t="s">
        <v>3327</v>
      </c>
      <c r="I5907" s="12" t="s">
        <v>96</v>
      </c>
      <c r="J5907" s="41">
        <f>+Tabla1[[#This Row],[FECHA ENTRADA]]</f>
        <v>45690</v>
      </c>
      <c r="K5907" s="41">
        <v>45710</v>
      </c>
      <c r="L5907" s="42">
        <f>_xlfn.DAYS(Tabla1[[#This Row],[FECHA FIN ]],Tabla1[[#This Row],[FECHA INICIO]])</f>
        <v>20</v>
      </c>
      <c r="M5907" s="12"/>
      <c r="N5907" s="12">
        <v>330</v>
      </c>
      <c r="O5907" s="28">
        <f>(Tabla1[[#This Row],[COSTO FIJO ]]/30)*Tabla1[[#This Row],[TOTAL DIAS PROYECTO]]+(Tabla1[[#This Row],[COSTO TEMPORAL]])</f>
        <v>220</v>
      </c>
      <c r="P5907" s="12"/>
      <c r="Q5907" s="12">
        <f>+(Tabla1[[#This Row],[COSTO COCHE]]/30)*Tabla1[[#This Row],[TOTAL DIAS PROYECTO]]</f>
        <v>0</v>
      </c>
      <c r="R5907" s="12">
        <f>+Tabla1[[#This Row],[COSTO TOTAL ALOJAMIENTO]]+Tabla1[[#This Row],[COSTO TOTAL COCHE]]</f>
        <v>220</v>
      </c>
      <c r="S5907" s="2"/>
      <c r="T5907" s="2" t="s">
        <v>44</v>
      </c>
      <c r="U5907" s="14">
        <v>45690</v>
      </c>
      <c r="V5907" s="79">
        <v>45710</v>
      </c>
      <c r="W5907" s="26"/>
      <c r="X5907" s="2">
        <v>1</v>
      </c>
      <c r="Y5907" s="11" t="s">
        <v>1120</v>
      </c>
      <c r="Z5907" s="2" t="s">
        <v>36</v>
      </c>
      <c r="AA5907" s="13" t="s">
        <v>10367</v>
      </c>
      <c r="AB5907" s="13">
        <v>3899424</v>
      </c>
    </row>
    <row r="5908" spans="1:28">
      <c r="A5908" s="2" t="s">
        <v>10265</v>
      </c>
      <c r="B5908" s="2" t="s">
        <v>606</v>
      </c>
      <c r="C5908" s="322" t="s">
        <v>7617</v>
      </c>
      <c r="D5908" s="2" t="s">
        <v>161</v>
      </c>
      <c r="E5908" s="2" t="s">
        <v>8013</v>
      </c>
      <c r="F5908" s="11"/>
      <c r="G5908" s="21"/>
      <c r="H5908" s="2" t="s">
        <v>8014</v>
      </c>
      <c r="I5908" s="12" t="s">
        <v>1415</v>
      </c>
      <c r="J5908" s="22">
        <f>+Tabla1[[#This Row],[FECHA ENTRADA]]</f>
        <v>46195</v>
      </c>
      <c r="K5908" s="22">
        <v>46197</v>
      </c>
      <c r="L5908" s="23">
        <f>_xlfn.DAYS(Tabla1[[#This Row],[FECHA FIN ]],Tabla1[[#This Row],[FECHA INICIO]])</f>
        <v>2</v>
      </c>
      <c r="M5908" s="12"/>
      <c r="N5908" s="20">
        <v>0</v>
      </c>
      <c r="O5908" s="24">
        <f>(Tabla1[[#This Row],[COSTO FIJO ]]/30)*Tabla1[[#This Row],[TOTAL DIAS PROYECTO]]+(Tabla1[[#This Row],[COSTO TEMPORAL]])</f>
        <v>0</v>
      </c>
      <c r="P5908" s="12"/>
      <c r="Q5908" s="12">
        <f>+(Tabla1[[#This Row],[COSTO COCHE]]/30)*Tabla1[[#This Row],[TOTAL DIAS PROYECTO]]</f>
        <v>0</v>
      </c>
      <c r="R5908" s="12">
        <f>+Tabla1[[#This Row],[COSTO TOTAL ALOJAMIENTO]]+Tabla1[[#This Row],[COSTO TOTAL COCHE]]</f>
        <v>0</v>
      </c>
      <c r="S5908" s="2"/>
      <c r="T5908" s="14" t="s">
        <v>35</v>
      </c>
      <c r="U5908" s="14">
        <v>46195</v>
      </c>
      <c r="V5908" s="79"/>
      <c r="W5908" s="12"/>
      <c r="X5908" s="2"/>
      <c r="Y5908" s="11" t="s">
        <v>8015</v>
      </c>
      <c r="Z5908" s="2" t="s">
        <v>36</v>
      </c>
      <c r="AA5908" s="13" t="e">
        <v>#N/A</v>
      </c>
      <c r="AB5908" s="13" t="e">
        <v>#N/A</v>
      </c>
    </row>
    <row r="5909" spans="1:28">
      <c r="A5909" s="2" t="s">
        <v>10243</v>
      </c>
      <c r="B5909" s="2" t="s">
        <v>606</v>
      </c>
      <c r="C5909" s="11" t="s">
        <v>7406</v>
      </c>
      <c r="D5909" s="2" t="s">
        <v>30</v>
      </c>
      <c r="E5909" s="2" t="s">
        <v>213</v>
      </c>
      <c r="F5909" s="11" t="s">
        <v>8016</v>
      </c>
      <c r="G5909" s="21">
        <v>649611915</v>
      </c>
      <c r="H5909" s="2" t="s">
        <v>7896</v>
      </c>
      <c r="I5909" s="10" t="s">
        <v>3364</v>
      </c>
      <c r="J5909" s="22">
        <f>+Tabla1[[#This Row],[FECHA ENTRADA]]</f>
        <v>46197</v>
      </c>
      <c r="K5909" s="22">
        <v>46198</v>
      </c>
      <c r="L5909" s="23">
        <f>_xlfn.DAYS(Tabla1[[#This Row],[FECHA FIN ]],Tabla1[[#This Row],[FECHA INICIO]])</f>
        <v>1</v>
      </c>
      <c r="M5909" s="12">
        <v>82.5</v>
      </c>
      <c r="N5909" s="20"/>
      <c r="O5909" s="24">
        <f>(Tabla1[[#This Row],[COSTO FIJO ]]/30)*Tabla1[[#This Row],[TOTAL DIAS PROYECTO]]+(Tabla1[[#This Row],[COSTO TEMPORAL]])</f>
        <v>82.5</v>
      </c>
      <c r="P5909" s="12"/>
      <c r="Q5909" s="12">
        <f>+(Tabla1[[#This Row],[COSTO COCHE]]/30)*Tabla1[[#This Row],[TOTAL DIAS PROYECTO]]</f>
        <v>0</v>
      </c>
      <c r="R5909" s="12">
        <f>+Tabla1[[#This Row],[COSTO TOTAL ALOJAMIENTO]]+Tabla1[[#This Row],[COSTO TOTAL COCHE]]</f>
        <v>82.5</v>
      </c>
      <c r="S5909" s="2"/>
      <c r="T5909" s="14" t="s">
        <v>44</v>
      </c>
      <c r="U5909" s="14">
        <v>46197</v>
      </c>
      <c r="V5909" s="79">
        <v>46199</v>
      </c>
      <c r="W5909" s="12"/>
      <c r="X5909" s="2"/>
      <c r="Y5909" s="11" t="s">
        <v>8017</v>
      </c>
      <c r="Z5909" s="2" t="s">
        <v>36</v>
      </c>
      <c r="AA5909" s="13" t="s">
        <v>10349</v>
      </c>
      <c r="AB5909" s="13" t="s">
        <v>10350</v>
      </c>
    </row>
    <row r="5910" spans="1:28">
      <c r="A5910" s="2" t="s">
        <v>9774</v>
      </c>
      <c r="B5910" s="2" t="s">
        <v>606</v>
      </c>
      <c r="C5910" s="11" t="s">
        <v>4676</v>
      </c>
      <c r="D5910" s="2" t="s">
        <v>30</v>
      </c>
      <c r="E5910" s="2" t="s">
        <v>213</v>
      </c>
      <c r="F5910" s="11" t="s">
        <v>8016</v>
      </c>
      <c r="G5910" s="21">
        <v>649611915</v>
      </c>
      <c r="H5910" s="2" t="s">
        <v>7896</v>
      </c>
      <c r="I5910" s="10" t="s">
        <v>3364</v>
      </c>
      <c r="J5910" s="22">
        <f>+Tabla1[[#This Row],[FECHA ENTRADA]]</f>
        <v>46197</v>
      </c>
      <c r="K5910" s="22">
        <v>46198</v>
      </c>
      <c r="L5910" s="23">
        <f>_xlfn.DAYS(Tabla1[[#This Row],[FECHA FIN ]],Tabla1[[#This Row],[FECHA INICIO]])</f>
        <v>1</v>
      </c>
      <c r="M5910" s="12">
        <v>82.5</v>
      </c>
      <c r="N5910" s="20"/>
      <c r="O5910" s="24">
        <f>(Tabla1[[#This Row],[COSTO FIJO ]]/30)*Tabla1[[#This Row],[TOTAL DIAS PROYECTO]]+(Tabla1[[#This Row],[COSTO TEMPORAL]])</f>
        <v>82.5</v>
      </c>
      <c r="P5910" s="12"/>
      <c r="Q5910" s="12">
        <f>+(Tabla1[[#This Row],[COSTO COCHE]]/30)*Tabla1[[#This Row],[TOTAL DIAS PROYECTO]]</f>
        <v>0</v>
      </c>
      <c r="R5910" s="12">
        <f>+Tabla1[[#This Row],[COSTO TOTAL ALOJAMIENTO]]+Tabla1[[#This Row],[COSTO TOTAL COCHE]]</f>
        <v>82.5</v>
      </c>
      <c r="S5910" s="2"/>
      <c r="T5910" s="14" t="s">
        <v>44</v>
      </c>
      <c r="U5910" s="14">
        <v>46197</v>
      </c>
      <c r="V5910" s="79">
        <v>46199</v>
      </c>
      <c r="W5910" s="12"/>
      <c r="X5910" s="2"/>
      <c r="Y5910" s="11" t="s">
        <v>8017</v>
      </c>
      <c r="Z5910" s="2" t="s">
        <v>36</v>
      </c>
      <c r="AA5910" s="13" t="s">
        <v>10349</v>
      </c>
      <c r="AB5910" s="13" t="s">
        <v>10350</v>
      </c>
    </row>
    <row r="5911" spans="1:28" ht="15" customHeight="1">
      <c r="A5911" s="2" t="s">
        <v>9336</v>
      </c>
      <c r="B5911" s="11" t="s">
        <v>3133</v>
      </c>
      <c r="C5911" s="31" t="s">
        <v>2850</v>
      </c>
      <c r="D5911" s="2" t="s">
        <v>30</v>
      </c>
      <c r="E5911" s="2" t="s">
        <v>1393</v>
      </c>
      <c r="F5911" s="11" t="s">
        <v>5124</v>
      </c>
      <c r="G5911" s="21" t="s">
        <v>7873</v>
      </c>
      <c r="H5911" s="2" t="s">
        <v>7960</v>
      </c>
      <c r="I5911" s="12" t="s">
        <v>7961</v>
      </c>
      <c r="J5911" s="22">
        <f>+Tabla1[[#This Row],[FECHA ENTRADA]]</f>
        <v>46196</v>
      </c>
      <c r="K5911" s="8">
        <v>46205</v>
      </c>
      <c r="L5911" s="23">
        <f>_xlfn.DAYS(Tabla1[[#This Row],[FECHA FIN ]],Tabla1[[#This Row],[FECHA INICIO]])</f>
        <v>9</v>
      </c>
      <c r="M5911" s="12">
        <v>383.16666666666669</v>
      </c>
      <c r="N5911" s="20"/>
      <c r="O5911" s="24">
        <f>(Tabla1[[#This Row],[COSTO FIJO ]]/30)*Tabla1[[#This Row],[TOTAL DIAS PROYECTO]]+(Tabla1[[#This Row],[COSTO TEMPORAL]])</f>
        <v>383.16666666666669</v>
      </c>
      <c r="P5911" s="12"/>
      <c r="Q5911" s="12">
        <f>+(Tabla1[[#This Row],[COSTO COCHE]]/30)*Tabla1[[#This Row],[TOTAL DIAS PROYECTO]]</f>
        <v>0</v>
      </c>
      <c r="R5911" s="12">
        <f>+Tabla1[[#This Row],[COSTO TOTAL ALOJAMIENTO]]+Tabla1[[#This Row],[COSTO TOTAL COCHE]]</f>
        <v>383.16666666666669</v>
      </c>
      <c r="S5911" s="2"/>
      <c r="T5911" s="14" t="s">
        <v>44</v>
      </c>
      <c r="U5911" s="14">
        <v>46196</v>
      </c>
      <c r="V5911" s="79">
        <v>46226</v>
      </c>
      <c r="W5911" s="12"/>
      <c r="X5911" s="2"/>
      <c r="Y5911" s="11" t="s">
        <v>8018</v>
      </c>
      <c r="Z5911" s="2" t="s">
        <v>36</v>
      </c>
      <c r="AA5911" s="13" t="s">
        <v>10416</v>
      </c>
      <c r="AB5911" s="13" t="s">
        <v>10417</v>
      </c>
    </row>
    <row r="5912" spans="1:28" ht="15" customHeight="1">
      <c r="A5912" s="2" t="s">
        <v>9693</v>
      </c>
      <c r="B5912" s="2" t="s">
        <v>28</v>
      </c>
      <c r="C5912" s="11" t="s">
        <v>4272</v>
      </c>
      <c r="D5912" s="2" t="s">
        <v>30</v>
      </c>
      <c r="E5912" s="2" t="s">
        <v>359</v>
      </c>
      <c r="F5912" s="11" t="s">
        <v>494</v>
      </c>
      <c r="G5912" s="49" t="s">
        <v>495</v>
      </c>
      <c r="H5912" s="2" t="s">
        <v>3327</v>
      </c>
      <c r="I5912" s="12" t="s">
        <v>96</v>
      </c>
      <c r="J5912" s="41">
        <f>+Tabla1[[#This Row],[FECHA ENTRADA]]</f>
        <v>45716</v>
      </c>
      <c r="K5912" s="41">
        <v>45792</v>
      </c>
      <c r="L5912" s="42">
        <f>_xlfn.DAYS(Tabla1[[#This Row],[FECHA FIN ]],Tabla1[[#This Row],[FECHA INICIO]])</f>
        <v>76</v>
      </c>
      <c r="M5912" s="12"/>
      <c r="N5912" s="12">
        <v>170</v>
      </c>
      <c r="O5912" s="28">
        <f>(Tabla1[[#This Row],[COSTO FIJO ]]/30)*Tabla1[[#This Row],[TOTAL DIAS PROYECTO]]+(Tabla1[[#This Row],[COSTO TEMPORAL]])</f>
        <v>430.66666666666669</v>
      </c>
      <c r="P5912" s="12"/>
      <c r="Q5912" s="12">
        <f>+(Tabla1[[#This Row],[COSTO COCHE]]/30)*Tabla1[[#This Row],[TOTAL DIAS PROYECTO]]</f>
        <v>0</v>
      </c>
      <c r="R5912" s="12">
        <f>+Tabla1[[#This Row],[COSTO TOTAL ALOJAMIENTO]]+Tabla1[[#This Row],[COSTO TOTAL COCHE]]</f>
        <v>430.66666666666669</v>
      </c>
      <c r="S5912" s="2"/>
      <c r="T5912" s="2" t="s">
        <v>35</v>
      </c>
      <c r="U5912" s="14">
        <v>45716</v>
      </c>
      <c r="V5912" s="43"/>
      <c r="W5912" s="26"/>
      <c r="X5912" s="2">
        <v>1</v>
      </c>
      <c r="Y5912" s="11"/>
      <c r="Z5912" s="2" t="s">
        <v>36</v>
      </c>
      <c r="AA5912" s="13" t="s">
        <v>10367</v>
      </c>
      <c r="AB5912" s="13">
        <v>3899424</v>
      </c>
    </row>
    <row r="5913" spans="1:28" ht="15" customHeight="1">
      <c r="A5913" s="2" t="s">
        <v>10031</v>
      </c>
      <c r="B5913" s="2" t="s">
        <v>606</v>
      </c>
      <c r="C5913" s="69" t="s">
        <v>5995</v>
      </c>
      <c r="D5913" s="2" t="s">
        <v>99</v>
      </c>
      <c r="E5913" s="2" t="s">
        <v>109</v>
      </c>
      <c r="F5913" s="11" t="s">
        <v>1980</v>
      </c>
      <c r="G5913" s="49" t="s">
        <v>1981</v>
      </c>
      <c r="H5913" s="2" t="s">
        <v>8019</v>
      </c>
      <c r="I5913" s="12" t="s">
        <v>4420</v>
      </c>
      <c r="J5913" s="22">
        <f>+Tabla1[[#This Row],[FECHA ENTRADA]]</f>
        <v>46048</v>
      </c>
      <c r="K5913" s="22">
        <v>46235</v>
      </c>
      <c r="L5913" s="23">
        <f>_xlfn.DAYS(Tabla1[[#This Row],[FECHA FIN ]],Tabla1[[#This Row],[FECHA INICIO]])</f>
        <v>187</v>
      </c>
      <c r="M5913" s="12"/>
      <c r="N5913" s="20">
        <v>325</v>
      </c>
      <c r="O5913" s="24">
        <f>(Tabla1[[#This Row],[COSTO FIJO ]]/30)*Tabla1[[#This Row],[TOTAL DIAS PROYECTO]]+(Tabla1[[#This Row],[COSTO TEMPORAL]])</f>
        <v>2025.8333333333335</v>
      </c>
      <c r="P5913" s="12"/>
      <c r="Q5913" s="12">
        <f>+(Tabla1[[#This Row],[COSTO COCHE]]/30)*Tabla1[[#This Row],[TOTAL DIAS PROYECTO]]</f>
        <v>0</v>
      </c>
      <c r="R5913" s="12">
        <f>+Tabla1[[#This Row],[COSTO TOTAL ALOJAMIENTO]]+Tabla1[[#This Row],[COSTO TOTAL COCHE]]</f>
        <v>2025.8333333333335</v>
      </c>
      <c r="S5913" s="2"/>
      <c r="T5913" s="14" t="s">
        <v>35</v>
      </c>
      <c r="U5913" s="14">
        <v>46048</v>
      </c>
      <c r="V5913" s="79">
        <v>46079</v>
      </c>
      <c r="W5913" s="12"/>
      <c r="X5913" s="2">
        <v>20</v>
      </c>
      <c r="Y5913" s="11" t="s">
        <v>8020</v>
      </c>
      <c r="Z5913" s="2" t="s">
        <v>36</v>
      </c>
      <c r="AA5913" s="13">
        <v>0.62217999999999996</v>
      </c>
      <c r="AB5913" s="13" t="s">
        <v>10339</v>
      </c>
    </row>
    <row r="5914" spans="1:28" ht="15" customHeight="1">
      <c r="A5914" s="2" t="s">
        <v>10102</v>
      </c>
      <c r="B5914" s="2" t="s">
        <v>978</v>
      </c>
      <c r="C5914" s="11" t="s">
        <v>6397</v>
      </c>
      <c r="D5914" s="2" t="s">
        <v>99</v>
      </c>
      <c r="E5914" s="2" t="s">
        <v>380</v>
      </c>
      <c r="F5914" s="133" t="s">
        <v>5246</v>
      </c>
      <c r="G5914" s="49" t="s">
        <v>2237</v>
      </c>
      <c r="H5914" s="2" t="s">
        <v>6396</v>
      </c>
      <c r="I5914" s="12" t="s">
        <v>4276</v>
      </c>
      <c r="J5914" s="22">
        <f>+Tabla1[[#This Row],[FECHA ENTRADA]]</f>
        <v>46199</v>
      </c>
      <c r="K5914" s="22">
        <v>46246</v>
      </c>
      <c r="L5914" s="23">
        <f>_xlfn.DAYS(Tabla1[[#This Row],[FECHA FIN ]],Tabla1[[#This Row],[FECHA INICIO]])</f>
        <v>47</v>
      </c>
      <c r="M5914" s="12"/>
      <c r="N5914" s="24">
        <v>533.33333333333337</v>
      </c>
      <c r="O5914" s="24">
        <f>(Tabla1[[#This Row],[COSTO FIJO ]]/30)*Tabla1[[#This Row],[TOTAL DIAS PROYECTO]]+(Tabla1[[#This Row],[COSTO TEMPORAL]])</f>
        <v>835.55555555555554</v>
      </c>
      <c r="P5914" s="12"/>
      <c r="Q5914" s="12">
        <f>+(Tabla1[[#This Row],[COSTO COCHE]]/30)*Tabla1[[#This Row],[TOTAL DIAS PROYECTO]]</f>
        <v>0</v>
      </c>
      <c r="R5914" s="12">
        <f>+Tabla1[[#This Row],[COSTO TOTAL ALOJAMIENTO]]+Tabla1[[#This Row],[COSTO TOTAL COCHE]]</f>
        <v>835.55555555555554</v>
      </c>
      <c r="S5914" s="2"/>
      <c r="T5914" s="14" t="s">
        <v>35</v>
      </c>
      <c r="U5914" s="14">
        <v>46199</v>
      </c>
      <c r="V5914" s="25"/>
      <c r="W5914" s="12">
        <v>1200</v>
      </c>
      <c r="X5914" s="2">
        <v>17</v>
      </c>
      <c r="Y5914" s="340" t="s">
        <v>8021</v>
      </c>
      <c r="Z5914" s="2" t="s">
        <v>36</v>
      </c>
      <c r="AA5914" s="13" t="s">
        <v>10370</v>
      </c>
      <c r="AB5914" s="13" t="s">
        <v>10371</v>
      </c>
    </row>
    <row r="5915" spans="1:28" ht="15" customHeight="1">
      <c r="A5915" s="117" t="s">
        <v>10142</v>
      </c>
      <c r="B5915" s="117" t="s">
        <v>978</v>
      </c>
      <c r="C5915" s="70" t="s">
        <v>6613</v>
      </c>
      <c r="D5915" s="117" t="s">
        <v>99</v>
      </c>
      <c r="E5915" s="117" t="s">
        <v>109</v>
      </c>
      <c r="F5915" s="101" t="s">
        <v>7979</v>
      </c>
      <c r="G5915" s="128" t="s">
        <v>7980</v>
      </c>
      <c r="H5915" s="117" t="s">
        <v>7860</v>
      </c>
      <c r="I5915" s="119" t="s">
        <v>4681</v>
      </c>
      <c r="J5915" s="120">
        <f>+Tabla1[[#This Row],[FECHA ENTRADA]]</f>
        <v>46217</v>
      </c>
      <c r="K5915" s="120">
        <v>46239</v>
      </c>
      <c r="L5915" s="122">
        <f>_xlfn.DAYS(Tabla1[[#This Row],[FECHA FIN ]],Tabla1[[#This Row],[FECHA INICIO]])</f>
        <v>22</v>
      </c>
      <c r="M5915" s="119">
        <f>2301.37/4</f>
        <v>575.34249999999997</v>
      </c>
      <c r="N5915" s="123"/>
      <c r="O5915" s="123">
        <f>(Tabla1[[#This Row],[COSTO FIJO ]]/30)*Tabla1[[#This Row],[TOTAL DIAS PROYECTO]]+(Tabla1[[#This Row],[COSTO TEMPORAL]])</f>
        <v>575.34249999999997</v>
      </c>
      <c r="P5915" s="119"/>
      <c r="Q5915" s="119">
        <f>+(Tabla1[[#This Row],[COSTO COCHE]]/30)*Tabla1[[#This Row],[TOTAL DIAS PROYECTO]]</f>
        <v>0</v>
      </c>
      <c r="R5915" s="119">
        <f>+Tabla1[[#This Row],[COSTO TOTAL ALOJAMIENTO]]+Tabla1[[#This Row],[COSTO TOTAL COCHE]]</f>
        <v>575.34249999999997</v>
      </c>
      <c r="S5915" s="117" t="s">
        <v>84</v>
      </c>
      <c r="T5915" s="124" t="s">
        <v>44</v>
      </c>
      <c r="U5915" s="124">
        <v>46217</v>
      </c>
      <c r="V5915" s="25">
        <v>46240</v>
      </c>
      <c r="W5915" s="119"/>
      <c r="X5915" s="117"/>
      <c r="Y5915" s="118" t="s">
        <v>7981</v>
      </c>
      <c r="Z5915" s="117" t="s">
        <v>36</v>
      </c>
      <c r="AA5915" s="127">
        <v>0.62217999999999996</v>
      </c>
      <c r="AB5915" s="127" t="s">
        <v>10339</v>
      </c>
    </row>
    <row r="5916" spans="1:28" ht="15" customHeight="1">
      <c r="A5916" s="2" t="s">
        <v>9155</v>
      </c>
      <c r="B5916" s="2" t="s">
        <v>711</v>
      </c>
      <c r="C5916" s="31" t="s">
        <v>2253</v>
      </c>
      <c r="D5916" s="2" t="s">
        <v>30</v>
      </c>
      <c r="E5916" s="2" t="s">
        <v>213</v>
      </c>
      <c r="F5916" s="11" t="s">
        <v>7705</v>
      </c>
      <c r="G5916" s="49" t="s">
        <v>558</v>
      </c>
      <c r="H5916" s="2" t="s">
        <v>7914</v>
      </c>
      <c r="I5916" s="12" t="s">
        <v>4464</v>
      </c>
      <c r="J5916" s="41">
        <f>+Tabla1[[#This Row],[FECHA ENTRADA]]</f>
        <v>45972</v>
      </c>
      <c r="K5916" s="41">
        <v>46035</v>
      </c>
      <c r="L5916" s="42">
        <f>_xlfn.DAYS(Tabla1[[#This Row],[FECHA FIN ]],Tabla1[[#This Row],[FECHA INICIO]])</f>
        <v>63</v>
      </c>
      <c r="M5916" s="12">
        <f>25*7</f>
        <v>175</v>
      </c>
      <c r="N5916" s="28"/>
      <c r="O5916" s="28">
        <f>(Tabla1[[#This Row],[COSTO FIJO ]]/30)*Tabla1[[#This Row],[TOTAL DIAS PROYECTO]]+(Tabla1[[#This Row],[COSTO TEMPORAL]])</f>
        <v>175</v>
      </c>
      <c r="P5916" s="12"/>
      <c r="Q5916" s="12">
        <f>+(Tabla1[[#This Row],[COSTO COCHE]]/30)*Tabla1[[#This Row],[TOTAL DIAS PROYECTO]]</f>
        <v>0</v>
      </c>
      <c r="R5916" s="12">
        <f>+Tabla1[[#This Row],[COSTO TOTAL ALOJAMIENTO]]+Tabla1[[#This Row],[COSTO TOTAL COCHE]]</f>
        <v>175</v>
      </c>
      <c r="S5916" s="2"/>
      <c r="T5916" s="14" t="s">
        <v>44</v>
      </c>
      <c r="U5916" s="14">
        <v>45972</v>
      </c>
      <c r="V5916" s="25">
        <v>46035</v>
      </c>
      <c r="W5916" s="71"/>
      <c r="X5916" s="2"/>
      <c r="Y5916" s="11" t="s">
        <v>8022</v>
      </c>
      <c r="Z5916" s="2" t="s">
        <v>36</v>
      </c>
      <c r="AA5916" s="13" t="s">
        <v>10349</v>
      </c>
      <c r="AB5916" s="13" t="s">
        <v>10350</v>
      </c>
    </row>
    <row r="5917" spans="1:28">
      <c r="A5917" s="2" t="s">
        <v>9158</v>
      </c>
      <c r="B5917" s="2" t="s">
        <v>606</v>
      </c>
      <c r="C5917" s="104" t="s">
        <v>2269</v>
      </c>
      <c r="D5917" s="2" t="s">
        <v>30</v>
      </c>
      <c r="E5917" s="2" t="s">
        <v>259</v>
      </c>
      <c r="F5917" s="11" t="s">
        <v>7362</v>
      </c>
      <c r="G5917" s="128" t="s">
        <v>7374</v>
      </c>
      <c r="H5917" s="2" t="s">
        <v>4002</v>
      </c>
      <c r="I5917" s="12" t="s">
        <v>4003</v>
      </c>
      <c r="J5917" s="22">
        <f>+Tabla1[[#This Row],[FECHA ENTRADA]]</f>
        <v>46191</v>
      </c>
      <c r="K5917" s="22">
        <v>46204</v>
      </c>
      <c r="L5917" s="23">
        <f>_xlfn.DAYS(Tabla1[[#This Row],[FECHA FIN ]],Tabla1[[#This Row],[FECHA INICIO]])</f>
        <v>13</v>
      </c>
      <c r="M5917" s="12"/>
      <c r="N5917" s="20">
        <v>242.5</v>
      </c>
      <c r="O5917" s="24">
        <f>(Tabla1[[#This Row],[COSTO FIJO ]]/30)*Tabla1[[#This Row],[TOTAL DIAS PROYECTO]]+(Tabla1[[#This Row],[COSTO TEMPORAL]])</f>
        <v>105.08333333333334</v>
      </c>
      <c r="P5917" s="12"/>
      <c r="Q5917" s="12">
        <f>+(Tabla1[[#This Row],[COSTO COCHE]]/30)*Tabla1[[#This Row],[TOTAL DIAS PROYECTO]]</f>
        <v>0</v>
      </c>
      <c r="R5917" s="12">
        <f>+Tabla1[[#This Row],[COSTO TOTAL ALOJAMIENTO]]+Tabla1[[#This Row],[COSTO TOTAL COCHE]]</f>
        <v>105.08333333333334</v>
      </c>
      <c r="S5917" s="2"/>
      <c r="T5917" s="14" t="s">
        <v>35</v>
      </c>
      <c r="U5917" s="14">
        <v>46191</v>
      </c>
      <c r="V5917" s="79"/>
      <c r="W5917" s="12"/>
      <c r="X5917" s="2">
        <v>1</v>
      </c>
      <c r="Y5917" t="s">
        <v>8023</v>
      </c>
      <c r="Z5917" s="2" t="s">
        <v>36</v>
      </c>
      <c r="AA5917" s="13">
        <v>-0.87734000000000001</v>
      </c>
      <c r="AB5917" s="13" t="s">
        <v>10359</v>
      </c>
    </row>
    <row r="5918" spans="1:28" ht="15" customHeight="1">
      <c r="A5918" s="2" t="s">
        <v>9693</v>
      </c>
      <c r="B5918" s="2" t="s">
        <v>28</v>
      </c>
      <c r="C5918" s="11" t="s">
        <v>4272</v>
      </c>
      <c r="D5918" s="2" t="s">
        <v>30</v>
      </c>
      <c r="E5918" s="2" t="s">
        <v>359</v>
      </c>
      <c r="F5918" s="11" t="s">
        <v>7462</v>
      </c>
      <c r="G5918" s="46" t="s">
        <v>7463</v>
      </c>
      <c r="H5918" s="2" t="s">
        <v>3327</v>
      </c>
      <c r="I5918" s="12" t="s">
        <v>96</v>
      </c>
      <c r="J5918" s="41">
        <f>+Tabla1[[#This Row],[FECHA ENTRADA]]</f>
        <v>45710</v>
      </c>
      <c r="K5918" s="41">
        <f ca="1">TODAY()</f>
        <v>46260</v>
      </c>
      <c r="L5918" s="42">
        <f ca="1">_xlfn.DAYS(Tabla1[[#This Row],[FECHA FIN ]],Tabla1[[#This Row],[FECHA INICIO]])</f>
        <v>550</v>
      </c>
      <c r="M5918" s="12"/>
      <c r="N5918" s="28"/>
      <c r="O5918" s="28">
        <f ca="1">(Tabla1[[#This Row],[COSTO FIJO ]]/30)*Tabla1[[#This Row],[TOTAL DIAS PROYECTO]]+(Tabla1[[#This Row],[COSTO TEMPORAL]])</f>
        <v>0</v>
      </c>
      <c r="P5918" s="12"/>
      <c r="Q5918" s="12">
        <f ca="1">+(Tabla1[[#This Row],[COSTO COCHE]]/30)*Tabla1[[#This Row],[TOTAL DIAS PROYECTO]]</f>
        <v>0</v>
      </c>
      <c r="R5918" s="12">
        <f ca="1">+Tabla1[[#This Row],[COSTO TOTAL ALOJAMIENTO]]+Tabla1[[#This Row],[COSTO TOTAL COCHE]]</f>
        <v>0</v>
      </c>
      <c r="S5918" s="2"/>
      <c r="T5918" s="2" t="s">
        <v>44</v>
      </c>
      <c r="U5918" s="14">
        <v>45710</v>
      </c>
      <c r="V5918" s="43">
        <v>45716</v>
      </c>
      <c r="W5918" s="26"/>
      <c r="X5918" s="2"/>
      <c r="Y5918" s="11"/>
      <c r="Z5918" s="2" t="s">
        <v>36</v>
      </c>
      <c r="AA5918" s="13" t="s">
        <v>10367</v>
      </c>
      <c r="AB5918" s="13">
        <v>3899424</v>
      </c>
    </row>
    <row r="5919" spans="1:28" ht="15" customHeight="1">
      <c r="A5919" s="2" t="s">
        <v>9078</v>
      </c>
      <c r="B5919" s="2" t="s">
        <v>606</v>
      </c>
      <c r="C5919" s="104" t="s">
        <v>1916</v>
      </c>
      <c r="D5919" s="2" t="s">
        <v>99</v>
      </c>
      <c r="E5919" s="2" t="s">
        <v>31</v>
      </c>
      <c r="F5919" s="11" t="s">
        <v>3303</v>
      </c>
      <c r="G5919" s="128" t="s">
        <v>3304</v>
      </c>
      <c r="H5919" s="2" t="s">
        <v>3305</v>
      </c>
      <c r="I5919" s="12" t="s">
        <v>1552</v>
      </c>
      <c r="J5919" s="22">
        <f>+Tabla1[[#This Row],[FECHA ENTRADA]]</f>
        <v>45760</v>
      </c>
      <c r="K5919" s="22">
        <f ca="1">TODAY()</f>
        <v>46260</v>
      </c>
      <c r="L5919" s="347">
        <f ca="1">_xlfn.DAYS(Tabla1[[#This Row],[FECHA FIN ]],Tabla1[[#This Row],[FECHA INICIO]])</f>
        <v>500</v>
      </c>
      <c r="M5919" s="12"/>
      <c r="N5919" s="47">
        <v>450</v>
      </c>
      <c r="O5919" s="348">
        <f ca="1">(Tabla1[[#This Row],[COSTO FIJO ]]/30)*Tabla1[[#This Row],[TOTAL DIAS PROYECTO]]+(Tabla1[[#This Row],[COSTO TEMPORAL]])</f>
        <v>7500</v>
      </c>
      <c r="P5919" s="12"/>
      <c r="Q5919" s="12">
        <f ca="1">+(Tabla1[[#This Row],[COSTO COCHE]]/30)*Tabla1[[#This Row],[TOTAL DIAS PROYECTO]]</f>
        <v>0</v>
      </c>
      <c r="R5919" s="12">
        <f ca="1">+Tabla1[[#This Row],[COSTO TOTAL ALOJAMIENTO]]+Tabla1[[#This Row],[COSTO TOTAL COCHE]]</f>
        <v>7500</v>
      </c>
      <c r="S5919" s="12"/>
      <c r="T5919" s="2" t="s">
        <v>35</v>
      </c>
      <c r="U5919" s="14">
        <v>45760</v>
      </c>
      <c r="V5919" s="89">
        <v>45821</v>
      </c>
      <c r="W5919" s="12"/>
      <c r="X5919" s="2">
        <v>10</v>
      </c>
      <c r="Y5919" s="11" t="s">
        <v>8024</v>
      </c>
      <c r="Z5919" s="2" t="s">
        <v>702</v>
      </c>
      <c r="AA5919" s="13" t="s">
        <v>10323</v>
      </c>
      <c r="AB5919" s="13" t="s">
        <v>10324</v>
      </c>
    </row>
    <row r="5920" spans="1:28" ht="15" customHeight="1">
      <c r="A5920" s="2" t="s">
        <v>8642</v>
      </c>
      <c r="B5920" s="2" t="s">
        <v>711</v>
      </c>
      <c r="C5920" s="11" t="s">
        <v>8025</v>
      </c>
      <c r="D5920" s="2" t="s">
        <v>99</v>
      </c>
      <c r="E5920" s="2" t="s">
        <v>422</v>
      </c>
      <c r="F5920" s="11" t="s">
        <v>1106</v>
      </c>
      <c r="G5920" s="49" t="s">
        <v>7440</v>
      </c>
      <c r="H5920" s="2" t="s">
        <v>7441</v>
      </c>
      <c r="I5920" s="12" t="s">
        <v>7442</v>
      </c>
      <c r="J5920" s="22">
        <f>+Tabla1[[#This Row],[FECHA ENTRADA]]</f>
        <v>45984</v>
      </c>
      <c r="K5920" s="22">
        <f ca="1">TODAY()</f>
        <v>46260</v>
      </c>
      <c r="L5920" s="23">
        <f ca="1">_xlfn.DAYS(Tabla1[[#This Row],[FECHA FIN ]],Tabla1[[#This Row],[FECHA INICIO]])</f>
        <v>276</v>
      </c>
      <c r="M5920" s="12"/>
      <c r="N5920" s="24">
        <v>0</v>
      </c>
      <c r="O5920" s="24">
        <f ca="1">(Tabla1[[#This Row],[COSTO FIJO ]]/30)*Tabla1[[#This Row],[TOTAL DIAS PROYECTO]]+(Tabla1[[#This Row],[COSTO TEMPORAL]])</f>
        <v>0</v>
      </c>
      <c r="P5920" s="12"/>
      <c r="Q5920" s="12">
        <f ca="1">+(Tabla1[[#This Row],[COSTO COCHE]]/30)*Tabla1[[#This Row],[TOTAL DIAS PROYECTO]]</f>
        <v>0</v>
      </c>
      <c r="R5920" s="12">
        <f ca="1">+Tabla1[[#This Row],[COSTO TOTAL ALOJAMIENTO]]+Tabla1[[#This Row],[COSTO TOTAL COCHE]]</f>
        <v>0</v>
      </c>
      <c r="S5920" s="2"/>
      <c r="T5920" s="14" t="s">
        <v>8</v>
      </c>
      <c r="U5920" s="14">
        <v>45984</v>
      </c>
      <c r="V5920" s="25"/>
      <c r="W5920" s="12"/>
      <c r="X5920" s="2"/>
      <c r="Y5920" s="11" t="s">
        <v>7371</v>
      </c>
      <c r="Z5920" s="2" t="s">
        <v>702</v>
      </c>
      <c r="AA5920" s="13">
        <v>-326.69799999999998</v>
      </c>
      <c r="AB5920" s="13" t="s">
        <v>10373</v>
      </c>
    </row>
    <row r="5921" spans="1:28" ht="15" customHeight="1">
      <c r="A5921" s="2" t="s">
        <v>9512</v>
      </c>
      <c r="B5921" s="2" t="s">
        <v>711</v>
      </c>
      <c r="C5921" s="11" t="s">
        <v>3482</v>
      </c>
      <c r="D5921" s="2" t="s">
        <v>30</v>
      </c>
      <c r="E5921" s="2" t="s">
        <v>422</v>
      </c>
      <c r="F5921" s="11" t="s">
        <v>1106</v>
      </c>
      <c r="G5921" s="21"/>
      <c r="H5921" s="2" t="s">
        <v>7507</v>
      </c>
      <c r="I5921" s="12" t="s">
        <v>7442</v>
      </c>
      <c r="J5921" s="22">
        <f>+Tabla1[[#This Row],[FECHA ENTRADA]]</f>
        <v>46047</v>
      </c>
      <c r="K5921" s="22">
        <f ca="1">TODAY()</f>
        <v>46260</v>
      </c>
      <c r="L5921" s="23">
        <f ca="1">_xlfn.DAYS(Tabla1[[#This Row],[FECHA FIN ]],Tabla1[[#This Row],[FECHA INICIO]])</f>
        <v>213</v>
      </c>
      <c r="M5921" s="12"/>
      <c r="N5921" s="20">
        <v>0</v>
      </c>
      <c r="O5921" s="24">
        <f ca="1">(Tabla1[[#This Row],[COSTO FIJO ]]/30)*Tabla1[[#This Row],[TOTAL DIAS PROYECTO]]+(Tabla1[[#This Row],[COSTO TEMPORAL]])</f>
        <v>0</v>
      </c>
      <c r="P5921" s="12"/>
      <c r="Q5921" s="12">
        <f ca="1">+(Tabla1[[#This Row],[COSTO COCHE]]/30)*Tabla1[[#This Row],[TOTAL DIAS PROYECTO]]</f>
        <v>0</v>
      </c>
      <c r="R5921" s="12">
        <f ca="1">+Tabla1[[#This Row],[COSTO TOTAL ALOJAMIENTO]]+Tabla1[[#This Row],[COSTO TOTAL COCHE]]</f>
        <v>0</v>
      </c>
      <c r="S5921" s="2"/>
      <c r="T5921" s="14" t="s">
        <v>8</v>
      </c>
      <c r="U5921" s="14">
        <v>46047</v>
      </c>
      <c r="V5921" s="79"/>
      <c r="W5921" s="12"/>
      <c r="X5921" s="2"/>
      <c r="Y5921" s="11" t="s">
        <v>7371</v>
      </c>
      <c r="Z5921" s="2" t="s">
        <v>702</v>
      </c>
      <c r="AA5921" s="13">
        <v>-326.69799999999998</v>
      </c>
      <c r="AB5921" s="13" t="s">
        <v>10373</v>
      </c>
    </row>
    <row r="5922" spans="1:28" ht="15" customHeight="1">
      <c r="A5922" s="2" t="s">
        <v>9158</v>
      </c>
      <c r="B5922" s="2" t="s">
        <v>606</v>
      </c>
      <c r="C5922" s="97" t="s">
        <v>2269</v>
      </c>
      <c r="D5922" s="2" t="s">
        <v>30</v>
      </c>
      <c r="E5922" s="2" t="s">
        <v>259</v>
      </c>
      <c r="F5922" s="11"/>
      <c r="G5922" s="21"/>
      <c r="H5922" s="2" t="s">
        <v>4002</v>
      </c>
      <c r="I5922" s="12" t="s">
        <v>4003</v>
      </c>
      <c r="J5922" s="22">
        <f>+Tabla1[[#This Row],[FECHA ENTRADA]]</f>
        <v>46204</v>
      </c>
      <c r="K5922" s="22">
        <v>46203</v>
      </c>
      <c r="L5922" s="23">
        <f>_xlfn.DAYS(Tabla1[[#This Row],[FECHA FIN ]],Tabla1[[#This Row],[FECHA INICIO]])</f>
        <v>-1</v>
      </c>
      <c r="M5922" s="12"/>
      <c r="N5922" s="20">
        <v>300</v>
      </c>
      <c r="O5922" s="24">
        <f>(Tabla1[[#This Row],[COSTO FIJO ]]/30)*Tabla1[[#This Row],[TOTAL DIAS PROYECTO]]+(Tabla1[[#This Row],[COSTO TEMPORAL]])</f>
        <v>-10</v>
      </c>
      <c r="P5922" s="12"/>
      <c r="Q5922" s="12">
        <f>+(Tabla1[[#This Row],[COSTO COCHE]]/30)*Tabla1[[#This Row],[TOTAL DIAS PROYECTO]]</f>
        <v>0</v>
      </c>
      <c r="R5922" s="12">
        <f>+Tabla1[[#This Row],[COSTO TOTAL ALOJAMIENTO]]+Tabla1[[#This Row],[COSTO TOTAL COCHE]]</f>
        <v>-10</v>
      </c>
      <c r="S5922" s="2"/>
      <c r="T5922" s="14" t="s">
        <v>58</v>
      </c>
      <c r="U5922" s="14">
        <v>46204</v>
      </c>
      <c r="V5922" s="79"/>
      <c r="W5922" s="12"/>
      <c r="X5922" s="2"/>
      <c r="Y5922" s="11" t="s">
        <v>8026</v>
      </c>
      <c r="Z5922" s="2" t="s">
        <v>36</v>
      </c>
      <c r="AA5922" s="13">
        <v>-0.87734000000000001</v>
      </c>
      <c r="AB5922" s="13" t="s">
        <v>10359</v>
      </c>
    </row>
    <row r="5923" spans="1:28" ht="15" customHeight="1">
      <c r="A5923" s="2" t="s">
        <v>9795</v>
      </c>
      <c r="B5923" s="2" t="s">
        <v>978</v>
      </c>
      <c r="C5923" s="11" t="s">
        <v>4770</v>
      </c>
      <c r="D5923" s="2" t="s">
        <v>30</v>
      </c>
      <c r="E5923" s="2" t="s">
        <v>476</v>
      </c>
      <c r="F5923" s="11" t="s">
        <v>8027</v>
      </c>
      <c r="G5923" s="197" t="s">
        <v>8028</v>
      </c>
      <c r="H5923" s="2" t="s">
        <v>4768</v>
      </c>
      <c r="I5923" s="12" t="s">
        <v>4714</v>
      </c>
      <c r="J5923" s="22">
        <f>+Tabla1[[#This Row],[FECHA ENTRADA]]</f>
        <v>46066</v>
      </c>
      <c r="K5923" s="22">
        <f ca="1">TODAY()</f>
        <v>46260</v>
      </c>
      <c r="L5923" s="23">
        <f ca="1">_xlfn.DAYS(Tabla1[[#This Row],[FECHA FIN ]],Tabla1[[#This Row],[FECHA INICIO]])</f>
        <v>194</v>
      </c>
      <c r="M5923" s="12"/>
      <c r="N5923" s="24">
        <v>500</v>
      </c>
      <c r="O5923" s="24">
        <f ca="1">(Tabla1[[#This Row],[COSTO FIJO ]]/30)*Tabla1[[#This Row],[TOTAL DIAS PROYECTO]]+(Tabla1[[#This Row],[COSTO TEMPORAL]])</f>
        <v>3233.3333333333335</v>
      </c>
      <c r="P5923" s="12"/>
      <c r="Q5923" s="12">
        <f ca="1">+(Tabla1[[#This Row],[COSTO COCHE]]/30)*Tabla1[[#This Row],[TOTAL DIAS PROYECTO]]</f>
        <v>0</v>
      </c>
      <c r="R5923" s="12">
        <f ca="1">+Tabla1[[#This Row],[COSTO TOTAL ALOJAMIENTO]]+Tabla1[[#This Row],[COSTO TOTAL COCHE]]</f>
        <v>3233.3333333333335</v>
      </c>
      <c r="S5923" s="2"/>
      <c r="T5923" s="14" t="s">
        <v>35</v>
      </c>
      <c r="U5923" s="14">
        <v>46066</v>
      </c>
      <c r="V5923" s="25">
        <v>46094</v>
      </c>
      <c r="W5923" s="12"/>
      <c r="X5923" s="2">
        <v>10</v>
      </c>
      <c r="Y5923" s="11" t="s">
        <v>8029</v>
      </c>
      <c r="Z5923" s="2" t="s">
        <v>702</v>
      </c>
      <c r="AA5923" s="13">
        <v>-7.8640699999999999</v>
      </c>
      <c r="AB5923" s="13">
        <v>42.336689999999997</v>
      </c>
    </row>
    <row r="5924" spans="1:28" ht="15" customHeight="1">
      <c r="A5924" s="2" t="s">
        <v>8729</v>
      </c>
      <c r="B5924" s="10" t="s">
        <v>711</v>
      </c>
      <c r="C5924" s="11" t="s">
        <v>468</v>
      </c>
      <c r="D5924" s="2" t="s">
        <v>749</v>
      </c>
      <c r="E5924" s="2" t="s">
        <v>4598</v>
      </c>
      <c r="F5924" s="11" t="s">
        <v>4599</v>
      </c>
      <c r="G5924" s="46" t="s">
        <v>4600</v>
      </c>
      <c r="H5924" s="2" t="s">
        <v>8030</v>
      </c>
      <c r="I5924" s="12" t="s">
        <v>4602</v>
      </c>
      <c r="J5924" s="41">
        <f>+Tabla1[[#This Row],[FECHA ENTRADA]]</f>
        <v>46246</v>
      </c>
      <c r="K5924" s="22">
        <v>46252</v>
      </c>
      <c r="L5924" s="42">
        <f>_xlfn.DAYS(Tabla1[[#This Row],[FECHA FIN ]],Tabla1[[#This Row],[FECHA INICIO]])</f>
        <v>6</v>
      </c>
      <c r="M5924" s="12">
        <v>360</v>
      </c>
      <c r="N5924" s="28"/>
      <c r="O5924" s="28">
        <f>(Tabla1[[#This Row],[COSTO FIJO ]]/30)*Tabla1[[#This Row],[TOTAL DIAS PROYECTO]]+(Tabla1[[#This Row],[COSTO TEMPORAL]])</f>
        <v>360</v>
      </c>
      <c r="P5924" s="12"/>
      <c r="Q5924" s="12">
        <f>+(Tabla1[[#This Row],[COSTO COCHE]]/30)*Tabla1[[#This Row],[TOTAL DIAS PROYECTO]]</f>
        <v>0</v>
      </c>
      <c r="R5924" s="12">
        <f>+Tabla1[[#This Row],[COSTO TOTAL ALOJAMIENTO]]+Tabla1[[#This Row],[COSTO TOTAL COCHE]]</f>
        <v>360</v>
      </c>
      <c r="S5924" s="2" t="s">
        <v>84</v>
      </c>
      <c r="T5924" s="14" t="s">
        <v>44</v>
      </c>
      <c r="U5924" s="14">
        <v>46246</v>
      </c>
      <c r="V5924" s="43">
        <v>46252</v>
      </c>
      <c r="W5924" s="12"/>
      <c r="X5924" s="2"/>
      <c r="Y5924" s="11"/>
      <c r="Z5924" s="2" t="s">
        <v>36</v>
      </c>
      <c r="AA5924" s="13">
        <v>10.50447</v>
      </c>
      <c r="AB5924" s="13">
        <v>43.843690000000002</v>
      </c>
    </row>
    <row r="5925" spans="1:28" ht="15" customHeight="1">
      <c r="A5925" s="2" t="s">
        <v>9955</v>
      </c>
      <c r="B5925" s="2" t="s">
        <v>711</v>
      </c>
      <c r="C5925" s="11" t="s">
        <v>5684</v>
      </c>
      <c r="D5925" s="2" t="s">
        <v>30</v>
      </c>
      <c r="E5925" s="2" t="s">
        <v>87</v>
      </c>
      <c r="F5925" s="11" t="s">
        <v>1106</v>
      </c>
      <c r="G5925" s="46"/>
      <c r="H5925" s="2" t="s">
        <v>6727</v>
      </c>
      <c r="I5925" s="12" t="s">
        <v>2321</v>
      </c>
      <c r="J5925" s="41">
        <f>+Tabla1[[#This Row],[FECHA ENTRADA]]</f>
        <v>45964</v>
      </c>
      <c r="K5925" s="41">
        <f ca="1">TODAY()</f>
        <v>46260</v>
      </c>
      <c r="L5925" s="42">
        <f ca="1">_xlfn.DAYS(Tabla1[[#This Row],[FECHA FIN ]],Tabla1[[#This Row],[FECHA INICIO]])</f>
        <v>296</v>
      </c>
      <c r="M5925" s="12"/>
      <c r="N5925" s="28">
        <v>0</v>
      </c>
      <c r="O5925" s="28">
        <f ca="1">(Tabla1[[#This Row],[COSTO FIJO ]]/30)*Tabla1[[#This Row],[TOTAL DIAS PROYECTO]]+(Tabla1[[#This Row],[COSTO TEMPORAL]])</f>
        <v>0</v>
      </c>
      <c r="P5925" s="12"/>
      <c r="Q5925" s="12">
        <f ca="1">+(Tabla1[[#This Row],[COSTO COCHE]]/30)*Tabla1[[#This Row],[TOTAL DIAS PROYECTO]]</f>
        <v>0</v>
      </c>
      <c r="R5925" s="12">
        <f ca="1">+Tabla1[[#This Row],[COSTO TOTAL ALOJAMIENTO]]+Tabla1[[#This Row],[COSTO TOTAL COCHE]]</f>
        <v>0</v>
      </c>
      <c r="S5925" s="2"/>
      <c r="T5925" s="14" t="s">
        <v>8</v>
      </c>
      <c r="U5925" s="14">
        <v>45964</v>
      </c>
      <c r="V5925" s="43"/>
      <c r="W5925" s="12"/>
      <c r="X5925" s="2"/>
      <c r="Y5925" s="11" t="s">
        <v>7371</v>
      </c>
      <c r="Z5925" s="2" t="s">
        <v>702</v>
      </c>
      <c r="AA5925" s="13" t="s">
        <v>10335</v>
      </c>
      <c r="AB5925" s="13">
        <v>404.16500000000002</v>
      </c>
    </row>
    <row r="5926" spans="1:28" ht="15" customHeight="1">
      <c r="A5926" s="2" t="s">
        <v>9186</v>
      </c>
      <c r="B5926" s="2" t="s">
        <v>606</v>
      </c>
      <c r="C5926" s="31" t="s">
        <v>2361</v>
      </c>
      <c r="D5926" s="2" t="s">
        <v>30</v>
      </c>
      <c r="E5926" s="2" t="s">
        <v>213</v>
      </c>
      <c r="F5926" s="11"/>
      <c r="G5926" s="11"/>
      <c r="H5926" s="2" t="s">
        <v>8031</v>
      </c>
      <c r="I5926" s="10" t="s">
        <v>3364</v>
      </c>
      <c r="J5926" s="22">
        <f>+Tabla1[[#This Row],[FECHA ENTRADA]]</f>
        <v>46197</v>
      </c>
      <c r="K5926" s="22">
        <v>46234</v>
      </c>
      <c r="L5926" s="23">
        <f>_xlfn.DAYS(Tabla1[[#This Row],[FECHA FIN ]],Tabla1[[#This Row],[FECHA INICIO]])</f>
        <v>37</v>
      </c>
      <c r="M5926" s="12"/>
      <c r="N5926" s="20">
        <v>300</v>
      </c>
      <c r="O5926" s="24">
        <f>(Tabla1[[#This Row],[COSTO FIJO ]]/30)*Tabla1[[#This Row],[TOTAL DIAS PROYECTO]]+(Tabla1[[#This Row],[COSTO TEMPORAL]])</f>
        <v>370</v>
      </c>
      <c r="P5926" s="12"/>
      <c r="Q5926" s="12">
        <f>+(Tabla1[[#This Row],[COSTO COCHE]]/30)*Tabla1[[#This Row],[TOTAL DIAS PROYECTO]]</f>
        <v>0</v>
      </c>
      <c r="R5926" s="12">
        <f>+Tabla1[[#This Row],[COSTO TOTAL ALOJAMIENTO]]+Tabla1[[#This Row],[COSTO TOTAL COCHE]]</f>
        <v>370</v>
      </c>
      <c r="S5926" s="2"/>
      <c r="T5926" s="14" t="s">
        <v>58</v>
      </c>
      <c r="U5926" s="14">
        <v>46197</v>
      </c>
      <c r="V5926" s="79"/>
      <c r="W5926" s="12"/>
      <c r="X5926" s="2"/>
      <c r="Y5926" s="11" t="s">
        <v>8032</v>
      </c>
      <c r="Z5926" s="2" t="s">
        <v>36</v>
      </c>
      <c r="AA5926" s="13" t="s">
        <v>10349</v>
      </c>
      <c r="AB5926" s="13" t="s">
        <v>10350</v>
      </c>
    </row>
    <row r="5927" spans="1:28" ht="15" customHeight="1">
      <c r="A5927" s="2" t="s">
        <v>10313</v>
      </c>
      <c r="B5927" s="2" t="s">
        <v>711</v>
      </c>
      <c r="C5927" s="11" t="s">
        <v>8033</v>
      </c>
      <c r="D5927" s="2" t="s">
        <v>30</v>
      </c>
      <c r="E5927" s="2" t="s">
        <v>87</v>
      </c>
      <c r="F5927" s="11" t="s">
        <v>1106</v>
      </c>
      <c r="G5927" s="46"/>
      <c r="H5927" s="2" t="s">
        <v>6727</v>
      </c>
      <c r="I5927" s="12" t="s">
        <v>2321</v>
      </c>
      <c r="J5927" s="41">
        <f>+Tabla1[[#This Row],[FECHA ENTRADA]]</f>
        <v>45964</v>
      </c>
      <c r="K5927" s="41">
        <f ca="1">TODAY()</f>
        <v>46260</v>
      </c>
      <c r="L5927" s="42">
        <f ca="1">_xlfn.DAYS(Tabla1[[#This Row],[FECHA FIN ]],Tabla1[[#This Row],[FECHA INICIO]])</f>
        <v>296</v>
      </c>
      <c r="M5927" s="12"/>
      <c r="N5927" s="24">
        <v>0</v>
      </c>
      <c r="O5927" s="28">
        <f ca="1">(Tabla1[[#This Row],[COSTO FIJO ]]/30)*Tabla1[[#This Row],[TOTAL DIAS PROYECTO]]+(Tabla1[[#This Row],[COSTO TEMPORAL]])</f>
        <v>0</v>
      </c>
      <c r="P5927" s="12"/>
      <c r="Q5927" s="12">
        <f ca="1">+(Tabla1[[#This Row],[COSTO COCHE]]/30)*Tabla1[[#This Row],[TOTAL DIAS PROYECTO]]</f>
        <v>0</v>
      </c>
      <c r="R5927" s="12">
        <f ca="1">+Tabla1[[#This Row],[COSTO TOTAL ALOJAMIENTO]]+Tabla1[[#This Row],[COSTO TOTAL COCHE]]</f>
        <v>0</v>
      </c>
      <c r="S5927" s="2"/>
      <c r="T5927" s="14" t="s">
        <v>8</v>
      </c>
      <c r="U5927" s="14">
        <v>45964</v>
      </c>
      <c r="V5927" s="43"/>
      <c r="W5927" s="12"/>
      <c r="X5927" s="2"/>
      <c r="Y5927" s="11" t="s">
        <v>7371</v>
      </c>
      <c r="Z5927" s="2" t="s">
        <v>702</v>
      </c>
      <c r="AA5927" s="13" t="s">
        <v>10335</v>
      </c>
      <c r="AB5927" s="13">
        <v>404.16500000000002</v>
      </c>
    </row>
    <row r="5928" spans="1:28" ht="15" customHeight="1">
      <c r="A5928" s="2" t="s">
        <v>9945</v>
      </c>
      <c r="B5928" s="2" t="s">
        <v>711</v>
      </c>
      <c r="C5928" s="11" t="s">
        <v>5624</v>
      </c>
      <c r="D5928" s="2" t="s">
        <v>30</v>
      </c>
      <c r="E5928" s="2" t="s">
        <v>87</v>
      </c>
      <c r="F5928" s="11" t="s">
        <v>1106</v>
      </c>
      <c r="G5928" s="46"/>
      <c r="H5928" s="2" t="s">
        <v>6727</v>
      </c>
      <c r="I5928" s="12" t="s">
        <v>2321</v>
      </c>
      <c r="J5928" s="41">
        <f>+Tabla1[[#This Row],[FECHA ENTRADA]]</f>
        <v>45964</v>
      </c>
      <c r="K5928" s="41">
        <f ca="1">TODAY()</f>
        <v>46260</v>
      </c>
      <c r="L5928" s="42">
        <f ca="1">_xlfn.DAYS(Tabla1[[#This Row],[FECHA FIN ]],Tabla1[[#This Row],[FECHA INICIO]])</f>
        <v>296</v>
      </c>
      <c r="M5928" s="12"/>
      <c r="N5928" s="24">
        <v>0</v>
      </c>
      <c r="O5928" s="28">
        <f ca="1">(Tabla1[[#This Row],[COSTO FIJO ]]/30)*Tabla1[[#This Row],[TOTAL DIAS PROYECTO]]+(Tabla1[[#This Row],[COSTO TEMPORAL]])</f>
        <v>0</v>
      </c>
      <c r="P5928" s="12"/>
      <c r="Q5928" s="12">
        <f ca="1">+(Tabla1[[#This Row],[COSTO COCHE]]/30)*Tabla1[[#This Row],[TOTAL DIAS PROYECTO]]</f>
        <v>0</v>
      </c>
      <c r="R5928" s="12">
        <f ca="1">+Tabla1[[#This Row],[COSTO TOTAL ALOJAMIENTO]]+Tabla1[[#This Row],[COSTO TOTAL COCHE]]</f>
        <v>0</v>
      </c>
      <c r="S5928" s="2"/>
      <c r="T5928" s="14" t="s">
        <v>8</v>
      </c>
      <c r="U5928" s="14">
        <v>45964</v>
      </c>
      <c r="V5928" s="43"/>
      <c r="W5928" s="12"/>
      <c r="X5928" s="2"/>
      <c r="Y5928" s="11" t="s">
        <v>7371</v>
      </c>
      <c r="Z5928" s="2" t="s">
        <v>702</v>
      </c>
      <c r="AA5928" s="13" t="s">
        <v>10335</v>
      </c>
      <c r="AB5928" s="13">
        <v>404.16500000000002</v>
      </c>
    </row>
    <row r="5929" spans="1:28" ht="15" customHeight="1">
      <c r="A5929" s="2" t="s">
        <v>8642</v>
      </c>
      <c r="B5929" s="2" t="s">
        <v>711</v>
      </c>
      <c r="C5929" s="31" t="s">
        <v>8034</v>
      </c>
      <c r="D5929" s="2" t="s">
        <v>30</v>
      </c>
      <c r="E5929" s="2" t="s">
        <v>648</v>
      </c>
      <c r="F5929" s="11" t="s">
        <v>8035</v>
      </c>
      <c r="G5929" s="46"/>
      <c r="H5929" s="2" t="s">
        <v>6510</v>
      </c>
      <c r="I5929" s="12" t="s">
        <v>96</v>
      </c>
      <c r="J5929" s="41">
        <f>+Tabla1[[#This Row],[FECHA ENTRADA]]</f>
        <v>46173</v>
      </c>
      <c r="K5929" s="22">
        <v>46175</v>
      </c>
      <c r="L5929" s="42">
        <f>_xlfn.DAYS(Tabla1[[#This Row],[FECHA FIN ]],Tabla1[[#This Row],[FECHA INICIO]])</f>
        <v>2</v>
      </c>
      <c r="M5929" s="12"/>
      <c r="N5929" s="28">
        <v>0</v>
      </c>
      <c r="O5929" s="28">
        <f>(Tabla1[[#This Row],[COSTO FIJO ]]/30)*Tabla1[[#This Row],[TOTAL DIAS PROYECTO]]+(Tabla1[[#This Row],[COSTO TEMPORAL]])</f>
        <v>0</v>
      </c>
      <c r="P5929" s="12"/>
      <c r="Q5929" s="12">
        <f>+(Tabla1[[#This Row],[COSTO COCHE]]/30)*Tabla1[[#This Row],[TOTAL DIAS PROYECTO]]</f>
        <v>0</v>
      </c>
      <c r="R5929" s="12">
        <f>+Tabla1[[#This Row],[COSTO TOTAL ALOJAMIENTO]]+Tabla1[[#This Row],[COSTO TOTAL COCHE]]</f>
        <v>0</v>
      </c>
      <c r="S5929" s="2"/>
      <c r="T5929" s="14" t="s">
        <v>35</v>
      </c>
      <c r="U5929" s="14">
        <v>46173</v>
      </c>
      <c r="V5929" s="43"/>
      <c r="W5929" s="12"/>
      <c r="X5929" s="2"/>
      <c r="Y5929" s="11" t="s">
        <v>8036</v>
      </c>
      <c r="Z5929" s="2" t="s">
        <v>36</v>
      </c>
      <c r="AA5929" s="13" t="s">
        <v>10387</v>
      </c>
      <c r="AB5929" s="13" t="s">
        <v>10388</v>
      </c>
    </row>
    <row r="5930" spans="1:28" ht="15" customHeight="1">
      <c r="A5930" s="2" t="s">
        <v>8642</v>
      </c>
      <c r="B5930" s="2" t="s">
        <v>711</v>
      </c>
      <c r="C5930" s="322" t="s">
        <v>8037</v>
      </c>
      <c r="D5930" s="2" t="s">
        <v>30</v>
      </c>
      <c r="E5930" s="2" t="s">
        <v>87</v>
      </c>
      <c r="F5930" s="11"/>
      <c r="G5930" s="21"/>
      <c r="H5930" s="2" t="s">
        <v>7416</v>
      </c>
      <c r="I5930" s="12" t="s">
        <v>96</v>
      </c>
      <c r="J5930" s="22">
        <f>+Tabla1[[#This Row],[FECHA ENTRADA]]</f>
        <v>46196</v>
      </c>
      <c r="K5930" s="22">
        <f ca="1">TODAY()</f>
        <v>46260</v>
      </c>
      <c r="L5930" s="23">
        <f ca="1">_xlfn.DAYS(Tabla1[[#This Row],[FECHA FIN ]],Tabla1[[#This Row],[FECHA INICIO]])</f>
        <v>64</v>
      </c>
      <c r="M5930" s="12"/>
      <c r="N5930" s="20">
        <v>0</v>
      </c>
      <c r="O5930" s="24">
        <f ca="1">(Tabla1[[#This Row],[COSTO FIJO ]]/30)*Tabla1[[#This Row],[TOTAL DIAS PROYECTO]]+(Tabla1[[#This Row],[COSTO TEMPORAL]])</f>
        <v>0</v>
      </c>
      <c r="P5930" s="12"/>
      <c r="Q5930" s="12">
        <f ca="1">+(Tabla1[[#This Row],[COSTO COCHE]]/30)*Tabla1[[#This Row],[TOTAL DIAS PROYECTO]]</f>
        <v>0</v>
      </c>
      <c r="R5930" s="12">
        <f ca="1">+Tabla1[[#This Row],[COSTO TOTAL ALOJAMIENTO]]+Tabla1[[#This Row],[COSTO TOTAL COCHE]]</f>
        <v>0</v>
      </c>
      <c r="S5930" s="2"/>
      <c r="T5930" s="14" t="s">
        <v>8</v>
      </c>
      <c r="U5930" s="14">
        <v>46196</v>
      </c>
      <c r="V5930" s="79"/>
      <c r="W5930" s="12"/>
      <c r="X5930" s="2"/>
      <c r="Y5930" s="11" t="s">
        <v>7371</v>
      </c>
      <c r="Z5930" s="2" t="s">
        <v>702</v>
      </c>
      <c r="AA5930" s="13" t="s">
        <v>10335</v>
      </c>
      <c r="AB5930" s="13">
        <v>404.16500000000002</v>
      </c>
    </row>
    <row r="5931" spans="1:28" ht="15" customHeight="1">
      <c r="A5931" s="2" t="s">
        <v>8642</v>
      </c>
      <c r="B5931" s="2" t="s">
        <v>711</v>
      </c>
      <c r="C5931" s="31" t="s">
        <v>4597</v>
      </c>
      <c r="D5931" s="2" t="s">
        <v>749</v>
      </c>
      <c r="E5931" s="2" t="s">
        <v>4598</v>
      </c>
      <c r="F5931" s="11" t="s">
        <v>5193</v>
      </c>
      <c r="G5931" s="49" t="s">
        <v>5194</v>
      </c>
      <c r="H5931" s="2" t="s">
        <v>4601</v>
      </c>
      <c r="I5931" s="12" t="s">
        <v>4602</v>
      </c>
      <c r="J5931" s="22">
        <f>+Tabla1[[#This Row],[FECHA ENTRADA]]</f>
        <v>46251</v>
      </c>
      <c r="K5931" s="22">
        <v>46251</v>
      </c>
      <c r="L5931" s="23">
        <f>_xlfn.DAYS(Tabla1[[#This Row],[FECHA FIN ]],Tabla1[[#This Row],[FECHA INICIO]])</f>
        <v>0</v>
      </c>
      <c r="M5931" s="12">
        <f>570.5/3</f>
        <v>190.16666666666666</v>
      </c>
      <c r="N5931" s="24"/>
      <c r="O5931" s="24">
        <f>(Tabla1[[#This Row],[COSTO FIJO ]]/30)*Tabla1[[#This Row],[TOTAL DIAS PROYECTO]]+(Tabla1[[#This Row],[COSTO TEMPORAL]])</f>
        <v>190.16666666666666</v>
      </c>
      <c r="P5931" s="12"/>
      <c r="Q5931" s="12">
        <f>+(Tabla1[[#This Row],[COSTO COCHE]]/30)*Tabla1[[#This Row],[TOTAL DIAS PROYECTO]]</f>
        <v>0</v>
      </c>
      <c r="R5931" s="12">
        <f>+Tabla1[[#This Row],[COSTO TOTAL ALOJAMIENTO]]+Tabla1[[#This Row],[COSTO TOTAL COCHE]]</f>
        <v>190.16666666666666</v>
      </c>
      <c r="S5931" s="2"/>
      <c r="T5931" s="14" t="s">
        <v>44</v>
      </c>
      <c r="U5931" s="14">
        <v>46251</v>
      </c>
      <c r="V5931" s="25">
        <v>46256</v>
      </c>
      <c r="W5931" s="12"/>
      <c r="X5931" s="2"/>
      <c r="Y5931" s="11" t="s">
        <v>8038</v>
      </c>
      <c r="Z5931" s="2" t="s">
        <v>36</v>
      </c>
      <c r="AA5931" s="13">
        <v>10.50447</v>
      </c>
      <c r="AB5931" s="13">
        <v>43.843690000000002</v>
      </c>
    </row>
    <row r="5932" spans="1:28" ht="15" customHeight="1">
      <c r="A5932" s="2" t="s">
        <v>10055</v>
      </c>
      <c r="B5932" s="2" t="s">
        <v>711</v>
      </c>
      <c r="C5932" s="322" t="s">
        <v>6110</v>
      </c>
      <c r="D5932" s="2" t="s">
        <v>30</v>
      </c>
      <c r="E5932" s="2" t="s">
        <v>87</v>
      </c>
      <c r="F5932" s="11" t="s">
        <v>1106</v>
      </c>
      <c r="G5932" s="49"/>
      <c r="H5932" s="2" t="s">
        <v>7941</v>
      </c>
      <c r="I5932" s="12" t="s">
        <v>2321</v>
      </c>
      <c r="J5932" s="22">
        <f>+Tabla1[[#This Row],[FECHA ENTRADA]]</f>
        <v>46054</v>
      </c>
      <c r="K5932" s="22">
        <f ca="1">TODAY()</f>
        <v>46260</v>
      </c>
      <c r="L5932" s="23">
        <f ca="1">_xlfn.DAYS(Tabla1[[#This Row],[FECHA FIN ]],Tabla1[[#This Row],[FECHA INICIO]])</f>
        <v>206</v>
      </c>
      <c r="M5932" s="12"/>
      <c r="N5932" s="24">
        <v>0</v>
      </c>
      <c r="O5932" s="24">
        <f ca="1">(Tabla1[[#This Row],[COSTO FIJO ]]/30)*Tabla1[[#This Row],[TOTAL DIAS PROYECTO]]+(Tabla1[[#This Row],[COSTO TEMPORAL]])</f>
        <v>0</v>
      </c>
      <c r="P5932" s="12"/>
      <c r="Q5932" s="12">
        <f ca="1">+(Tabla1[[#This Row],[COSTO COCHE]]/30)*Tabla1[[#This Row],[TOTAL DIAS PROYECTO]]</f>
        <v>0</v>
      </c>
      <c r="R5932" s="12">
        <f ca="1">+Tabla1[[#This Row],[COSTO TOTAL ALOJAMIENTO]]+Tabla1[[#This Row],[COSTO TOTAL COCHE]]</f>
        <v>0</v>
      </c>
      <c r="S5932" s="2"/>
      <c r="T5932" s="14" t="s">
        <v>8</v>
      </c>
      <c r="U5932" s="14">
        <v>46054</v>
      </c>
      <c r="V5932" s="25"/>
      <c r="W5932" s="12"/>
      <c r="X5932" s="2"/>
      <c r="Y5932" s="11" t="s">
        <v>7371</v>
      </c>
      <c r="Z5932" s="2" t="s">
        <v>702</v>
      </c>
      <c r="AA5932" s="13" t="s">
        <v>10335</v>
      </c>
      <c r="AB5932" s="13">
        <v>404.16500000000002</v>
      </c>
    </row>
    <row r="5933" spans="1:28" ht="15" customHeight="1">
      <c r="A5933" s="2" t="s">
        <v>9659</v>
      </c>
      <c r="B5933" s="2" t="s">
        <v>711</v>
      </c>
      <c r="C5933" s="11" t="s">
        <v>4103</v>
      </c>
      <c r="D5933" s="2" t="s">
        <v>30</v>
      </c>
      <c r="E5933" s="2" t="s">
        <v>87</v>
      </c>
      <c r="F5933" s="11" t="s">
        <v>1106</v>
      </c>
      <c r="G5933" s="49"/>
      <c r="H5933" s="2" t="s">
        <v>7941</v>
      </c>
      <c r="I5933" s="12" t="s">
        <v>2321</v>
      </c>
      <c r="J5933" s="22">
        <f>+Tabla1[[#This Row],[FECHA ENTRADA]]</f>
        <v>46054</v>
      </c>
      <c r="K5933" s="22">
        <f ca="1">TODAY()</f>
        <v>46260</v>
      </c>
      <c r="L5933" s="23">
        <f ca="1">_xlfn.DAYS(Tabla1[[#This Row],[FECHA FIN ]],Tabla1[[#This Row],[FECHA INICIO]])</f>
        <v>206</v>
      </c>
      <c r="M5933" s="12"/>
      <c r="N5933" s="24">
        <v>0</v>
      </c>
      <c r="O5933" s="24">
        <f ca="1">(Tabla1[[#This Row],[COSTO FIJO ]]/30)*Tabla1[[#This Row],[TOTAL DIAS PROYECTO]]+(Tabla1[[#This Row],[COSTO TEMPORAL]])</f>
        <v>0</v>
      </c>
      <c r="P5933" s="12"/>
      <c r="Q5933" s="12">
        <f ca="1">+(Tabla1[[#This Row],[COSTO COCHE]]/30)*Tabla1[[#This Row],[TOTAL DIAS PROYECTO]]</f>
        <v>0</v>
      </c>
      <c r="R5933" s="12">
        <f ca="1">+Tabla1[[#This Row],[COSTO TOTAL ALOJAMIENTO]]+Tabla1[[#This Row],[COSTO TOTAL COCHE]]</f>
        <v>0</v>
      </c>
      <c r="S5933" s="2"/>
      <c r="T5933" s="14" t="s">
        <v>8</v>
      </c>
      <c r="U5933" s="14">
        <v>46054</v>
      </c>
      <c r="V5933" s="25"/>
      <c r="W5933" s="12"/>
      <c r="X5933" s="2"/>
      <c r="Y5933" s="11" t="s">
        <v>7371</v>
      </c>
      <c r="Z5933" s="2" t="s">
        <v>702</v>
      </c>
      <c r="AA5933" s="13" t="s">
        <v>10335</v>
      </c>
      <c r="AB5933" s="13">
        <v>404.16500000000002</v>
      </c>
    </row>
    <row r="5934" spans="1:28" ht="15" customHeight="1">
      <c r="A5934" s="2" t="s">
        <v>9638</v>
      </c>
      <c r="B5934" s="2" t="s">
        <v>28</v>
      </c>
      <c r="C5934" s="11" t="s">
        <v>4034</v>
      </c>
      <c r="D5934" s="2" t="s">
        <v>30</v>
      </c>
      <c r="E5934" s="2" t="s">
        <v>127</v>
      </c>
      <c r="F5934" s="11" t="s">
        <v>820</v>
      </c>
      <c r="G5934" s="21" t="s">
        <v>1234</v>
      </c>
      <c r="H5934" s="2" t="s">
        <v>1509</v>
      </c>
      <c r="I5934" s="12" t="s">
        <v>96</v>
      </c>
      <c r="J5934" s="22">
        <f>+Tabla1[[#This Row],[FECHA ENTRADA]]</f>
        <v>45700</v>
      </c>
      <c r="K5934" s="8">
        <v>45798</v>
      </c>
      <c r="L5934" s="23">
        <f>_xlfn.DAYS(Tabla1[[#This Row],[FECHA FIN ]],Tabla1[[#This Row],[FECHA INICIO]])</f>
        <v>98</v>
      </c>
      <c r="M5934" s="12"/>
      <c r="N5934" s="24">
        <v>496.5</v>
      </c>
      <c r="O5934" s="24">
        <f>(Tabla1[[#This Row],[COSTO FIJO ]]/30)*Tabla1[[#This Row],[TOTAL DIAS PROYECTO]]+(Tabla1[[#This Row],[COSTO TEMPORAL]])</f>
        <v>1621.9</v>
      </c>
      <c r="P5934" s="12"/>
      <c r="Q5934" s="12">
        <f>+(Tabla1[[#This Row],[COSTO COCHE]]/30)*Tabla1[[#This Row],[TOTAL DIAS PROYECTO]]</f>
        <v>0</v>
      </c>
      <c r="R5934" s="12">
        <f>+Tabla1[[#This Row],[COSTO TOTAL ALOJAMIENTO]]+Tabla1[[#This Row],[COSTO TOTAL COCHE]]</f>
        <v>1621.9</v>
      </c>
      <c r="S5934" s="2"/>
      <c r="T5934" s="2" t="s">
        <v>44</v>
      </c>
      <c r="U5934" s="14">
        <v>45700</v>
      </c>
      <c r="V5934" s="25">
        <v>45798</v>
      </c>
      <c r="W5934" s="26"/>
      <c r="X5934" s="2"/>
      <c r="Y5934" s="11"/>
      <c r="Z5934" s="2" t="s">
        <v>36</v>
      </c>
      <c r="AA5934" s="13" t="s">
        <v>10342</v>
      </c>
      <c r="AB5934" s="13" t="s">
        <v>10343</v>
      </c>
    </row>
    <row r="5935" spans="1:28">
      <c r="A5935" s="2" t="s">
        <v>9880</v>
      </c>
      <c r="B5935" s="2" t="s">
        <v>711</v>
      </c>
      <c r="C5935" s="31" t="s">
        <v>5203</v>
      </c>
      <c r="D5935" s="2" t="s">
        <v>99</v>
      </c>
      <c r="E5935" s="2" t="s">
        <v>31</v>
      </c>
      <c r="F5935" s="11" t="s">
        <v>715</v>
      </c>
      <c r="G5935" s="11" t="s">
        <v>716</v>
      </c>
      <c r="H5935" s="2" t="s">
        <v>8039</v>
      </c>
      <c r="I5935" s="12" t="s">
        <v>3917</v>
      </c>
      <c r="J5935" s="41">
        <f>+Tabla1[[#This Row],[FECHA ENTRADA]]</f>
        <v>46175</v>
      </c>
      <c r="K5935" s="41">
        <v>46240</v>
      </c>
      <c r="L5935" s="42">
        <f>_xlfn.DAYS(Tabla1[[#This Row],[FECHA FIN ]],Tabla1[[#This Row],[FECHA INICIO]])</f>
        <v>65</v>
      </c>
      <c r="M5935" s="12"/>
      <c r="N5935" s="12">
        <v>160</v>
      </c>
      <c r="O5935" s="28">
        <f>(Tabla1[[#This Row],[COSTO FIJO ]]/30)*Tabla1[[#This Row],[TOTAL DIAS PROYECTO]]+(Tabla1[[#This Row],[COSTO TEMPORAL]])</f>
        <v>346.66666666666663</v>
      </c>
      <c r="P5935" s="12"/>
      <c r="Q5935" s="12">
        <f>+(Tabla1[[#This Row],[COSTO COCHE]]/30)*Tabla1[[#This Row],[TOTAL DIAS PROYECTO]]</f>
        <v>0</v>
      </c>
      <c r="R5935" s="12">
        <f>+Tabla1[[#This Row],[COSTO TOTAL ALOJAMIENTO]]+Tabla1[[#This Row],[COSTO TOTAL COCHE]]</f>
        <v>346.66666666666663</v>
      </c>
      <c r="S5935" s="2"/>
      <c r="T5935" s="14" t="s">
        <v>35</v>
      </c>
      <c r="U5935" s="14">
        <v>46175</v>
      </c>
      <c r="V5935" s="43"/>
      <c r="W5935" s="12"/>
      <c r="X5935" s="2"/>
      <c r="Y5935" s="212" t="s">
        <v>8040</v>
      </c>
      <c r="Z5935" s="2" t="s">
        <v>36</v>
      </c>
      <c r="AA5935" s="13" t="s">
        <v>10323</v>
      </c>
      <c r="AB5935" s="13" t="s">
        <v>10324</v>
      </c>
    </row>
    <row r="5936" spans="1:28" ht="15" customHeight="1">
      <c r="A5936" s="2" t="s">
        <v>9638</v>
      </c>
      <c r="B5936" s="2" t="s">
        <v>711</v>
      </c>
      <c r="C5936" s="321" t="s">
        <v>4034</v>
      </c>
      <c r="D5936" s="2" t="s">
        <v>30</v>
      </c>
      <c r="E5936" s="2" t="s">
        <v>127</v>
      </c>
      <c r="F5936" s="11" t="s">
        <v>820</v>
      </c>
      <c r="G5936" s="21" t="s">
        <v>821</v>
      </c>
      <c r="H5936" s="2" t="s">
        <v>1509</v>
      </c>
      <c r="I5936" s="12" t="s">
        <v>96</v>
      </c>
      <c r="J5936" s="22">
        <f>+Tabla1[[#This Row],[FECHA ENTRADA]]</f>
        <v>45798</v>
      </c>
      <c r="K5936" s="8">
        <v>46065</v>
      </c>
      <c r="L5936" s="23">
        <f>_xlfn.DAYS(Tabla1[[#This Row],[FECHA FIN ]],Tabla1[[#This Row],[FECHA INICIO]])</f>
        <v>267</v>
      </c>
      <c r="M5936" s="12"/>
      <c r="N5936" s="12">
        <f>3150/9</f>
        <v>350</v>
      </c>
      <c r="O5936" s="24">
        <f>(Tabla1[[#This Row],[COSTO FIJO ]]/30)*Tabla1[[#This Row],[TOTAL DIAS PROYECTO]]+(Tabla1[[#This Row],[COSTO TEMPORAL]])</f>
        <v>3115</v>
      </c>
      <c r="P5936" s="12"/>
      <c r="Q5936" s="12">
        <f>+(Tabla1[[#This Row],[COSTO COCHE]]/30)*Tabla1[[#This Row],[TOTAL DIAS PROYECTO]]</f>
        <v>0</v>
      </c>
      <c r="R5936" s="12">
        <f>+Tabla1[[#This Row],[COSTO TOTAL ALOJAMIENTO]]+Tabla1[[#This Row],[COSTO TOTAL COCHE]]</f>
        <v>3115</v>
      </c>
      <c r="S5936" s="2"/>
      <c r="T5936" s="2" t="s">
        <v>44</v>
      </c>
      <c r="U5936" s="14">
        <v>45798</v>
      </c>
      <c r="V5936" s="79">
        <v>46063</v>
      </c>
      <c r="W5936" s="26"/>
      <c r="X5936" s="2"/>
      <c r="Y5936" s="11" t="s">
        <v>8041</v>
      </c>
      <c r="Z5936" s="2" t="s">
        <v>36</v>
      </c>
      <c r="AA5936" s="13" t="s">
        <v>10342</v>
      </c>
      <c r="AB5936" s="13" t="s">
        <v>10343</v>
      </c>
    </row>
    <row r="5937" spans="1:28">
      <c r="A5937" s="2" t="s">
        <v>10211</v>
      </c>
      <c r="B5937" s="2" t="s">
        <v>368</v>
      </c>
      <c r="C5937" s="11" t="s">
        <v>7183</v>
      </c>
      <c r="D5937" s="2" t="s">
        <v>30</v>
      </c>
      <c r="E5937" s="2" t="s">
        <v>31</v>
      </c>
      <c r="F5937" s="11" t="s">
        <v>715</v>
      </c>
      <c r="G5937" s="11" t="s">
        <v>716</v>
      </c>
      <c r="H5937" s="2" t="s">
        <v>564</v>
      </c>
      <c r="I5937" s="12" t="s">
        <v>514</v>
      </c>
      <c r="J5937" s="8">
        <f>+Tabla1[[#This Row],[FECHA ENTRADA]]</f>
        <v>45501</v>
      </c>
      <c r="K5937" s="8">
        <f ca="1">TODAY()</f>
        <v>46260</v>
      </c>
      <c r="L5937" s="13">
        <f ca="1">_xlfn.DAYS(Tabla1[[#This Row],[FECHA FIN ]],Tabla1[[#This Row],[FECHA INICIO]])</f>
        <v>759</v>
      </c>
      <c r="M5937" s="12"/>
      <c r="N5937" s="12">
        <v>160</v>
      </c>
      <c r="O5937" s="12">
        <f ca="1">(Tabla1[[#This Row],[COSTO FIJO ]]/30)*Tabla1[[#This Row],[TOTAL DIAS PROYECTO]]+(Tabla1[[#This Row],[COSTO TEMPORAL]])</f>
        <v>4048</v>
      </c>
      <c r="P5937" s="12"/>
      <c r="Q5937" s="12">
        <f ca="1">+(Tabla1[[#This Row],[COSTO COCHE]]/30)*Tabla1[[#This Row],[TOTAL DIAS PROYECTO]]</f>
        <v>0</v>
      </c>
      <c r="R5937" s="12">
        <f ca="1">+Tabla1[[#This Row],[COSTO TOTAL ALOJAMIENTO]]+Tabla1[[#This Row],[COSTO TOTAL COCHE]]</f>
        <v>4048</v>
      </c>
      <c r="S5937" s="2"/>
      <c r="T5937" s="2" t="s">
        <v>35</v>
      </c>
      <c r="U5937" s="14">
        <v>45501</v>
      </c>
      <c r="V5937" s="14"/>
      <c r="W5937" s="26"/>
      <c r="X5937" s="2"/>
      <c r="Y5937" s="18" t="s">
        <v>8042</v>
      </c>
      <c r="Z5937" s="2" t="s">
        <v>36</v>
      </c>
      <c r="AA5937" s="13" t="s">
        <v>10323</v>
      </c>
      <c r="AB5937" s="13" t="s">
        <v>10324</v>
      </c>
    </row>
    <row r="5938" spans="1:28" ht="15" customHeight="1">
      <c r="A5938" s="2" t="s">
        <v>9097</v>
      </c>
      <c r="B5938" s="2" t="s">
        <v>711</v>
      </c>
      <c r="C5938" s="11" t="s">
        <v>2017</v>
      </c>
      <c r="D5938" s="2" t="s">
        <v>30</v>
      </c>
      <c r="E5938" s="2" t="s">
        <v>87</v>
      </c>
      <c r="F5938" s="11" t="s">
        <v>1668</v>
      </c>
      <c r="G5938" s="128" t="s">
        <v>1669</v>
      </c>
      <c r="H5938" s="2" t="s">
        <v>6144</v>
      </c>
      <c r="I5938" s="12" t="s">
        <v>1392</v>
      </c>
      <c r="J5938" s="22">
        <f>+Tabla1[[#This Row],[FECHA ENTRADA]]</f>
        <v>45978</v>
      </c>
      <c r="K5938" s="22">
        <f ca="1">TODAY()</f>
        <v>46260</v>
      </c>
      <c r="L5938" s="23">
        <f ca="1">_xlfn.DAYS(Tabla1[[#This Row],[FECHA FIN ]],Tabla1[[#This Row],[FECHA INICIO]])</f>
        <v>282</v>
      </c>
      <c r="M5938" s="12"/>
      <c r="N5938" s="20">
        <v>277.16666666666669</v>
      </c>
      <c r="O5938" s="24">
        <f ca="1">(Tabla1[[#This Row],[COSTO FIJO ]]/30)*Tabla1[[#This Row],[TOTAL DIAS PROYECTO]]+(Tabla1[[#This Row],[COSTO TEMPORAL]])</f>
        <v>2605.3666666666668</v>
      </c>
      <c r="P5938" s="12"/>
      <c r="Q5938" s="12">
        <f ca="1">+(Tabla1[[#This Row],[COSTO COCHE]]/30)*Tabla1[[#This Row],[TOTAL DIAS PROYECTO]]</f>
        <v>0</v>
      </c>
      <c r="R5938" s="12">
        <f ca="1">+Tabla1[[#This Row],[COSTO TOTAL ALOJAMIENTO]]+Tabla1[[#This Row],[COSTO TOTAL COCHE]]</f>
        <v>2605.3666666666668</v>
      </c>
      <c r="S5938" s="2"/>
      <c r="T5938" s="14" t="s">
        <v>35</v>
      </c>
      <c r="U5938" s="14">
        <v>45978</v>
      </c>
      <c r="V5938" s="25"/>
      <c r="W5938" s="12">
        <v>1613</v>
      </c>
      <c r="X5938" s="2">
        <v>15</v>
      </c>
      <c r="Y5938" s="11" t="s">
        <v>8043</v>
      </c>
      <c r="Z5938" s="2" t="s">
        <v>702</v>
      </c>
      <c r="AA5938" s="13" t="s">
        <v>10335</v>
      </c>
      <c r="AB5938" s="13">
        <v>404.16500000000002</v>
      </c>
    </row>
    <row r="5939" spans="1:28">
      <c r="A5939" s="2" t="s">
        <v>8642</v>
      </c>
      <c r="B5939" s="2" t="s">
        <v>606</v>
      </c>
      <c r="C5939" s="31" t="s">
        <v>7988</v>
      </c>
      <c r="D5939" s="2" t="s">
        <v>30</v>
      </c>
      <c r="E5939" s="2" t="s">
        <v>31</v>
      </c>
      <c r="F5939" s="11" t="s">
        <v>715</v>
      </c>
      <c r="G5939" s="11" t="s">
        <v>8044</v>
      </c>
      <c r="H5939" s="2" t="s">
        <v>8045</v>
      </c>
      <c r="I5939" s="12" t="s">
        <v>2391</v>
      </c>
      <c r="J5939" s="22">
        <f>+Tabla1[[#This Row],[FECHA ENTRADA]]</f>
        <v>46216</v>
      </c>
      <c r="K5939" s="22">
        <v>46258</v>
      </c>
      <c r="L5939" s="23">
        <f>_xlfn.DAYS(Tabla1[[#This Row],[FECHA FIN ]],Tabla1[[#This Row],[FECHA INICIO]])</f>
        <v>42</v>
      </c>
      <c r="M5939" s="12"/>
      <c r="N5939" s="12">
        <v>160</v>
      </c>
      <c r="O5939" s="24">
        <f>(Tabla1[[#This Row],[COSTO FIJO ]]/30)*Tabla1[[#This Row],[TOTAL DIAS PROYECTO]]+(Tabla1[[#This Row],[COSTO TEMPORAL]])</f>
        <v>224</v>
      </c>
      <c r="P5939" s="12"/>
      <c r="Q5939" s="12">
        <f>+(Tabla1[[#This Row],[COSTO COCHE]]/30)*Tabla1[[#This Row],[TOTAL DIAS PROYECTO]]</f>
        <v>0</v>
      </c>
      <c r="R5939" s="12">
        <f>+Tabla1[[#This Row],[COSTO TOTAL ALOJAMIENTO]]+Tabla1[[#This Row],[COSTO TOTAL COCHE]]</f>
        <v>224</v>
      </c>
      <c r="S5939" s="2"/>
      <c r="T5939" s="14" t="s">
        <v>35</v>
      </c>
      <c r="U5939" s="14">
        <v>46216</v>
      </c>
      <c r="V5939" s="25"/>
      <c r="W5939" s="12"/>
      <c r="X5939" s="2"/>
      <c r="Y5939" s="168" t="s">
        <v>3702</v>
      </c>
      <c r="Z5939" s="2" t="s">
        <v>36</v>
      </c>
      <c r="AA5939" s="13" t="s">
        <v>10323</v>
      </c>
      <c r="AB5939" s="13" t="s">
        <v>10324</v>
      </c>
    </row>
    <row r="5940" spans="1:28" ht="15" customHeight="1">
      <c r="A5940" s="2" t="s">
        <v>8729</v>
      </c>
      <c r="B5940" s="10" t="s">
        <v>711</v>
      </c>
      <c r="C5940" s="31" t="s">
        <v>468</v>
      </c>
      <c r="D5940" s="2" t="s">
        <v>749</v>
      </c>
      <c r="E5940" s="2" t="s">
        <v>4598</v>
      </c>
      <c r="F5940" s="11" t="s">
        <v>5193</v>
      </c>
      <c r="G5940" s="49" t="s">
        <v>5194</v>
      </c>
      <c r="H5940" s="2" t="s">
        <v>8030</v>
      </c>
      <c r="I5940" s="12" t="s">
        <v>4602</v>
      </c>
      <c r="J5940" s="22">
        <f>+Tabla1[[#This Row],[FECHA ENTRADA]]</f>
        <v>46251</v>
      </c>
      <c r="K5940" s="22">
        <v>46252</v>
      </c>
      <c r="L5940" s="23">
        <f>_xlfn.DAYS(Tabla1[[#This Row],[FECHA FIN ]],Tabla1[[#This Row],[FECHA INICIO]])</f>
        <v>1</v>
      </c>
      <c r="M5940" s="12">
        <f>570.5/3</f>
        <v>190.16666666666666</v>
      </c>
      <c r="N5940" s="24"/>
      <c r="O5940" s="24">
        <f>(Tabla1[[#This Row],[COSTO FIJO ]]/30)*Tabla1[[#This Row],[TOTAL DIAS PROYECTO]]+(Tabla1[[#This Row],[COSTO TEMPORAL]])</f>
        <v>190.16666666666666</v>
      </c>
      <c r="P5940" s="12"/>
      <c r="Q5940" s="12">
        <f>+(Tabla1[[#This Row],[COSTO COCHE]]/30)*Tabla1[[#This Row],[TOTAL DIAS PROYECTO]]</f>
        <v>0</v>
      </c>
      <c r="R5940" s="12">
        <f>+Tabla1[[#This Row],[COSTO TOTAL ALOJAMIENTO]]+Tabla1[[#This Row],[COSTO TOTAL COCHE]]</f>
        <v>190.16666666666666</v>
      </c>
      <c r="S5940" s="2"/>
      <c r="T5940" s="14" t="s">
        <v>44</v>
      </c>
      <c r="U5940" s="14">
        <v>46251</v>
      </c>
      <c r="V5940" s="25">
        <v>46256</v>
      </c>
      <c r="W5940" s="12"/>
      <c r="X5940" s="2"/>
      <c r="Y5940" s="11" t="s">
        <v>8046</v>
      </c>
      <c r="Z5940" s="2" t="s">
        <v>36</v>
      </c>
      <c r="AA5940" s="13">
        <v>10.50447</v>
      </c>
      <c r="AB5940" s="13">
        <v>43.843690000000002</v>
      </c>
    </row>
    <row r="5941" spans="1:28" ht="15" customHeight="1">
      <c r="A5941" s="2" t="s">
        <v>8642</v>
      </c>
      <c r="B5941" s="2" t="s">
        <v>711</v>
      </c>
      <c r="C5941" s="104" t="s">
        <v>8047</v>
      </c>
      <c r="D5941" s="2" t="s">
        <v>749</v>
      </c>
      <c r="E5941" s="2" t="s">
        <v>4598</v>
      </c>
      <c r="F5941" s="11" t="s">
        <v>1106</v>
      </c>
      <c r="G5941" s="21"/>
      <c r="H5941" s="2" t="s">
        <v>7702</v>
      </c>
      <c r="I5941" s="12" t="s">
        <v>2862</v>
      </c>
      <c r="J5941" s="22">
        <f>+Tabla1[[#This Row],[FECHA ENTRADA]]</f>
        <v>46103</v>
      </c>
      <c r="K5941" s="22">
        <f ca="1">TODAY()</f>
        <v>46260</v>
      </c>
      <c r="L5941" s="23">
        <f ca="1">_xlfn.DAYS(Tabla1[[#This Row],[FECHA FIN ]],Tabla1[[#This Row],[FECHA INICIO]])</f>
        <v>157</v>
      </c>
      <c r="M5941" s="12"/>
      <c r="N5941" s="24">
        <v>0</v>
      </c>
      <c r="O5941" s="24">
        <f ca="1">(Tabla1[[#This Row],[COSTO FIJO ]]/30)*Tabla1[[#This Row],[TOTAL DIAS PROYECTO]]+(Tabla1[[#This Row],[COSTO TEMPORAL]])</f>
        <v>0</v>
      </c>
      <c r="P5941" s="12"/>
      <c r="Q5941" s="12">
        <f ca="1">+(Tabla1[[#This Row],[COSTO COCHE]]/30)*Tabla1[[#This Row],[TOTAL DIAS PROYECTO]]</f>
        <v>0</v>
      </c>
      <c r="R5941" s="12">
        <f ca="1">+Tabla1[[#This Row],[COSTO TOTAL ALOJAMIENTO]]+Tabla1[[#This Row],[COSTO TOTAL COCHE]]</f>
        <v>0</v>
      </c>
      <c r="S5941" s="2"/>
      <c r="T5941" s="14" t="s">
        <v>8</v>
      </c>
      <c r="U5941" s="14">
        <v>46103</v>
      </c>
      <c r="V5941" s="79"/>
      <c r="W5941" s="12"/>
      <c r="X5941" s="2"/>
      <c r="Y5941" s="11" t="s">
        <v>7371</v>
      </c>
      <c r="Z5941" s="2" t="s">
        <v>702</v>
      </c>
      <c r="AA5941" s="13">
        <v>10.50447</v>
      </c>
      <c r="AB5941" s="13">
        <v>43.843690000000002</v>
      </c>
    </row>
    <row r="5942" spans="1:28" ht="15" customHeight="1">
      <c r="A5942" s="2" t="s">
        <v>8730</v>
      </c>
      <c r="B5942" s="2" t="s">
        <v>711</v>
      </c>
      <c r="C5942" s="104" t="s">
        <v>472</v>
      </c>
      <c r="D5942" s="2" t="s">
        <v>30</v>
      </c>
      <c r="E5942" s="2" t="s">
        <v>87</v>
      </c>
      <c r="F5942" s="11" t="s">
        <v>1668</v>
      </c>
      <c r="G5942" s="128" t="s">
        <v>1669</v>
      </c>
      <c r="H5942" s="157" t="s">
        <v>6143</v>
      </c>
      <c r="I5942" s="158" t="s">
        <v>1392</v>
      </c>
      <c r="J5942" s="22">
        <f>+Tabla1[[#This Row],[FECHA ENTRADA]]</f>
        <v>45978</v>
      </c>
      <c r="K5942" s="22">
        <f ca="1">TODAY()</f>
        <v>46260</v>
      </c>
      <c r="L5942" s="23">
        <f ca="1">_xlfn.DAYS(Tabla1[[#This Row],[FECHA FIN ]],Tabla1[[#This Row],[FECHA INICIO]])</f>
        <v>282</v>
      </c>
      <c r="M5942" s="12"/>
      <c r="N5942" s="20">
        <v>277.16666666666669</v>
      </c>
      <c r="O5942" s="24">
        <f ca="1">(Tabla1[[#This Row],[COSTO FIJO ]]/30)*Tabla1[[#This Row],[TOTAL DIAS PROYECTO]]+(Tabla1[[#This Row],[COSTO TEMPORAL]])</f>
        <v>2605.3666666666668</v>
      </c>
      <c r="P5942" s="12"/>
      <c r="Q5942" s="12">
        <f ca="1">+(Tabla1[[#This Row],[COSTO COCHE]]/30)*Tabla1[[#This Row],[TOTAL DIAS PROYECTO]]</f>
        <v>0</v>
      </c>
      <c r="R5942" s="12">
        <f ca="1">+Tabla1[[#This Row],[COSTO TOTAL ALOJAMIENTO]]+Tabla1[[#This Row],[COSTO TOTAL COCHE]]</f>
        <v>2605.3666666666668</v>
      </c>
      <c r="S5942" s="2"/>
      <c r="T5942" s="14" t="s">
        <v>35</v>
      </c>
      <c r="U5942" s="14">
        <v>45978</v>
      </c>
      <c r="V5942" s="25"/>
      <c r="W5942" s="12"/>
      <c r="X5942" s="2">
        <v>15</v>
      </c>
      <c r="Y5942" s="11" t="s">
        <v>8043</v>
      </c>
      <c r="Z5942" s="2" t="s">
        <v>702</v>
      </c>
      <c r="AA5942" s="13" t="s">
        <v>10335</v>
      </c>
      <c r="AB5942" s="13">
        <v>404.16500000000002</v>
      </c>
    </row>
    <row r="5943" spans="1:28" ht="15" customHeight="1">
      <c r="A5943" s="2" t="s">
        <v>9146</v>
      </c>
      <c r="B5943" s="2" t="s">
        <v>606</v>
      </c>
      <c r="C5943" s="11" t="s">
        <v>2208</v>
      </c>
      <c r="D5943" s="2" t="s">
        <v>30</v>
      </c>
      <c r="E5943" s="2" t="s">
        <v>213</v>
      </c>
      <c r="F5943" s="11" t="s">
        <v>1733</v>
      </c>
      <c r="G5943" s="21" t="s">
        <v>1734</v>
      </c>
      <c r="H5943" s="2" t="s">
        <v>7108</v>
      </c>
      <c r="I5943" s="10" t="s">
        <v>3364</v>
      </c>
      <c r="J5943" s="22">
        <f>+Tabla1[[#This Row],[FECHA ENTRADA]]</f>
        <v>46107</v>
      </c>
      <c r="K5943" s="22">
        <v>46234</v>
      </c>
      <c r="L5943" s="23">
        <f>_xlfn.DAYS(Tabla1[[#This Row],[FECHA FIN ]],Tabla1[[#This Row],[FECHA INICIO]])</f>
        <v>127</v>
      </c>
      <c r="M5943" s="12"/>
      <c r="N5943" s="12">
        <f>1461.19/4</f>
        <v>365.29750000000001</v>
      </c>
      <c r="O5943" s="24">
        <f>(Tabla1[[#This Row],[COSTO FIJO ]]/30)*Tabla1[[#This Row],[TOTAL DIAS PROYECTO]]+(Tabla1[[#This Row],[COSTO TEMPORAL]])</f>
        <v>1546.4260833333333</v>
      </c>
      <c r="P5943" s="12"/>
      <c r="Q5943" s="12">
        <f>+(Tabla1[[#This Row],[COSTO COCHE]]/30)*Tabla1[[#This Row],[TOTAL DIAS PROYECTO]]</f>
        <v>0</v>
      </c>
      <c r="R5943" s="12">
        <f>+Tabla1[[#This Row],[COSTO TOTAL ALOJAMIENTO]]+Tabla1[[#This Row],[COSTO TOTAL COCHE]]</f>
        <v>1546.4260833333333</v>
      </c>
      <c r="S5943" s="2"/>
      <c r="T5943" s="14" t="s">
        <v>35</v>
      </c>
      <c r="U5943" s="14">
        <v>46107</v>
      </c>
      <c r="V5943" s="25"/>
      <c r="W5943" s="12"/>
      <c r="X5943" s="2">
        <v>20</v>
      </c>
      <c r="Y5943" s="11" t="s">
        <v>8048</v>
      </c>
      <c r="Z5943" s="2" t="s">
        <v>36</v>
      </c>
      <c r="AA5943" s="13" t="s">
        <v>10349</v>
      </c>
      <c r="AB5943" s="13" t="s">
        <v>10350</v>
      </c>
    </row>
    <row r="5944" spans="1:28" ht="15" customHeight="1">
      <c r="A5944" s="2" t="s">
        <v>8642</v>
      </c>
      <c r="B5944" s="2" t="s">
        <v>711</v>
      </c>
      <c r="C5944" s="11" t="s">
        <v>8049</v>
      </c>
      <c r="D5944" s="2" t="s">
        <v>749</v>
      </c>
      <c r="E5944" s="2" t="s">
        <v>4598</v>
      </c>
      <c r="F5944" s="11" t="s">
        <v>1106</v>
      </c>
      <c r="G5944" s="21"/>
      <c r="H5944" s="2" t="s">
        <v>7702</v>
      </c>
      <c r="I5944" s="12" t="s">
        <v>2862</v>
      </c>
      <c r="J5944" s="22">
        <f>+Tabla1[[#This Row],[FECHA ENTRADA]]</f>
        <v>46103</v>
      </c>
      <c r="K5944" s="22">
        <f ca="1">TODAY()</f>
        <v>46260</v>
      </c>
      <c r="L5944" s="23">
        <f ca="1">_xlfn.DAYS(Tabla1[[#This Row],[FECHA FIN ]],Tabla1[[#This Row],[FECHA INICIO]])</f>
        <v>157</v>
      </c>
      <c r="M5944" s="12"/>
      <c r="N5944" s="24">
        <v>0</v>
      </c>
      <c r="O5944" s="24">
        <f ca="1">(Tabla1[[#This Row],[COSTO FIJO ]]/30)*Tabla1[[#This Row],[TOTAL DIAS PROYECTO]]+(Tabla1[[#This Row],[COSTO TEMPORAL]])</f>
        <v>0</v>
      </c>
      <c r="P5944" s="12"/>
      <c r="Q5944" s="12">
        <f ca="1">+(Tabla1[[#This Row],[COSTO COCHE]]/30)*Tabla1[[#This Row],[TOTAL DIAS PROYECTO]]</f>
        <v>0</v>
      </c>
      <c r="R5944" s="12">
        <f ca="1">+Tabla1[[#This Row],[COSTO TOTAL ALOJAMIENTO]]+Tabla1[[#This Row],[COSTO TOTAL COCHE]]</f>
        <v>0</v>
      </c>
      <c r="S5944" s="2"/>
      <c r="T5944" s="14" t="s">
        <v>8</v>
      </c>
      <c r="U5944" s="14">
        <v>46103</v>
      </c>
      <c r="V5944" s="79"/>
      <c r="W5944" s="12"/>
      <c r="X5944" s="2"/>
      <c r="Y5944" s="11" t="s">
        <v>7371</v>
      </c>
      <c r="Z5944" s="2" t="s">
        <v>702</v>
      </c>
      <c r="AA5944" s="13">
        <v>10.50447</v>
      </c>
      <c r="AB5944" s="13">
        <v>43.843690000000002</v>
      </c>
    </row>
    <row r="5945" spans="1:28" ht="15" customHeight="1">
      <c r="A5945" s="116" t="s">
        <v>8889</v>
      </c>
      <c r="B5945" s="349" t="s">
        <v>711</v>
      </c>
      <c r="C5945" s="136" t="s">
        <v>1171</v>
      </c>
      <c r="D5945" s="116" t="s">
        <v>30</v>
      </c>
      <c r="E5945" s="2" t="s">
        <v>1393</v>
      </c>
      <c r="F5945" s="136" t="s">
        <v>5919</v>
      </c>
      <c r="G5945" s="350" t="s">
        <v>4560</v>
      </c>
      <c r="H5945" s="116" t="s">
        <v>1396</v>
      </c>
      <c r="I5945" s="139" t="s">
        <v>1067</v>
      </c>
      <c r="J5945" s="342">
        <f>+Tabla1[[#This Row],[FECHA ENTRADA]]</f>
        <v>45828</v>
      </c>
      <c r="K5945" s="342">
        <f ca="1">TODAY()</f>
        <v>46260</v>
      </c>
      <c r="L5945" s="343">
        <f ca="1">_xlfn.DAYS(Tabla1[[#This Row],[FECHA FIN ]],Tabla1[[#This Row],[FECHA INICIO]])</f>
        <v>432</v>
      </c>
      <c r="M5945" s="139"/>
      <c r="N5945" s="344">
        <v>412.5</v>
      </c>
      <c r="O5945" s="344">
        <f ca="1">(Tabla1[[#This Row],[COSTO FIJO ]]/30)*Tabla1[[#This Row],[TOTAL DIAS PROYECTO]]+(Tabla1[[#This Row],[COSTO TEMPORAL]])</f>
        <v>5940</v>
      </c>
      <c r="P5945" s="139"/>
      <c r="Q5945" s="139">
        <f ca="1">+(Tabla1[[#This Row],[COSTO COCHE]]/30)*Tabla1[[#This Row],[TOTAL DIAS PROYECTO]]</f>
        <v>0</v>
      </c>
      <c r="R5945" s="139">
        <f ca="1">+Tabla1[[#This Row],[COSTO TOTAL ALOJAMIENTO]]+Tabla1[[#This Row],[COSTO TOTAL COCHE]]</f>
        <v>5940</v>
      </c>
      <c r="S5945" s="116"/>
      <c r="T5945" s="116" t="s">
        <v>35</v>
      </c>
      <c r="U5945" s="141">
        <v>45828</v>
      </c>
      <c r="V5945" s="351"/>
      <c r="W5945" s="139"/>
      <c r="X5945" s="116">
        <v>15</v>
      </c>
      <c r="Y5945" s="136"/>
      <c r="Z5945" s="116" t="s">
        <v>702</v>
      </c>
      <c r="AA5945" s="134" t="s">
        <v>10416</v>
      </c>
      <c r="AB5945" s="134" t="s">
        <v>10417</v>
      </c>
    </row>
    <row r="5946" spans="1:28" ht="15" customHeight="1">
      <c r="A5946" s="2" t="s">
        <v>9406</v>
      </c>
      <c r="B5946" s="2" t="s">
        <v>711</v>
      </c>
      <c r="C5946" s="11" t="s">
        <v>3075</v>
      </c>
      <c r="D5946" s="2" t="s">
        <v>99</v>
      </c>
      <c r="E5946" s="2" t="s">
        <v>87</v>
      </c>
      <c r="F5946" s="11" t="s">
        <v>1106</v>
      </c>
      <c r="G5946" s="46"/>
      <c r="H5946" s="2" t="s">
        <v>8050</v>
      </c>
      <c r="I5946" s="12" t="s">
        <v>2321</v>
      </c>
      <c r="J5946" s="41">
        <f>+Tabla1[[#This Row],[FECHA ENTRADA]]</f>
        <v>46134</v>
      </c>
      <c r="K5946" s="22">
        <f ca="1">TODAY()</f>
        <v>46260</v>
      </c>
      <c r="L5946" s="42">
        <f ca="1">_xlfn.DAYS(Tabla1[[#This Row],[FECHA FIN ]],Tabla1[[#This Row],[FECHA INICIO]])</f>
        <v>126</v>
      </c>
      <c r="M5946" s="12"/>
      <c r="N5946" s="28">
        <v>0</v>
      </c>
      <c r="O5946" s="28">
        <f ca="1">(Tabla1[[#This Row],[COSTO FIJO ]]/30)*Tabla1[[#This Row],[TOTAL DIAS PROYECTO]]+(Tabla1[[#This Row],[COSTO TEMPORAL]])</f>
        <v>0</v>
      </c>
      <c r="P5946" s="12"/>
      <c r="Q5946" s="12">
        <f ca="1">+(Tabla1[[#This Row],[COSTO COCHE]]/30)*Tabla1[[#This Row],[TOTAL DIAS PROYECTO]]</f>
        <v>0</v>
      </c>
      <c r="R5946" s="12">
        <f ca="1">+Tabla1[[#This Row],[COSTO TOTAL ALOJAMIENTO]]+Tabla1[[#This Row],[COSTO TOTAL COCHE]]</f>
        <v>0</v>
      </c>
      <c r="S5946" s="2"/>
      <c r="T5946" s="14" t="s">
        <v>8</v>
      </c>
      <c r="U5946" s="14">
        <v>46134</v>
      </c>
      <c r="V5946" s="43"/>
      <c r="W5946" s="12"/>
      <c r="X5946" s="2"/>
      <c r="Y5946" s="11" t="s">
        <v>7371</v>
      </c>
      <c r="Z5946" s="2" t="s">
        <v>702</v>
      </c>
      <c r="AA5946" s="13" t="s">
        <v>10335</v>
      </c>
      <c r="AB5946" s="13">
        <v>404.16500000000002</v>
      </c>
    </row>
    <row r="5947" spans="1:28" ht="15" customHeight="1">
      <c r="A5947" s="2" t="s">
        <v>9862</v>
      </c>
      <c r="B5947" s="2" t="s">
        <v>711</v>
      </c>
      <c r="C5947" s="11" t="s">
        <v>5097</v>
      </c>
      <c r="D5947" s="2" t="s">
        <v>749</v>
      </c>
      <c r="E5947" s="2" t="s">
        <v>4598</v>
      </c>
      <c r="F5947" s="11" t="s">
        <v>1106</v>
      </c>
      <c r="G5947" s="21"/>
      <c r="H5947" s="2" t="s">
        <v>7843</v>
      </c>
      <c r="I5947" s="12" t="s">
        <v>2862</v>
      </c>
      <c r="J5947" s="22">
        <f>+Tabla1[[#This Row],[FECHA ENTRADA]]</f>
        <v>46118</v>
      </c>
      <c r="K5947" s="22">
        <f ca="1">TODAY()</f>
        <v>46260</v>
      </c>
      <c r="L5947" s="23">
        <f ca="1">_xlfn.DAYS(Tabla1[[#This Row],[FECHA FIN ]],Tabla1[[#This Row],[FECHA INICIO]])</f>
        <v>142</v>
      </c>
      <c r="M5947" s="12"/>
      <c r="N5947" s="20">
        <v>0</v>
      </c>
      <c r="O5947" s="24">
        <f ca="1">(Tabla1[[#This Row],[COSTO FIJO ]]/30)*Tabla1[[#This Row],[TOTAL DIAS PROYECTO]]+(Tabla1[[#This Row],[COSTO TEMPORAL]])</f>
        <v>0</v>
      </c>
      <c r="P5947" s="12"/>
      <c r="Q5947" s="12">
        <f ca="1">+(Tabla1[[#This Row],[COSTO COCHE]]/30)*Tabla1[[#This Row],[TOTAL DIAS PROYECTO]]</f>
        <v>0</v>
      </c>
      <c r="R5947" s="12">
        <f ca="1">+Tabla1[[#This Row],[COSTO TOTAL ALOJAMIENTO]]+Tabla1[[#This Row],[COSTO TOTAL COCHE]]</f>
        <v>0</v>
      </c>
      <c r="S5947" s="2"/>
      <c r="T5947" s="14" t="s">
        <v>8</v>
      </c>
      <c r="U5947" s="14">
        <v>46118</v>
      </c>
      <c r="V5947" s="79"/>
      <c r="W5947" s="12"/>
      <c r="X5947" s="2"/>
      <c r="Y5947" s="11" t="s">
        <v>7371</v>
      </c>
      <c r="Z5947" s="2" t="s">
        <v>702</v>
      </c>
      <c r="AA5947" s="13">
        <v>10.50447</v>
      </c>
      <c r="AB5947" s="13">
        <v>43.843690000000002</v>
      </c>
    </row>
    <row r="5948" spans="1:28">
      <c r="A5948" s="2" t="s">
        <v>9638</v>
      </c>
      <c r="B5948" s="2" t="s">
        <v>711</v>
      </c>
      <c r="C5948" s="69" t="s">
        <v>4034</v>
      </c>
      <c r="D5948" s="2" t="s">
        <v>30</v>
      </c>
      <c r="E5948" s="2" t="s">
        <v>648</v>
      </c>
      <c r="F5948" s="11" t="s">
        <v>712</v>
      </c>
      <c r="G5948" t="s">
        <v>713</v>
      </c>
      <c r="H5948" s="2" t="s">
        <v>3440</v>
      </c>
      <c r="I5948" s="12" t="s">
        <v>96</v>
      </c>
      <c r="J5948" s="22">
        <f>+Tabla1[[#This Row],[FECHA ENTRADA]]</f>
        <v>46129</v>
      </c>
      <c r="K5948" s="22">
        <v>46146</v>
      </c>
      <c r="L5948" s="23">
        <f>_xlfn.DAYS(Tabla1[[#This Row],[FECHA FIN ]],Tabla1[[#This Row],[FECHA INICIO]])</f>
        <v>17</v>
      </c>
      <c r="M5948" s="12"/>
      <c r="N5948" s="24">
        <v>133.33333333333334</v>
      </c>
      <c r="O5948" s="24">
        <f>(Tabla1[[#This Row],[COSTO FIJO ]]/30)*Tabla1[[#This Row],[TOTAL DIAS PROYECTO]]+(Tabla1[[#This Row],[COSTO TEMPORAL]])</f>
        <v>75.555555555555557</v>
      </c>
      <c r="P5948" s="12"/>
      <c r="Q5948" s="12">
        <f>+(Tabla1[[#This Row],[COSTO COCHE]]/30)*Tabla1[[#This Row],[TOTAL DIAS PROYECTO]]</f>
        <v>0</v>
      </c>
      <c r="R5948" s="12">
        <f>+Tabla1[[#This Row],[COSTO TOTAL ALOJAMIENTO]]+Tabla1[[#This Row],[COSTO TOTAL COCHE]]</f>
        <v>75.555555555555557</v>
      </c>
      <c r="S5948" s="2"/>
      <c r="T5948" s="14" t="s">
        <v>35</v>
      </c>
      <c r="U5948" s="14">
        <v>46129</v>
      </c>
      <c r="V5948" s="79"/>
      <c r="W5948" s="12"/>
      <c r="X5948" s="2">
        <v>14</v>
      </c>
      <c r="Y5948" s="11" t="s">
        <v>8051</v>
      </c>
      <c r="Z5948" s="2" t="s">
        <v>36</v>
      </c>
      <c r="AA5948" s="13" t="s">
        <v>10387</v>
      </c>
      <c r="AB5948" s="13" t="s">
        <v>10388</v>
      </c>
    </row>
    <row r="5949" spans="1:28">
      <c r="A5949" s="2" t="s">
        <v>9092</v>
      </c>
      <c r="B5949" s="2" t="s">
        <v>606</v>
      </c>
      <c r="C5949" s="11" t="s">
        <v>1977</v>
      </c>
      <c r="D5949" s="2" t="s">
        <v>99</v>
      </c>
      <c r="E5949" s="2" t="s">
        <v>422</v>
      </c>
      <c r="F5949" s="11"/>
      <c r="G5949" s="46"/>
      <c r="H5949" s="2" t="s">
        <v>2856</v>
      </c>
      <c r="I5949" s="12" t="s">
        <v>2638</v>
      </c>
      <c r="J5949" s="41">
        <f>+Tabla1[[#This Row],[FECHA ENTRADA]]</f>
        <v>46174</v>
      </c>
      <c r="K5949" s="22">
        <f ca="1">TODAY()</f>
        <v>46260</v>
      </c>
      <c r="L5949" s="42">
        <f ca="1">_xlfn.DAYS(Tabla1[[#This Row],[FECHA FIN ]],Tabla1[[#This Row],[FECHA INICIO]])</f>
        <v>86</v>
      </c>
      <c r="M5949" s="12"/>
      <c r="N5949" s="28">
        <v>300</v>
      </c>
      <c r="O5949" s="28">
        <f ca="1">(Tabla1[[#This Row],[COSTO FIJO ]]/30)*Tabla1[[#This Row],[TOTAL DIAS PROYECTO]]+(Tabla1[[#This Row],[COSTO TEMPORAL]])</f>
        <v>860</v>
      </c>
      <c r="P5949" s="12"/>
      <c r="Q5949" s="12">
        <f ca="1">+(Tabla1[[#This Row],[COSTO COCHE]]/30)*Tabla1[[#This Row],[TOTAL DIAS PROYECTO]]</f>
        <v>0</v>
      </c>
      <c r="R5949" s="12">
        <f ca="1">+Tabla1[[#This Row],[COSTO TOTAL ALOJAMIENTO]]+Tabla1[[#This Row],[COSTO TOTAL COCHE]]</f>
        <v>860</v>
      </c>
      <c r="S5949" s="2"/>
      <c r="T5949" s="14" t="s">
        <v>58</v>
      </c>
      <c r="U5949" s="14">
        <v>46174</v>
      </c>
      <c r="V5949" s="43"/>
      <c r="W5949" s="12"/>
      <c r="X5949" s="2"/>
      <c r="Y5949" s="11"/>
      <c r="Z5949" s="2" t="s">
        <v>5712</v>
      </c>
      <c r="AA5949" s="13">
        <v>-326.69799999999998</v>
      </c>
      <c r="AB5949" s="13" t="s">
        <v>10373</v>
      </c>
    </row>
    <row r="5950" spans="1:28">
      <c r="A5950" s="2" t="s">
        <v>9284</v>
      </c>
      <c r="B5950" s="2" t="s">
        <v>978</v>
      </c>
      <c r="C5950" s="11" t="s">
        <v>2694</v>
      </c>
      <c r="D5950" s="2" t="s">
        <v>99</v>
      </c>
      <c r="E5950" s="2" t="s">
        <v>422</v>
      </c>
      <c r="F5950" s="11"/>
      <c r="G5950" s="46"/>
      <c r="H5950" s="2" t="s">
        <v>1431</v>
      </c>
      <c r="I5950" s="12" t="s">
        <v>2473</v>
      </c>
      <c r="J5950" s="41">
        <f>+Tabla1[[#This Row],[FECHA ENTRADA]]</f>
        <v>46174</v>
      </c>
      <c r="K5950" s="22">
        <f ca="1">TODAY()</f>
        <v>46260</v>
      </c>
      <c r="L5950" s="42">
        <f ca="1">_xlfn.DAYS(Tabla1[[#This Row],[FECHA FIN ]],Tabla1[[#This Row],[FECHA INICIO]])</f>
        <v>86</v>
      </c>
      <c r="M5950" s="12"/>
      <c r="N5950" s="28">
        <v>300</v>
      </c>
      <c r="O5950" s="28">
        <f ca="1">(Tabla1[[#This Row],[COSTO FIJO ]]/30)*Tabla1[[#This Row],[TOTAL DIAS PROYECTO]]+(Tabla1[[#This Row],[COSTO TEMPORAL]])</f>
        <v>860</v>
      </c>
      <c r="P5950" s="12"/>
      <c r="Q5950" s="12">
        <f ca="1">+(Tabla1[[#This Row],[COSTO COCHE]]/30)*Tabla1[[#This Row],[TOTAL DIAS PROYECTO]]</f>
        <v>0</v>
      </c>
      <c r="R5950" s="12">
        <f ca="1">+Tabla1[[#This Row],[COSTO TOTAL ALOJAMIENTO]]+Tabla1[[#This Row],[COSTO TOTAL COCHE]]</f>
        <v>860</v>
      </c>
      <c r="S5950" s="2"/>
      <c r="T5950" s="14" t="s">
        <v>58</v>
      </c>
      <c r="U5950" s="14">
        <v>46174</v>
      </c>
      <c r="V5950" s="43"/>
      <c r="W5950" s="12"/>
      <c r="X5950" s="2"/>
      <c r="Y5950" s="11" t="s">
        <v>7538</v>
      </c>
      <c r="Z5950" s="2" t="s">
        <v>5712</v>
      </c>
      <c r="AA5950" s="13">
        <v>-326.69799999999998</v>
      </c>
      <c r="AB5950" s="13" t="s">
        <v>10373</v>
      </c>
    </row>
    <row r="5951" spans="1:28" ht="15" customHeight="1">
      <c r="A5951" s="2" t="s">
        <v>8642</v>
      </c>
      <c r="B5951" s="2" t="s">
        <v>978</v>
      </c>
      <c r="C5951" s="31" t="s">
        <v>7699</v>
      </c>
      <c r="D5951" s="2" t="s">
        <v>99</v>
      </c>
      <c r="E5951" s="2" t="s">
        <v>109</v>
      </c>
      <c r="F5951" s="11" t="s">
        <v>7979</v>
      </c>
      <c r="G5951" s="21" t="s">
        <v>7980</v>
      </c>
      <c r="H5951" s="2" t="s">
        <v>7700</v>
      </c>
      <c r="I5951" s="12" t="s">
        <v>4681</v>
      </c>
      <c r="J5951" s="22">
        <f>+Tabla1[[#This Row],[FECHA ENTRADA]]</f>
        <v>46209</v>
      </c>
      <c r="K5951" s="22">
        <v>46214</v>
      </c>
      <c r="L5951" s="23">
        <f>_xlfn.DAYS(Tabla1[[#This Row],[FECHA FIN ]],Tabla1[[#This Row],[FECHA INICIO]])</f>
        <v>5</v>
      </c>
      <c r="M5951" s="12">
        <f>2301.37/4</f>
        <v>575.34249999999997</v>
      </c>
      <c r="N5951" s="20"/>
      <c r="O5951" s="24">
        <f>(Tabla1[[#This Row],[COSTO FIJO ]]/30)*Tabla1[[#This Row],[TOTAL DIAS PROYECTO]]+(Tabla1[[#This Row],[COSTO TEMPORAL]])</f>
        <v>575.34249999999997</v>
      </c>
      <c r="P5951" s="12"/>
      <c r="Q5951" s="12">
        <f>+(Tabla1[[#This Row],[COSTO COCHE]]/30)*Tabla1[[#This Row],[TOTAL DIAS PROYECTO]]</f>
        <v>0</v>
      </c>
      <c r="R5951" s="12">
        <f>+Tabla1[[#This Row],[COSTO TOTAL ALOJAMIENTO]]+Tabla1[[#This Row],[COSTO TOTAL COCHE]]</f>
        <v>575.34249999999997</v>
      </c>
      <c r="S5951" s="2" t="s">
        <v>84</v>
      </c>
      <c r="T5951" s="14" t="s">
        <v>44</v>
      </c>
      <c r="U5951" s="14">
        <v>46209</v>
      </c>
      <c r="V5951" s="79">
        <v>46240</v>
      </c>
      <c r="W5951" s="12"/>
      <c r="X5951" s="2"/>
      <c r="Y5951" s="11" t="s">
        <v>8052</v>
      </c>
      <c r="Z5951" s="2" t="s">
        <v>36</v>
      </c>
      <c r="AA5951" s="13">
        <v>0.62217999999999996</v>
      </c>
      <c r="AB5951" s="13" t="s">
        <v>10339</v>
      </c>
    </row>
    <row r="5952" spans="1:28" ht="15" customHeight="1">
      <c r="A5952" s="2" t="s">
        <v>10191</v>
      </c>
      <c r="B5952" s="2" t="s">
        <v>978</v>
      </c>
      <c r="C5952" s="31" t="s">
        <v>7034</v>
      </c>
      <c r="D5952" s="2" t="s">
        <v>99</v>
      </c>
      <c r="E5952" s="2" t="s">
        <v>109</v>
      </c>
      <c r="F5952" s="11" t="s">
        <v>7979</v>
      </c>
      <c r="G5952" s="21" t="s">
        <v>7980</v>
      </c>
      <c r="H5952" s="2" t="s">
        <v>7700</v>
      </c>
      <c r="I5952" s="12" t="s">
        <v>4681</v>
      </c>
      <c r="J5952" s="22">
        <f>+Tabla1[[#This Row],[FECHA ENTRADA]]</f>
        <v>46209</v>
      </c>
      <c r="K5952" s="22">
        <v>46214</v>
      </c>
      <c r="L5952" s="23">
        <f>_xlfn.DAYS(Tabla1[[#This Row],[FECHA FIN ]],Tabla1[[#This Row],[FECHA INICIO]])</f>
        <v>5</v>
      </c>
      <c r="M5952" s="12">
        <f>2301.37/4</f>
        <v>575.34249999999997</v>
      </c>
      <c r="N5952" s="20"/>
      <c r="O5952" s="24">
        <f>(Tabla1[[#This Row],[COSTO FIJO ]]/30)*Tabla1[[#This Row],[TOTAL DIAS PROYECTO]]+(Tabla1[[#This Row],[COSTO TEMPORAL]])</f>
        <v>575.34249999999997</v>
      </c>
      <c r="P5952" s="12"/>
      <c r="Q5952" s="12">
        <f>+(Tabla1[[#This Row],[COSTO COCHE]]/30)*Tabla1[[#This Row],[TOTAL DIAS PROYECTO]]</f>
        <v>0</v>
      </c>
      <c r="R5952" s="12">
        <f>+Tabla1[[#This Row],[COSTO TOTAL ALOJAMIENTO]]+Tabla1[[#This Row],[COSTO TOTAL COCHE]]</f>
        <v>575.34249999999997</v>
      </c>
      <c r="S5952" s="2" t="s">
        <v>84</v>
      </c>
      <c r="T5952" s="14" t="s">
        <v>44</v>
      </c>
      <c r="U5952" s="14">
        <v>46209</v>
      </c>
      <c r="V5952" s="79">
        <v>46240</v>
      </c>
      <c r="W5952" s="12"/>
      <c r="X5952" s="2"/>
      <c r="Y5952" s="11" t="s">
        <v>7999</v>
      </c>
      <c r="Z5952" s="2" t="s">
        <v>36</v>
      </c>
      <c r="AA5952" s="13">
        <v>0.62217999999999996</v>
      </c>
      <c r="AB5952" s="13" t="s">
        <v>10339</v>
      </c>
    </row>
    <row r="5953" spans="1:28" ht="15" customHeight="1">
      <c r="A5953" s="2" t="s">
        <v>9815</v>
      </c>
      <c r="B5953" s="2" t="s">
        <v>978</v>
      </c>
      <c r="C5953" s="31" t="s">
        <v>4878</v>
      </c>
      <c r="D5953" s="2" t="s">
        <v>99</v>
      </c>
      <c r="E5953" s="2" t="s">
        <v>109</v>
      </c>
      <c r="F5953" s="11" t="s">
        <v>7979</v>
      </c>
      <c r="G5953" s="21" t="s">
        <v>7980</v>
      </c>
      <c r="H5953" s="2" t="s">
        <v>7700</v>
      </c>
      <c r="I5953" s="12" t="s">
        <v>4681</v>
      </c>
      <c r="J5953" s="22">
        <f>+Tabla1[[#This Row],[FECHA ENTRADA]]</f>
        <v>46209</v>
      </c>
      <c r="K5953" s="22">
        <v>46214</v>
      </c>
      <c r="L5953" s="23">
        <f>_xlfn.DAYS(Tabla1[[#This Row],[FECHA FIN ]],Tabla1[[#This Row],[FECHA INICIO]])</f>
        <v>5</v>
      </c>
      <c r="M5953" s="12">
        <f>2301.37/4</f>
        <v>575.34249999999997</v>
      </c>
      <c r="N5953" s="20"/>
      <c r="O5953" s="24">
        <f>(Tabla1[[#This Row],[COSTO FIJO ]]/30)*Tabla1[[#This Row],[TOTAL DIAS PROYECTO]]+(Tabla1[[#This Row],[COSTO TEMPORAL]])</f>
        <v>575.34249999999997</v>
      </c>
      <c r="P5953" s="12"/>
      <c r="Q5953" s="12">
        <f>+(Tabla1[[#This Row],[COSTO COCHE]]/30)*Tabla1[[#This Row],[TOTAL DIAS PROYECTO]]</f>
        <v>0</v>
      </c>
      <c r="R5953" s="12">
        <f>+Tabla1[[#This Row],[COSTO TOTAL ALOJAMIENTO]]+Tabla1[[#This Row],[COSTO TOTAL COCHE]]</f>
        <v>575.34249999999997</v>
      </c>
      <c r="S5953" s="2" t="s">
        <v>84</v>
      </c>
      <c r="T5953" s="14" t="s">
        <v>44</v>
      </c>
      <c r="U5953" s="14">
        <v>46209</v>
      </c>
      <c r="V5953" s="79">
        <v>46240</v>
      </c>
      <c r="W5953" s="12"/>
      <c r="X5953" s="2"/>
      <c r="Y5953" s="11" t="s">
        <v>8053</v>
      </c>
      <c r="Z5953" s="2" t="s">
        <v>36</v>
      </c>
      <c r="AA5953" s="13">
        <v>0.62217999999999996</v>
      </c>
      <c r="AB5953" s="13" t="s">
        <v>10339</v>
      </c>
    </row>
    <row r="5954" spans="1:28" ht="15" customHeight="1">
      <c r="A5954" s="2" t="s">
        <v>8642</v>
      </c>
      <c r="B5954" s="2" t="s">
        <v>978</v>
      </c>
      <c r="C5954" s="31" t="s">
        <v>7708</v>
      </c>
      <c r="D5954" s="2" t="s">
        <v>99</v>
      </c>
      <c r="E5954" s="2" t="s">
        <v>109</v>
      </c>
      <c r="F5954" s="11" t="s">
        <v>7979</v>
      </c>
      <c r="G5954" s="21" t="s">
        <v>7980</v>
      </c>
      <c r="H5954" s="2" t="s">
        <v>7700</v>
      </c>
      <c r="I5954" s="12" t="s">
        <v>4681</v>
      </c>
      <c r="J5954" s="22">
        <f>+Tabla1[[#This Row],[FECHA ENTRADA]]</f>
        <v>46209</v>
      </c>
      <c r="K5954" s="22">
        <v>46214</v>
      </c>
      <c r="L5954" s="23">
        <f>_xlfn.DAYS(Tabla1[[#This Row],[FECHA FIN ]],Tabla1[[#This Row],[FECHA INICIO]])</f>
        <v>5</v>
      </c>
      <c r="M5954" s="12">
        <f>2301.37/4</f>
        <v>575.34249999999997</v>
      </c>
      <c r="N5954" s="20"/>
      <c r="O5954" s="24">
        <f>(Tabla1[[#This Row],[COSTO FIJO ]]/30)*Tabla1[[#This Row],[TOTAL DIAS PROYECTO]]+(Tabla1[[#This Row],[COSTO TEMPORAL]])</f>
        <v>575.34249999999997</v>
      </c>
      <c r="P5954" s="12"/>
      <c r="Q5954" s="12">
        <f>+(Tabla1[[#This Row],[COSTO COCHE]]/30)*Tabla1[[#This Row],[TOTAL DIAS PROYECTO]]</f>
        <v>0</v>
      </c>
      <c r="R5954" s="12">
        <f>+Tabla1[[#This Row],[COSTO TOTAL ALOJAMIENTO]]+Tabla1[[#This Row],[COSTO TOTAL COCHE]]</f>
        <v>575.34249999999997</v>
      </c>
      <c r="S5954" s="2" t="s">
        <v>84</v>
      </c>
      <c r="T5954" s="14" t="s">
        <v>44</v>
      </c>
      <c r="U5954" s="14">
        <v>46209</v>
      </c>
      <c r="V5954" s="79">
        <v>46240</v>
      </c>
      <c r="W5954" s="12"/>
      <c r="X5954" s="2"/>
      <c r="Y5954" s="11" t="s">
        <v>8054</v>
      </c>
      <c r="Z5954" s="2" t="s">
        <v>36</v>
      </c>
      <c r="AA5954" s="13">
        <v>0.62217999999999996</v>
      </c>
      <c r="AB5954" s="13" t="s">
        <v>10339</v>
      </c>
    </row>
    <row r="5955" spans="1:28" ht="15" customHeight="1">
      <c r="A5955" s="2" t="s">
        <v>9932</v>
      </c>
      <c r="B5955" s="2" t="s">
        <v>711</v>
      </c>
      <c r="C5955" s="11" t="s">
        <v>5527</v>
      </c>
      <c r="D5955" s="2" t="s">
        <v>30</v>
      </c>
      <c r="E5955" s="2" t="s">
        <v>31</v>
      </c>
      <c r="F5955" s="11"/>
      <c r="G5955" s="11"/>
      <c r="H5955" s="2" t="s">
        <v>5530</v>
      </c>
      <c r="I5955" s="12" t="s">
        <v>5531</v>
      </c>
      <c r="J5955" s="22">
        <f>+Tabla1[[#This Row],[FECHA ENTRADA]]</f>
        <v>46112</v>
      </c>
      <c r="K5955" s="22">
        <f ca="1">TODAY()</f>
        <v>46260</v>
      </c>
      <c r="L5955" s="23">
        <f ca="1">_xlfn.DAYS(Tabla1[[#This Row],[FECHA FIN ]],Tabla1[[#This Row],[FECHA INICIO]])</f>
        <v>148</v>
      </c>
      <c r="M5955" s="12"/>
      <c r="N5955" s="24">
        <v>300</v>
      </c>
      <c r="O5955" s="24">
        <f ca="1">(Tabla1[[#This Row],[COSTO FIJO ]]/30)*Tabla1[[#This Row],[TOTAL DIAS PROYECTO]]+(Tabla1[[#This Row],[COSTO TEMPORAL]])</f>
        <v>1480</v>
      </c>
      <c r="P5955" s="12"/>
      <c r="Q5955" s="12">
        <f ca="1">+(Tabla1[[#This Row],[COSTO COCHE]]/30)*Tabla1[[#This Row],[TOTAL DIAS PROYECTO]]</f>
        <v>0</v>
      </c>
      <c r="R5955" s="12">
        <f ca="1">+Tabla1[[#This Row],[COSTO TOTAL ALOJAMIENTO]]+Tabla1[[#This Row],[COSTO TOTAL COCHE]]</f>
        <v>1480</v>
      </c>
      <c r="S5955" s="2"/>
      <c r="T5955" s="14" t="s">
        <v>58</v>
      </c>
      <c r="U5955" s="14">
        <v>46112</v>
      </c>
      <c r="V5955" s="25"/>
      <c r="W5955" s="12"/>
      <c r="X5955" s="2"/>
      <c r="Y5955" s="11" t="s">
        <v>8055</v>
      </c>
      <c r="Z5955" s="2" t="s">
        <v>702</v>
      </c>
      <c r="AA5955" s="13" t="s">
        <v>10323</v>
      </c>
      <c r="AB5955" s="13" t="s">
        <v>10324</v>
      </c>
    </row>
    <row r="5956" spans="1:28" ht="15" customHeight="1">
      <c r="A5956" s="2" t="s">
        <v>9638</v>
      </c>
      <c r="B5956" s="2" t="s">
        <v>711</v>
      </c>
      <c r="C5956" s="31" t="s">
        <v>4034</v>
      </c>
      <c r="D5956" s="2" t="s">
        <v>30</v>
      </c>
      <c r="E5956" s="2" t="s">
        <v>855</v>
      </c>
      <c r="F5956" s="11" t="s">
        <v>5772</v>
      </c>
      <c r="G5956" s="49" t="s">
        <v>1474</v>
      </c>
      <c r="H5956" s="2" t="s">
        <v>8056</v>
      </c>
      <c r="I5956" s="12" t="s">
        <v>96</v>
      </c>
      <c r="J5956" s="22">
        <f>+Tabla1[[#This Row],[FECHA ENTRADA]]</f>
        <v>46068</v>
      </c>
      <c r="K5956" s="8">
        <v>46129</v>
      </c>
      <c r="L5956" s="23">
        <f>_xlfn.DAYS(Tabla1[[#This Row],[FECHA FIN ]],Tabla1[[#This Row],[FECHA INICIO]])</f>
        <v>61</v>
      </c>
      <c r="N5956" s="24"/>
      <c r="O5956" s="24">
        <f>(Tabla1[[#This Row],[COSTO FIJO ]]/30)*Tabla1[[#This Row],[TOTAL DIAS PROYECTO]]+(Tabla1[[#This Row],[COSTO TEMPORAL]])</f>
        <v>0</v>
      </c>
      <c r="P5956" s="12"/>
      <c r="Q5956" s="12">
        <f>+(Tabla1[[#This Row],[COSTO COCHE]]/30)*Tabla1[[#This Row],[TOTAL DIAS PROYECTO]]</f>
        <v>0</v>
      </c>
      <c r="R5956" s="12">
        <f>+Tabla1[[#This Row],[COSTO TOTAL ALOJAMIENTO]]+Tabla1[[#This Row],[COSTO TOTAL COCHE]]</f>
        <v>0</v>
      </c>
      <c r="S5956" s="2"/>
      <c r="T5956" s="14" t="s">
        <v>44</v>
      </c>
      <c r="U5956" s="14">
        <v>46068</v>
      </c>
      <c r="V5956" s="25">
        <v>46156</v>
      </c>
      <c r="W5956" s="12"/>
      <c r="X5956" s="2"/>
      <c r="Y5956" s="11" t="s">
        <v>8057</v>
      </c>
      <c r="Z5956" s="2" t="s">
        <v>36</v>
      </c>
      <c r="AA5956" s="13" t="s">
        <v>10401</v>
      </c>
      <c r="AB5956" s="13" t="s">
        <v>10402</v>
      </c>
    </row>
    <row r="5957" spans="1:28" ht="15" customHeight="1">
      <c r="A5957" s="2" t="s">
        <v>8642</v>
      </c>
      <c r="B5957" s="2" t="s">
        <v>711</v>
      </c>
      <c r="C5957" s="30" t="s">
        <v>8058</v>
      </c>
      <c r="D5957" s="2" t="s">
        <v>30</v>
      </c>
      <c r="E5957" s="2" t="s">
        <v>87</v>
      </c>
      <c r="F5957" s="11"/>
      <c r="G5957" s="46"/>
      <c r="H5957" s="2" t="s">
        <v>6347</v>
      </c>
      <c r="I5957" s="12" t="s">
        <v>96</v>
      </c>
      <c r="J5957" s="41">
        <f>+Tabla1[[#This Row],[FECHA ENTRADA]]</f>
        <v>46173</v>
      </c>
      <c r="K5957" s="22">
        <f ca="1">TODAY()</f>
        <v>46260</v>
      </c>
      <c r="L5957" s="42">
        <f ca="1">_xlfn.DAYS(Tabla1[[#This Row],[FECHA FIN ]],Tabla1[[#This Row],[FECHA INICIO]])</f>
        <v>87</v>
      </c>
      <c r="M5957" s="12"/>
      <c r="N5957" s="28">
        <v>0</v>
      </c>
      <c r="O5957" s="28">
        <f ca="1">(Tabla1[[#This Row],[COSTO FIJO ]]/30)*Tabla1[[#This Row],[TOTAL DIAS PROYECTO]]+(Tabla1[[#This Row],[COSTO TEMPORAL]])</f>
        <v>0</v>
      </c>
      <c r="P5957" s="12"/>
      <c r="Q5957" s="12">
        <f ca="1">+(Tabla1[[#This Row],[COSTO COCHE]]/30)*Tabla1[[#This Row],[TOTAL DIAS PROYECTO]]</f>
        <v>0</v>
      </c>
      <c r="R5957" s="12">
        <f ca="1">+Tabla1[[#This Row],[COSTO TOTAL ALOJAMIENTO]]+Tabla1[[#This Row],[COSTO TOTAL COCHE]]</f>
        <v>0</v>
      </c>
      <c r="S5957" s="2"/>
      <c r="T5957" s="14" t="s">
        <v>8</v>
      </c>
      <c r="U5957" s="14">
        <v>46173</v>
      </c>
      <c r="V5957" s="43"/>
      <c r="W5957" s="12"/>
      <c r="X5957" s="2"/>
      <c r="Y5957" s="11" t="s">
        <v>7371</v>
      </c>
      <c r="Z5957" s="2" t="s">
        <v>702</v>
      </c>
      <c r="AA5957" s="13" t="s">
        <v>10335</v>
      </c>
      <c r="AB5957" s="13">
        <v>404.16500000000002</v>
      </c>
    </row>
    <row r="5958" spans="1:28">
      <c r="A5958" s="2" t="s">
        <v>9462</v>
      </c>
      <c r="B5958" s="2" t="s">
        <v>606</v>
      </c>
      <c r="C5958" s="31" t="s">
        <v>3271</v>
      </c>
      <c r="D5958" s="2" t="s">
        <v>30</v>
      </c>
      <c r="E5958" s="2" t="s">
        <v>855</v>
      </c>
      <c r="F5958" s="31" t="s">
        <v>8059</v>
      </c>
      <c r="G5958" s="30">
        <v>692691131</v>
      </c>
      <c r="H5958" s="2" t="s">
        <v>3273</v>
      </c>
      <c r="I5958" s="12" t="s">
        <v>3274</v>
      </c>
      <c r="J5958" s="41">
        <f>+Tabla1[[#This Row],[FECHA ENTRADA]]</f>
        <v>46256</v>
      </c>
      <c r="K5958" s="41">
        <v>46259</v>
      </c>
      <c r="L5958" s="42">
        <f>_xlfn.DAYS(Tabla1[[#This Row],[FECHA FIN ]],Tabla1[[#This Row],[FECHA INICIO]])</f>
        <v>3</v>
      </c>
      <c r="M5958" s="12"/>
      <c r="N5958" s="28">
        <v>105</v>
      </c>
      <c r="O5958" s="28">
        <f>(Tabla1[[#This Row],[COSTO FIJO ]]/30)*Tabla1[[#This Row],[TOTAL DIAS PROYECTO]]+(Tabla1[[#This Row],[COSTO TEMPORAL]])</f>
        <v>10.5</v>
      </c>
      <c r="P5958" s="12"/>
      <c r="Q5958" s="12">
        <f>+(Tabla1[[#This Row],[COSTO COCHE]]/30)*Tabla1[[#This Row],[TOTAL DIAS PROYECTO]]</f>
        <v>0</v>
      </c>
      <c r="R5958" s="12">
        <f>+Tabla1[[#This Row],[COSTO TOTAL ALOJAMIENTO]]+Tabla1[[#This Row],[COSTO TOTAL COCHE]]</f>
        <v>10.5</v>
      </c>
      <c r="S5958" s="2"/>
      <c r="T5958" s="14" t="s">
        <v>44</v>
      </c>
      <c r="U5958" s="14">
        <v>46256</v>
      </c>
      <c r="V5958" s="43">
        <v>46259</v>
      </c>
      <c r="W5958" s="12"/>
      <c r="X5958" s="2"/>
      <c r="Y5958" s="11" t="s">
        <v>8060</v>
      </c>
      <c r="Z5958" s="2" t="s">
        <v>36</v>
      </c>
      <c r="AA5958" s="13" t="s">
        <v>10401</v>
      </c>
      <c r="AB5958" s="13" t="s">
        <v>10402</v>
      </c>
    </row>
    <row r="5959" spans="1:28" ht="15" customHeight="1">
      <c r="A5959" s="2" t="s">
        <v>9933</v>
      </c>
      <c r="B5959" s="2" t="s">
        <v>606</v>
      </c>
      <c r="C5959" s="31" t="s">
        <v>5533</v>
      </c>
      <c r="D5959" s="2" t="s">
        <v>30</v>
      </c>
      <c r="E5959" s="2" t="s">
        <v>855</v>
      </c>
      <c r="F5959" s="31" t="s">
        <v>8059</v>
      </c>
      <c r="G5959" s="30">
        <v>692691131</v>
      </c>
      <c r="H5959" s="2" t="s">
        <v>3273</v>
      </c>
      <c r="I5959" s="12" t="s">
        <v>3274</v>
      </c>
      <c r="J5959" s="41">
        <f>+Tabla1[[#This Row],[FECHA ENTRADA]]</f>
        <v>46256</v>
      </c>
      <c r="K5959" s="41">
        <v>46259</v>
      </c>
      <c r="L5959" s="42">
        <f>_xlfn.DAYS(Tabla1[[#This Row],[FECHA FIN ]],Tabla1[[#This Row],[FECHA INICIO]])</f>
        <v>3</v>
      </c>
      <c r="M5959" s="12"/>
      <c r="N5959" s="28">
        <v>105</v>
      </c>
      <c r="O5959" s="28">
        <f>(Tabla1[[#This Row],[COSTO FIJO ]]/30)*Tabla1[[#This Row],[TOTAL DIAS PROYECTO]]+(Tabla1[[#This Row],[COSTO TEMPORAL]])</f>
        <v>10.5</v>
      </c>
      <c r="P5959" s="12"/>
      <c r="Q5959" s="12">
        <f>+(Tabla1[[#This Row],[COSTO COCHE]]/30)*Tabla1[[#This Row],[TOTAL DIAS PROYECTO]]</f>
        <v>0</v>
      </c>
      <c r="R5959" s="12">
        <f>+Tabla1[[#This Row],[COSTO TOTAL ALOJAMIENTO]]+Tabla1[[#This Row],[COSTO TOTAL COCHE]]</f>
        <v>10.5</v>
      </c>
      <c r="S5959" s="2"/>
      <c r="T5959" s="14" t="s">
        <v>44</v>
      </c>
      <c r="U5959" s="14">
        <v>46256</v>
      </c>
      <c r="V5959" s="43">
        <v>46259</v>
      </c>
      <c r="W5959" s="12"/>
      <c r="X5959" s="2"/>
      <c r="Y5959" s="11" t="s">
        <v>8060</v>
      </c>
      <c r="Z5959" s="2" t="s">
        <v>36</v>
      </c>
      <c r="AA5959" s="13" t="s">
        <v>10401</v>
      </c>
      <c r="AB5959" s="13" t="s">
        <v>10402</v>
      </c>
    </row>
    <row r="5960" spans="1:28">
      <c r="A5960" s="2" t="s">
        <v>8642</v>
      </c>
      <c r="B5960" s="117" t="s">
        <v>606</v>
      </c>
      <c r="C5960" s="118" t="s">
        <v>7824</v>
      </c>
      <c r="D5960" s="117" t="s">
        <v>30</v>
      </c>
      <c r="E5960" s="117" t="s">
        <v>6794</v>
      </c>
      <c r="F5960" s="118" t="s">
        <v>8061</v>
      </c>
      <c r="G5960" s="68">
        <v>927411034</v>
      </c>
      <c r="H5960" s="117" t="s">
        <v>7827</v>
      </c>
      <c r="I5960" s="119" t="s">
        <v>5443</v>
      </c>
      <c r="J5960" s="120">
        <f>+Tabla1[[#This Row],[FECHA ENTRADA]]</f>
        <v>46211</v>
      </c>
      <c r="K5960" s="121">
        <v>46214</v>
      </c>
      <c r="L5960" s="122">
        <f>_xlfn.DAYS(Tabla1[[#This Row],[FECHA FIN ]],Tabla1[[#This Row],[FECHA INICIO]])</f>
        <v>3</v>
      </c>
      <c r="M5960" s="119">
        <v>96</v>
      </c>
      <c r="N5960" s="123"/>
      <c r="O5960" s="123">
        <f>(Tabla1[[#This Row],[COSTO FIJO ]]/30)*Tabla1[[#This Row],[TOTAL DIAS PROYECTO]]+(Tabla1[[#This Row],[COSTO TEMPORAL]])</f>
        <v>96</v>
      </c>
      <c r="P5960" s="119"/>
      <c r="Q5960" s="119">
        <f>+(Tabla1[[#This Row],[COSTO COCHE]]/30)*Tabla1[[#This Row],[TOTAL DIAS PROYECTO]]</f>
        <v>0</v>
      </c>
      <c r="R5960" s="119">
        <f>+Tabla1[[#This Row],[COSTO TOTAL ALOJAMIENTO]]+Tabla1[[#This Row],[COSTO TOTAL COCHE]]</f>
        <v>96</v>
      </c>
      <c r="S5960" s="117"/>
      <c r="T5960" s="124" t="s">
        <v>44</v>
      </c>
      <c r="U5960" s="124">
        <v>46211</v>
      </c>
      <c r="V5960" s="159">
        <v>46214</v>
      </c>
      <c r="W5960" s="119"/>
      <c r="X5960" s="117"/>
      <c r="Y5960" s="118" t="s">
        <v>8062</v>
      </c>
      <c r="Z5960" s="2" t="s">
        <v>36</v>
      </c>
      <c r="AA5960" s="13">
        <v>-6.0884499999999999</v>
      </c>
      <c r="AB5960" s="13">
        <v>40.03116</v>
      </c>
    </row>
    <row r="5961" spans="1:28">
      <c r="A5961" s="2" t="s">
        <v>10314</v>
      </c>
      <c r="B5961" s="2" t="s">
        <v>28</v>
      </c>
      <c r="C5961" s="11" t="s">
        <v>8063</v>
      </c>
      <c r="D5961" s="2" t="s">
        <v>30</v>
      </c>
      <c r="E5961" s="2" t="s">
        <v>648</v>
      </c>
      <c r="F5961" s="11" t="s">
        <v>1544</v>
      </c>
      <c r="G5961" s="11" t="s">
        <v>1545</v>
      </c>
      <c r="H5961" s="2" t="s">
        <v>7037</v>
      </c>
      <c r="I5961" s="12" t="s">
        <v>96</v>
      </c>
      <c r="J5961" s="8">
        <v>45550</v>
      </c>
      <c r="K5961" s="8">
        <v>45937</v>
      </c>
      <c r="L5961" s="13">
        <f>_xlfn.DAYS(Tabla1[[#This Row],[FECHA FIN ]],Tabla1[[#This Row],[FECHA INICIO]])</f>
        <v>387</v>
      </c>
      <c r="M5961" s="12"/>
      <c r="N5961" s="12"/>
      <c r="O5961" s="28">
        <f>(Tabla1[[#This Row],[COSTO FIJO ]]/30)*Tabla1[[#This Row],[TOTAL DIAS PROYECTO]]+(Tabla1[[#This Row],[COSTO TEMPORAL]])</f>
        <v>0</v>
      </c>
      <c r="P5961" s="12"/>
      <c r="Q5961" s="12">
        <v>0</v>
      </c>
      <c r="R5961" s="12"/>
      <c r="S5961" s="2"/>
      <c r="T5961" s="2" t="s">
        <v>35</v>
      </c>
      <c r="U5961" s="14">
        <v>45550</v>
      </c>
      <c r="V5961" s="14"/>
      <c r="W5961" s="26"/>
      <c r="X5961" s="2">
        <v>1</v>
      </c>
      <c r="Y5961" s="11" t="s">
        <v>8064</v>
      </c>
      <c r="Z5961" s="2" t="s">
        <v>36</v>
      </c>
      <c r="AA5961" s="13" t="s">
        <v>10387</v>
      </c>
      <c r="AB5961" s="13" t="s">
        <v>10388</v>
      </c>
    </row>
    <row r="5962" spans="1:28" ht="15" customHeight="1">
      <c r="A5962" s="2" t="s">
        <v>9740</v>
      </c>
      <c r="B5962" s="2" t="s">
        <v>606</v>
      </c>
      <c r="C5962" s="118" t="s">
        <v>4508</v>
      </c>
      <c r="D5962" s="2" t="s">
        <v>30</v>
      </c>
      <c r="E5962" s="2" t="s">
        <v>213</v>
      </c>
      <c r="F5962" s="11" t="s">
        <v>1733</v>
      </c>
      <c r="G5962" s="21" t="s">
        <v>1734</v>
      </c>
      <c r="H5962" s="2" t="s">
        <v>5149</v>
      </c>
      <c r="I5962" s="12" t="s">
        <v>1043</v>
      </c>
      <c r="J5962" s="41">
        <f>+Tabla1[[#This Row],[FECHA ENTRADA]]</f>
        <v>46133</v>
      </c>
      <c r="K5962" s="22">
        <v>46239</v>
      </c>
      <c r="L5962" s="42">
        <f>_xlfn.DAYS(Tabla1[[#This Row],[FECHA FIN ]],Tabla1[[#This Row],[FECHA INICIO]])</f>
        <v>106</v>
      </c>
      <c r="M5962" s="12"/>
      <c r="N5962" s="12">
        <f>1461.19/4</f>
        <v>365.29750000000001</v>
      </c>
      <c r="O5962" s="28">
        <f>(Tabla1[[#This Row],[COSTO FIJO ]]/30)*Tabla1[[#This Row],[TOTAL DIAS PROYECTO]]+(Tabla1[[#This Row],[COSTO TEMPORAL]])</f>
        <v>1290.7178333333334</v>
      </c>
      <c r="P5962" s="12"/>
      <c r="Q5962" s="12">
        <f>+(Tabla1[[#This Row],[COSTO COCHE]]/30)*Tabla1[[#This Row],[TOTAL DIAS PROYECTO]]</f>
        <v>0</v>
      </c>
      <c r="R5962" s="12">
        <f>+Tabla1[[#This Row],[COSTO TOTAL ALOJAMIENTO]]+Tabla1[[#This Row],[COSTO TOTAL COCHE]]</f>
        <v>1290.7178333333334</v>
      </c>
      <c r="S5962" s="2"/>
      <c r="T5962" s="14" t="s">
        <v>35</v>
      </c>
      <c r="U5962" s="14">
        <v>46133</v>
      </c>
      <c r="V5962" s="43"/>
      <c r="W5962" s="12"/>
      <c r="X5962" s="2">
        <v>20</v>
      </c>
      <c r="Y5962" s="11" t="s">
        <v>8065</v>
      </c>
      <c r="Z5962" s="2" t="s">
        <v>36</v>
      </c>
      <c r="AA5962" s="13" t="s">
        <v>10349</v>
      </c>
      <c r="AB5962" s="13" t="s">
        <v>10350</v>
      </c>
    </row>
    <row r="5963" spans="1:28" ht="15" customHeight="1">
      <c r="A5963" s="2" t="s">
        <v>9142</v>
      </c>
      <c r="B5963" s="2" t="s">
        <v>606</v>
      </c>
      <c r="C5963" s="239" t="s">
        <v>2192</v>
      </c>
      <c r="D5963" s="2" t="s">
        <v>30</v>
      </c>
      <c r="E5963" s="2" t="s">
        <v>213</v>
      </c>
      <c r="F5963" s="11" t="s">
        <v>1733</v>
      </c>
      <c r="G5963" s="21" t="s">
        <v>1734</v>
      </c>
      <c r="H5963" s="2" t="s">
        <v>8066</v>
      </c>
      <c r="I5963" s="10" t="s">
        <v>3364</v>
      </c>
      <c r="J5963" s="22">
        <f>+Tabla1[[#This Row],[FECHA ENTRADA]]</f>
        <v>46061</v>
      </c>
      <c r="K5963" s="41">
        <v>46238</v>
      </c>
      <c r="L5963" s="23">
        <f>_xlfn.DAYS(Tabla1[[#This Row],[FECHA FIN ]],Tabla1[[#This Row],[FECHA INICIO]])</f>
        <v>177</v>
      </c>
      <c r="M5963" s="12"/>
      <c r="N5963" s="12">
        <f>1461.19/4</f>
        <v>365.29750000000001</v>
      </c>
      <c r="O5963" s="24">
        <f>(Tabla1[[#This Row],[COSTO FIJO ]]/30)*Tabla1[[#This Row],[TOTAL DIAS PROYECTO]]+(Tabla1[[#This Row],[COSTO TEMPORAL]])</f>
        <v>2155.2552500000002</v>
      </c>
      <c r="P5963" s="12"/>
      <c r="Q5963" s="12">
        <f>+(Tabla1[[#This Row],[COSTO COCHE]]/30)*Tabla1[[#This Row],[TOTAL DIAS PROYECTO]]</f>
        <v>0</v>
      </c>
      <c r="R5963" s="12">
        <f>+Tabla1[[#This Row],[COSTO TOTAL ALOJAMIENTO]]+Tabla1[[#This Row],[COSTO TOTAL COCHE]]</f>
        <v>2155.2552500000002</v>
      </c>
      <c r="S5963" s="2"/>
      <c r="T5963" s="14" t="s">
        <v>35</v>
      </c>
      <c r="U5963" s="14">
        <v>46061</v>
      </c>
      <c r="V5963" s="79"/>
      <c r="W5963" s="12"/>
      <c r="X5963" s="2">
        <v>20</v>
      </c>
      <c r="Y5963" s="11" t="s">
        <v>8067</v>
      </c>
      <c r="Z5963" s="2" t="s">
        <v>36</v>
      </c>
      <c r="AA5963" s="13" t="s">
        <v>10349</v>
      </c>
      <c r="AB5963" s="13" t="s">
        <v>10350</v>
      </c>
    </row>
    <row r="5964" spans="1:28" ht="15" customHeight="1">
      <c r="A5964" s="2" t="s">
        <v>8642</v>
      </c>
      <c r="B5964" s="2" t="s">
        <v>711</v>
      </c>
      <c r="C5964" s="11" t="s">
        <v>8068</v>
      </c>
      <c r="D5964" s="2" t="s">
        <v>30</v>
      </c>
      <c r="E5964" s="2" t="s">
        <v>648</v>
      </c>
      <c r="F5964" s="11"/>
      <c r="G5964" s="46"/>
      <c r="H5964" s="2" t="s">
        <v>8069</v>
      </c>
      <c r="I5964" s="12" t="s">
        <v>96</v>
      </c>
      <c r="J5964" s="41">
        <f>+Tabla1[[#This Row],[FECHA ENTRADA]]</f>
        <v>46223</v>
      </c>
      <c r="K5964" s="22">
        <f ca="1">TODAY()</f>
        <v>46260</v>
      </c>
      <c r="L5964" s="42">
        <f ca="1">_xlfn.DAYS(Tabla1[[#This Row],[FECHA FIN ]],Tabla1[[#This Row],[FECHA INICIO]])</f>
        <v>37</v>
      </c>
      <c r="M5964" s="12"/>
      <c r="N5964" s="28">
        <v>0</v>
      </c>
      <c r="O5964" s="28">
        <f ca="1">(Tabla1[[#This Row],[COSTO FIJO ]]/30)*Tabla1[[#This Row],[TOTAL DIAS PROYECTO]]+(Tabla1[[#This Row],[COSTO TEMPORAL]])</f>
        <v>0</v>
      </c>
      <c r="P5964" s="12"/>
      <c r="Q5964" s="12">
        <f ca="1">+(Tabla1[[#This Row],[COSTO COCHE]]/30)*Tabla1[[#This Row],[TOTAL DIAS PROYECTO]]</f>
        <v>0</v>
      </c>
      <c r="R5964" s="12">
        <f ca="1">+Tabla1[[#This Row],[COSTO TOTAL ALOJAMIENTO]]+Tabla1[[#This Row],[COSTO TOTAL COCHE]]</f>
        <v>0</v>
      </c>
      <c r="S5964" s="2"/>
      <c r="T5964" s="14" t="s">
        <v>8</v>
      </c>
      <c r="U5964" s="14">
        <v>46223</v>
      </c>
      <c r="V5964" s="43"/>
      <c r="W5964" s="12"/>
      <c r="X5964" s="2"/>
      <c r="Y5964" s="11" t="s">
        <v>7371</v>
      </c>
      <c r="Z5964" s="2" t="s">
        <v>702</v>
      </c>
      <c r="AA5964" s="13" t="s">
        <v>10387</v>
      </c>
      <c r="AB5964" s="13" t="s">
        <v>10388</v>
      </c>
    </row>
    <row r="5965" spans="1:28" ht="15" customHeight="1">
      <c r="A5965" s="2" t="s">
        <v>10309</v>
      </c>
      <c r="B5965" s="2" t="s">
        <v>711</v>
      </c>
      <c r="C5965" s="11" t="s">
        <v>7992</v>
      </c>
      <c r="D5965" s="2" t="s">
        <v>30</v>
      </c>
      <c r="E5965" s="2" t="s">
        <v>127</v>
      </c>
      <c r="F5965" s="11" t="s">
        <v>5013</v>
      </c>
      <c r="G5965" s="46"/>
      <c r="H5965" s="2" t="s">
        <v>3440</v>
      </c>
      <c r="I5965" s="12" t="s">
        <v>96</v>
      </c>
      <c r="J5965" s="41">
        <f>+Tabla1[[#This Row],[FECHA ENTRADA]]</f>
        <v>46174</v>
      </c>
      <c r="K5965" s="41">
        <f ca="1">TODAY()</f>
        <v>46260</v>
      </c>
      <c r="L5965" s="42">
        <f ca="1">_xlfn.DAYS(Tabla1[[#This Row],[FECHA FIN ]],Tabla1[[#This Row],[FECHA INICIO]])</f>
        <v>86</v>
      </c>
      <c r="M5965" s="12"/>
      <c r="N5965" s="28">
        <v>0</v>
      </c>
      <c r="O5965" s="28">
        <f ca="1">(Tabla1[[#This Row],[COSTO FIJO ]]/30)*Tabla1[[#This Row],[TOTAL DIAS PROYECTO]]+(Tabla1[[#This Row],[COSTO TEMPORAL]])</f>
        <v>0</v>
      </c>
      <c r="P5965" s="12"/>
      <c r="Q5965" s="12">
        <f ca="1">+(Tabla1[[#This Row],[COSTO COCHE]]/30)*Tabla1[[#This Row],[TOTAL DIAS PROYECTO]]</f>
        <v>0</v>
      </c>
      <c r="R5965" s="12">
        <f ca="1">+Tabla1[[#This Row],[COSTO TOTAL ALOJAMIENTO]]+Tabla1[[#This Row],[COSTO TOTAL COCHE]]</f>
        <v>0</v>
      </c>
      <c r="S5965" s="2"/>
      <c r="T5965" s="14" t="s">
        <v>8</v>
      </c>
      <c r="U5965" s="14">
        <v>46174</v>
      </c>
      <c r="V5965" s="43"/>
      <c r="W5965" s="12"/>
      <c r="X5965" s="2"/>
      <c r="Y5965" s="11" t="s">
        <v>7371</v>
      </c>
      <c r="Z5965" s="2" t="s">
        <v>702</v>
      </c>
      <c r="AA5965" s="13" t="s">
        <v>10342</v>
      </c>
      <c r="AB5965" s="13" t="s">
        <v>10343</v>
      </c>
    </row>
    <row r="5966" spans="1:28" ht="15" customHeight="1">
      <c r="A5966" s="2" t="s">
        <v>10087</v>
      </c>
      <c r="B5966" s="2" t="s">
        <v>711</v>
      </c>
      <c r="C5966" s="11" t="s">
        <v>6311</v>
      </c>
      <c r="D5966" s="2" t="s">
        <v>30</v>
      </c>
      <c r="E5966" s="2" t="s">
        <v>1719</v>
      </c>
      <c r="F5966" s="11" t="s">
        <v>7633</v>
      </c>
      <c r="G5966" s="46" t="s">
        <v>7634</v>
      </c>
      <c r="H5966" s="2" t="s">
        <v>6308</v>
      </c>
      <c r="I5966" s="12" t="s">
        <v>1392</v>
      </c>
      <c r="J5966" s="41">
        <f>+Tabla1[[#This Row],[FECHA ENTRADA]]</f>
        <v>46070</v>
      </c>
      <c r="K5966" s="22">
        <v>46253</v>
      </c>
      <c r="L5966" s="42">
        <f>_xlfn.DAYS(Tabla1[[#This Row],[FECHA FIN ]],Tabla1[[#This Row],[FECHA INICIO]])</f>
        <v>183</v>
      </c>
      <c r="M5966" s="12">
        <v>380</v>
      </c>
      <c r="N5966" s="28"/>
      <c r="O5966" s="28">
        <f>(Tabla1[[#This Row],[COSTO FIJO ]]/30)*Tabla1[[#This Row],[TOTAL DIAS PROYECTO]]+(Tabla1[[#This Row],[COSTO TEMPORAL]])</f>
        <v>380</v>
      </c>
      <c r="P5966" s="12"/>
      <c r="Q5966" s="12">
        <f>+(Tabla1[[#This Row],[COSTO COCHE]]/30)*Tabla1[[#This Row],[TOTAL DIAS PROYECTO]]</f>
        <v>0</v>
      </c>
      <c r="R5966" s="12">
        <f>+Tabla1[[#This Row],[COSTO TOTAL ALOJAMIENTO]]+Tabla1[[#This Row],[COSTO TOTAL COCHE]]</f>
        <v>380</v>
      </c>
      <c r="S5966" s="2" t="s">
        <v>403</v>
      </c>
      <c r="T5966" s="14" t="s">
        <v>44</v>
      </c>
      <c r="U5966" s="14">
        <v>46070</v>
      </c>
      <c r="V5966" s="25">
        <v>46261</v>
      </c>
      <c r="W5966" s="12"/>
      <c r="X5966" s="2"/>
      <c r="Y5966" s="136" t="s">
        <v>8070</v>
      </c>
      <c r="Z5966" s="2" t="s">
        <v>36</v>
      </c>
      <c r="AA5966" s="13" t="s">
        <v>10427</v>
      </c>
      <c r="AB5966" s="13">
        <v>4260003</v>
      </c>
    </row>
    <row r="5967" spans="1:28">
      <c r="A5967" s="2" t="s">
        <v>8642</v>
      </c>
      <c r="B5967" s="2" t="s">
        <v>711</v>
      </c>
      <c r="C5967" s="11" t="s">
        <v>8071</v>
      </c>
      <c r="D5967" s="2" t="s">
        <v>30</v>
      </c>
      <c r="E5967" s="2" t="s">
        <v>92</v>
      </c>
      <c r="F5967" s="11"/>
      <c r="G5967" s="46"/>
      <c r="H5967" s="2" t="s">
        <v>5174</v>
      </c>
      <c r="I5967" s="12" t="s">
        <v>96</v>
      </c>
      <c r="J5967" s="41">
        <f>+Tabla1[[#This Row],[FECHA ENTRADA]]</f>
        <v>46173</v>
      </c>
      <c r="K5967" s="22">
        <f ca="1">TODAY()</f>
        <v>46260</v>
      </c>
      <c r="L5967" s="42">
        <f ca="1">_xlfn.DAYS(Tabla1[[#This Row],[FECHA FIN ]],Tabla1[[#This Row],[FECHA INICIO]])</f>
        <v>87</v>
      </c>
      <c r="M5967" s="12"/>
      <c r="N5967" s="28">
        <v>0</v>
      </c>
      <c r="O5967" s="28">
        <f ca="1">(Tabla1[[#This Row],[COSTO FIJO ]]/30)*Tabla1[[#This Row],[TOTAL DIAS PROYECTO]]+(Tabla1[[#This Row],[COSTO TEMPORAL]])</f>
        <v>0</v>
      </c>
      <c r="P5967" s="12"/>
      <c r="Q5967" s="12">
        <f ca="1">+(Tabla1[[#This Row],[COSTO COCHE]]/30)*Tabla1[[#This Row],[TOTAL DIAS PROYECTO]]</f>
        <v>0</v>
      </c>
      <c r="R5967" s="12">
        <f ca="1">+Tabla1[[#This Row],[COSTO TOTAL ALOJAMIENTO]]+Tabla1[[#This Row],[COSTO TOTAL COCHE]]</f>
        <v>0</v>
      </c>
      <c r="S5967" s="2"/>
      <c r="T5967" s="14" t="s">
        <v>8</v>
      </c>
      <c r="U5967" s="14">
        <v>46173</v>
      </c>
      <c r="V5967" s="43"/>
      <c r="W5967" s="12"/>
      <c r="X5967" s="2"/>
      <c r="Y5967" s="11" t="s">
        <v>7371</v>
      </c>
      <c r="Z5967" s="2" t="s">
        <v>702</v>
      </c>
      <c r="AA5967" s="13" t="s">
        <v>10336</v>
      </c>
      <c r="AB5967" s="13" t="s">
        <v>10337</v>
      </c>
    </row>
    <row r="5968" spans="1:28">
      <c r="A5968" s="2" t="s">
        <v>8887</v>
      </c>
      <c r="B5968" s="184" t="s">
        <v>711</v>
      </c>
      <c r="C5968" s="11" t="s">
        <v>1169</v>
      </c>
      <c r="D5968" s="2" t="s">
        <v>30</v>
      </c>
      <c r="E5968" s="2" t="s">
        <v>1393</v>
      </c>
      <c r="F5968" s="11" t="s">
        <v>5919</v>
      </c>
      <c r="G5968" s="70" t="s">
        <v>4560</v>
      </c>
      <c r="H5968" s="2" t="s">
        <v>1396</v>
      </c>
      <c r="I5968" s="12" t="s">
        <v>1067</v>
      </c>
      <c r="J5968" s="41">
        <f>+Tabla1[[#This Row],[FECHA ENTRADA]]</f>
        <v>45828</v>
      </c>
      <c r="K5968" s="41">
        <f ca="1">TODAY()</f>
        <v>46260</v>
      </c>
      <c r="L5968" s="42">
        <f ca="1">_xlfn.DAYS(Tabla1[[#This Row],[FECHA FIN ]],Tabla1[[#This Row],[FECHA INICIO]])</f>
        <v>432</v>
      </c>
      <c r="M5968" s="12"/>
      <c r="N5968" s="28">
        <v>412.5</v>
      </c>
      <c r="O5968" s="28">
        <f ca="1">(Tabla1[[#This Row],[COSTO FIJO ]]/30)*Tabla1[[#This Row],[TOTAL DIAS PROYECTO]]+(Tabla1[[#This Row],[COSTO TEMPORAL]])</f>
        <v>5940</v>
      </c>
      <c r="P5968" s="12"/>
      <c r="Q5968" s="12">
        <f ca="1">+(Tabla1[[#This Row],[COSTO COCHE]]/30)*Tabla1[[#This Row],[TOTAL DIAS PROYECTO]]</f>
        <v>0</v>
      </c>
      <c r="R5968" s="12">
        <f ca="1">+Tabla1[[#This Row],[COSTO TOTAL ALOJAMIENTO]]+Tabla1[[#This Row],[COSTO TOTAL COCHE]]</f>
        <v>5940</v>
      </c>
      <c r="S5968" s="2"/>
      <c r="T5968" s="2" t="s">
        <v>35</v>
      </c>
      <c r="U5968" s="14">
        <v>45828</v>
      </c>
      <c r="V5968" s="43"/>
      <c r="W5968" s="12"/>
      <c r="X5968" s="2">
        <v>15</v>
      </c>
      <c r="Y5968" s="11"/>
      <c r="Z5968" s="2" t="s">
        <v>702</v>
      </c>
      <c r="AA5968" s="13" t="s">
        <v>10416</v>
      </c>
      <c r="AB5968" s="13" t="s">
        <v>10417</v>
      </c>
    </row>
    <row r="5969" spans="1:28" ht="15" customHeight="1">
      <c r="A5969" s="2" t="s">
        <v>9846</v>
      </c>
      <c r="B5969" s="2" t="s">
        <v>711</v>
      </c>
      <c r="C5969" s="11" t="s">
        <v>5026</v>
      </c>
      <c r="D5969" s="2" t="s">
        <v>749</v>
      </c>
      <c r="E5969" s="2" t="s">
        <v>4598</v>
      </c>
      <c r="F5969" s="11" t="s">
        <v>1106</v>
      </c>
      <c r="G5969" s="49"/>
      <c r="H5969" s="2" t="s">
        <v>7977</v>
      </c>
      <c r="I5969" s="12" t="s">
        <v>2862</v>
      </c>
      <c r="J5969" s="22">
        <f>+Tabla1[[#This Row],[FECHA ENTRADA]]</f>
        <v>46182</v>
      </c>
      <c r="K5969" s="8">
        <f ca="1">TODAY()</f>
        <v>46260</v>
      </c>
      <c r="L5969" s="23">
        <f ca="1">_xlfn.DAYS(Tabla1[[#This Row],[FECHA FIN ]],Tabla1[[#This Row],[FECHA INICIO]])</f>
        <v>78</v>
      </c>
      <c r="M5969" s="12"/>
      <c r="N5969" s="24">
        <v>0</v>
      </c>
      <c r="O5969" s="24">
        <f ca="1">(Tabla1[[#This Row],[COSTO FIJO ]]/30)*Tabla1[[#This Row],[TOTAL DIAS PROYECTO]]+(Tabla1[[#This Row],[COSTO TEMPORAL]])</f>
        <v>0</v>
      </c>
      <c r="P5969" s="12"/>
      <c r="Q5969" s="12">
        <f ca="1">+(Tabla1[[#This Row],[COSTO COCHE]]/30)*Tabla1[[#This Row],[TOTAL DIAS PROYECTO]]</f>
        <v>0</v>
      </c>
      <c r="R5969" s="12">
        <f ca="1">+Tabla1[[#This Row],[COSTO TOTAL ALOJAMIENTO]]+Tabla1[[#This Row],[COSTO TOTAL COCHE]]</f>
        <v>0</v>
      </c>
      <c r="S5969" s="2"/>
      <c r="T5969" s="14" t="s">
        <v>8</v>
      </c>
      <c r="U5969" s="14">
        <v>46182</v>
      </c>
      <c r="V5969" s="25"/>
      <c r="W5969" s="12"/>
      <c r="X5969" s="2"/>
      <c r="Y5969" s="11" t="s">
        <v>7371</v>
      </c>
      <c r="Z5969" s="2" t="s">
        <v>702</v>
      </c>
      <c r="AA5969" s="13">
        <v>10.50447</v>
      </c>
      <c r="AB5969" s="13">
        <v>43.843690000000002</v>
      </c>
    </row>
    <row r="5970" spans="1:28" ht="16.5">
      <c r="A5970" s="2" t="s">
        <v>8642</v>
      </c>
      <c r="B5970" s="2" t="s">
        <v>606</v>
      </c>
      <c r="C5970" s="31" t="s">
        <v>8072</v>
      </c>
      <c r="D5970" s="2" t="s">
        <v>161</v>
      </c>
      <c r="E5970" s="2" t="s">
        <v>8073</v>
      </c>
      <c r="F5970" s="11"/>
      <c r="G5970" s="49"/>
      <c r="H5970" s="2" t="s">
        <v>8074</v>
      </c>
      <c r="I5970" s="12" t="s">
        <v>8075</v>
      </c>
      <c r="J5970" s="22">
        <f>+Tabla1[[#This Row],[FECHA ENTRADA]]</f>
        <v>46217</v>
      </c>
      <c r="K5970" s="22">
        <v>46232</v>
      </c>
      <c r="L5970" s="23">
        <f>_xlfn.DAYS(Tabla1[[#This Row],[FECHA FIN ]],Tabla1[[#This Row],[FECHA INICIO]])</f>
        <v>15</v>
      </c>
      <c r="M5970" s="12"/>
      <c r="N5970" s="24">
        <v>300</v>
      </c>
      <c r="O5970" s="24">
        <f>(Tabla1[[#This Row],[COSTO FIJO ]]/30)*Tabla1[[#This Row],[TOTAL DIAS PROYECTO]]+(Tabla1[[#This Row],[COSTO TEMPORAL]])</f>
        <v>150</v>
      </c>
      <c r="P5970" s="12"/>
      <c r="Q5970" s="12">
        <f>+(Tabla1[[#This Row],[COSTO COCHE]]/30)*Tabla1[[#This Row],[TOTAL DIAS PROYECTO]]</f>
        <v>0</v>
      </c>
      <c r="R5970" s="12">
        <f>+Tabla1[[#This Row],[COSTO TOTAL ALOJAMIENTO]]+Tabla1[[#This Row],[COSTO TOTAL COCHE]]</f>
        <v>150</v>
      </c>
      <c r="S5970" s="2"/>
      <c r="T5970" s="14" t="s">
        <v>58</v>
      </c>
      <c r="U5970" s="14">
        <v>46217</v>
      </c>
      <c r="V5970" s="25"/>
      <c r="W5970" s="12"/>
      <c r="X5970" s="2"/>
      <c r="Y5970" s="352" t="s">
        <v>8076</v>
      </c>
      <c r="Z5970" s="2" t="s">
        <v>36</v>
      </c>
      <c r="AA5970" s="13" t="e">
        <v>#N/A</v>
      </c>
      <c r="AB5970" s="13" t="e">
        <v>#N/A</v>
      </c>
    </row>
    <row r="5971" spans="1:28" ht="16.5">
      <c r="A5971" s="2" t="s">
        <v>8642</v>
      </c>
      <c r="B5971" s="2" t="s">
        <v>606</v>
      </c>
      <c r="C5971" s="31" t="s">
        <v>8077</v>
      </c>
      <c r="D5971" s="2" t="s">
        <v>161</v>
      </c>
      <c r="E5971" s="2" t="s">
        <v>8073</v>
      </c>
      <c r="F5971" s="11"/>
      <c r="G5971" s="49"/>
      <c r="H5971" s="2" t="s">
        <v>8074</v>
      </c>
      <c r="I5971" s="12" t="s">
        <v>8075</v>
      </c>
      <c r="J5971" s="22">
        <f>+Tabla1[[#This Row],[FECHA ENTRADA]]</f>
        <v>46217</v>
      </c>
      <c r="K5971" s="22">
        <v>46232</v>
      </c>
      <c r="L5971" s="23">
        <f>_xlfn.DAYS(Tabla1[[#This Row],[FECHA FIN ]],Tabla1[[#This Row],[FECHA INICIO]])</f>
        <v>15</v>
      </c>
      <c r="M5971" s="12"/>
      <c r="N5971" s="24">
        <v>300</v>
      </c>
      <c r="O5971" s="24">
        <f>(Tabla1[[#This Row],[COSTO FIJO ]]/30)*Tabla1[[#This Row],[TOTAL DIAS PROYECTO]]+(Tabla1[[#This Row],[COSTO TEMPORAL]])</f>
        <v>150</v>
      </c>
      <c r="P5971" s="12"/>
      <c r="Q5971" s="12">
        <f>+(Tabla1[[#This Row],[COSTO COCHE]]/30)*Tabla1[[#This Row],[TOTAL DIAS PROYECTO]]</f>
        <v>0</v>
      </c>
      <c r="R5971" s="12">
        <f>+Tabla1[[#This Row],[COSTO TOTAL ALOJAMIENTO]]+Tabla1[[#This Row],[COSTO TOTAL COCHE]]</f>
        <v>150</v>
      </c>
      <c r="S5971" s="2"/>
      <c r="T5971" s="14" t="s">
        <v>58</v>
      </c>
      <c r="U5971" s="14">
        <v>46217</v>
      </c>
      <c r="V5971" s="25"/>
      <c r="W5971" s="12"/>
      <c r="X5971" s="2"/>
      <c r="Y5971" s="352" t="s">
        <v>8076</v>
      </c>
      <c r="Z5971" s="2" t="s">
        <v>36</v>
      </c>
      <c r="AA5971" s="13" t="e">
        <v>#N/A</v>
      </c>
      <c r="AB5971" s="13" t="e">
        <v>#N/A</v>
      </c>
    </row>
    <row r="5972" spans="1:28" ht="16.5">
      <c r="A5972" s="2" t="s">
        <v>8642</v>
      </c>
      <c r="B5972" s="2" t="s">
        <v>606</v>
      </c>
      <c r="C5972" s="31" t="s">
        <v>8078</v>
      </c>
      <c r="D5972" s="2" t="s">
        <v>161</v>
      </c>
      <c r="E5972" s="2" t="s">
        <v>8073</v>
      </c>
      <c r="F5972" s="11"/>
      <c r="G5972" s="49"/>
      <c r="H5972" s="2" t="s">
        <v>8074</v>
      </c>
      <c r="I5972" s="12" t="s">
        <v>8075</v>
      </c>
      <c r="J5972" s="22">
        <f>+Tabla1[[#This Row],[FECHA ENTRADA]]</f>
        <v>46217</v>
      </c>
      <c r="K5972" s="22">
        <v>46232</v>
      </c>
      <c r="L5972" s="23">
        <f>_xlfn.DAYS(Tabla1[[#This Row],[FECHA FIN ]],Tabla1[[#This Row],[FECHA INICIO]])</f>
        <v>15</v>
      </c>
      <c r="M5972" s="12"/>
      <c r="N5972" s="24">
        <v>300</v>
      </c>
      <c r="O5972" s="24">
        <f>(Tabla1[[#This Row],[COSTO FIJO ]]/30)*Tabla1[[#This Row],[TOTAL DIAS PROYECTO]]+(Tabla1[[#This Row],[COSTO TEMPORAL]])</f>
        <v>150</v>
      </c>
      <c r="P5972" s="12"/>
      <c r="Q5972" s="12">
        <f>+(Tabla1[[#This Row],[COSTO COCHE]]/30)*Tabla1[[#This Row],[TOTAL DIAS PROYECTO]]</f>
        <v>0</v>
      </c>
      <c r="R5972" s="12">
        <f>+Tabla1[[#This Row],[COSTO TOTAL ALOJAMIENTO]]+Tabla1[[#This Row],[COSTO TOTAL COCHE]]</f>
        <v>150</v>
      </c>
      <c r="S5972" s="2"/>
      <c r="T5972" s="14" t="s">
        <v>58</v>
      </c>
      <c r="U5972" s="14">
        <v>46217</v>
      </c>
      <c r="V5972" s="25"/>
      <c r="W5972" s="12"/>
      <c r="X5972" s="2"/>
      <c r="Y5972" s="352" t="s">
        <v>8076</v>
      </c>
      <c r="Z5972" s="2" t="s">
        <v>36</v>
      </c>
      <c r="AA5972" s="13" t="e">
        <v>#N/A</v>
      </c>
      <c r="AB5972" s="13" t="e">
        <v>#N/A</v>
      </c>
    </row>
    <row r="5973" spans="1:28" ht="15" customHeight="1">
      <c r="A5973" s="2" t="s">
        <v>10298</v>
      </c>
      <c r="B5973" s="2" t="s">
        <v>711</v>
      </c>
      <c r="C5973" s="31" t="s">
        <v>7865</v>
      </c>
      <c r="D5973" s="2" t="s">
        <v>30</v>
      </c>
      <c r="E5973" s="2" t="s">
        <v>213</v>
      </c>
      <c r="F5973" s="11" t="s">
        <v>7492</v>
      </c>
      <c r="G5973" s="49" t="s">
        <v>558</v>
      </c>
      <c r="H5973" s="2" t="s">
        <v>8079</v>
      </c>
      <c r="I5973" s="12" t="s">
        <v>4464</v>
      </c>
      <c r="J5973" s="22">
        <f>+Tabla1[[#This Row],[FECHA ENTRADA]]</f>
        <v>46125</v>
      </c>
      <c r="K5973" s="22">
        <v>46132</v>
      </c>
      <c r="L5973" s="23">
        <f>_xlfn.DAYS(Tabla1[[#This Row],[FECHA FIN ]],Tabla1[[#This Row],[FECHA INICIO]])</f>
        <v>7</v>
      </c>
      <c r="M5973" s="12"/>
      <c r="N5973" s="24">
        <v>500</v>
      </c>
      <c r="O5973" s="24">
        <f>(Tabla1[[#This Row],[COSTO FIJO ]]/30)*Tabla1[[#This Row],[TOTAL DIAS PROYECTO]]+(Tabla1[[#This Row],[COSTO TEMPORAL]])</f>
        <v>116.66666666666667</v>
      </c>
      <c r="P5973" s="12"/>
      <c r="Q5973" s="12">
        <f>+(Tabla1[[#This Row],[COSTO COCHE]]/30)*Tabla1[[#This Row],[TOTAL DIAS PROYECTO]]</f>
        <v>0</v>
      </c>
      <c r="R5973" s="12">
        <f>+Tabla1[[#This Row],[COSTO TOTAL ALOJAMIENTO]]+Tabla1[[#This Row],[COSTO TOTAL COCHE]]</f>
        <v>116.66666666666667</v>
      </c>
      <c r="S5973" s="2"/>
      <c r="T5973" s="14" t="s">
        <v>35</v>
      </c>
      <c r="U5973" s="14">
        <v>46125</v>
      </c>
      <c r="V5973" s="25"/>
      <c r="W5973" s="12"/>
      <c r="X5973" s="2">
        <v>10</v>
      </c>
      <c r="Y5973" s="11" t="s">
        <v>8080</v>
      </c>
      <c r="Z5973" s="2" t="s">
        <v>36</v>
      </c>
      <c r="AA5973" s="13" t="s">
        <v>10349</v>
      </c>
      <c r="AB5973" s="13" t="s">
        <v>10350</v>
      </c>
    </row>
    <row r="5974" spans="1:28" ht="15" customHeight="1">
      <c r="A5974" s="2" t="s">
        <v>8642</v>
      </c>
      <c r="B5974" s="2" t="s">
        <v>711</v>
      </c>
      <c r="C5974" s="11" t="s">
        <v>8081</v>
      </c>
      <c r="D5974" s="2" t="s">
        <v>749</v>
      </c>
      <c r="E5974" s="2" t="s">
        <v>4598</v>
      </c>
      <c r="F5974" s="11" t="s">
        <v>1106</v>
      </c>
      <c r="G5974" s="49"/>
      <c r="H5974" s="2" t="s">
        <v>7977</v>
      </c>
      <c r="I5974" s="12" t="s">
        <v>2862</v>
      </c>
      <c r="J5974" s="22">
        <f>+Tabla1[[#This Row],[FECHA ENTRADA]]</f>
        <v>46182</v>
      </c>
      <c r="K5974" s="8">
        <f ca="1">TODAY()</f>
        <v>46260</v>
      </c>
      <c r="L5974" s="23">
        <f ca="1">_xlfn.DAYS(Tabla1[[#This Row],[FECHA FIN ]],Tabla1[[#This Row],[FECHA INICIO]])</f>
        <v>78</v>
      </c>
      <c r="M5974" s="12"/>
      <c r="N5974" s="24">
        <v>0</v>
      </c>
      <c r="O5974" s="24">
        <f ca="1">(Tabla1[[#This Row],[COSTO FIJO ]]/30)*Tabla1[[#This Row],[TOTAL DIAS PROYECTO]]+(Tabla1[[#This Row],[COSTO TEMPORAL]])</f>
        <v>0</v>
      </c>
      <c r="P5974" s="12"/>
      <c r="Q5974" s="12">
        <f ca="1">+(Tabla1[[#This Row],[COSTO COCHE]]/30)*Tabla1[[#This Row],[TOTAL DIAS PROYECTO]]</f>
        <v>0</v>
      </c>
      <c r="R5974" s="12">
        <f ca="1">+Tabla1[[#This Row],[COSTO TOTAL ALOJAMIENTO]]+Tabla1[[#This Row],[COSTO TOTAL COCHE]]</f>
        <v>0</v>
      </c>
      <c r="S5974" s="2"/>
      <c r="T5974" s="14" t="s">
        <v>8</v>
      </c>
      <c r="U5974" s="14">
        <v>46182</v>
      </c>
      <c r="V5974" s="25"/>
      <c r="W5974" s="12"/>
      <c r="X5974" s="2"/>
      <c r="Y5974" s="11" t="s">
        <v>7371</v>
      </c>
      <c r="Z5974" s="2" t="s">
        <v>702</v>
      </c>
      <c r="AA5974" s="13">
        <v>10.50447</v>
      </c>
      <c r="AB5974" s="13">
        <v>43.843690000000002</v>
      </c>
    </row>
    <row r="5975" spans="1:28" ht="15" customHeight="1">
      <c r="A5975" s="2" t="s">
        <v>9864</v>
      </c>
      <c r="B5975" s="2" t="s">
        <v>978</v>
      </c>
      <c r="C5975" s="31" t="s">
        <v>5100</v>
      </c>
      <c r="D5975" s="2" t="s">
        <v>30</v>
      </c>
      <c r="E5975" s="2" t="s">
        <v>380</v>
      </c>
      <c r="F5975" s="11" t="s">
        <v>5110</v>
      </c>
      <c r="G5975" s="11" t="s">
        <v>5111</v>
      </c>
      <c r="H5975" s="2" t="s">
        <v>5112</v>
      </c>
      <c r="I5975" s="12" t="s">
        <v>4276</v>
      </c>
      <c r="J5975" s="22">
        <f>+Tabla1[[#This Row],[FECHA ENTRADA]]</f>
        <v>46199</v>
      </c>
      <c r="K5975" s="22">
        <v>46245</v>
      </c>
      <c r="L5975" s="23">
        <f>_xlfn.DAYS(Tabla1[[#This Row],[FECHA FIN ]],Tabla1[[#This Row],[FECHA INICIO]])</f>
        <v>46</v>
      </c>
      <c r="M5975" s="12">
        <v>225</v>
      </c>
      <c r="N5975" s="24"/>
      <c r="O5975" s="24">
        <f>(Tabla1[[#This Row],[COSTO FIJO ]]/30)*Tabla1[[#This Row],[TOTAL DIAS PROYECTO]]+(Tabla1[[#This Row],[COSTO TEMPORAL]])</f>
        <v>225</v>
      </c>
      <c r="P5975" s="12"/>
      <c r="Q5975" s="12">
        <f>+(Tabla1[[#This Row],[COSTO COCHE]]/30)*Tabla1[[#This Row],[TOTAL DIAS PROYECTO]]</f>
        <v>0</v>
      </c>
      <c r="R5975" s="12">
        <f>+Tabla1[[#This Row],[COSTO TOTAL ALOJAMIENTO]]+Tabla1[[#This Row],[COSTO TOTAL COCHE]]</f>
        <v>225</v>
      </c>
      <c r="S5975" s="2"/>
      <c r="T5975" s="14" t="s">
        <v>44</v>
      </c>
      <c r="U5975" s="14">
        <v>46199</v>
      </c>
      <c r="V5975" s="25">
        <v>46262</v>
      </c>
      <c r="W5975" s="12"/>
      <c r="X5975" s="2"/>
      <c r="Y5975" s="11" t="s">
        <v>8082</v>
      </c>
      <c r="Z5975" s="2" t="s">
        <v>36</v>
      </c>
      <c r="AA5975" s="13" t="s">
        <v>10370</v>
      </c>
      <c r="AB5975" s="13" t="s">
        <v>10371</v>
      </c>
    </row>
    <row r="5976" spans="1:28" ht="15" customHeight="1">
      <c r="A5976" s="2" t="s">
        <v>9523</v>
      </c>
      <c r="B5976" s="184" t="s">
        <v>711</v>
      </c>
      <c r="C5976" s="11" t="s">
        <v>3526</v>
      </c>
      <c r="D5976" s="2" t="s">
        <v>30</v>
      </c>
      <c r="E5976" s="2" t="s">
        <v>1393</v>
      </c>
      <c r="F5976" s="11" t="s">
        <v>5919</v>
      </c>
      <c r="G5976" s="70" t="s">
        <v>4560</v>
      </c>
      <c r="H5976" s="2" t="s">
        <v>3527</v>
      </c>
      <c r="I5976" s="12" t="s">
        <v>1067</v>
      </c>
      <c r="J5976" s="41">
        <f>+Tabla1[[#This Row],[FECHA ENTRADA]]</f>
        <v>45828</v>
      </c>
      <c r="K5976" s="41">
        <f ca="1">TODAY()</f>
        <v>46260</v>
      </c>
      <c r="L5976" s="42">
        <f ca="1">_xlfn.DAYS(Tabla1[[#This Row],[FECHA FIN ]],Tabla1[[#This Row],[FECHA INICIO]])</f>
        <v>432</v>
      </c>
      <c r="M5976" s="12"/>
      <c r="N5976" s="28">
        <v>412.5</v>
      </c>
      <c r="O5976" s="28">
        <f ca="1">(Tabla1[[#This Row],[COSTO FIJO ]]/30)*Tabla1[[#This Row],[TOTAL DIAS PROYECTO]]+(Tabla1[[#This Row],[COSTO TEMPORAL]])</f>
        <v>5940</v>
      </c>
      <c r="P5976" s="12"/>
      <c r="Q5976" s="12">
        <f ca="1">+(Tabla1[[#This Row],[COSTO COCHE]]/30)*Tabla1[[#This Row],[TOTAL DIAS PROYECTO]]</f>
        <v>0</v>
      </c>
      <c r="R5976" s="12">
        <f ca="1">+Tabla1[[#This Row],[COSTO TOTAL ALOJAMIENTO]]+Tabla1[[#This Row],[COSTO TOTAL COCHE]]</f>
        <v>5940</v>
      </c>
      <c r="S5976" s="2"/>
      <c r="T5976" s="2" t="s">
        <v>35</v>
      </c>
      <c r="U5976" s="14">
        <v>45828</v>
      </c>
      <c r="V5976" s="43"/>
      <c r="W5976" s="12"/>
      <c r="X5976" s="2">
        <v>15</v>
      </c>
      <c r="Y5976" s="11"/>
      <c r="Z5976" s="2" t="s">
        <v>702</v>
      </c>
      <c r="AA5976" s="13" t="s">
        <v>10416</v>
      </c>
      <c r="AB5976" s="13" t="s">
        <v>10417</v>
      </c>
    </row>
    <row r="5977" spans="1:28" ht="15" customHeight="1">
      <c r="A5977" s="2" t="s">
        <v>10315</v>
      </c>
      <c r="B5977" s="2" t="s">
        <v>606</v>
      </c>
      <c r="C5977" s="11" t="s">
        <v>8083</v>
      </c>
      <c r="D5977" s="2" t="s">
        <v>30</v>
      </c>
      <c r="E5977" s="2" t="s">
        <v>213</v>
      </c>
      <c r="F5977" s="11" t="s">
        <v>8084</v>
      </c>
      <c r="G5977" s="49" t="s">
        <v>558</v>
      </c>
      <c r="H5977" s="2">
        <v>2023</v>
      </c>
      <c r="I5977" s="2" t="s">
        <v>918</v>
      </c>
      <c r="J5977" s="41">
        <f>+Tabla1[[#This Row],[FECHA ENTRADA]]</f>
        <v>46184</v>
      </c>
      <c r="K5977" s="22">
        <v>46213</v>
      </c>
      <c r="L5977" s="42">
        <f>_xlfn.DAYS(Tabla1[[#This Row],[FECHA FIN ]],Tabla1[[#This Row],[FECHA INICIO]])</f>
        <v>29</v>
      </c>
      <c r="M5977" s="12">
        <f>50*Tabla1[[#This Row],[TOTAL DIAS PROYECTO]]/2</f>
        <v>725</v>
      </c>
      <c r="N5977" s="28"/>
      <c r="O5977" s="28">
        <f>(Tabla1[[#This Row],[COSTO FIJO ]]/30)*Tabla1[[#This Row],[TOTAL DIAS PROYECTO]]+(Tabla1[[#This Row],[COSTO TEMPORAL]])</f>
        <v>725</v>
      </c>
      <c r="P5977" s="12"/>
      <c r="Q5977" s="12">
        <f>+(Tabla1[[#This Row],[COSTO COCHE]]/30)*Tabla1[[#This Row],[TOTAL DIAS PROYECTO]]</f>
        <v>0</v>
      </c>
      <c r="R5977" s="12">
        <f>+Tabla1[[#This Row],[COSTO TOTAL ALOJAMIENTO]]+Tabla1[[#This Row],[COSTO TOTAL COCHE]]</f>
        <v>725</v>
      </c>
      <c r="S5977" s="2"/>
      <c r="T5977" s="14" t="s">
        <v>44</v>
      </c>
      <c r="U5977" s="14">
        <v>46184</v>
      </c>
      <c r="V5977" s="43">
        <v>46213</v>
      </c>
      <c r="W5977" s="12"/>
      <c r="X5977" s="2"/>
      <c r="Y5977" s="11" t="s">
        <v>8085</v>
      </c>
      <c r="Z5977" s="2" t="s">
        <v>36</v>
      </c>
      <c r="AA5977" s="13" t="s">
        <v>10349</v>
      </c>
      <c r="AB5977" s="13" t="s">
        <v>10350</v>
      </c>
    </row>
    <row r="5978" spans="1:28" ht="15" customHeight="1">
      <c r="A5978" s="2" t="s">
        <v>10316</v>
      </c>
      <c r="B5978" s="184" t="s">
        <v>711</v>
      </c>
      <c r="C5978" s="11" t="s">
        <v>8086</v>
      </c>
      <c r="D5978" s="2" t="s">
        <v>99</v>
      </c>
      <c r="E5978" s="2" t="s">
        <v>1393</v>
      </c>
      <c r="F5978" s="11" t="s">
        <v>5919</v>
      </c>
      <c r="G5978" s="70" t="s">
        <v>4560</v>
      </c>
      <c r="H5978" s="2" t="s">
        <v>8087</v>
      </c>
      <c r="I5978" s="12" t="s">
        <v>1067</v>
      </c>
      <c r="J5978" s="41">
        <f>+Tabla1[[#This Row],[FECHA ENTRADA]]</f>
        <v>45964</v>
      </c>
      <c r="K5978" s="41">
        <f ca="1">TODAY()</f>
        <v>46260</v>
      </c>
      <c r="L5978" s="42">
        <f ca="1">_xlfn.DAYS(Tabla1[[#This Row],[FECHA FIN ]],Tabla1[[#This Row],[FECHA INICIO]])</f>
        <v>296</v>
      </c>
      <c r="M5978" s="12"/>
      <c r="N5978" s="28">
        <v>412.5</v>
      </c>
      <c r="O5978" s="28">
        <f ca="1">(Tabla1[[#This Row],[COSTO FIJO ]]/30)*Tabla1[[#This Row],[TOTAL DIAS PROYECTO]]+(Tabla1[[#This Row],[COSTO TEMPORAL]])</f>
        <v>4070</v>
      </c>
      <c r="P5978" s="12"/>
      <c r="Q5978" s="12">
        <f ca="1">+(Tabla1[[#This Row],[COSTO COCHE]]/30)*Tabla1[[#This Row],[TOTAL DIAS PROYECTO]]</f>
        <v>0</v>
      </c>
      <c r="R5978" s="12">
        <f ca="1">+Tabla1[[#This Row],[COSTO TOTAL ALOJAMIENTO]]+Tabla1[[#This Row],[COSTO TOTAL COCHE]]</f>
        <v>4070</v>
      </c>
      <c r="S5978" s="2"/>
      <c r="T5978" s="14" t="s">
        <v>35</v>
      </c>
      <c r="U5978" s="14">
        <v>45964</v>
      </c>
      <c r="V5978" s="43"/>
      <c r="W5978" s="12"/>
      <c r="X5978" s="2">
        <v>15</v>
      </c>
      <c r="Y5978" s="11"/>
      <c r="Z5978" s="2" t="s">
        <v>702</v>
      </c>
      <c r="AA5978" s="13" t="s">
        <v>10416</v>
      </c>
      <c r="AB5978" s="13" t="s">
        <v>10417</v>
      </c>
    </row>
    <row r="5979" spans="1:28" ht="15" customHeight="1">
      <c r="A5979" s="2" t="s">
        <v>9827</v>
      </c>
      <c r="B5979" s="2" t="s">
        <v>606</v>
      </c>
      <c r="C5979" s="11" t="s">
        <v>4929</v>
      </c>
      <c r="D5979" s="2" t="s">
        <v>30</v>
      </c>
      <c r="E5979" s="2" t="s">
        <v>6794</v>
      </c>
      <c r="F5979" s="11" t="s">
        <v>8088</v>
      </c>
      <c r="G5979" s="333" t="s">
        <v>8089</v>
      </c>
      <c r="H5979" s="2" t="s">
        <v>6797</v>
      </c>
      <c r="I5979" s="12" t="s">
        <v>5443</v>
      </c>
      <c r="J5979" s="41">
        <f>+Tabla1[[#This Row],[FECHA ENTRADA]]</f>
        <v>46070</v>
      </c>
      <c r="K5979" s="22">
        <f ca="1">TODAY()</f>
        <v>46260</v>
      </c>
      <c r="L5979" s="42">
        <f ca="1">_xlfn.DAYS(Tabla1[[#This Row],[FECHA FIN ]],Tabla1[[#This Row],[FECHA INICIO]])</f>
        <v>190</v>
      </c>
      <c r="M5979" s="12"/>
      <c r="N5979" s="28">
        <v>285</v>
      </c>
      <c r="O5979" s="28">
        <f ca="1">(Tabla1[[#This Row],[COSTO FIJO ]]/30)*Tabla1[[#This Row],[TOTAL DIAS PROYECTO]]+(Tabla1[[#This Row],[COSTO TEMPORAL]])</f>
        <v>1805</v>
      </c>
      <c r="P5979" s="12"/>
      <c r="Q5979" s="12">
        <f ca="1">+(Tabla1[[#This Row],[COSTO COCHE]]/30)*Tabla1[[#This Row],[TOTAL DIAS PROYECTO]]</f>
        <v>0</v>
      </c>
      <c r="R5979" s="12">
        <f ca="1">+Tabla1[[#This Row],[COSTO TOTAL ALOJAMIENTO]]+Tabla1[[#This Row],[COSTO TOTAL COCHE]]</f>
        <v>1805</v>
      </c>
      <c r="S5979" s="2"/>
      <c r="T5979" s="14" t="s">
        <v>35</v>
      </c>
      <c r="U5979" s="14">
        <v>46070</v>
      </c>
      <c r="V5979" s="43"/>
      <c r="W5979" s="12">
        <v>285</v>
      </c>
      <c r="X5979" s="2">
        <v>15</v>
      </c>
      <c r="Y5979" s="11" t="s">
        <v>8090</v>
      </c>
      <c r="Z5979" s="2" t="s">
        <v>702</v>
      </c>
      <c r="AA5979" s="13">
        <v>-6.0884499999999999</v>
      </c>
      <c r="AB5979" s="13">
        <v>40.03116</v>
      </c>
    </row>
    <row r="5980" spans="1:28" ht="15" customHeight="1">
      <c r="A5980" s="2" t="s">
        <v>9892</v>
      </c>
      <c r="B5980" s="11" t="s">
        <v>3133</v>
      </c>
      <c r="C5980" s="11" t="s">
        <v>5238</v>
      </c>
      <c r="D5980" s="2" t="s">
        <v>30</v>
      </c>
      <c r="E5980" s="2" t="s">
        <v>826</v>
      </c>
      <c r="F5980" s="11" t="s">
        <v>7365</v>
      </c>
      <c r="G5980" s="21" t="s">
        <v>6844</v>
      </c>
      <c r="H5980" s="2" t="s">
        <v>7366</v>
      </c>
      <c r="I5980" s="12" t="s">
        <v>1994</v>
      </c>
      <c r="J5980" s="22">
        <f>+Tabla1[[#This Row],[FECHA ENTRADA]]</f>
        <v>46128</v>
      </c>
      <c r="K5980" s="22">
        <f ca="1">TODAY()</f>
        <v>46260</v>
      </c>
      <c r="L5980" s="23">
        <f ca="1">_xlfn.DAYS(Tabla1[[#This Row],[FECHA FIN ]],Tabla1[[#This Row],[FECHA INICIO]])</f>
        <v>132</v>
      </c>
      <c r="M5980" s="12">
        <v>350</v>
      </c>
      <c r="N5980" s="20"/>
      <c r="O5980" s="24">
        <f ca="1">(Tabla1[[#This Row],[COSTO FIJO ]]/30)*Tabla1[[#This Row],[TOTAL DIAS PROYECTO]]+(Tabla1[[#This Row],[COSTO TEMPORAL]])</f>
        <v>350</v>
      </c>
      <c r="P5980" s="12"/>
      <c r="Q5980" s="12">
        <f ca="1">+(Tabla1[[#This Row],[COSTO COCHE]]/30)*Tabla1[[#This Row],[TOTAL DIAS PROYECTO]]</f>
        <v>0</v>
      </c>
      <c r="R5980" s="12">
        <f ca="1">+Tabla1[[#This Row],[COSTO TOTAL ALOJAMIENTO]]+Tabla1[[#This Row],[COSTO TOTAL COCHE]]</f>
        <v>350</v>
      </c>
      <c r="S5980" s="2"/>
      <c r="T5980" s="14" t="s">
        <v>44</v>
      </c>
      <c r="U5980" s="14">
        <v>46128</v>
      </c>
      <c r="V5980" s="25">
        <v>46258</v>
      </c>
      <c r="W5980" s="12"/>
      <c r="X5980" s="2"/>
      <c r="Y5980" s="11" t="s">
        <v>7367</v>
      </c>
      <c r="Z5980" s="2" t="s">
        <v>702</v>
      </c>
      <c r="AA5980" s="13" t="s">
        <v>10399</v>
      </c>
      <c r="AB5980" s="13" t="s">
        <v>10400</v>
      </c>
    </row>
    <row r="5981" spans="1:28" ht="15" customHeight="1">
      <c r="A5981" s="2" t="s">
        <v>9850</v>
      </c>
      <c r="B5981" s="2" t="s">
        <v>711</v>
      </c>
      <c r="C5981" s="11" t="s">
        <v>5034</v>
      </c>
      <c r="D5981" s="2" t="s">
        <v>30</v>
      </c>
      <c r="E5981" s="2" t="s">
        <v>1719</v>
      </c>
      <c r="F5981" s="11" t="s">
        <v>7633</v>
      </c>
      <c r="G5981" s="46" t="s">
        <v>7634</v>
      </c>
      <c r="H5981" s="2" t="s">
        <v>8091</v>
      </c>
      <c r="I5981" s="12" t="s">
        <v>1392</v>
      </c>
      <c r="J5981" s="22">
        <f>+Tabla1[[#This Row],[FECHA ENTRADA]]</f>
        <v>46238</v>
      </c>
      <c r="K5981" s="22">
        <v>46253</v>
      </c>
      <c r="L5981" s="23">
        <f>_xlfn.DAYS(Tabla1[[#This Row],[FECHA FIN ]],Tabla1[[#This Row],[FECHA INICIO]])</f>
        <v>15</v>
      </c>
      <c r="M5981" s="12">
        <v>380</v>
      </c>
      <c r="N5981" s="20"/>
      <c r="O5981" s="24">
        <f>(Tabla1[[#This Row],[COSTO FIJO ]]/30)*Tabla1[[#This Row],[TOTAL DIAS PROYECTO]]+(Tabla1[[#This Row],[COSTO TEMPORAL]])</f>
        <v>380</v>
      </c>
      <c r="P5981" s="12"/>
      <c r="Q5981" s="12">
        <f>+(Tabla1[[#This Row],[COSTO COCHE]]/30)*Tabla1[[#This Row],[TOTAL DIAS PROYECTO]]</f>
        <v>0</v>
      </c>
      <c r="R5981" s="12">
        <f>+Tabla1[[#This Row],[COSTO TOTAL ALOJAMIENTO]]+Tabla1[[#This Row],[COSTO TOTAL COCHE]]</f>
        <v>380</v>
      </c>
      <c r="S5981" s="2" t="s">
        <v>403</v>
      </c>
      <c r="T5981" s="14" t="s">
        <v>44</v>
      </c>
      <c r="U5981" s="14">
        <v>46238</v>
      </c>
      <c r="V5981" s="25">
        <v>46261</v>
      </c>
      <c r="W5981" s="12"/>
      <c r="X5981" s="2"/>
      <c r="Y5981" s="11" t="s">
        <v>8092</v>
      </c>
      <c r="Z5981" s="2" t="s">
        <v>36</v>
      </c>
      <c r="AA5981" s="13" t="s">
        <v>10427</v>
      </c>
      <c r="AB5981" s="13">
        <v>4260003</v>
      </c>
    </row>
    <row r="5982" spans="1:28" ht="15" customHeight="1">
      <c r="A5982" s="2" t="s">
        <v>9223</v>
      </c>
      <c r="B5982" s="2" t="s">
        <v>606</v>
      </c>
      <c r="C5982" s="11" t="s">
        <v>2495</v>
      </c>
      <c r="D5982" s="2" t="s">
        <v>99</v>
      </c>
      <c r="E5982" s="2" t="s">
        <v>213</v>
      </c>
      <c r="F5982" s="11" t="s">
        <v>8084</v>
      </c>
      <c r="G5982" s="49" t="s">
        <v>558</v>
      </c>
      <c r="H5982" s="2" t="s">
        <v>8093</v>
      </c>
      <c r="I5982" s="2" t="s">
        <v>918</v>
      </c>
      <c r="J5982" s="41">
        <f>+Tabla1[[#This Row],[FECHA ENTRADA]]</f>
        <v>46184</v>
      </c>
      <c r="K5982" s="22">
        <v>46213</v>
      </c>
      <c r="L5982" s="42">
        <f>_xlfn.DAYS(Tabla1[[#This Row],[FECHA FIN ]],Tabla1[[#This Row],[FECHA INICIO]])</f>
        <v>29</v>
      </c>
      <c r="M5982" s="12">
        <f>50*Tabla1[[#This Row],[TOTAL DIAS PROYECTO]]/2</f>
        <v>725</v>
      </c>
      <c r="N5982" s="28"/>
      <c r="O5982" s="28">
        <f>(Tabla1[[#This Row],[COSTO FIJO ]]/30)*Tabla1[[#This Row],[TOTAL DIAS PROYECTO]]+(Tabla1[[#This Row],[COSTO TEMPORAL]])</f>
        <v>725</v>
      </c>
      <c r="P5982" s="12"/>
      <c r="Q5982" s="12">
        <f>+(Tabla1[[#This Row],[COSTO COCHE]]/30)*Tabla1[[#This Row],[TOTAL DIAS PROYECTO]]</f>
        <v>0</v>
      </c>
      <c r="R5982" s="12">
        <f>+Tabla1[[#This Row],[COSTO TOTAL ALOJAMIENTO]]+Tabla1[[#This Row],[COSTO TOTAL COCHE]]</f>
        <v>725</v>
      </c>
      <c r="S5982" s="2"/>
      <c r="T5982" s="14" t="s">
        <v>44</v>
      </c>
      <c r="U5982" s="14">
        <v>46184</v>
      </c>
      <c r="V5982" s="43">
        <v>46213</v>
      </c>
      <c r="W5982" s="12"/>
      <c r="X5982" s="2"/>
      <c r="Y5982" s="11" t="s">
        <v>8085</v>
      </c>
      <c r="Z5982" s="2" t="s">
        <v>36</v>
      </c>
      <c r="AA5982" s="13" t="s">
        <v>10349</v>
      </c>
      <c r="AB5982" s="13" t="s">
        <v>10350</v>
      </c>
    </row>
    <row r="5983" spans="1:28" ht="15" customHeight="1">
      <c r="A5983" s="2" t="s">
        <v>9716</v>
      </c>
      <c r="B5983" s="2" t="s">
        <v>711</v>
      </c>
      <c r="C5983" s="31" t="s">
        <v>4377</v>
      </c>
      <c r="D5983" s="2" t="s">
        <v>30</v>
      </c>
      <c r="E5983" s="2" t="s">
        <v>213</v>
      </c>
      <c r="F5983" s="11" t="s">
        <v>7492</v>
      </c>
      <c r="G5983" s="49" t="s">
        <v>558</v>
      </c>
      <c r="H5983" s="2" t="s">
        <v>8079</v>
      </c>
      <c r="I5983" s="12" t="s">
        <v>4464</v>
      </c>
      <c r="J5983" s="22">
        <f>+Tabla1[[#This Row],[FECHA ENTRADA]]</f>
        <v>46125</v>
      </c>
      <c r="K5983" s="22">
        <v>46132</v>
      </c>
      <c r="L5983" s="23">
        <f>_xlfn.DAYS(Tabla1[[#This Row],[FECHA FIN ]],Tabla1[[#This Row],[FECHA INICIO]])</f>
        <v>7</v>
      </c>
      <c r="M5983" s="12"/>
      <c r="N5983" s="24">
        <v>500</v>
      </c>
      <c r="O5983" s="24">
        <f>(Tabla1[[#This Row],[COSTO FIJO ]]/30)*Tabla1[[#This Row],[TOTAL DIAS PROYECTO]]+(Tabla1[[#This Row],[COSTO TEMPORAL]])</f>
        <v>116.66666666666667</v>
      </c>
      <c r="P5983" s="12"/>
      <c r="Q5983" s="12">
        <f>+(Tabla1[[#This Row],[COSTO COCHE]]/30)*Tabla1[[#This Row],[TOTAL DIAS PROYECTO]]</f>
        <v>0</v>
      </c>
      <c r="R5983" s="12">
        <f>+Tabla1[[#This Row],[COSTO TOTAL ALOJAMIENTO]]+Tabla1[[#This Row],[COSTO TOTAL COCHE]]</f>
        <v>116.66666666666667</v>
      </c>
      <c r="S5983" s="2"/>
      <c r="T5983" s="14" t="s">
        <v>35</v>
      </c>
      <c r="U5983" s="14">
        <v>46125</v>
      </c>
      <c r="V5983" s="25"/>
      <c r="W5983" s="12"/>
      <c r="X5983" s="2">
        <v>10</v>
      </c>
      <c r="Y5983" s="11" t="s">
        <v>8080</v>
      </c>
      <c r="Z5983" s="2" t="s">
        <v>36</v>
      </c>
      <c r="AA5983" s="13" t="s">
        <v>10349</v>
      </c>
      <c r="AB5983" s="13" t="s">
        <v>10350</v>
      </c>
    </row>
    <row r="5984" spans="1:28" ht="15" customHeight="1">
      <c r="A5984" s="2" t="s">
        <v>9773</v>
      </c>
      <c r="B5984" s="2" t="s">
        <v>606</v>
      </c>
      <c r="C5984" s="11" t="s">
        <v>4675</v>
      </c>
      <c r="D5984" s="2" t="s">
        <v>30</v>
      </c>
      <c r="E5984" s="2" t="s">
        <v>213</v>
      </c>
      <c r="F5984" s="11"/>
      <c r="G5984" s="11"/>
      <c r="H5984" s="2" t="s">
        <v>8031</v>
      </c>
      <c r="I5984" s="203" t="s">
        <v>3364</v>
      </c>
      <c r="J5984" s="22">
        <f>+Tabla1[[#This Row],[FECHA ENTRADA]]</f>
        <v>46197</v>
      </c>
      <c r="K5984" s="22">
        <f ca="1">TODAY()</f>
        <v>46260</v>
      </c>
      <c r="L5984" s="23">
        <f ca="1">_xlfn.DAYS(Tabla1[[#This Row],[FECHA FIN ]],Tabla1[[#This Row],[FECHA INICIO]])</f>
        <v>63</v>
      </c>
      <c r="M5984" s="12"/>
      <c r="N5984" s="20">
        <v>300</v>
      </c>
      <c r="O5984" s="24">
        <f ca="1">(Tabla1[[#This Row],[COSTO FIJO ]]/30)*Tabla1[[#This Row],[TOTAL DIAS PROYECTO]]+(Tabla1[[#This Row],[COSTO TEMPORAL]])</f>
        <v>630</v>
      </c>
      <c r="P5984" s="12"/>
      <c r="Q5984" s="12">
        <f ca="1">+(Tabla1[[#This Row],[COSTO COCHE]]/30)*Tabla1[[#This Row],[TOTAL DIAS PROYECTO]]</f>
        <v>0</v>
      </c>
      <c r="R5984" s="12">
        <f ca="1">+Tabla1[[#This Row],[COSTO TOTAL ALOJAMIENTO]]+Tabla1[[#This Row],[COSTO TOTAL COCHE]]</f>
        <v>630</v>
      </c>
      <c r="S5984" s="2"/>
      <c r="T5984" s="14" t="s">
        <v>58</v>
      </c>
      <c r="U5984" s="14">
        <v>46197</v>
      </c>
      <c r="V5984" s="79"/>
      <c r="W5984" s="12"/>
      <c r="X5984" s="2"/>
      <c r="Y5984" s="11"/>
      <c r="Z5984" s="2" t="s">
        <v>702</v>
      </c>
      <c r="AA5984" s="13" t="s">
        <v>10349</v>
      </c>
      <c r="AB5984" s="13" t="s">
        <v>10350</v>
      </c>
    </row>
    <row r="5985" spans="1:28">
      <c r="A5985" s="2" t="s">
        <v>8642</v>
      </c>
      <c r="B5985" s="2" t="s">
        <v>606</v>
      </c>
      <c r="C5985" s="31" t="s">
        <v>8094</v>
      </c>
      <c r="D5985" s="2" t="s">
        <v>99</v>
      </c>
      <c r="E5985" s="2" t="s">
        <v>213</v>
      </c>
      <c r="F5985" s="11" t="s">
        <v>8095</v>
      </c>
      <c r="G5985" s="49" t="s">
        <v>558</v>
      </c>
      <c r="H5985" s="2" t="s">
        <v>8096</v>
      </c>
      <c r="I5985" s="2" t="s">
        <v>918</v>
      </c>
      <c r="J5985" s="41">
        <f>+Tabla1[[#This Row],[FECHA ENTRADA]]</f>
        <v>46230</v>
      </c>
      <c r="K5985" s="22">
        <v>46236</v>
      </c>
      <c r="L5985" s="42">
        <f>_xlfn.DAYS(Tabla1[[#This Row],[FECHA FIN ]],Tabla1[[#This Row],[FECHA INICIO]])</f>
        <v>6</v>
      </c>
      <c r="M5985" s="12"/>
      <c r="N5985" s="20">
        <v>500</v>
      </c>
      <c r="O5985" s="28">
        <f>(Tabla1[[#This Row],[COSTO FIJO ]]/30)*Tabla1[[#This Row],[TOTAL DIAS PROYECTO]]+(Tabla1[[#This Row],[COSTO TEMPORAL]])</f>
        <v>100</v>
      </c>
      <c r="P5985" s="12"/>
      <c r="Q5985" s="12">
        <f>+(Tabla1[[#This Row],[COSTO COCHE]]/30)*Tabla1[[#This Row],[TOTAL DIAS PROYECTO]]</f>
        <v>0</v>
      </c>
      <c r="R5985" s="12">
        <f>+Tabla1[[#This Row],[COSTO TOTAL ALOJAMIENTO]]+Tabla1[[#This Row],[COSTO TOTAL COCHE]]</f>
        <v>100</v>
      </c>
      <c r="S5985" s="2"/>
      <c r="T5985" s="14" t="s">
        <v>35</v>
      </c>
      <c r="U5985" s="14">
        <v>46230</v>
      </c>
      <c r="V5985" s="43"/>
      <c r="W5985" s="12"/>
      <c r="X5985" s="2">
        <v>25</v>
      </c>
      <c r="Y5985" s="11" t="s">
        <v>8097</v>
      </c>
      <c r="Z5985" s="2" t="s">
        <v>36</v>
      </c>
      <c r="AA5985" s="13" t="s">
        <v>10349</v>
      </c>
      <c r="AB5985" s="13" t="s">
        <v>10350</v>
      </c>
    </row>
    <row r="5986" spans="1:28">
      <c r="A5986" s="2" t="s">
        <v>8642</v>
      </c>
      <c r="B5986" s="2" t="s">
        <v>711</v>
      </c>
      <c r="C5986" s="11" t="s">
        <v>8098</v>
      </c>
      <c r="D5986" s="2" t="s">
        <v>30</v>
      </c>
      <c r="E5986" s="2" t="s">
        <v>648</v>
      </c>
      <c r="F5986" s="11"/>
      <c r="G5986" s="46"/>
      <c r="H5986" s="2" t="s">
        <v>8069</v>
      </c>
      <c r="I5986" s="12" t="s">
        <v>96</v>
      </c>
      <c r="J5986" s="41">
        <f>+Tabla1[[#This Row],[FECHA ENTRADA]]</f>
        <v>46223</v>
      </c>
      <c r="K5986" s="22">
        <f t="shared" ref="K5986:K5991" ca="1" si="14">TODAY()</f>
        <v>46260</v>
      </c>
      <c r="L5986" s="42">
        <f ca="1">_xlfn.DAYS(Tabla1[[#This Row],[FECHA FIN ]],Tabla1[[#This Row],[FECHA INICIO]])</f>
        <v>37</v>
      </c>
      <c r="M5986" s="12"/>
      <c r="N5986" s="28">
        <v>0</v>
      </c>
      <c r="O5986" s="28">
        <f ca="1">(Tabla1[[#This Row],[COSTO FIJO ]]/30)*Tabla1[[#This Row],[TOTAL DIAS PROYECTO]]+(Tabla1[[#This Row],[COSTO TEMPORAL]])</f>
        <v>0</v>
      </c>
      <c r="P5986" s="12"/>
      <c r="Q5986" s="12">
        <f ca="1">+(Tabla1[[#This Row],[COSTO COCHE]]/30)*Tabla1[[#This Row],[TOTAL DIAS PROYECTO]]</f>
        <v>0</v>
      </c>
      <c r="R5986" s="12">
        <f ca="1">+Tabla1[[#This Row],[COSTO TOTAL ALOJAMIENTO]]+Tabla1[[#This Row],[COSTO TOTAL COCHE]]</f>
        <v>0</v>
      </c>
      <c r="S5986" s="2"/>
      <c r="T5986" s="14" t="s">
        <v>8</v>
      </c>
      <c r="U5986" s="14">
        <v>46223</v>
      </c>
      <c r="V5986" s="43"/>
      <c r="W5986" s="12"/>
      <c r="X5986" s="2"/>
      <c r="Y5986" s="11" t="s">
        <v>7371</v>
      </c>
      <c r="Z5986" s="2" t="s">
        <v>702</v>
      </c>
      <c r="AA5986" s="13" t="s">
        <v>10387</v>
      </c>
      <c r="AB5986" s="13" t="s">
        <v>10388</v>
      </c>
    </row>
    <row r="5987" spans="1:28">
      <c r="A5987" s="2" t="s">
        <v>8642</v>
      </c>
      <c r="B5987" s="2" t="s">
        <v>606</v>
      </c>
      <c r="C5987" s="11" t="s">
        <v>7686</v>
      </c>
      <c r="D5987" s="2" t="s">
        <v>30</v>
      </c>
      <c r="E5987" s="2" t="s">
        <v>109</v>
      </c>
      <c r="F5987" s="11" t="s">
        <v>898</v>
      </c>
      <c r="G5987" s="68" t="s">
        <v>3042</v>
      </c>
      <c r="H5987" s="2" t="s">
        <v>8099</v>
      </c>
      <c r="I5987" s="12" t="s">
        <v>1830</v>
      </c>
      <c r="J5987" s="41">
        <f>+Tabla1[[#This Row],[FECHA ENTRADA]]</f>
        <v>46222</v>
      </c>
      <c r="K5987" s="22">
        <f t="shared" ca="1" si="14"/>
        <v>46260</v>
      </c>
      <c r="L5987" s="42">
        <f ca="1">_xlfn.DAYS(Tabla1[[#This Row],[FECHA FIN ]],Tabla1[[#This Row],[FECHA INICIO]])</f>
        <v>38</v>
      </c>
      <c r="M5987" s="12"/>
      <c r="N5987" s="28">
        <v>375</v>
      </c>
      <c r="O5987" s="28">
        <f ca="1">(Tabla1[[#This Row],[COSTO FIJO ]]/30)*Tabla1[[#This Row],[TOTAL DIAS PROYECTO]]+(Tabla1[[#This Row],[COSTO TEMPORAL]])</f>
        <v>475</v>
      </c>
      <c r="P5987" s="12"/>
      <c r="Q5987" s="12">
        <f ca="1">+(Tabla1[[#This Row],[COSTO COCHE]]/30)*Tabla1[[#This Row],[TOTAL DIAS PROYECTO]]</f>
        <v>0</v>
      </c>
      <c r="R5987" s="12">
        <f ca="1">+Tabla1[[#This Row],[COSTO TOTAL ALOJAMIENTO]]+Tabla1[[#This Row],[COSTO TOTAL COCHE]]</f>
        <v>475</v>
      </c>
      <c r="S5987" s="2"/>
      <c r="T5987" s="14" t="s">
        <v>35</v>
      </c>
      <c r="U5987" s="14">
        <v>46222</v>
      </c>
      <c r="V5987" s="43"/>
      <c r="W5987" s="12">
        <v>3000</v>
      </c>
      <c r="X5987" s="2">
        <v>15</v>
      </c>
      <c r="Y5987" s="11"/>
      <c r="Z5987" s="2" t="s">
        <v>702</v>
      </c>
      <c r="AA5987" s="13">
        <v>0.62217999999999996</v>
      </c>
      <c r="AB5987" s="13" t="s">
        <v>10339</v>
      </c>
    </row>
    <row r="5988" spans="1:28">
      <c r="A5988" s="2" t="s">
        <v>10088</v>
      </c>
      <c r="B5988" s="2" t="s">
        <v>711</v>
      </c>
      <c r="C5988" s="322" t="s">
        <v>6312</v>
      </c>
      <c r="D5988" s="2" t="s">
        <v>30</v>
      </c>
      <c r="E5988" s="2" t="s">
        <v>1719</v>
      </c>
      <c r="F5988" s="11" t="s">
        <v>7633</v>
      </c>
      <c r="G5988" s="46" t="s">
        <v>7634</v>
      </c>
      <c r="H5988" s="2" t="s">
        <v>6308</v>
      </c>
      <c r="I5988" s="12" t="s">
        <v>1392</v>
      </c>
      <c r="J5988" s="41">
        <f>+Tabla1[[#This Row],[FECHA ENTRADA]]</f>
        <v>46070</v>
      </c>
      <c r="K5988" s="22">
        <f t="shared" ca="1" si="14"/>
        <v>46260</v>
      </c>
      <c r="L5988" s="42">
        <f ca="1">_xlfn.DAYS(Tabla1[[#This Row],[FECHA FIN ]],Tabla1[[#This Row],[FECHA INICIO]])</f>
        <v>190</v>
      </c>
      <c r="M5988" s="12">
        <v>380</v>
      </c>
      <c r="N5988" s="28"/>
      <c r="O5988" s="28">
        <f ca="1">(Tabla1[[#This Row],[COSTO FIJO ]]/30)*Tabla1[[#This Row],[TOTAL DIAS PROYECTO]]+(Tabla1[[#This Row],[COSTO TEMPORAL]])</f>
        <v>380</v>
      </c>
      <c r="P5988" s="12"/>
      <c r="Q5988" s="12">
        <f ca="1">+(Tabla1[[#This Row],[COSTO COCHE]]/30)*Tabla1[[#This Row],[TOTAL DIAS PROYECTO]]</f>
        <v>0</v>
      </c>
      <c r="R5988" s="12">
        <f ca="1">+Tabla1[[#This Row],[COSTO TOTAL ALOJAMIENTO]]+Tabla1[[#This Row],[COSTO TOTAL COCHE]]</f>
        <v>380</v>
      </c>
      <c r="S5988" s="2" t="s">
        <v>403</v>
      </c>
      <c r="T5988" s="14" t="s">
        <v>44</v>
      </c>
      <c r="U5988" s="14">
        <v>46070</v>
      </c>
      <c r="V5988" s="25">
        <v>46261</v>
      </c>
      <c r="W5988" s="12"/>
      <c r="X5988" s="2"/>
      <c r="Y5988" s="11" t="s">
        <v>8100</v>
      </c>
      <c r="Z5988" s="2" t="s">
        <v>702</v>
      </c>
      <c r="AA5988" s="13" t="s">
        <v>10427</v>
      </c>
      <c r="AB5988" s="13">
        <v>4260003</v>
      </c>
    </row>
    <row r="5989" spans="1:28">
      <c r="A5989" s="2" t="s">
        <v>10085</v>
      </c>
      <c r="B5989" s="2" t="s">
        <v>711</v>
      </c>
      <c r="C5989" s="322" t="s">
        <v>6305</v>
      </c>
      <c r="D5989" s="2" t="s">
        <v>30</v>
      </c>
      <c r="E5989" s="2" t="s">
        <v>1719</v>
      </c>
      <c r="F5989" s="11" t="s">
        <v>7633</v>
      </c>
      <c r="G5989" s="46" t="s">
        <v>7634</v>
      </c>
      <c r="H5989" s="2" t="s">
        <v>6308</v>
      </c>
      <c r="I5989" s="12" t="s">
        <v>1392</v>
      </c>
      <c r="J5989" s="41">
        <f>+Tabla1[[#This Row],[FECHA ENTRADA]]</f>
        <v>46070</v>
      </c>
      <c r="K5989" s="22">
        <f t="shared" ca="1" si="14"/>
        <v>46260</v>
      </c>
      <c r="L5989" s="42">
        <f ca="1">_xlfn.DAYS(Tabla1[[#This Row],[FECHA FIN ]],Tabla1[[#This Row],[FECHA INICIO]])</f>
        <v>190</v>
      </c>
      <c r="M5989" s="12">
        <v>380</v>
      </c>
      <c r="N5989" s="28"/>
      <c r="O5989" s="28">
        <f ca="1">(Tabla1[[#This Row],[COSTO FIJO ]]/30)*Tabla1[[#This Row],[TOTAL DIAS PROYECTO]]+(Tabla1[[#This Row],[COSTO TEMPORAL]])</f>
        <v>380</v>
      </c>
      <c r="P5989" s="12"/>
      <c r="Q5989" s="12">
        <f ca="1">+(Tabla1[[#This Row],[COSTO COCHE]]/30)*Tabla1[[#This Row],[TOTAL DIAS PROYECTO]]</f>
        <v>0</v>
      </c>
      <c r="R5989" s="12">
        <f ca="1">+Tabla1[[#This Row],[COSTO TOTAL ALOJAMIENTO]]+Tabla1[[#This Row],[COSTO TOTAL COCHE]]</f>
        <v>380</v>
      </c>
      <c r="S5989" s="2" t="s">
        <v>403</v>
      </c>
      <c r="T5989" s="14" t="s">
        <v>44</v>
      </c>
      <c r="U5989" s="14">
        <v>46070</v>
      </c>
      <c r="V5989" s="25">
        <v>46261</v>
      </c>
      <c r="W5989" s="12"/>
      <c r="X5989" s="2"/>
      <c r="Y5989" s="11" t="s">
        <v>8100</v>
      </c>
      <c r="Z5989" s="2" t="s">
        <v>702</v>
      </c>
      <c r="AA5989" s="13" t="s">
        <v>10427</v>
      </c>
      <c r="AB5989" s="13">
        <v>4260003</v>
      </c>
    </row>
    <row r="5990" spans="1:28">
      <c r="A5990" s="2" t="s">
        <v>8882</v>
      </c>
      <c r="B5990" s="2" t="s">
        <v>606</v>
      </c>
      <c r="C5990" s="11" t="s">
        <v>1151</v>
      </c>
      <c r="D5990" s="2" t="s">
        <v>30</v>
      </c>
      <c r="E5990" s="2" t="s">
        <v>109</v>
      </c>
      <c r="F5990" s="11" t="s">
        <v>898</v>
      </c>
      <c r="G5990" s="128" t="s">
        <v>3042</v>
      </c>
      <c r="H5990" s="2" t="s">
        <v>1829</v>
      </c>
      <c r="I5990" s="12" t="s">
        <v>1830</v>
      </c>
      <c r="J5990" s="41">
        <f>+Tabla1[[#This Row],[FECHA ENTRADA]]</f>
        <v>46221</v>
      </c>
      <c r="K5990" s="22">
        <f t="shared" ca="1" si="14"/>
        <v>46260</v>
      </c>
      <c r="L5990" s="42">
        <f ca="1">_xlfn.DAYS(Tabla1[[#This Row],[FECHA FIN ]],Tabla1[[#This Row],[FECHA INICIO]])</f>
        <v>39</v>
      </c>
      <c r="M5990" s="12"/>
      <c r="N5990" s="28">
        <v>375</v>
      </c>
      <c r="O5990" s="28">
        <f ca="1">(Tabla1[[#This Row],[COSTO FIJO ]]/30)*Tabla1[[#This Row],[TOTAL DIAS PROYECTO]]+(Tabla1[[#This Row],[COSTO TEMPORAL]])</f>
        <v>487.5</v>
      </c>
      <c r="P5990" s="12"/>
      <c r="Q5990" s="12">
        <f ca="1">+(Tabla1[[#This Row],[COSTO COCHE]]/30)*Tabla1[[#This Row],[TOTAL DIAS PROYECTO]]</f>
        <v>0</v>
      </c>
      <c r="R5990" s="12">
        <f ca="1">+Tabla1[[#This Row],[COSTO TOTAL ALOJAMIENTO]]+Tabla1[[#This Row],[COSTO TOTAL COCHE]]</f>
        <v>487.5</v>
      </c>
      <c r="S5990" s="2"/>
      <c r="T5990" s="14" t="s">
        <v>35</v>
      </c>
      <c r="U5990" s="14">
        <v>46221</v>
      </c>
      <c r="V5990" s="43"/>
      <c r="W5990" s="12"/>
      <c r="X5990" s="2">
        <v>15</v>
      </c>
      <c r="Y5990" s="11"/>
      <c r="Z5990" s="2" t="s">
        <v>702</v>
      </c>
      <c r="AA5990" s="13">
        <v>0.62217999999999996</v>
      </c>
      <c r="AB5990" s="13" t="s">
        <v>10339</v>
      </c>
    </row>
    <row r="5991" spans="1:28">
      <c r="A5991" s="2" t="s">
        <v>10314</v>
      </c>
      <c r="B5991" s="2" t="s">
        <v>28</v>
      </c>
      <c r="C5991" s="11" t="s">
        <v>8063</v>
      </c>
      <c r="D5991" s="2" t="s">
        <v>30</v>
      </c>
      <c r="E5991" s="2" t="s">
        <v>92</v>
      </c>
      <c r="F5991" s="11"/>
      <c r="G5991" s="11"/>
      <c r="H5991" s="2" t="s">
        <v>95</v>
      </c>
      <c r="I5991" s="12" t="s">
        <v>96</v>
      </c>
      <c r="J5991" s="8">
        <f>+Tabla1[[#This Row],[FECHA ENTRADA]]</f>
        <v>45363</v>
      </c>
      <c r="K5991" s="8">
        <f t="shared" ca="1" si="14"/>
        <v>46260</v>
      </c>
      <c r="L5991" s="13">
        <f ca="1">_xlfn.DAYS(Tabla1[[#This Row],[FECHA FIN ]],Tabla1[[#This Row],[FECHA INICIO]])</f>
        <v>897</v>
      </c>
      <c r="M5991" s="12"/>
      <c r="N5991" s="12"/>
      <c r="O5991" s="12">
        <f ca="1">(Tabla1[[#This Row],[COSTO FIJO ]]/30)*Tabla1[[#This Row],[TOTAL DIAS PROYECTO]]+(Tabla1[[#This Row],[COSTO TEMPORAL]])</f>
        <v>0</v>
      </c>
      <c r="P5991" s="12"/>
      <c r="Q5991" s="12">
        <f ca="1">+(Tabla1[[#This Row],[COSTO COCHE]]/30)*Tabla1[[#This Row],[TOTAL DIAS PROYECTO]]</f>
        <v>0</v>
      </c>
      <c r="R5991" s="12">
        <f ca="1">+Tabla1[[#This Row],[COSTO TOTAL ALOJAMIENTO]]+Tabla1[[#This Row],[COSTO TOTAL COCHE]]</f>
        <v>0</v>
      </c>
      <c r="S5991" s="2"/>
      <c r="T5991" s="2" t="s">
        <v>35</v>
      </c>
      <c r="U5991" s="14">
        <v>45363</v>
      </c>
      <c r="V5991" s="14"/>
      <c r="W5991" s="15"/>
      <c r="X5991" s="16">
        <v>11</v>
      </c>
      <c r="Y5991" s="11" t="s">
        <v>7038</v>
      </c>
      <c r="Z5991" s="2" t="s">
        <v>36</v>
      </c>
      <c r="AA5991" s="13" t="s">
        <v>10336</v>
      </c>
      <c r="AB5991" s="13" t="s">
        <v>10337</v>
      </c>
    </row>
    <row r="5992" spans="1:28">
      <c r="A5992" s="2" t="s">
        <v>9128</v>
      </c>
      <c r="B5992" s="2" t="s">
        <v>28</v>
      </c>
      <c r="C5992" s="11" t="s">
        <v>2116</v>
      </c>
      <c r="D5992" s="2" t="s">
        <v>99</v>
      </c>
      <c r="E5992" s="2" t="s">
        <v>127</v>
      </c>
      <c r="F5992" s="11" t="s">
        <v>820</v>
      </c>
      <c r="G5992" s="21" t="s">
        <v>1234</v>
      </c>
      <c r="H5992" s="2" t="s">
        <v>1605</v>
      </c>
      <c r="I5992" s="12" t="s">
        <v>96</v>
      </c>
      <c r="J5992" s="22">
        <f>+Tabla1[[#This Row],[FECHA ENTRADA]]</f>
        <v>45732</v>
      </c>
      <c r="K5992" s="22">
        <v>45751</v>
      </c>
      <c r="L5992" s="23">
        <f>_xlfn.DAYS(Tabla1[[#This Row],[FECHA FIN ]],Tabla1[[#This Row],[FECHA INICIO]])</f>
        <v>19</v>
      </c>
      <c r="M5992" s="12"/>
      <c r="N5992" s="12"/>
      <c r="O5992" s="24">
        <f>(Tabla1[[#This Row],[COSTO FIJO ]]/30)*Tabla1[[#This Row],[TOTAL DIAS PROYECTO]]+(Tabla1[[#This Row],[COSTO TEMPORAL]])</f>
        <v>0</v>
      </c>
      <c r="P5992" s="12"/>
      <c r="Q5992" s="12">
        <f>+(Tabla1[[#This Row],[COSTO COCHE]]/30)*Tabla1[[#This Row],[TOTAL DIAS PROYECTO]]</f>
        <v>0</v>
      </c>
      <c r="R5992" s="12">
        <f>+Tabla1[[#This Row],[COSTO TOTAL ALOJAMIENTO]]+Tabla1[[#This Row],[COSTO TOTAL COCHE]]</f>
        <v>0</v>
      </c>
      <c r="S5992" s="2"/>
      <c r="T5992" s="2" t="s">
        <v>44</v>
      </c>
      <c r="U5992" s="14">
        <v>45732</v>
      </c>
      <c r="V5992" s="25">
        <v>45768</v>
      </c>
      <c r="W5992" s="26"/>
      <c r="X5992" s="2"/>
      <c r="Y5992" s="11"/>
      <c r="Z5992" s="2" t="s">
        <v>36</v>
      </c>
      <c r="AA5992" s="13" t="s">
        <v>10342</v>
      </c>
      <c r="AB5992" s="13" t="s">
        <v>10343</v>
      </c>
    </row>
    <row r="5993" spans="1:28">
      <c r="A5993" s="2" t="s">
        <v>9638</v>
      </c>
      <c r="B5993" s="2" t="s">
        <v>711</v>
      </c>
      <c r="C5993" s="11" t="s">
        <v>4034</v>
      </c>
      <c r="D5993" s="2" t="s">
        <v>30</v>
      </c>
      <c r="E5993" s="2" t="s">
        <v>87</v>
      </c>
      <c r="F5993" s="11" t="s">
        <v>1106</v>
      </c>
      <c r="G5993" s="46"/>
      <c r="H5993" s="2" t="s">
        <v>3440</v>
      </c>
      <c r="I5993" s="12" t="s">
        <v>96</v>
      </c>
      <c r="J5993" s="41">
        <f>+Tabla1[[#This Row],[FECHA ENTRADA]]</f>
        <v>46146</v>
      </c>
      <c r="K5993" s="22">
        <f ca="1">TODAY()</f>
        <v>46260</v>
      </c>
      <c r="L5993" s="42">
        <f ca="1">_xlfn.DAYS(Tabla1[[#This Row],[FECHA FIN ]],Tabla1[[#This Row],[FECHA INICIO]])</f>
        <v>114</v>
      </c>
      <c r="M5993" s="12"/>
      <c r="N5993" s="20">
        <v>0</v>
      </c>
      <c r="O5993" s="28">
        <f ca="1">(Tabla1[[#This Row],[COSTO FIJO ]]/30)*Tabla1[[#This Row],[TOTAL DIAS PROYECTO]]+(Tabla1[[#This Row],[COSTO TEMPORAL]])</f>
        <v>0</v>
      </c>
      <c r="P5993" s="12"/>
      <c r="Q5993" s="12">
        <f ca="1">+(Tabla1[[#This Row],[COSTO COCHE]]/30)*Tabla1[[#This Row],[TOTAL DIAS PROYECTO]]</f>
        <v>0</v>
      </c>
      <c r="R5993" s="12">
        <f ca="1">+Tabla1[[#This Row],[COSTO TOTAL ALOJAMIENTO]]+Tabla1[[#This Row],[COSTO TOTAL COCHE]]</f>
        <v>0</v>
      </c>
      <c r="S5993" s="2"/>
      <c r="T5993" s="14" t="s">
        <v>8</v>
      </c>
      <c r="U5993" s="14">
        <v>46146</v>
      </c>
      <c r="V5993" s="43"/>
      <c r="W5993" s="12"/>
      <c r="X5993" s="2"/>
      <c r="Y5993" s="11" t="s">
        <v>7371</v>
      </c>
      <c r="Z5993" s="2" t="s">
        <v>702</v>
      </c>
      <c r="AA5993" s="13" t="s">
        <v>10335</v>
      </c>
      <c r="AB5993" s="13">
        <v>404.16500000000002</v>
      </c>
    </row>
    <row r="5994" spans="1:28">
      <c r="A5994" s="2" t="s">
        <v>9794</v>
      </c>
      <c r="B5994" s="2" t="s">
        <v>28</v>
      </c>
      <c r="C5994" s="18" t="s">
        <v>4758</v>
      </c>
      <c r="D5994" s="2" t="s">
        <v>30</v>
      </c>
      <c r="E5994" s="2" t="s">
        <v>31</v>
      </c>
      <c r="F5994" s="11"/>
      <c r="G5994" s="11" t="s">
        <v>3638</v>
      </c>
      <c r="H5994" s="2" t="s">
        <v>3639</v>
      </c>
      <c r="I5994" s="12" t="s">
        <v>385</v>
      </c>
      <c r="J5994" s="8">
        <f>+Tabla1[[#This Row],[FECHA ENTRADA]]</f>
        <v>45356</v>
      </c>
      <c r="K5994" s="8"/>
      <c r="L5994" s="13">
        <f>_xlfn.DAYS(Tabla1[[#This Row],[FECHA FIN ]],Tabla1[[#This Row],[FECHA INICIO]])</f>
        <v>-45356</v>
      </c>
      <c r="M5994" s="12"/>
      <c r="N5994" s="12">
        <v>325</v>
      </c>
      <c r="O5994" s="12">
        <f>(Tabla1[[#This Row],[COSTO FIJO ]]/30)*Tabla1[[#This Row],[TOTAL DIAS PROYECTO]]+(Tabla1[[#This Row],[COSTO TEMPORAL]])</f>
        <v>-491356.66666666669</v>
      </c>
      <c r="P5994" s="12"/>
      <c r="Q5994" s="12">
        <f>+(Tabla1[[#This Row],[COSTO COCHE]]/30)*Tabla1[[#This Row],[TOTAL DIAS PROYECTO]]</f>
        <v>0</v>
      </c>
      <c r="R5994" s="12">
        <f>+Tabla1[[#This Row],[COSTO TOTAL ALOJAMIENTO]]+Tabla1[[#This Row],[COSTO TOTAL COCHE]]</f>
        <v>-491356.66666666669</v>
      </c>
      <c r="S5994" s="2"/>
      <c r="T5994" s="2" t="s">
        <v>35</v>
      </c>
      <c r="U5994" s="14">
        <v>45356</v>
      </c>
      <c r="V5994" s="14"/>
      <c r="W5994" s="15"/>
      <c r="X5994" s="16">
        <v>5</v>
      </c>
      <c r="Y5994" s="11" t="s">
        <v>3640</v>
      </c>
      <c r="Z5994" s="2" t="s">
        <v>36</v>
      </c>
      <c r="AA5994" s="13" t="s">
        <v>10323</v>
      </c>
      <c r="AB5994" s="13" t="s">
        <v>10324</v>
      </c>
    </row>
    <row r="5995" spans="1:28">
      <c r="A5995" s="2" t="s">
        <v>9128</v>
      </c>
      <c r="B5995" s="2" t="s">
        <v>28</v>
      </c>
      <c r="C5995" s="11" t="s">
        <v>2116</v>
      </c>
      <c r="D5995" s="2" t="s">
        <v>99</v>
      </c>
      <c r="E5995" s="2" t="s">
        <v>127</v>
      </c>
      <c r="F5995" s="11" t="s">
        <v>820</v>
      </c>
      <c r="G5995" s="21" t="s">
        <v>1234</v>
      </c>
      <c r="H5995" s="2" t="s">
        <v>1605</v>
      </c>
      <c r="I5995" s="12" t="s">
        <v>96</v>
      </c>
      <c r="J5995" s="22">
        <f>+Tabla1[[#This Row],[FECHA ENTRADA]]</f>
        <v>45726</v>
      </c>
      <c r="K5995" s="8">
        <f ca="1">TODAY()</f>
        <v>46260</v>
      </c>
      <c r="L5995" s="23">
        <f ca="1">_xlfn.DAYS(Tabla1[[#This Row],[FECHA FIN ]],Tabla1[[#This Row],[FECHA INICIO]])</f>
        <v>534</v>
      </c>
      <c r="M5995" s="12"/>
      <c r="N5995" s="12">
        <v>132</v>
      </c>
      <c r="O5995" s="24">
        <f ca="1">(Tabla1[[#This Row],[COSTO FIJO ]]/30)*Tabla1[[#This Row],[TOTAL DIAS PROYECTO]]+(Tabla1[[#This Row],[COSTO TEMPORAL]])</f>
        <v>2349.6000000000004</v>
      </c>
      <c r="P5995" s="12"/>
      <c r="Q5995" s="12">
        <f ca="1">+(Tabla1[[#This Row],[COSTO COCHE]]/30)*Tabla1[[#This Row],[TOTAL DIAS PROYECTO]]</f>
        <v>0</v>
      </c>
      <c r="R5995" s="12">
        <f ca="1">+Tabla1[[#This Row],[COSTO TOTAL ALOJAMIENTO]]+Tabla1[[#This Row],[COSTO TOTAL COCHE]]</f>
        <v>2349.6000000000004</v>
      </c>
      <c r="S5995" s="2"/>
      <c r="T5995" s="2" t="s">
        <v>44</v>
      </c>
      <c r="U5995" s="14">
        <v>45726</v>
      </c>
      <c r="V5995" s="25">
        <v>45731</v>
      </c>
      <c r="W5995" s="26"/>
      <c r="X5995" s="2"/>
      <c r="Y5995" s="11" t="s">
        <v>1166</v>
      </c>
      <c r="Z5995" s="2" t="s">
        <v>36</v>
      </c>
      <c r="AA5995" s="13" t="s">
        <v>10342</v>
      </c>
      <c r="AB5995" s="13" t="s">
        <v>10343</v>
      </c>
    </row>
    <row r="5996" spans="1:28">
      <c r="A5996" s="2" t="s">
        <v>9891</v>
      </c>
      <c r="B5996" s="2" t="s">
        <v>606</v>
      </c>
      <c r="C5996" s="11" t="s">
        <v>5232</v>
      </c>
      <c r="D5996" s="2" t="s">
        <v>30</v>
      </c>
      <c r="E5996" s="2" t="s">
        <v>87</v>
      </c>
      <c r="F5996" s="11" t="s">
        <v>1668</v>
      </c>
      <c r="G5996" s="128" t="s">
        <v>1669</v>
      </c>
      <c r="H5996" s="2" t="s">
        <v>2106</v>
      </c>
      <c r="I5996" s="12" t="s">
        <v>2107</v>
      </c>
      <c r="J5996" s="22">
        <f>+Tabla1[[#This Row],[FECHA ENTRADA]]</f>
        <v>46248</v>
      </c>
      <c r="K5996" s="22">
        <v>46255</v>
      </c>
      <c r="L5996" s="23">
        <f>_xlfn.DAYS(Tabla1[[#This Row],[FECHA FIN ]],Tabla1[[#This Row],[FECHA INICIO]])</f>
        <v>7</v>
      </c>
      <c r="M5996" s="12"/>
      <c r="N5996" s="20">
        <v>277.16666666666669</v>
      </c>
      <c r="O5996" s="24">
        <f>(Tabla1[[#This Row],[COSTO FIJO ]]/30)*Tabla1[[#This Row],[TOTAL DIAS PROYECTO]]+(Tabla1[[#This Row],[COSTO TEMPORAL]])</f>
        <v>64.672222222222217</v>
      </c>
      <c r="P5996" s="12"/>
      <c r="Q5996" s="12">
        <f>+(Tabla1[[#This Row],[COSTO COCHE]]/30)*Tabla1[[#This Row],[TOTAL DIAS PROYECTO]]</f>
        <v>0</v>
      </c>
      <c r="R5996" s="12">
        <f>+Tabla1[[#This Row],[COSTO TOTAL ALOJAMIENTO]]+Tabla1[[#This Row],[COSTO TOTAL COCHE]]</f>
        <v>64.672222222222217</v>
      </c>
      <c r="S5996" s="2"/>
      <c r="T5996" s="14" t="s">
        <v>35</v>
      </c>
      <c r="U5996" s="14">
        <v>46248</v>
      </c>
      <c r="V5996" s="25">
        <v>46255</v>
      </c>
      <c r="W5996" s="12"/>
      <c r="X5996" s="2">
        <v>15</v>
      </c>
      <c r="Y5996" s="11" t="s">
        <v>8101</v>
      </c>
      <c r="Z5996" s="2" t="s">
        <v>36</v>
      </c>
      <c r="AA5996" s="13" t="s">
        <v>10335</v>
      </c>
      <c r="AB5996" s="13">
        <v>404.16500000000002</v>
      </c>
    </row>
    <row r="5997" spans="1:28">
      <c r="A5997" s="2" t="s">
        <v>10086</v>
      </c>
      <c r="B5997" s="2" t="s">
        <v>711</v>
      </c>
      <c r="C5997" s="11" t="s">
        <v>6310</v>
      </c>
      <c r="D5997" s="2" t="s">
        <v>30</v>
      </c>
      <c r="E5997" s="2" t="s">
        <v>1719</v>
      </c>
      <c r="F5997" s="11" t="s">
        <v>7633</v>
      </c>
      <c r="G5997" s="46" t="s">
        <v>7634</v>
      </c>
      <c r="H5997" s="2" t="s">
        <v>6308</v>
      </c>
      <c r="I5997" s="12" t="s">
        <v>1392</v>
      </c>
      <c r="J5997" s="41">
        <f>+Tabla1[[#This Row],[FECHA ENTRADA]]</f>
        <v>46070</v>
      </c>
      <c r="K5997" s="22">
        <f t="shared" ref="K5997:K6011" ca="1" si="15">TODAY()</f>
        <v>46260</v>
      </c>
      <c r="L5997" s="42">
        <f ca="1">_xlfn.DAYS(Tabla1[[#This Row],[FECHA FIN ]],Tabla1[[#This Row],[FECHA INICIO]])</f>
        <v>190</v>
      </c>
      <c r="M5997" s="12">
        <v>380</v>
      </c>
      <c r="N5997" s="28"/>
      <c r="O5997" s="28">
        <f ca="1">(Tabla1[[#This Row],[COSTO FIJO ]]/30)*Tabla1[[#This Row],[TOTAL DIAS PROYECTO]]+(Tabla1[[#This Row],[COSTO TEMPORAL]])</f>
        <v>380</v>
      </c>
      <c r="P5997" s="12"/>
      <c r="Q5997" s="12">
        <f ca="1">+(Tabla1[[#This Row],[COSTO COCHE]]/30)*Tabla1[[#This Row],[TOTAL DIAS PROYECTO]]</f>
        <v>0</v>
      </c>
      <c r="R5997" s="12">
        <f ca="1">+Tabla1[[#This Row],[COSTO TOTAL ALOJAMIENTO]]+Tabla1[[#This Row],[COSTO TOTAL COCHE]]</f>
        <v>380</v>
      </c>
      <c r="S5997" s="2" t="s">
        <v>403</v>
      </c>
      <c r="T5997" s="14" t="s">
        <v>44</v>
      </c>
      <c r="U5997" s="14">
        <v>46070</v>
      </c>
      <c r="V5997" s="25">
        <v>46261</v>
      </c>
      <c r="W5997" s="12"/>
      <c r="X5997" s="2"/>
      <c r="Y5997" s="11" t="s">
        <v>8100</v>
      </c>
      <c r="Z5997" s="2" t="s">
        <v>702</v>
      </c>
      <c r="AA5997" s="13" t="s">
        <v>10427</v>
      </c>
      <c r="AB5997" s="13">
        <v>4260003</v>
      </c>
    </row>
    <row r="5998" spans="1:28">
      <c r="A5998" s="2" t="s">
        <v>10084</v>
      </c>
      <c r="B5998" s="2" t="s">
        <v>606</v>
      </c>
      <c r="C5998" s="212" t="s">
        <v>6288</v>
      </c>
      <c r="D5998" s="2" t="s">
        <v>30</v>
      </c>
      <c r="E5998" s="2" t="s">
        <v>31</v>
      </c>
      <c r="F5998" s="11" t="s">
        <v>715</v>
      </c>
      <c r="G5998" s="11" t="s">
        <v>716</v>
      </c>
      <c r="H5998" s="2" t="s">
        <v>6289</v>
      </c>
      <c r="I5998" s="12" t="s">
        <v>1642</v>
      </c>
      <c r="J5998" s="41">
        <f>+Tabla1[[#This Row],[FECHA ENTRADA]]</f>
        <v>45748</v>
      </c>
      <c r="K5998" s="8">
        <f t="shared" ca="1" si="15"/>
        <v>46260</v>
      </c>
      <c r="L5998" s="42">
        <f ca="1">_xlfn.DAYS(Tabla1[[#This Row],[FECHA FIN ]],Tabla1[[#This Row],[FECHA INICIO]])</f>
        <v>512</v>
      </c>
      <c r="M5998" s="12"/>
      <c r="N5998" s="12">
        <v>160</v>
      </c>
      <c r="O5998" s="28">
        <f ca="1">(Tabla1[[#This Row],[COSTO FIJO ]]/30)*Tabla1[[#This Row],[TOTAL DIAS PROYECTO]]+(Tabla1[[#This Row],[COSTO TEMPORAL]])</f>
        <v>2730.6666666666665</v>
      </c>
      <c r="P5998" s="12"/>
      <c r="Q5998" s="12">
        <f ca="1">+(Tabla1[[#This Row],[COSTO COCHE]]/30)*Tabla1[[#This Row],[TOTAL DIAS PROYECTO]]</f>
        <v>0</v>
      </c>
      <c r="R5998" s="12">
        <f ca="1">+Tabla1[[#This Row],[COSTO TOTAL ALOJAMIENTO]]+Tabla1[[#This Row],[COSTO TOTAL COCHE]]</f>
        <v>2730.6666666666665</v>
      </c>
      <c r="S5998" s="2"/>
      <c r="T5998" s="2" t="s">
        <v>35</v>
      </c>
      <c r="U5998" s="14">
        <v>45748</v>
      </c>
      <c r="V5998" s="43"/>
      <c r="W5998" s="12"/>
      <c r="X5998" s="2">
        <v>1</v>
      </c>
      <c r="Y5998" s="11" t="s">
        <v>6079</v>
      </c>
      <c r="Z5998" s="2" t="s">
        <v>36</v>
      </c>
      <c r="AA5998" s="13" t="s">
        <v>10323</v>
      </c>
      <c r="AB5998" s="13" t="s">
        <v>10324</v>
      </c>
    </row>
    <row r="5999" spans="1:28">
      <c r="A5999" s="2" t="s">
        <v>9207</v>
      </c>
      <c r="B5999" s="2" t="s">
        <v>978</v>
      </c>
      <c r="C5999" s="11" t="s">
        <v>2430</v>
      </c>
      <c r="D5999" s="2" t="s">
        <v>99</v>
      </c>
      <c r="E5999" s="2" t="s">
        <v>109</v>
      </c>
      <c r="F5999" s="11" t="s">
        <v>898</v>
      </c>
      <c r="G5999" s="128" t="s">
        <v>3042</v>
      </c>
      <c r="H5999" s="2" t="s">
        <v>1686</v>
      </c>
      <c r="I5999" s="12" t="s">
        <v>4420</v>
      </c>
      <c r="J5999" s="41">
        <f>+Tabla1[[#This Row],[FECHA ENTRADA]]</f>
        <v>46221</v>
      </c>
      <c r="K5999" s="22">
        <f t="shared" ca="1" si="15"/>
        <v>46260</v>
      </c>
      <c r="L5999" s="42">
        <f ca="1">_xlfn.DAYS(Tabla1[[#This Row],[FECHA FIN ]],Tabla1[[#This Row],[FECHA INICIO]])</f>
        <v>39</v>
      </c>
      <c r="M5999" s="12"/>
      <c r="N5999" s="28">
        <v>375</v>
      </c>
      <c r="O5999" s="28">
        <f ca="1">(Tabla1[[#This Row],[COSTO FIJO ]]/30)*Tabla1[[#This Row],[TOTAL DIAS PROYECTO]]+(Tabla1[[#This Row],[COSTO TEMPORAL]])</f>
        <v>487.5</v>
      </c>
      <c r="P5999" s="12"/>
      <c r="Q5999" s="12">
        <f ca="1">+(Tabla1[[#This Row],[COSTO COCHE]]/30)*Tabla1[[#This Row],[TOTAL DIAS PROYECTO]]</f>
        <v>0</v>
      </c>
      <c r="R5999" s="12">
        <f ca="1">+Tabla1[[#This Row],[COSTO TOTAL ALOJAMIENTO]]+Tabla1[[#This Row],[COSTO TOTAL COCHE]]</f>
        <v>487.5</v>
      </c>
      <c r="S5999" s="2"/>
      <c r="T5999" s="14" t="s">
        <v>35</v>
      </c>
      <c r="U5999" s="14">
        <v>46221</v>
      </c>
      <c r="V5999" s="43"/>
      <c r="W5999" s="12"/>
      <c r="X5999" s="2">
        <v>15</v>
      </c>
      <c r="Y5999" s="11"/>
      <c r="Z5999" s="2" t="s">
        <v>702</v>
      </c>
      <c r="AA5999" s="13">
        <v>0.62217999999999996</v>
      </c>
      <c r="AB5999" s="13" t="s">
        <v>10339</v>
      </c>
    </row>
    <row r="6000" spans="1:28">
      <c r="A6000" s="2" t="s">
        <v>9128</v>
      </c>
      <c r="B6000" s="2" t="s">
        <v>28</v>
      </c>
      <c r="C6000" s="11" t="s">
        <v>2116</v>
      </c>
      <c r="D6000" s="2" t="s">
        <v>99</v>
      </c>
      <c r="E6000" s="2" t="s">
        <v>127</v>
      </c>
      <c r="F6000" s="11" t="s">
        <v>1643</v>
      </c>
      <c r="G6000" s="49" t="s">
        <v>1644</v>
      </c>
      <c r="H6000" s="2" t="s">
        <v>1605</v>
      </c>
      <c r="I6000" s="12" t="s">
        <v>96</v>
      </c>
      <c r="J6000" s="22">
        <f>+Tabla1[[#This Row],[FECHA ENTRADA]]</f>
        <v>45731</v>
      </c>
      <c r="K6000" s="8">
        <f t="shared" ca="1" si="15"/>
        <v>46260</v>
      </c>
      <c r="L6000" s="23">
        <f ca="1">_xlfn.DAYS(Tabla1[[#This Row],[FECHA FIN ]],Tabla1[[#This Row],[FECHA INICIO]])</f>
        <v>529</v>
      </c>
      <c r="M6000" s="12"/>
      <c r="N6000" s="12">
        <f>168.32/5</f>
        <v>33.664000000000001</v>
      </c>
      <c r="O6000" s="24">
        <f ca="1">(Tabla1[[#This Row],[COSTO FIJO ]]/30)*Tabla1[[#This Row],[TOTAL DIAS PROYECTO]]+(Tabla1[[#This Row],[COSTO TEMPORAL]])</f>
        <v>593.60853333333341</v>
      </c>
      <c r="P6000" s="12"/>
      <c r="Q6000" s="12">
        <f ca="1">+(Tabla1[[#This Row],[COSTO COCHE]]/30)*Tabla1[[#This Row],[TOTAL DIAS PROYECTO]]</f>
        <v>0</v>
      </c>
      <c r="R6000" s="12">
        <f ca="1">+Tabla1[[#This Row],[COSTO TOTAL ALOJAMIENTO]]+Tabla1[[#This Row],[COSTO TOTAL COCHE]]</f>
        <v>593.60853333333341</v>
      </c>
      <c r="S6000" s="2" t="s">
        <v>403</v>
      </c>
      <c r="T6000" s="2" t="s">
        <v>44</v>
      </c>
      <c r="U6000" s="14">
        <v>45731</v>
      </c>
      <c r="V6000" s="25">
        <v>45732</v>
      </c>
      <c r="W6000" s="26"/>
      <c r="X6000" s="2"/>
      <c r="Y6000" s="11" t="s">
        <v>1166</v>
      </c>
      <c r="Z6000" s="2" t="s">
        <v>36</v>
      </c>
      <c r="AA6000" s="13" t="s">
        <v>10342</v>
      </c>
      <c r="AB6000" s="13" t="s">
        <v>10343</v>
      </c>
    </row>
    <row r="6001" spans="1:28">
      <c r="A6001" s="2" t="s">
        <v>9992</v>
      </c>
      <c r="B6001" s="2" t="s">
        <v>606</v>
      </c>
      <c r="C6001" s="11" t="s">
        <v>5856</v>
      </c>
      <c r="D6001" s="2" t="s">
        <v>30</v>
      </c>
      <c r="E6001" s="2" t="s">
        <v>259</v>
      </c>
      <c r="F6001" s="11"/>
      <c r="G6001" s="46"/>
      <c r="H6001" s="2" t="s">
        <v>6463</v>
      </c>
      <c r="I6001" s="12" t="s">
        <v>57</v>
      </c>
      <c r="J6001" s="41">
        <f>+Tabla1[[#This Row],[FECHA ENTRADA]]</f>
        <v>46235</v>
      </c>
      <c r="K6001" s="22">
        <f t="shared" ca="1" si="15"/>
        <v>46260</v>
      </c>
      <c r="L6001" s="42">
        <f ca="1">_xlfn.DAYS(Tabla1[[#This Row],[FECHA FIN ]],Tabla1[[#This Row],[FECHA INICIO]])</f>
        <v>25</v>
      </c>
      <c r="M6001" s="12"/>
      <c r="N6001" s="28">
        <v>300</v>
      </c>
      <c r="O6001" s="28">
        <f ca="1">(Tabla1[[#This Row],[COSTO FIJO ]]/30)*Tabla1[[#This Row],[TOTAL DIAS PROYECTO]]+(Tabla1[[#This Row],[COSTO TEMPORAL]])</f>
        <v>250</v>
      </c>
      <c r="P6001" s="12"/>
      <c r="Q6001" s="12">
        <f ca="1">+(Tabla1[[#This Row],[COSTO COCHE]]/30)*Tabla1[[#This Row],[TOTAL DIAS PROYECTO]]</f>
        <v>0</v>
      </c>
      <c r="R6001" s="12">
        <f ca="1">+Tabla1[[#This Row],[COSTO TOTAL ALOJAMIENTO]]+Tabla1[[#This Row],[COSTO TOTAL COCHE]]</f>
        <v>250</v>
      </c>
      <c r="S6001" s="2"/>
      <c r="T6001" s="14" t="s">
        <v>58</v>
      </c>
      <c r="U6001" s="14">
        <v>46235</v>
      </c>
      <c r="V6001" s="43"/>
      <c r="W6001" s="12"/>
      <c r="X6001" s="2"/>
      <c r="Y6001" s="11" t="s">
        <v>7526</v>
      </c>
      <c r="Z6001" s="2" t="s">
        <v>702</v>
      </c>
      <c r="AA6001" s="13">
        <v>-0.87734000000000001</v>
      </c>
      <c r="AB6001" s="13" t="s">
        <v>10359</v>
      </c>
    </row>
    <row r="6002" spans="1:28">
      <c r="A6002" s="2" t="s">
        <v>10087</v>
      </c>
      <c r="B6002" s="2" t="s">
        <v>711</v>
      </c>
      <c r="C6002" s="11" t="s">
        <v>6311</v>
      </c>
      <c r="D6002" s="2" t="s">
        <v>30</v>
      </c>
      <c r="E6002" s="2" t="s">
        <v>1719</v>
      </c>
      <c r="F6002" s="11" t="s">
        <v>7633</v>
      </c>
      <c r="G6002" s="49" t="s">
        <v>7634</v>
      </c>
      <c r="H6002" s="2" t="s">
        <v>6308</v>
      </c>
      <c r="I6002" s="12" t="s">
        <v>8102</v>
      </c>
      <c r="J6002" s="22">
        <f>+Tabla1[[#This Row],[FECHA ENTRADA]]</f>
        <v>46070</v>
      </c>
      <c r="K6002" s="22">
        <f t="shared" ca="1" si="15"/>
        <v>46260</v>
      </c>
      <c r="L6002" s="23">
        <f ca="1">_xlfn.DAYS(Tabla1[[#This Row],[FECHA FIN ]],Tabla1[[#This Row],[FECHA INICIO]])</f>
        <v>190</v>
      </c>
      <c r="M6002" s="12">
        <v>380</v>
      </c>
      <c r="N6002" s="24"/>
      <c r="O6002" s="24">
        <f ca="1">(Tabla1[[#This Row],[COSTO FIJO ]]/30)*Tabla1[[#This Row],[TOTAL DIAS PROYECTO]]+(Tabla1[[#This Row],[COSTO TEMPORAL]])</f>
        <v>380</v>
      </c>
      <c r="P6002" s="12"/>
      <c r="Q6002" s="12">
        <f ca="1">+(Tabla1[[#This Row],[COSTO COCHE]]/30)*Tabla1[[#This Row],[TOTAL DIAS PROYECTO]]</f>
        <v>0</v>
      </c>
      <c r="R6002" s="12">
        <f ca="1">+Tabla1[[#This Row],[COSTO TOTAL ALOJAMIENTO]]+Tabla1[[#This Row],[COSTO TOTAL COCHE]]</f>
        <v>380</v>
      </c>
      <c r="S6002" s="2" t="s">
        <v>403</v>
      </c>
      <c r="T6002" s="14" t="s">
        <v>44</v>
      </c>
      <c r="U6002" s="14">
        <v>46070</v>
      </c>
      <c r="V6002" s="25">
        <v>46261</v>
      </c>
      <c r="W6002" s="12"/>
      <c r="X6002" s="2"/>
      <c r="Y6002" s="11"/>
      <c r="Z6002" s="2" t="s">
        <v>702</v>
      </c>
      <c r="AA6002" s="13" t="s">
        <v>10427</v>
      </c>
      <c r="AB6002" s="13">
        <v>4260003</v>
      </c>
    </row>
    <row r="6003" spans="1:28">
      <c r="A6003" s="2" t="s">
        <v>10031</v>
      </c>
      <c r="B6003" s="2" t="s">
        <v>606</v>
      </c>
      <c r="C6003" s="11" t="s">
        <v>5995</v>
      </c>
      <c r="D6003" s="2" t="s">
        <v>99</v>
      </c>
      <c r="E6003" s="2" t="s">
        <v>109</v>
      </c>
      <c r="F6003" s="11" t="s">
        <v>898</v>
      </c>
      <c r="G6003" s="128" t="s">
        <v>3042</v>
      </c>
      <c r="H6003" s="2" t="s">
        <v>8019</v>
      </c>
      <c r="I6003" s="12" t="s">
        <v>4420</v>
      </c>
      <c r="J6003" s="41">
        <f>+Tabla1[[#This Row],[FECHA ENTRADA]]</f>
        <v>46235</v>
      </c>
      <c r="K6003" s="22">
        <f t="shared" ca="1" si="15"/>
        <v>46260</v>
      </c>
      <c r="L6003" s="42">
        <f ca="1">_xlfn.DAYS(Tabla1[[#This Row],[FECHA FIN ]],Tabla1[[#This Row],[FECHA INICIO]])</f>
        <v>25</v>
      </c>
      <c r="M6003" s="12"/>
      <c r="N6003" s="28">
        <v>375</v>
      </c>
      <c r="O6003" s="28">
        <f ca="1">(Tabla1[[#This Row],[COSTO FIJO ]]/30)*Tabla1[[#This Row],[TOTAL DIAS PROYECTO]]+(Tabla1[[#This Row],[COSTO TEMPORAL]])</f>
        <v>312.5</v>
      </c>
      <c r="P6003" s="12"/>
      <c r="Q6003" s="12">
        <f ca="1">+(Tabla1[[#This Row],[COSTO COCHE]]/30)*Tabla1[[#This Row],[TOTAL DIAS PROYECTO]]</f>
        <v>0</v>
      </c>
      <c r="R6003" s="12">
        <f ca="1">+Tabla1[[#This Row],[COSTO TOTAL ALOJAMIENTO]]+Tabla1[[#This Row],[COSTO TOTAL COCHE]]</f>
        <v>312.5</v>
      </c>
      <c r="S6003" s="2"/>
      <c r="T6003" s="14" t="s">
        <v>35</v>
      </c>
      <c r="U6003" s="14">
        <v>46235</v>
      </c>
      <c r="V6003" s="43"/>
      <c r="W6003" s="12"/>
      <c r="X6003" s="2">
        <v>15</v>
      </c>
      <c r="Y6003" s="11"/>
      <c r="Z6003" s="2" t="s">
        <v>702</v>
      </c>
      <c r="AA6003" s="13">
        <v>0.62217999999999996</v>
      </c>
      <c r="AB6003" s="13" t="s">
        <v>10339</v>
      </c>
    </row>
    <row r="6004" spans="1:28">
      <c r="A6004" s="2" t="s">
        <v>8642</v>
      </c>
      <c r="B6004" s="2" t="s">
        <v>606</v>
      </c>
      <c r="C6004" s="11" t="s">
        <v>7651</v>
      </c>
      <c r="D6004" s="2" t="s">
        <v>30</v>
      </c>
      <c r="E6004" s="2" t="s">
        <v>259</v>
      </c>
      <c r="F6004" s="11"/>
      <c r="G6004" s="49"/>
      <c r="H6004" s="2" t="s">
        <v>7652</v>
      </c>
      <c r="I6004" s="12" t="s">
        <v>57</v>
      </c>
      <c r="J6004" s="22">
        <f>+Tabla1[[#This Row],[FECHA ENTRADA]]</f>
        <v>46235</v>
      </c>
      <c r="K6004" s="22">
        <f t="shared" ca="1" si="15"/>
        <v>46260</v>
      </c>
      <c r="L6004" s="23">
        <f ca="1">_xlfn.DAYS(Tabla1[[#This Row],[FECHA FIN ]],Tabla1[[#This Row],[FECHA INICIO]])</f>
        <v>25</v>
      </c>
      <c r="M6004" s="12"/>
      <c r="N6004" s="24">
        <v>300</v>
      </c>
      <c r="O6004" s="24">
        <f ca="1">(Tabla1[[#This Row],[COSTO FIJO ]]/30)*Tabla1[[#This Row],[TOTAL DIAS PROYECTO]]+(Tabla1[[#This Row],[COSTO TEMPORAL]])</f>
        <v>250</v>
      </c>
      <c r="P6004" s="12"/>
      <c r="Q6004" s="12">
        <f ca="1">+(Tabla1[[#This Row],[COSTO COCHE]]/30)*Tabla1[[#This Row],[TOTAL DIAS PROYECTO]]</f>
        <v>0</v>
      </c>
      <c r="R6004" s="12">
        <f ca="1">+Tabla1[[#This Row],[COSTO TOTAL ALOJAMIENTO]]+Tabla1[[#This Row],[COSTO TOTAL COCHE]]</f>
        <v>250</v>
      </c>
      <c r="S6004" s="2"/>
      <c r="T6004" s="14" t="s">
        <v>58</v>
      </c>
      <c r="U6004" s="14">
        <v>46235</v>
      </c>
      <c r="V6004" s="25"/>
      <c r="W6004" s="12"/>
      <c r="X6004" s="2"/>
      <c r="Y6004" s="11"/>
      <c r="Z6004" s="2" t="s">
        <v>702</v>
      </c>
      <c r="AA6004" s="13">
        <v>-0.87734000000000001</v>
      </c>
      <c r="AB6004" s="13" t="s">
        <v>10359</v>
      </c>
    </row>
    <row r="6005" spans="1:28">
      <c r="A6005" s="2" t="s">
        <v>9853</v>
      </c>
      <c r="B6005" s="2" t="s">
        <v>606</v>
      </c>
      <c r="C6005" s="11" t="s">
        <v>5051</v>
      </c>
      <c r="D6005" s="2" t="s">
        <v>30</v>
      </c>
      <c r="E6005" s="2" t="s">
        <v>87</v>
      </c>
      <c r="F6005" s="11" t="s">
        <v>1668</v>
      </c>
      <c r="G6005" s="128" t="s">
        <v>1669</v>
      </c>
      <c r="H6005" s="2" t="s">
        <v>2106</v>
      </c>
      <c r="I6005" s="12" t="s">
        <v>2107</v>
      </c>
      <c r="J6005" s="22">
        <f>+Tabla1[[#This Row],[FECHA ENTRADA]]</f>
        <v>46248</v>
      </c>
      <c r="K6005" s="22">
        <f t="shared" ca="1" si="15"/>
        <v>46260</v>
      </c>
      <c r="L6005" s="23">
        <f ca="1">_xlfn.DAYS(Tabla1[[#This Row],[FECHA FIN ]],Tabla1[[#This Row],[FECHA INICIO]])</f>
        <v>12</v>
      </c>
      <c r="M6005" s="12"/>
      <c r="N6005" s="20">
        <v>277.16666666666669</v>
      </c>
      <c r="O6005" s="24">
        <f ca="1">(Tabla1[[#This Row],[COSTO FIJO ]]/30)*Tabla1[[#This Row],[TOTAL DIAS PROYECTO]]+(Tabla1[[#This Row],[COSTO TEMPORAL]])</f>
        <v>110.86666666666667</v>
      </c>
      <c r="P6005" s="12"/>
      <c r="Q6005" s="12">
        <f ca="1">+(Tabla1[[#This Row],[COSTO COCHE]]/30)*Tabla1[[#This Row],[TOTAL DIAS PROYECTO]]</f>
        <v>0</v>
      </c>
      <c r="R6005" s="12">
        <f ca="1">+Tabla1[[#This Row],[COSTO TOTAL ALOJAMIENTO]]+Tabla1[[#This Row],[COSTO TOTAL COCHE]]</f>
        <v>110.86666666666667</v>
      </c>
      <c r="S6005" s="2"/>
      <c r="T6005" s="14" t="s">
        <v>35</v>
      </c>
      <c r="U6005" s="14">
        <v>46248</v>
      </c>
      <c r="V6005" s="25"/>
      <c r="W6005" s="12"/>
      <c r="X6005" s="2">
        <v>15</v>
      </c>
      <c r="Y6005" s="11" t="s">
        <v>8103</v>
      </c>
      <c r="Z6005" s="2" t="s">
        <v>702</v>
      </c>
      <c r="AA6005" s="13" t="s">
        <v>10335</v>
      </c>
      <c r="AB6005" s="13">
        <v>404.16500000000002</v>
      </c>
    </row>
    <row r="6006" spans="1:28">
      <c r="A6006" s="2" t="s">
        <v>10211</v>
      </c>
      <c r="B6006" s="2" t="s">
        <v>28</v>
      </c>
      <c r="C6006" s="11" t="s">
        <v>7183</v>
      </c>
      <c r="D6006" s="2" t="s">
        <v>30</v>
      </c>
      <c r="E6006" s="2" t="s">
        <v>359</v>
      </c>
      <c r="F6006" s="11" t="s">
        <v>6193</v>
      </c>
      <c r="G6006" t="s">
        <v>6194</v>
      </c>
      <c r="H6006" s="2" t="s">
        <v>6195</v>
      </c>
      <c r="I6006" s="12" t="s">
        <v>96</v>
      </c>
      <c r="J6006" s="22">
        <f>+Tabla1[[#This Row],[FECHA ENTRADA]]</f>
        <v>45700</v>
      </c>
      <c r="K6006" s="8">
        <f t="shared" ca="1" si="15"/>
        <v>46260</v>
      </c>
      <c r="L6006" s="23">
        <f ca="1">_xlfn.DAYS(Tabla1[[#This Row],[FECHA FIN ]],Tabla1[[#This Row],[FECHA INICIO]])</f>
        <v>560</v>
      </c>
      <c r="M6006" s="12"/>
      <c r="N6006" s="12">
        <v>198</v>
      </c>
      <c r="O6006" s="24">
        <f ca="1">(Tabla1[[#This Row],[COSTO FIJO ]]/30)*Tabla1[[#This Row],[TOTAL DIAS PROYECTO]]+(Tabla1[[#This Row],[COSTO TEMPORAL]])</f>
        <v>3696</v>
      </c>
      <c r="P6006" s="12">
        <f>1714.47/48</f>
        <v>35.718125000000001</v>
      </c>
      <c r="Q6006" s="12">
        <f ca="1">+(Tabla1[[#This Row],[COSTO COCHE]]/30)*Tabla1[[#This Row],[TOTAL DIAS PROYECTO]]</f>
        <v>666.73833333333334</v>
      </c>
      <c r="R6006" s="12">
        <f ca="1">+Tabla1[[#This Row],[COSTO TOTAL ALOJAMIENTO]]+Tabla1[[#This Row],[COSTO TOTAL COCHE]]</f>
        <v>4362.7383333333337</v>
      </c>
      <c r="S6006" s="2"/>
      <c r="T6006" s="2" t="s">
        <v>44</v>
      </c>
      <c r="U6006" s="14">
        <v>45700</v>
      </c>
      <c r="V6006" s="25">
        <v>45709</v>
      </c>
      <c r="W6006" s="26"/>
      <c r="X6006" s="2"/>
      <c r="Y6006" s="11"/>
      <c r="Z6006" s="2" t="s">
        <v>36</v>
      </c>
      <c r="AA6006" s="13" t="s">
        <v>10367</v>
      </c>
      <c r="AB6006" s="13">
        <v>3899424</v>
      </c>
    </row>
    <row r="6007" spans="1:28">
      <c r="A6007" s="2" t="s">
        <v>10177</v>
      </c>
      <c r="B6007" s="2" t="s">
        <v>606</v>
      </c>
      <c r="C6007" s="11" t="s">
        <v>6948</v>
      </c>
      <c r="D6007" s="2" t="s">
        <v>30</v>
      </c>
      <c r="E6007" s="2" t="s">
        <v>87</v>
      </c>
      <c r="F6007" s="11" t="s">
        <v>1668</v>
      </c>
      <c r="G6007" s="128" t="s">
        <v>1669</v>
      </c>
      <c r="H6007" s="2" t="s">
        <v>2106</v>
      </c>
      <c r="I6007" s="12" t="s">
        <v>2107</v>
      </c>
      <c r="J6007" s="22">
        <f>+Tabla1[[#This Row],[FECHA ENTRADA]]</f>
        <v>46248</v>
      </c>
      <c r="K6007" s="22">
        <f t="shared" ca="1" si="15"/>
        <v>46260</v>
      </c>
      <c r="L6007" s="23">
        <f ca="1">_xlfn.DAYS(Tabla1[[#This Row],[FECHA FIN ]],Tabla1[[#This Row],[FECHA INICIO]])</f>
        <v>12</v>
      </c>
      <c r="M6007" s="12"/>
      <c r="N6007" s="20">
        <v>277.16666666666669</v>
      </c>
      <c r="O6007" s="24">
        <f ca="1">(Tabla1[[#This Row],[COSTO FIJO ]]/30)*Tabla1[[#This Row],[TOTAL DIAS PROYECTO]]+(Tabla1[[#This Row],[COSTO TEMPORAL]])</f>
        <v>110.86666666666667</v>
      </c>
      <c r="P6007" s="12"/>
      <c r="Q6007" s="12">
        <f ca="1">+(Tabla1[[#This Row],[COSTO COCHE]]/30)*Tabla1[[#This Row],[TOTAL DIAS PROYECTO]]</f>
        <v>0</v>
      </c>
      <c r="R6007" s="12">
        <f ca="1">+Tabla1[[#This Row],[COSTO TOTAL ALOJAMIENTO]]+Tabla1[[#This Row],[COSTO TOTAL COCHE]]</f>
        <v>110.86666666666667</v>
      </c>
      <c r="S6007" s="2"/>
      <c r="T6007" s="14" t="s">
        <v>35</v>
      </c>
      <c r="U6007" s="14">
        <v>46248</v>
      </c>
      <c r="V6007" s="25"/>
      <c r="W6007" s="12"/>
      <c r="X6007" s="2">
        <v>15</v>
      </c>
      <c r="Y6007" s="11" t="s">
        <v>8103</v>
      </c>
      <c r="Z6007" s="2" t="s">
        <v>702</v>
      </c>
      <c r="AA6007" s="13" t="s">
        <v>10335</v>
      </c>
      <c r="AB6007" s="13">
        <v>404.16500000000002</v>
      </c>
    </row>
    <row r="6008" spans="1:28">
      <c r="A6008" s="2" t="s">
        <v>9924</v>
      </c>
      <c r="B6008" s="2" t="s">
        <v>606</v>
      </c>
      <c r="C6008" s="11" t="s">
        <v>5471</v>
      </c>
      <c r="D6008" s="2" t="s">
        <v>30</v>
      </c>
      <c r="E6008" s="2" t="s">
        <v>87</v>
      </c>
      <c r="F6008" s="11" t="s">
        <v>1668</v>
      </c>
      <c r="G6008" s="128" t="s">
        <v>1669</v>
      </c>
      <c r="H6008" s="2" t="s">
        <v>2106</v>
      </c>
      <c r="I6008" s="158" t="s">
        <v>2107</v>
      </c>
      <c r="J6008" s="22">
        <f>+Tabla1[[#This Row],[FECHA ENTRADA]]</f>
        <v>46248</v>
      </c>
      <c r="K6008" s="22">
        <f t="shared" ca="1" si="15"/>
        <v>46260</v>
      </c>
      <c r="L6008" s="23">
        <f ca="1">_xlfn.DAYS(Tabla1[[#This Row],[FECHA FIN ]],Tabla1[[#This Row],[FECHA INICIO]])</f>
        <v>12</v>
      </c>
      <c r="M6008" s="12"/>
      <c r="N6008" s="20">
        <v>277.16666666666669</v>
      </c>
      <c r="O6008" s="24">
        <f ca="1">(Tabla1[[#This Row],[COSTO FIJO ]]/30)*Tabla1[[#This Row],[TOTAL DIAS PROYECTO]]+(Tabla1[[#This Row],[COSTO TEMPORAL]])</f>
        <v>110.86666666666667</v>
      </c>
      <c r="P6008" s="12"/>
      <c r="Q6008" s="12">
        <f ca="1">+(Tabla1[[#This Row],[COSTO COCHE]]/30)*Tabla1[[#This Row],[TOTAL DIAS PROYECTO]]</f>
        <v>0</v>
      </c>
      <c r="R6008" s="12">
        <f ca="1">+Tabla1[[#This Row],[COSTO TOTAL ALOJAMIENTO]]+Tabla1[[#This Row],[COSTO TOTAL COCHE]]</f>
        <v>110.86666666666667</v>
      </c>
      <c r="S6008" s="2"/>
      <c r="T6008" s="14" t="s">
        <v>35</v>
      </c>
      <c r="U6008" s="14">
        <v>46248</v>
      </c>
      <c r="V6008" s="25"/>
      <c r="W6008" s="12"/>
      <c r="X6008" s="2">
        <v>15</v>
      </c>
      <c r="Y6008" s="11" t="s">
        <v>8103</v>
      </c>
      <c r="Z6008" s="2" t="s">
        <v>702</v>
      </c>
      <c r="AA6008" s="13" t="s">
        <v>10335</v>
      </c>
      <c r="AB6008" s="13">
        <v>404.16500000000002</v>
      </c>
    </row>
    <row r="6009" spans="1:28">
      <c r="A6009" s="2" t="s">
        <v>8642</v>
      </c>
      <c r="B6009" s="2" t="s">
        <v>711</v>
      </c>
      <c r="C6009" s="11" t="s">
        <v>8104</v>
      </c>
      <c r="D6009" s="2" t="s">
        <v>30</v>
      </c>
      <c r="E6009" s="2" t="s">
        <v>422</v>
      </c>
      <c r="F6009" s="11" t="s">
        <v>1106</v>
      </c>
      <c r="G6009" s="46"/>
      <c r="H6009" s="2" t="s">
        <v>8105</v>
      </c>
      <c r="I6009" s="12" t="s">
        <v>7442</v>
      </c>
      <c r="J6009" s="41">
        <f>+Tabla1[[#This Row],[FECHA ENTRADA]]</f>
        <v>46218</v>
      </c>
      <c r="K6009" s="22">
        <f t="shared" ca="1" si="15"/>
        <v>46260</v>
      </c>
      <c r="L6009" s="42">
        <f ca="1">_xlfn.DAYS(Tabla1[[#This Row],[FECHA FIN ]],Tabla1[[#This Row],[FECHA INICIO]])</f>
        <v>42</v>
      </c>
      <c r="M6009" s="12"/>
      <c r="N6009" s="28">
        <v>0</v>
      </c>
      <c r="O6009" s="28">
        <f ca="1">(Tabla1[[#This Row],[COSTO FIJO ]]/30)*Tabla1[[#This Row],[TOTAL DIAS PROYECTO]]+(Tabla1[[#This Row],[COSTO TEMPORAL]])</f>
        <v>0</v>
      </c>
      <c r="P6009" s="12"/>
      <c r="Q6009" s="12">
        <f ca="1">+(Tabla1[[#This Row],[COSTO COCHE]]/30)*Tabla1[[#This Row],[TOTAL DIAS PROYECTO]]</f>
        <v>0</v>
      </c>
      <c r="R6009" s="12">
        <f ca="1">+Tabla1[[#This Row],[COSTO TOTAL ALOJAMIENTO]]+Tabla1[[#This Row],[COSTO TOTAL COCHE]]</f>
        <v>0</v>
      </c>
      <c r="S6009" s="2"/>
      <c r="T6009" s="14" t="s">
        <v>8</v>
      </c>
      <c r="U6009" s="14">
        <v>46218</v>
      </c>
      <c r="V6009" s="43"/>
      <c r="W6009" s="12"/>
      <c r="X6009" s="2"/>
      <c r="Y6009" s="11" t="s">
        <v>7371</v>
      </c>
      <c r="Z6009" s="2" t="s">
        <v>702</v>
      </c>
      <c r="AA6009" s="13">
        <v>-326.69799999999998</v>
      </c>
      <c r="AB6009" s="13" t="s">
        <v>10373</v>
      </c>
    </row>
    <row r="6010" spans="1:28">
      <c r="A6010" s="2" t="s">
        <v>9871</v>
      </c>
      <c r="B6010" s="2" t="s">
        <v>606</v>
      </c>
      <c r="C6010" s="11" t="s">
        <v>5150</v>
      </c>
      <c r="D6010" s="2" t="s">
        <v>30</v>
      </c>
      <c r="E6010" s="2" t="s">
        <v>213</v>
      </c>
      <c r="F6010" s="11"/>
      <c r="G6010" s="11"/>
      <c r="H6010" s="2" t="s">
        <v>5151</v>
      </c>
      <c r="I6010" s="12" t="s">
        <v>1043</v>
      </c>
      <c r="J6010" s="41">
        <f>+Tabla1[[#This Row],[FECHA ENTRADA]]</f>
        <v>46218</v>
      </c>
      <c r="K6010" s="41">
        <f t="shared" ca="1" si="15"/>
        <v>46260</v>
      </c>
      <c r="L6010" s="42">
        <f ca="1">_xlfn.DAYS(Tabla1[[#This Row],[FECHA FIN ]],Tabla1[[#This Row],[FECHA INICIO]])</f>
        <v>42</v>
      </c>
      <c r="M6010" s="12"/>
      <c r="N6010" s="28">
        <v>300</v>
      </c>
      <c r="O6010" s="28">
        <f ca="1">(Tabla1[[#This Row],[COSTO FIJO ]]/30)*Tabla1[[#This Row],[TOTAL DIAS PROYECTO]]+(Tabla1[[#This Row],[COSTO TEMPORAL]])</f>
        <v>420</v>
      </c>
      <c r="P6010" s="12"/>
      <c r="Q6010" s="12">
        <f ca="1">+(Tabla1[[#This Row],[COSTO COCHE]]/30)*Tabla1[[#This Row],[TOTAL DIAS PROYECTO]]</f>
        <v>0</v>
      </c>
      <c r="R6010" s="12">
        <f ca="1">+Tabla1[[#This Row],[COSTO TOTAL ALOJAMIENTO]]+Tabla1[[#This Row],[COSTO TOTAL COCHE]]</f>
        <v>420</v>
      </c>
      <c r="S6010" s="2"/>
      <c r="T6010" s="14" t="s">
        <v>58</v>
      </c>
      <c r="U6010" s="14">
        <v>46218</v>
      </c>
      <c r="V6010" s="43"/>
      <c r="W6010" s="12"/>
      <c r="X6010" s="2"/>
      <c r="Y6010" s="11"/>
      <c r="Z6010" s="2" t="s">
        <v>702</v>
      </c>
      <c r="AA6010" s="13" t="s">
        <v>10349</v>
      </c>
      <c r="AB6010" s="13" t="s">
        <v>10350</v>
      </c>
    </row>
    <row r="6011" spans="1:28">
      <c r="A6011" s="2" t="s">
        <v>9082</v>
      </c>
      <c r="B6011" s="2" t="s">
        <v>711</v>
      </c>
      <c r="C6011" s="11" t="s">
        <v>1936</v>
      </c>
      <c r="D6011" s="2" t="s">
        <v>30</v>
      </c>
      <c r="E6011" s="2" t="s">
        <v>1987</v>
      </c>
      <c r="F6011" s="11"/>
      <c r="G6011" s="21"/>
      <c r="H6011" s="2" t="s">
        <v>3768</v>
      </c>
      <c r="I6011" s="12" t="s">
        <v>3769</v>
      </c>
      <c r="J6011" s="41">
        <f>+Tabla1[[#This Row],[FECHA ENTRADA]]</f>
        <v>46243</v>
      </c>
      <c r="K6011" s="22">
        <f t="shared" ca="1" si="15"/>
        <v>46260</v>
      </c>
      <c r="L6011" s="42">
        <f ca="1">_xlfn.DAYS(Tabla1[[#This Row],[FECHA FIN ]],Tabla1[[#This Row],[FECHA INICIO]])</f>
        <v>17</v>
      </c>
      <c r="M6011" s="12"/>
      <c r="N6011" s="28">
        <v>300</v>
      </c>
      <c r="O6011" s="28">
        <f ca="1">(Tabla1[[#This Row],[COSTO FIJO ]]/30)*Tabla1[[#This Row],[TOTAL DIAS PROYECTO]]+(Tabla1[[#This Row],[COSTO TEMPORAL]])</f>
        <v>170</v>
      </c>
      <c r="P6011" s="12"/>
      <c r="Q6011" s="12">
        <f ca="1">+(Tabla1[[#This Row],[COSTO COCHE]]/30)*Tabla1[[#This Row],[TOTAL DIAS PROYECTO]]</f>
        <v>0</v>
      </c>
      <c r="R6011" s="12">
        <f ca="1">+Tabla1[[#This Row],[COSTO TOTAL ALOJAMIENTO]]+Tabla1[[#This Row],[COSTO TOTAL COCHE]]</f>
        <v>170</v>
      </c>
      <c r="S6011" s="2"/>
      <c r="T6011" s="14" t="s">
        <v>58</v>
      </c>
      <c r="U6011" s="14">
        <v>46243</v>
      </c>
      <c r="V6011" s="43"/>
      <c r="W6011" s="12"/>
      <c r="X6011" s="2"/>
      <c r="Y6011" s="11" t="s">
        <v>7952</v>
      </c>
      <c r="Z6011" s="2" t="s">
        <v>702</v>
      </c>
      <c r="AA6011" s="13" t="s">
        <v>10435</v>
      </c>
      <c r="AB6011" s="13">
        <v>42.136150000000001</v>
      </c>
    </row>
    <row r="6012" spans="1:28">
      <c r="A6012" s="2" t="s">
        <v>8638</v>
      </c>
      <c r="B6012" s="2" t="s">
        <v>978</v>
      </c>
      <c r="C6012" s="69" t="s">
        <v>4351</v>
      </c>
      <c r="D6012" s="2" t="s">
        <v>30</v>
      </c>
      <c r="E6012" s="2" t="s">
        <v>109</v>
      </c>
      <c r="F6012" s="11" t="s">
        <v>6245</v>
      </c>
      <c r="G6012" s="46" t="s">
        <v>6246</v>
      </c>
      <c r="H6012" s="2" t="s">
        <v>3043</v>
      </c>
      <c r="I6012" s="12" t="s">
        <v>3044</v>
      </c>
      <c r="J6012" s="41">
        <f>+Tabla1[[#This Row],[FECHA ENTRADA]]</f>
        <v>46234</v>
      </c>
      <c r="K6012" s="22">
        <v>46235</v>
      </c>
      <c r="L6012" s="42">
        <f>_xlfn.DAYS(Tabla1[[#This Row],[FECHA FIN ]],Tabla1[[#This Row],[FECHA INICIO]])</f>
        <v>1</v>
      </c>
      <c r="M6012" s="20">
        <f>48.54/2*Tabla1[[#This Row],[TOTAL DIAS PROYECTO]]</f>
        <v>24.27</v>
      </c>
      <c r="N6012" s="28"/>
      <c r="O6012" s="28">
        <f>(Tabla1[[#This Row],[COSTO FIJO ]]/30)*Tabla1[[#This Row],[TOTAL DIAS PROYECTO]]+(Tabla1[[#This Row],[COSTO TEMPORAL]])</f>
        <v>24.27</v>
      </c>
      <c r="P6012" s="12"/>
      <c r="Q6012" s="12">
        <f>+(Tabla1[[#This Row],[COSTO COCHE]]/30)*Tabla1[[#This Row],[TOTAL DIAS PROYECTO]]</f>
        <v>0</v>
      </c>
      <c r="R6012" s="12">
        <f>+Tabla1[[#This Row],[COSTO TOTAL ALOJAMIENTO]]+Tabla1[[#This Row],[COSTO TOTAL COCHE]]</f>
        <v>24.27</v>
      </c>
      <c r="S6012" s="2"/>
      <c r="T6012" s="14" t="s">
        <v>44</v>
      </c>
      <c r="U6012" s="14">
        <v>46234</v>
      </c>
      <c r="V6012" s="43">
        <v>46237</v>
      </c>
      <c r="W6012" s="12"/>
      <c r="X6012" s="2"/>
      <c r="Y6012" s="11" t="s">
        <v>8106</v>
      </c>
      <c r="Z6012" s="2" t="s">
        <v>36</v>
      </c>
      <c r="AA6012" s="13">
        <v>0.62217999999999996</v>
      </c>
      <c r="AB6012" s="13" t="s">
        <v>10339</v>
      </c>
    </row>
    <row r="6013" spans="1:28">
      <c r="A6013" s="2" t="s">
        <v>9352</v>
      </c>
      <c r="B6013" s="2" t="s">
        <v>978</v>
      </c>
      <c r="C6013" s="11" t="s">
        <v>2915</v>
      </c>
      <c r="D6013" s="2" t="s">
        <v>30</v>
      </c>
      <c r="E6013" s="2" t="s">
        <v>109</v>
      </c>
      <c r="F6013" s="11" t="s">
        <v>6245</v>
      </c>
      <c r="G6013" s="46" t="s">
        <v>6246</v>
      </c>
      <c r="H6013" s="2" t="s">
        <v>3043</v>
      </c>
      <c r="I6013" s="12" t="s">
        <v>3044</v>
      </c>
      <c r="J6013" s="41">
        <f>+Tabla1[[#This Row],[FECHA ENTRADA]]</f>
        <v>46234</v>
      </c>
      <c r="K6013" s="22">
        <v>46236</v>
      </c>
      <c r="L6013" s="42">
        <f>_xlfn.DAYS(Tabla1[[#This Row],[FECHA FIN ]],Tabla1[[#This Row],[FECHA INICIO]])</f>
        <v>2</v>
      </c>
      <c r="M6013" s="20">
        <f>48.54/2*Tabla1[[#This Row],[TOTAL DIAS PROYECTO]]</f>
        <v>48.54</v>
      </c>
      <c r="N6013" s="28"/>
      <c r="O6013" s="28">
        <f>(Tabla1[[#This Row],[COSTO FIJO ]]/30)*Tabla1[[#This Row],[TOTAL DIAS PROYECTO]]+(Tabla1[[#This Row],[COSTO TEMPORAL]])</f>
        <v>48.54</v>
      </c>
      <c r="P6013" s="12"/>
      <c r="Q6013" s="12">
        <f>+(Tabla1[[#This Row],[COSTO COCHE]]/30)*Tabla1[[#This Row],[TOTAL DIAS PROYECTO]]</f>
        <v>0</v>
      </c>
      <c r="R6013" s="12">
        <f>+Tabla1[[#This Row],[COSTO TOTAL ALOJAMIENTO]]+Tabla1[[#This Row],[COSTO TOTAL COCHE]]</f>
        <v>48.54</v>
      </c>
      <c r="S6013" s="2"/>
      <c r="T6013" s="14" t="s">
        <v>44</v>
      </c>
      <c r="U6013" s="14">
        <v>46234</v>
      </c>
      <c r="V6013" s="43">
        <v>46237</v>
      </c>
      <c r="W6013" s="12"/>
      <c r="X6013" s="2"/>
      <c r="Y6013" s="11" t="s">
        <v>8107</v>
      </c>
      <c r="Z6013" s="2" t="s">
        <v>36</v>
      </c>
      <c r="AA6013" s="13">
        <v>0.62217999999999996</v>
      </c>
      <c r="AB6013" s="13" t="s">
        <v>10339</v>
      </c>
    </row>
    <row r="6014" spans="1:28">
      <c r="A6014" s="2" t="s">
        <v>10243</v>
      </c>
      <c r="B6014" s="2" t="s">
        <v>606</v>
      </c>
      <c r="C6014" s="11" t="s">
        <v>7406</v>
      </c>
      <c r="D6014" s="2" t="s">
        <v>30</v>
      </c>
      <c r="E6014" s="2" t="s">
        <v>213</v>
      </c>
      <c r="F6014" s="11" t="s">
        <v>1733</v>
      </c>
      <c r="G6014" s="11" t="s">
        <v>8108</v>
      </c>
      <c r="H6014" s="2" t="s">
        <v>7896</v>
      </c>
      <c r="I6014" s="10" t="s">
        <v>3364</v>
      </c>
      <c r="J6014" s="22">
        <f>+Tabla1[[#This Row],[FECHA ENTRADA]]</f>
        <v>46199</v>
      </c>
      <c r="K6014" s="22">
        <f ca="1">TODAY()</f>
        <v>46260</v>
      </c>
      <c r="L6014" s="23">
        <f ca="1">_xlfn.DAYS(Tabla1[[#This Row],[FECHA FIN ]],Tabla1[[#This Row],[FECHA INICIO]])</f>
        <v>61</v>
      </c>
      <c r="M6014" s="12"/>
      <c r="N6014" s="20">
        <f>780.65/2</f>
        <v>390.32499999999999</v>
      </c>
      <c r="O6014" s="24">
        <f ca="1">(Tabla1[[#This Row],[COSTO FIJO ]]/30)*Tabla1[[#This Row],[TOTAL DIAS PROYECTO]]+(Tabla1[[#This Row],[COSTO TEMPORAL]])</f>
        <v>793.66083333333324</v>
      </c>
      <c r="P6014" s="12"/>
      <c r="Q6014" s="12">
        <f ca="1">+(Tabla1[[#This Row],[COSTO COCHE]]/30)*Tabla1[[#This Row],[TOTAL DIAS PROYECTO]]</f>
        <v>0</v>
      </c>
      <c r="R6014" s="12">
        <f ca="1">+Tabla1[[#This Row],[COSTO TOTAL ALOJAMIENTO]]+Tabla1[[#This Row],[COSTO TOTAL COCHE]]</f>
        <v>793.66083333333324</v>
      </c>
      <c r="S6014" s="2"/>
      <c r="T6014" s="14" t="s">
        <v>35</v>
      </c>
      <c r="U6014" s="14">
        <v>46199</v>
      </c>
      <c r="V6014" s="25">
        <v>46229</v>
      </c>
      <c r="W6014" s="12"/>
      <c r="X6014" s="2">
        <v>20</v>
      </c>
      <c r="Y6014" s="11"/>
      <c r="Z6014" s="2" t="s">
        <v>702</v>
      </c>
      <c r="AA6014" s="13" t="s">
        <v>10349</v>
      </c>
      <c r="AB6014" s="13" t="s">
        <v>10350</v>
      </c>
    </row>
    <row r="6015" spans="1:28">
      <c r="A6015" s="2" t="s">
        <v>9046</v>
      </c>
      <c r="B6015" s="2" t="s">
        <v>711</v>
      </c>
      <c r="C6015" s="11" t="s">
        <v>1803</v>
      </c>
      <c r="D6015" s="2" t="s">
        <v>749</v>
      </c>
      <c r="E6015" s="2" t="s">
        <v>4598</v>
      </c>
      <c r="F6015" s="11" t="s">
        <v>1106</v>
      </c>
      <c r="G6015" s="21"/>
      <c r="H6015" s="2" t="s">
        <v>8109</v>
      </c>
      <c r="I6015" s="12" t="s">
        <v>2862</v>
      </c>
      <c r="J6015" s="22">
        <f>+Tabla1[[#This Row],[FECHA ENTRADA]]</f>
        <v>46236</v>
      </c>
      <c r="K6015" s="41">
        <v>46236</v>
      </c>
      <c r="L6015" s="23">
        <f>_xlfn.DAYS(Tabla1[[#This Row],[FECHA FIN ]],Tabla1[[#This Row],[FECHA INICIO]])</f>
        <v>0</v>
      </c>
      <c r="M6015" s="12"/>
      <c r="N6015" s="20">
        <v>0</v>
      </c>
      <c r="O6015" s="24">
        <f>(Tabla1[[#This Row],[COSTO FIJO ]]/30)*Tabla1[[#This Row],[TOTAL DIAS PROYECTO]]+(Tabla1[[#This Row],[COSTO TEMPORAL]])</f>
        <v>0</v>
      </c>
      <c r="P6015" s="12"/>
      <c r="Q6015" s="12">
        <f>+(Tabla1[[#This Row],[COSTO COCHE]]/30)*Tabla1[[#This Row],[TOTAL DIAS PROYECTO]]</f>
        <v>0</v>
      </c>
      <c r="R6015" s="12">
        <f>+Tabla1[[#This Row],[COSTO TOTAL ALOJAMIENTO]]+Tabla1[[#This Row],[COSTO TOTAL COCHE]]</f>
        <v>0</v>
      </c>
      <c r="S6015" s="2"/>
      <c r="T6015" s="2" t="s">
        <v>8</v>
      </c>
      <c r="U6015" s="14">
        <v>46236</v>
      </c>
      <c r="V6015" s="79"/>
      <c r="W6015" s="12"/>
      <c r="X6015" s="2"/>
      <c r="Y6015" s="11" t="s">
        <v>8110</v>
      </c>
      <c r="Z6015" s="2" t="s">
        <v>36</v>
      </c>
      <c r="AA6015" s="13">
        <v>10.50447</v>
      </c>
      <c r="AB6015" s="13">
        <v>43.843690000000002</v>
      </c>
    </row>
    <row r="6016" spans="1:28">
      <c r="A6016" s="2" t="s">
        <v>10317</v>
      </c>
      <c r="B6016" s="2" t="s">
        <v>978</v>
      </c>
      <c r="C6016" s="11" t="s">
        <v>8111</v>
      </c>
      <c r="D6016" s="2" t="s">
        <v>99</v>
      </c>
      <c r="E6016" s="2" t="s">
        <v>109</v>
      </c>
      <c r="F6016" s="11" t="s">
        <v>1980</v>
      </c>
      <c r="G6016" s="68" t="s">
        <v>1981</v>
      </c>
      <c r="H6016" s="2" t="s">
        <v>1340</v>
      </c>
      <c r="I6016" s="12" t="s">
        <v>4420</v>
      </c>
      <c r="J6016" s="41">
        <f>+Tabla1[[#This Row],[FECHA ENTRADA]]</f>
        <v>45863</v>
      </c>
      <c r="K6016" s="22">
        <f ca="1">TODAY()</f>
        <v>46260</v>
      </c>
      <c r="L6016" s="42">
        <f ca="1">_xlfn.DAYS(Tabla1[[#This Row],[FECHA FIN ]],Tabla1[[#This Row],[FECHA INICIO]])</f>
        <v>397</v>
      </c>
      <c r="M6016" s="12"/>
      <c r="N6016" s="28">
        <v>325</v>
      </c>
      <c r="O6016" s="28">
        <f ca="1">(Tabla1[[#This Row],[COSTO FIJO ]]/30)*Tabla1[[#This Row],[TOTAL DIAS PROYECTO]]+(Tabla1[[#This Row],[COSTO TEMPORAL]])</f>
        <v>4300.8333333333339</v>
      </c>
      <c r="P6016" s="12"/>
      <c r="Q6016" s="12">
        <f ca="1">+(Tabla1[[#This Row],[COSTO COCHE]]/30)*Tabla1[[#This Row],[TOTAL DIAS PROYECTO]]</f>
        <v>0</v>
      </c>
      <c r="R6016" s="12">
        <f ca="1">+Tabla1[[#This Row],[COSTO TOTAL ALOJAMIENTO]]+Tabla1[[#This Row],[COSTO TOTAL COCHE]]</f>
        <v>4300.8333333333339</v>
      </c>
      <c r="S6016" s="2"/>
      <c r="T6016" s="14" t="s">
        <v>35</v>
      </c>
      <c r="U6016" s="14">
        <v>45863</v>
      </c>
      <c r="V6016" s="43">
        <v>45894</v>
      </c>
      <c r="W6016" s="12"/>
      <c r="X6016" s="2">
        <v>20</v>
      </c>
      <c r="Y6016" s="240" t="s">
        <v>8112</v>
      </c>
      <c r="Z6016" s="2" t="s">
        <v>702</v>
      </c>
      <c r="AA6016" s="13">
        <v>0.62217999999999996</v>
      </c>
      <c r="AB6016" s="13" t="s">
        <v>10339</v>
      </c>
    </row>
    <row r="6017" spans="1:28">
      <c r="A6017" s="2" t="s">
        <v>8925</v>
      </c>
      <c r="B6017" s="2" t="s">
        <v>606</v>
      </c>
      <c r="C6017" s="86" t="s">
        <v>1304</v>
      </c>
      <c r="D6017" s="2" t="s">
        <v>30</v>
      </c>
      <c r="E6017" s="2" t="s">
        <v>213</v>
      </c>
      <c r="F6017" s="11" t="s">
        <v>1733</v>
      </c>
      <c r="G6017" s="11" t="s">
        <v>8108</v>
      </c>
      <c r="H6017" s="2" t="s">
        <v>7640</v>
      </c>
      <c r="I6017" s="12" t="s">
        <v>1043</v>
      </c>
      <c r="J6017" s="22">
        <v>45572</v>
      </c>
      <c r="K6017" s="22">
        <f ca="1">TODAY()</f>
        <v>46260</v>
      </c>
      <c r="L6017" s="23">
        <f ca="1">_xlfn.DAYS(Tabla1[[#This Row],[FECHA FIN ]],Tabla1[[#This Row],[FECHA INICIO]])</f>
        <v>688</v>
      </c>
      <c r="M6017" s="12"/>
      <c r="N6017" s="12">
        <f>1582.33/4</f>
        <v>395.58249999999998</v>
      </c>
      <c r="O6017" s="24">
        <f ca="1">(Tabla1[[#This Row],[COSTO FIJO ]]/30)*Tabla1[[#This Row],[TOTAL DIAS PROYECTO]]+(Tabla1[[#This Row],[COSTO TEMPORAL]])</f>
        <v>9072.025333333333</v>
      </c>
      <c r="P6017" s="12"/>
      <c r="Q6017" s="12">
        <f ca="1">+(Tabla1[[#This Row],[COSTO COCHE]]/30)*Tabla1[[#This Row],[TOTAL DIAS PROYECTO]]</f>
        <v>0</v>
      </c>
      <c r="R6017" s="12">
        <f ca="1">+Tabla1[[#This Row],[COSTO TOTAL ALOJAMIENTO]]+Tabla1[[#This Row],[COSTO TOTAL COCHE]]</f>
        <v>9072.025333333333</v>
      </c>
      <c r="S6017" s="2"/>
      <c r="T6017" s="2" t="s">
        <v>35</v>
      </c>
      <c r="U6017" s="14">
        <v>45572</v>
      </c>
      <c r="V6017" s="79"/>
      <c r="W6017" s="12"/>
      <c r="X6017" s="2">
        <v>20</v>
      </c>
      <c r="Y6017" s="11"/>
      <c r="Z6017" s="2" t="s">
        <v>702</v>
      </c>
      <c r="AA6017" s="13" t="s">
        <v>10349</v>
      </c>
      <c r="AB6017" s="13" t="s">
        <v>10350</v>
      </c>
    </row>
    <row r="6018" spans="1:28">
      <c r="A6018" s="2" t="s">
        <v>10110</v>
      </c>
      <c r="B6018" s="2" t="s">
        <v>978</v>
      </c>
      <c r="C6018" s="11" t="s">
        <v>6448</v>
      </c>
      <c r="D6018" s="2" t="s">
        <v>30</v>
      </c>
      <c r="E6018" s="2" t="s">
        <v>422</v>
      </c>
      <c r="F6018" s="11"/>
      <c r="G6018" s="11"/>
      <c r="H6018" s="2" t="s">
        <v>2180</v>
      </c>
      <c r="I6018" s="12" t="s">
        <v>5430</v>
      </c>
      <c r="J6018" s="22">
        <f>+Tabla1[[#This Row],[FECHA ENTRADA]]</f>
        <v>46236</v>
      </c>
      <c r="K6018" s="22">
        <f ca="1">TODAY()</f>
        <v>46260</v>
      </c>
      <c r="L6018" s="23">
        <f ca="1">_xlfn.DAYS(Tabla1[[#This Row],[FECHA FIN ]],Tabla1[[#This Row],[FECHA INICIO]])</f>
        <v>24</v>
      </c>
      <c r="M6018" s="12"/>
      <c r="N6018" s="20">
        <v>300</v>
      </c>
      <c r="O6018" s="24">
        <f ca="1">(Tabla1[[#This Row],[COSTO FIJO ]]/30)*Tabla1[[#This Row],[TOTAL DIAS PROYECTO]]+(Tabla1[[#This Row],[COSTO TEMPORAL]])</f>
        <v>240</v>
      </c>
      <c r="P6018" s="12"/>
      <c r="Q6018" s="12">
        <f ca="1">+(Tabla1[[#This Row],[COSTO COCHE]]/30)*Tabla1[[#This Row],[TOTAL DIAS PROYECTO]]</f>
        <v>0</v>
      </c>
      <c r="R6018" s="12">
        <f ca="1">+Tabla1[[#This Row],[COSTO TOTAL ALOJAMIENTO]]+Tabla1[[#This Row],[COSTO TOTAL COCHE]]</f>
        <v>240</v>
      </c>
      <c r="S6018" s="2"/>
      <c r="T6018" s="14" t="s">
        <v>58</v>
      </c>
      <c r="U6018" s="14">
        <v>46236</v>
      </c>
      <c r="V6018" s="79"/>
      <c r="W6018" s="12"/>
      <c r="X6018" s="2"/>
      <c r="Y6018" s="11"/>
      <c r="Z6018" s="2" t="s">
        <v>702</v>
      </c>
      <c r="AA6018" s="13">
        <v>-326.69799999999998</v>
      </c>
      <c r="AB6018" s="13" t="s">
        <v>10373</v>
      </c>
    </row>
    <row r="6019" spans="1:28">
      <c r="A6019" s="2" t="s">
        <v>8642</v>
      </c>
      <c r="B6019" s="2" t="s">
        <v>711</v>
      </c>
      <c r="C6019" s="69" t="s">
        <v>8113</v>
      </c>
      <c r="D6019" s="2" t="s">
        <v>749</v>
      </c>
      <c r="E6019" s="2" t="s">
        <v>4598</v>
      </c>
      <c r="F6019" s="11" t="s">
        <v>1106</v>
      </c>
      <c r="G6019" s="21"/>
      <c r="H6019" s="2" t="s">
        <v>8109</v>
      </c>
      <c r="I6019" s="12" t="s">
        <v>2862</v>
      </c>
      <c r="J6019" s="22">
        <f>+Tabla1[[#This Row],[FECHA ENTRADA]]</f>
        <v>46236</v>
      </c>
      <c r="K6019" s="41">
        <v>46236</v>
      </c>
      <c r="L6019" s="23">
        <f>_xlfn.DAYS(Tabla1[[#This Row],[FECHA FIN ]],Tabla1[[#This Row],[FECHA INICIO]])</f>
        <v>0</v>
      </c>
      <c r="M6019" s="12"/>
      <c r="N6019" s="20">
        <v>0</v>
      </c>
      <c r="O6019" s="24">
        <f>(Tabla1[[#This Row],[COSTO FIJO ]]/30)*Tabla1[[#This Row],[TOTAL DIAS PROYECTO]]+(Tabla1[[#This Row],[COSTO TEMPORAL]])</f>
        <v>0</v>
      </c>
      <c r="P6019" s="12"/>
      <c r="Q6019" s="12">
        <f>+(Tabla1[[#This Row],[COSTO COCHE]]/30)*Tabla1[[#This Row],[TOTAL DIAS PROYECTO]]</f>
        <v>0</v>
      </c>
      <c r="R6019" s="12">
        <f>+Tabla1[[#This Row],[COSTO TOTAL ALOJAMIENTO]]+Tabla1[[#This Row],[COSTO TOTAL COCHE]]</f>
        <v>0</v>
      </c>
      <c r="S6019" s="2"/>
      <c r="T6019" s="2" t="s">
        <v>8</v>
      </c>
      <c r="U6019" s="14">
        <v>46236</v>
      </c>
      <c r="V6019" s="79"/>
      <c r="W6019" s="12"/>
      <c r="X6019" s="2"/>
      <c r="Y6019" s="11" t="s">
        <v>8114</v>
      </c>
      <c r="Z6019" s="2" t="s">
        <v>36</v>
      </c>
      <c r="AA6019" s="13">
        <v>10.50447</v>
      </c>
      <c r="AB6019" s="13">
        <v>43.843690000000002</v>
      </c>
    </row>
    <row r="6020" spans="1:28">
      <c r="A6020" s="2" t="s">
        <v>10318</v>
      </c>
      <c r="B6020" s="2" t="s">
        <v>606</v>
      </c>
      <c r="C6020" s="11" t="s">
        <v>8115</v>
      </c>
      <c r="D6020" s="2" t="s">
        <v>30</v>
      </c>
      <c r="E6020" s="2" t="s">
        <v>213</v>
      </c>
      <c r="F6020" s="11" t="s">
        <v>1733</v>
      </c>
      <c r="G6020" s="11" t="s">
        <v>8108</v>
      </c>
      <c r="H6020" s="2" t="s">
        <v>7640</v>
      </c>
      <c r="I6020" s="12" t="s">
        <v>1043</v>
      </c>
      <c r="J6020" s="22">
        <v>45572</v>
      </c>
      <c r="K6020" s="22">
        <f ca="1">TODAY()</f>
        <v>46260</v>
      </c>
      <c r="L6020" s="23">
        <f ca="1">_xlfn.DAYS(Tabla1[[#This Row],[FECHA FIN ]],Tabla1[[#This Row],[FECHA INICIO]])</f>
        <v>688</v>
      </c>
      <c r="M6020" s="12"/>
      <c r="N6020" s="12">
        <f>1582.33/4</f>
        <v>395.58249999999998</v>
      </c>
      <c r="O6020" s="24">
        <f ca="1">(Tabla1[[#This Row],[COSTO FIJO ]]/30)*Tabla1[[#This Row],[TOTAL DIAS PROYECTO]]+(Tabla1[[#This Row],[COSTO TEMPORAL]])</f>
        <v>9072.025333333333</v>
      </c>
      <c r="P6020" s="12"/>
      <c r="Q6020" s="12">
        <f ca="1">+(Tabla1[[#This Row],[COSTO COCHE]]/30)*Tabla1[[#This Row],[TOTAL DIAS PROYECTO]]</f>
        <v>0</v>
      </c>
      <c r="R6020" s="12">
        <f ca="1">+Tabla1[[#This Row],[COSTO TOTAL ALOJAMIENTO]]+Tabla1[[#This Row],[COSTO TOTAL COCHE]]</f>
        <v>9072.025333333333</v>
      </c>
      <c r="S6020" s="2"/>
      <c r="T6020" s="2" t="s">
        <v>35</v>
      </c>
      <c r="U6020" s="14">
        <v>45572</v>
      </c>
      <c r="V6020" s="79"/>
      <c r="W6020" s="12">
        <v>150</v>
      </c>
      <c r="X6020" s="2">
        <v>20</v>
      </c>
      <c r="Y6020" s="11"/>
      <c r="Z6020" s="2" t="s">
        <v>702</v>
      </c>
      <c r="AA6020" s="13" t="s">
        <v>10349</v>
      </c>
      <c r="AB6020" s="13" t="s">
        <v>10350</v>
      </c>
    </row>
    <row r="6021" spans="1:28">
      <c r="A6021" s="2" t="s">
        <v>8642</v>
      </c>
      <c r="B6021" s="2" t="s">
        <v>978</v>
      </c>
      <c r="C6021" s="11" t="s">
        <v>8116</v>
      </c>
      <c r="D6021" s="2" t="s">
        <v>30</v>
      </c>
      <c r="E6021" s="2" t="s">
        <v>109</v>
      </c>
      <c r="F6021" s="11" t="s">
        <v>1980</v>
      </c>
      <c r="G6021" s="197" t="s">
        <v>1981</v>
      </c>
      <c r="H6021" s="2" t="s">
        <v>3043</v>
      </c>
      <c r="I6021" s="12" t="s">
        <v>3044</v>
      </c>
      <c r="J6021" s="41">
        <f>+Tabla1[[#This Row],[FECHA ENTRADA]]</f>
        <v>46244</v>
      </c>
      <c r="K6021" s="22">
        <f ca="1">TODAY()</f>
        <v>46260</v>
      </c>
      <c r="L6021" s="42">
        <f ca="1">_xlfn.DAYS(Tabla1[[#This Row],[FECHA FIN ]],Tabla1[[#This Row],[FECHA INICIO]])</f>
        <v>16</v>
      </c>
      <c r="M6021" s="12"/>
      <c r="N6021" s="28">
        <v>325</v>
      </c>
      <c r="O6021" s="28">
        <f ca="1">(Tabla1[[#This Row],[COSTO FIJO ]]/30)*Tabla1[[#This Row],[TOTAL DIAS PROYECTO]]+(Tabla1[[#This Row],[COSTO TEMPORAL]])</f>
        <v>173.33333333333334</v>
      </c>
      <c r="P6021" s="12"/>
      <c r="Q6021" s="12">
        <f ca="1">+(Tabla1[[#This Row],[COSTO COCHE]]/30)*Tabla1[[#This Row],[TOTAL DIAS PROYECTO]]</f>
        <v>0</v>
      </c>
      <c r="R6021" s="12">
        <f ca="1">+Tabla1[[#This Row],[COSTO TOTAL ALOJAMIENTO]]+Tabla1[[#This Row],[COSTO TOTAL COCHE]]</f>
        <v>173.33333333333334</v>
      </c>
      <c r="S6021" s="2"/>
      <c r="T6021" s="14" t="s">
        <v>35</v>
      </c>
      <c r="U6021" s="14">
        <v>46244</v>
      </c>
      <c r="V6021" s="43"/>
      <c r="W6021" s="12"/>
      <c r="X6021" s="2">
        <v>20</v>
      </c>
      <c r="Y6021" s="11"/>
      <c r="Z6021" s="2" t="s">
        <v>702</v>
      </c>
      <c r="AA6021" s="13">
        <v>0.62217999999999996</v>
      </c>
      <c r="AB6021" s="13" t="s">
        <v>10339</v>
      </c>
    </row>
    <row r="6022" spans="1:28">
      <c r="A6022" s="2" t="s">
        <v>10265</v>
      </c>
      <c r="B6022" s="2" t="s">
        <v>711</v>
      </c>
      <c r="C6022" s="31" t="s">
        <v>7617</v>
      </c>
      <c r="D6022" s="2" t="s">
        <v>30</v>
      </c>
      <c r="E6022" s="2" t="s">
        <v>213</v>
      </c>
      <c r="F6022" s="11" t="s">
        <v>7492</v>
      </c>
      <c r="G6022" s="68" t="s">
        <v>558</v>
      </c>
      <c r="H6022" s="2" t="s">
        <v>8002</v>
      </c>
      <c r="I6022" s="12" t="s">
        <v>4464</v>
      </c>
      <c r="J6022" s="41">
        <f>+Tabla1[[#This Row],[FECHA ENTRADA]]</f>
        <v>46134</v>
      </c>
      <c r="K6022" s="22">
        <v>46177</v>
      </c>
      <c r="L6022" s="42">
        <f>_xlfn.DAYS(Tabla1[[#This Row],[FECHA FIN ]],Tabla1[[#This Row],[FECHA INICIO]])</f>
        <v>43</v>
      </c>
      <c r="M6022" s="12"/>
      <c r="N6022" s="28">
        <v>500</v>
      </c>
      <c r="O6022" s="28">
        <f>(Tabla1[[#This Row],[COSTO FIJO ]]/30)*Tabla1[[#This Row],[TOTAL DIAS PROYECTO]]+(Tabla1[[#This Row],[COSTO TEMPORAL]])</f>
        <v>716.66666666666674</v>
      </c>
      <c r="P6022" s="12"/>
      <c r="Q6022" s="12">
        <f>+(Tabla1[[#This Row],[COSTO COCHE]]/30)*Tabla1[[#This Row],[TOTAL DIAS PROYECTO]]</f>
        <v>0</v>
      </c>
      <c r="R6022" s="12">
        <f>+Tabla1[[#This Row],[COSTO TOTAL ALOJAMIENTO]]+Tabla1[[#This Row],[COSTO TOTAL COCHE]]</f>
        <v>716.66666666666674</v>
      </c>
      <c r="S6022" s="2"/>
      <c r="T6022" s="14" t="s">
        <v>35</v>
      </c>
      <c r="U6022" s="14">
        <v>46134</v>
      </c>
      <c r="V6022" s="43"/>
      <c r="W6022" s="12"/>
      <c r="X6022" s="2">
        <v>10</v>
      </c>
      <c r="Y6022" s="11" t="s">
        <v>8117</v>
      </c>
      <c r="Z6022" s="2" t="s">
        <v>36</v>
      </c>
      <c r="AA6022" s="13" t="s">
        <v>10349</v>
      </c>
      <c r="AB6022" s="13" t="s">
        <v>10350</v>
      </c>
    </row>
    <row r="6023" spans="1:28">
      <c r="A6023" s="2" t="s">
        <v>9740</v>
      </c>
      <c r="B6023" s="2" t="s">
        <v>606</v>
      </c>
      <c r="C6023" s="11" t="s">
        <v>4508</v>
      </c>
      <c r="D6023" s="2" t="s">
        <v>30</v>
      </c>
      <c r="E6023" s="2" t="s">
        <v>213</v>
      </c>
      <c r="F6023" s="11" t="s">
        <v>1733</v>
      </c>
      <c r="G6023" s="11" t="s">
        <v>8108</v>
      </c>
      <c r="H6023" s="2" t="s">
        <v>5149</v>
      </c>
      <c r="I6023" s="12" t="s">
        <v>1043</v>
      </c>
      <c r="J6023" s="22">
        <f>+Tabla1[[#This Row],[FECHA ENTRADA]]</f>
        <v>46239</v>
      </c>
      <c r="K6023" s="22">
        <f ca="1">TODAY()</f>
        <v>46260</v>
      </c>
      <c r="L6023" s="23">
        <f ca="1">_xlfn.DAYS(Tabla1[[#This Row],[FECHA FIN ]],Tabla1[[#This Row],[FECHA INICIO]])</f>
        <v>21</v>
      </c>
      <c r="M6023" s="12"/>
      <c r="N6023" s="20">
        <f>780.65/2</f>
        <v>390.32499999999999</v>
      </c>
      <c r="O6023" s="24">
        <f ca="1">(Tabla1[[#This Row],[COSTO FIJO ]]/30)*Tabla1[[#This Row],[TOTAL DIAS PROYECTO]]+(Tabla1[[#This Row],[COSTO TEMPORAL]])</f>
        <v>273.22749999999996</v>
      </c>
      <c r="P6023" s="12"/>
      <c r="Q6023" s="12">
        <f ca="1">+(Tabla1[[#This Row],[COSTO COCHE]]/30)*Tabla1[[#This Row],[TOTAL DIAS PROYECTO]]</f>
        <v>0</v>
      </c>
      <c r="R6023" s="12">
        <f ca="1">+Tabla1[[#This Row],[COSTO TOTAL ALOJAMIENTO]]+Tabla1[[#This Row],[COSTO TOTAL COCHE]]</f>
        <v>273.22749999999996</v>
      </c>
      <c r="S6023" s="2"/>
      <c r="T6023" s="14" t="s">
        <v>35</v>
      </c>
      <c r="U6023" s="14">
        <v>46239</v>
      </c>
      <c r="V6023" s="25"/>
      <c r="W6023" s="12"/>
      <c r="X6023" s="2">
        <v>20</v>
      </c>
      <c r="Y6023" s="11"/>
      <c r="Z6023" s="2" t="s">
        <v>702</v>
      </c>
      <c r="AA6023" s="13" t="s">
        <v>10349</v>
      </c>
      <c r="AB6023" s="13" t="s">
        <v>10350</v>
      </c>
    </row>
    <row r="6024" spans="1:28">
      <c r="A6024" s="2" t="s">
        <v>9247</v>
      </c>
      <c r="B6024" s="2" t="s">
        <v>978</v>
      </c>
      <c r="C6024" s="11" t="s">
        <v>2579</v>
      </c>
      <c r="D6024" s="2" t="s">
        <v>30</v>
      </c>
      <c r="E6024" s="2" t="s">
        <v>31</v>
      </c>
      <c r="F6024" s="11" t="s">
        <v>715</v>
      </c>
      <c r="G6024" s="11" t="s">
        <v>716</v>
      </c>
      <c r="H6024" s="2" t="s">
        <v>1575</v>
      </c>
      <c r="I6024" s="12" t="s">
        <v>2391</v>
      </c>
      <c r="J6024" s="22">
        <f>+Tabla1[[#This Row],[FECHA ENTRADA]]</f>
        <v>45851</v>
      </c>
      <c r="K6024" s="22">
        <f ca="1">TODAY()</f>
        <v>46260</v>
      </c>
      <c r="L6024" s="23">
        <f ca="1">_xlfn.DAYS(Tabla1[[#This Row],[FECHA FIN ]],Tabla1[[#This Row],[FECHA INICIO]])</f>
        <v>409</v>
      </c>
      <c r="M6024" s="12"/>
      <c r="N6024" s="12">
        <v>160</v>
      </c>
      <c r="O6024" s="24">
        <f ca="1">(Tabla1[[#This Row],[COSTO FIJO ]]/30)*Tabla1[[#This Row],[TOTAL DIAS PROYECTO]]+(Tabla1[[#This Row],[COSTO TEMPORAL]])</f>
        <v>2181.333333333333</v>
      </c>
      <c r="P6024" s="12"/>
      <c r="Q6024" s="12">
        <f ca="1">+(Tabla1[[#This Row],[COSTO COCHE]]/30)*Tabla1[[#This Row],[TOTAL DIAS PROYECTO]]</f>
        <v>0</v>
      </c>
      <c r="R6024" s="12">
        <f ca="1">+Tabla1[[#This Row],[COSTO TOTAL ALOJAMIENTO]]+Tabla1[[#This Row],[COSTO TOTAL COCHE]]</f>
        <v>2181.333333333333</v>
      </c>
      <c r="S6024" s="2"/>
      <c r="T6024" s="14" t="s">
        <v>35</v>
      </c>
      <c r="U6024" s="14">
        <v>45851</v>
      </c>
      <c r="V6024" s="79"/>
      <c r="W6024" s="12"/>
      <c r="X6024" s="2">
        <v>1</v>
      </c>
      <c r="Y6024" s="11" t="s">
        <v>5638</v>
      </c>
      <c r="Z6024" s="2" t="s">
        <v>36</v>
      </c>
      <c r="AA6024" s="13" t="s">
        <v>10323</v>
      </c>
      <c r="AB6024" s="13" t="s">
        <v>10324</v>
      </c>
    </row>
    <row r="6025" spans="1:28" ht="15" customHeight="1">
      <c r="A6025" s="2" t="s">
        <v>8642</v>
      </c>
      <c r="B6025" s="2" t="s">
        <v>711</v>
      </c>
      <c r="C6025" s="118" t="s">
        <v>8118</v>
      </c>
      <c r="D6025" s="2" t="s">
        <v>749</v>
      </c>
      <c r="E6025" s="2" t="s">
        <v>4598</v>
      </c>
      <c r="F6025" s="11" t="s">
        <v>1106</v>
      </c>
      <c r="G6025" s="21"/>
      <c r="H6025" s="2" t="s">
        <v>7843</v>
      </c>
      <c r="I6025" s="12" t="s">
        <v>2862</v>
      </c>
      <c r="J6025" s="41">
        <f>+Tabla1[[#This Row],[FECHA ENTRADA]]</f>
        <v>46120</v>
      </c>
      <c r="K6025" s="8">
        <f ca="1">TODAY()</f>
        <v>46260</v>
      </c>
      <c r="L6025" s="42">
        <f ca="1">_xlfn.DAYS(Tabla1[[#This Row],[FECHA FIN ]],Tabla1[[#This Row],[FECHA INICIO]])</f>
        <v>140</v>
      </c>
      <c r="M6025" s="12"/>
      <c r="N6025" s="28">
        <v>0</v>
      </c>
      <c r="O6025" s="28">
        <f ca="1">(Tabla1[[#This Row],[COSTO FIJO ]]/30)*Tabla1[[#This Row],[TOTAL DIAS PROYECTO]]+(Tabla1[[#This Row],[COSTO TEMPORAL]])</f>
        <v>0</v>
      </c>
      <c r="P6025" s="12"/>
      <c r="Q6025" s="12">
        <f ca="1">+(Tabla1[[#This Row],[COSTO COCHE]]/30)*Tabla1[[#This Row],[TOTAL DIAS PROYECTO]]</f>
        <v>0</v>
      </c>
      <c r="R6025" s="12">
        <f ca="1">+Tabla1[[#This Row],[COSTO TOTAL ALOJAMIENTO]]+Tabla1[[#This Row],[COSTO TOTAL COCHE]]</f>
        <v>0</v>
      </c>
      <c r="S6025" s="2"/>
      <c r="T6025" s="14" t="s">
        <v>8</v>
      </c>
      <c r="U6025" s="14">
        <v>46120</v>
      </c>
      <c r="V6025" s="43"/>
      <c r="W6025" s="12"/>
      <c r="X6025" s="2"/>
      <c r="Y6025" s="11" t="s">
        <v>8119</v>
      </c>
      <c r="Z6025" s="2" t="s">
        <v>702</v>
      </c>
      <c r="AA6025" s="13">
        <v>10.50447</v>
      </c>
      <c r="AB6025" s="13">
        <v>43.843690000000002</v>
      </c>
    </row>
    <row r="6026" spans="1:28">
      <c r="A6026" s="2" t="s">
        <v>8642</v>
      </c>
      <c r="B6026" s="2" t="s">
        <v>606</v>
      </c>
      <c r="C6026" s="31" t="s">
        <v>8120</v>
      </c>
      <c r="D6026" s="2" t="s">
        <v>99</v>
      </c>
      <c r="E6026" s="2" t="s">
        <v>213</v>
      </c>
      <c r="F6026" s="11" t="s">
        <v>916</v>
      </c>
      <c r="G6026" s="11" t="s">
        <v>917</v>
      </c>
      <c r="H6026" s="2" t="s">
        <v>8096</v>
      </c>
      <c r="I6026" s="2" t="s">
        <v>918</v>
      </c>
      <c r="J6026" s="41">
        <f>+Tabla1[[#This Row],[FECHA ENTRADA]]</f>
        <v>46230</v>
      </c>
      <c r="K6026" s="22">
        <v>46236</v>
      </c>
      <c r="L6026" s="42">
        <f>_xlfn.DAYS(Tabla1[[#This Row],[FECHA FIN ]],Tabla1[[#This Row],[FECHA INICIO]])</f>
        <v>6</v>
      </c>
      <c r="M6026" s="12"/>
      <c r="N6026" s="12">
        <v>238.75</v>
      </c>
      <c r="O6026" s="28">
        <f>(Tabla1[[#This Row],[COSTO FIJO ]]/30)*Tabla1[[#This Row],[TOTAL DIAS PROYECTO]]+(Tabla1[[#This Row],[COSTO TEMPORAL]])</f>
        <v>47.75</v>
      </c>
      <c r="P6026" s="12"/>
      <c r="Q6026" s="12">
        <f>+(Tabla1[[#This Row],[COSTO COCHE]]/30)*Tabla1[[#This Row],[TOTAL DIAS PROYECTO]]</f>
        <v>0</v>
      </c>
      <c r="R6026" s="12">
        <f>+Tabla1[[#This Row],[COSTO TOTAL ALOJAMIENTO]]+Tabla1[[#This Row],[COSTO TOTAL COCHE]]</f>
        <v>47.75</v>
      </c>
      <c r="S6026" s="2"/>
      <c r="T6026" s="14" t="s">
        <v>35</v>
      </c>
      <c r="U6026" s="14">
        <v>46230</v>
      </c>
      <c r="V6026" s="43"/>
      <c r="W6026" s="12"/>
      <c r="X6026" s="2"/>
      <c r="Y6026" s="11" t="s">
        <v>8097</v>
      </c>
      <c r="Z6026" s="2" t="s">
        <v>36</v>
      </c>
      <c r="AA6026" s="13" t="s">
        <v>10349</v>
      </c>
      <c r="AB6026" s="13" t="s">
        <v>10350</v>
      </c>
    </row>
    <row r="6027" spans="1:28">
      <c r="A6027" s="2" t="s">
        <v>9838</v>
      </c>
      <c r="B6027" s="2" t="s">
        <v>606</v>
      </c>
      <c r="C6027" s="11" t="s">
        <v>4975</v>
      </c>
      <c r="D6027" s="2" t="s">
        <v>30</v>
      </c>
      <c r="E6027" s="2" t="s">
        <v>213</v>
      </c>
      <c r="F6027" s="11" t="s">
        <v>1733</v>
      </c>
      <c r="G6027" s="11" t="s">
        <v>8108</v>
      </c>
      <c r="H6027" s="2" t="s">
        <v>6788</v>
      </c>
      <c r="I6027" s="12" t="s">
        <v>3364</v>
      </c>
      <c r="J6027" s="22">
        <f>+Tabla1[[#This Row],[FECHA ENTRADA]]</f>
        <v>46244</v>
      </c>
      <c r="K6027" s="22">
        <f ca="1">TODAY()</f>
        <v>46260</v>
      </c>
      <c r="L6027" s="23">
        <f ca="1">_xlfn.DAYS(Tabla1[[#This Row],[FECHA FIN ]],Tabla1[[#This Row],[FECHA INICIO]])</f>
        <v>16</v>
      </c>
      <c r="M6027" s="12"/>
      <c r="N6027" s="12">
        <f>1582.33/4</f>
        <v>395.58249999999998</v>
      </c>
      <c r="O6027" s="24">
        <f ca="1">(Tabla1[[#This Row],[COSTO FIJO ]]/30)*Tabla1[[#This Row],[TOTAL DIAS PROYECTO]]+(Tabla1[[#This Row],[COSTO TEMPORAL]])</f>
        <v>210.97733333333332</v>
      </c>
      <c r="P6027" s="12"/>
      <c r="Q6027" s="12">
        <f ca="1">+(Tabla1[[#This Row],[COSTO COCHE]]/30)*Tabla1[[#This Row],[TOTAL DIAS PROYECTO]]</f>
        <v>0</v>
      </c>
      <c r="R6027" s="12">
        <f ca="1">+Tabla1[[#This Row],[COSTO TOTAL ALOJAMIENTO]]+Tabla1[[#This Row],[COSTO TOTAL COCHE]]</f>
        <v>210.97733333333332</v>
      </c>
      <c r="S6027" s="2"/>
      <c r="T6027" s="14" t="s">
        <v>35</v>
      </c>
      <c r="U6027" s="14">
        <v>46244</v>
      </c>
      <c r="V6027" s="25"/>
      <c r="W6027" s="12"/>
      <c r="X6027" s="2">
        <v>20</v>
      </c>
      <c r="Y6027" s="11"/>
      <c r="Z6027" s="2" t="s">
        <v>702</v>
      </c>
      <c r="AA6027" s="13" t="s">
        <v>10349</v>
      </c>
      <c r="AB6027" s="13" t="s">
        <v>10350</v>
      </c>
    </row>
    <row r="6028" spans="1:28">
      <c r="A6028" s="2" t="s">
        <v>8642</v>
      </c>
      <c r="B6028" s="2" t="s">
        <v>711</v>
      </c>
      <c r="C6028" s="31" t="s">
        <v>8121</v>
      </c>
      <c r="D6028" s="2" t="s">
        <v>30</v>
      </c>
      <c r="E6028" s="2" t="s">
        <v>213</v>
      </c>
      <c r="F6028" s="11" t="s">
        <v>5129</v>
      </c>
      <c r="G6028" s="197" t="s">
        <v>558</v>
      </c>
      <c r="H6028" s="2" t="s">
        <v>8122</v>
      </c>
      <c r="I6028" s="10" t="s">
        <v>4464</v>
      </c>
      <c r="J6028" s="41">
        <f>+Tabla1[[#This Row],[FECHA ENTRADA]]</f>
        <v>46216</v>
      </c>
      <c r="K6028" s="22">
        <v>46216</v>
      </c>
      <c r="L6028" s="42">
        <f>_xlfn.DAYS(Tabla1[[#This Row],[FECHA FIN ]],Tabla1[[#This Row],[FECHA INICIO]])</f>
        <v>0</v>
      </c>
      <c r="M6028" s="12"/>
      <c r="N6028" s="28">
        <v>433.33333333333331</v>
      </c>
      <c r="O6028" s="28">
        <f>(Tabla1[[#This Row],[COSTO FIJO ]]/30)*Tabla1[[#This Row],[TOTAL DIAS PROYECTO]]+(Tabla1[[#This Row],[COSTO TEMPORAL]])</f>
        <v>0</v>
      </c>
      <c r="P6028" s="12"/>
      <c r="Q6028" s="12">
        <f>+(Tabla1[[#This Row],[COSTO COCHE]]/30)*Tabla1[[#This Row],[TOTAL DIAS PROYECTO]]</f>
        <v>0</v>
      </c>
      <c r="R6028" s="12">
        <f>+Tabla1[[#This Row],[COSTO TOTAL ALOJAMIENTO]]+Tabla1[[#This Row],[COSTO TOTAL COCHE]]</f>
        <v>0</v>
      </c>
      <c r="S6028" s="2"/>
      <c r="T6028" s="14" t="s">
        <v>35</v>
      </c>
      <c r="U6028" s="14">
        <v>46216</v>
      </c>
      <c r="V6028" s="43"/>
      <c r="W6028" s="12"/>
      <c r="X6028" s="2">
        <v>20</v>
      </c>
      <c r="Y6028" s="11" t="s">
        <v>8123</v>
      </c>
      <c r="Z6028" s="2" t="s">
        <v>36</v>
      </c>
      <c r="AA6028" s="13" t="s">
        <v>10349</v>
      </c>
      <c r="AB6028" s="13" t="s">
        <v>10350</v>
      </c>
    </row>
    <row r="6029" spans="1:28">
      <c r="A6029" s="2" t="s">
        <v>8642</v>
      </c>
      <c r="B6029" s="2" t="s">
        <v>711</v>
      </c>
      <c r="C6029" s="31" t="s">
        <v>7959</v>
      </c>
      <c r="D6029" s="2" t="s">
        <v>30</v>
      </c>
      <c r="E6029" s="2" t="s">
        <v>213</v>
      </c>
      <c r="F6029" s="11" t="s">
        <v>5129</v>
      </c>
      <c r="G6029" s="49" t="s">
        <v>558</v>
      </c>
      <c r="H6029" s="2" t="s">
        <v>8124</v>
      </c>
      <c r="I6029" s="12" t="s">
        <v>4464</v>
      </c>
      <c r="J6029" s="22">
        <f>+Tabla1[[#This Row],[FECHA ENTRADA]]</f>
        <v>46241</v>
      </c>
      <c r="K6029" s="22">
        <v>46246</v>
      </c>
      <c r="L6029" s="23">
        <f>_xlfn.DAYS(Tabla1[[#This Row],[FECHA FIN ]],Tabla1[[#This Row],[FECHA INICIO]])</f>
        <v>5</v>
      </c>
      <c r="M6029" s="12"/>
      <c r="N6029" s="12">
        <v>433.33333333333331</v>
      </c>
      <c r="O6029" s="24">
        <f>(Tabla1[[#This Row],[COSTO FIJO ]]/30)*Tabla1[[#This Row],[TOTAL DIAS PROYECTO]]+(Tabla1[[#This Row],[COSTO TEMPORAL]])</f>
        <v>72.222222222222229</v>
      </c>
      <c r="P6029" s="12"/>
      <c r="Q6029" s="12">
        <f>+(Tabla1[[#This Row],[COSTO COCHE]]/30)*Tabla1[[#This Row],[TOTAL DIAS PROYECTO]]</f>
        <v>0</v>
      </c>
      <c r="R6029" s="12">
        <f>+Tabla1[[#This Row],[COSTO TOTAL ALOJAMIENTO]]+Tabla1[[#This Row],[COSTO TOTAL COCHE]]</f>
        <v>72.222222222222229</v>
      </c>
      <c r="S6029" s="2"/>
      <c r="T6029" s="14" t="s">
        <v>35</v>
      </c>
      <c r="U6029" s="14">
        <v>46241</v>
      </c>
      <c r="V6029" s="25"/>
      <c r="W6029" s="12"/>
      <c r="X6029" s="2">
        <v>20</v>
      </c>
      <c r="Y6029" s="11" t="s">
        <v>8125</v>
      </c>
      <c r="Z6029" s="2" t="s">
        <v>36</v>
      </c>
      <c r="AA6029" s="13" t="s">
        <v>10349</v>
      </c>
      <c r="AB6029" s="13" t="s">
        <v>10350</v>
      </c>
    </row>
    <row r="6030" spans="1:28">
      <c r="A6030" s="2" t="s">
        <v>9027</v>
      </c>
      <c r="B6030" s="2" t="s">
        <v>606</v>
      </c>
      <c r="C6030" s="11" t="s">
        <v>1732</v>
      </c>
      <c r="D6030" s="2" t="s">
        <v>30</v>
      </c>
      <c r="E6030" s="2" t="s">
        <v>213</v>
      </c>
      <c r="F6030" s="11" t="s">
        <v>1733</v>
      </c>
      <c r="G6030" s="11" t="s">
        <v>8108</v>
      </c>
      <c r="H6030" s="2" t="s">
        <v>1735</v>
      </c>
      <c r="I6030" s="12" t="s">
        <v>1043</v>
      </c>
      <c r="J6030" s="22">
        <f>+Tabla1[[#This Row],[FECHA ENTRADA]]</f>
        <v>46244</v>
      </c>
      <c r="K6030" s="22">
        <f ca="1">TODAY()</f>
        <v>46260</v>
      </c>
      <c r="L6030" s="23">
        <f ca="1">_xlfn.DAYS(Tabla1[[#This Row],[FECHA FIN ]],Tabla1[[#This Row],[FECHA INICIO]])</f>
        <v>16</v>
      </c>
      <c r="M6030" s="12"/>
      <c r="N6030" s="12">
        <f>1582.33/4</f>
        <v>395.58249999999998</v>
      </c>
      <c r="O6030" s="24">
        <f ca="1">(Tabla1[[#This Row],[COSTO FIJO ]]/30)*Tabla1[[#This Row],[TOTAL DIAS PROYECTO]]+(Tabla1[[#This Row],[COSTO TEMPORAL]])</f>
        <v>210.97733333333332</v>
      </c>
      <c r="P6030" s="12"/>
      <c r="Q6030" s="12">
        <f ca="1">+(Tabla1[[#This Row],[COSTO COCHE]]/30)*Tabla1[[#This Row],[TOTAL DIAS PROYECTO]]</f>
        <v>0</v>
      </c>
      <c r="R6030" s="12">
        <f ca="1">+Tabla1[[#This Row],[COSTO TOTAL ALOJAMIENTO]]+Tabla1[[#This Row],[COSTO TOTAL COCHE]]</f>
        <v>210.97733333333332</v>
      </c>
      <c r="S6030" s="2"/>
      <c r="T6030" s="14" t="s">
        <v>35</v>
      </c>
      <c r="U6030" s="14">
        <v>46244</v>
      </c>
      <c r="V6030" s="25"/>
      <c r="W6030" s="12"/>
      <c r="X6030" s="2">
        <v>20</v>
      </c>
      <c r="Y6030" s="11"/>
      <c r="Z6030" s="2" t="s">
        <v>702</v>
      </c>
      <c r="AA6030" s="13" t="s">
        <v>10349</v>
      </c>
      <c r="AB6030" s="13" t="s">
        <v>10350</v>
      </c>
    </row>
    <row r="6031" spans="1:28">
      <c r="A6031" s="2" t="s">
        <v>10172</v>
      </c>
      <c r="B6031" s="2" t="s">
        <v>606</v>
      </c>
      <c r="C6031" s="11" t="s">
        <v>6887</v>
      </c>
      <c r="D6031" s="2" t="s">
        <v>30</v>
      </c>
      <c r="E6031" s="2" t="s">
        <v>608</v>
      </c>
      <c r="F6031" s="11"/>
      <c r="G6031" s="46"/>
      <c r="H6031" s="2" t="s">
        <v>6834</v>
      </c>
      <c r="I6031" s="12" t="s">
        <v>6835</v>
      </c>
      <c r="J6031" s="41">
        <f>+Tabla1[[#This Row],[FECHA ENTRADA]]</f>
        <v>46234</v>
      </c>
      <c r="K6031" s="41">
        <f ca="1">TODAY()</f>
        <v>46260</v>
      </c>
      <c r="L6031" s="42">
        <f ca="1">_xlfn.DAYS(Tabla1[[#This Row],[FECHA FIN ]],Tabla1[[#This Row],[FECHA INICIO]])</f>
        <v>26</v>
      </c>
      <c r="M6031" s="12"/>
      <c r="N6031" s="28">
        <v>300</v>
      </c>
      <c r="O6031" s="28">
        <f ca="1">(Tabla1[[#This Row],[COSTO FIJO ]]/30)*Tabla1[[#This Row],[TOTAL DIAS PROYECTO]]+(Tabla1[[#This Row],[COSTO TEMPORAL]])</f>
        <v>260</v>
      </c>
      <c r="P6031" s="12"/>
      <c r="Q6031" s="12">
        <f ca="1">+(Tabla1[[#This Row],[COSTO COCHE]]/30)*Tabla1[[#This Row],[TOTAL DIAS PROYECTO]]</f>
        <v>0</v>
      </c>
      <c r="R6031" s="12">
        <f ca="1">+Tabla1[[#This Row],[COSTO TOTAL ALOJAMIENTO]]+Tabla1[[#This Row],[COSTO TOTAL COCHE]]</f>
        <v>260</v>
      </c>
      <c r="S6031" s="2"/>
      <c r="T6031" s="14" t="s">
        <v>58</v>
      </c>
      <c r="U6031" s="14">
        <v>46234</v>
      </c>
      <c r="V6031" s="43"/>
      <c r="W6031" s="12"/>
      <c r="X6031" s="2"/>
      <c r="Y6031" s="11"/>
      <c r="Z6031" s="2" t="s">
        <v>702</v>
      </c>
      <c r="AA6031" s="13" t="s">
        <v>10383</v>
      </c>
      <c r="AB6031" s="13" t="s">
        <v>10384</v>
      </c>
    </row>
    <row r="6032" spans="1:28">
      <c r="A6032" s="2" t="s">
        <v>9731</v>
      </c>
      <c r="B6032" s="2" t="s">
        <v>711</v>
      </c>
      <c r="C6032" s="31" t="s">
        <v>4461</v>
      </c>
      <c r="D6032" s="2" t="s">
        <v>30</v>
      </c>
      <c r="E6032" s="2" t="s">
        <v>213</v>
      </c>
      <c r="F6032" s="11" t="s">
        <v>8095</v>
      </c>
      <c r="G6032" s="49" t="s">
        <v>558</v>
      </c>
      <c r="H6032" s="2" t="s">
        <v>8124</v>
      </c>
      <c r="I6032" s="12" t="s">
        <v>4464</v>
      </c>
      <c r="J6032" s="22">
        <f>+Tabla1[[#This Row],[FECHA ENTRADA]]</f>
        <v>46241</v>
      </c>
      <c r="K6032" s="22">
        <v>46241</v>
      </c>
      <c r="L6032" s="23">
        <f>_xlfn.DAYS(Tabla1[[#This Row],[FECHA FIN ]],Tabla1[[#This Row],[FECHA INICIO]])</f>
        <v>0</v>
      </c>
      <c r="M6032" s="12"/>
      <c r="N6032" s="20">
        <v>500</v>
      </c>
      <c r="O6032" s="24">
        <f>(Tabla1[[#This Row],[COSTO FIJO ]]/30)*Tabla1[[#This Row],[TOTAL DIAS PROYECTO]]+(Tabla1[[#This Row],[COSTO TEMPORAL]])</f>
        <v>0</v>
      </c>
      <c r="P6032" s="12"/>
      <c r="Q6032" s="12">
        <f>+(Tabla1[[#This Row],[COSTO COCHE]]/30)*Tabla1[[#This Row],[TOTAL DIAS PROYECTO]]</f>
        <v>0</v>
      </c>
      <c r="R6032" s="12">
        <f>+Tabla1[[#This Row],[COSTO TOTAL ALOJAMIENTO]]+Tabla1[[#This Row],[COSTO TOTAL COCHE]]</f>
        <v>0</v>
      </c>
      <c r="S6032" s="2"/>
      <c r="T6032" s="14" t="s">
        <v>35</v>
      </c>
      <c r="U6032" s="14">
        <v>46241</v>
      </c>
      <c r="V6032" s="25"/>
      <c r="W6032" s="12"/>
      <c r="X6032" s="2">
        <v>25</v>
      </c>
      <c r="Y6032" s="11"/>
      <c r="Z6032" s="2" t="s">
        <v>36</v>
      </c>
      <c r="AA6032" s="13" t="s">
        <v>10349</v>
      </c>
      <c r="AB6032" s="13" t="s">
        <v>10350</v>
      </c>
    </row>
    <row r="6033" spans="1:28">
      <c r="A6033" s="2" t="s">
        <v>9146</v>
      </c>
      <c r="B6033" s="2" t="s">
        <v>606</v>
      </c>
      <c r="C6033" s="11" t="s">
        <v>2208</v>
      </c>
      <c r="D6033" s="2" t="s">
        <v>30</v>
      </c>
      <c r="E6033" s="2" t="s">
        <v>213</v>
      </c>
      <c r="F6033" s="11"/>
      <c r="G6033" s="11"/>
      <c r="H6033" s="2" t="s">
        <v>7108</v>
      </c>
      <c r="I6033" s="12" t="s">
        <v>3364</v>
      </c>
      <c r="J6033" s="41">
        <f>+Tabla1[[#This Row],[FECHA ENTRADA]]</f>
        <v>46235</v>
      </c>
      <c r="K6033" s="41">
        <f t="shared" ref="K6033:K6038" ca="1" si="16">TODAY()</f>
        <v>46260</v>
      </c>
      <c r="L6033" s="42">
        <f ca="1">_xlfn.DAYS(Tabla1[[#This Row],[FECHA FIN ]],Tabla1[[#This Row],[FECHA INICIO]])</f>
        <v>25</v>
      </c>
      <c r="M6033" s="12"/>
      <c r="N6033" s="28">
        <v>300</v>
      </c>
      <c r="O6033" s="28">
        <f ca="1">(Tabla1[[#This Row],[COSTO FIJO ]]/30)*Tabla1[[#This Row],[TOTAL DIAS PROYECTO]]+(Tabla1[[#This Row],[COSTO TEMPORAL]])</f>
        <v>250</v>
      </c>
      <c r="P6033" s="12"/>
      <c r="Q6033" s="12">
        <f ca="1">+(Tabla1[[#This Row],[COSTO COCHE]]/30)*Tabla1[[#This Row],[TOTAL DIAS PROYECTO]]</f>
        <v>0</v>
      </c>
      <c r="R6033" s="12">
        <f ca="1">+Tabla1[[#This Row],[COSTO TOTAL ALOJAMIENTO]]+Tabla1[[#This Row],[COSTO TOTAL COCHE]]</f>
        <v>250</v>
      </c>
      <c r="S6033" s="2"/>
      <c r="T6033" s="14" t="s">
        <v>58</v>
      </c>
      <c r="U6033" s="14">
        <v>46235</v>
      </c>
      <c r="V6033" s="43"/>
      <c r="W6033" s="12"/>
      <c r="X6033" s="2"/>
      <c r="Y6033" s="11"/>
      <c r="Z6033" s="2" t="s">
        <v>702</v>
      </c>
      <c r="AA6033" s="13" t="s">
        <v>10349</v>
      </c>
      <c r="AB6033" s="13" t="s">
        <v>10350</v>
      </c>
    </row>
    <row r="6034" spans="1:28">
      <c r="A6034" s="2" t="s">
        <v>8642</v>
      </c>
      <c r="B6034" s="2" t="s">
        <v>711</v>
      </c>
      <c r="C6034" s="11" t="s">
        <v>8126</v>
      </c>
      <c r="D6034" s="2" t="s">
        <v>749</v>
      </c>
      <c r="E6034" s="2" t="s">
        <v>4598</v>
      </c>
      <c r="F6034" s="11" t="s">
        <v>1106</v>
      </c>
      <c r="G6034" s="21"/>
      <c r="H6034" s="2" t="s">
        <v>8109</v>
      </c>
      <c r="I6034" s="12" t="s">
        <v>2862</v>
      </c>
      <c r="J6034" s="22">
        <f>+Tabla1[[#This Row],[FECHA ENTRADA]]</f>
        <v>46236</v>
      </c>
      <c r="K6034" s="41">
        <f t="shared" ca="1" si="16"/>
        <v>46260</v>
      </c>
      <c r="L6034" s="23">
        <f ca="1">_xlfn.DAYS(Tabla1[[#This Row],[FECHA FIN ]],Tabla1[[#This Row],[FECHA INICIO]])</f>
        <v>24</v>
      </c>
      <c r="M6034" s="12"/>
      <c r="N6034" s="20">
        <v>0</v>
      </c>
      <c r="O6034" s="24">
        <f ca="1">(Tabla1[[#This Row],[COSTO FIJO ]]/30)*Tabla1[[#This Row],[TOTAL DIAS PROYECTO]]+(Tabla1[[#This Row],[COSTO TEMPORAL]])</f>
        <v>0</v>
      </c>
      <c r="P6034" s="12"/>
      <c r="Q6034" s="12">
        <f ca="1">+(Tabla1[[#This Row],[COSTO COCHE]]/30)*Tabla1[[#This Row],[TOTAL DIAS PROYECTO]]</f>
        <v>0</v>
      </c>
      <c r="R6034" s="12">
        <f ca="1">+Tabla1[[#This Row],[COSTO TOTAL ALOJAMIENTO]]+Tabla1[[#This Row],[COSTO TOTAL COCHE]]</f>
        <v>0</v>
      </c>
      <c r="S6034" s="2"/>
      <c r="T6034" s="14" t="s">
        <v>8</v>
      </c>
      <c r="U6034" s="14">
        <v>46236</v>
      </c>
      <c r="V6034" s="79"/>
      <c r="W6034" s="12"/>
      <c r="X6034" s="2"/>
      <c r="Y6034" s="11" t="s">
        <v>7371</v>
      </c>
      <c r="Z6034" s="2" t="s">
        <v>702</v>
      </c>
      <c r="AA6034" s="13">
        <v>10.50447</v>
      </c>
      <c r="AB6034" s="13">
        <v>43.843690000000002</v>
      </c>
    </row>
    <row r="6035" spans="1:28">
      <c r="A6035" s="2" t="s">
        <v>9710</v>
      </c>
      <c r="B6035" s="2" t="s">
        <v>711</v>
      </c>
      <c r="C6035" s="11" t="s">
        <v>4353</v>
      </c>
      <c r="D6035" s="2" t="s">
        <v>749</v>
      </c>
      <c r="E6035" s="2" t="s">
        <v>4598</v>
      </c>
      <c r="F6035" s="11" t="s">
        <v>1106</v>
      </c>
      <c r="G6035" s="21"/>
      <c r="H6035" s="2" t="s">
        <v>8127</v>
      </c>
      <c r="I6035" s="12" t="s">
        <v>2862</v>
      </c>
      <c r="J6035" s="22">
        <f>+Tabla1[[#This Row],[FECHA ENTRADA]]</f>
        <v>46236</v>
      </c>
      <c r="K6035" s="41">
        <f t="shared" ca="1" si="16"/>
        <v>46260</v>
      </c>
      <c r="L6035" s="23">
        <f ca="1">_xlfn.DAYS(Tabla1[[#This Row],[FECHA FIN ]],Tabla1[[#This Row],[FECHA INICIO]])</f>
        <v>24</v>
      </c>
      <c r="M6035" s="12"/>
      <c r="N6035" s="20">
        <v>0</v>
      </c>
      <c r="O6035" s="24">
        <f ca="1">(Tabla1[[#This Row],[COSTO FIJO ]]/30)*Tabla1[[#This Row],[TOTAL DIAS PROYECTO]]+(Tabla1[[#This Row],[COSTO TEMPORAL]])</f>
        <v>0</v>
      </c>
      <c r="P6035" s="12"/>
      <c r="Q6035" s="12">
        <f ca="1">+(Tabla1[[#This Row],[COSTO COCHE]]/30)*Tabla1[[#This Row],[TOTAL DIAS PROYECTO]]</f>
        <v>0</v>
      </c>
      <c r="R6035" s="12">
        <f ca="1">+Tabla1[[#This Row],[COSTO TOTAL ALOJAMIENTO]]+Tabla1[[#This Row],[COSTO TOTAL COCHE]]</f>
        <v>0</v>
      </c>
      <c r="S6035" s="2"/>
      <c r="T6035" s="14" t="s">
        <v>8</v>
      </c>
      <c r="U6035" s="14">
        <v>46236</v>
      </c>
      <c r="V6035" s="79"/>
      <c r="W6035" s="12"/>
      <c r="X6035" s="2"/>
      <c r="Y6035" s="11" t="s">
        <v>7371</v>
      </c>
      <c r="Z6035" s="2" t="s">
        <v>702</v>
      </c>
      <c r="AA6035" s="13">
        <v>10.50447</v>
      </c>
      <c r="AB6035" s="13">
        <v>43.843690000000002</v>
      </c>
    </row>
    <row r="6036" spans="1:28">
      <c r="A6036" s="2" t="s">
        <v>9250</v>
      </c>
      <c r="B6036" s="2" t="s">
        <v>711</v>
      </c>
      <c r="C6036" s="11" t="s">
        <v>2595</v>
      </c>
      <c r="D6036" s="2" t="s">
        <v>749</v>
      </c>
      <c r="E6036" s="2" t="s">
        <v>4598</v>
      </c>
      <c r="F6036" s="11" t="s">
        <v>1106</v>
      </c>
      <c r="G6036" s="21"/>
      <c r="H6036" s="2" t="s">
        <v>8127</v>
      </c>
      <c r="I6036" s="12" t="s">
        <v>2862</v>
      </c>
      <c r="J6036" s="22">
        <f>+Tabla1[[#This Row],[FECHA ENTRADA]]</f>
        <v>46236</v>
      </c>
      <c r="K6036" s="41">
        <f t="shared" ca="1" si="16"/>
        <v>46260</v>
      </c>
      <c r="L6036" s="23">
        <f ca="1">_xlfn.DAYS(Tabla1[[#This Row],[FECHA FIN ]],Tabla1[[#This Row],[FECHA INICIO]])</f>
        <v>24</v>
      </c>
      <c r="M6036" s="12"/>
      <c r="N6036" s="20">
        <v>0</v>
      </c>
      <c r="O6036" s="24">
        <f ca="1">(Tabla1[[#This Row],[COSTO FIJO ]]/30)*Tabla1[[#This Row],[TOTAL DIAS PROYECTO]]+(Tabla1[[#This Row],[COSTO TEMPORAL]])</f>
        <v>0</v>
      </c>
      <c r="P6036" s="12"/>
      <c r="Q6036" s="12">
        <f ca="1">+(Tabla1[[#This Row],[COSTO COCHE]]/30)*Tabla1[[#This Row],[TOTAL DIAS PROYECTO]]</f>
        <v>0</v>
      </c>
      <c r="R6036" s="12">
        <f ca="1">+Tabla1[[#This Row],[COSTO TOTAL ALOJAMIENTO]]+Tabla1[[#This Row],[COSTO TOTAL COCHE]]</f>
        <v>0</v>
      </c>
      <c r="S6036" s="2"/>
      <c r="T6036" s="14" t="s">
        <v>8</v>
      </c>
      <c r="U6036" s="14">
        <v>46236</v>
      </c>
      <c r="V6036" s="79"/>
      <c r="W6036" s="12"/>
      <c r="X6036" s="2"/>
      <c r="Y6036" s="11" t="s">
        <v>7371</v>
      </c>
      <c r="Z6036" s="2" t="s">
        <v>702</v>
      </c>
      <c r="AA6036" s="13">
        <v>10.50447</v>
      </c>
      <c r="AB6036" s="13">
        <v>43.843690000000002</v>
      </c>
    </row>
    <row r="6037" spans="1:28">
      <c r="A6037" s="2" t="s">
        <v>10319</v>
      </c>
      <c r="B6037" s="2" t="s">
        <v>606</v>
      </c>
      <c r="C6037" s="11" t="s">
        <v>8128</v>
      </c>
      <c r="D6037" s="2" t="s">
        <v>30</v>
      </c>
      <c r="E6037" s="2" t="s">
        <v>213</v>
      </c>
      <c r="F6037" s="11" t="s">
        <v>4407</v>
      </c>
      <c r="G6037" s="68" t="s">
        <v>558</v>
      </c>
      <c r="H6037" s="2" t="s">
        <v>4867</v>
      </c>
      <c r="I6037" s="12" t="s">
        <v>1043</v>
      </c>
      <c r="J6037" s="8">
        <f>+Tabla1[[#This Row],[FECHA ENTRADA]]</f>
        <v>45546</v>
      </c>
      <c r="K6037" s="8">
        <f t="shared" ca="1" si="16"/>
        <v>46260</v>
      </c>
      <c r="L6037" s="13">
        <f ca="1">_xlfn.DAYS(Tabla1[[#This Row],[FECHA FIN ]],Tabla1[[#This Row],[FECHA INICIO]])</f>
        <v>714</v>
      </c>
      <c r="M6037" s="12"/>
      <c r="N6037" s="12">
        <v>650</v>
      </c>
      <c r="O6037" s="12">
        <f ca="1">(Tabla1[[#This Row],[COSTO FIJO ]]/30)*Tabla1[[#This Row],[TOTAL DIAS PROYECTO]]+(Tabla1[[#This Row],[COSTO TEMPORAL]])</f>
        <v>15470</v>
      </c>
      <c r="P6037" s="12"/>
      <c r="Q6037" s="12">
        <f ca="1">+(Tabla1[[#This Row],[COSTO COCHE]]/30)*Tabla1[[#This Row],[TOTAL DIAS PROYECTO]]</f>
        <v>0</v>
      </c>
      <c r="R6037" s="12">
        <f ca="1">+Tabla1[[#This Row],[COSTO TOTAL ALOJAMIENTO]]+Tabla1[[#This Row],[COSTO TOTAL COCHE]]</f>
        <v>15470</v>
      </c>
      <c r="S6037" s="2"/>
      <c r="T6037" s="2" t="s">
        <v>35</v>
      </c>
      <c r="U6037" s="14">
        <v>45546</v>
      </c>
      <c r="V6037" s="14"/>
      <c r="W6037" s="12">
        <v>1300</v>
      </c>
      <c r="X6037" s="2">
        <v>20</v>
      </c>
      <c r="Y6037" s="11"/>
      <c r="Z6037" s="64" t="s">
        <v>702</v>
      </c>
      <c r="AA6037" s="13" t="s">
        <v>10349</v>
      </c>
      <c r="AB6037" s="13" t="s">
        <v>10350</v>
      </c>
    </row>
    <row r="6038" spans="1:28">
      <c r="A6038" s="2" t="s">
        <v>9572</v>
      </c>
      <c r="B6038" s="2" t="s">
        <v>711</v>
      </c>
      <c r="C6038" s="30" t="s">
        <v>3695</v>
      </c>
      <c r="D6038" s="2" t="s">
        <v>30</v>
      </c>
      <c r="E6038" s="2" t="s">
        <v>213</v>
      </c>
      <c r="F6038" s="11" t="s">
        <v>4407</v>
      </c>
      <c r="G6038" s="68" t="s">
        <v>558</v>
      </c>
      <c r="H6038" s="2" t="s">
        <v>8124</v>
      </c>
      <c r="I6038" s="12" t="s">
        <v>4464</v>
      </c>
      <c r="J6038" s="41">
        <f>+Tabla1[[#This Row],[FECHA ENTRADA]]</f>
        <v>46246</v>
      </c>
      <c r="K6038" s="22">
        <f t="shared" ca="1" si="16"/>
        <v>46260</v>
      </c>
      <c r="L6038" s="42">
        <f ca="1">_xlfn.DAYS(Tabla1[[#This Row],[FECHA FIN ]],Tabla1[[#This Row],[FECHA INICIO]])</f>
        <v>14</v>
      </c>
      <c r="M6038" s="12"/>
      <c r="N6038" s="12">
        <v>650</v>
      </c>
      <c r="O6038" s="28">
        <f ca="1">(Tabla1[[#This Row],[COSTO FIJO ]]/30)*Tabla1[[#This Row],[TOTAL DIAS PROYECTO]]+(Tabla1[[#This Row],[COSTO TEMPORAL]])</f>
        <v>303.33333333333337</v>
      </c>
      <c r="P6038" s="12"/>
      <c r="Q6038" s="12">
        <f ca="1">+(Tabla1[[#This Row],[COSTO COCHE]]/30)*Tabla1[[#This Row],[TOTAL DIAS PROYECTO]]</f>
        <v>0</v>
      </c>
      <c r="R6038" s="12">
        <f ca="1">+Tabla1[[#This Row],[COSTO TOTAL ALOJAMIENTO]]+Tabla1[[#This Row],[COSTO TOTAL COCHE]]</f>
        <v>303.33333333333337</v>
      </c>
      <c r="S6038" s="2"/>
      <c r="T6038" s="14" t="s">
        <v>35</v>
      </c>
      <c r="U6038" s="14">
        <v>46246</v>
      </c>
      <c r="V6038" s="43"/>
      <c r="W6038" s="12"/>
      <c r="X6038" s="2">
        <v>20</v>
      </c>
      <c r="Y6038" s="11"/>
      <c r="Z6038" s="2" t="s">
        <v>702</v>
      </c>
      <c r="AA6038" s="13" t="s">
        <v>10349</v>
      </c>
      <c r="AB6038" s="13" t="s">
        <v>10350</v>
      </c>
    </row>
    <row r="6039" spans="1:28">
      <c r="A6039" s="2" t="s">
        <v>10320</v>
      </c>
      <c r="B6039" s="2" t="s">
        <v>28</v>
      </c>
      <c r="C6039" s="11" t="s">
        <v>8129</v>
      </c>
      <c r="D6039" s="2" t="s">
        <v>30</v>
      </c>
      <c r="E6039" s="2" t="s">
        <v>31</v>
      </c>
      <c r="F6039" s="11" t="s">
        <v>3640</v>
      </c>
      <c r="G6039" s="11" t="s">
        <v>3638</v>
      </c>
      <c r="H6039" s="2">
        <v>2023</v>
      </c>
      <c r="I6039" s="2" t="s">
        <v>385</v>
      </c>
      <c r="J6039" s="8">
        <f>+Tabla1[[#This Row],[FECHA ENTRADA]]</f>
        <v>0</v>
      </c>
      <c r="K6039" s="8"/>
      <c r="L6039" s="13">
        <f>_xlfn.DAYS(Tabla1[[#This Row],[FECHA FIN ]],Tabla1[[#This Row],[FECHA INICIO]])</f>
        <v>0</v>
      </c>
      <c r="M6039" s="12"/>
      <c r="N6039" s="12"/>
      <c r="O6039" s="12">
        <f>(Tabla1[[#This Row],[COSTO FIJO ]]/30)*Tabla1[[#This Row],[TOTAL DIAS PROYECTO]]+(Tabla1[[#This Row],[COSTO TEMPORAL]])</f>
        <v>0</v>
      </c>
      <c r="P6039" s="12"/>
      <c r="Q6039" s="12">
        <f>+(Tabla1[[#This Row],[COSTO COCHE]]/30)*Tabla1[[#This Row],[TOTAL DIAS PROYECTO]]</f>
        <v>0</v>
      </c>
      <c r="R6039" s="12">
        <f>+Tabla1[[#This Row],[COSTO TOTAL ALOJAMIENTO]]+Tabla1[[#This Row],[COSTO TOTAL COCHE]]</f>
        <v>0</v>
      </c>
      <c r="S6039" s="2"/>
      <c r="T6039" s="2" t="s">
        <v>35</v>
      </c>
      <c r="U6039" s="14"/>
      <c r="V6039" s="14"/>
      <c r="W6039" s="15"/>
      <c r="X6039" s="16"/>
      <c r="Y6039" s="18" t="s">
        <v>8130</v>
      </c>
      <c r="Z6039" s="2" t="s">
        <v>36</v>
      </c>
      <c r="AA6039" s="13" t="s">
        <v>10323</v>
      </c>
      <c r="AB6039" s="13" t="s">
        <v>10324</v>
      </c>
    </row>
    <row r="6040" spans="1:28">
      <c r="A6040" s="2" t="s">
        <v>8858</v>
      </c>
      <c r="B6040" s="2" t="s">
        <v>978</v>
      </c>
      <c r="C6040" s="11" t="s">
        <v>1048</v>
      </c>
      <c r="D6040" s="2" t="s">
        <v>30</v>
      </c>
      <c r="E6040" s="2" t="s">
        <v>1393</v>
      </c>
      <c r="F6040" s="31" t="s">
        <v>2248</v>
      </c>
      <c r="G6040" s="49" t="s">
        <v>8131</v>
      </c>
      <c r="H6040" s="2" t="s">
        <v>6345</v>
      </c>
      <c r="I6040" s="12" t="s">
        <v>5291</v>
      </c>
      <c r="J6040" s="22">
        <f>+Tabla1[[#This Row],[FECHA ENTRADA]]</f>
        <v>46200</v>
      </c>
      <c r="K6040" s="22">
        <f ca="1">TODAY()</f>
        <v>46260</v>
      </c>
      <c r="L6040" s="23">
        <f ca="1">_xlfn.DAYS(Tabla1[[#This Row],[FECHA FIN ]],Tabla1[[#This Row],[FECHA INICIO]])</f>
        <v>60</v>
      </c>
      <c r="M6040" s="12"/>
      <c r="N6040" s="24">
        <v>350</v>
      </c>
      <c r="O6040" s="24">
        <f ca="1">(Tabla1[[#This Row],[COSTO FIJO ]]/30)*Tabla1[[#This Row],[TOTAL DIAS PROYECTO]]+(Tabla1[[#This Row],[COSTO TEMPORAL]])</f>
        <v>700</v>
      </c>
      <c r="P6040" s="12"/>
      <c r="Q6040" s="12">
        <f ca="1">+(Tabla1[[#This Row],[COSTO COCHE]]/30)*Tabla1[[#This Row],[TOTAL DIAS PROYECTO]]</f>
        <v>0</v>
      </c>
      <c r="R6040" s="12">
        <f ca="1">+Tabla1[[#This Row],[COSTO TOTAL ALOJAMIENTO]]+Tabla1[[#This Row],[COSTO TOTAL COCHE]]</f>
        <v>700</v>
      </c>
      <c r="S6040" s="2"/>
      <c r="T6040" s="14" t="s">
        <v>35</v>
      </c>
      <c r="U6040" s="14">
        <v>46200</v>
      </c>
      <c r="V6040" s="25"/>
      <c r="W6040" s="12"/>
      <c r="X6040" s="2">
        <v>24</v>
      </c>
      <c r="Y6040" s="11" t="s">
        <v>8132</v>
      </c>
      <c r="Z6040" s="2" t="s">
        <v>702</v>
      </c>
      <c r="AA6040" s="13" t="s">
        <v>10416</v>
      </c>
      <c r="AB6040" s="13" t="s">
        <v>10417</v>
      </c>
    </row>
    <row r="6041" spans="1:28">
      <c r="A6041" s="2" t="s">
        <v>9850</v>
      </c>
      <c r="B6041" s="2" t="s">
        <v>711</v>
      </c>
      <c r="C6041" s="11" t="s">
        <v>5034</v>
      </c>
      <c r="D6041" s="2" t="s">
        <v>30</v>
      </c>
      <c r="E6041" s="2" t="s">
        <v>1719</v>
      </c>
      <c r="F6041" s="11" t="s">
        <v>7633</v>
      </c>
      <c r="G6041" s="49" t="s">
        <v>7634</v>
      </c>
      <c r="H6041" s="2" t="s">
        <v>8091</v>
      </c>
      <c r="I6041" s="12" t="s">
        <v>8102</v>
      </c>
      <c r="J6041" s="22">
        <f>+Tabla1[[#This Row],[FECHA ENTRADA]]</f>
        <v>46238</v>
      </c>
      <c r="K6041" s="22">
        <f ca="1">TODAY()</f>
        <v>46260</v>
      </c>
      <c r="L6041" s="23">
        <f ca="1">_xlfn.DAYS(Tabla1[[#This Row],[FECHA FIN ]],Tabla1[[#This Row],[FECHA INICIO]])</f>
        <v>22</v>
      </c>
      <c r="M6041" s="12">
        <v>380</v>
      </c>
      <c r="N6041" s="24"/>
      <c r="O6041" s="24">
        <f ca="1">(Tabla1[[#This Row],[COSTO FIJO ]]/30)*Tabla1[[#This Row],[TOTAL DIAS PROYECTO]]+(Tabla1[[#This Row],[COSTO TEMPORAL]])</f>
        <v>380</v>
      </c>
      <c r="P6041" s="12"/>
      <c r="Q6041" s="12">
        <f ca="1">+(Tabla1[[#This Row],[COSTO COCHE]]/30)*Tabla1[[#This Row],[TOTAL DIAS PROYECTO]]</f>
        <v>0</v>
      </c>
      <c r="R6041" s="12">
        <f ca="1">+Tabla1[[#This Row],[COSTO TOTAL ALOJAMIENTO]]+Tabla1[[#This Row],[COSTO TOTAL COCHE]]</f>
        <v>380</v>
      </c>
      <c r="S6041" s="2" t="s">
        <v>403</v>
      </c>
      <c r="T6041" s="14" t="s">
        <v>44</v>
      </c>
      <c r="U6041" s="14">
        <v>46238</v>
      </c>
      <c r="V6041" s="25">
        <v>46261</v>
      </c>
      <c r="W6041" s="12"/>
      <c r="X6041" s="2"/>
      <c r="Y6041" s="11"/>
      <c r="Z6041" s="2" t="s">
        <v>702</v>
      </c>
      <c r="AA6041" s="13" t="s">
        <v>10427</v>
      </c>
      <c r="AB6041" s="13">
        <v>4260003</v>
      </c>
    </row>
    <row r="6042" spans="1:28">
      <c r="A6042" s="2" t="s">
        <v>10154</v>
      </c>
      <c r="B6042" s="2" t="s">
        <v>711</v>
      </c>
      <c r="C6042" s="11" t="s">
        <v>6729</v>
      </c>
      <c r="D6042" s="2" t="s">
        <v>30</v>
      </c>
      <c r="E6042" s="2" t="s">
        <v>213</v>
      </c>
      <c r="F6042" s="11" t="s">
        <v>4462</v>
      </c>
      <c r="G6042" s="68" t="s">
        <v>558</v>
      </c>
      <c r="H6042" s="2" t="s">
        <v>6732</v>
      </c>
      <c r="I6042" s="12" t="s">
        <v>4464</v>
      </c>
      <c r="J6042" s="22">
        <f>+Tabla1[[#This Row],[FECHA ENTRADA]]</f>
        <v>45959</v>
      </c>
      <c r="K6042" s="22">
        <f ca="1">TODAY()</f>
        <v>46260</v>
      </c>
      <c r="L6042" s="23">
        <f ca="1">_xlfn.DAYS(Tabla1[[#This Row],[FECHA FIN ]],Tabla1[[#This Row],[FECHA INICIO]])</f>
        <v>301</v>
      </c>
      <c r="M6042" s="12"/>
      <c r="N6042" s="20">
        <v>750</v>
      </c>
      <c r="O6042" s="24">
        <f ca="1">(Tabla1[[#This Row],[COSTO FIJO ]]/30)*Tabla1[[#This Row],[TOTAL DIAS PROYECTO]]+(Tabla1[[#This Row],[COSTO TEMPORAL]])</f>
        <v>7525</v>
      </c>
      <c r="P6042" s="12"/>
      <c r="Q6042" s="12">
        <f ca="1">+(Tabla1[[#This Row],[COSTO COCHE]]/30)*Tabla1[[#This Row],[TOTAL DIAS PROYECTO]]</f>
        <v>0</v>
      </c>
      <c r="R6042" s="12">
        <f ca="1">+Tabla1[[#This Row],[COSTO TOTAL ALOJAMIENTO]]+Tabla1[[#This Row],[COSTO TOTAL COCHE]]</f>
        <v>7525</v>
      </c>
      <c r="S6042" s="2"/>
      <c r="T6042" s="14" t="s">
        <v>35</v>
      </c>
      <c r="U6042" s="14">
        <v>45959</v>
      </c>
      <c r="V6042" s="79"/>
      <c r="W6042" s="12">
        <v>1500</v>
      </c>
      <c r="X6042" s="2">
        <v>25</v>
      </c>
      <c r="Y6042" s="11"/>
      <c r="Z6042" s="2" t="s">
        <v>702</v>
      </c>
      <c r="AA6042" s="13" t="s">
        <v>10349</v>
      </c>
      <c r="AB6042" s="13" t="s">
        <v>10350</v>
      </c>
    </row>
    <row r="6043" spans="1:28">
      <c r="A6043" s="2" t="s">
        <v>10160</v>
      </c>
      <c r="B6043" s="2" t="s">
        <v>711</v>
      </c>
      <c r="C6043" s="11" t="s">
        <v>6793</v>
      </c>
      <c r="D6043" s="2" t="s">
        <v>30</v>
      </c>
      <c r="E6043" s="2" t="s">
        <v>213</v>
      </c>
      <c r="F6043" s="11" t="s">
        <v>4462</v>
      </c>
      <c r="G6043" s="68" t="s">
        <v>558</v>
      </c>
      <c r="H6043" s="2" t="s">
        <v>6732</v>
      </c>
      <c r="I6043" s="12" t="s">
        <v>4464</v>
      </c>
      <c r="J6043" s="22">
        <f>+Tabla1[[#This Row],[FECHA ENTRADA]]</f>
        <v>45959</v>
      </c>
      <c r="K6043" s="22">
        <f ca="1">TODAY()</f>
        <v>46260</v>
      </c>
      <c r="L6043" s="23">
        <f ca="1">_xlfn.DAYS(Tabla1[[#This Row],[FECHA FIN ]],Tabla1[[#This Row],[FECHA INICIO]])</f>
        <v>301</v>
      </c>
      <c r="M6043" s="12"/>
      <c r="N6043" s="20">
        <v>750</v>
      </c>
      <c r="O6043" s="24">
        <f ca="1">(Tabla1[[#This Row],[COSTO FIJO ]]/30)*Tabla1[[#This Row],[TOTAL DIAS PROYECTO]]+(Tabla1[[#This Row],[COSTO TEMPORAL]])</f>
        <v>7525</v>
      </c>
      <c r="P6043" s="12"/>
      <c r="Q6043" s="12">
        <f ca="1">+(Tabla1[[#This Row],[COSTO COCHE]]/30)*Tabla1[[#This Row],[TOTAL DIAS PROYECTO]]</f>
        <v>0</v>
      </c>
      <c r="R6043" s="12">
        <f ca="1">+Tabla1[[#This Row],[COSTO TOTAL ALOJAMIENTO]]+Tabla1[[#This Row],[COSTO TOTAL COCHE]]</f>
        <v>7525</v>
      </c>
      <c r="S6043" s="2"/>
      <c r="T6043" s="14" t="s">
        <v>35</v>
      </c>
      <c r="U6043" s="14">
        <v>45959</v>
      </c>
      <c r="V6043" s="79"/>
      <c r="W6043" s="12"/>
      <c r="X6043" s="2">
        <v>25</v>
      </c>
      <c r="Y6043" s="11"/>
      <c r="Z6043" s="2" t="s">
        <v>702</v>
      </c>
      <c r="AA6043" s="13" t="s">
        <v>10349</v>
      </c>
      <c r="AB6043" s="13" t="s">
        <v>10350</v>
      </c>
    </row>
    <row r="6044" spans="1:28">
      <c r="A6044" s="2" t="s">
        <v>9090</v>
      </c>
      <c r="B6044" s="2" t="s">
        <v>606</v>
      </c>
      <c r="C6044" s="31" t="s">
        <v>1970</v>
      </c>
      <c r="D6044" s="2" t="s">
        <v>99</v>
      </c>
      <c r="E6044" s="2" t="s">
        <v>213</v>
      </c>
      <c r="F6044" s="11" t="s">
        <v>1971</v>
      </c>
      <c r="G6044" s="68" t="s">
        <v>558</v>
      </c>
      <c r="H6044" s="2" t="s">
        <v>8133</v>
      </c>
      <c r="I6044" s="2" t="s">
        <v>918</v>
      </c>
      <c r="J6044" s="22">
        <f>+Tabla1[[#This Row],[FECHA ENTRADA]]</f>
        <v>45760</v>
      </c>
      <c r="K6044" s="22">
        <v>46258</v>
      </c>
      <c r="L6044" s="23">
        <f>_xlfn.DAYS(Tabla1[[#This Row],[FECHA FIN ]],Tabla1[[#This Row],[FECHA INICIO]])</f>
        <v>498</v>
      </c>
      <c r="M6044" s="12"/>
      <c r="N6044" s="24">
        <v>500</v>
      </c>
      <c r="O6044" s="24">
        <f>(Tabla1[[#This Row],[COSTO FIJO ]]/30)*Tabla1[[#This Row],[TOTAL DIAS PROYECTO]]+(Tabla1[[#This Row],[COSTO TEMPORAL]])</f>
        <v>8300</v>
      </c>
      <c r="P6044" s="12"/>
      <c r="Q6044" s="12">
        <f>+(Tabla1[[#This Row],[COSTO COCHE]]/30)*Tabla1[[#This Row],[TOTAL DIAS PROYECTO]]</f>
        <v>0</v>
      </c>
      <c r="R6044" s="12">
        <f>+Tabla1[[#This Row],[COSTO TOTAL ALOJAMIENTO]]+Tabla1[[#This Row],[COSTO TOTAL COCHE]]</f>
        <v>8300</v>
      </c>
      <c r="S6044" s="2"/>
      <c r="T6044" s="2" t="s">
        <v>35</v>
      </c>
      <c r="U6044" s="14">
        <v>45760</v>
      </c>
      <c r="V6044" s="25"/>
      <c r="W6044" s="12">
        <v>1500</v>
      </c>
      <c r="X6044" s="2">
        <v>29</v>
      </c>
      <c r="Y6044" s="30" t="s">
        <v>8134</v>
      </c>
      <c r="Z6044" s="2" t="s">
        <v>36</v>
      </c>
      <c r="AA6044" s="13" t="s">
        <v>10349</v>
      </c>
      <c r="AB6044" s="13" t="s">
        <v>10350</v>
      </c>
    </row>
    <row r="6045" spans="1:28">
      <c r="A6045" s="2" t="s">
        <v>9667</v>
      </c>
      <c r="B6045" s="2" t="s">
        <v>711</v>
      </c>
      <c r="C6045" s="31" t="s">
        <v>4130</v>
      </c>
      <c r="D6045" s="2" t="s">
        <v>30</v>
      </c>
      <c r="E6045" s="2" t="s">
        <v>213</v>
      </c>
      <c r="F6045" s="11" t="s">
        <v>1971</v>
      </c>
      <c r="G6045" s="68" t="s">
        <v>558</v>
      </c>
      <c r="H6045" s="2" t="s">
        <v>8135</v>
      </c>
      <c r="I6045" s="12" t="s">
        <v>4464</v>
      </c>
      <c r="J6045" s="22">
        <f>+Tabla1[[#This Row],[FECHA ENTRADA]]</f>
        <v>45914</v>
      </c>
      <c r="K6045" s="22">
        <v>46241</v>
      </c>
      <c r="L6045" s="23">
        <f>_xlfn.DAYS(Tabla1[[#This Row],[FECHA FIN ]],Tabla1[[#This Row],[FECHA INICIO]])</f>
        <v>327</v>
      </c>
      <c r="M6045" s="12"/>
      <c r="N6045" s="24">
        <v>500</v>
      </c>
      <c r="O6045" s="24">
        <f>(Tabla1[[#This Row],[COSTO FIJO ]]/30)*Tabla1[[#This Row],[TOTAL DIAS PROYECTO]]+(Tabla1[[#This Row],[COSTO TEMPORAL]])</f>
        <v>5450</v>
      </c>
      <c r="P6045" s="12"/>
      <c r="Q6045" s="12">
        <f>+(Tabla1[[#This Row],[COSTO COCHE]]/30)*Tabla1[[#This Row],[TOTAL DIAS PROYECTO]]</f>
        <v>0</v>
      </c>
      <c r="R6045" s="12">
        <f>+Tabla1[[#This Row],[COSTO TOTAL ALOJAMIENTO]]+Tabla1[[#This Row],[COSTO TOTAL COCHE]]</f>
        <v>5450</v>
      </c>
      <c r="S6045" s="2"/>
      <c r="T6045" s="14" t="s">
        <v>35</v>
      </c>
      <c r="U6045" s="14">
        <v>45914</v>
      </c>
      <c r="V6045" s="79"/>
      <c r="W6045" s="12"/>
      <c r="X6045" s="2">
        <v>29</v>
      </c>
      <c r="Y6045" s="11" t="s">
        <v>8136</v>
      </c>
      <c r="Z6045" s="2" t="s">
        <v>36</v>
      </c>
      <c r="AA6045" s="13" t="s">
        <v>10349</v>
      </c>
      <c r="AB6045" s="13" t="s">
        <v>10350</v>
      </c>
    </row>
    <row r="6046" spans="1:28">
      <c r="A6046" s="2" t="s">
        <v>9747</v>
      </c>
      <c r="B6046" s="2" t="s">
        <v>711</v>
      </c>
      <c r="C6046" s="11" t="s">
        <v>4547</v>
      </c>
      <c r="D6046" s="2" t="s">
        <v>30</v>
      </c>
      <c r="E6046" s="2" t="s">
        <v>213</v>
      </c>
      <c r="F6046" s="11" t="s">
        <v>1971</v>
      </c>
      <c r="G6046" s="68" t="s">
        <v>558</v>
      </c>
      <c r="H6046" s="2" t="s">
        <v>8079</v>
      </c>
      <c r="I6046" s="12" t="s">
        <v>4464</v>
      </c>
      <c r="J6046" s="22">
        <f>+Tabla1[[#This Row],[FECHA ENTRADA]]</f>
        <v>46127</v>
      </c>
      <c r="K6046" s="22">
        <f t="shared" ref="K6046:K6060" ca="1" si="17">TODAY()</f>
        <v>46260</v>
      </c>
      <c r="L6046" s="23">
        <f ca="1">_xlfn.DAYS(Tabla1[[#This Row],[FECHA FIN ]],Tabla1[[#This Row],[FECHA INICIO]])</f>
        <v>133</v>
      </c>
      <c r="M6046" s="12"/>
      <c r="N6046" s="24">
        <v>500</v>
      </c>
      <c r="O6046" s="24">
        <f ca="1">(Tabla1[[#This Row],[COSTO FIJO ]]/30)*Tabla1[[#This Row],[TOTAL DIAS PROYECTO]]+(Tabla1[[#This Row],[COSTO TEMPORAL]])</f>
        <v>2216.666666666667</v>
      </c>
      <c r="P6046" s="12"/>
      <c r="Q6046" s="12">
        <f ca="1">+(Tabla1[[#This Row],[COSTO COCHE]]/30)*Tabla1[[#This Row],[TOTAL DIAS PROYECTO]]</f>
        <v>0</v>
      </c>
      <c r="R6046" s="12">
        <f ca="1">+Tabla1[[#This Row],[COSTO TOTAL ALOJAMIENTO]]+Tabla1[[#This Row],[COSTO TOTAL COCHE]]</f>
        <v>2216.666666666667</v>
      </c>
      <c r="S6046" s="2"/>
      <c r="T6046" s="14" t="s">
        <v>35</v>
      </c>
      <c r="U6046" s="14">
        <v>46127</v>
      </c>
      <c r="V6046" s="25"/>
      <c r="W6046" s="12"/>
      <c r="X6046" s="2">
        <v>29</v>
      </c>
      <c r="Y6046" s="11"/>
      <c r="Z6046" s="2" t="s">
        <v>702</v>
      </c>
      <c r="AA6046" s="13" t="s">
        <v>10349</v>
      </c>
      <c r="AB6046" s="13" t="s">
        <v>10350</v>
      </c>
    </row>
    <row r="6047" spans="1:28">
      <c r="A6047" s="2" t="s">
        <v>10072</v>
      </c>
      <c r="B6047" s="2" t="s">
        <v>606</v>
      </c>
      <c r="C6047" s="165" t="s">
        <v>6205</v>
      </c>
      <c r="D6047" s="2" t="s">
        <v>30</v>
      </c>
      <c r="E6047" s="2" t="s">
        <v>31</v>
      </c>
      <c r="F6047" s="11" t="s">
        <v>344</v>
      </c>
      <c r="G6047" s="11" t="s">
        <v>345</v>
      </c>
      <c r="H6047" s="2" t="s">
        <v>6519</v>
      </c>
      <c r="I6047" s="12" t="s">
        <v>2391</v>
      </c>
      <c r="J6047" s="41">
        <f>+Tabla1[[#This Row],[FECHA ENTRADA]]</f>
        <v>46112</v>
      </c>
      <c r="K6047" s="22">
        <f t="shared" ca="1" si="17"/>
        <v>46260</v>
      </c>
      <c r="L6047" s="42">
        <f ca="1">_xlfn.DAYS(Tabla1[[#This Row],[FECHA FIN ]],Tabla1[[#This Row],[FECHA INICIO]])</f>
        <v>148</v>
      </c>
      <c r="M6047" s="12"/>
      <c r="N6047" s="24">
        <v>425</v>
      </c>
      <c r="O6047" s="28">
        <f ca="1">(Tabla1[[#This Row],[COSTO FIJO ]]/30)*Tabla1[[#This Row],[TOTAL DIAS PROYECTO]]+(Tabla1[[#This Row],[COSTO TEMPORAL]])</f>
        <v>2096.6666666666665</v>
      </c>
      <c r="P6047" s="12"/>
      <c r="Q6047" s="12">
        <f ca="1">+(Tabla1[[#This Row],[COSTO COCHE]]/30)*Tabla1[[#This Row],[TOTAL DIAS PROYECTO]]</f>
        <v>0</v>
      </c>
      <c r="R6047" s="12">
        <f ca="1">+Tabla1[[#This Row],[COSTO TOTAL ALOJAMIENTO]]+Tabla1[[#This Row],[COSTO TOTAL COCHE]]</f>
        <v>2096.6666666666665</v>
      </c>
      <c r="S6047" s="2"/>
      <c r="T6047" s="14" t="s">
        <v>35</v>
      </c>
      <c r="U6047" s="14">
        <v>46112</v>
      </c>
      <c r="V6047" s="43"/>
      <c r="W6047" s="12"/>
      <c r="X6047" s="2"/>
      <c r="Y6047" s="11"/>
      <c r="Z6047" s="2" t="s">
        <v>702</v>
      </c>
      <c r="AA6047" s="13" t="s">
        <v>10323</v>
      </c>
      <c r="AB6047" s="13" t="s">
        <v>10324</v>
      </c>
    </row>
    <row r="6048" spans="1:28">
      <c r="A6048" s="2" t="s">
        <v>9484</v>
      </c>
      <c r="B6048" s="2" t="s">
        <v>711</v>
      </c>
      <c r="C6048" s="11" t="s">
        <v>3351</v>
      </c>
      <c r="D6048" s="2" t="s">
        <v>99</v>
      </c>
      <c r="E6048" s="2" t="s">
        <v>213</v>
      </c>
      <c r="F6048" s="11" t="s">
        <v>916</v>
      </c>
      <c r="G6048" s="11" t="s">
        <v>917</v>
      </c>
      <c r="H6048" s="2" t="s">
        <v>5130</v>
      </c>
      <c r="I6048" s="10" t="s">
        <v>4464</v>
      </c>
      <c r="J6048" s="41">
        <f>+Tabla1[[#This Row],[FECHA ENTRADA]]</f>
        <v>45901</v>
      </c>
      <c r="K6048" s="22">
        <f t="shared" ca="1" si="17"/>
        <v>46260</v>
      </c>
      <c r="L6048" s="42">
        <f ca="1">_xlfn.DAYS(Tabla1[[#This Row],[FECHA FIN ]],Tabla1[[#This Row],[FECHA INICIO]])</f>
        <v>359</v>
      </c>
      <c r="M6048" s="12"/>
      <c r="N6048" s="12">
        <v>318.33333333333331</v>
      </c>
      <c r="O6048" s="28">
        <f ca="1">(Tabla1[[#This Row],[COSTO FIJO ]]/30)*Tabla1[[#This Row],[TOTAL DIAS PROYECTO]]+(Tabla1[[#This Row],[COSTO TEMPORAL]])</f>
        <v>3809.3888888888887</v>
      </c>
      <c r="P6048" s="12"/>
      <c r="Q6048" s="12">
        <f ca="1">+(Tabla1[[#This Row],[COSTO COCHE]]/30)*Tabla1[[#This Row],[TOTAL DIAS PROYECTO]]</f>
        <v>0</v>
      </c>
      <c r="R6048" s="12">
        <f ca="1">+Tabla1[[#This Row],[COSTO TOTAL ALOJAMIENTO]]+Tabla1[[#This Row],[COSTO TOTAL COCHE]]</f>
        <v>3809.3888888888887</v>
      </c>
      <c r="S6048" s="2"/>
      <c r="T6048" s="14" t="s">
        <v>35</v>
      </c>
      <c r="U6048" s="14">
        <v>45901</v>
      </c>
      <c r="V6048" s="43"/>
      <c r="W6048" s="12"/>
      <c r="X6048" s="2"/>
      <c r="Y6048" s="11" t="s">
        <v>5751</v>
      </c>
      <c r="Z6048" s="2" t="s">
        <v>702</v>
      </c>
      <c r="AA6048" s="13" t="s">
        <v>10349</v>
      </c>
      <c r="AB6048" s="13" t="s">
        <v>10350</v>
      </c>
    </row>
    <row r="6049" spans="1:28">
      <c r="A6049" s="2" t="s">
        <v>10321</v>
      </c>
      <c r="B6049" s="2" t="s">
        <v>606</v>
      </c>
      <c r="C6049" s="11" t="s">
        <v>8137</v>
      </c>
      <c r="D6049" s="2" t="s">
        <v>30</v>
      </c>
      <c r="E6049" s="2" t="s">
        <v>31</v>
      </c>
      <c r="F6049" s="11" t="s">
        <v>344</v>
      </c>
      <c r="G6049" s="11" t="s">
        <v>345</v>
      </c>
      <c r="H6049" s="2">
        <v>2023</v>
      </c>
      <c r="I6049" s="2" t="s">
        <v>385</v>
      </c>
      <c r="J6049" s="8">
        <v>44753</v>
      </c>
      <c r="K6049" s="22">
        <f t="shared" ca="1" si="17"/>
        <v>46260</v>
      </c>
      <c r="L6049" s="13">
        <f ca="1">_xlfn.DAYS(Tabla1[[#This Row],[FECHA FIN ]],Tabla1[[#This Row],[FECHA INICIO]])</f>
        <v>1507</v>
      </c>
      <c r="M6049" s="12"/>
      <c r="N6049" s="24">
        <v>425</v>
      </c>
      <c r="O6049" s="12">
        <f ca="1">(Tabla1[[#This Row],[COSTO FIJO ]]/30)*Tabla1[[#This Row],[TOTAL DIAS PROYECTO]]+(Tabla1[[#This Row],[COSTO TEMPORAL]])</f>
        <v>21349.166666666664</v>
      </c>
      <c r="P6049" s="12"/>
      <c r="Q6049" s="12">
        <f ca="1">+(Tabla1[[#This Row],[COSTO COCHE]]/30)*Tabla1[[#This Row],[TOTAL DIAS PROYECTO]]</f>
        <v>0</v>
      </c>
      <c r="R6049" s="12">
        <f ca="1">+Tabla1[[#This Row],[COSTO TOTAL ALOJAMIENTO]]+Tabla1[[#This Row],[COSTO TOTAL COCHE]]</f>
        <v>21349.166666666664</v>
      </c>
      <c r="S6049" s="2"/>
      <c r="T6049" s="2" t="s">
        <v>35</v>
      </c>
      <c r="U6049" s="14"/>
      <c r="V6049" s="14"/>
      <c r="W6049" s="12"/>
      <c r="X6049" s="16"/>
      <c r="Y6049" s="11" t="s">
        <v>7049</v>
      </c>
      <c r="Z6049" s="2" t="s">
        <v>702</v>
      </c>
      <c r="AA6049" s="13" t="s">
        <v>10323</v>
      </c>
      <c r="AB6049" s="13" t="s">
        <v>10324</v>
      </c>
    </row>
    <row r="6050" spans="1:28">
      <c r="A6050" s="2" t="s">
        <v>10315</v>
      </c>
      <c r="B6050" s="2" t="s">
        <v>606</v>
      </c>
      <c r="C6050" s="11" t="s">
        <v>8083</v>
      </c>
      <c r="D6050" s="2" t="s">
        <v>30</v>
      </c>
      <c r="E6050" s="2" t="s">
        <v>213</v>
      </c>
      <c r="F6050" s="11" t="s">
        <v>916</v>
      </c>
      <c r="G6050" s="11" t="s">
        <v>917</v>
      </c>
      <c r="H6050" s="2">
        <v>2023</v>
      </c>
      <c r="I6050" s="2" t="s">
        <v>918</v>
      </c>
      <c r="J6050" s="8">
        <v>45122</v>
      </c>
      <c r="K6050" s="22">
        <f t="shared" ca="1" si="17"/>
        <v>46260</v>
      </c>
      <c r="L6050" s="13">
        <f ca="1">_xlfn.DAYS(Tabla1[[#This Row],[FECHA FIN ]],Tabla1[[#This Row],[FECHA INICIO]])</f>
        <v>1138</v>
      </c>
      <c r="M6050" s="28"/>
      <c r="N6050" s="12">
        <v>318.33333333333331</v>
      </c>
      <c r="O6050" s="12">
        <f ca="1">(Tabla1[[#This Row],[COSTO FIJO ]]/30)*Tabla1[[#This Row],[TOTAL DIAS PROYECTO]]+(Tabla1[[#This Row],[COSTO TEMPORAL]])</f>
        <v>12075.444444444443</v>
      </c>
      <c r="P6050" s="12"/>
      <c r="Q6050" s="12">
        <f ca="1">+(Tabla1[[#This Row],[COSTO COCHE]]/30)*Tabla1[[#This Row],[TOTAL DIAS PROYECTO]]</f>
        <v>0</v>
      </c>
      <c r="R6050" s="12">
        <f ca="1">+Tabla1[[#This Row],[COSTO TOTAL ALOJAMIENTO]]+Tabla1[[#This Row],[COSTO TOTAL COCHE]]</f>
        <v>12075.444444444443</v>
      </c>
      <c r="S6050" s="2"/>
      <c r="T6050" s="2" t="s">
        <v>35</v>
      </c>
      <c r="U6050" s="14"/>
      <c r="V6050" s="14"/>
      <c r="W6050" s="12"/>
      <c r="X6050" s="16"/>
      <c r="Y6050" s="11" t="s">
        <v>8138</v>
      </c>
      <c r="Z6050" s="2" t="s">
        <v>702</v>
      </c>
      <c r="AA6050" s="13" t="s">
        <v>10349</v>
      </c>
      <c r="AB6050" s="13" t="s">
        <v>10350</v>
      </c>
    </row>
    <row r="6051" spans="1:28">
      <c r="A6051" s="2" t="s">
        <v>9223</v>
      </c>
      <c r="B6051" s="2" t="s">
        <v>606</v>
      </c>
      <c r="C6051" s="11" t="s">
        <v>2495</v>
      </c>
      <c r="D6051" s="2" t="s">
        <v>99</v>
      </c>
      <c r="E6051" s="2" t="s">
        <v>213</v>
      </c>
      <c r="F6051" s="11" t="s">
        <v>916</v>
      </c>
      <c r="G6051" s="11" t="s">
        <v>917</v>
      </c>
      <c r="H6051" s="2" t="s">
        <v>8093</v>
      </c>
      <c r="I6051" s="2" t="s">
        <v>918</v>
      </c>
      <c r="J6051" s="22">
        <f>+Tabla1[[#This Row],[FECHA ENTRADA]]</f>
        <v>46068</v>
      </c>
      <c r="K6051" s="22">
        <f t="shared" ca="1" si="17"/>
        <v>46260</v>
      </c>
      <c r="L6051" s="23">
        <f ca="1">_xlfn.DAYS(Tabla1[[#This Row],[FECHA FIN ]],Tabla1[[#This Row],[FECHA INICIO]])</f>
        <v>192</v>
      </c>
      <c r="M6051" s="12"/>
      <c r="N6051" s="12">
        <v>318.33333333333331</v>
      </c>
      <c r="O6051" s="24">
        <f ca="1">(Tabla1[[#This Row],[COSTO FIJO ]]/30)*Tabla1[[#This Row],[TOTAL DIAS PROYECTO]]+(Tabla1[[#This Row],[COSTO TEMPORAL]])</f>
        <v>2037.3333333333333</v>
      </c>
      <c r="P6051" s="12"/>
      <c r="Q6051" s="12">
        <f ca="1">+(Tabla1[[#This Row],[COSTO COCHE]]/30)*Tabla1[[#This Row],[TOTAL DIAS PROYECTO]]</f>
        <v>0</v>
      </c>
      <c r="R6051" s="12">
        <f ca="1">+Tabla1[[#This Row],[COSTO TOTAL ALOJAMIENTO]]+Tabla1[[#This Row],[COSTO TOTAL COCHE]]</f>
        <v>2037.3333333333333</v>
      </c>
      <c r="S6051" s="2"/>
      <c r="T6051" s="14" t="s">
        <v>35</v>
      </c>
      <c r="U6051" s="14">
        <v>46068</v>
      </c>
      <c r="V6051" s="25"/>
      <c r="W6051" s="12"/>
      <c r="X6051" s="2"/>
      <c r="Y6051" s="11" t="s">
        <v>8139</v>
      </c>
      <c r="Z6051" s="2" t="s">
        <v>702</v>
      </c>
      <c r="AA6051" s="13" t="s">
        <v>10349</v>
      </c>
      <c r="AB6051" s="13" t="s">
        <v>10350</v>
      </c>
    </row>
    <row r="6052" spans="1:28">
      <c r="A6052" s="2" t="s">
        <v>8642</v>
      </c>
      <c r="B6052" s="2" t="s">
        <v>606</v>
      </c>
      <c r="C6052" s="11" t="s">
        <v>8140</v>
      </c>
      <c r="D6052" s="2" t="s">
        <v>30</v>
      </c>
      <c r="E6052" s="2" t="s">
        <v>31</v>
      </c>
      <c r="F6052" s="11" t="s">
        <v>715</v>
      </c>
      <c r="G6052" s="11" t="s">
        <v>8044</v>
      </c>
      <c r="H6052" s="2" t="s">
        <v>8141</v>
      </c>
      <c r="I6052" s="12" t="s">
        <v>8142</v>
      </c>
      <c r="J6052" s="22">
        <f>+Tabla1[[#This Row],[FECHA ENTRADA]]</f>
        <v>46195</v>
      </c>
      <c r="K6052" s="22">
        <f t="shared" ca="1" si="17"/>
        <v>46260</v>
      </c>
      <c r="L6052" s="23">
        <f ca="1">_xlfn.DAYS(Tabla1[[#This Row],[FECHA FIN ]],Tabla1[[#This Row],[FECHA INICIO]])</f>
        <v>65</v>
      </c>
      <c r="M6052" s="12"/>
      <c r="N6052" s="12">
        <f>1643.2/7</f>
        <v>234.74285714285716</v>
      </c>
      <c r="O6052" s="24">
        <f ca="1">(Tabla1[[#This Row],[COSTO FIJO ]]/30)*Tabla1[[#This Row],[TOTAL DIAS PROYECTO]]+(Tabla1[[#This Row],[COSTO TEMPORAL]])</f>
        <v>508.60952380952381</v>
      </c>
      <c r="P6052" s="12"/>
      <c r="Q6052" s="12">
        <f ca="1">+(Tabla1[[#This Row],[COSTO COCHE]]/30)*Tabla1[[#This Row],[TOTAL DIAS PROYECTO]]</f>
        <v>0</v>
      </c>
      <c r="R6052" s="12">
        <f ca="1">+Tabla1[[#This Row],[COSTO TOTAL ALOJAMIENTO]]+Tabla1[[#This Row],[COSTO TOTAL COCHE]]</f>
        <v>508.60952380952381</v>
      </c>
      <c r="S6052" s="2"/>
      <c r="T6052" s="14" t="s">
        <v>35</v>
      </c>
      <c r="U6052" s="14">
        <v>46195</v>
      </c>
      <c r="V6052" s="79"/>
      <c r="W6052" s="12"/>
      <c r="X6052" s="2"/>
      <c r="Y6052" s="212" t="s">
        <v>8143</v>
      </c>
      <c r="Z6052" s="2" t="s">
        <v>702</v>
      </c>
      <c r="AA6052" s="13" t="s">
        <v>10323</v>
      </c>
      <c r="AB6052" s="13" t="s">
        <v>10324</v>
      </c>
    </row>
    <row r="6053" spans="1:28">
      <c r="A6053" s="2" t="s">
        <v>10191</v>
      </c>
      <c r="B6053" s="2" t="s">
        <v>606</v>
      </c>
      <c r="C6053" s="11" t="s">
        <v>7034</v>
      </c>
      <c r="D6053" s="2" t="s">
        <v>30</v>
      </c>
      <c r="E6053" s="2" t="s">
        <v>31</v>
      </c>
      <c r="F6053" s="11" t="s">
        <v>715</v>
      </c>
      <c r="G6053" s="11" t="s">
        <v>8044</v>
      </c>
      <c r="H6053" s="2" t="s">
        <v>8144</v>
      </c>
      <c r="I6053" s="12" t="s">
        <v>8142</v>
      </c>
      <c r="J6053" s="22">
        <f>+Tabla1[[#This Row],[FECHA ENTRADA]]</f>
        <v>46243</v>
      </c>
      <c r="K6053" s="41">
        <f t="shared" ca="1" si="17"/>
        <v>46260</v>
      </c>
      <c r="L6053" s="23">
        <f ca="1">_xlfn.DAYS(Tabla1[[#This Row],[FECHA FIN ]],Tabla1[[#This Row],[FECHA INICIO]])</f>
        <v>17</v>
      </c>
      <c r="M6053" s="12"/>
      <c r="N6053" s="12">
        <f>1643.2/7</f>
        <v>234.74285714285716</v>
      </c>
      <c r="O6053" s="24">
        <f ca="1">(Tabla1[[#This Row],[COSTO FIJO ]]/30)*Tabla1[[#This Row],[TOTAL DIAS PROYECTO]]+(Tabla1[[#This Row],[COSTO TEMPORAL]])</f>
        <v>133.02095238095239</v>
      </c>
      <c r="P6053" s="12"/>
      <c r="Q6053" s="12">
        <f ca="1">+(Tabla1[[#This Row],[COSTO COCHE]]/30)*Tabla1[[#This Row],[TOTAL DIAS PROYECTO]]</f>
        <v>0</v>
      </c>
      <c r="R6053" s="12">
        <f ca="1">+Tabla1[[#This Row],[COSTO TOTAL ALOJAMIENTO]]+Tabla1[[#This Row],[COSTO TOTAL COCHE]]</f>
        <v>133.02095238095239</v>
      </c>
      <c r="S6053" s="2"/>
      <c r="T6053" s="14" t="s">
        <v>35</v>
      </c>
      <c r="U6053" s="14">
        <v>46243</v>
      </c>
      <c r="V6053" s="79"/>
      <c r="W6053" s="12"/>
      <c r="X6053" s="2"/>
      <c r="Y6053" s="11" t="s">
        <v>8145</v>
      </c>
      <c r="Z6053" s="2" t="s">
        <v>702</v>
      </c>
      <c r="AA6053" s="13" t="s">
        <v>10323</v>
      </c>
      <c r="AB6053" s="13" t="s">
        <v>10324</v>
      </c>
    </row>
    <row r="6054" spans="1:28">
      <c r="A6054" s="2" t="s">
        <v>8642</v>
      </c>
      <c r="B6054" s="2" t="s">
        <v>606</v>
      </c>
      <c r="C6054" s="11" t="s">
        <v>8094</v>
      </c>
      <c r="D6054" s="2" t="s">
        <v>99</v>
      </c>
      <c r="E6054" s="2" t="s">
        <v>31</v>
      </c>
      <c r="F6054" s="11" t="s">
        <v>715</v>
      </c>
      <c r="G6054" s="11" t="s">
        <v>8044</v>
      </c>
      <c r="H6054" s="2" t="s">
        <v>8144</v>
      </c>
      <c r="I6054" s="12" t="s">
        <v>8142</v>
      </c>
      <c r="J6054" s="22">
        <f>+Tabla1[[#This Row],[FECHA ENTRADA]]</f>
        <v>46239</v>
      </c>
      <c r="K6054" s="41">
        <f t="shared" ca="1" si="17"/>
        <v>46260</v>
      </c>
      <c r="L6054" s="23">
        <f ca="1">_xlfn.DAYS(Tabla1[[#This Row],[FECHA FIN ]],Tabla1[[#This Row],[FECHA INICIO]])</f>
        <v>21</v>
      </c>
      <c r="M6054" s="12"/>
      <c r="N6054" s="12">
        <f>1643.2/7</f>
        <v>234.74285714285716</v>
      </c>
      <c r="O6054" s="24">
        <f ca="1">(Tabla1[[#This Row],[COSTO FIJO ]]/30)*Tabla1[[#This Row],[TOTAL DIAS PROYECTO]]+(Tabla1[[#This Row],[COSTO TEMPORAL]])</f>
        <v>164.32</v>
      </c>
      <c r="P6054" s="12"/>
      <c r="Q6054" s="12">
        <f ca="1">+(Tabla1[[#This Row],[COSTO COCHE]]/30)*Tabla1[[#This Row],[TOTAL DIAS PROYECTO]]</f>
        <v>0</v>
      </c>
      <c r="R6054" s="12">
        <f ca="1">+Tabla1[[#This Row],[COSTO TOTAL ALOJAMIENTO]]+Tabla1[[#This Row],[COSTO TOTAL COCHE]]</f>
        <v>164.32</v>
      </c>
      <c r="S6054" s="2"/>
      <c r="T6054" s="14" t="s">
        <v>35</v>
      </c>
      <c r="U6054" s="14">
        <v>46239</v>
      </c>
      <c r="V6054" s="79"/>
      <c r="W6054" s="12"/>
      <c r="X6054" s="2"/>
      <c r="Y6054" s="11"/>
      <c r="Z6054" s="2" t="s">
        <v>702</v>
      </c>
      <c r="AA6054" s="13" t="s">
        <v>10323</v>
      </c>
      <c r="AB6054" s="13" t="s">
        <v>10324</v>
      </c>
    </row>
    <row r="6055" spans="1:28">
      <c r="A6055" s="2" t="s">
        <v>10233</v>
      </c>
      <c r="B6055" s="2" t="s">
        <v>606</v>
      </c>
      <c r="C6055" s="11" t="s">
        <v>7313</v>
      </c>
      <c r="D6055" s="2" t="s">
        <v>30</v>
      </c>
      <c r="E6055" s="2" t="s">
        <v>31</v>
      </c>
      <c r="F6055" s="11" t="s">
        <v>715</v>
      </c>
      <c r="G6055" s="11" t="s">
        <v>8044</v>
      </c>
      <c r="H6055" s="2" t="s">
        <v>7314</v>
      </c>
      <c r="I6055" s="12" t="s">
        <v>2391</v>
      </c>
      <c r="J6055" s="22">
        <f>+Tabla1[[#This Row],[FECHA ENTRADA]]</f>
        <v>46191</v>
      </c>
      <c r="K6055" s="22">
        <f t="shared" ca="1" si="17"/>
        <v>46260</v>
      </c>
      <c r="L6055" s="23">
        <f ca="1">_xlfn.DAYS(Tabla1[[#This Row],[FECHA FIN ]],Tabla1[[#This Row],[FECHA INICIO]])</f>
        <v>69</v>
      </c>
      <c r="M6055" s="12"/>
      <c r="N6055" s="12">
        <f>1643.2/7</f>
        <v>234.74285714285716</v>
      </c>
      <c r="O6055" s="24">
        <f ca="1">(Tabla1[[#This Row],[COSTO FIJO ]]/30)*Tabla1[[#This Row],[TOTAL DIAS PROYECTO]]+(Tabla1[[#This Row],[COSTO TEMPORAL]])</f>
        <v>539.90857142857146</v>
      </c>
      <c r="P6055" s="12"/>
      <c r="Q6055" s="12">
        <f ca="1">+(Tabla1[[#This Row],[COSTO COCHE]]/30)*Tabla1[[#This Row],[TOTAL DIAS PROYECTO]]</f>
        <v>0</v>
      </c>
      <c r="R6055" s="12">
        <f ca="1">+Tabla1[[#This Row],[COSTO TOTAL ALOJAMIENTO]]+Tabla1[[#This Row],[COSTO TOTAL COCHE]]</f>
        <v>539.90857142857146</v>
      </c>
      <c r="S6055" s="2"/>
      <c r="T6055" s="14" t="s">
        <v>35</v>
      </c>
      <c r="U6055" s="14">
        <v>46191</v>
      </c>
      <c r="V6055" s="79"/>
      <c r="W6055" s="12"/>
      <c r="X6055" s="2"/>
      <c r="Y6055" s="212" t="s">
        <v>8143</v>
      </c>
      <c r="Z6055" s="2" t="s">
        <v>702</v>
      </c>
      <c r="AA6055" s="13" t="s">
        <v>10323</v>
      </c>
      <c r="AB6055" s="13" t="s">
        <v>10324</v>
      </c>
    </row>
    <row r="6056" spans="1:28">
      <c r="A6056" s="2" t="s">
        <v>9274</v>
      </c>
      <c r="B6056" s="2" t="s">
        <v>711</v>
      </c>
      <c r="C6056" s="11" t="s">
        <v>2676</v>
      </c>
      <c r="D6056" s="2" t="s">
        <v>99</v>
      </c>
      <c r="E6056" s="2" t="s">
        <v>31</v>
      </c>
      <c r="F6056" s="11" t="s">
        <v>715</v>
      </c>
      <c r="G6056" s="11" t="s">
        <v>8044</v>
      </c>
      <c r="H6056" s="2" t="s">
        <v>6531</v>
      </c>
      <c r="I6056" s="12" t="s">
        <v>5085</v>
      </c>
      <c r="J6056" s="22">
        <f>+Tabla1[[#This Row],[FECHA ENTRADA]]</f>
        <v>46196</v>
      </c>
      <c r="K6056" s="22">
        <f t="shared" ca="1" si="17"/>
        <v>46260</v>
      </c>
      <c r="L6056" s="23">
        <f ca="1">_xlfn.DAYS(Tabla1[[#This Row],[FECHA FIN ]],Tabla1[[#This Row],[FECHA INICIO]])</f>
        <v>64</v>
      </c>
      <c r="M6056" s="12"/>
      <c r="N6056" s="12">
        <f>1643.2/7</f>
        <v>234.74285714285716</v>
      </c>
      <c r="O6056" s="24">
        <f ca="1">(Tabla1[[#This Row],[COSTO FIJO ]]/30)*Tabla1[[#This Row],[TOTAL DIAS PROYECTO]]+(Tabla1[[#This Row],[COSTO TEMPORAL]])</f>
        <v>500.78476190476192</v>
      </c>
      <c r="P6056" s="12"/>
      <c r="Q6056" s="12">
        <f ca="1">+(Tabla1[[#This Row],[COSTO COCHE]]/30)*Tabla1[[#This Row],[TOTAL DIAS PROYECTO]]</f>
        <v>0</v>
      </c>
      <c r="R6056" s="12">
        <f ca="1">+Tabla1[[#This Row],[COSTO TOTAL ALOJAMIENTO]]+Tabla1[[#This Row],[COSTO TOTAL COCHE]]</f>
        <v>500.78476190476192</v>
      </c>
      <c r="S6056" s="2"/>
      <c r="T6056" s="14" t="s">
        <v>35</v>
      </c>
      <c r="U6056" s="14">
        <v>46196</v>
      </c>
      <c r="V6056" s="79"/>
      <c r="W6056" s="12"/>
      <c r="X6056" s="2"/>
      <c r="Y6056" s="212" t="s">
        <v>8143</v>
      </c>
      <c r="Z6056" s="2" t="s">
        <v>702</v>
      </c>
      <c r="AA6056" s="13" t="s">
        <v>10323</v>
      </c>
      <c r="AB6056" s="13" t="s">
        <v>10324</v>
      </c>
    </row>
    <row r="6057" spans="1:28">
      <c r="A6057" s="2" t="s">
        <v>8642</v>
      </c>
      <c r="B6057" s="2" t="s">
        <v>978</v>
      </c>
      <c r="C6057" s="11" t="s">
        <v>6392</v>
      </c>
      <c r="D6057" s="2" t="s">
        <v>30</v>
      </c>
      <c r="E6057" s="2" t="s">
        <v>380</v>
      </c>
      <c r="F6057" s="11" t="s">
        <v>5110</v>
      </c>
      <c r="G6057" s="11" t="s">
        <v>5111</v>
      </c>
      <c r="H6057" s="2" t="s">
        <v>6396</v>
      </c>
      <c r="I6057" s="12" t="s">
        <v>4276</v>
      </c>
      <c r="J6057" s="22">
        <f>+Tabla1[[#This Row],[FECHA ENTRADA]]</f>
        <v>46009</v>
      </c>
      <c r="K6057" s="22">
        <f t="shared" ca="1" si="17"/>
        <v>46260</v>
      </c>
      <c r="L6057" s="23">
        <f ca="1">_xlfn.DAYS(Tabla1[[#This Row],[FECHA FIN ]],Tabla1[[#This Row],[FECHA INICIO]])</f>
        <v>251</v>
      </c>
      <c r="M6057" s="12">
        <v>225</v>
      </c>
      <c r="N6057" s="20"/>
      <c r="O6057" s="24">
        <f ca="1">(Tabla1[[#This Row],[COSTO FIJO ]]/30)*Tabla1[[#This Row],[TOTAL DIAS PROYECTO]]+(Tabla1[[#This Row],[COSTO TEMPORAL]])</f>
        <v>225</v>
      </c>
      <c r="P6057" s="12"/>
      <c r="Q6057" s="12">
        <f ca="1">+(Tabla1[[#This Row],[COSTO COCHE]]/30)*Tabla1[[#This Row],[TOTAL DIAS PROYECTO]]</f>
        <v>0</v>
      </c>
      <c r="R6057" s="12">
        <f ca="1">+Tabla1[[#This Row],[COSTO TOTAL ALOJAMIENTO]]+Tabla1[[#This Row],[COSTO TOTAL COCHE]]</f>
        <v>225</v>
      </c>
      <c r="S6057" s="2"/>
      <c r="T6057" s="14" t="s">
        <v>44</v>
      </c>
      <c r="U6057" s="14">
        <v>46009</v>
      </c>
      <c r="V6057" s="25">
        <v>46262</v>
      </c>
      <c r="W6057" s="12"/>
      <c r="X6057" s="2"/>
      <c r="Y6057" s="11" t="s">
        <v>8146</v>
      </c>
      <c r="Z6057" s="2" t="s">
        <v>702</v>
      </c>
      <c r="AA6057" s="13" t="s">
        <v>10370</v>
      </c>
      <c r="AB6057" s="13" t="s">
        <v>10371</v>
      </c>
    </row>
    <row r="6058" spans="1:28">
      <c r="A6058" s="2" t="s">
        <v>10022</v>
      </c>
      <c r="B6058" s="2" t="s">
        <v>978</v>
      </c>
      <c r="C6058" s="11" t="s">
        <v>5983</v>
      </c>
      <c r="D6058" s="2" t="s">
        <v>99</v>
      </c>
      <c r="E6058" s="2" t="s">
        <v>380</v>
      </c>
      <c r="F6058" s="11" t="s">
        <v>5110</v>
      </c>
      <c r="G6058" s="11" t="s">
        <v>5111</v>
      </c>
      <c r="H6058" s="2" t="s">
        <v>6396</v>
      </c>
      <c r="I6058" s="12" t="s">
        <v>4276</v>
      </c>
      <c r="J6058" s="22">
        <f>+Tabla1[[#This Row],[FECHA ENTRADA]]</f>
        <v>46009</v>
      </c>
      <c r="K6058" s="22">
        <f t="shared" ca="1" si="17"/>
        <v>46260</v>
      </c>
      <c r="L6058" s="23">
        <f ca="1">_xlfn.DAYS(Tabla1[[#This Row],[FECHA FIN ]],Tabla1[[#This Row],[FECHA INICIO]])</f>
        <v>251</v>
      </c>
      <c r="M6058" s="12">
        <v>225</v>
      </c>
      <c r="N6058" s="20"/>
      <c r="O6058" s="24">
        <f ca="1">(Tabla1[[#This Row],[COSTO FIJO ]]/30)*Tabla1[[#This Row],[TOTAL DIAS PROYECTO]]+(Tabla1[[#This Row],[COSTO TEMPORAL]])</f>
        <v>225</v>
      </c>
      <c r="P6058" s="12"/>
      <c r="Q6058" s="12">
        <f ca="1">+(Tabla1[[#This Row],[COSTO COCHE]]/30)*Tabla1[[#This Row],[TOTAL DIAS PROYECTO]]</f>
        <v>0</v>
      </c>
      <c r="R6058" s="12">
        <f ca="1">+Tabla1[[#This Row],[COSTO TOTAL ALOJAMIENTO]]+Tabla1[[#This Row],[COSTO TOTAL COCHE]]</f>
        <v>225</v>
      </c>
      <c r="S6058" s="2"/>
      <c r="T6058" s="14" t="s">
        <v>44</v>
      </c>
      <c r="U6058" s="14">
        <v>46009</v>
      </c>
      <c r="V6058" s="25">
        <v>46262</v>
      </c>
      <c r="W6058" s="12"/>
      <c r="X6058" s="2"/>
      <c r="Y6058" s="11" t="s">
        <v>8147</v>
      </c>
      <c r="Z6058" s="2" t="s">
        <v>702</v>
      </c>
      <c r="AA6058" s="13" t="s">
        <v>10370</v>
      </c>
      <c r="AB6058" s="13" t="s">
        <v>10371</v>
      </c>
    </row>
    <row r="6059" spans="1:28">
      <c r="A6059" s="2" t="s">
        <v>9208</v>
      </c>
      <c r="B6059" s="10" t="s">
        <v>711</v>
      </c>
      <c r="C6059" s="11" t="s">
        <v>2432</v>
      </c>
      <c r="D6059" s="2" t="s">
        <v>99</v>
      </c>
      <c r="E6059" s="2" t="s">
        <v>31</v>
      </c>
      <c r="F6059" s="11" t="s">
        <v>32</v>
      </c>
      <c r="G6059" s="11" t="s">
        <v>33</v>
      </c>
      <c r="H6059" s="2" t="s">
        <v>8148</v>
      </c>
      <c r="I6059" s="2" t="s">
        <v>5085</v>
      </c>
      <c r="J6059" s="22">
        <f>+Tabla1[[#This Row],[FECHA ENTRADA]]</f>
        <v>45923</v>
      </c>
      <c r="K6059" s="22">
        <f t="shared" ca="1" si="17"/>
        <v>46260</v>
      </c>
      <c r="L6059" s="23">
        <f ca="1">_xlfn.DAYS(Tabla1[[#This Row],[FECHA FIN ]],Tabla1[[#This Row],[FECHA INICIO]])</f>
        <v>337</v>
      </c>
      <c r="M6059" s="12"/>
      <c r="N6059" s="12">
        <f>875.5/4</f>
        <v>218.875</v>
      </c>
      <c r="O6059" s="24">
        <f ca="1">(Tabla1[[#This Row],[COSTO FIJO ]]/30)*Tabla1[[#This Row],[TOTAL DIAS PROYECTO]]+(Tabla1[[#This Row],[COSTO TEMPORAL]])</f>
        <v>2458.6958333333332</v>
      </c>
      <c r="P6059" s="12"/>
      <c r="Q6059" s="12">
        <f ca="1">+(Tabla1[[#This Row],[COSTO COCHE]]/30)*Tabla1[[#This Row],[TOTAL DIAS PROYECTO]]</f>
        <v>0</v>
      </c>
      <c r="R6059" s="12">
        <f ca="1">+Tabla1[[#This Row],[COSTO TOTAL ALOJAMIENTO]]+Tabla1[[#This Row],[COSTO TOTAL COCHE]]</f>
        <v>2458.6958333333332</v>
      </c>
      <c r="S6059" s="2"/>
      <c r="T6059" s="14" t="s">
        <v>35</v>
      </c>
      <c r="U6059" s="14">
        <v>45923</v>
      </c>
      <c r="V6059" s="79"/>
      <c r="W6059" s="12"/>
      <c r="X6059" s="2"/>
      <c r="Y6059" s="11" t="s">
        <v>8149</v>
      </c>
      <c r="Z6059" s="2" t="s">
        <v>702</v>
      </c>
      <c r="AA6059" s="13" t="s">
        <v>10323</v>
      </c>
      <c r="AB6059" s="13" t="s">
        <v>10324</v>
      </c>
    </row>
    <row r="6060" spans="1:28">
      <c r="A6060" s="2" t="s">
        <v>9936</v>
      </c>
      <c r="B6060" s="2" t="s">
        <v>711</v>
      </c>
      <c r="C6060" s="11" t="s">
        <v>5561</v>
      </c>
      <c r="D6060" s="2" t="s">
        <v>30</v>
      </c>
      <c r="E6060" s="2" t="s">
        <v>31</v>
      </c>
      <c r="F6060" s="11" t="s">
        <v>32</v>
      </c>
      <c r="G6060" s="11" t="s">
        <v>33</v>
      </c>
      <c r="H6060" s="2" t="s">
        <v>8150</v>
      </c>
      <c r="I6060" s="2" t="s">
        <v>5085</v>
      </c>
      <c r="J6060" s="22">
        <f>+Tabla1[[#This Row],[FECHA ENTRADA]]</f>
        <v>45936</v>
      </c>
      <c r="K6060" s="22">
        <f t="shared" ca="1" si="17"/>
        <v>46260</v>
      </c>
      <c r="L6060" s="23">
        <f ca="1">_xlfn.DAYS(Tabla1[[#This Row],[FECHA FIN ]],Tabla1[[#This Row],[FECHA INICIO]])</f>
        <v>324</v>
      </c>
      <c r="M6060" s="12"/>
      <c r="N6060" s="12">
        <f>875.5/4</f>
        <v>218.875</v>
      </c>
      <c r="O6060" s="24">
        <f ca="1">(Tabla1[[#This Row],[COSTO FIJO ]]/30)*Tabla1[[#This Row],[TOTAL DIAS PROYECTO]]+(Tabla1[[#This Row],[COSTO TEMPORAL]])</f>
        <v>2363.85</v>
      </c>
      <c r="P6060" s="12"/>
      <c r="Q6060" s="12">
        <f ca="1">+(Tabla1[[#This Row],[COSTO COCHE]]/30)*Tabla1[[#This Row],[TOTAL DIAS PROYECTO]]</f>
        <v>0</v>
      </c>
      <c r="R6060" s="12" t="s">
        <v>8151</v>
      </c>
      <c r="S6060" s="2"/>
      <c r="T6060" s="14" t="s">
        <v>35</v>
      </c>
      <c r="U6060" s="14">
        <v>45936</v>
      </c>
      <c r="V6060" s="25"/>
      <c r="W6060" s="12"/>
      <c r="X6060" s="2"/>
      <c r="Y6060" s="11" t="s">
        <v>8152</v>
      </c>
      <c r="Z6060" s="2" t="s">
        <v>702</v>
      </c>
      <c r="AA6060" s="13" t="s">
        <v>10323</v>
      </c>
      <c r="AB6060" s="13" t="s">
        <v>10324</v>
      </c>
    </row>
    <row r="6061" spans="1:28" ht="16.5">
      <c r="A6061" s="2" t="s">
        <v>8642</v>
      </c>
      <c r="B6061" s="2" t="s">
        <v>711</v>
      </c>
      <c r="C6061" s="179" t="s">
        <v>8153</v>
      </c>
      <c r="D6061" s="2" t="s">
        <v>30</v>
      </c>
      <c r="E6061" s="2" t="s">
        <v>213</v>
      </c>
      <c r="F6061" s="11" t="s">
        <v>8095</v>
      </c>
      <c r="G6061" s="46" t="s">
        <v>558</v>
      </c>
      <c r="H6061" s="2" t="s">
        <v>8124</v>
      </c>
      <c r="I6061" s="12" t="s">
        <v>4464</v>
      </c>
      <c r="J6061" s="41">
        <f>+Tabla1[[#This Row],[FECHA ENTRADA]]</f>
        <v>46248</v>
      </c>
      <c r="K6061" s="22">
        <v>46251</v>
      </c>
      <c r="L6061" s="42">
        <f>_xlfn.DAYS(Tabla1[[#This Row],[FECHA FIN ]],Tabla1[[#This Row],[FECHA INICIO]])</f>
        <v>3</v>
      </c>
      <c r="M6061" s="12"/>
      <c r="N6061" s="28">
        <v>500</v>
      </c>
      <c r="O6061" s="28">
        <f>(Tabla1[[#This Row],[COSTO FIJO ]]/30)*Tabla1[[#This Row],[TOTAL DIAS PROYECTO]]+(Tabla1[[#This Row],[COSTO TEMPORAL]])</f>
        <v>50</v>
      </c>
      <c r="P6061" s="12"/>
      <c r="Q6061" s="12">
        <f>+(Tabla1[[#This Row],[COSTO COCHE]]/30)*Tabla1[[#This Row],[TOTAL DIAS PROYECTO]]</f>
        <v>0</v>
      </c>
      <c r="R6061" s="12">
        <f>+Tabla1[[#This Row],[COSTO TOTAL ALOJAMIENTO]]+Tabla1[[#This Row],[COSTO TOTAL COCHE]]</f>
        <v>50</v>
      </c>
      <c r="S6061" s="2"/>
      <c r="T6061" s="14" t="s">
        <v>35</v>
      </c>
      <c r="U6061" s="14">
        <v>46248</v>
      </c>
      <c r="V6061" s="43"/>
      <c r="W6061" s="12"/>
      <c r="X6061" s="2">
        <v>25</v>
      </c>
      <c r="Y6061" s="337" t="s">
        <v>8154</v>
      </c>
      <c r="Z6061" s="2" t="s">
        <v>36</v>
      </c>
      <c r="AA6061" s="13" t="s">
        <v>10349</v>
      </c>
      <c r="AB6061" s="13" t="s">
        <v>10350</v>
      </c>
    </row>
    <row r="6062" spans="1:28">
      <c r="A6062" s="2" t="s">
        <v>10102</v>
      </c>
      <c r="B6062" s="2" t="s">
        <v>978</v>
      </c>
      <c r="C6062" s="11" t="s">
        <v>6397</v>
      </c>
      <c r="D6062" s="2" t="s">
        <v>99</v>
      </c>
      <c r="E6062" s="2" t="s">
        <v>380</v>
      </c>
      <c r="F6062" s="11" t="s">
        <v>5110</v>
      </c>
      <c r="G6062" s="11" t="s">
        <v>5111</v>
      </c>
      <c r="H6062" s="2" t="s">
        <v>6396</v>
      </c>
      <c r="I6062" s="12" t="s">
        <v>4276</v>
      </c>
      <c r="J6062" s="22">
        <f>+Tabla1[[#This Row],[FECHA ENTRADA]]</f>
        <v>46246</v>
      </c>
      <c r="K6062" s="22">
        <f t="shared" ref="K6062:K6084" ca="1" si="18">TODAY()</f>
        <v>46260</v>
      </c>
      <c r="L6062" s="23">
        <f ca="1">_xlfn.DAYS(Tabla1[[#This Row],[FECHA FIN ]],Tabla1[[#This Row],[FECHA INICIO]])</f>
        <v>14</v>
      </c>
      <c r="M6062" s="12">
        <v>225</v>
      </c>
      <c r="N6062" s="24"/>
      <c r="O6062" s="24">
        <f ca="1">(Tabla1[[#This Row],[COSTO FIJO ]]/30)*Tabla1[[#This Row],[TOTAL DIAS PROYECTO]]+(Tabla1[[#This Row],[COSTO TEMPORAL]])</f>
        <v>225</v>
      </c>
      <c r="P6062" s="12"/>
      <c r="Q6062" s="12">
        <f ca="1">+(Tabla1[[#This Row],[COSTO COCHE]]/30)*Tabla1[[#This Row],[TOTAL DIAS PROYECTO]]</f>
        <v>0</v>
      </c>
      <c r="R6062" s="12">
        <f ca="1">+Tabla1[[#This Row],[COSTO TOTAL ALOJAMIENTO]]+Tabla1[[#This Row],[COSTO TOTAL COCHE]]</f>
        <v>225</v>
      </c>
      <c r="S6062" s="2"/>
      <c r="T6062" s="14" t="s">
        <v>44</v>
      </c>
      <c r="U6062" s="14">
        <v>46246</v>
      </c>
      <c r="V6062" s="25">
        <v>46262</v>
      </c>
      <c r="W6062" s="12"/>
      <c r="X6062" s="2"/>
      <c r="Y6062" s="11" t="s">
        <v>8155</v>
      </c>
      <c r="Z6062" s="2" t="s">
        <v>702</v>
      </c>
      <c r="AA6062" s="13" t="s">
        <v>10370</v>
      </c>
      <c r="AB6062" s="13" t="s">
        <v>10371</v>
      </c>
    </row>
    <row r="6063" spans="1:28">
      <c r="A6063" s="2" t="s">
        <v>10203</v>
      </c>
      <c r="B6063" s="2" t="s">
        <v>606</v>
      </c>
      <c r="C6063" s="11" t="s">
        <v>7137</v>
      </c>
      <c r="D6063" s="2" t="s">
        <v>30</v>
      </c>
      <c r="E6063" s="2" t="s">
        <v>31</v>
      </c>
      <c r="F6063" s="11" t="s">
        <v>32</v>
      </c>
      <c r="G6063" s="11" t="s">
        <v>33</v>
      </c>
      <c r="H6063" s="2" t="s">
        <v>6968</v>
      </c>
      <c r="I6063" s="12" t="s">
        <v>6969</v>
      </c>
      <c r="J6063" s="22">
        <f>+Tabla1[[#This Row],[FECHA ENTRADA]]</f>
        <v>46190</v>
      </c>
      <c r="K6063" s="22">
        <f t="shared" ca="1" si="18"/>
        <v>46260</v>
      </c>
      <c r="L6063" s="23">
        <f ca="1">_xlfn.DAYS(Tabla1[[#This Row],[FECHA FIN ]],Tabla1[[#This Row],[FECHA INICIO]])</f>
        <v>70</v>
      </c>
      <c r="M6063" s="12"/>
      <c r="N6063" s="12">
        <f>875.5/4</f>
        <v>218.875</v>
      </c>
      <c r="O6063" s="24">
        <f ca="1">(Tabla1[[#This Row],[COSTO FIJO ]]/30)*Tabla1[[#This Row],[TOTAL DIAS PROYECTO]]+(Tabla1[[#This Row],[COSTO TEMPORAL]])</f>
        <v>510.70833333333331</v>
      </c>
      <c r="P6063" s="12"/>
      <c r="Q6063" s="12">
        <f ca="1">+(Tabla1[[#This Row],[COSTO COCHE]]/30)*Tabla1[[#This Row],[TOTAL DIAS PROYECTO]]</f>
        <v>0</v>
      </c>
      <c r="R6063" s="12">
        <f ca="1">+Tabla1[[#This Row],[COSTO TOTAL ALOJAMIENTO]]+Tabla1[[#This Row],[COSTO TOTAL COCHE]]</f>
        <v>510.70833333333331</v>
      </c>
      <c r="S6063" s="2"/>
      <c r="T6063" s="14" t="s">
        <v>35</v>
      </c>
      <c r="U6063" s="14">
        <v>46190</v>
      </c>
      <c r="V6063" s="79"/>
      <c r="W6063" s="12"/>
      <c r="X6063" s="2"/>
      <c r="Y6063" s="11"/>
      <c r="Z6063" s="2" t="s">
        <v>702</v>
      </c>
      <c r="AA6063" s="13" t="s">
        <v>10323</v>
      </c>
      <c r="AB6063" s="13" t="s">
        <v>10324</v>
      </c>
    </row>
    <row r="6064" spans="1:28">
      <c r="A6064" s="2" t="s">
        <v>10204</v>
      </c>
      <c r="B6064" s="2" t="s">
        <v>606</v>
      </c>
      <c r="C6064" s="11" t="s">
        <v>7138</v>
      </c>
      <c r="D6064" s="2" t="s">
        <v>30</v>
      </c>
      <c r="E6064" s="2" t="s">
        <v>31</v>
      </c>
      <c r="F6064" s="11" t="s">
        <v>32</v>
      </c>
      <c r="G6064" s="11" t="s">
        <v>33</v>
      </c>
      <c r="H6064" s="2" t="s">
        <v>6968</v>
      </c>
      <c r="I6064" s="12" t="s">
        <v>6969</v>
      </c>
      <c r="J6064" s="22">
        <f>+Tabla1[[#This Row],[FECHA ENTRADA]]</f>
        <v>46190</v>
      </c>
      <c r="K6064" s="22">
        <f t="shared" ca="1" si="18"/>
        <v>46260</v>
      </c>
      <c r="L6064" s="23">
        <f ca="1">_xlfn.DAYS(Tabla1[[#This Row],[FECHA FIN ]],Tabla1[[#This Row],[FECHA INICIO]])</f>
        <v>70</v>
      </c>
      <c r="M6064" s="12"/>
      <c r="N6064" s="12">
        <f>875.5/4</f>
        <v>218.875</v>
      </c>
      <c r="O6064" s="24">
        <f ca="1">(Tabla1[[#This Row],[COSTO FIJO ]]/30)*Tabla1[[#This Row],[TOTAL DIAS PROYECTO]]+(Tabla1[[#This Row],[COSTO TEMPORAL]])</f>
        <v>510.70833333333331</v>
      </c>
      <c r="P6064" s="12"/>
      <c r="Q6064" s="12">
        <f ca="1">+(Tabla1[[#This Row],[COSTO COCHE]]/30)*Tabla1[[#This Row],[TOTAL DIAS PROYECTO]]</f>
        <v>0</v>
      </c>
      <c r="R6064" s="12">
        <f ca="1">+Tabla1[[#This Row],[COSTO TOTAL ALOJAMIENTO]]+Tabla1[[#This Row],[COSTO TOTAL COCHE]]</f>
        <v>510.70833333333331</v>
      </c>
      <c r="S6064" s="2"/>
      <c r="T6064" s="14" t="s">
        <v>35</v>
      </c>
      <c r="U6064" s="14">
        <v>46190</v>
      </c>
      <c r="V6064" s="79"/>
      <c r="W6064" s="12"/>
      <c r="X6064" s="2"/>
      <c r="Y6064" s="11"/>
      <c r="Z6064" s="2" t="s">
        <v>702</v>
      </c>
      <c r="AA6064" s="13" t="s">
        <v>10323</v>
      </c>
      <c r="AB6064" s="13" t="s">
        <v>10324</v>
      </c>
    </row>
    <row r="6065" spans="1:34">
      <c r="A6065" s="2" t="s">
        <v>8642</v>
      </c>
      <c r="B6065" s="2" t="s">
        <v>711</v>
      </c>
      <c r="C6065" s="11" t="s">
        <v>8156</v>
      </c>
      <c r="D6065" s="2" t="s">
        <v>30</v>
      </c>
      <c r="E6065" s="2" t="s">
        <v>1719</v>
      </c>
      <c r="F6065" s="11" t="s">
        <v>8157</v>
      </c>
      <c r="G6065" s="46" t="s">
        <v>8158</v>
      </c>
      <c r="H6065" s="2" t="s">
        <v>8159</v>
      </c>
      <c r="I6065" s="12" t="s">
        <v>8102</v>
      </c>
      <c r="J6065" s="41">
        <f>+Tabla1[[#This Row],[FECHA ENTRADA]]</f>
        <v>46255</v>
      </c>
      <c r="K6065" s="22">
        <f t="shared" ca="1" si="18"/>
        <v>46260</v>
      </c>
      <c r="L6065" s="42">
        <f ca="1">_xlfn.DAYS(Tabla1[[#This Row],[FECHA FIN ]],Tabla1[[#This Row],[FECHA INICIO]])</f>
        <v>5</v>
      </c>
      <c r="M6065" s="12">
        <f>644.28/4</f>
        <v>161.07</v>
      </c>
      <c r="N6065" s="28"/>
      <c r="O6065" s="28">
        <f ca="1">(Tabla1[[#This Row],[COSTO FIJO ]]/30)*Tabla1[[#This Row],[TOTAL DIAS PROYECTO]]+(Tabla1[[#This Row],[COSTO TEMPORAL]])</f>
        <v>161.07</v>
      </c>
      <c r="P6065" s="12"/>
      <c r="Q6065" s="12">
        <f ca="1">+(Tabla1[[#This Row],[COSTO COCHE]]/30)*Tabla1[[#This Row],[TOTAL DIAS PROYECTO]]</f>
        <v>0</v>
      </c>
      <c r="R6065" s="12">
        <f ca="1">+Tabla1[[#This Row],[COSTO TOTAL ALOJAMIENTO]]+Tabla1[[#This Row],[COSTO TOTAL COCHE]]</f>
        <v>161.07</v>
      </c>
      <c r="S6065" s="2" t="s">
        <v>403</v>
      </c>
      <c r="T6065" s="14" t="s">
        <v>44</v>
      </c>
      <c r="U6065" s="14">
        <v>46255</v>
      </c>
      <c r="V6065" s="43">
        <v>46263</v>
      </c>
      <c r="W6065" s="12"/>
      <c r="X6065" s="2"/>
      <c r="Y6065" s="11"/>
      <c r="Z6065" s="2" t="s">
        <v>702</v>
      </c>
      <c r="AA6065" s="13" t="s">
        <v>10427</v>
      </c>
      <c r="AB6065" s="13">
        <v>4260003</v>
      </c>
    </row>
    <row r="6066" spans="1:34">
      <c r="A6066" s="2" t="s">
        <v>8642</v>
      </c>
      <c r="B6066" s="2" t="s">
        <v>711</v>
      </c>
      <c r="C6066" s="11" t="s">
        <v>8160</v>
      </c>
      <c r="D6066" s="2" t="s">
        <v>30</v>
      </c>
      <c r="E6066" s="2" t="s">
        <v>1719</v>
      </c>
      <c r="F6066" s="11" t="s">
        <v>8157</v>
      </c>
      <c r="G6066" s="46" t="s">
        <v>8158</v>
      </c>
      <c r="H6066" s="2" t="s">
        <v>8159</v>
      </c>
      <c r="I6066" s="12" t="s">
        <v>8102</v>
      </c>
      <c r="J6066" s="41">
        <f>+Tabla1[[#This Row],[FECHA ENTRADA]]</f>
        <v>46255</v>
      </c>
      <c r="K6066" s="22">
        <f t="shared" ca="1" si="18"/>
        <v>46260</v>
      </c>
      <c r="L6066" s="42">
        <f ca="1">_xlfn.DAYS(Tabla1[[#This Row],[FECHA FIN ]],Tabla1[[#This Row],[FECHA INICIO]])</f>
        <v>5</v>
      </c>
      <c r="M6066" s="12">
        <f>644.28/4</f>
        <v>161.07</v>
      </c>
      <c r="N6066" s="28"/>
      <c r="O6066" s="28">
        <f ca="1">(Tabla1[[#This Row],[COSTO FIJO ]]/30)*Tabla1[[#This Row],[TOTAL DIAS PROYECTO]]+(Tabla1[[#This Row],[COSTO TEMPORAL]])</f>
        <v>161.07</v>
      </c>
      <c r="P6066" s="12"/>
      <c r="Q6066" s="12">
        <f ca="1">+(Tabla1[[#This Row],[COSTO COCHE]]/30)*Tabla1[[#This Row],[TOTAL DIAS PROYECTO]]</f>
        <v>0</v>
      </c>
      <c r="R6066" s="12">
        <f ca="1">+Tabla1[[#This Row],[COSTO TOTAL ALOJAMIENTO]]+Tabla1[[#This Row],[COSTO TOTAL COCHE]]</f>
        <v>161.07</v>
      </c>
      <c r="S6066" s="2" t="s">
        <v>403</v>
      </c>
      <c r="T6066" s="14" t="s">
        <v>44</v>
      </c>
      <c r="U6066" s="14">
        <v>46255</v>
      </c>
      <c r="V6066" s="43">
        <v>46263</v>
      </c>
      <c r="W6066" s="12"/>
      <c r="X6066" s="2"/>
      <c r="Y6066" s="11"/>
      <c r="Z6066" s="2" t="s">
        <v>702</v>
      </c>
      <c r="AA6066" s="13" t="s">
        <v>10427</v>
      </c>
      <c r="AB6066" s="13">
        <v>4260003</v>
      </c>
    </row>
    <row r="6067" spans="1:34">
      <c r="A6067" s="2" t="s">
        <v>10056</v>
      </c>
      <c r="B6067" s="2" t="s">
        <v>711</v>
      </c>
      <c r="C6067" s="11" t="s">
        <v>6116</v>
      </c>
      <c r="D6067" s="2" t="s">
        <v>30</v>
      </c>
      <c r="E6067" s="2" t="s">
        <v>1719</v>
      </c>
      <c r="F6067" s="11" t="s">
        <v>8157</v>
      </c>
      <c r="G6067" s="46" t="s">
        <v>8158</v>
      </c>
      <c r="H6067" s="157" t="s">
        <v>8159</v>
      </c>
      <c r="I6067" s="158" t="s">
        <v>8102</v>
      </c>
      <c r="J6067" s="41">
        <f>+Tabla1[[#This Row],[FECHA ENTRADA]]</f>
        <v>46255</v>
      </c>
      <c r="K6067" s="22">
        <f t="shared" ca="1" si="18"/>
        <v>46260</v>
      </c>
      <c r="L6067" s="42">
        <f ca="1">_xlfn.DAYS(Tabla1[[#This Row],[FECHA FIN ]],Tabla1[[#This Row],[FECHA INICIO]])</f>
        <v>5</v>
      </c>
      <c r="M6067" s="12">
        <f>644.28/4</f>
        <v>161.07</v>
      </c>
      <c r="N6067" s="28"/>
      <c r="O6067" s="28">
        <f ca="1">(Tabla1[[#This Row],[COSTO FIJO ]]/30)*Tabla1[[#This Row],[TOTAL DIAS PROYECTO]]+(Tabla1[[#This Row],[COSTO TEMPORAL]])</f>
        <v>161.07</v>
      </c>
      <c r="P6067" s="12"/>
      <c r="Q6067" s="12">
        <f ca="1">+(Tabla1[[#This Row],[COSTO COCHE]]/30)*Tabla1[[#This Row],[TOTAL DIAS PROYECTO]]</f>
        <v>0</v>
      </c>
      <c r="R6067" s="12">
        <f ca="1">+Tabla1[[#This Row],[COSTO TOTAL ALOJAMIENTO]]+Tabla1[[#This Row],[COSTO TOTAL COCHE]]</f>
        <v>161.07</v>
      </c>
      <c r="S6067" s="2" t="s">
        <v>403</v>
      </c>
      <c r="T6067" s="14" t="s">
        <v>44</v>
      </c>
      <c r="U6067" s="14">
        <v>46255</v>
      </c>
      <c r="V6067" s="43">
        <v>46263</v>
      </c>
      <c r="W6067" s="12"/>
      <c r="X6067" s="2"/>
      <c r="Y6067" s="11"/>
      <c r="Z6067" s="2" t="s">
        <v>702</v>
      </c>
      <c r="AA6067" s="13" t="s">
        <v>10427</v>
      </c>
      <c r="AB6067" s="13">
        <v>4260003</v>
      </c>
    </row>
    <row r="6068" spans="1:34">
      <c r="A6068" s="2" t="s">
        <v>9437</v>
      </c>
      <c r="B6068" s="2" t="s">
        <v>711</v>
      </c>
      <c r="C6068" s="11" t="s">
        <v>3176</v>
      </c>
      <c r="D6068" s="2" t="s">
        <v>99</v>
      </c>
      <c r="E6068" s="2" t="s">
        <v>31</v>
      </c>
      <c r="F6068" s="11" t="s">
        <v>715</v>
      </c>
      <c r="G6068" s="11" t="s">
        <v>8044</v>
      </c>
      <c r="H6068" s="2" t="s">
        <v>6531</v>
      </c>
      <c r="I6068" s="12" t="s">
        <v>5085</v>
      </c>
      <c r="J6068" s="22">
        <f>+Tabla1[[#This Row],[FECHA ENTRADA]]</f>
        <v>46196</v>
      </c>
      <c r="K6068" s="22">
        <f t="shared" ca="1" si="18"/>
        <v>46260</v>
      </c>
      <c r="L6068" s="23">
        <f ca="1">_xlfn.DAYS(Tabla1[[#This Row],[FECHA FIN ]],Tabla1[[#This Row],[FECHA INICIO]])</f>
        <v>64</v>
      </c>
      <c r="M6068" s="12"/>
      <c r="N6068" s="12">
        <f>1643.2/7</f>
        <v>234.74285714285716</v>
      </c>
      <c r="O6068" s="24">
        <f ca="1">(Tabla1[[#This Row],[COSTO FIJO ]]/30)*Tabla1[[#This Row],[TOTAL DIAS PROYECTO]]+(Tabla1[[#This Row],[COSTO TEMPORAL]])</f>
        <v>500.78476190476192</v>
      </c>
      <c r="P6068" s="12"/>
      <c r="Q6068" s="12">
        <f ca="1">+(Tabla1[[#This Row],[COSTO COCHE]]/30)*Tabla1[[#This Row],[TOTAL DIAS PROYECTO]]</f>
        <v>0</v>
      </c>
      <c r="R6068" s="12">
        <f ca="1">+Tabla1[[#This Row],[COSTO TOTAL ALOJAMIENTO]]+Tabla1[[#This Row],[COSTO TOTAL COCHE]]</f>
        <v>500.78476190476192</v>
      </c>
      <c r="S6068" s="2"/>
      <c r="T6068" s="14" t="s">
        <v>35</v>
      </c>
      <c r="U6068" s="14">
        <v>46196</v>
      </c>
      <c r="V6068" s="79"/>
      <c r="W6068" s="12"/>
      <c r="X6068" s="2"/>
      <c r="Y6068" s="212" t="s">
        <v>8143</v>
      </c>
      <c r="Z6068" s="2" t="s">
        <v>702</v>
      </c>
      <c r="AA6068" s="13" t="s">
        <v>10323</v>
      </c>
      <c r="AB6068" s="13" t="s">
        <v>10324</v>
      </c>
    </row>
    <row r="6069" spans="1:34">
      <c r="A6069" s="2" t="s">
        <v>8642</v>
      </c>
      <c r="B6069" s="2" t="s">
        <v>711</v>
      </c>
      <c r="C6069" s="30" t="s">
        <v>8161</v>
      </c>
      <c r="D6069" s="2" t="s">
        <v>30</v>
      </c>
      <c r="E6069" s="2" t="s">
        <v>1719</v>
      </c>
      <c r="F6069" s="11" t="s">
        <v>8157</v>
      </c>
      <c r="G6069" s="46" t="s">
        <v>8158</v>
      </c>
      <c r="H6069" s="2" t="s">
        <v>8159</v>
      </c>
      <c r="I6069" s="12" t="s">
        <v>8102</v>
      </c>
      <c r="J6069" s="41">
        <f>+Tabla1[[#This Row],[FECHA ENTRADA]]</f>
        <v>46255</v>
      </c>
      <c r="K6069" s="22">
        <f t="shared" ca="1" si="18"/>
        <v>46260</v>
      </c>
      <c r="L6069" s="42">
        <f ca="1">_xlfn.DAYS(Tabla1[[#This Row],[FECHA FIN ]],Tabla1[[#This Row],[FECHA INICIO]])</f>
        <v>5</v>
      </c>
      <c r="M6069" s="12">
        <f>644.28/4</f>
        <v>161.07</v>
      </c>
      <c r="N6069" s="28"/>
      <c r="O6069" s="28">
        <f ca="1">(Tabla1[[#This Row],[COSTO FIJO ]]/30)*Tabla1[[#This Row],[TOTAL DIAS PROYECTO]]+(Tabla1[[#This Row],[COSTO TEMPORAL]])</f>
        <v>161.07</v>
      </c>
      <c r="P6069" s="12"/>
      <c r="Q6069" s="12">
        <f ca="1">+(Tabla1[[#This Row],[COSTO COCHE]]/30)*Tabla1[[#This Row],[TOTAL DIAS PROYECTO]]</f>
        <v>0</v>
      </c>
      <c r="R6069" s="12">
        <f ca="1">+Tabla1[[#This Row],[COSTO TOTAL ALOJAMIENTO]]+Tabla1[[#This Row],[COSTO TOTAL COCHE]]</f>
        <v>161.07</v>
      </c>
      <c r="S6069" s="2" t="s">
        <v>403</v>
      </c>
      <c r="T6069" s="14" t="s">
        <v>44</v>
      </c>
      <c r="U6069" s="14">
        <v>46255</v>
      </c>
      <c r="V6069" s="43">
        <v>46263</v>
      </c>
      <c r="W6069" s="12"/>
      <c r="X6069" s="2"/>
      <c r="Y6069" s="11"/>
      <c r="Z6069" s="2" t="s">
        <v>702</v>
      </c>
      <c r="AA6069" s="13" t="s">
        <v>10427</v>
      </c>
      <c r="AB6069" s="13">
        <v>4260003</v>
      </c>
    </row>
    <row r="6070" spans="1:34">
      <c r="A6070" s="2" t="s">
        <v>10094</v>
      </c>
      <c r="B6070" s="2" t="s">
        <v>606</v>
      </c>
      <c r="C6070" s="11" t="s">
        <v>6330</v>
      </c>
      <c r="D6070" s="2" t="s">
        <v>30</v>
      </c>
      <c r="E6070" s="2" t="s">
        <v>855</v>
      </c>
      <c r="F6070" s="11"/>
      <c r="G6070" s="46"/>
      <c r="H6070" s="2" t="s">
        <v>6686</v>
      </c>
      <c r="I6070" s="12" t="s">
        <v>3274</v>
      </c>
      <c r="J6070" s="41">
        <f>+Tabla1[[#This Row],[FECHA ENTRADA]]</f>
        <v>46256</v>
      </c>
      <c r="K6070" s="41">
        <f t="shared" ca="1" si="18"/>
        <v>46260</v>
      </c>
      <c r="L6070" s="42">
        <f ca="1">_xlfn.DAYS(Tabla1[[#This Row],[FECHA FIN ]],Tabla1[[#This Row],[FECHA INICIO]])</f>
        <v>4</v>
      </c>
      <c r="M6070" s="12"/>
      <c r="N6070" s="28">
        <v>300</v>
      </c>
      <c r="O6070" s="28">
        <f ca="1">(Tabla1[[#This Row],[COSTO FIJO ]]/30)*Tabla1[[#This Row],[TOTAL DIAS PROYECTO]]+(Tabla1[[#This Row],[COSTO TEMPORAL]])</f>
        <v>40</v>
      </c>
      <c r="P6070" s="12"/>
      <c r="Q6070" s="12">
        <f ca="1">+(Tabla1[[#This Row],[COSTO COCHE]]/30)*Tabla1[[#This Row],[TOTAL DIAS PROYECTO]]</f>
        <v>0</v>
      </c>
      <c r="R6070" s="12">
        <f ca="1">+Tabla1[[#This Row],[COSTO TOTAL ALOJAMIENTO]]+Tabla1[[#This Row],[COSTO TOTAL COCHE]]</f>
        <v>40</v>
      </c>
      <c r="S6070" s="2"/>
      <c r="T6070" s="14" t="s">
        <v>58</v>
      </c>
      <c r="U6070" s="14">
        <v>46256</v>
      </c>
      <c r="V6070" s="43"/>
      <c r="W6070" s="12"/>
      <c r="X6070" s="2"/>
      <c r="Y6070" s="11"/>
      <c r="Z6070" s="2" t="s">
        <v>702</v>
      </c>
      <c r="AA6070" s="13" t="s">
        <v>10401</v>
      </c>
      <c r="AB6070" s="13" t="s">
        <v>10402</v>
      </c>
    </row>
    <row r="6071" spans="1:34">
      <c r="A6071" s="2" t="s">
        <v>8642</v>
      </c>
      <c r="B6071" s="2" t="s">
        <v>606</v>
      </c>
      <c r="C6071" s="11" t="s">
        <v>7893</v>
      </c>
      <c r="D6071" s="2" t="s">
        <v>30</v>
      </c>
      <c r="E6071" s="2" t="s">
        <v>1987</v>
      </c>
      <c r="F6071" s="11" t="s">
        <v>8162</v>
      </c>
      <c r="G6071" s="21" t="s">
        <v>8163</v>
      </c>
      <c r="H6071" s="2" t="s">
        <v>8164</v>
      </c>
      <c r="I6071" s="12" t="s">
        <v>5443</v>
      </c>
      <c r="J6071" s="22">
        <f>+Tabla1[[#This Row],[FECHA ENTRADA]]</f>
        <v>46208</v>
      </c>
      <c r="K6071" s="22">
        <f t="shared" ca="1" si="18"/>
        <v>46260</v>
      </c>
      <c r="L6071" s="23">
        <f ca="1">_xlfn.DAYS(Tabla1[[#This Row],[FECHA FIN ]],Tabla1[[#This Row],[FECHA INICIO]])</f>
        <v>52</v>
      </c>
      <c r="M6071" s="12"/>
      <c r="N6071" s="20">
        <v>497.78</v>
      </c>
      <c r="O6071" s="24">
        <f ca="1">(Tabla1[[#This Row],[COSTO FIJO ]]/30)*Tabla1[[#This Row],[TOTAL DIAS PROYECTO]]+(Tabla1[[#This Row],[COSTO TEMPORAL]])</f>
        <v>862.81866666666667</v>
      </c>
      <c r="P6071" s="12"/>
      <c r="Q6071" s="12">
        <f ca="1">+(Tabla1[[#This Row],[COSTO COCHE]]/30)*Tabla1[[#This Row],[TOTAL DIAS PROYECTO]]</f>
        <v>0</v>
      </c>
      <c r="R6071" s="12">
        <f ca="1">+Tabla1[[#This Row],[COSTO TOTAL ALOJAMIENTO]]+Tabla1[[#This Row],[COSTO TOTAL COCHE]]</f>
        <v>862.81866666666667</v>
      </c>
      <c r="S6071" s="2" t="s">
        <v>84</v>
      </c>
      <c r="T6071" s="14" t="s">
        <v>44</v>
      </c>
      <c r="U6071" s="14">
        <v>46208</v>
      </c>
      <c r="V6071" s="25">
        <v>46267</v>
      </c>
      <c r="W6071" s="12"/>
      <c r="X6071" s="2"/>
      <c r="Y6071" t="s">
        <v>8165</v>
      </c>
      <c r="Z6071" s="2" t="s">
        <v>702</v>
      </c>
      <c r="AA6071" s="13" t="s">
        <v>10435</v>
      </c>
      <c r="AB6071" s="13">
        <v>42.136150000000001</v>
      </c>
    </row>
    <row r="6072" spans="1:34">
      <c r="A6072" s="2" t="s">
        <v>8642</v>
      </c>
      <c r="B6072" s="2" t="s">
        <v>606</v>
      </c>
      <c r="C6072" s="11" t="s">
        <v>8166</v>
      </c>
      <c r="D6072" s="2" t="s">
        <v>30</v>
      </c>
      <c r="E6072" s="2" t="s">
        <v>1987</v>
      </c>
      <c r="F6072" s="11" t="s">
        <v>8162</v>
      </c>
      <c r="G6072" s="21" t="s">
        <v>8163</v>
      </c>
      <c r="H6072" s="2" t="s">
        <v>8164</v>
      </c>
      <c r="I6072" s="12" t="s">
        <v>5443</v>
      </c>
      <c r="J6072" s="22">
        <f>+Tabla1[[#This Row],[FECHA ENTRADA]]</f>
        <v>46208</v>
      </c>
      <c r="K6072" s="22">
        <f t="shared" ca="1" si="18"/>
        <v>46260</v>
      </c>
      <c r="L6072" s="23">
        <f ca="1">_xlfn.DAYS(Tabla1[[#This Row],[FECHA FIN ]],Tabla1[[#This Row],[FECHA INICIO]])</f>
        <v>52</v>
      </c>
      <c r="M6072" s="12"/>
      <c r="N6072" s="20">
        <v>497.78</v>
      </c>
      <c r="O6072" s="24">
        <f ca="1">(Tabla1[[#This Row],[COSTO FIJO ]]/30)*Tabla1[[#This Row],[TOTAL DIAS PROYECTO]]+(Tabla1[[#This Row],[COSTO TEMPORAL]])</f>
        <v>862.81866666666667</v>
      </c>
      <c r="P6072" s="12"/>
      <c r="Q6072" s="12">
        <f ca="1">+(Tabla1[[#This Row],[COSTO COCHE]]/30)*Tabla1[[#This Row],[TOTAL DIAS PROYECTO]]</f>
        <v>0</v>
      </c>
      <c r="R6072" s="12">
        <f ca="1">+Tabla1[[#This Row],[COSTO TOTAL ALOJAMIENTO]]+Tabla1[[#This Row],[COSTO TOTAL COCHE]]</f>
        <v>862.81866666666667</v>
      </c>
      <c r="S6072" s="2" t="s">
        <v>84</v>
      </c>
      <c r="T6072" s="14" t="s">
        <v>44</v>
      </c>
      <c r="U6072" s="14">
        <v>46208</v>
      </c>
      <c r="V6072" s="25">
        <v>46267</v>
      </c>
      <c r="W6072" s="12"/>
      <c r="X6072" s="2"/>
      <c r="Y6072" t="s">
        <v>8165</v>
      </c>
      <c r="Z6072" s="2" t="s">
        <v>702</v>
      </c>
      <c r="AA6072" s="13" t="s">
        <v>10435</v>
      </c>
      <c r="AB6072" s="13">
        <v>42.136150000000001</v>
      </c>
    </row>
    <row r="6073" spans="1:34">
      <c r="A6073" s="2" t="s">
        <v>9120</v>
      </c>
      <c r="B6073" s="11" t="s">
        <v>3133</v>
      </c>
      <c r="C6073" s="11" t="s">
        <v>2082</v>
      </c>
      <c r="D6073" s="2" t="s">
        <v>30</v>
      </c>
      <c r="E6073" s="2" t="s">
        <v>826</v>
      </c>
      <c r="F6073" s="11" t="s">
        <v>7365</v>
      </c>
      <c r="G6073" s="21" t="s">
        <v>6844</v>
      </c>
      <c r="H6073" s="2" t="s">
        <v>6845</v>
      </c>
      <c r="I6073" s="12" t="s">
        <v>1994</v>
      </c>
      <c r="J6073" s="22">
        <f>+Tabla1[[#This Row],[FECHA ENTRADA]]</f>
        <v>46061</v>
      </c>
      <c r="K6073" s="41">
        <f t="shared" ca="1" si="18"/>
        <v>46260</v>
      </c>
      <c r="L6073" s="23">
        <f ca="1">_xlfn.DAYS(Tabla1[[#This Row],[FECHA FIN ]],Tabla1[[#This Row],[FECHA INICIO]])</f>
        <v>199</v>
      </c>
      <c r="M6073" s="12"/>
      <c r="N6073" s="20">
        <v>350</v>
      </c>
      <c r="O6073" s="24">
        <f ca="1">(Tabla1[[#This Row],[COSTO FIJO ]]/30)*Tabla1[[#This Row],[TOTAL DIAS PROYECTO]]+(Tabla1[[#This Row],[COSTO TEMPORAL]])</f>
        <v>2321.6666666666665</v>
      </c>
      <c r="P6073" s="12"/>
      <c r="Q6073" s="12">
        <f ca="1">+(Tabla1[[#This Row],[COSTO COCHE]]/30)*Tabla1[[#This Row],[TOTAL DIAS PROYECTO]]</f>
        <v>0</v>
      </c>
      <c r="R6073" s="12">
        <f ca="1">+Tabla1[[#This Row],[COSTO TOTAL ALOJAMIENTO]]+Tabla1[[#This Row],[COSTO TOTAL COCHE]]</f>
        <v>2321.6666666666665</v>
      </c>
      <c r="S6073" s="2"/>
      <c r="T6073" s="14" t="s">
        <v>44</v>
      </c>
      <c r="U6073" s="14">
        <v>46061</v>
      </c>
      <c r="V6073" s="25">
        <v>46268</v>
      </c>
      <c r="W6073" s="12"/>
      <c r="X6073" s="2"/>
      <c r="Y6073" s="11" t="s">
        <v>8167</v>
      </c>
      <c r="Z6073" s="2" t="s">
        <v>702</v>
      </c>
      <c r="AA6073" s="13" t="s">
        <v>10399</v>
      </c>
      <c r="AB6073" s="13" t="s">
        <v>10400</v>
      </c>
    </row>
    <row r="6074" spans="1:34">
      <c r="A6074" s="2" t="s">
        <v>10322</v>
      </c>
      <c r="B6074" s="11" t="s">
        <v>3133</v>
      </c>
      <c r="C6074" s="11" t="s">
        <v>8168</v>
      </c>
      <c r="D6074" s="2" t="s">
        <v>30</v>
      </c>
      <c r="E6074" s="2" t="s">
        <v>826</v>
      </c>
      <c r="F6074" s="11" t="s">
        <v>7365</v>
      </c>
      <c r="G6074" s="21" t="s">
        <v>6844</v>
      </c>
      <c r="H6074" s="2" t="s">
        <v>6845</v>
      </c>
      <c r="I6074" s="12" t="s">
        <v>1994</v>
      </c>
      <c r="J6074" s="22">
        <f>+Tabla1[[#This Row],[FECHA ENTRADA]]</f>
        <v>46061</v>
      </c>
      <c r="K6074" s="41">
        <f t="shared" ca="1" si="18"/>
        <v>46260</v>
      </c>
      <c r="L6074" s="23">
        <f ca="1">_xlfn.DAYS(Tabla1[[#This Row],[FECHA FIN ]],Tabla1[[#This Row],[FECHA INICIO]])</f>
        <v>199</v>
      </c>
      <c r="M6074" s="12"/>
      <c r="N6074" s="20">
        <v>350</v>
      </c>
      <c r="O6074" s="24">
        <f ca="1">(Tabla1[[#This Row],[COSTO FIJO ]]/30)*Tabla1[[#This Row],[TOTAL DIAS PROYECTO]]+(Tabla1[[#This Row],[COSTO TEMPORAL]])</f>
        <v>2321.6666666666665</v>
      </c>
      <c r="P6074" s="12"/>
      <c r="Q6074" s="12">
        <f ca="1">+(Tabla1[[#This Row],[COSTO COCHE]]/30)*Tabla1[[#This Row],[TOTAL DIAS PROYECTO]]</f>
        <v>0</v>
      </c>
      <c r="R6074" s="12">
        <f ca="1">+Tabla1[[#This Row],[COSTO TOTAL ALOJAMIENTO]]+Tabla1[[#This Row],[COSTO TOTAL COCHE]]</f>
        <v>2321.6666666666665</v>
      </c>
      <c r="S6074" s="2"/>
      <c r="T6074" s="14" t="s">
        <v>44</v>
      </c>
      <c r="U6074" s="14">
        <v>46061</v>
      </c>
      <c r="V6074" s="25">
        <v>46268</v>
      </c>
      <c r="W6074" s="12"/>
      <c r="X6074" s="2"/>
      <c r="Y6074" s="11" t="s">
        <v>8169</v>
      </c>
      <c r="Z6074" s="2" t="s">
        <v>702</v>
      </c>
      <c r="AA6074" s="13" t="s">
        <v>10399</v>
      </c>
      <c r="AB6074" s="13" t="s">
        <v>10400</v>
      </c>
    </row>
    <row r="6075" spans="1:34">
      <c r="A6075" s="2" t="s">
        <v>8761</v>
      </c>
      <c r="B6075" s="2" t="s">
        <v>978</v>
      </c>
      <c r="C6075" s="11" t="s">
        <v>633</v>
      </c>
      <c r="D6075" s="2" t="s">
        <v>99</v>
      </c>
      <c r="E6075" s="2" t="s">
        <v>31</v>
      </c>
      <c r="F6075" s="11" t="s">
        <v>715</v>
      </c>
      <c r="G6075" s="11" t="s">
        <v>8044</v>
      </c>
      <c r="H6075" s="2" t="s">
        <v>5688</v>
      </c>
      <c r="I6075" s="12" t="s">
        <v>3791</v>
      </c>
      <c r="J6075" s="41">
        <f>+Tabla1[[#This Row],[FECHA ENTRADA]]</f>
        <v>46112</v>
      </c>
      <c r="K6075" s="22">
        <f t="shared" ca="1" si="18"/>
        <v>46260</v>
      </c>
      <c r="L6075" s="42">
        <f ca="1">_xlfn.DAYS(Tabla1[[#This Row],[FECHA FIN ]],Tabla1[[#This Row],[FECHA INICIO]])</f>
        <v>148</v>
      </c>
      <c r="M6075" s="12"/>
      <c r="N6075" s="12">
        <f>1643.2/7</f>
        <v>234.74285714285716</v>
      </c>
      <c r="O6075" s="28">
        <f ca="1">(Tabla1[[#This Row],[COSTO FIJO ]]/30)*Tabla1[[#This Row],[TOTAL DIAS PROYECTO]]+(Tabla1[[#This Row],[COSTO TEMPORAL]])</f>
        <v>1158.064761904762</v>
      </c>
      <c r="P6075" s="12"/>
      <c r="Q6075" s="12">
        <f ca="1">+(Tabla1[[#This Row],[COSTO COCHE]]/30)*Tabla1[[#This Row],[TOTAL DIAS PROYECTO]]</f>
        <v>0</v>
      </c>
      <c r="R6075" s="12">
        <f ca="1">+Tabla1[[#This Row],[COSTO TOTAL ALOJAMIENTO]]+Tabla1[[#This Row],[COSTO TOTAL COCHE]]</f>
        <v>1158.064761904762</v>
      </c>
      <c r="S6075" s="2"/>
      <c r="T6075" s="14" t="s">
        <v>35</v>
      </c>
      <c r="U6075" s="14">
        <v>46112</v>
      </c>
      <c r="V6075" s="43"/>
      <c r="W6075" s="12"/>
      <c r="X6075" s="2"/>
      <c r="Y6075" s="212" t="s">
        <v>8143</v>
      </c>
      <c r="Z6075" s="2" t="s">
        <v>702</v>
      </c>
      <c r="AA6075" s="13" t="s">
        <v>10323</v>
      </c>
      <c r="AB6075" s="13" t="s">
        <v>10324</v>
      </c>
    </row>
    <row r="6076" spans="1:34">
      <c r="A6076" s="2" t="s">
        <v>10300</v>
      </c>
      <c r="B6076" s="2" t="s">
        <v>606</v>
      </c>
      <c r="C6076" s="11" t="s">
        <v>7904</v>
      </c>
      <c r="D6076" s="2" t="s">
        <v>99</v>
      </c>
      <c r="E6076" s="2" t="s">
        <v>1393</v>
      </c>
      <c r="F6076" s="11"/>
      <c r="G6076" s="46"/>
      <c r="H6076" s="2" t="s">
        <v>2095</v>
      </c>
      <c r="I6076" s="12" t="s">
        <v>7902</v>
      </c>
      <c r="J6076" s="41">
        <f>+Tabla1[[#This Row],[FECHA ENTRADA]]</f>
        <v>46255</v>
      </c>
      <c r="K6076" s="41">
        <f t="shared" ca="1" si="18"/>
        <v>46260</v>
      </c>
      <c r="L6076" s="42">
        <f ca="1">_xlfn.DAYS(Tabla1[[#This Row],[FECHA FIN ]],Tabla1[[#This Row],[FECHA INICIO]])</f>
        <v>5</v>
      </c>
      <c r="M6076" s="12"/>
      <c r="N6076" s="28">
        <v>300</v>
      </c>
      <c r="O6076" s="28">
        <f ca="1">(Tabla1[[#This Row],[COSTO FIJO ]]/30)*Tabla1[[#This Row],[TOTAL DIAS PROYECTO]]+(Tabla1[[#This Row],[COSTO TEMPORAL]])</f>
        <v>50</v>
      </c>
      <c r="P6076" s="12"/>
      <c r="Q6076" s="12">
        <f ca="1">+(Tabla1[[#This Row],[COSTO COCHE]]/30)*Tabla1[[#This Row],[TOTAL DIAS PROYECTO]]</f>
        <v>0</v>
      </c>
      <c r="R6076" s="12">
        <f ca="1">+Tabla1[[#This Row],[COSTO TOTAL ALOJAMIENTO]]+Tabla1[[#This Row],[COSTO TOTAL COCHE]]</f>
        <v>50</v>
      </c>
      <c r="S6076" s="2"/>
      <c r="T6076" s="14" t="s">
        <v>58</v>
      </c>
      <c r="U6076" s="14">
        <v>46255</v>
      </c>
      <c r="V6076" s="43"/>
      <c r="W6076" s="12"/>
      <c r="X6076" s="2"/>
      <c r="Y6076" s="11"/>
      <c r="Z6076" s="2" t="s">
        <v>702</v>
      </c>
      <c r="AA6076" s="13" t="s">
        <v>10416</v>
      </c>
      <c r="AB6076" s="13" t="s">
        <v>10417</v>
      </c>
    </row>
    <row r="6077" spans="1:34">
      <c r="A6077" s="2" t="s">
        <v>10125</v>
      </c>
      <c r="B6077" s="11" t="s">
        <v>3133</v>
      </c>
      <c r="C6077" s="11" t="s">
        <v>6529</v>
      </c>
      <c r="D6077" s="2" t="s">
        <v>30</v>
      </c>
      <c r="E6077" s="2" t="s">
        <v>826</v>
      </c>
      <c r="F6077" s="11" t="s">
        <v>7365</v>
      </c>
      <c r="G6077" s="21" t="s">
        <v>6844</v>
      </c>
      <c r="H6077" s="2" t="s">
        <v>6845</v>
      </c>
      <c r="I6077" s="12" t="s">
        <v>1994</v>
      </c>
      <c r="J6077" s="41">
        <f>+Tabla1[[#This Row],[FECHA ENTRADA]]</f>
        <v>46064</v>
      </c>
      <c r="K6077" s="22">
        <f t="shared" ca="1" si="18"/>
        <v>46260</v>
      </c>
      <c r="L6077" s="42">
        <f ca="1">_xlfn.DAYS(Tabla1[[#This Row],[FECHA FIN ]],Tabla1[[#This Row],[FECHA INICIO]])</f>
        <v>196</v>
      </c>
      <c r="M6077" s="12"/>
      <c r="N6077" s="28">
        <v>350</v>
      </c>
      <c r="O6077" s="28">
        <f ca="1">(Tabla1[[#This Row],[COSTO FIJO ]]/30)*Tabla1[[#This Row],[TOTAL DIAS PROYECTO]]+(Tabla1[[#This Row],[COSTO TEMPORAL]])</f>
        <v>2286.6666666666665</v>
      </c>
      <c r="P6077" s="12"/>
      <c r="Q6077" s="12">
        <f ca="1">+(Tabla1[[#This Row],[COSTO COCHE]]/30)*Tabla1[[#This Row],[TOTAL DIAS PROYECTO]]</f>
        <v>0</v>
      </c>
      <c r="R6077" s="12">
        <f ca="1">+Tabla1[[#This Row],[COSTO TOTAL ALOJAMIENTO]]+Tabla1[[#This Row],[COSTO TOTAL COCHE]]</f>
        <v>2286.6666666666665</v>
      </c>
      <c r="S6077" s="2"/>
      <c r="T6077" s="14" t="s">
        <v>44</v>
      </c>
      <c r="U6077" s="14">
        <v>46064</v>
      </c>
      <c r="V6077" s="25">
        <v>46268</v>
      </c>
      <c r="W6077" s="12"/>
      <c r="X6077" s="2"/>
      <c r="Y6077" s="11" t="s">
        <v>8170</v>
      </c>
      <c r="Z6077" s="2" t="s">
        <v>702</v>
      </c>
      <c r="AA6077" s="13" t="s">
        <v>10399</v>
      </c>
      <c r="AB6077" s="13" t="s">
        <v>10400</v>
      </c>
      <c r="AC6077" s="270"/>
      <c r="AD6077" s="271"/>
      <c r="AH6077" s="353"/>
    </row>
    <row r="6078" spans="1:34">
      <c r="A6078" s="2" t="s">
        <v>9723</v>
      </c>
      <c r="B6078" s="2" t="s">
        <v>3133</v>
      </c>
      <c r="C6078" s="11" t="s">
        <v>4409</v>
      </c>
      <c r="D6078" s="2" t="s">
        <v>30</v>
      </c>
      <c r="E6078" s="2" t="s">
        <v>826</v>
      </c>
      <c r="F6078" s="11" t="s">
        <v>7365</v>
      </c>
      <c r="G6078" s="21" t="s">
        <v>6844</v>
      </c>
      <c r="H6078" s="2" t="s">
        <v>7636</v>
      </c>
      <c r="I6078" s="12" t="s">
        <v>1994</v>
      </c>
      <c r="J6078" s="41">
        <f>+Tabla1[[#This Row],[FECHA ENTRADA]]</f>
        <v>46203</v>
      </c>
      <c r="K6078" s="22">
        <f t="shared" ca="1" si="18"/>
        <v>46260</v>
      </c>
      <c r="L6078" s="42">
        <f ca="1">_xlfn.DAYS(Tabla1[[#This Row],[FECHA FIN ]],Tabla1[[#This Row],[FECHA INICIO]])</f>
        <v>57</v>
      </c>
      <c r="M6078" s="12"/>
      <c r="N6078" s="28">
        <v>350</v>
      </c>
      <c r="O6078" s="28">
        <f ca="1">(Tabla1[[#This Row],[COSTO FIJO ]]/30)*Tabla1[[#This Row],[TOTAL DIAS PROYECTO]]+(Tabla1[[#This Row],[COSTO TEMPORAL]])</f>
        <v>665</v>
      </c>
      <c r="P6078" s="12"/>
      <c r="Q6078" s="12">
        <f ca="1">+(Tabla1[[#This Row],[COSTO COCHE]]/30)*Tabla1[[#This Row],[TOTAL DIAS PROYECTO]]</f>
        <v>0</v>
      </c>
      <c r="R6078" s="12">
        <f ca="1">+Tabla1[[#This Row],[COSTO TOTAL ALOJAMIENTO]]+Tabla1[[#This Row],[COSTO TOTAL COCHE]]</f>
        <v>665</v>
      </c>
      <c r="S6078" s="2"/>
      <c r="T6078" s="14" t="s">
        <v>44</v>
      </c>
      <c r="U6078" s="14">
        <v>46203</v>
      </c>
      <c r="V6078" s="25">
        <v>46268</v>
      </c>
      <c r="W6078" s="12"/>
      <c r="X6078" s="2"/>
      <c r="Y6078" s="11" t="s">
        <v>8171</v>
      </c>
      <c r="Z6078" s="2" t="s">
        <v>702</v>
      </c>
      <c r="AA6078" s="13" t="s">
        <v>10399</v>
      </c>
      <c r="AB6078" s="13" t="s">
        <v>10400</v>
      </c>
      <c r="AC6078" s="270"/>
      <c r="AD6078" s="271"/>
      <c r="AH6078" s="353"/>
    </row>
    <row r="6079" spans="1:34">
      <c r="A6079" s="2" t="s">
        <v>9891</v>
      </c>
      <c r="B6079" s="2" t="s">
        <v>606</v>
      </c>
      <c r="C6079" s="11" t="s">
        <v>5232</v>
      </c>
      <c r="D6079" s="2" t="s">
        <v>30</v>
      </c>
      <c r="E6079" s="2" t="s">
        <v>87</v>
      </c>
      <c r="F6079" s="11"/>
      <c r="G6079" s="49"/>
      <c r="H6079" s="2" t="s">
        <v>2106</v>
      </c>
      <c r="I6079" s="12" t="s">
        <v>2107</v>
      </c>
      <c r="J6079" s="22">
        <f>+Tabla1[[#This Row],[FECHA ENTRADA]]</f>
        <v>46283</v>
      </c>
      <c r="K6079" s="22">
        <f t="shared" ca="1" si="18"/>
        <v>46260</v>
      </c>
      <c r="L6079" s="23">
        <f ca="1">_xlfn.DAYS(Tabla1[[#This Row],[FECHA FIN ]],Tabla1[[#This Row],[FECHA INICIO]])</f>
        <v>-23</v>
      </c>
      <c r="M6079" s="12"/>
      <c r="N6079" s="24">
        <v>300</v>
      </c>
      <c r="O6079" s="24">
        <f ca="1">(Tabla1[[#This Row],[COSTO FIJO ]]/30)*Tabla1[[#This Row],[TOTAL DIAS PROYECTO]]+(Tabla1[[#This Row],[COSTO TEMPORAL]])</f>
        <v>-230</v>
      </c>
      <c r="P6079" s="12"/>
      <c r="Q6079" s="12">
        <f ca="1">+(Tabla1[[#This Row],[COSTO COCHE]]/30)*Tabla1[[#This Row],[TOTAL DIAS PROYECTO]]</f>
        <v>0</v>
      </c>
      <c r="R6079" s="12">
        <f ca="1">+Tabla1[[#This Row],[COSTO TOTAL ALOJAMIENTO]]+Tabla1[[#This Row],[COSTO TOTAL COCHE]]</f>
        <v>-230</v>
      </c>
      <c r="S6079" s="2"/>
      <c r="T6079" s="14" t="s">
        <v>58</v>
      </c>
      <c r="U6079" s="14">
        <v>46283</v>
      </c>
      <c r="V6079" s="25"/>
      <c r="W6079" s="12"/>
      <c r="X6079" s="2"/>
      <c r="Y6079" s="11"/>
      <c r="Z6079" s="2" t="s">
        <v>702</v>
      </c>
      <c r="AA6079" s="13" t="s">
        <v>10335</v>
      </c>
      <c r="AB6079" s="13">
        <v>404.16500000000002</v>
      </c>
      <c r="AC6079" s="270"/>
      <c r="AD6079" s="271"/>
      <c r="AH6079" s="353"/>
    </row>
    <row r="6080" spans="1:34">
      <c r="A6080" s="2" t="s">
        <v>9328</v>
      </c>
      <c r="B6080" s="2" t="s">
        <v>978</v>
      </c>
      <c r="C6080" s="11" t="s">
        <v>2837</v>
      </c>
      <c r="D6080" s="2" t="s">
        <v>99</v>
      </c>
      <c r="E6080" s="2" t="s">
        <v>1443</v>
      </c>
      <c r="F6080" s="11" t="s">
        <v>1444</v>
      </c>
      <c r="G6080" s="11" t="s">
        <v>1445</v>
      </c>
      <c r="H6080" s="2" t="s">
        <v>4612</v>
      </c>
      <c r="I6080" s="12" t="s">
        <v>4477</v>
      </c>
      <c r="J6080" s="22">
        <f>+Tabla1[[#This Row],[FECHA ENTRADA]]</f>
        <v>45915</v>
      </c>
      <c r="K6080" s="22">
        <f t="shared" ca="1" si="18"/>
        <v>46260</v>
      </c>
      <c r="L6080" s="23">
        <f ca="1">_xlfn.DAYS(Tabla1[[#This Row],[FECHA FIN ]],Tabla1[[#This Row],[FECHA INICIO]])</f>
        <v>345</v>
      </c>
      <c r="M6080" s="12"/>
      <c r="N6080" s="20">
        <v>450</v>
      </c>
      <c r="O6080" s="24">
        <f ca="1">(Tabla1[[#This Row],[COSTO FIJO ]]/30)*Tabla1[[#This Row],[TOTAL DIAS PROYECTO]]+(Tabla1[[#This Row],[COSTO TEMPORAL]])</f>
        <v>5175</v>
      </c>
      <c r="P6080" s="12"/>
      <c r="Q6080" s="12">
        <f ca="1">+(Tabla1[[#This Row],[COSTO COCHE]]/30)*Tabla1[[#This Row],[TOTAL DIAS PROYECTO]]</f>
        <v>0</v>
      </c>
      <c r="R6080" s="12">
        <f ca="1">+Tabla1[[#This Row],[COSTO TOTAL ALOJAMIENTO]]+Tabla1[[#This Row],[COSTO TOTAL COCHE]]</f>
        <v>5175</v>
      </c>
      <c r="S6080" s="2"/>
      <c r="T6080" s="14" t="s">
        <v>44</v>
      </c>
      <c r="U6080" s="14">
        <v>45915</v>
      </c>
      <c r="V6080" s="25">
        <v>46275</v>
      </c>
      <c r="W6080" s="71"/>
      <c r="X6080" s="2"/>
      <c r="Y6080" s="11" t="s">
        <v>8172</v>
      </c>
      <c r="Z6080" s="2" t="s">
        <v>702</v>
      </c>
      <c r="AA6080" s="13" t="s">
        <v>10420</v>
      </c>
      <c r="AB6080" s="13">
        <v>3907741</v>
      </c>
      <c r="AC6080" s="270"/>
      <c r="AD6080" s="271"/>
      <c r="AH6080" s="353"/>
    </row>
    <row r="6081" spans="1:34">
      <c r="A6081" s="2" t="s">
        <v>8708</v>
      </c>
      <c r="B6081" s="2" t="s">
        <v>978</v>
      </c>
      <c r="C6081" s="11" t="s">
        <v>388</v>
      </c>
      <c r="D6081" s="2" t="s">
        <v>99</v>
      </c>
      <c r="E6081" s="2" t="s">
        <v>1443</v>
      </c>
      <c r="F6081" s="11" t="s">
        <v>1444</v>
      </c>
      <c r="G6081" s="11" t="s">
        <v>1445</v>
      </c>
      <c r="H6081" s="2" t="s">
        <v>4188</v>
      </c>
      <c r="I6081" s="12" t="s">
        <v>4477</v>
      </c>
      <c r="J6081" s="22">
        <f>+Tabla1[[#This Row],[FECHA ENTRADA]]</f>
        <v>45941</v>
      </c>
      <c r="K6081" s="22">
        <f t="shared" ca="1" si="18"/>
        <v>46260</v>
      </c>
      <c r="L6081" s="23">
        <f ca="1">_xlfn.DAYS(Tabla1[[#This Row],[FECHA FIN ]],Tabla1[[#This Row],[FECHA INICIO]])</f>
        <v>319</v>
      </c>
      <c r="M6081" s="12"/>
      <c r="N6081" s="24">
        <v>450</v>
      </c>
      <c r="O6081" s="24">
        <f ca="1">(Tabla1[[#This Row],[COSTO FIJO ]]/30)*Tabla1[[#This Row],[TOTAL DIAS PROYECTO]]+(Tabla1[[#This Row],[COSTO TEMPORAL]])</f>
        <v>4785</v>
      </c>
      <c r="P6081" s="12"/>
      <c r="Q6081" s="12">
        <f ca="1">+(Tabla1[[#This Row],[COSTO COCHE]]/30)*Tabla1[[#This Row],[TOTAL DIAS PROYECTO]]</f>
        <v>0</v>
      </c>
      <c r="R6081" s="12">
        <f ca="1">+Tabla1[[#This Row],[COSTO TOTAL ALOJAMIENTO]]+Tabla1[[#This Row],[COSTO TOTAL COCHE]]</f>
        <v>4785</v>
      </c>
      <c r="S6081" s="2"/>
      <c r="T6081" s="14" t="s">
        <v>44</v>
      </c>
      <c r="U6081" s="14">
        <v>45941</v>
      </c>
      <c r="V6081" s="25">
        <v>46275</v>
      </c>
      <c r="W6081" s="71"/>
      <c r="X6081" s="2"/>
      <c r="Y6081" s="11" t="s">
        <v>8173</v>
      </c>
      <c r="Z6081" s="2" t="s">
        <v>702</v>
      </c>
      <c r="AA6081" s="13" t="s">
        <v>10420</v>
      </c>
      <c r="AB6081" s="13">
        <v>3907741</v>
      </c>
      <c r="AC6081" s="270"/>
      <c r="AD6081" s="271"/>
      <c r="AH6081" s="353"/>
    </row>
    <row r="6082" spans="1:34">
      <c r="A6082" s="2" t="s">
        <v>9325</v>
      </c>
      <c r="B6082" s="2" t="s">
        <v>711</v>
      </c>
      <c r="C6082" s="11" t="s">
        <v>2828</v>
      </c>
      <c r="D6082" s="2" t="s">
        <v>749</v>
      </c>
      <c r="E6082" s="2" t="s">
        <v>4598</v>
      </c>
      <c r="F6082" s="11" t="s">
        <v>8174</v>
      </c>
      <c r="G6082" s="46" t="s">
        <v>8175</v>
      </c>
      <c r="H6082" s="2" t="s">
        <v>4601</v>
      </c>
      <c r="I6082" s="12" t="s">
        <v>4602</v>
      </c>
      <c r="J6082" s="41">
        <f>+Tabla1[[#This Row],[FECHA ENTRADA]]</f>
        <v>46256</v>
      </c>
      <c r="K6082" s="41">
        <f t="shared" ca="1" si="18"/>
        <v>46260</v>
      </c>
      <c r="L6082" s="42">
        <f ca="1">_xlfn.DAYS(Tabla1[[#This Row],[FECHA FIN ]],Tabla1[[#This Row],[FECHA INICIO]])</f>
        <v>4</v>
      </c>
      <c r="M6082" s="12"/>
      <c r="N6082" s="28">
        <v>733.33333333333337</v>
      </c>
      <c r="O6082" s="28">
        <f ca="1">(Tabla1[[#This Row],[COSTO FIJO ]]/30)*Tabla1[[#This Row],[TOTAL DIAS PROYECTO]]+(Tabla1[[#This Row],[COSTO TEMPORAL]])</f>
        <v>97.777777777777786</v>
      </c>
      <c r="P6082" s="12"/>
      <c r="Q6082" s="12">
        <f ca="1">+(Tabla1[[#This Row],[COSTO COCHE]]/30)*Tabla1[[#This Row],[TOTAL DIAS PROYECTO]]</f>
        <v>0</v>
      </c>
      <c r="R6082" s="12">
        <f ca="1">+Tabla1[[#This Row],[COSTO TOTAL ALOJAMIENTO]]+Tabla1[[#This Row],[COSTO TOTAL COCHE]]</f>
        <v>97.777777777777786</v>
      </c>
      <c r="S6082" s="2"/>
      <c r="T6082" s="14" t="s">
        <v>44</v>
      </c>
      <c r="U6082" s="14">
        <v>46256</v>
      </c>
      <c r="V6082" s="43">
        <v>46283</v>
      </c>
      <c r="W6082" s="12"/>
      <c r="X6082" s="2"/>
      <c r="Y6082" s="11"/>
      <c r="Z6082" s="2" t="s">
        <v>702</v>
      </c>
      <c r="AA6082" s="13">
        <v>10.50447</v>
      </c>
      <c r="AB6082" s="13">
        <v>43.843690000000002</v>
      </c>
    </row>
    <row r="6083" spans="1:34">
      <c r="A6083" s="2" t="s">
        <v>9496</v>
      </c>
      <c r="B6083" s="10" t="s">
        <v>711</v>
      </c>
      <c r="C6083" s="11" t="s">
        <v>3385</v>
      </c>
      <c r="D6083" s="2" t="s">
        <v>749</v>
      </c>
      <c r="E6083" s="2" t="s">
        <v>4598</v>
      </c>
      <c r="F6083" s="11" t="s">
        <v>8174</v>
      </c>
      <c r="G6083" s="46" t="s">
        <v>8175</v>
      </c>
      <c r="H6083" s="2" t="s">
        <v>5237</v>
      </c>
      <c r="I6083" s="12" t="s">
        <v>4602</v>
      </c>
      <c r="J6083" s="41">
        <f>+Tabla1[[#This Row],[FECHA ENTRADA]]</f>
        <v>46256</v>
      </c>
      <c r="K6083" s="41">
        <f t="shared" ca="1" si="18"/>
        <v>46260</v>
      </c>
      <c r="L6083" s="42">
        <f ca="1">_xlfn.DAYS(Tabla1[[#This Row],[FECHA FIN ]],Tabla1[[#This Row],[FECHA INICIO]])</f>
        <v>4</v>
      </c>
      <c r="M6083" s="12"/>
      <c r="N6083" s="28">
        <v>733.33333333333337</v>
      </c>
      <c r="O6083" s="28">
        <f ca="1">(Tabla1[[#This Row],[COSTO FIJO ]]/30)*Tabla1[[#This Row],[TOTAL DIAS PROYECTO]]+(Tabla1[[#This Row],[COSTO TEMPORAL]])</f>
        <v>97.777777777777786</v>
      </c>
      <c r="P6083" s="12"/>
      <c r="Q6083" s="12">
        <f ca="1">+(Tabla1[[#This Row],[COSTO COCHE]]/30)*Tabla1[[#This Row],[TOTAL DIAS PROYECTO]]</f>
        <v>0</v>
      </c>
      <c r="R6083" s="12">
        <f ca="1">+Tabla1[[#This Row],[COSTO TOTAL ALOJAMIENTO]]+Tabla1[[#This Row],[COSTO TOTAL COCHE]]</f>
        <v>97.777777777777786</v>
      </c>
      <c r="S6083" s="2"/>
      <c r="T6083" s="14" t="s">
        <v>44</v>
      </c>
      <c r="U6083" s="14">
        <v>46256</v>
      </c>
      <c r="V6083" s="43">
        <v>46283</v>
      </c>
      <c r="W6083" s="12"/>
      <c r="X6083" s="2"/>
      <c r="Y6083" s="11"/>
      <c r="Z6083" s="2" t="s">
        <v>702</v>
      </c>
      <c r="AA6083" s="13">
        <v>10.50447</v>
      </c>
      <c r="AB6083" s="13">
        <v>43.843690000000002</v>
      </c>
    </row>
    <row r="6084" spans="1:34">
      <c r="A6084" s="2" t="s">
        <v>9352</v>
      </c>
      <c r="B6084" s="10" t="s">
        <v>711</v>
      </c>
      <c r="C6084" s="11" t="s">
        <v>2915</v>
      </c>
      <c r="D6084" s="2" t="s">
        <v>749</v>
      </c>
      <c r="E6084" s="2" t="s">
        <v>4598</v>
      </c>
      <c r="F6084" s="11" t="s">
        <v>8174</v>
      </c>
      <c r="G6084" s="46" t="s">
        <v>8175</v>
      </c>
      <c r="H6084" s="2" t="s">
        <v>8176</v>
      </c>
      <c r="I6084" s="12" t="s">
        <v>4602</v>
      </c>
      <c r="J6084" s="41">
        <f>+Tabla1[[#This Row],[FECHA ENTRADA]]</f>
        <v>46259</v>
      </c>
      <c r="K6084" s="41">
        <f t="shared" ca="1" si="18"/>
        <v>46260</v>
      </c>
      <c r="L6084" s="42">
        <f ca="1">_xlfn.DAYS(Tabla1[[#This Row],[FECHA FIN ]],Tabla1[[#This Row],[FECHA INICIO]])</f>
        <v>1</v>
      </c>
      <c r="M6084" s="12"/>
      <c r="N6084" s="28">
        <v>733.33333333333337</v>
      </c>
      <c r="O6084" s="28">
        <f ca="1">(Tabla1[[#This Row],[COSTO FIJO ]]/30)*Tabla1[[#This Row],[TOTAL DIAS PROYECTO]]+(Tabla1[[#This Row],[COSTO TEMPORAL]])</f>
        <v>24.444444444444446</v>
      </c>
      <c r="P6084" s="12"/>
      <c r="Q6084" s="12">
        <f ca="1">+(Tabla1[[#This Row],[COSTO COCHE]]/30)*Tabla1[[#This Row],[TOTAL DIAS PROYECTO]]</f>
        <v>0</v>
      </c>
      <c r="R6084" s="12">
        <f ca="1">+Tabla1[[#This Row],[COSTO TOTAL ALOJAMIENTO]]+Tabla1[[#This Row],[COSTO TOTAL COCHE]]</f>
        <v>24.444444444444446</v>
      </c>
      <c r="S6084" s="2"/>
      <c r="T6084" s="14" t="s">
        <v>44</v>
      </c>
      <c r="U6084" s="14">
        <v>46259</v>
      </c>
      <c r="V6084" s="43">
        <v>46283</v>
      </c>
      <c r="W6084" s="12"/>
      <c r="X6084" s="2"/>
      <c r="Y6084" s="11"/>
      <c r="Z6084" s="2" t="s">
        <v>702</v>
      </c>
      <c r="AA6084" s="13">
        <v>10.50447</v>
      </c>
      <c r="AB6084" s="13">
        <v>43.843690000000002</v>
      </c>
    </row>
  </sheetData>
  <protectedRanges>
    <protectedRange algorithmName="SHA-512" hashValue="PwlcJgq+aEDWZnrGqKo3HdisZMsnLZsF2IWWbZKq1yqW2hDQ0BnXzPyHXe+YVjnbJyYyizGDyr8uMwZwItCqSw==" saltValue="MA5jF6IwfJfqwLwgr/tUdg==" spinCount="100000" sqref="C986" name="NOMES_1_2"/>
    <protectedRange algorithmName="SHA-512" hashValue="PwlcJgq+aEDWZnrGqKo3HdisZMsnLZsF2IWWbZKq1yqW2hDQ0BnXzPyHXe+YVjnbJyYyizGDyr8uMwZwItCqSw==" saltValue="MA5jF6IwfJfqwLwgr/tUdg==" spinCount="100000" sqref="C988:C992" name="NOMES_23"/>
    <protectedRange algorithmName="SHA-512" hashValue="PwlcJgq+aEDWZnrGqKo3HdisZMsnLZsF2IWWbZKq1yqW2hDQ0BnXzPyHXe+YVjnbJyYyizGDyr8uMwZwItCqSw==" saltValue="MA5jF6IwfJfqwLwgr/tUdg==" spinCount="100000" sqref="C993:C995" name="NOMES_24"/>
    <protectedRange algorithmName="SHA-512" hashValue="PwlcJgq+aEDWZnrGqKo3HdisZMsnLZsF2IWWbZKq1yqW2hDQ0BnXzPyHXe+YVjnbJyYyizGDyr8uMwZwItCqSw==" saltValue="MA5jF6IwfJfqwLwgr/tUdg==" spinCount="100000" sqref="C996:C999" name="NOMES_25"/>
    <protectedRange algorithmName="SHA-512" hashValue="PwlcJgq+aEDWZnrGqKo3HdisZMsnLZsF2IWWbZKq1yqW2hDQ0BnXzPyHXe+YVjnbJyYyizGDyr8uMwZwItCqSw==" saltValue="MA5jF6IwfJfqwLwgr/tUdg==" spinCount="100000" sqref="C1001:C1003 C2871" name="NOMES_26"/>
    <protectedRange algorithmName="SHA-512" hashValue="PwlcJgq+aEDWZnrGqKo3HdisZMsnLZsF2IWWbZKq1yqW2hDQ0BnXzPyHXe+YVjnbJyYyizGDyr8uMwZwItCqSw==" saltValue="MA5jF6IwfJfqwLwgr/tUdg==" spinCount="100000" sqref="C1009:C1011" name="NOMES_27"/>
    <protectedRange algorithmName="SHA-512" hashValue="PwlcJgq+aEDWZnrGqKo3HdisZMsnLZsF2IWWbZKq1yqW2hDQ0BnXzPyHXe+YVjnbJyYyizGDyr8uMwZwItCqSw==" saltValue="MA5jF6IwfJfqwLwgr/tUdg==" spinCount="100000" sqref="C1024" name="NOMES_28"/>
    <protectedRange algorithmName="SHA-512" hashValue="PwlcJgq+aEDWZnrGqKo3HdisZMsnLZsF2IWWbZKq1yqW2hDQ0BnXzPyHXe+YVjnbJyYyizGDyr8uMwZwItCqSw==" saltValue="MA5jF6IwfJfqwLwgr/tUdg==" spinCount="100000" sqref="C1101:C1102" name="NOMES_1"/>
    <protectedRange algorithmName="SHA-512" hashValue="PwlcJgq+aEDWZnrGqKo3HdisZMsnLZsF2IWWbZKq1yqW2hDQ0BnXzPyHXe+YVjnbJyYyizGDyr8uMwZwItCqSw==" saltValue="MA5jF6IwfJfqwLwgr/tUdg==" spinCount="100000" sqref="C1103:C1104" name="NOMES_2"/>
    <protectedRange algorithmName="SHA-512" hashValue="PwlcJgq+aEDWZnrGqKo3HdisZMsnLZsF2IWWbZKq1yqW2hDQ0BnXzPyHXe+YVjnbJyYyizGDyr8uMwZwItCqSw==" saltValue="MA5jF6IwfJfqwLwgr/tUdg==" spinCount="100000" sqref="C1106:C1108 C1513" name="NOMES_9"/>
    <protectedRange algorithmName="SHA-512" hashValue="PwlcJgq+aEDWZnrGqKo3HdisZMsnLZsF2IWWbZKq1yqW2hDQ0BnXzPyHXe+YVjnbJyYyizGDyr8uMwZwItCqSw==" saltValue="MA5jF6IwfJfqwLwgr/tUdg==" spinCount="100000" sqref="C1109:C1110" name="NOMES_29"/>
    <protectedRange algorithmName="SHA-512" hashValue="PwlcJgq+aEDWZnrGqKo3HdisZMsnLZsF2IWWbZKq1yqW2hDQ0BnXzPyHXe+YVjnbJyYyizGDyr8uMwZwItCqSw==" saltValue="MA5jF6IwfJfqwLwgr/tUdg==" spinCount="100000" sqref="C1129:C1130 C1490:C1491" name="NOMES_30"/>
    <protectedRange algorithmName="SHA-512" hashValue="PwlcJgq+aEDWZnrGqKo3HdisZMsnLZsF2IWWbZKq1yqW2hDQ0BnXzPyHXe+YVjnbJyYyizGDyr8uMwZwItCqSw==" saltValue="MA5jF6IwfJfqwLwgr/tUdg==" spinCount="100000" sqref="C1145:C1146" name="NOMES_31"/>
    <protectedRange algorithmName="SHA-512" hashValue="PwlcJgq+aEDWZnrGqKo3HdisZMsnLZsF2IWWbZKq1yqW2hDQ0BnXzPyHXe+YVjnbJyYyizGDyr8uMwZwItCqSw==" saltValue="MA5jF6IwfJfqwLwgr/tUdg==" spinCount="100000" sqref="C1149:C1154 C1493 C2509 C2526 C3984 C4140 C4451 C4453 C4831 C4835" name="NOMES_32"/>
    <protectedRange algorithmName="SHA-512" hashValue="PwlcJgq+aEDWZnrGqKo3HdisZMsnLZsF2IWWbZKq1yqW2hDQ0BnXzPyHXe+YVjnbJyYyizGDyr8uMwZwItCqSw==" saltValue="MA5jF6IwfJfqwLwgr/tUdg==" spinCount="100000" sqref="C1155:C1156 C1494 C2510" name="NOMES_33"/>
    <protectedRange algorithmName="SHA-512" hashValue="PwlcJgq+aEDWZnrGqKo3HdisZMsnLZsF2IWWbZKq1yqW2hDQ0BnXzPyHXe+YVjnbJyYyizGDyr8uMwZwItCqSw==" saltValue="MA5jF6IwfJfqwLwgr/tUdg==" spinCount="100000" sqref="C1182:C1183 C1235 C1185:C1187 C2296 C3335 C3680 C4086" name="NOMES_34"/>
    <protectedRange algorithmName="SHA-512" hashValue="PwlcJgq+aEDWZnrGqKo3HdisZMsnLZsF2IWWbZKq1yqW2hDQ0BnXzPyHXe+YVjnbJyYyizGDyr8uMwZwItCqSw==" saltValue="MA5jF6IwfJfqwLwgr/tUdg==" spinCount="100000" sqref="C1203:C1205 C1929" name="NOMES_35"/>
    <protectedRange algorithmName="SHA-512" hashValue="PwlcJgq+aEDWZnrGqKo3HdisZMsnLZsF2IWWbZKq1yqW2hDQ0BnXzPyHXe+YVjnbJyYyizGDyr8uMwZwItCqSw==" saltValue="MA5jF6IwfJfqwLwgr/tUdg==" spinCount="100000" sqref="C1212" name="NOMES_36"/>
    <protectedRange algorithmName="SHA-512" hashValue="PwlcJgq+aEDWZnrGqKo3HdisZMsnLZsF2IWWbZKq1yqW2hDQ0BnXzPyHXe+YVjnbJyYyizGDyr8uMwZwItCqSw==" saltValue="MA5jF6IwfJfqwLwgr/tUdg==" spinCount="100000" sqref="C1213:C1215 C2311" name="NOMES_1_3"/>
    <protectedRange algorithmName="SHA-512" hashValue="PwlcJgq+aEDWZnrGqKo3HdisZMsnLZsF2IWWbZKq1yqW2hDQ0BnXzPyHXe+YVjnbJyYyizGDyr8uMwZwItCqSw==" saltValue="MA5jF6IwfJfqwLwgr/tUdg==" spinCount="100000" sqref="C1229:C1230" name="NOMES_38"/>
    <protectedRange algorithmName="SHA-512" hashValue="PwlcJgq+aEDWZnrGqKo3HdisZMsnLZsF2IWWbZKq1yqW2hDQ0BnXzPyHXe+YVjnbJyYyizGDyr8uMwZwItCqSw==" saltValue="MA5jF6IwfJfqwLwgr/tUdg==" spinCount="100000" sqref="C1258" name="NOMES_3"/>
    <protectedRange algorithmName="SHA-512" hashValue="PwlcJgq+aEDWZnrGqKo3HdisZMsnLZsF2IWWbZKq1yqW2hDQ0BnXzPyHXe+YVjnbJyYyizGDyr8uMwZwItCqSw==" saltValue="MA5jF6IwfJfqwLwgr/tUdg==" spinCount="100000" sqref="C1259 C2297" name="NOMES_1_4"/>
    <protectedRange algorithmName="SHA-512" hashValue="PwlcJgq+aEDWZnrGqKo3HdisZMsnLZsF2IWWbZKq1yqW2hDQ0BnXzPyHXe+YVjnbJyYyizGDyr8uMwZwItCqSw==" saltValue="MA5jF6IwfJfqwLwgr/tUdg==" spinCount="100000" sqref="C1260" name="NOMES_2_2"/>
    <protectedRange algorithmName="SHA-512" hashValue="PwlcJgq+aEDWZnrGqKo3HdisZMsnLZsF2IWWbZKq1yqW2hDQ0BnXzPyHXe+YVjnbJyYyizGDyr8uMwZwItCqSw==" saltValue="MA5jF6IwfJfqwLwgr/tUdg==" spinCount="100000" sqref="C1275 C4962 C5095" name="NOMES_4"/>
    <protectedRange algorithmName="SHA-512" hashValue="PwlcJgq+aEDWZnrGqKo3HdisZMsnLZsF2IWWbZKq1yqW2hDQ0BnXzPyHXe+YVjnbJyYyizGDyr8uMwZwItCqSw==" saltValue="MA5jF6IwfJfqwLwgr/tUdg==" spinCount="100000" sqref="C1908" name="NOMES_6"/>
    <protectedRange algorithmName="SHA-512" hashValue="PwlcJgq+aEDWZnrGqKo3HdisZMsnLZsF2IWWbZKq1yqW2hDQ0BnXzPyHXe+YVjnbJyYyizGDyr8uMwZwItCqSw==" saltValue="MA5jF6IwfJfqwLwgr/tUdg==" spinCount="100000" sqref="C1910 C3271 C3273 C3552" name="NOMES_7"/>
    <protectedRange algorithmName="SHA-512" hashValue="PwlcJgq+aEDWZnrGqKo3HdisZMsnLZsF2IWWbZKq1yqW2hDQ0BnXzPyHXe+YVjnbJyYyizGDyr8uMwZwItCqSw==" saltValue="MA5jF6IwfJfqwLwgr/tUdg==" spinCount="100000" sqref="C1911" name="NOMES_1_5"/>
    <protectedRange algorithmName="SHA-512" hashValue="PwlcJgq+aEDWZnrGqKo3HdisZMsnLZsF2IWWbZKq1yqW2hDQ0BnXzPyHXe+YVjnbJyYyizGDyr8uMwZwItCqSw==" saltValue="MA5jF6IwfJfqwLwgr/tUdg==" spinCount="100000" sqref="C1912" name="NOMES_2_3"/>
    <protectedRange algorithmName="SHA-512" hashValue="PwlcJgq+aEDWZnrGqKo3HdisZMsnLZsF2IWWbZKq1yqW2hDQ0BnXzPyHXe+YVjnbJyYyizGDyr8uMwZwItCqSw==" saltValue="MA5jF6IwfJfqwLwgr/tUdg==" spinCount="100000" sqref="C1913 C3248:C3251 C3568 C4003 C4007" name="NOMES_3_1"/>
    <protectedRange algorithmName="SHA-512" hashValue="PwlcJgq+aEDWZnrGqKo3HdisZMsnLZsF2IWWbZKq1yqW2hDQ0BnXzPyHXe+YVjnbJyYyizGDyr8uMwZwItCqSw==" saltValue="MA5jF6IwfJfqwLwgr/tUdg==" spinCount="100000" sqref="C1914" name="NOMES_4_1"/>
    <protectedRange algorithmName="SHA-512" hashValue="PwlcJgq+aEDWZnrGqKo3HdisZMsnLZsF2IWWbZKq1yqW2hDQ0BnXzPyHXe+YVjnbJyYyizGDyr8uMwZwItCqSw==" saltValue="MA5jF6IwfJfqwLwgr/tUdg==" spinCount="100000" sqref="C1919" name="NOMES_8"/>
    <protectedRange algorithmName="SHA-512" hashValue="PwlcJgq+aEDWZnrGqKo3HdisZMsnLZsF2IWWbZKq1yqW2hDQ0BnXzPyHXe+YVjnbJyYyizGDyr8uMwZwItCqSw==" saltValue="MA5jF6IwfJfqwLwgr/tUdg==" spinCount="100000" sqref="C1944:C1945" name="NOMES"/>
    <protectedRange algorithmName="SHA-512" hashValue="PwlcJgq+aEDWZnrGqKo3HdisZMsnLZsF2IWWbZKq1yqW2hDQ0BnXzPyHXe+YVjnbJyYyizGDyr8uMwZwItCqSw==" saltValue="MA5jF6IwfJfqwLwgr/tUdg==" spinCount="100000" sqref="C1948:C1951 C4335 C4339 C4707 C4711" name="NOMES_5"/>
    <protectedRange algorithmName="SHA-512" hashValue="PwlcJgq+aEDWZnrGqKo3HdisZMsnLZsF2IWWbZKq1yqW2hDQ0BnXzPyHXe+YVjnbJyYyizGDyr8uMwZwItCqSw==" saltValue="MA5jF6IwfJfqwLwgr/tUdg==" spinCount="100000" sqref="C1964:C1965" name="NOMES_37"/>
    <protectedRange algorithmName="SHA-512" hashValue="PwlcJgq+aEDWZnrGqKo3HdisZMsnLZsF2IWWbZKq1yqW2hDQ0BnXzPyHXe+YVjnbJyYyizGDyr8uMwZwItCqSw==" saltValue="MA5jF6IwfJfqwLwgr/tUdg==" spinCount="100000" sqref="C1989 C2996 C3004 C3036 C5896" name="NOMES_39"/>
    <protectedRange algorithmName="SHA-512" hashValue="PwlcJgq+aEDWZnrGqKo3HdisZMsnLZsF2IWWbZKq1yqW2hDQ0BnXzPyHXe+YVjnbJyYyizGDyr8uMwZwItCqSw==" saltValue="MA5jF6IwfJfqwLwgr/tUdg==" spinCount="100000" sqref="C1991" name="NOMES_40"/>
    <protectedRange algorithmName="SHA-512" hashValue="PwlcJgq+aEDWZnrGqKo3HdisZMsnLZsF2IWWbZKq1yqW2hDQ0BnXzPyHXe+YVjnbJyYyizGDyr8uMwZwItCqSw==" saltValue="MA5jF6IwfJfqwLwgr/tUdg==" spinCount="100000" sqref="C2002" name="NOMES_42"/>
    <protectedRange algorithmName="SHA-512" hashValue="PwlcJgq+aEDWZnrGqKo3HdisZMsnLZsF2IWWbZKq1yqW2hDQ0BnXzPyHXe+YVjnbJyYyizGDyr8uMwZwItCqSw==" saltValue="MA5jF6IwfJfqwLwgr/tUdg==" spinCount="100000" sqref="C2003" name="NOMES_1_7"/>
    <protectedRange algorithmName="SHA-512" hashValue="PwlcJgq+aEDWZnrGqKo3HdisZMsnLZsF2IWWbZKq1yqW2hDQ0BnXzPyHXe+YVjnbJyYyizGDyr8uMwZwItCqSw==" saltValue="MA5jF6IwfJfqwLwgr/tUdg==" spinCount="100000" sqref="C2021 C2094 C4138 C5917 C5919" name="NOMES_10"/>
    <protectedRange algorithmName="SHA-512" hashValue="PwlcJgq+aEDWZnrGqKo3HdisZMsnLZsF2IWWbZKq1yqW2hDQ0BnXzPyHXe+YVjnbJyYyizGDyr8uMwZwItCqSw==" saltValue="MA5jF6IwfJfqwLwgr/tUdg==" spinCount="100000" sqref="C2027" name="NOMES_11"/>
    <protectedRange algorithmName="SHA-512" hashValue="PwlcJgq+aEDWZnrGqKo3HdisZMsnLZsF2IWWbZKq1yqW2hDQ0BnXzPyHXe+YVjnbJyYyizGDyr8uMwZwItCqSw==" saltValue="MA5jF6IwfJfqwLwgr/tUdg==" spinCount="100000" sqref="C2028" name="NOMES_1_6"/>
    <protectedRange algorithmName="SHA-512" hashValue="PwlcJgq+aEDWZnrGqKo3HdisZMsnLZsF2IWWbZKq1yqW2hDQ0BnXzPyHXe+YVjnbJyYyizGDyr8uMwZwItCqSw==" saltValue="MA5jF6IwfJfqwLwgr/tUdg==" spinCount="100000" sqref="C2037" name="NOMES_41"/>
    <protectedRange algorithmName="SHA-512" hashValue="PwlcJgq+aEDWZnrGqKo3HdisZMsnLZsF2IWWbZKq1yqW2hDQ0BnXzPyHXe+YVjnbJyYyizGDyr8uMwZwItCqSw==" saltValue="MA5jF6IwfJfqwLwgr/tUdg==" spinCount="100000" sqref="C2038 C3254 C3259" name="NOMES_1_8"/>
    <protectedRange algorithmName="SHA-512" hashValue="PwlcJgq+aEDWZnrGqKo3HdisZMsnLZsF2IWWbZKq1yqW2hDQ0BnXzPyHXe+YVjnbJyYyizGDyr8uMwZwItCqSw==" saltValue="MA5jF6IwfJfqwLwgr/tUdg==" spinCount="100000" sqref="C2039" name="NOMES_2_4"/>
    <protectedRange algorithmName="SHA-512" hashValue="PwlcJgq+aEDWZnrGqKo3HdisZMsnLZsF2IWWbZKq1yqW2hDQ0BnXzPyHXe+YVjnbJyYyizGDyr8uMwZwItCqSw==" saltValue="MA5jF6IwfJfqwLwgr/tUdg==" spinCount="100000" sqref="F1892 F1800 F1449 F724 F232 F133 F3844 F3958 F4302" name="NOMES_43"/>
    <protectedRange algorithmName="SHA-512" hashValue="PwlcJgq+aEDWZnrGqKo3HdisZMsnLZsF2IWWbZKq1yqW2hDQ0BnXzPyHXe+YVjnbJyYyizGDyr8uMwZwItCqSw==" saltValue="MA5jF6IwfJfqwLwgr/tUdg==" spinCount="100000" sqref="C2041" name="NOMES_44"/>
    <protectedRange algorithmName="SHA-512" hashValue="PwlcJgq+aEDWZnrGqKo3HdisZMsnLZsF2IWWbZKq1yqW2hDQ0BnXzPyHXe+YVjnbJyYyizGDyr8uMwZwItCqSw==" saltValue="MA5jF6IwfJfqwLwgr/tUdg==" spinCount="100000" sqref="C2042" name="NOMES_1_10"/>
    <protectedRange algorithmName="SHA-512" hashValue="PwlcJgq+aEDWZnrGqKo3HdisZMsnLZsF2IWWbZKq1yqW2hDQ0BnXzPyHXe+YVjnbJyYyizGDyr8uMwZwItCqSw==" saltValue="MA5jF6IwfJfqwLwgr/tUdg==" spinCount="100000" sqref="C2057:C2058" name="NOMES_46"/>
    <protectedRange algorithmName="SHA-512" hashValue="PwlcJgq+aEDWZnrGqKo3HdisZMsnLZsF2IWWbZKq1yqW2hDQ0BnXzPyHXe+YVjnbJyYyizGDyr8uMwZwItCqSw==" saltValue="MA5jF6IwfJfqwLwgr/tUdg==" spinCount="100000" sqref="C2059" name="NOMES_1_12"/>
    <protectedRange algorithmName="SHA-512" hashValue="PwlcJgq+aEDWZnrGqKo3HdisZMsnLZsF2IWWbZKq1yqW2hDQ0BnXzPyHXe+YVjnbJyYyizGDyr8uMwZwItCqSw==" saltValue="MA5jF6IwfJfqwLwgr/tUdg==" spinCount="100000" sqref="C2060" name="NOMES_2_6"/>
    <protectedRange algorithmName="SHA-512" hashValue="PwlcJgq+aEDWZnrGqKo3HdisZMsnLZsF2IWWbZKq1yqW2hDQ0BnXzPyHXe+YVjnbJyYyizGDyr8uMwZwItCqSw==" saltValue="MA5jF6IwfJfqwLwgr/tUdg==" spinCount="100000" sqref="C2062" name="NOMES_14"/>
    <protectedRange algorithmName="SHA-512" hashValue="PwlcJgq+aEDWZnrGqKo3HdisZMsnLZsF2IWWbZKq1yqW2hDQ0BnXzPyHXe+YVjnbJyYyizGDyr8uMwZwItCqSw==" saltValue="MA5jF6IwfJfqwLwgr/tUdg==" spinCount="100000" sqref="C2293" name="NOMES_12"/>
    <protectedRange algorithmName="SHA-512" hashValue="PwlcJgq+aEDWZnrGqKo3HdisZMsnLZsF2IWWbZKq1yqW2hDQ0BnXzPyHXe+YVjnbJyYyizGDyr8uMwZwItCqSw==" saltValue="MA5jF6IwfJfqwLwgr/tUdg==" spinCount="100000" sqref="C2408 C2707 C2974" name="NOMES_13"/>
    <protectedRange algorithmName="SHA-512" hashValue="PwlcJgq+aEDWZnrGqKo3HdisZMsnLZsF2IWWbZKq1yqW2hDQ0BnXzPyHXe+YVjnbJyYyizGDyr8uMwZwItCqSw==" saltValue="MA5jF6IwfJfqwLwgr/tUdg==" spinCount="100000" sqref="C2414 C2709 C2982 C2986 C3373" name="NOMES_15"/>
    <protectedRange algorithmName="SHA-512" hashValue="PwlcJgq+aEDWZnrGqKo3HdisZMsnLZsF2IWWbZKq1yqW2hDQ0BnXzPyHXe+YVjnbJyYyizGDyr8uMwZwItCqSw==" saltValue="MA5jF6IwfJfqwLwgr/tUdg==" spinCount="100000" sqref="C2419 C2874" name="NOMES_16"/>
    <protectedRange algorithmName="SHA-512" hashValue="PwlcJgq+aEDWZnrGqKo3HdisZMsnLZsF2IWWbZKq1yqW2hDQ0BnXzPyHXe+YVjnbJyYyizGDyr8uMwZwItCqSw==" saltValue="MA5jF6IwfJfqwLwgr/tUdg==" spinCount="100000" sqref="C2420 C2875" name="NOMES_1_9"/>
    <protectedRange algorithmName="SHA-512" hashValue="PwlcJgq+aEDWZnrGqKo3HdisZMsnLZsF2IWWbZKq1yqW2hDQ0BnXzPyHXe+YVjnbJyYyizGDyr8uMwZwItCqSw==" saltValue="MA5jF6IwfJfqwLwgr/tUdg==" spinCount="100000" sqref="C2421" name="NOMES_2_5"/>
    <protectedRange algorithmName="SHA-512" hashValue="PwlcJgq+aEDWZnrGqKo3HdisZMsnLZsF2IWWbZKq1yqW2hDQ0BnXzPyHXe+YVjnbJyYyizGDyr8uMwZwItCqSw==" saltValue="MA5jF6IwfJfqwLwgr/tUdg==" spinCount="100000" sqref="C2422 C3347" name="NOMES_3_2"/>
    <protectedRange algorithmName="SHA-512" hashValue="PwlcJgq+aEDWZnrGqKo3HdisZMsnLZsF2IWWbZKq1yqW2hDQ0BnXzPyHXe+YVjnbJyYyizGDyr8uMwZwItCqSw==" saltValue="MA5jF6IwfJfqwLwgr/tUdg==" spinCount="100000" sqref="C2423" name="NOMES_4_2"/>
    <protectedRange algorithmName="SHA-512" hashValue="PwlcJgq+aEDWZnrGqKo3HdisZMsnLZsF2IWWbZKq1yqW2hDQ0BnXzPyHXe+YVjnbJyYyizGDyr8uMwZwItCqSw==" saltValue="MA5jF6IwfJfqwLwgr/tUdg==" spinCount="100000" sqref="C2518" name="NOMES_18"/>
    <protectedRange algorithmName="SHA-512" hashValue="PwlcJgq+aEDWZnrGqKo3HdisZMsnLZsF2IWWbZKq1yqW2hDQ0BnXzPyHXe+YVjnbJyYyizGDyr8uMwZwItCqSw==" saltValue="MA5jF6IwfJfqwLwgr/tUdg==" spinCount="100000" sqref="C2519" name="NOMES_1_13"/>
    <protectedRange algorithmName="SHA-512" hashValue="PwlcJgq+aEDWZnrGqKo3HdisZMsnLZsF2IWWbZKq1yqW2hDQ0BnXzPyHXe+YVjnbJyYyizGDyr8uMwZwItCqSw==" saltValue="MA5jF6IwfJfqwLwgr/tUdg==" spinCount="100000" sqref="C2532 C2549" name="NOMES_17"/>
    <protectedRange algorithmName="SHA-512" hashValue="PwlcJgq+aEDWZnrGqKo3HdisZMsnLZsF2IWWbZKq1yqW2hDQ0BnXzPyHXe+YVjnbJyYyizGDyr8uMwZwItCqSw==" saltValue="MA5jF6IwfJfqwLwgr/tUdg==" spinCount="100000" sqref="C2533" name="NOMES_1_11"/>
    <protectedRange algorithmName="SHA-512" hashValue="PwlcJgq+aEDWZnrGqKo3HdisZMsnLZsF2IWWbZKq1yqW2hDQ0BnXzPyHXe+YVjnbJyYyizGDyr8uMwZwItCqSw==" saltValue="MA5jF6IwfJfqwLwgr/tUdg==" spinCount="100000" sqref="C2534" name="NOMES_2_7"/>
    <protectedRange algorithmName="SHA-512" hashValue="PwlcJgq+aEDWZnrGqKo3HdisZMsnLZsF2IWWbZKq1yqW2hDQ0BnXzPyHXe+YVjnbJyYyizGDyr8uMwZwItCqSw==" saltValue="MA5jF6IwfJfqwLwgr/tUdg==" spinCount="100000" sqref="C2535" name="NOMES_3_3"/>
    <protectedRange algorithmName="SHA-512" hashValue="PwlcJgq+aEDWZnrGqKo3HdisZMsnLZsF2IWWbZKq1yqW2hDQ0BnXzPyHXe+YVjnbJyYyizGDyr8uMwZwItCqSw==" saltValue="MA5jF6IwfJfqwLwgr/tUdg==" spinCount="100000" sqref="C2536" name="NOMES_4_3"/>
    <protectedRange algorithmName="SHA-512" hashValue="PwlcJgq+aEDWZnrGqKo3HdisZMsnLZsF2IWWbZKq1yqW2hDQ0BnXzPyHXe+YVjnbJyYyizGDyr8uMwZwItCqSw==" saltValue="MA5jF6IwfJfqwLwgr/tUdg==" spinCount="100000" sqref="C2554 C3353" name="NOMES_19"/>
    <protectedRange algorithmName="SHA-512" hashValue="PwlcJgq+aEDWZnrGqKo3HdisZMsnLZsF2IWWbZKq1yqW2hDQ0BnXzPyHXe+YVjnbJyYyizGDyr8uMwZwItCqSw==" saltValue="MA5jF6IwfJfqwLwgr/tUdg==" spinCount="100000" sqref="C2567 C2571 C2665 C2906 C2908 C3235 C5185 C5504" name="NOMES_45"/>
    <protectedRange algorithmName="SHA-512" hashValue="PwlcJgq+aEDWZnrGqKo3HdisZMsnLZsF2IWWbZKq1yqW2hDQ0BnXzPyHXe+YVjnbJyYyizGDyr8uMwZwItCqSw==" saltValue="MA5jF6IwfJfqwLwgr/tUdg==" spinCount="100000" sqref="C2568 C2572 C2666 C2956 C3344 C3795" name="NOMES_1_15"/>
    <protectedRange algorithmName="SHA-512" hashValue="PwlcJgq+aEDWZnrGqKo3HdisZMsnLZsF2IWWbZKq1yqW2hDQ0BnXzPyHXe+YVjnbJyYyizGDyr8uMwZwItCqSw==" saltValue="MA5jF6IwfJfqwLwgr/tUdg==" spinCount="100000" sqref="C2631 C2635 C2637" name="NOMES_21"/>
    <protectedRange algorithmName="SHA-512" hashValue="PwlcJgq+aEDWZnrGqKo3HdisZMsnLZsF2IWWbZKq1yqW2hDQ0BnXzPyHXe+YVjnbJyYyizGDyr8uMwZwItCqSw==" saltValue="MA5jF6IwfJfqwLwgr/tUdg==" spinCount="100000" sqref="C2652 C2914" name="NOMES_20"/>
    <protectedRange algorithmName="SHA-512" hashValue="PwlcJgq+aEDWZnrGqKo3HdisZMsnLZsF2IWWbZKq1yqW2hDQ0BnXzPyHXe+YVjnbJyYyizGDyr8uMwZwItCqSw==" saltValue="MA5jF6IwfJfqwLwgr/tUdg==" spinCount="100000" sqref="C2736" name="NOMES_47"/>
    <protectedRange algorithmName="SHA-512" hashValue="PwlcJgq+aEDWZnrGqKo3HdisZMsnLZsF2IWWbZKq1yqW2hDQ0BnXzPyHXe+YVjnbJyYyizGDyr8uMwZwItCqSw==" saltValue="MA5jF6IwfJfqwLwgr/tUdg==" spinCount="100000" sqref="C3357" name="NOMES_48"/>
    <protectedRange algorithmName="SHA-512" hashValue="PwlcJgq+aEDWZnrGqKo3HdisZMsnLZsF2IWWbZKq1yqW2hDQ0BnXzPyHXe+YVjnbJyYyizGDyr8uMwZwItCqSw==" saltValue="MA5jF6IwfJfqwLwgr/tUdg==" spinCount="100000" sqref="C3396" name="NOMES_49"/>
    <protectedRange algorithmName="SHA-512" hashValue="PwlcJgq+aEDWZnrGqKo3HdisZMsnLZsF2IWWbZKq1yqW2hDQ0BnXzPyHXe+YVjnbJyYyizGDyr8uMwZwItCqSw==" saltValue="MA5jF6IwfJfqwLwgr/tUdg==" spinCount="100000" sqref="C3415:C3416 C3725" name="NOMES_51"/>
    <protectedRange algorithmName="SHA-512" hashValue="PwlcJgq+aEDWZnrGqKo3HdisZMsnLZsF2IWWbZKq1yqW2hDQ0BnXzPyHXe+YVjnbJyYyizGDyr8uMwZwItCqSw==" saltValue="MA5jF6IwfJfqwLwgr/tUdg==" spinCount="100000" sqref="C3417" name="NOMES_52"/>
    <protectedRange algorithmName="SHA-512" hashValue="PwlcJgq+aEDWZnrGqKo3HdisZMsnLZsF2IWWbZKq1yqW2hDQ0BnXzPyHXe+YVjnbJyYyizGDyr8uMwZwItCqSw==" saltValue="MA5jF6IwfJfqwLwgr/tUdg==" spinCount="100000" sqref="C3418:C3422" name="NOMES_53"/>
    <protectedRange algorithmName="SHA-512" hashValue="PwlcJgq+aEDWZnrGqKo3HdisZMsnLZsF2IWWbZKq1yqW2hDQ0BnXzPyHXe+YVjnbJyYyizGDyr8uMwZwItCqSw==" saltValue="MA5jF6IwfJfqwLwgr/tUdg==" spinCount="100000" sqref="C3423:C3425 C3734:C3736 C4068 C4093:C4094 C4350 C4442 C4447 C4726 C5215 C5943 C6014" name="NOMES_54"/>
  </protectedRanges>
  <conditionalFormatting sqref="A1:A1048576">
    <cfRule type="containsText" dxfId="1348" priority="1053" operator="containsText" text="no">
      <formula>NOT(ISERROR(SEARCH("no",A1)))</formula>
    </cfRule>
  </conditionalFormatting>
  <conditionalFormatting sqref="B5897">
    <cfRule type="expression" dxfId="1347" priority="54" stopIfTrue="1">
      <formula>$Z5897="Pendiente Ingresar"</formula>
    </cfRule>
    <cfRule type="expression" dxfId="1346" priority="53" stopIfTrue="1">
      <formula>$Z5897="Inactivo"</formula>
    </cfRule>
    <cfRule type="expression" dxfId="1345" priority="52" stopIfTrue="1">
      <formula>$Z5897="Activo"</formula>
    </cfRule>
  </conditionalFormatting>
  <conditionalFormatting sqref="C459">
    <cfRule type="expression" dxfId="1344" priority="2" stopIfTrue="1">
      <formula>$Z459="Activo"</formula>
    </cfRule>
    <cfRule type="expression" dxfId="1343" priority="3" stopIfTrue="1">
      <formula>$Z459="Inactivo"</formula>
    </cfRule>
    <cfRule type="expression" dxfId="1342" priority="4" stopIfTrue="1">
      <formula>$Z459="Pendiente Ingresar"</formula>
    </cfRule>
  </conditionalFormatting>
  <conditionalFormatting sqref="C494 C1430 C1463 C1815:C1818 C1851:C1858 C1862:C1866 C1883 C1885:C1889 C1932 C1944:C1945 C1967:C1983 C2785 C2787 C2909 C2983 C3296:C3379 C3427:C3646 C3648:C3663 C3665 C3667:C3682 C3684:C3705 C3707:C3797 C3799:C3881 C3883:C3895 C3897:C3901 C3903:C3916 C3918:C3944 C3946:C3956 C3982:C3988 C3990 C4204 B4483:B4485">
    <cfRule type="expression" dxfId="1341" priority="467" stopIfTrue="1">
      <formula>$Z494="Pendiente Ingresar"</formula>
    </cfRule>
    <cfRule type="expression" dxfId="1340" priority="466" stopIfTrue="1">
      <formula>$Z494="Inactivo"</formula>
    </cfRule>
    <cfRule type="expression" dxfId="1339" priority="465" stopIfTrue="1">
      <formula>$Z494="Activo"</formula>
    </cfRule>
  </conditionalFormatting>
  <conditionalFormatting sqref="C650">
    <cfRule type="expression" dxfId="1338" priority="464" stopIfTrue="1">
      <formula>$Z650="Pendiente Ingresar"</formula>
    </cfRule>
    <cfRule type="expression" dxfId="1337" priority="463" stopIfTrue="1">
      <formula>$Z650="Inactivo"</formula>
    </cfRule>
    <cfRule type="expression" dxfId="1336" priority="462" stopIfTrue="1">
      <formula>$Z650="Activo"</formula>
    </cfRule>
  </conditionalFormatting>
  <conditionalFormatting sqref="C900 H1627:I1628 H1794:I1795 H3387:I3388 H3415 H3416:I3451 H3471 H3472:I3472 H3473:H3480 H3481:I3486 I3489:I3501 H3493:H3501 I3523:I3532 I3708:I3714 H3796:I3796 I3849 H4146:I4146 H4455:I4455 I5720">
    <cfRule type="expression" dxfId="1335" priority="810">
      <formula>$Y900="Prueba"</formula>
    </cfRule>
    <cfRule type="expression" dxfId="1334" priority="808">
      <formula>$Y900="Activo"</formula>
    </cfRule>
    <cfRule type="expression" dxfId="1333" priority="809">
      <formula>$Y900="Inactivo"</formula>
    </cfRule>
    <cfRule type="expression" dxfId="1332" priority="807">
      <formula>$Y900="Pendiente Ingresar"</formula>
    </cfRule>
  </conditionalFormatting>
  <conditionalFormatting sqref="C1174:C1175 C2151:C2152">
    <cfRule type="expression" dxfId="1331" priority="1334" stopIfTrue="1">
      <formula>$Y1174="Activo"</formula>
    </cfRule>
    <cfRule type="expression" dxfId="1330" priority="1336" stopIfTrue="1">
      <formula>$Y1174="Pendiente Ingresar"</formula>
    </cfRule>
    <cfRule type="expression" dxfId="1329" priority="1335" stopIfTrue="1">
      <formula>$Y1174="Inactivo"</formula>
    </cfRule>
  </conditionalFormatting>
  <conditionalFormatting sqref="C1178:C1183">
    <cfRule type="expression" dxfId="1328" priority="1333" stopIfTrue="1">
      <formula>$Y1178="Pendiente Ingresar"</formula>
    </cfRule>
    <cfRule type="expression" dxfId="1327" priority="1332" stopIfTrue="1">
      <formula>$Y1178="Inactivo"</formula>
    </cfRule>
    <cfRule type="expression" dxfId="1326" priority="1331" stopIfTrue="1">
      <formula>$Y1178="Activo"</formula>
    </cfRule>
  </conditionalFormatting>
  <conditionalFormatting sqref="C1182:C1183">
    <cfRule type="expression" dxfId="1325" priority="1330">
      <formula>$Y1182="Activo"</formula>
    </cfRule>
  </conditionalFormatting>
  <conditionalFormatting sqref="C1185:C1187">
    <cfRule type="expression" dxfId="1324" priority="1337">
      <formula>$Y1185="Activo"</formula>
    </cfRule>
  </conditionalFormatting>
  <conditionalFormatting sqref="C1185:C1188">
    <cfRule type="expression" dxfId="1323" priority="1340" stopIfTrue="1">
      <formula>$Y1185="Pendiente Ingresar"</formula>
    </cfRule>
    <cfRule type="expression" dxfId="1322" priority="1339" stopIfTrue="1">
      <formula>$Y1185="Inactivo"</formula>
    </cfRule>
    <cfRule type="expression" dxfId="1321" priority="1338" stopIfTrue="1">
      <formula>$Y1185="Activo"</formula>
    </cfRule>
  </conditionalFormatting>
  <conditionalFormatting sqref="C1191:C1194">
    <cfRule type="expression" dxfId="1320" priority="1328" stopIfTrue="1">
      <formula>$Y1191="Inactivo"</formula>
    </cfRule>
    <cfRule type="expression" dxfId="1319" priority="1329" stopIfTrue="1">
      <formula>$Y1191="Pendiente Ingresar"</formula>
    </cfRule>
    <cfRule type="expression" dxfId="1318" priority="1327" stopIfTrue="1">
      <formula>$Y1191="Activo"</formula>
    </cfRule>
  </conditionalFormatting>
  <conditionalFormatting sqref="C1196:C1200">
    <cfRule type="expression" dxfId="1317" priority="1323" stopIfTrue="1">
      <formula>$Y1196="Activo"</formula>
    </cfRule>
    <cfRule type="expression" dxfId="1316" priority="1324" stopIfTrue="1">
      <formula>$Y1196="Inactivo"</formula>
    </cfRule>
    <cfRule type="expression" dxfId="1315" priority="1325" stopIfTrue="1">
      <formula>$Y1196="Pendiente Ingresar"</formula>
    </cfRule>
  </conditionalFormatting>
  <conditionalFormatting sqref="C1203:C1205">
    <cfRule type="expression" dxfId="1314" priority="1321" stopIfTrue="1">
      <formula>$Y1203="Inactivo"</formula>
    </cfRule>
    <cfRule type="expression" dxfId="1313" priority="1320" stopIfTrue="1">
      <formula>$Y1203="Activo"</formula>
    </cfRule>
    <cfRule type="expression" dxfId="1312" priority="1319">
      <formula>$Y1203="Activo"</formula>
    </cfRule>
    <cfRule type="expression" dxfId="1311" priority="1322" stopIfTrue="1">
      <formula>$Y1203="Pendiente Ingresar"</formula>
    </cfRule>
  </conditionalFormatting>
  <conditionalFormatting sqref="C1212:C1215">
    <cfRule type="expression" dxfId="1310" priority="1316" stopIfTrue="1">
      <formula>$Y1212="Activo"</formula>
    </cfRule>
    <cfRule type="expression" dxfId="1309" priority="1317" stopIfTrue="1">
      <formula>$Y1212="Inactivo"</formula>
    </cfRule>
    <cfRule type="expression" dxfId="1308" priority="1318" stopIfTrue="1">
      <formula>$Y1212="Pendiente Ingresar"</formula>
    </cfRule>
    <cfRule type="expression" dxfId="1307" priority="1315">
      <formula>$Y1212="Activo"</formula>
    </cfRule>
  </conditionalFormatting>
  <conditionalFormatting sqref="C1218 C2347">
    <cfRule type="expression" dxfId="1306" priority="1343" stopIfTrue="1">
      <formula>$AC1218="Activo"</formula>
    </cfRule>
    <cfRule type="expression" dxfId="1305" priority="1342">
      <formula>$AC1218="Activo"</formula>
    </cfRule>
    <cfRule type="expression" dxfId="1304" priority="1345" stopIfTrue="1">
      <formula>$AC1218="Pendiente Ingresar"</formula>
    </cfRule>
    <cfRule type="expression" dxfId="1303" priority="1344" stopIfTrue="1">
      <formula>$AC1218="Inactivo"</formula>
    </cfRule>
  </conditionalFormatting>
  <conditionalFormatting sqref="C1229:C1230">
    <cfRule type="expression" dxfId="1302" priority="1313" stopIfTrue="1">
      <formula>$Y1229="Pendiente Ingresar"</formula>
    </cfRule>
    <cfRule type="expression" dxfId="1301" priority="1312" stopIfTrue="1">
      <formula>$Y1229="Inactivo"</formula>
    </cfRule>
    <cfRule type="expression" dxfId="1300" priority="1310">
      <formula>$Y1229="Activo"</formula>
    </cfRule>
    <cfRule type="expression" dxfId="1299" priority="1311" stopIfTrue="1">
      <formula>$Y1229="Activo"</formula>
    </cfRule>
  </conditionalFormatting>
  <conditionalFormatting sqref="C1235">
    <cfRule type="expression" dxfId="1298" priority="1307" stopIfTrue="1">
      <formula>$Y1235="Activo"</formula>
    </cfRule>
    <cfRule type="expression" dxfId="1297" priority="1308" stopIfTrue="1">
      <formula>$Y1235="Inactivo"</formula>
    </cfRule>
    <cfRule type="expression" dxfId="1296" priority="1309" stopIfTrue="1">
      <formula>$Y1235="Pendiente Ingresar"</formula>
    </cfRule>
    <cfRule type="expression" dxfId="1295" priority="1306">
      <formula>$Y1235="Activo"</formula>
    </cfRule>
  </conditionalFormatting>
  <conditionalFormatting sqref="C1240:C1242">
    <cfRule type="expression" dxfId="1294" priority="1305" stopIfTrue="1">
      <formula>$Y1240="Pendiente Ingresar"</formula>
    </cfRule>
    <cfRule type="expression" dxfId="1293" priority="1304" stopIfTrue="1">
      <formula>$Y1240="Inactivo"</formula>
    </cfRule>
    <cfRule type="expression" dxfId="1292" priority="1303" stopIfTrue="1">
      <formula>$Y1240="Activo"</formula>
    </cfRule>
  </conditionalFormatting>
  <conditionalFormatting sqref="C1258:C1259">
    <cfRule type="expression" dxfId="1291" priority="1299">
      <formula>$Y1258="Activo"</formula>
    </cfRule>
  </conditionalFormatting>
  <conditionalFormatting sqref="C1258:C1260">
    <cfRule type="expression" dxfId="1290" priority="1302" stopIfTrue="1">
      <formula>$Y1258="Pendiente Ingresar"</formula>
    </cfRule>
    <cfRule type="expression" dxfId="1289" priority="1301" stopIfTrue="1">
      <formula>$Y1258="Inactivo"</formula>
    </cfRule>
    <cfRule type="expression" dxfId="1288" priority="1300" stopIfTrue="1">
      <formula>$Y1258="Activo"</formula>
    </cfRule>
  </conditionalFormatting>
  <conditionalFormatting sqref="C1263:C1265">
    <cfRule type="expression" dxfId="1287" priority="1298" stopIfTrue="1">
      <formula>$Y1263="Pendiente Ingresar"</formula>
    </cfRule>
    <cfRule type="expression" dxfId="1286" priority="1297" stopIfTrue="1">
      <formula>$Y1263="Inactivo"</formula>
    </cfRule>
    <cfRule type="expression" dxfId="1285" priority="1296" stopIfTrue="1">
      <formula>$Y1263="Activo"</formula>
    </cfRule>
  </conditionalFormatting>
  <conditionalFormatting sqref="C1275">
    <cfRule type="expression" dxfId="1284" priority="1295" stopIfTrue="1">
      <formula>$Y1275="Pendiente Ingresar"</formula>
    </cfRule>
    <cfRule type="expression" dxfId="1283" priority="1294" stopIfTrue="1">
      <formula>$Y1275="Inactivo"</formula>
    </cfRule>
    <cfRule type="expression" dxfId="1282" priority="1293" stopIfTrue="1">
      <formula>$Y1275="Activo"</formula>
    </cfRule>
    <cfRule type="expression" dxfId="1281" priority="1292">
      <formula>$Y1275="Activo"</formula>
    </cfRule>
  </conditionalFormatting>
  <conditionalFormatting sqref="C1424">
    <cfRule type="expression" dxfId="1280" priority="1291" stopIfTrue="1">
      <formula>$AC1424="Pendiente Ingresar"</formula>
    </cfRule>
    <cfRule type="expression" dxfId="1279" priority="1290" stopIfTrue="1">
      <formula>$AC1424="Inactivo"</formula>
    </cfRule>
    <cfRule type="expression" dxfId="1278" priority="1289" stopIfTrue="1">
      <formula>$AC1424="Activo"</formula>
    </cfRule>
    <cfRule type="expression" dxfId="1277" priority="1288">
      <formula>$AC1424="Activo"</formula>
    </cfRule>
  </conditionalFormatting>
  <conditionalFormatting sqref="C1427">
    <cfRule type="expression" dxfId="1276" priority="237" stopIfTrue="1">
      <formula>$Z1427="Activo"</formula>
    </cfRule>
    <cfRule type="expression" dxfId="1275" priority="238" stopIfTrue="1">
      <formula>$Z1427="Inactivo"</formula>
    </cfRule>
    <cfRule type="expression" dxfId="1274" priority="239" stopIfTrue="1">
      <formula>$Z1427="Pendiente Ingresar"</formula>
    </cfRule>
  </conditionalFormatting>
  <conditionalFormatting sqref="C1451">
    <cfRule type="expression" dxfId="1273" priority="1287" stopIfTrue="1">
      <formula>$Y1451="Pendiente Ingresar"</formula>
    </cfRule>
    <cfRule type="expression" dxfId="1272" priority="1286" stopIfTrue="1">
      <formula>$Y1451="Inactivo"</formula>
    </cfRule>
    <cfRule type="expression" dxfId="1271" priority="1285" stopIfTrue="1">
      <formula>$Y1451="Activo"</formula>
    </cfRule>
  </conditionalFormatting>
  <conditionalFormatting sqref="C1452">
    <cfRule type="expression" dxfId="1270" priority="1284" stopIfTrue="1">
      <formula>$AC1452="Pendiente Ingresar"</formula>
    </cfRule>
    <cfRule type="expression" dxfId="1269" priority="1283" stopIfTrue="1">
      <formula>$AC1452="Inactivo"</formula>
    </cfRule>
    <cfRule type="expression" dxfId="1268" priority="1281">
      <formula>$AC1452="Activo"</formula>
    </cfRule>
    <cfRule type="expression" dxfId="1267" priority="1282" stopIfTrue="1">
      <formula>$AC1452="Activo"</formula>
    </cfRule>
  </conditionalFormatting>
  <conditionalFormatting sqref="C1481">
    <cfRule type="expression" dxfId="1266" priority="1280" stopIfTrue="1">
      <formula>$Y1481="Pendiente Ingresar"</formula>
    </cfRule>
    <cfRule type="expression" dxfId="1265" priority="1279" stopIfTrue="1">
      <formula>$Y1481="Inactivo"</formula>
    </cfRule>
    <cfRule type="expression" dxfId="1264" priority="1278" stopIfTrue="1">
      <formula>$Y1481="Activo"</formula>
    </cfRule>
  </conditionalFormatting>
  <conditionalFormatting sqref="C1485">
    <cfRule type="expression" dxfId="1263" priority="1277" stopIfTrue="1">
      <formula>$Y1485="Pendiente Ingresar"</formula>
    </cfRule>
    <cfRule type="expression" dxfId="1262" priority="1276" stopIfTrue="1">
      <formula>$Y1485="Inactivo"</formula>
    </cfRule>
    <cfRule type="expression" dxfId="1261" priority="1275" stopIfTrue="1">
      <formula>$Y1485="Activo"</formula>
    </cfRule>
  </conditionalFormatting>
  <conditionalFormatting sqref="C1490:C1491">
    <cfRule type="expression" dxfId="1260" priority="1274" stopIfTrue="1">
      <formula>$Y1490="Pendiente Ingresar"</formula>
    </cfRule>
    <cfRule type="expression" dxfId="1259" priority="1272" stopIfTrue="1">
      <formula>$Y1490="Activo"</formula>
    </cfRule>
    <cfRule type="expression" dxfId="1258" priority="1271">
      <formula>$Y1490="Activo"</formula>
    </cfRule>
    <cfRule type="expression" dxfId="1257" priority="1273" stopIfTrue="1">
      <formula>$Y1490="Inactivo"</formula>
    </cfRule>
  </conditionalFormatting>
  <conditionalFormatting sqref="C1493:C1494">
    <cfRule type="expression" dxfId="1256" priority="1269" stopIfTrue="1">
      <formula>$Y1493="Inactivo"</formula>
    </cfRule>
    <cfRule type="expression" dxfId="1255" priority="1270" stopIfTrue="1">
      <formula>$Y1493="Pendiente Ingresar"</formula>
    </cfRule>
    <cfRule type="expression" dxfId="1254" priority="1268" stopIfTrue="1">
      <formula>$Y1493="Activo"</formula>
    </cfRule>
    <cfRule type="expression" dxfId="1253" priority="1267">
      <formula>$Y1493="Activo"</formula>
    </cfRule>
  </conditionalFormatting>
  <conditionalFormatting sqref="C1513">
    <cfRule type="expression" dxfId="1252" priority="1266" stopIfTrue="1">
      <formula>$Y1513="Pendiente Ingresar"</formula>
    </cfRule>
    <cfRule type="expression" dxfId="1251" priority="1265" stopIfTrue="1">
      <formula>$Y1513="Inactivo"</formula>
    </cfRule>
    <cfRule type="expression" dxfId="1250" priority="1264" stopIfTrue="1">
      <formula>$Y1513="Activo"</formula>
    </cfRule>
    <cfRule type="expression" dxfId="1249" priority="1263">
      <formula>$Y1513="Activo"</formula>
    </cfRule>
  </conditionalFormatting>
  <conditionalFormatting sqref="C1514:C1515">
    <cfRule type="expression" dxfId="1248" priority="1261" stopIfTrue="1">
      <formula>$AC1514="Inactivo"</formula>
    </cfRule>
    <cfRule type="expression" dxfId="1247" priority="1260" stopIfTrue="1">
      <formula>$AC1514="Activo"</formula>
    </cfRule>
    <cfRule type="expression" dxfId="1246" priority="1259">
      <formula>$AC1514="Activo"</formula>
    </cfRule>
    <cfRule type="expression" dxfId="1245" priority="1262" stopIfTrue="1">
      <formula>$AC1514="Pendiente Ingresar"</formula>
    </cfRule>
  </conditionalFormatting>
  <conditionalFormatting sqref="C1555">
    <cfRule type="expression" dxfId="1244" priority="1258" stopIfTrue="1">
      <formula>$AC1555="Pendiente Ingresar"</formula>
    </cfRule>
    <cfRule type="expression" dxfId="1243" priority="1257" stopIfTrue="1">
      <formula>$AC1555="Inactivo"</formula>
    </cfRule>
    <cfRule type="expression" dxfId="1242" priority="1256" stopIfTrue="1">
      <formula>$AC1555="Activo"</formula>
    </cfRule>
    <cfRule type="expression" dxfId="1241" priority="1255">
      <formula>$AC1555="Activo"</formula>
    </cfRule>
  </conditionalFormatting>
  <conditionalFormatting sqref="C1589">
    <cfRule type="expression" dxfId="1240" priority="1254" stopIfTrue="1">
      <formula>$AC1589="Pendiente Ingresar"</formula>
    </cfRule>
    <cfRule type="expression" dxfId="1239" priority="1253" stopIfTrue="1">
      <formula>$AC1589="Inactivo"</formula>
    </cfRule>
    <cfRule type="expression" dxfId="1238" priority="1252" stopIfTrue="1">
      <formula>$AC1589="Activo"</formula>
    </cfRule>
    <cfRule type="expression" dxfId="1237" priority="1251">
      <formula>$AC1589="Activo"</formula>
    </cfRule>
  </conditionalFormatting>
  <conditionalFormatting sqref="C1620">
    <cfRule type="expression" dxfId="1236" priority="1249" stopIfTrue="1">
      <formula>$AC1620="Inactivo"</formula>
    </cfRule>
    <cfRule type="expression" dxfId="1235" priority="1247">
      <formula>$AC1620="Activo"</formula>
    </cfRule>
    <cfRule type="expression" dxfId="1234" priority="1250" stopIfTrue="1">
      <formula>$AC1620="Pendiente Ingresar"</formula>
    </cfRule>
    <cfRule type="expression" dxfId="1233" priority="1248" stopIfTrue="1">
      <formula>$AC1620="Activo"</formula>
    </cfRule>
  </conditionalFormatting>
  <conditionalFormatting sqref="C1664">
    <cfRule type="expression" dxfId="1232" priority="1246" stopIfTrue="1">
      <formula>$Y1664="Pendiente Ingresar"</formula>
    </cfRule>
    <cfRule type="expression" dxfId="1231" priority="1244" stopIfTrue="1">
      <formula>$Y1664="Activo"</formula>
    </cfRule>
    <cfRule type="expression" dxfId="1230" priority="1245" stopIfTrue="1">
      <formula>$Y1664="Inactivo"</formula>
    </cfRule>
  </conditionalFormatting>
  <conditionalFormatting sqref="C1666">
    <cfRule type="expression" dxfId="1229" priority="1241" stopIfTrue="1">
      <formula>$Y1666="Activo"</formula>
    </cfRule>
    <cfRule type="expression" dxfId="1228" priority="1242" stopIfTrue="1">
      <formula>$Y1666="Inactivo"</formula>
    </cfRule>
    <cfRule type="expression" dxfId="1227" priority="1243" stopIfTrue="1">
      <formula>$Y1666="Pendiente Ingresar"</formula>
    </cfRule>
  </conditionalFormatting>
  <conditionalFormatting sqref="C1790:C1792 C2056:C2060 C2232:C2237 C2408:C2414">
    <cfRule type="expression" dxfId="1226" priority="1240" stopIfTrue="1">
      <formula>$Z1790="Pendiente Ingresar"</formula>
    </cfRule>
    <cfRule type="expression" dxfId="1225" priority="1239" stopIfTrue="1">
      <formula>$Z1790="Inactivo"</formula>
    </cfRule>
  </conditionalFormatting>
  <conditionalFormatting sqref="C1807:C1811 C2056:C2060 C1790:C1792 C2232:C2237">
    <cfRule type="expression" dxfId="1224" priority="1238" stopIfTrue="1">
      <formula>$Z1790="Activo"</formula>
    </cfRule>
  </conditionalFormatting>
  <conditionalFormatting sqref="C1807:C1811">
    <cfRule type="expression" dxfId="1223" priority="1237" stopIfTrue="1">
      <formula>$Z1807="Pendiente Ingresar"</formula>
    </cfRule>
    <cfRule type="expression" dxfId="1222" priority="1236" stopIfTrue="1">
      <formula>$Z1807="Inactivo"</formula>
    </cfRule>
  </conditionalFormatting>
  <conditionalFormatting sqref="C1820:C1823">
    <cfRule type="expression" dxfId="1221" priority="1229" stopIfTrue="1">
      <formula>$Z1820="Activo"</formula>
    </cfRule>
    <cfRule type="expression" dxfId="1220" priority="1230" stopIfTrue="1">
      <formula>$Z1820="Inactivo"</formula>
    </cfRule>
    <cfRule type="expression" dxfId="1219" priority="1231" stopIfTrue="1">
      <formula>$Z1820="Pendiente Ingresar"</formula>
    </cfRule>
  </conditionalFormatting>
  <conditionalFormatting sqref="C1825:C1826">
    <cfRule type="expression" dxfId="1218" priority="1226" stopIfTrue="1">
      <formula>$Z1825="Activo"</formula>
    </cfRule>
    <cfRule type="expression" dxfId="1217" priority="1227" stopIfTrue="1">
      <formula>$Z1825="Inactivo"</formula>
    </cfRule>
    <cfRule type="expression" dxfId="1216" priority="1228" stopIfTrue="1">
      <formula>$Z1825="Pendiente Ingresar"</formula>
    </cfRule>
  </conditionalFormatting>
  <conditionalFormatting sqref="C1831:C1838">
    <cfRule type="expression" dxfId="1215" priority="1224" stopIfTrue="1">
      <formula>$Z1831="Inactivo"</formula>
    </cfRule>
    <cfRule type="expression" dxfId="1214" priority="1225" stopIfTrue="1">
      <formula>$Z1831="Pendiente Ingresar"</formula>
    </cfRule>
    <cfRule type="expression" dxfId="1213" priority="1223" stopIfTrue="1">
      <formula>$Z1831="Activo"</formula>
    </cfRule>
  </conditionalFormatting>
  <conditionalFormatting sqref="C1840">
    <cfRule type="expression" dxfId="1212" priority="1220" stopIfTrue="1">
      <formula>$Z1840="Activo"</formula>
    </cfRule>
    <cfRule type="expression" dxfId="1211" priority="1222" stopIfTrue="1">
      <formula>$Z1840="Pendiente Ingresar"</formula>
    </cfRule>
    <cfRule type="expression" dxfId="1210" priority="1221" stopIfTrue="1">
      <formula>$Z1840="Inactivo"</formula>
    </cfRule>
  </conditionalFormatting>
  <conditionalFormatting sqref="C1842">
    <cfRule type="expression" dxfId="1209" priority="760" stopIfTrue="1">
      <formula>$Z1842="Inactivo"</formula>
    </cfRule>
    <cfRule type="expression" dxfId="1208" priority="759" stopIfTrue="1">
      <formula>$Z1842="Activo"</formula>
    </cfRule>
    <cfRule type="expression" dxfId="1207" priority="761" stopIfTrue="1">
      <formula>$Z1842="Pendiente Ingresar"</formula>
    </cfRule>
  </conditionalFormatting>
  <conditionalFormatting sqref="C1860">
    <cfRule type="expression" dxfId="1206" priority="1218" stopIfTrue="1">
      <formula>$Z1860="Inactivo"</formula>
    </cfRule>
    <cfRule type="expression" dxfId="1205" priority="1219" stopIfTrue="1">
      <formula>$Z1860="Pendiente Ingresar"</formula>
    </cfRule>
    <cfRule type="expression" dxfId="1204" priority="1217" stopIfTrue="1">
      <formula>$Z1860="Activo"</formula>
    </cfRule>
  </conditionalFormatting>
  <conditionalFormatting sqref="C1873">
    <cfRule type="expression" dxfId="1203" priority="1033" stopIfTrue="1">
      <formula>$Y1873="Pendiente Ingresar"</formula>
    </cfRule>
    <cfRule type="expression" dxfId="1202" priority="1032" stopIfTrue="1">
      <formula>$Y1873="Inactivo"</formula>
    </cfRule>
    <cfRule type="expression" dxfId="1201" priority="1031" stopIfTrue="1">
      <formula>$Y1873="Activo"</formula>
    </cfRule>
  </conditionalFormatting>
  <conditionalFormatting sqref="C1875:C1876">
    <cfRule type="expression" dxfId="1200" priority="1215" stopIfTrue="1">
      <formula>$Z1875="Inactivo"</formula>
    </cfRule>
    <cfRule type="expression" dxfId="1199" priority="1216" stopIfTrue="1">
      <formula>$Z1875="Pendiente Ingresar"</formula>
    </cfRule>
    <cfRule type="expression" dxfId="1198" priority="1214" stopIfTrue="1">
      <formula>$Z1875="Activo"</formula>
    </cfRule>
  </conditionalFormatting>
  <conditionalFormatting sqref="C1878">
    <cfRule type="expression" dxfId="1197" priority="835">
      <formula>$Z1878="Inactivo"</formula>
    </cfRule>
    <cfRule type="expression" dxfId="1196" priority="833">
      <formula>$Z1878="Pendiente Ingresar"</formula>
    </cfRule>
    <cfRule type="expression" dxfId="1195" priority="834">
      <formula>$Z1878="Activo"</formula>
    </cfRule>
  </conditionalFormatting>
  <conditionalFormatting sqref="C1879:C1881">
    <cfRule type="expression" dxfId="1194" priority="1211" stopIfTrue="1">
      <formula>$Z1879="Activo"</formula>
    </cfRule>
    <cfRule type="expression" dxfId="1193" priority="1212" stopIfTrue="1">
      <formula>$Z1879="Inactivo"</formula>
    </cfRule>
    <cfRule type="expression" dxfId="1192" priority="1213" stopIfTrue="1">
      <formula>$Z1879="Pendiente Ingresar"</formula>
    </cfRule>
  </conditionalFormatting>
  <conditionalFormatting sqref="C1896">
    <cfRule type="expression" dxfId="1191" priority="1210" stopIfTrue="1">
      <formula>$AC1896="Pendiente Ingresar"</formula>
    </cfRule>
    <cfRule type="expression" dxfId="1190" priority="1207">
      <formula>$AC1896="Activo"</formula>
    </cfRule>
    <cfRule type="expression" dxfId="1189" priority="1208" stopIfTrue="1">
      <formula>$AC1896="Activo"</formula>
    </cfRule>
    <cfRule type="expression" dxfId="1188" priority="1209" stopIfTrue="1">
      <formula>$AC1896="Inactivo"</formula>
    </cfRule>
  </conditionalFormatting>
  <conditionalFormatting sqref="C1900">
    <cfRule type="expression" dxfId="1187" priority="1204" stopIfTrue="1">
      <formula>$Y1900="Activo"</formula>
    </cfRule>
    <cfRule type="expression" dxfId="1186" priority="1205" stopIfTrue="1">
      <formula>$Y1900="Inactivo"</formula>
    </cfRule>
    <cfRule type="expression" dxfId="1185" priority="1206" stopIfTrue="1">
      <formula>$Y1900="Pendiente Ingresar"</formula>
    </cfRule>
  </conditionalFormatting>
  <conditionalFormatting sqref="C1909:C1918">
    <cfRule type="expression" dxfId="1184" priority="1202" stopIfTrue="1">
      <formula>$Z1909="Inactivo"</formula>
    </cfRule>
    <cfRule type="expression" dxfId="1183" priority="1203" stopIfTrue="1">
      <formula>$Z1909="Pendiente Ingresar"</formula>
    </cfRule>
    <cfRule type="expression" dxfId="1182" priority="1201" stopIfTrue="1">
      <formula>$Z1909="Activo"</formula>
    </cfRule>
  </conditionalFormatting>
  <conditionalFormatting sqref="C1910:C1913">
    <cfRule type="expression" dxfId="1181" priority="1200">
      <formula>$Z1910="Activo"</formula>
    </cfRule>
  </conditionalFormatting>
  <conditionalFormatting sqref="C1919">
    <cfRule type="expression" dxfId="1180" priority="1196">
      <formula>$Z1919="Activo"</formula>
    </cfRule>
  </conditionalFormatting>
  <conditionalFormatting sqref="C1919:C1920">
    <cfRule type="expression" dxfId="1179" priority="1198" stopIfTrue="1">
      <formula>$Z1919="Inactivo"</formula>
    </cfRule>
    <cfRule type="expression" dxfId="1178" priority="1197" stopIfTrue="1">
      <formula>$Z1919="Activo"</formula>
    </cfRule>
    <cfRule type="expression" dxfId="1177" priority="1199" stopIfTrue="1">
      <formula>$Z1919="Pendiente Ingresar"</formula>
    </cfRule>
  </conditionalFormatting>
  <conditionalFormatting sqref="C1935:C1936">
    <cfRule type="expression" dxfId="1176" priority="1194" stopIfTrue="1">
      <formula>$Z1935="Inactivo"</formula>
    </cfRule>
    <cfRule type="expression" dxfId="1175" priority="1195" stopIfTrue="1">
      <formula>$Z1935="Pendiente Ingresar"</formula>
    </cfRule>
    <cfRule type="expression" dxfId="1174" priority="1193" stopIfTrue="1">
      <formula>$Z1935="Activo"</formula>
    </cfRule>
  </conditionalFormatting>
  <conditionalFormatting sqref="C1938">
    <cfRule type="expression" dxfId="1173" priority="1234" stopIfTrue="1">
      <formula>$Z1938="Pendiente Ingresar"</formula>
    </cfRule>
    <cfRule type="expression" dxfId="1172" priority="1233" stopIfTrue="1">
      <formula>$Z1938="Inactivo"</formula>
    </cfRule>
    <cfRule type="expression" dxfId="1171" priority="1232" stopIfTrue="1">
      <formula>$Z1938="Activo"</formula>
    </cfRule>
  </conditionalFormatting>
  <conditionalFormatting sqref="C1940:C1942">
    <cfRule type="expression" dxfId="1170" priority="1190" stopIfTrue="1">
      <formula>$Z1940="Activo"</formula>
    </cfRule>
    <cfRule type="expression" dxfId="1169" priority="1191" stopIfTrue="1">
      <formula>$Z1940="Inactivo"</formula>
    </cfRule>
    <cfRule type="expression" dxfId="1168" priority="1192" stopIfTrue="1">
      <formula>$Z1940="Pendiente Ingresar"</formula>
    </cfRule>
  </conditionalFormatting>
  <conditionalFormatting sqref="C1947:C1951">
    <cfRule type="expression" dxfId="1167" priority="1189" stopIfTrue="1">
      <formula>$Z1947="Pendiente Ingresar"</formula>
    </cfRule>
    <cfRule type="expression" dxfId="1166" priority="1187" stopIfTrue="1">
      <formula>$Z1947="Activo"</formula>
    </cfRule>
    <cfRule type="expression" dxfId="1165" priority="1188" stopIfTrue="1">
      <formula>$Z1947="Inactivo"</formula>
    </cfRule>
  </conditionalFormatting>
  <conditionalFormatting sqref="C1948:C1951">
    <cfRule type="expression" dxfId="1164" priority="1186">
      <formula>$Z1948="Activo"</formula>
    </cfRule>
  </conditionalFormatting>
  <conditionalFormatting sqref="C1952">
    <cfRule type="expression" dxfId="1163" priority="1183" stopIfTrue="1">
      <formula>$Z1952="Activo"</formula>
    </cfRule>
    <cfRule type="expression" dxfId="1162" priority="1185" stopIfTrue="1">
      <formula>$Z1952="Pendiente Ingresar"</formula>
    </cfRule>
    <cfRule type="expression" dxfId="1161" priority="1184" stopIfTrue="1">
      <formula>$Z1952="Inactivo"</formula>
    </cfRule>
  </conditionalFormatting>
  <conditionalFormatting sqref="C1957:C1960">
    <cfRule type="expression" dxfId="1160" priority="1181" stopIfTrue="1">
      <formula>$Z1957="Pendiente Ingresar"</formula>
    </cfRule>
    <cfRule type="expression" dxfId="1159" priority="1179" stopIfTrue="1">
      <formula>$Z1957="Activo"</formula>
    </cfRule>
    <cfRule type="expression" dxfId="1158" priority="1180" stopIfTrue="1">
      <formula>$Z1957="Inactivo"</formula>
    </cfRule>
  </conditionalFormatting>
  <conditionalFormatting sqref="C1989">
    <cfRule type="expression" dxfId="1157" priority="1175">
      <formula>$Z1989="Activo"</formula>
    </cfRule>
  </conditionalFormatting>
  <conditionalFormatting sqref="C1989:C1990">
    <cfRule type="expression" dxfId="1156" priority="1178" stopIfTrue="1">
      <formula>$Z1989="Pendiente Ingresar"</formula>
    </cfRule>
    <cfRule type="expression" dxfId="1155" priority="1177" stopIfTrue="1">
      <formula>$Z1989="Inactivo"</formula>
    </cfRule>
    <cfRule type="expression" dxfId="1154" priority="1176" stopIfTrue="1">
      <formula>$Z1989="Activo"</formula>
    </cfRule>
  </conditionalFormatting>
  <conditionalFormatting sqref="C1991">
    <cfRule type="expression" dxfId="1153" priority="1171">
      <formula>$Z1991="Activo"</formula>
    </cfRule>
  </conditionalFormatting>
  <conditionalFormatting sqref="C1991:C1992">
    <cfRule type="expression" dxfId="1152" priority="1174" stopIfTrue="1">
      <formula>$Z1991="Pendiente Ingresar"</formula>
    </cfRule>
    <cfRule type="expression" dxfId="1151" priority="1172" stopIfTrue="1">
      <formula>$Z1991="Activo"</formula>
    </cfRule>
    <cfRule type="expression" dxfId="1150" priority="1173" stopIfTrue="1">
      <formula>$Z1991="Inactivo"</formula>
    </cfRule>
  </conditionalFormatting>
  <conditionalFormatting sqref="C1996:C1997">
    <cfRule type="expression" dxfId="1149" priority="1168" stopIfTrue="1">
      <formula>$Z1996="Activo"</formula>
    </cfRule>
    <cfRule type="expression" dxfId="1148" priority="1169" stopIfTrue="1">
      <formula>$Z1996="Inactivo"</formula>
    </cfRule>
    <cfRule type="expression" dxfId="1147" priority="1170" stopIfTrue="1">
      <formula>$Z1996="Pendiente Ingresar"</formula>
    </cfRule>
  </conditionalFormatting>
  <conditionalFormatting sqref="C2002:C2003">
    <cfRule type="expression" dxfId="1146" priority="1166" stopIfTrue="1">
      <formula>$Z2002="Inactivo"</formula>
    </cfRule>
    <cfRule type="expression" dxfId="1145" priority="1165" stopIfTrue="1">
      <formula>$Z2002="Activo"</formula>
    </cfRule>
    <cfRule type="expression" dxfId="1144" priority="1164">
      <formula>$Z2002="Activo"</formula>
    </cfRule>
    <cfRule type="expression" dxfId="1143" priority="1167" stopIfTrue="1">
      <formula>$Z2002="Pendiente Ingresar"</formula>
    </cfRule>
  </conditionalFormatting>
  <conditionalFormatting sqref="C2005">
    <cfRule type="expression" dxfId="1142" priority="1161" stopIfTrue="1">
      <formula>$AC2005="Activo"</formula>
    </cfRule>
    <cfRule type="expression" dxfId="1141" priority="1162" stopIfTrue="1">
      <formula>$AC2005="Inactivo"</formula>
    </cfRule>
    <cfRule type="expression" dxfId="1140" priority="1160">
      <formula>$AC2005="Activo"</formula>
    </cfRule>
    <cfRule type="expression" dxfId="1139" priority="1163" stopIfTrue="1">
      <formula>$AC2005="Pendiente Ingresar"</formula>
    </cfRule>
  </conditionalFormatting>
  <conditionalFormatting sqref="C2021">
    <cfRule type="expression" dxfId="1138" priority="1156">
      <formula>$Z2021="Activo"</formula>
    </cfRule>
    <cfRule type="expression" dxfId="1137" priority="1157" stopIfTrue="1">
      <formula>$Z2021="Activo"</formula>
    </cfRule>
    <cfRule type="expression" dxfId="1136" priority="1158" stopIfTrue="1">
      <formula>$Z2021="Inactivo"</formula>
    </cfRule>
    <cfRule type="expression" dxfId="1135" priority="1159" stopIfTrue="1">
      <formula>$Z2021="Pendiente Ingresar"</formula>
    </cfRule>
  </conditionalFormatting>
  <conditionalFormatting sqref="C2027:C2030">
    <cfRule type="expression" dxfId="1134" priority="1153" stopIfTrue="1">
      <formula>$Z2027="Activo"</formula>
    </cfRule>
    <cfRule type="expression" dxfId="1133" priority="1154" stopIfTrue="1">
      <formula>$Z2027="Inactivo"</formula>
    </cfRule>
    <cfRule type="expression" dxfId="1132" priority="1155" stopIfTrue="1">
      <formula>$Z2027="Pendiente Ingresar"</formula>
    </cfRule>
  </conditionalFormatting>
  <conditionalFormatting sqref="C2035:C2040">
    <cfRule type="expression" dxfId="1131" priority="1150" stopIfTrue="1">
      <formula>$Z2035="Activo"</formula>
    </cfRule>
    <cfRule type="expression" dxfId="1130" priority="1151" stopIfTrue="1">
      <formula>$Z2035="Inactivo"</formula>
    </cfRule>
    <cfRule type="expression" dxfId="1129" priority="1152" stopIfTrue="1">
      <formula>$Z2035="Pendiente Ingresar"</formula>
    </cfRule>
  </conditionalFormatting>
  <conditionalFormatting sqref="C2037:C2039">
    <cfRule type="expression" dxfId="1128" priority="1149">
      <formula>$Z2037="Activo"</formula>
    </cfRule>
  </conditionalFormatting>
  <conditionalFormatting sqref="C2057:C2060">
    <cfRule type="expression" dxfId="1127" priority="1144">
      <formula>$Z2057="Activo"</formula>
    </cfRule>
  </conditionalFormatting>
  <conditionalFormatting sqref="C2062">
    <cfRule type="expression" dxfId="1126" priority="1142" stopIfTrue="1">
      <formula>$Z2062="Inactivo"</formula>
    </cfRule>
    <cfRule type="expression" dxfId="1125" priority="1143" stopIfTrue="1">
      <formula>$Z2062="Pendiente Ingresar"</formula>
    </cfRule>
    <cfRule type="expression" dxfId="1124" priority="1141" stopIfTrue="1">
      <formula>$Z2062="Activo"</formula>
    </cfRule>
  </conditionalFormatting>
  <conditionalFormatting sqref="C2092">
    <cfRule type="expression" dxfId="1123" priority="1137">
      <formula>$AC2092="Activo"</formula>
    </cfRule>
    <cfRule type="expression" dxfId="1122" priority="1138" stopIfTrue="1">
      <formula>$AC2092="Activo"</formula>
    </cfRule>
    <cfRule type="expression" dxfId="1121" priority="1140" stopIfTrue="1">
      <formula>$AC2092="Pendiente Ingresar"</formula>
    </cfRule>
    <cfRule type="expression" dxfId="1120" priority="1139" stopIfTrue="1">
      <formula>$AC2092="Inactivo"</formula>
    </cfRule>
  </conditionalFormatting>
  <conditionalFormatting sqref="C2094">
    <cfRule type="expression" dxfId="1119" priority="1136" stopIfTrue="1">
      <formula>$Z2094="Pendiente Ingresar"</formula>
    </cfRule>
    <cfRule type="expression" dxfId="1118" priority="1135" stopIfTrue="1">
      <formula>$Z2094="Inactivo"</formula>
    </cfRule>
    <cfRule type="expression" dxfId="1117" priority="1134" stopIfTrue="1">
      <formula>$Z2094="Activo"</formula>
    </cfRule>
    <cfRule type="expression" dxfId="1116" priority="1133">
      <formula>$Z2094="Activo"</formula>
    </cfRule>
  </conditionalFormatting>
  <conditionalFormatting sqref="C2116">
    <cfRule type="expression" dxfId="1115" priority="1132" stopIfTrue="1">
      <formula>$Z2116="Pendiente Ingresar"</formula>
    </cfRule>
    <cfRule type="expression" dxfId="1114" priority="1131" stopIfTrue="1">
      <formula>$Z2116="Inactivo"</formula>
    </cfRule>
    <cfRule type="expression" dxfId="1113" priority="1130" stopIfTrue="1">
      <formula>$Z2116="Activo"</formula>
    </cfRule>
  </conditionalFormatting>
  <conditionalFormatting sqref="C2126:C2127">
    <cfRule type="expression" dxfId="1112" priority="1129" stopIfTrue="1">
      <formula>$Z2126="Pendiente Ingresar"</formula>
    </cfRule>
    <cfRule type="expression" dxfId="1111" priority="1127" stopIfTrue="1">
      <formula>$Z2126="Activo"</formula>
    </cfRule>
    <cfRule type="expression" dxfId="1110" priority="1128" stopIfTrue="1">
      <formula>$Z2126="Inactivo"</formula>
    </cfRule>
  </conditionalFormatting>
  <conditionalFormatting sqref="C2142">
    <cfRule type="expression" dxfId="1109" priority="1126" stopIfTrue="1">
      <formula>$Y2142="Pendiente Ingresar"</formula>
    </cfRule>
    <cfRule type="expression" dxfId="1108" priority="1125" stopIfTrue="1">
      <formula>$Y2142="Inactivo"</formula>
    </cfRule>
    <cfRule type="expression" dxfId="1107" priority="1124" stopIfTrue="1">
      <formula>$Y2142="Activo"</formula>
    </cfRule>
  </conditionalFormatting>
  <conditionalFormatting sqref="C2145:C2147">
    <cfRule type="expression" dxfId="1106" priority="1123" stopIfTrue="1">
      <formula>$Z2145="Pendiente Ingresar"</formula>
    </cfRule>
    <cfRule type="expression" dxfId="1105" priority="1122" stopIfTrue="1">
      <formula>$Z2145="Inactivo"</formula>
    </cfRule>
    <cfRule type="expression" dxfId="1104" priority="1121" stopIfTrue="1">
      <formula>$Z2145="Activo"</formula>
    </cfRule>
  </conditionalFormatting>
  <conditionalFormatting sqref="C2160">
    <cfRule type="expression" dxfId="1103" priority="1118" stopIfTrue="1">
      <formula>$Z2160="Activo"</formula>
    </cfRule>
    <cfRule type="expression" dxfId="1102" priority="1119" stopIfTrue="1">
      <formula>$Z2160="Inactivo"</formula>
    </cfRule>
    <cfRule type="expression" dxfId="1101" priority="1120" stopIfTrue="1">
      <formula>$Z2160="Pendiente Ingresar"</formula>
    </cfRule>
  </conditionalFormatting>
  <conditionalFormatting sqref="C2173:C2179">
    <cfRule type="expression" dxfId="1100" priority="1115" stopIfTrue="1">
      <formula>$Z2173="Activo"</formula>
    </cfRule>
    <cfRule type="expression" dxfId="1099" priority="1116" stopIfTrue="1">
      <formula>$Z2173="Inactivo"</formula>
    </cfRule>
    <cfRule type="expression" dxfId="1098" priority="1117" stopIfTrue="1">
      <formula>$Z2173="Pendiente Ingresar"</formula>
    </cfRule>
  </conditionalFormatting>
  <conditionalFormatting sqref="C2184:C2187">
    <cfRule type="expression" dxfId="1097" priority="1113" stopIfTrue="1">
      <formula>$Z2184="Inactivo"</formula>
    </cfRule>
    <cfRule type="expression" dxfId="1096" priority="1114" stopIfTrue="1">
      <formula>$Z2184="Pendiente Ingresar"</formula>
    </cfRule>
    <cfRule type="expression" dxfId="1095" priority="1112" stopIfTrue="1">
      <formula>$Z2184="Activo"</formula>
    </cfRule>
  </conditionalFormatting>
  <conditionalFormatting sqref="C2197:C2198">
    <cfRule type="expression" dxfId="1094" priority="1110" stopIfTrue="1">
      <formula>$AC2197="Inactivo"</formula>
    </cfRule>
    <cfRule type="expression" dxfId="1093" priority="1111" stopIfTrue="1">
      <formula>$AC2197="Pendiente Ingresar"</formula>
    </cfRule>
    <cfRule type="expression" dxfId="1092" priority="1109" stopIfTrue="1">
      <formula>$AC2197="Activo"</formula>
    </cfRule>
    <cfRule type="expression" dxfId="1091" priority="1108">
      <formula>$AC2197="Activo"</formula>
    </cfRule>
  </conditionalFormatting>
  <conditionalFormatting sqref="C2201">
    <cfRule type="expression" dxfId="1090" priority="1012" stopIfTrue="1">
      <formula>$AC2201="Activo"</formula>
    </cfRule>
    <cfRule type="expression" dxfId="1089" priority="1014" stopIfTrue="1">
      <formula>$AC2201="Pendiente Ingresar"</formula>
    </cfRule>
    <cfRule type="expression" dxfId="1088" priority="1011">
      <formula>$AC2201="Activo"</formula>
    </cfRule>
    <cfRule type="expression" dxfId="1087" priority="1013" stopIfTrue="1">
      <formula>$AC2201="Inactivo"</formula>
    </cfRule>
  </conditionalFormatting>
  <conditionalFormatting sqref="C2215">
    <cfRule type="expression" dxfId="1086" priority="1107" stopIfTrue="1">
      <formula>$Z2215="Pendiente Ingresar"</formula>
    </cfRule>
    <cfRule type="expression" dxfId="1085" priority="1105" stopIfTrue="1">
      <formula>$Z2215="Activo"</formula>
    </cfRule>
    <cfRule type="expression" dxfId="1084" priority="1106" stopIfTrue="1">
      <formula>$Z2215="Inactivo"</formula>
    </cfRule>
  </conditionalFormatting>
  <conditionalFormatting sqref="C2257">
    <cfRule type="expression" dxfId="1083" priority="1101" stopIfTrue="1">
      <formula>$Z2257="Pendiente Ingresar"</formula>
    </cfRule>
    <cfRule type="expression" dxfId="1082" priority="1100" stopIfTrue="1">
      <formula>$Z2257="Inactivo"</formula>
    </cfRule>
    <cfRule type="expression" dxfId="1081" priority="1099" stopIfTrue="1">
      <formula>$Z2257="Activo"</formula>
    </cfRule>
  </conditionalFormatting>
  <conditionalFormatting sqref="C2259:C2260">
    <cfRule type="expression" dxfId="1080" priority="1096" stopIfTrue="1">
      <formula>$Z2259="Activo"</formula>
    </cfRule>
    <cfRule type="expression" dxfId="1079" priority="1098" stopIfTrue="1">
      <formula>$Z2259="Pendiente Ingresar"</formula>
    </cfRule>
    <cfRule type="expression" dxfId="1078" priority="1097" stopIfTrue="1">
      <formula>$Z2259="Inactivo"</formula>
    </cfRule>
  </conditionalFormatting>
  <conditionalFormatting sqref="C2264:C2265">
    <cfRule type="expression" dxfId="1077" priority="1093" stopIfTrue="1">
      <formula>$AA2264="Activo"</formula>
    </cfRule>
    <cfRule type="expression" dxfId="1076" priority="1094" stopIfTrue="1">
      <formula>$AA2264="Inactivo"</formula>
    </cfRule>
    <cfRule type="expression" dxfId="1075" priority="1095" stopIfTrue="1">
      <formula>$AA2264="Pendiente Ingresar"</formula>
    </cfRule>
  </conditionalFormatting>
  <conditionalFormatting sqref="C2267:C2268">
    <cfRule type="expression" dxfId="1074" priority="1090" stopIfTrue="1">
      <formula>$AA2267="Activo"</formula>
    </cfRule>
    <cfRule type="expression" dxfId="1073" priority="1091" stopIfTrue="1">
      <formula>$AA2267="Inactivo"</formula>
    </cfRule>
    <cfRule type="expression" dxfId="1072" priority="1092" stopIfTrue="1">
      <formula>$AA2267="Pendiente Ingresar"</formula>
    </cfRule>
  </conditionalFormatting>
  <conditionalFormatting sqref="C2270:C2272">
    <cfRule type="expression" dxfId="1071" priority="1088" stopIfTrue="1">
      <formula>$AA2270="Inactivo"</formula>
    </cfRule>
    <cfRule type="expression" dxfId="1070" priority="1087" stopIfTrue="1">
      <formula>$AA2270="Activo"</formula>
    </cfRule>
    <cfRule type="expression" dxfId="1069" priority="1089" stopIfTrue="1">
      <formula>$AA2270="Pendiente Ingresar"</formula>
    </cfRule>
  </conditionalFormatting>
  <conditionalFormatting sqref="C2280:C2281">
    <cfRule type="expression" dxfId="1068" priority="1086" stopIfTrue="1">
      <formula>$AA2280="Pendiente Ingresar"</formula>
    </cfRule>
    <cfRule type="expression" dxfId="1067" priority="1085" stopIfTrue="1">
      <formula>$AA2280="Inactivo"</formula>
    </cfRule>
    <cfRule type="expression" dxfId="1066" priority="1084" stopIfTrue="1">
      <formula>$AA2280="Activo"</formula>
    </cfRule>
  </conditionalFormatting>
  <conditionalFormatting sqref="C2283">
    <cfRule type="expression" dxfId="1065" priority="1081" stopIfTrue="1">
      <formula>$AA2283="Activo"</formula>
    </cfRule>
    <cfRule type="expression" dxfId="1064" priority="1082" stopIfTrue="1">
      <formula>$AA2283="Inactivo"</formula>
    </cfRule>
    <cfRule type="expression" dxfId="1063" priority="1083" stopIfTrue="1">
      <formula>$AA2283="Pendiente Ingresar"</formula>
    </cfRule>
  </conditionalFormatting>
  <conditionalFormatting sqref="C2291">
    <cfRule type="expression" dxfId="1062" priority="1078" stopIfTrue="1">
      <formula>$AA2291="Activo"</formula>
    </cfRule>
    <cfRule type="expression" dxfId="1061" priority="1079" stopIfTrue="1">
      <formula>$AA2291="Inactivo"</formula>
    </cfRule>
    <cfRule type="expression" dxfId="1060" priority="1080" stopIfTrue="1">
      <formula>$AA2291="Pendiente Ingresar"</formula>
    </cfRule>
  </conditionalFormatting>
  <conditionalFormatting sqref="C2293">
    <cfRule type="expression" dxfId="1059" priority="1077" stopIfTrue="1">
      <formula>$AA2293="Pendiente Ingresar"</formula>
    </cfRule>
    <cfRule type="expression" dxfId="1058" priority="1076" stopIfTrue="1">
      <formula>$AA2293="Inactivo"</formula>
    </cfRule>
    <cfRule type="expression" dxfId="1057" priority="1075" stopIfTrue="1">
      <formula>$AA2293="Activo"</formula>
    </cfRule>
    <cfRule type="expression" dxfId="1056" priority="1074">
      <formula>$AA2293="Activo"</formula>
    </cfRule>
  </conditionalFormatting>
  <conditionalFormatting sqref="C2296:C2297">
    <cfRule type="expression" dxfId="1055" priority="1070">
      <formula>$Y2296="Activo"</formula>
    </cfRule>
    <cfRule type="expression" dxfId="1054" priority="1071" stopIfTrue="1">
      <formula>$Y2296="Activo"</formula>
    </cfRule>
    <cfRule type="expression" dxfId="1053" priority="1073" stopIfTrue="1">
      <formula>$Y2296="Pendiente Ingresar"</formula>
    </cfRule>
    <cfRule type="expression" dxfId="1052" priority="1072" stopIfTrue="1">
      <formula>$Y2296="Inactivo"</formula>
    </cfRule>
  </conditionalFormatting>
  <conditionalFormatting sqref="C2300">
    <cfRule type="expression" dxfId="1051" priority="1045" stopIfTrue="1">
      <formula>$Y2300="Inactivo"</formula>
    </cfRule>
    <cfRule type="expression" dxfId="1050" priority="1044" stopIfTrue="1">
      <formula>$Y2300="Activo"</formula>
    </cfRule>
    <cfRule type="expression" dxfId="1049" priority="1046" stopIfTrue="1">
      <formula>$Y2300="Pendiente Ingresar"</formula>
    </cfRule>
  </conditionalFormatting>
  <conditionalFormatting sqref="C2311">
    <cfRule type="expression" dxfId="1048" priority="1066">
      <formula>$Y2311="Activo"</formula>
    </cfRule>
    <cfRule type="expression" dxfId="1047" priority="1069" stopIfTrue="1">
      <formula>$Y2311="Pendiente Ingresar"</formula>
    </cfRule>
    <cfRule type="expression" dxfId="1046" priority="1067" stopIfTrue="1">
      <formula>$Y2311="Activo"</formula>
    </cfRule>
    <cfRule type="expression" dxfId="1045" priority="1068" stopIfTrue="1">
      <formula>$Y2311="Inactivo"</formula>
    </cfRule>
  </conditionalFormatting>
  <conditionalFormatting sqref="C2323">
    <cfRule type="expression" dxfId="1044" priority="1065" stopIfTrue="1">
      <formula>$Z2323="Pendiente Ingresar"</formula>
    </cfRule>
    <cfRule type="expression" dxfId="1043" priority="1064" stopIfTrue="1">
      <formula>$Z2323="Inactivo"</formula>
    </cfRule>
    <cfRule type="expression" dxfId="1042" priority="1063" stopIfTrue="1">
      <formula>$Z2323="Activo"</formula>
    </cfRule>
  </conditionalFormatting>
  <conditionalFormatting sqref="C2349:C2359">
    <cfRule type="expression" dxfId="1041" priority="1061" stopIfTrue="1">
      <formula>$AA2349="Inactivo"</formula>
    </cfRule>
    <cfRule type="expression" dxfId="1040" priority="1060" stopIfTrue="1">
      <formula>$AA2349="Activo"</formula>
    </cfRule>
    <cfRule type="expression" dxfId="1039" priority="1058" stopIfTrue="1">
      <formula>$AA2349="Pendiente"</formula>
    </cfRule>
    <cfRule type="expression" dxfId="1038" priority="1059" stopIfTrue="1">
      <formula>$AA2349="Prueba"</formula>
    </cfRule>
    <cfRule type="expression" dxfId="1037" priority="1062" stopIfTrue="1">
      <formula>$AA2349="Pendiente Ingresar"</formula>
    </cfRule>
  </conditionalFormatting>
  <conditionalFormatting sqref="C2402">
    <cfRule type="expression" dxfId="1036" priority="1057" stopIfTrue="1">
      <formula>$AC2402="Pendiente Ingresar"</formula>
    </cfRule>
    <cfRule type="expression" dxfId="1035" priority="1056" stopIfTrue="1">
      <formula>$AC2402="Inactivo"</formula>
    </cfRule>
    <cfRule type="expression" dxfId="1034" priority="1055" stopIfTrue="1">
      <formula>$AC2402="Activo"</formula>
    </cfRule>
    <cfRule type="expression" dxfId="1033" priority="1054">
      <formula>$AC2402="Activo"</formula>
    </cfRule>
  </conditionalFormatting>
  <conditionalFormatting sqref="C2406:C2411">
    <cfRule type="expression" dxfId="1032" priority="1052" stopIfTrue="1">
      <formula>$Z2406="Pendiente Ingresar"</formula>
    </cfRule>
    <cfRule type="expression" dxfId="1031" priority="1050" stopIfTrue="1">
      <formula>$Z2406="Activo"</formula>
    </cfRule>
    <cfRule type="expression" dxfId="1030" priority="1051" stopIfTrue="1">
      <formula>$Z2406="Inactivo"</formula>
    </cfRule>
  </conditionalFormatting>
  <conditionalFormatting sqref="C2406:C2414">
    <cfRule type="expression" dxfId="1029" priority="1047" stopIfTrue="1">
      <formula>$Z2406="Pendiente"</formula>
    </cfRule>
    <cfRule type="expression" dxfId="1028" priority="1048" stopIfTrue="1">
      <formula>$Z2406="Prueba"</formula>
    </cfRule>
  </conditionalFormatting>
  <conditionalFormatting sqref="C2408">
    <cfRule type="expression" dxfId="1027" priority="1049">
      <formula>$Z2408="Activo"</formula>
    </cfRule>
  </conditionalFormatting>
  <conditionalFormatting sqref="C2408:C2414">
    <cfRule type="expression" dxfId="1026" priority="1235" stopIfTrue="1">
      <formula>$Z2408="Activo"</formula>
    </cfRule>
  </conditionalFormatting>
  <conditionalFormatting sqref="C2629">
    <cfRule type="expression" dxfId="1025" priority="1036" stopIfTrue="1">
      <formula>$AC2629="Activo"</formula>
    </cfRule>
    <cfRule type="expression" dxfId="1024" priority="1035">
      <formula>$AC2629="Activo"</formula>
    </cfRule>
    <cfRule type="expression" dxfId="1023" priority="1038" stopIfTrue="1">
      <formula>$AC2629="Pendiente Ingresar"</formula>
    </cfRule>
    <cfRule type="expression" dxfId="1022" priority="1037" stopIfTrue="1">
      <formula>$AC2629="Inactivo"</formula>
    </cfRule>
  </conditionalFormatting>
  <conditionalFormatting sqref="C3268:C3294">
    <cfRule type="expression" dxfId="1021" priority="516" stopIfTrue="1">
      <formula>$Z3268="Inactivo"</formula>
    </cfRule>
    <cfRule type="expression" dxfId="1020" priority="517" stopIfTrue="1">
      <formula>$Z3268="Pendiente Ingresar"</formula>
    </cfRule>
    <cfRule type="expression" dxfId="1019" priority="515" stopIfTrue="1">
      <formula>$Z3268="Activo"</formula>
    </cfRule>
  </conditionalFormatting>
  <conditionalFormatting sqref="C3381:C3425">
    <cfRule type="expression" dxfId="1018" priority="179" stopIfTrue="1">
      <formula>$Z3381="Inactivo"</formula>
    </cfRule>
    <cfRule type="expression" dxfId="1017" priority="180" stopIfTrue="1">
      <formula>$Z3381="Pendiente Ingresar"</formula>
    </cfRule>
    <cfRule type="expression" dxfId="1016" priority="178" stopIfTrue="1">
      <formula>$Z3381="Activo"</formula>
    </cfRule>
  </conditionalFormatting>
  <conditionalFormatting sqref="C3958:C3980">
    <cfRule type="expression" dxfId="1015" priority="474" stopIfTrue="1">
      <formula>$Z3958="Pendiente Ingresar"</formula>
    </cfRule>
    <cfRule type="expression" dxfId="1014" priority="472" stopIfTrue="1">
      <formula>$Z3958="Activo"</formula>
    </cfRule>
    <cfRule type="expression" dxfId="1013" priority="473" stopIfTrue="1">
      <formula>$Z3958="Inactivo"</formula>
    </cfRule>
  </conditionalFormatting>
  <conditionalFormatting sqref="C3992:C3993">
    <cfRule type="expression" dxfId="1012" priority="721">
      <formula>$Y3992="Inactivo"</formula>
    </cfRule>
    <cfRule type="expression" dxfId="1011" priority="720">
      <formula>$Y3992="Activo"</formula>
    </cfRule>
    <cfRule type="expression" dxfId="1010" priority="719">
      <formula>$Y3992="Pendiente Ingresar"</formula>
    </cfRule>
    <cfRule type="expression" dxfId="1009" priority="722">
      <formula>$Y3992="Prueba"</formula>
    </cfRule>
  </conditionalFormatting>
  <conditionalFormatting sqref="C3992:C3995">
    <cfRule type="expression" dxfId="1008" priority="715">
      <formula>$Y3992="Pendiente Ingresar"</formula>
    </cfRule>
    <cfRule type="expression" dxfId="1007" priority="717">
      <formula>$Y3992="Inactivo"</formula>
    </cfRule>
    <cfRule type="expression" dxfId="1006" priority="718">
      <formula>$Y3992="Prueba"</formula>
    </cfRule>
    <cfRule type="expression" dxfId="1005" priority="716">
      <formula>$Y3992="Activo"</formula>
    </cfRule>
  </conditionalFormatting>
  <conditionalFormatting sqref="C3994:C3995">
    <cfRule type="expression" dxfId="1004" priority="714">
      <formula>$Y3994="Prueba"</formula>
    </cfRule>
    <cfRule type="expression" dxfId="1003" priority="711">
      <formula>$Y3994="Pendiente Ingresar"</formula>
    </cfRule>
    <cfRule type="expression" dxfId="1002" priority="712">
      <formula>$Y3994="Activo"</formula>
    </cfRule>
    <cfRule type="expression" dxfId="1001" priority="713">
      <formula>$Y3994="Inactivo"</formula>
    </cfRule>
  </conditionalFormatting>
  <conditionalFormatting sqref="C3996">
    <cfRule type="expression" dxfId="1000" priority="704" stopIfTrue="1">
      <formula>$AC3996="Activo"</formula>
    </cfRule>
    <cfRule type="expression" dxfId="999" priority="703">
      <formula>$AC3996="Activo"</formula>
    </cfRule>
    <cfRule type="expression" dxfId="998" priority="706" stopIfTrue="1">
      <formula>$AC3996="Pendiente Ingresar"</formula>
    </cfRule>
    <cfRule type="expression" dxfId="997" priority="705" stopIfTrue="1">
      <formula>$AC3996="Inactivo"</formula>
    </cfRule>
  </conditionalFormatting>
  <conditionalFormatting sqref="C4003">
    <cfRule type="expression" dxfId="996" priority="700" stopIfTrue="1">
      <formula>$Z4003="Activo"</formula>
    </cfRule>
    <cfRule type="expression" dxfId="995" priority="702" stopIfTrue="1">
      <formula>$Z4003="Pendiente Ingresar"</formula>
    </cfRule>
    <cfRule type="expression" dxfId="994" priority="701" stopIfTrue="1">
      <formula>$Z4003="Inactivo"</formula>
    </cfRule>
    <cfRule type="expression" dxfId="993" priority="699">
      <formula>$Z4003="Activo"</formula>
    </cfRule>
  </conditionalFormatting>
  <conditionalFormatting sqref="C4005">
    <cfRule type="expression" dxfId="992" priority="698" stopIfTrue="1">
      <formula>$Z4005="Pendiente Ingresar"</formula>
    </cfRule>
    <cfRule type="expression" dxfId="991" priority="696" stopIfTrue="1">
      <formula>$Z4005="Activo"</formula>
    </cfRule>
    <cfRule type="expression" dxfId="990" priority="697" stopIfTrue="1">
      <formula>$Z4005="Inactivo"</formula>
    </cfRule>
  </conditionalFormatting>
  <conditionalFormatting sqref="C4007">
    <cfRule type="expression" dxfId="989" priority="695" stopIfTrue="1">
      <formula>$Z4007="Pendiente Ingresar"</formula>
    </cfRule>
    <cfRule type="expression" dxfId="988" priority="693" stopIfTrue="1">
      <formula>$Z4007="Activo"</formula>
    </cfRule>
    <cfRule type="expression" dxfId="987" priority="692">
      <formula>$Z4007="Activo"</formula>
    </cfRule>
    <cfRule type="expression" dxfId="986" priority="694" stopIfTrue="1">
      <formula>$Z4007="Inactivo"</formula>
    </cfRule>
  </conditionalFormatting>
  <conditionalFormatting sqref="C4009">
    <cfRule type="expression" dxfId="985" priority="691" stopIfTrue="1">
      <formula>$Z4009="Pendiente Ingresar"</formula>
    </cfRule>
    <cfRule type="expression" dxfId="984" priority="690" stopIfTrue="1">
      <formula>$Z4009="Inactivo"</formula>
    </cfRule>
    <cfRule type="expression" dxfId="983" priority="689" stopIfTrue="1">
      <formula>$Z4009="Activo"</formula>
    </cfRule>
  </conditionalFormatting>
  <conditionalFormatting sqref="C4019">
    <cfRule type="expression" dxfId="982" priority="687" stopIfTrue="1">
      <formula>$AC4019="Inactivo"</formula>
    </cfRule>
    <cfRule type="expression" dxfId="981" priority="686" stopIfTrue="1">
      <formula>$AC4019="Activo"</formula>
    </cfRule>
    <cfRule type="expression" dxfId="980" priority="685">
      <formula>$AC4019="Activo"</formula>
    </cfRule>
    <cfRule type="expression" dxfId="979" priority="688" stopIfTrue="1">
      <formula>$AC4019="Pendiente Ingresar"</formula>
    </cfRule>
  </conditionalFormatting>
  <conditionalFormatting sqref="C4024">
    <cfRule type="expression" dxfId="978" priority="684" stopIfTrue="1">
      <formula>$AC4024="Pendiente Ingresar"</formula>
    </cfRule>
    <cfRule type="expression" dxfId="977" priority="683" stopIfTrue="1">
      <formula>$AC4024="Inactivo"</formula>
    </cfRule>
    <cfRule type="expression" dxfId="976" priority="681">
      <formula>$AC4024="Activo"</formula>
    </cfRule>
    <cfRule type="expression" dxfId="975" priority="682" stopIfTrue="1">
      <formula>$AC4024="Activo"</formula>
    </cfRule>
  </conditionalFormatting>
  <conditionalFormatting sqref="C4039">
    <cfRule type="expression" dxfId="974" priority="678">
      <formula>$Z4039="Pendiente Ingresar"</formula>
    </cfRule>
    <cfRule type="expression" dxfId="973" priority="680">
      <formula>$Z4039="Inactivo"</formula>
    </cfRule>
    <cfRule type="expression" dxfId="972" priority="679">
      <formula>$Z4039="Activo"</formula>
    </cfRule>
  </conditionalFormatting>
  <conditionalFormatting sqref="C4049">
    <cfRule type="expression" dxfId="971" priority="673" stopIfTrue="1">
      <formula>$Z4049="Pendiente Ingresar"</formula>
    </cfRule>
    <cfRule type="expression" dxfId="970" priority="671" stopIfTrue="1">
      <formula>$Z4049="Activo"</formula>
    </cfRule>
    <cfRule type="expression" dxfId="969" priority="672" stopIfTrue="1">
      <formula>$Z4049="Inactivo"</formula>
    </cfRule>
  </conditionalFormatting>
  <conditionalFormatting sqref="C4053">
    <cfRule type="expression" dxfId="968" priority="667">
      <formula>$Y4053="Pendiente Ingresar"</formula>
    </cfRule>
    <cfRule type="expression" dxfId="967" priority="668">
      <formula>$Y4053="Activo"</formula>
    </cfRule>
    <cfRule type="expression" dxfId="966" priority="669">
      <formula>$Y4053="Inactivo"</formula>
    </cfRule>
    <cfRule type="expression" dxfId="965" priority="670">
      <formula>$Y4053="Prueba"</formula>
    </cfRule>
  </conditionalFormatting>
  <conditionalFormatting sqref="C4068">
    <cfRule type="expression" dxfId="964" priority="653">
      <formula>$Y4068="Inactivo"</formula>
    </cfRule>
    <cfRule type="expression" dxfId="963" priority="651">
      <formula>$Y4068="Pendiente Ingresar"</formula>
    </cfRule>
    <cfRule type="expression" dxfId="962" priority="652">
      <formula>$Y4068="Activo"</formula>
    </cfRule>
    <cfRule type="expression" dxfId="961" priority="654">
      <formula>$Y4068="Prueba"</formula>
    </cfRule>
    <cfRule type="expression" dxfId="960" priority="657">
      <formula>$Y4068="Inactivo"</formula>
    </cfRule>
    <cfRule type="expression" dxfId="959" priority="658">
      <formula>$Y4068="Prueba"</formula>
    </cfRule>
    <cfRule type="expression" dxfId="958" priority="656">
      <formula>$Y4068="Activo"</formula>
    </cfRule>
    <cfRule type="expression" dxfId="957" priority="655">
      <formula>$Y4068="Pendiente Ingresar"</formula>
    </cfRule>
  </conditionalFormatting>
  <conditionalFormatting sqref="C4093:C4094">
    <cfRule type="expression" dxfId="956" priority="646">
      <formula>$Y4093="Prueba"</formula>
    </cfRule>
    <cfRule type="expression" dxfId="955" priority="645">
      <formula>$Y4093="Inactivo"</formula>
    </cfRule>
    <cfRule type="expression" dxfId="954" priority="644">
      <formula>$Y4093="Activo"</formula>
    </cfRule>
    <cfRule type="expression" dxfId="953" priority="643">
      <formula>$Y4093="Pendiente Ingresar"</formula>
    </cfRule>
  </conditionalFormatting>
  <conditionalFormatting sqref="C4093:C4096">
    <cfRule type="expression" dxfId="952" priority="639">
      <formula>$Y4093="Pendiente Ingresar"</formula>
    </cfRule>
    <cfRule type="expression" dxfId="951" priority="642">
      <formula>$Y4093="Prueba"</formula>
    </cfRule>
    <cfRule type="expression" dxfId="950" priority="641">
      <formula>$Y4093="Inactivo"</formula>
    </cfRule>
    <cfRule type="expression" dxfId="949" priority="640">
      <formula>$Y4093="Activo"</formula>
    </cfRule>
  </conditionalFormatting>
  <conditionalFormatting sqref="C4095:C4098">
    <cfRule type="expression" dxfId="948" priority="638">
      <formula>$Y4095="Prueba"</formula>
    </cfRule>
    <cfRule type="expression" dxfId="947" priority="636">
      <formula>$Y4095="Activo"</formula>
    </cfRule>
    <cfRule type="expression" dxfId="946" priority="635">
      <formula>$Y4095="Pendiente Ingresar"</formula>
    </cfRule>
    <cfRule type="expression" dxfId="945" priority="637">
      <formula>$Y4095="Inactivo"</formula>
    </cfRule>
  </conditionalFormatting>
  <conditionalFormatting sqref="C4097:C4098">
    <cfRule type="expression" dxfId="944" priority="634">
      <formula>$Y4097="Prueba"</formula>
    </cfRule>
    <cfRule type="expression" dxfId="943" priority="633">
      <formula>$Y4097="Inactivo"</formula>
    </cfRule>
    <cfRule type="expression" dxfId="942" priority="632">
      <formula>$Y4097="Activo"</formula>
    </cfRule>
    <cfRule type="expression" dxfId="941" priority="631">
      <formula>$Y4097="Pendiente Ingresar"</formula>
    </cfRule>
  </conditionalFormatting>
  <conditionalFormatting sqref="C4111">
    <cfRule type="expression" dxfId="940" priority="621">
      <formula>$Y4111="Inactivo"</formula>
    </cfRule>
    <cfRule type="expression" dxfId="939" priority="619">
      <formula>$Y4111="Pendiente Ingresar"</formula>
    </cfRule>
    <cfRule type="expression" dxfId="938" priority="622">
      <formula>$Y4111="Prueba"</formula>
    </cfRule>
    <cfRule type="expression" dxfId="937" priority="620">
      <formula>$Y4111="Activo"</formula>
    </cfRule>
  </conditionalFormatting>
  <conditionalFormatting sqref="C4116">
    <cfRule type="expression" dxfId="936" priority="604">
      <formula>$Y4116="Activo"</formula>
    </cfRule>
    <cfRule type="expression" dxfId="935" priority="605">
      <formula>$Y4116="Inactivo"</formula>
    </cfRule>
    <cfRule type="expression" dxfId="934" priority="606">
      <formula>$Y4116="Prueba"</formula>
    </cfRule>
    <cfRule type="expression" dxfId="933" priority="603">
      <formula>$Y4116="Pendiente Ingresar"</formula>
    </cfRule>
  </conditionalFormatting>
  <conditionalFormatting sqref="C4116:C4118">
    <cfRule type="expression" dxfId="932" priority="599">
      <formula>$Y4116="Pendiente Ingresar"</formula>
    </cfRule>
    <cfRule type="expression" dxfId="931" priority="601">
      <formula>$Y4116="Inactivo"</formula>
    </cfRule>
    <cfRule type="expression" dxfId="930" priority="600">
      <formula>$Y4116="Activo"</formula>
    </cfRule>
    <cfRule type="expression" dxfId="929" priority="602">
      <formula>$Y4116="Prueba"</formula>
    </cfRule>
  </conditionalFormatting>
  <conditionalFormatting sqref="C4117:C4118">
    <cfRule type="expression" dxfId="928" priority="596">
      <formula>$Y4117="Activo"</formula>
    </cfRule>
    <cfRule type="expression" dxfId="927" priority="595">
      <formula>$Y4117="Pendiente Ingresar"</formula>
    </cfRule>
    <cfRule type="expression" dxfId="926" priority="598">
      <formula>$Y4117="Prueba"</formula>
    </cfRule>
    <cfRule type="expression" dxfId="925" priority="597">
      <formula>$Y4117="Inactivo"</formula>
    </cfRule>
  </conditionalFormatting>
  <conditionalFormatting sqref="C4138">
    <cfRule type="expression" dxfId="924" priority="583">
      <formula>$Z4138="Activo"</formula>
    </cfRule>
    <cfRule type="expression" dxfId="923" priority="586" stopIfTrue="1">
      <formula>$Z4138="Pendiente Ingresar"</formula>
    </cfRule>
    <cfRule type="expression" dxfId="922" priority="584" stopIfTrue="1">
      <formula>$Z4138="Activo"</formula>
    </cfRule>
    <cfRule type="expression" dxfId="921" priority="585" stopIfTrue="1">
      <formula>$Z4138="Inactivo"</formula>
    </cfRule>
  </conditionalFormatting>
  <conditionalFormatting sqref="C4146">
    <cfRule type="expression" dxfId="920" priority="579">
      <formula>$Y4146="Pendiente Ingresar"</formula>
    </cfRule>
    <cfRule type="expression" dxfId="919" priority="580">
      <formula>$Y4146="Activo"</formula>
    </cfRule>
    <cfRule type="expression" dxfId="918" priority="581">
      <formula>$Y4146="Inactivo"</formula>
    </cfRule>
    <cfRule type="expression" dxfId="917" priority="582">
      <formula>$Y4146="Prueba"</formula>
    </cfRule>
  </conditionalFormatting>
  <conditionalFormatting sqref="C4195">
    <cfRule type="expression" dxfId="916" priority="461" stopIfTrue="1">
      <formula>$Z4195="Pendiente Ingresar"</formula>
    </cfRule>
    <cfRule type="expression" dxfId="915" priority="459" stopIfTrue="1">
      <formula>$Z4195="Activo"</formula>
    </cfRule>
    <cfRule type="expression" dxfId="914" priority="460" stopIfTrue="1">
      <formula>$Z4195="Inactivo"</formula>
    </cfRule>
  </conditionalFormatting>
  <conditionalFormatting sqref="C4198">
    <cfRule type="expression" dxfId="913" priority="573" stopIfTrue="1">
      <formula>$Z4198="Inactivo"</formula>
    </cfRule>
    <cfRule type="expression" dxfId="912" priority="574" stopIfTrue="1">
      <formula>$Z4198="Pendiente Ingresar"</formula>
    </cfRule>
    <cfRule type="expression" dxfId="911" priority="572" stopIfTrue="1">
      <formula>$Z4198="Activo"</formula>
    </cfRule>
  </conditionalFormatting>
  <conditionalFormatting sqref="C4231:C4232">
    <cfRule type="expression" dxfId="910" priority="567" stopIfTrue="1">
      <formula>$Z4231="Pendiente Ingresar"</formula>
    </cfRule>
    <cfRule type="expression" dxfId="909" priority="566" stopIfTrue="1">
      <formula>$Z4231="Inactivo"</formula>
    </cfRule>
    <cfRule type="expression" dxfId="908" priority="565" stopIfTrue="1">
      <formula>$Z4231="Activo"</formula>
    </cfRule>
  </conditionalFormatting>
  <conditionalFormatting sqref="C4239">
    <cfRule type="expression" dxfId="907" priority="562">
      <formula>$Z4239="Pendiente Ingresar"</formula>
    </cfRule>
    <cfRule type="expression" dxfId="906" priority="563">
      <formula>$Z4239="Activo"</formula>
    </cfRule>
    <cfRule type="expression" dxfId="905" priority="564">
      <formula>$Z4239="Inactivo"</formula>
    </cfRule>
  </conditionalFormatting>
  <conditionalFormatting sqref="C4258">
    <cfRule type="expression" dxfId="904" priority="555">
      <formula>$Y4258="Activo"</formula>
    </cfRule>
    <cfRule type="expression" dxfId="903" priority="560">
      <formula>$Y4258="Inactivo"</formula>
    </cfRule>
    <cfRule type="expression" dxfId="902" priority="557">
      <formula>$Y4258="Prueba"</formula>
    </cfRule>
    <cfRule type="expression" dxfId="901" priority="558">
      <formula>$Y4258="Pendiente Ingresar"</formula>
    </cfRule>
    <cfRule type="expression" dxfId="900" priority="561">
      <formula>$Y4258="Prueba"</formula>
    </cfRule>
    <cfRule type="expression" dxfId="899" priority="559">
      <formula>$Y4258="Activo"</formula>
    </cfRule>
    <cfRule type="expression" dxfId="898" priority="554">
      <formula>$Y4258="Pendiente Ingresar"</formula>
    </cfRule>
    <cfRule type="expression" dxfId="897" priority="556">
      <formula>$Y4258="Inactivo"</formula>
    </cfRule>
  </conditionalFormatting>
  <conditionalFormatting sqref="C4287">
    <cfRule type="expression" dxfId="896" priority="548" stopIfTrue="1">
      <formula>$Z4287="Pendiente Ingresar"</formula>
    </cfRule>
    <cfRule type="expression" dxfId="895" priority="546" stopIfTrue="1">
      <formula>$Z4287="Activo"</formula>
    </cfRule>
    <cfRule type="expression" dxfId="894" priority="547" stopIfTrue="1">
      <formula>$Z4287="Inactivo"</formula>
    </cfRule>
  </conditionalFormatting>
  <conditionalFormatting sqref="C4288">
    <cfRule type="expression" dxfId="893" priority="544" stopIfTrue="1">
      <formula>$AC4288="Inactivo"</formula>
    </cfRule>
    <cfRule type="expression" dxfId="892" priority="543" stopIfTrue="1">
      <formula>$AC4288="Activo"</formula>
    </cfRule>
    <cfRule type="expression" dxfId="891" priority="542">
      <formula>$AC4288="Activo"</formula>
    </cfRule>
    <cfRule type="expression" dxfId="890" priority="545" stopIfTrue="1">
      <formula>$AC4288="Pendiente Ingresar"</formula>
    </cfRule>
  </conditionalFormatting>
  <conditionalFormatting sqref="C4334:C4335">
    <cfRule type="expression" dxfId="889" priority="541" stopIfTrue="1">
      <formula>$Z4334="Pendiente Ingresar"</formula>
    </cfRule>
    <cfRule type="expression" dxfId="888" priority="540" stopIfTrue="1">
      <formula>$Z4334="Inactivo"</formula>
    </cfRule>
    <cfRule type="expression" dxfId="887" priority="539" stopIfTrue="1">
      <formula>$Z4334="Activo"</formula>
    </cfRule>
  </conditionalFormatting>
  <conditionalFormatting sqref="C4335">
    <cfRule type="expression" dxfId="886" priority="538">
      <formula>$Z4335="Activo"</formula>
    </cfRule>
  </conditionalFormatting>
  <conditionalFormatting sqref="C4338:C4339">
    <cfRule type="expression" dxfId="885" priority="537" stopIfTrue="1">
      <formula>$Z4338="Pendiente Ingresar"</formula>
    </cfRule>
    <cfRule type="expression" dxfId="884" priority="536" stopIfTrue="1">
      <formula>$Z4338="Inactivo"</formula>
    </cfRule>
    <cfRule type="expression" dxfId="883" priority="535" stopIfTrue="1">
      <formula>$Z4338="Activo"</formula>
    </cfRule>
  </conditionalFormatting>
  <conditionalFormatting sqref="C4339">
    <cfRule type="expression" dxfId="882" priority="534">
      <formula>$Z4339="Activo"</formula>
    </cfRule>
  </conditionalFormatting>
  <conditionalFormatting sqref="C4344">
    <cfRule type="expression" dxfId="881" priority="533" stopIfTrue="1">
      <formula>$Z4344="Pendiente Ingresar"</formula>
    </cfRule>
    <cfRule type="expression" dxfId="880" priority="532" stopIfTrue="1">
      <formula>$Z4344="Inactivo"</formula>
    </cfRule>
    <cfRule type="expression" dxfId="879" priority="531" stopIfTrue="1">
      <formula>$Z4344="Activo"</formula>
    </cfRule>
  </conditionalFormatting>
  <conditionalFormatting sqref="C4417">
    <cfRule type="expression" dxfId="878" priority="523" stopIfTrue="1">
      <formula>$Z4417="Activo"</formula>
    </cfRule>
    <cfRule type="expression" dxfId="877" priority="524" stopIfTrue="1">
      <formula>$Z4417="Inactivo"</formula>
    </cfRule>
    <cfRule type="expression" dxfId="876" priority="525" stopIfTrue="1">
      <formula>$Z4417="Pendiente Ingresar"</formula>
    </cfRule>
  </conditionalFormatting>
  <conditionalFormatting sqref="C4442:C4445">
    <cfRule type="expression" dxfId="875" priority="509" stopIfTrue="1">
      <formula>$Z4442="Inactivo"</formula>
    </cfRule>
    <cfRule type="expression" dxfId="874" priority="510" stopIfTrue="1">
      <formula>$Z4442="Pendiente Ingresar"</formula>
    </cfRule>
    <cfRule type="expression" dxfId="873" priority="508" stopIfTrue="1">
      <formula>$Z4442="Activo"</formula>
    </cfRule>
  </conditionalFormatting>
  <conditionalFormatting sqref="C4447:C4451">
    <cfRule type="expression" dxfId="872" priority="501" stopIfTrue="1">
      <formula>$Z4447="Activo"</formula>
    </cfRule>
    <cfRule type="expression" dxfId="871" priority="502" stopIfTrue="1">
      <formula>$Z4447="Inactivo"</formula>
    </cfRule>
    <cfRule type="expression" dxfId="870" priority="503" stopIfTrue="1">
      <formula>$Z4447="Pendiente Ingresar"</formula>
    </cfRule>
  </conditionalFormatting>
  <conditionalFormatting sqref="C4452">
    <cfRule type="expression" dxfId="869" priority="495">
      <formula>$Y4452="Inactivo"</formula>
    </cfRule>
    <cfRule type="expression" dxfId="868" priority="498">
      <formula>$Y4452="Activo"</formula>
    </cfRule>
    <cfRule type="expression" dxfId="867" priority="497">
      <formula>$Y4452="Pendiente Ingresar"</formula>
    </cfRule>
    <cfRule type="expression" dxfId="866" priority="496">
      <formula>$Y4452="Prueba"</formula>
    </cfRule>
    <cfRule type="expression" dxfId="865" priority="494">
      <formula>$Y4452="Activo"</formula>
    </cfRule>
    <cfRule type="expression" dxfId="864" priority="493">
      <formula>$Y4452="Pendiente Ingresar"</formula>
    </cfRule>
    <cfRule type="expression" dxfId="863" priority="499">
      <formula>$Y4452="Inactivo"</formula>
    </cfRule>
    <cfRule type="expression" dxfId="862" priority="500">
      <formula>$Y4452="Prueba"</formula>
    </cfRule>
  </conditionalFormatting>
  <conditionalFormatting sqref="C4453">
    <cfRule type="expression" dxfId="861" priority="487" stopIfTrue="1">
      <formula>$Z4453="Inactivo"</formula>
    </cfRule>
    <cfRule type="expression" dxfId="860" priority="486" stopIfTrue="1">
      <formula>$Z4453="Activo"</formula>
    </cfRule>
    <cfRule type="expression" dxfId="859" priority="488" stopIfTrue="1">
      <formula>$Z4453="Pendiente Ingresar"</formula>
    </cfRule>
  </conditionalFormatting>
  <conditionalFormatting sqref="C4455">
    <cfRule type="expression" dxfId="858" priority="482">
      <formula>$Y4455="Pendiente Ingresar"</formula>
    </cfRule>
    <cfRule type="expression" dxfId="857" priority="485">
      <formula>$Y4455="Prueba"</formula>
    </cfRule>
    <cfRule type="expression" dxfId="856" priority="484">
      <formula>$Y4455="Inactivo"</formula>
    </cfRule>
    <cfRule type="expression" dxfId="855" priority="483">
      <formula>$Y4455="Activo"</formula>
    </cfRule>
  </conditionalFormatting>
  <conditionalFormatting sqref="C4482:C4483">
    <cfRule type="expression" dxfId="854" priority="479" stopIfTrue="1">
      <formula>$Z4482="Activo"</formula>
    </cfRule>
    <cfRule type="expression" dxfId="853" priority="481" stopIfTrue="1">
      <formula>$Z4482="Pendiente Ingresar"</formula>
    </cfRule>
    <cfRule type="expression" dxfId="852" priority="480" stopIfTrue="1">
      <formula>$Z4482="Inactivo"</formula>
    </cfRule>
  </conditionalFormatting>
  <conditionalFormatting sqref="C4496">
    <cfRule type="expression" dxfId="851" priority="449" stopIfTrue="1">
      <formula>$Z4496="Inactivo"</formula>
    </cfRule>
    <cfRule type="expression" dxfId="850" priority="448" stopIfTrue="1">
      <formula>$Z4496="Activo"</formula>
    </cfRule>
    <cfRule type="expression" dxfId="849" priority="450" stopIfTrue="1">
      <formula>$Z4496="Pendiente Ingresar"</formula>
    </cfRule>
  </conditionalFormatting>
  <conditionalFormatting sqref="C4533">
    <cfRule type="expression" dxfId="848" priority="445" stopIfTrue="1">
      <formula>$Z4533="Activo"</formula>
    </cfRule>
    <cfRule type="expression" dxfId="847" priority="447" stopIfTrue="1">
      <formula>$Z4533="Pendiente Ingresar"</formula>
    </cfRule>
    <cfRule type="expression" dxfId="846" priority="446" stopIfTrue="1">
      <formula>$Z4533="Inactivo"</formula>
    </cfRule>
  </conditionalFormatting>
  <conditionalFormatting sqref="C4540">
    <cfRule type="expression" dxfId="845" priority="444">
      <formula>$Y4540="Prueba"</formula>
    </cfRule>
    <cfRule type="expression" dxfId="844" priority="443">
      <formula>$Y4540="Inactivo"</formula>
    </cfRule>
    <cfRule type="expression" dxfId="843" priority="442">
      <formula>$Y4540="Activo"</formula>
    </cfRule>
    <cfRule type="expression" dxfId="842" priority="437">
      <formula>$Y4540="Pendiente Ingresar"</formula>
    </cfRule>
    <cfRule type="expression" dxfId="841" priority="438">
      <formula>$Y4540="Activo"</formula>
    </cfRule>
    <cfRule type="expression" dxfId="840" priority="439">
      <formula>$Y4540="Inactivo"</formula>
    </cfRule>
    <cfRule type="expression" dxfId="839" priority="440">
      <formula>$Y4540="Prueba"</formula>
    </cfRule>
    <cfRule type="expression" dxfId="838" priority="441">
      <formula>$Y4540="Pendiente Ingresar"</formula>
    </cfRule>
  </conditionalFormatting>
  <conditionalFormatting sqref="C4547">
    <cfRule type="expression" dxfId="837" priority="428" stopIfTrue="1">
      <formula>$Z4547="Pendiente Ingresar"</formula>
    </cfRule>
    <cfRule type="expression" dxfId="836" priority="426" stopIfTrue="1">
      <formula>$Z4547="Activo"</formula>
    </cfRule>
    <cfRule type="expression" dxfId="835" priority="427" stopIfTrue="1">
      <formula>$Z4547="Inactivo"</formula>
    </cfRule>
  </conditionalFormatting>
  <conditionalFormatting sqref="C4570">
    <cfRule type="expression" dxfId="834" priority="338" stopIfTrue="1">
      <formula>$Z4570="Activo"</formula>
    </cfRule>
    <cfRule type="expression" dxfId="833" priority="339" stopIfTrue="1">
      <formula>$Z4570="Inactivo"</formula>
    </cfRule>
    <cfRule type="expression" dxfId="832" priority="340" stopIfTrue="1">
      <formula>$Z4570="Pendiente Ingresar"</formula>
    </cfRule>
  </conditionalFormatting>
  <conditionalFormatting sqref="C4574">
    <cfRule type="expression" dxfId="831" priority="421">
      <formula>$Z4574="Inactivo"</formula>
    </cfRule>
    <cfRule type="expression" dxfId="830" priority="420">
      <formula>$Z4574="Activo"</formula>
    </cfRule>
    <cfRule type="expression" dxfId="829" priority="419">
      <formula>$Z4574="Pendiente Ingresar"</formula>
    </cfRule>
  </conditionalFormatting>
  <conditionalFormatting sqref="C4628">
    <cfRule type="expression" dxfId="828" priority="410" stopIfTrue="1">
      <formula>$Z4628="Pendiente Ingresar"</formula>
    </cfRule>
    <cfRule type="expression" dxfId="827" priority="409" stopIfTrue="1">
      <formula>$Z4628="Inactivo"</formula>
    </cfRule>
    <cfRule type="expression" dxfId="826" priority="408" stopIfTrue="1">
      <formula>$Z4628="Activo"</formula>
    </cfRule>
  </conditionalFormatting>
  <conditionalFormatting sqref="C4651:C4653">
    <cfRule type="expression" dxfId="825" priority="397" stopIfTrue="1">
      <formula>$Z4651="Activo"</formula>
    </cfRule>
    <cfRule type="expression" dxfId="824" priority="398" stopIfTrue="1">
      <formula>$Z4651="Inactivo"</formula>
    </cfRule>
    <cfRule type="expression" dxfId="823" priority="399" stopIfTrue="1">
      <formula>$Z4651="Pendiente Ingresar"</formula>
    </cfRule>
  </conditionalFormatting>
  <conditionalFormatting sqref="C4677">
    <cfRule type="expression" dxfId="822" priority="394" stopIfTrue="1">
      <formula>$Z4677="Activo"</formula>
    </cfRule>
    <cfRule type="expression" dxfId="821" priority="396" stopIfTrue="1">
      <formula>$Z4677="Pendiente Ingresar"</formula>
    </cfRule>
    <cfRule type="expression" dxfId="820" priority="395" stopIfTrue="1">
      <formula>$Z4677="Inactivo"</formula>
    </cfRule>
  </conditionalFormatting>
  <conditionalFormatting sqref="C4685:C4687">
    <cfRule type="expression" dxfId="819" priority="393" stopIfTrue="1">
      <formula>$Z4685="Pendiente Ingresar"</formula>
    </cfRule>
    <cfRule type="expression" dxfId="818" priority="392" stopIfTrue="1">
      <formula>$Z4685="Inactivo"</formula>
    </cfRule>
    <cfRule type="expression" dxfId="817" priority="391" stopIfTrue="1">
      <formula>$Z4685="Activo"</formula>
    </cfRule>
  </conditionalFormatting>
  <conditionalFormatting sqref="C4707">
    <cfRule type="expression" dxfId="816" priority="389" stopIfTrue="1">
      <formula>$Z4707="Inactivo"</formula>
    </cfRule>
    <cfRule type="expression" dxfId="815" priority="390" stopIfTrue="1">
      <formula>$Z4707="Pendiente Ingresar"</formula>
    </cfRule>
    <cfRule type="expression" dxfId="814" priority="387">
      <formula>$Z4707="Activo"</formula>
    </cfRule>
    <cfRule type="expression" dxfId="813" priority="388" stopIfTrue="1">
      <formula>$Z4707="Activo"</formula>
    </cfRule>
  </conditionalFormatting>
  <conditionalFormatting sqref="C4711">
    <cfRule type="expression" dxfId="812" priority="383">
      <formula>$Z4711="Activo"</formula>
    </cfRule>
    <cfRule type="expression" dxfId="811" priority="384" stopIfTrue="1">
      <formula>$Z4711="Activo"</formula>
    </cfRule>
    <cfRule type="expression" dxfId="810" priority="385" stopIfTrue="1">
      <formula>$Z4711="Inactivo"</formula>
    </cfRule>
    <cfRule type="expression" dxfId="809" priority="386" stopIfTrue="1">
      <formula>$Z4711="Pendiente Ingresar"</formula>
    </cfRule>
  </conditionalFormatting>
  <conditionalFormatting sqref="C4738">
    <cfRule type="expression" dxfId="808" priority="378" stopIfTrue="1">
      <formula>$AC4738="Pendiente Ingresar"</formula>
    </cfRule>
    <cfRule type="expression" dxfId="807" priority="376" stopIfTrue="1">
      <formula>$AC4738="Activo"</formula>
    </cfRule>
    <cfRule type="expression" dxfId="806" priority="377" stopIfTrue="1">
      <formula>$AC4738="Inactivo"</formula>
    </cfRule>
    <cfRule type="expression" dxfId="805" priority="375">
      <formula>$AC4738="Activo"</formula>
    </cfRule>
  </conditionalFormatting>
  <conditionalFormatting sqref="C4754">
    <cfRule type="expression" dxfId="804" priority="374" stopIfTrue="1">
      <formula>$Z4754="Pendiente Ingresar"</formula>
    </cfRule>
    <cfRule type="expression" dxfId="803" priority="372" stopIfTrue="1">
      <formula>$Z4754="Activo"</formula>
    </cfRule>
    <cfRule type="expression" dxfId="802" priority="373" stopIfTrue="1">
      <formula>$Z4754="Inactivo"</formula>
    </cfRule>
  </conditionalFormatting>
  <conditionalFormatting sqref="C4798">
    <cfRule type="expression" dxfId="801" priority="281" stopIfTrue="1">
      <formula>$AC4798="Activo"</formula>
    </cfRule>
    <cfRule type="expression" dxfId="800" priority="280">
      <formula>$AC4798="Activo"</formula>
    </cfRule>
    <cfRule type="expression" dxfId="799" priority="283" stopIfTrue="1">
      <formula>$AC4798="Pendiente Ingresar"</formula>
    </cfRule>
    <cfRule type="expression" dxfId="798" priority="282" stopIfTrue="1">
      <formula>$AC4798="Inactivo"</formula>
    </cfRule>
  </conditionalFormatting>
  <conditionalFormatting sqref="C4816:C4817">
    <cfRule type="expression" dxfId="797" priority="369" stopIfTrue="1">
      <formula>$Z4816="Activo"</formula>
    </cfRule>
    <cfRule type="expression" dxfId="796" priority="370" stopIfTrue="1">
      <formula>$Z4816="Inactivo"</formula>
    </cfRule>
    <cfRule type="expression" dxfId="795" priority="371" stopIfTrue="1">
      <formula>$Z4816="Pendiente Ingresar"</formula>
    </cfRule>
  </conditionalFormatting>
  <conditionalFormatting sqref="C4831">
    <cfRule type="expression" dxfId="794" priority="367" stopIfTrue="1">
      <formula>$Z4831="Inactivo"</formula>
    </cfRule>
    <cfRule type="expression" dxfId="793" priority="366" stopIfTrue="1">
      <formula>$Z4831="Activo"</formula>
    </cfRule>
    <cfRule type="expression" dxfId="792" priority="368" stopIfTrue="1">
      <formula>$Z4831="Pendiente Ingresar"</formula>
    </cfRule>
  </conditionalFormatting>
  <conditionalFormatting sqref="C4832">
    <cfRule type="expression" dxfId="791" priority="358">
      <formula>$Y4832="Pendiente Ingresar"</formula>
    </cfRule>
    <cfRule type="expression" dxfId="790" priority="365">
      <formula>$Y4832="Prueba"</formula>
    </cfRule>
    <cfRule type="expression" dxfId="789" priority="364">
      <formula>$Y4832="Inactivo"</formula>
    </cfRule>
    <cfRule type="expression" dxfId="788" priority="363">
      <formula>$Y4832="Activo"</formula>
    </cfRule>
    <cfRule type="expression" dxfId="787" priority="362">
      <formula>$Y4832="Pendiente Ingresar"</formula>
    </cfRule>
    <cfRule type="expression" dxfId="786" priority="360">
      <formula>$Y4832="Inactivo"</formula>
    </cfRule>
    <cfRule type="expression" dxfId="785" priority="361">
      <formula>$Y4832="Prueba"</formula>
    </cfRule>
    <cfRule type="expression" dxfId="784" priority="359">
      <formula>$Y4832="Activo"</formula>
    </cfRule>
  </conditionalFormatting>
  <conditionalFormatting sqref="C4835">
    <cfRule type="expression" dxfId="783" priority="353" stopIfTrue="1">
      <formula>$Z4835="Pendiente Ingresar"</formula>
    </cfRule>
    <cfRule type="expression" dxfId="782" priority="352" stopIfTrue="1">
      <formula>$Z4835="Inactivo"</formula>
    </cfRule>
    <cfRule type="expression" dxfId="781" priority="351" stopIfTrue="1">
      <formula>$Z4835="Activo"</formula>
    </cfRule>
  </conditionalFormatting>
  <conditionalFormatting sqref="C4860:C4861">
    <cfRule type="expression" dxfId="780" priority="349" stopIfTrue="1">
      <formula>$Z4860="Inactivo"</formula>
    </cfRule>
    <cfRule type="expression" dxfId="779" priority="348" stopIfTrue="1">
      <formula>$Z4860="Activo"</formula>
    </cfRule>
    <cfRule type="expression" dxfId="778" priority="350" stopIfTrue="1">
      <formula>$Z4860="Pendiente Ingresar"</formula>
    </cfRule>
  </conditionalFormatting>
  <conditionalFormatting sqref="C4884">
    <cfRule type="expression" dxfId="777" priority="347" stopIfTrue="1">
      <formula>$Z4884="Pendiente Ingresar"</formula>
    </cfRule>
    <cfRule type="expression" dxfId="776" priority="346" stopIfTrue="1">
      <formula>$Z4884="Inactivo"</formula>
    </cfRule>
    <cfRule type="expression" dxfId="775" priority="345" stopIfTrue="1">
      <formula>$Z4884="Activo"</formula>
    </cfRule>
  </conditionalFormatting>
  <conditionalFormatting sqref="C4910:C4911">
    <cfRule type="expression" dxfId="774" priority="332" stopIfTrue="1">
      <formula>$Z4910="Inactivo"</formula>
    </cfRule>
    <cfRule type="expression" dxfId="773" priority="331" stopIfTrue="1">
      <formula>$Z4910="Activo"</formula>
    </cfRule>
    <cfRule type="expression" dxfId="772" priority="333" stopIfTrue="1">
      <formula>$Z4910="Pendiente Ingresar"</formula>
    </cfRule>
  </conditionalFormatting>
  <conditionalFormatting sqref="C4956">
    <cfRule type="expression" dxfId="771" priority="328" stopIfTrue="1">
      <formula>$Z4956="Activo"</formula>
    </cfRule>
    <cfRule type="expression" dxfId="770" priority="329" stopIfTrue="1">
      <formula>$Z4956="Inactivo"</formula>
    </cfRule>
    <cfRule type="expression" dxfId="769" priority="330" stopIfTrue="1">
      <formula>$Z4956="Pendiente Ingresar"</formula>
    </cfRule>
  </conditionalFormatting>
  <conditionalFormatting sqref="C4957">
    <cfRule type="expression" dxfId="768" priority="324">
      <formula>$AC4957="Activo"</formula>
    </cfRule>
    <cfRule type="expression" dxfId="767" priority="325" stopIfTrue="1">
      <formula>$AC4957="Activo"</formula>
    </cfRule>
    <cfRule type="expression" dxfId="766" priority="326" stopIfTrue="1">
      <formula>$AC4957="Inactivo"</formula>
    </cfRule>
    <cfRule type="expression" dxfId="765" priority="327" stopIfTrue="1">
      <formula>$AC4957="Pendiente Ingresar"</formula>
    </cfRule>
  </conditionalFormatting>
  <conditionalFormatting sqref="C4962">
    <cfRule type="expression" dxfId="764" priority="323" stopIfTrue="1">
      <formula>$Y4962="Pendiente Ingresar"</formula>
    </cfRule>
    <cfRule type="expression" dxfId="763" priority="322" stopIfTrue="1">
      <formula>$Y4962="Inactivo"</formula>
    </cfRule>
    <cfRule type="expression" dxfId="762" priority="321" stopIfTrue="1">
      <formula>$Y4962="Activo"</formula>
    </cfRule>
    <cfRule type="expression" dxfId="761" priority="320">
      <formula>$Y4962="Activo"</formula>
    </cfRule>
  </conditionalFormatting>
  <conditionalFormatting sqref="C4963">
    <cfRule type="expression" dxfId="760" priority="318" stopIfTrue="1">
      <formula>$AC4963="Inactivo"</formula>
    </cfRule>
    <cfRule type="expression" dxfId="759" priority="319" stopIfTrue="1">
      <formula>$AC4963="Pendiente Ingresar"</formula>
    </cfRule>
    <cfRule type="expression" dxfId="758" priority="317" stopIfTrue="1">
      <formula>$AC4963="Activo"</formula>
    </cfRule>
    <cfRule type="expression" dxfId="757" priority="316">
      <formula>$AC4963="Activo"</formula>
    </cfRule>
  </conditionalFormatting>
  <conditionalFormatting sqref="C4966">
    <cfRule type="expression" dxfId="756" priority="311" stopIfTrue="1">
      <formula>$Z4966="Pendiente Ingresar"</formula>
    </cfRule>
    <cfRule type="expression" dxfId="755" priority="310" stopIfTrue="1">
      <formula>$Z4966="Inactivo"</formula>
    </cfRule>
    <cfRule type="expression" dxfId="754" priority="309" stopIfTrue="1">
      <formula>$Z4966="Activo"</formula>
    </cfRule>
  </conditionalFormatting>
  <conditionalFormatting sqref="C4967">
    <cfRule type="expression" dxfId="753" priority="308" stopIfTrue="1">
      <formula>$AC4967="Pendiente Ingresar"</formula>
    </cfRule>
    <cfRule type="expression" dxfId="752" priority="307" stopIfTrue="1">
      <formula>$AC4967="Inactivo"</formula>
    </cfRule>
    <cfRule type="expression" dxfId="751" priority="305">
      <formula>$AC4967="Activo"</formula>
    </cfRule>
    <cfRule type="expression" dxfId="750" priority="306" stopIfTrue="1">
      <formula>$AC4967="Activo"</formula>
    </cfRule>
  </conditionalFormatting>
  <conditionalFormatting sqref="C4970:C4971">
    <cfRule type="expression" dxfId="749" priority="296" stopIfTrue="1">
      <formula>$Z4970="Pendiente Ingresar"</formula>
    </cfRule>
    <cfRule type="expression" dxfId="748" priority="295" stopIfTrue="1">
      <formula>$Z4970="Inactivo"</formula>
    </cfRule>
    <cfRule type="expression" dxfId="747" priority="294" stopIfTrue="1">
      <formula>$Z4970="Activo"</formula>
    </cfRule>
  </conditionalFormatting>
  <conditionalFormatting sqref="C4991">
    <cfRule type="expression" dxfId="746" priority="292" stopIfTrue="1">
      <formula>$Z4991="Inactivo"</formula>
    </cfRule>
    <cfRule type="expression" dxfId="745" priority="291" stopIfTrue="1">
      <formula>$Z4991="Activo"</formula>
    </cfRule>
    <cfRule type="expression" dxfId="744" priority="293" stopIfTrue="1">
      <formula>$Z4991="Pendiente Ingresar"</formula>
    </cfRule>
  </conditionalFormatting>
  <conditionalFormatting sqref="C5007">
    <cfRule type="expression" dxfId="743" priority="286" stopIfTrue="1">
      <formula>$Z5007="Inactivo"</formula>
    </cfRule>
    <cfRule type="expression" dxfId="742" priority="287" stopIfTrue="1">
      <formula>$Z5007="Pendiente Ingresar"</formula>
    </cfRule>
    <cfRule type="expression" dxfId="741" priority="285" stopIfTrue="1">
      <formula>$Z5007="Activo"</formula>
    </cfRule>
  </conditionalFormatting>
  <conditionalFormatting sqref="C5064">
    <cfRule type="expression" dxfId="740" priority="276" stopIfTrue="1">
      <formula>$Z5064="Activo"</formula>
    </cfRule>
    <cfRule type="expression" dxfId="739" priority="277" stopIfTrue="1">
      <formula>$Z5064="Inactivo"</formula>
    </cfRule>
    <cfRule type="expression" dxfId="738" priority="278" stopIfTrue="1">
      <formula>$Z5064="Pendiente Ingresar"</formula>
    </cfRule>
  </conditionalFormatting>
  <conditionalFormatting sqref="C5076">
    <cfRule type="expression" dxfId="737" priority="274" stopIfTrue="1">
      <formula>$Z5076="Inactivo"</formula>
    </cfRule>
    <cfRule type="expression" dxfId="736" priority="275" stopIfTrue="1">
      <formula>$Z5076="Pendiente Ingresar"</formula>
    </cfRule>
    <cfRule type="expression" dxfId="735" priority="273" stopIfTrue="1">
      <formula>$Z5076="Activo"</formula>
    </cfRule>
  </conditionalFormatting>
  <conditionalFormatting sqref="C5095">
    <cfRule type="expression" dxfId="734" priority="271" stopIfTrue="1">
      <formula>$Y5095="Inactivo"</formula>
    </cfRule>
    <cfRule type="expression" dxfId="733" priority="270" stopIfTrue="1">
      <formula>$Y5095="Activo"</formula>
    </cfRule>
    <cfRule type="expression" dxfId="732" priority="269">
      <formula>$Y5095="Activo"</formula>
    </cfRule>
    <cfRule type="expression" dxfId="731" priority="272" stopIfTrue="1">
      <formula>$Y5095="Pendiente Ingresar"</formula>
    </cfRule>
  </conditionalFormatting>
  <conditionalFormatting sqref="C5128:C5129">
    <cfRule type="expression" dxfId="730" priority="261">
      <formula>$Z5128="Activo"</formula>
    </cfRule>
    <cfRule type="expression" dxfId="729" priority="262" stopIfTrue="1">
      <formula>$Z5128="Activo"</formula>
    </cfRule>
    <cfRule type="expression" dxfId="728" priority="263" stopIfTrue="1">
      <formula>$Z5128="Inactivo"</formula>
    </cfRule>
    <cfRule type="expression" dxfId="727" priority="264" stopIfTrue="1">
      <formula>$Z5128="Pendiente Ingresar"</formula>
    </cfRule>
  </conditionalFormatting>
  <conditionalFormatting sqref="C5137">
    <cfRule type="expression" dxfId="726" priority="260" stopIfTrue="1">
      <formula>$Z5137="Pendiente Ingresar"</formula>
    </cfRule>
    <cfRule type="expression" dxfId="725" priority="259" stopIfTrue="1">
      <formula>$Z5137="Inactivo"</formula>
    </cfRule>
    <cfRule type="expression" dxfId="724" priority="258" stopIfTrue="1">
      <formula>$Z5137="Activo"</formula>
    </cfRule>
  </conditionalFormatting>
  <conditionalFormatting sqref="C5141">
    <cfRule type="expression" dxfId="723" priority="257" stopIfTrue="1">
      <formula>$Z5141="Pendiente Ingresar"</formula>
    </cfRule>
    <cfRule type="expression" dxfId="722" priority="255" stopIfTrue="1">
      <formula>$Z5141="Activo"</formula>
    </cfRule>
    <cfRule type="expression" dxfId="721" priority="256" stopIfTrue="1">
      <formula>$Z5141="Inactivo"</formula>
    </cfRule>
  </conditionalFormatting>
  <conditionalFormatting sqref="C5173">
    <cfRule type="expression" dxfId="720" priority="252" stopIfTrue="1">
      <formula>$Z5173="Pendiente Ingresar"</formula>
    </cfRule>
    <cfRule type="expression" dxfId="719" priority="251" stopIfTrue="1">
      <formula>$Z5173="Inactivo"</formula>
    </cfRule>
    <cfRule type="expression" dxfId="718" priority="250" stopIfTrue="1">
      <formula>$Z5173="Activo"</formula>
    </cfRule>
  </conditionalFormatting>
  <conditionalFormatting sqref="C5203">
    <cfRule type="expression" dxfId="717" priority="247" stopIfTrue="1">
      <formula>$Z5203="Activo"</formula>
    </cfRule>
    <cfRule type="expression" dxfId="716" priority="248" stopIfTrue="1">
      <formula>$Z5203="Inactivo"</formula>
    </cfRule>
    <cfRule type="expression" dxfId="715" priority="249" stopIfTrue="1">
      <formula>$Z5203="Pendiente Ingresar"</formula>
    </cfRule>
  </conditionalFormatting>
  <conditionalFormatting sqref="C5240:C5241">
    <cfRule type="expression" dxfId="714" priority="233" stopIfTrue="1">
      <formula>$Z5240="Activo"</formula>
    </cfRule>
    <cfRule type="expression" dxfId="713" priority="234" stopIfTrue="1">
      <formula>$Z5240="Inactivo"</formula>
    </cfRule>
    <cfRule type="expression" dxfId="712" priority="235" stopIfTrue="1">
      <formula>$Z5240="Pendiente Ingresar"</formula>
    </cfRule>
  </conditionalFormatting>
  <conditionalFormatting sqref="C5259">
    <cfRule type="expression" dxfId="711" priority="230" stopIfTrue="1">
      <formula>$Z5259="Activo"</formula>
    </cfRule>
    <cfRule type="expression" dxfId="710" priority="231" stopIfTrue="1">
      <formula>$Z5259="Inactivo"</formula>
    </cfRule>
    <cfRule type="expression" dxfId="709" priority="232" stopIfTrue="1">
      <formula>$Z5259="Pendiente Ingresar"</formula>
    </cfRule>
  </conditionalFormatting>
  <conditionalFormatting sqref="C5339">
    <cfRule type="expression" dxfId="708" priority="227" stopIfTrue="1">
      <formula>$Z5339="Activo"</formula>
    </cfRule>
    <cfRule type="expression" dxfId="707" priority="228" stopIfTrue="1">
      <formula>$Z5339="Inactivo"</formula>
    </cfRule>
    <cfRule type="expression" dxfId="706" priority="229" stopIfTrue="1">
      <formula>$Z5339="Pendiente Ingresar"</formula>
    </cfRule>
  </conditionalFormatting>
  <conditionalFormatting sqref="C5361:C5362">
    <cfRule type="expression" dxfId="705" priority="222" stopIfTrue="1">
      <formula>$Z5361="Activo"</formula>
    </cfRule>
    <cfRule type="expression" dxfId="704" priority="224" stopIfTrue="1">
      <formula>$Z5361="Pendiente Ingresar"</formula>
    </cfRule>
    <cfRule type="expression" dxfId="703" priority="223" stopIfTrue="1">
      <formula>$Z5361="Inactivo"</formula>
    </cfRule>
  </conditionalFormatting>
  <conditionalFormatting sqref="C5390">
    <cfRule type="expression" dxfId="702" priority="220" stopIfTrue="1">
      <formula>$Z5390="Pendiente Ingresar"</formula>
    </cfRule>
    <cfRule type="expression" dxfId="701" priority="219" stopIfTrue="1">
      <formula>$Z5390="Inactivo"</formula>
    </cfRule>
    <cfRule type="expression" dxfId="700" priority="218" stopIfTrue="1">
      <formula>$Z5390="Activo"</formula>
    </cfRule>
  </conditionalFormatting>
  <conditionalFormatting sqref="C5392:C5396">
    <cfRule type="expression" dxfId="699" priority="217" stopIfTrue="1">
      <formula>$Z5392="Pendiente Ingresar"</formula>
    </cfRule>
    <cfRule type="expression" dxfId="698" priority="216" stopIfTrue="1">
      <formula>$Z5392="Inactivo"</formula>
    </cfRule>
    <cfRule type="expression" dxfId="697" priority="215" stopIfTrue="1">
      <formula>$Z5392="Activo"</formula>
    </cfRule>
  </conditionalFormatting>
  <conditionalFormatting sqref="C5407">
    <cfRule type="expression" dxfId="696" priority="210">
      <formula>$Z5407="Activo"</formula>
    </cfRule>
    <cfRule type="expression" dxfId="695" priority="212" stopIfTrue="1">
      <formula>$Z5407="Inactivo"</formula>
    </cfRule>
    <cfRule type="expression" dxfId="694" priority="213" stopIfTrue="1">
      <formula>$Z5407="Pendiente Ingresar"</formula>
    </cfRule>
    <cfRule type="expression" dxfId="693" priority="211" stopIfTrue="1">
      <formula>$Z5407="Activo"</formula>
    </cfRule>
  </conditionalFormatting>
  <conditionalFormatting sqref="C5469:C5472">
    <cfRule type="expression" dxfId="692" priority="204" stopIfTrue="1">
      <formula>$Z5469="Activo"</formula>
    </cfRule>
    <cfRule type="expression" dxfId="691" priority="205" stopIfTrue="1">
      <formula>$Z5469="Inactivo"</formula>
    </cfRule>
    <cfRule type="expression" dxfId="690" priority="206" stopIfTrue="1">
      <formula>$Z5469="Pendiente Ingresar"</formula>
    </cfRule>
  </conditionalFormatting>
  <conditionalFormatting sqref="C5544:C5546">
    <cfRule type="expression" dxfId="689" priority="202" stopIfTrue="1">
      <formula>$AC5544="Pendiente Ingresar"</formula>
    </cfRule>
    <cfRule type="expression" dxfId="688" priority="199">
      <formula>$AC5544="Activo"</formula>
    </cfRule>
    <cfRule type="expression" dxfId="687" priority="200" stopIfTrue="1">
      <formula>$AC5544="Activo"</formula>
    </cfRule>
    <cfRule type="expression" dxfId="686" priority="201" stopIfTrue="1">
      <formula>$AC5544="Inactivo"</formula>
    </cfRule>
  </conditionalFormatting>
  <conditionalFormatting sqref="C5564">
    <cfRule type="expression" dxfId="685" priority="194" stopIfTrue="1">
      <formula>$Y5564="Activo"</formula>
    </cfRule>
    <cfRule type="expression" dxfId="684" priority="196" stopIfTrue="1">
      <formula>$Y5564="Pendiente Ingresar"</formula>
    </cfRule>
    <cfRule type="expression" dxfId="683" priority="195" stopIfTrue="1">
      <formula>$Y5564="Inactivo"</formula>
    </cfRule>
  </conditionalFormatting>
  <conditionalFormatting sqref="C5566">
    <cfRule type="expression" dxfId="682" priority="192" stopIfTrue="1">
      <formula>$Z5566="Inactivo"</formula>
    </cfRule>
    <cfRule type="expression" dxfId="681" priority="193" stopIfTrue="1">
      <formula>$Z5566="Pendiente Ingresar"</formula>
    </cfRule>
    <cfRule type="expression" dxfId="680" priority="191" stopIfTrue="1">
      <formula>$Z5566="Activo"</formula>
    </cfRule>
  </conditionalFormatting>
  <conditionalFormatting sqref="C5577">
    <cfRule type="expression" dxfId="679" priority="187" stopIfTrue="1">
      <formula>$Z5577="Activo"</formula>
    </cfRule>
    <cfRule type="expression" dxfId="678" priority="188" stopIfTrue="1">
      <formula>$Z5577="Inactivo"</formula>
    </cfRule>
    <cfRule type="expression" dxfId="677" priority="189" stopIfTrue="1">
      <formula>$Z5577="Pendiente Ingresar"</formula>
    </cfRule>
  </conditionalFormatting>
  <conditionalFormatting sqref="C5587:C5588">
    <cfRule type="expression" dxfId="676" priority="182" stopIfTrue="1">
      <formula>$Z5587="Inactivo"</formula>
    </cfRule>
    <cfRule type="expression" dxfId="675" priority="183" stopIfTrue="1">
      <formula>$Z5587="Pendiente Ingresar"</formula>
    </cfRule>
    <cfRule type="expression" dxfId="674" priority="181" stopIfTrue="1">
      <formula>$Z5587="Activo"</formula>
    </cfRule>
  </conditionalFormatting>
  <conditionalFormatting sqref="C5599:C5602">
    <cfRule type="expression" dxfId="673" priority="176" stopIfTrue="1">
      <formula>$Z5599="Inactivo"</formula>
    </cfRule>
    <cfRule type="expression" dxfId="672" priority="177" stopIfTrue="1">
      <formula>$Z5599="Pendiente Ingresar"</formula>
    </cfRule>
    <cfRule type="expression" dxfId="671" priority="175" stopIfTrue="1">
      <formula>$Z5599="Activo"</formula>
    </cfRule>
  </conditionalFormatting>
  <conditionalFormatting sqref="C5607:C5608">
    <cfRule type="expression" dxfId="670" priority="167" stopIfTrue="1">
      <formula>$Z5607="Activo"</formula>
    </cfRule>
    <cfRule type="expression" dxfId="669" priority="168" stopIfTrue="1">
      <formula>$Z5607="Inactivo"</formula>
    </cfRule>
    <cfRule type="expression" dxfId="668" priority="169" stopIfTrue="1">
      <formula>$Z5607="Pendiente Ingresar"</formula>
    </cfRule>
  </conditionalFormatting>
  <conditionalFormatting sqref="C5614:C5615">
    <cfRule type="expression" dxfId="667" priority="164" stopIfTrue="1">
      <formula>$Z5614="Activo"</formula>
    </cfRule>
    <cfRule type="expression" dxfId="666" priority="166" stopIfTrue="1">
      <formula>$Z5614="Pendiente Ingresar"</formula>
    </cfRule>
    <cfRule type="expression" dxfId="665" priority="165" stopIfTrue="1">
      <formula>$Z5614="Inactivo"</formula>
    </cfRule>
  </conditionalFormatting>
  <conditionalFormatting sqref="C5626">
    <cfRule type="expression" dxfId="664" priority="155" stopIfTrue="1">
      <formula>$AC5626="Pendiente Ingresar"</formula>
    </cfRule>
    <cfRule type="expression" dxfId="663" priority="154" stopIfTrue="1">
      <formula>$AC5626="Inactivo"</formula>
    </cfRule>
    <cfRule type="expression" dxfId="662" priority="153" stopIfTrue="1">
      <formula>$AC5626="Activo"</formula>
    </cfRule>
    <cfRule type="expression" dxfId="661" priority="152">
      <formula>$AC5626="Activo"</formula>
    </cfRule>
  </conditionalFormatting>
  <conditionalFormatting sqref="C5663">
    <cfRule type="expression" dxfId="660" priority="116" stopIfTrue="1">
      <formula>$Z5663="Activo"</formula>
    </cfRule>
    <cfRule type="expression" dxfId="659" priority="118" stopIfTrue="1">
      <formula>$Z5663="Pendiente Ingresar"</formula>
    </cfRule>
    <cfRule type="expression" dxfId="658" priority="117" stopIfTrue="1">
      <formula>$Z5663="Inactivo"</formula>
    </cfRule>
  </conditionalFormatting>
  <conditionalFormatting sqref="C5668:C5671">
    <cfRule type="expression" dxfId="657" priority="113" stopIfTrue="1">
      <formula>$Z5668="Activo"</formula>
    </cfRule>
    <cfRule type="expression" dxfId="656" priority="115" stopIfTrue="1">
      <formula>$Z5668="Pendiente Ingresar"</formula>
    </cfRule>
    <cfRule type="expression" dxfId="655" priority="114" stopIfTrue="1">
      <formula>$Z5668="Inactivo"</formula>
    </cfRule>
  </conditionalFormatting>
  <conditionalFormatting sqref="C5674:C5676">
    <cfRule type="expression" dxfId="654" priority="111" stopIfTrue="1">
      <formula>$Z5674="Inactivo"</formula>
    </cfRule>
    <cfRule type="expression" dxfId="653" priority="112" stopIfTrue="1">
      <formula>$Z5674="Pendiente Ingresar"</formula>
    </cfRule>
    <cfRule type="expression" dxfId="652" priority="110" stopIfTrue="1">
      <formula>$Z5674="Activo"</formula>
    </cfRule>
  </conditionalFormatting>
  <conditionalFormatting sqref="C5683">
    <cfRule type="expression" dxfId="651" priority="108" stopIfTrue="1">
      <formula>$AA5683="Inactivo"</formula>
    </cfRule>
    <cfRule type="expression" dxfId="650" priority="109" stopIfTrue="1">
      <formula>$AA5683="Pendiente Ingresar"</formula>
    </cfRule>
    <cfRule type="expression" dxfId="649" priority="107" stopIfTrue="1">
      <formula>$AA5683="Activo"</formula>
    </cfRule>
  </conditionalFormatting>
  <conditionalFormatting sqref="C5685">
    <cfRule type="expression" dxfId="648" priority="104" stopIfTrue="1">
      <formula>$Z5685="Activo"</formula>
    </cfRule>
    <cfRule type="expression" dxfId="647" priority="105" stopIfTrue="1">
      <formula>$Z5685="Inactivo"</formula>
    </cfRule>
    <cfRule type="expression" dxfId="646" priority="106" stopIfTrue="1">
      <formula>$Z5685="Pendiente Ingresar"</formula>
    </cfRule>
  </conditionalFormatting>
  <conditionalFormatting sqref="C5691:C5692">
    <cfRule type="expression" dxfId="645" priority="101" stopIfTrue="1">
      <formula>$Z5691="Activo"</formula>
    </cfRule>
    <cfRule type="expression" dxfId="644" priority="102" stopIfTrue="1">
      <formula>$Z5691="Inactivo"</formula>
    </cfRule>
    <cfRule type="expression" dxfId="643" priority="103" stopIfTrue="1">
      <formula>$Z5691="Pendiente Ingresar"</formula>
    </cfRule>
  </conditionalFormatting>
  <conditionalFormatting sqref="C5696">
    <cfRule type="expression" dxfId="642" priority="98" stopIfTrue="1">
      <formula>$Z5696="Activo"</formula>
    </cfRule>
    <cfRule type="expression" dxfId="641" priority="99" stopIfTrue="1">
      <formula>$Z5696="Inactivo"</formula>
    </cfRule>
    <cfRule type="expression" dxfId="640" priority="100" stopIfTrue="1">
      <formula>$Z5696="Pendiente Ingresar"</formula>
    </cfRule>
  </conditionalFormatting>
  <conditionalFormatting sqref="C5742">
    <cfRule type="expression" dxfId="639" priority="91" stopIfTrue="1">
      <formula>$Z5742="Inactivo"</formula>
    </cfRule>
    <cfRule type="expression" dxfId="638" priority="90" stopIfTrue="1">
      <formula>$Z5742="Activo"</formula>
    </cfRule>
    <cfRule type="expression" dxfId="637" priority="92" stopIfTrue="1">
      <formula>$Z5742="Pendiente Ingresar"</formula>
    </cfRule>
  </conditionalFormatting>
  <conditionalFormatting sqref="C5747">
    <cfRule type="expression" dxfId="636" priority="89" stopIfTrue="1">
      <formula>$Z5747="Pendiente Ingresar"</formula>
    </cfRule>
    <cfRule type="expression" dxfId="635" priority="88" stopIfTrue="1">
      <formula>$Z5747="Inactivo"</formula>
    </cfRule>
    <cfRule type="expression" dxfId="634" priority="87" stopIfTrue="1">
      <formula>$Z5747="Activo"</formula>
    </cfRule>
  </conditionalFormatting>
  <conditionalFormatting sqref="C5749">
    <cfRule type="expression" dxfId="633" priority="84" stopIfTrue="1">
      <formula>$Z5749="Activo"</formula>
    </cfRule>
    <cfRule type="expression" dxfId="632" priority="86" stopIfTrue="1">
      <formula>$Z5749="Pendiente Ingresar"</formula>
    </cfRule>
    <cfRule type="expression" dxfId="631" priority="85" stopIfTrue="1">
      <formula>$Z5749="Inactivo"</formula>
    </cfRule>
  </conditionalFormatting>
  <conditionalFormatting sqref="C5797">
    <cfRule type="expression" dxfId="630" priority="75" stopIfTrue="1">
      <formula>$Z5797="Activo"</formula>
    </cfRule>
    <cfRule type="expression" dxfId="629" priority="76" stopIfTrue="1">
      <formula>$Z5797="Inactivo"</formula>
    </cfRule>
    <cfRule type="expression" dxfId="628" priority="77" stopIfTrue="1">
      <formula>$Z5797="Pendiente Ingresar"</formula>
    </cfRule>
  </conditionalFormatting>
  <conditionalFormatting sqref="C5803">
    <cfRule type="expression" dxfId="627" priority="74" stopIfTrue="1">
      <formula>$Z5803="Pendiente Ingresar"</formula>
    </cfRule>
    <cfRule type="expression" dxfId="626" priority="72" stopIfTrue="1">
      <formula>$Z5803="Activo"</formula>
    </cfRule>
    <cfRule type="expression" dxfId="625" priority="73" stopIfTrue="1">
      <formula>$Z5803="Inactivo"</formula>
    </cfRule>
  </conditionalFormatting>
  <conditionalFormatting sqref="C5818">
    <cfRule type="expression" dxfId="624" priority="67" stopIfTrue="1">
      <formula>$Z5818="Inactivo"</formula>
    </cfRule>
    <cfRule type="expression" dxfId="623" priority="68" stopIfTrue="1">
      <formula>$Z5818="Pendiente Ingresar"</formula>
    </cfRule>
    <cfRule type="expression" dxfId="622" priority="66" stopIfTrue="1">
      <formula>$Z5818="Activo"</formula>
    </cfRule>
  </conditionalFormatting>
  <conditionalFormatting sqref="C5820">
    <cfRule type="expression" dxfId="621" priority="65" stopIfTrue="1">
      <formula>$Z5820="Pendiente Ingresar"</formula>
    </cfRule>
    <cfRule type="expression" dxfId="620" priority="64" stopIfTrue="1">
      <formula>$Z5820="Inactivo"</formula>
    </cfRule>
    <cfRule type="expression" dxfId="619" priority="63" stopIfTrue="1">
      <formula>$Z5820="Activo"</formula>
    </cfRule>
  </conditionalFormatting>
  <conditionalFormatting sqref="C5897:C5898">
    <cfRule type="expression" dxfId="618" priority="56" stopIfTrue="1">
      <formula>$Z5897="Inactivo"</formula>
    </cfRule>
    <cfRule type="expression" dxfId="617" priority="55" stopIfTrue="1">
      <formula>$Z5897="Activo"</formula>
    </cfRule>
    <cfRule type="expression" dxfId="616" priority="57" stopIfTrue="1">
      <formula>$Z5897="Pendiente Ingresar"</formula>
    </cfRule>
  </conditionalFormatting>
  <conditionalFormatting sqref="C5903">
    <cfRule type="expression" dxfId="615" priority="47" stopIfTrue="1">
      <formula>$Z5903="Pendiente Ingresar"</formula>
    </cfRule>
    <cfRule type="expression" dxfId="614" priority="46" stopIfTrue="1">
      <formula>$Z5903="Inactivo"</formula>
    </cfRule>
    <cfRule type="expression" dxfId="613" priority="45" stopIfTrue="1">
      <formula>$Z5903="Activo"</formula>
    </cfRule>
  </conditionalFormatting>
  <conditionalFormatting sqref="C5917">
    <cfRule type="expression" dxfId="612" priority="38">
      <formula>$Z5917="Activo"</formula>
    </cfRule>
    <cfRule type="expression" dxfId="611" priority="41" stopIfTrue="1">
      <formula>$Z5917="Pendiente Ingresar"</formula>
    </cfRule>
    <cfRule type="expression" dxfId="610" priority="39" stopIfTrue="1">
      <formula>$Z5917="Activo"</formula>
    </cfRule>
    <cfRule type="expression" dxfId="609" priority="40" stopIfTrue="1">
      <formula>$Z5917="Inactivo"</formula>
    </cfRule>
  </conditionalFormatting>
  <conditionalFormatting sqref="C5919">
    <cfRule type="expression" dxfId="608" priority="34">
      <formula>$Z5919="Activo"</formula>
    </cfRule>
    <cfRule type="expression" dxfId="607" priority="35" stopIfTrue="1">
      <formula>$Z5919="Activo"</formula>
    </cfRule>
    <cfRule type="expression" dxfId="606" priority="36" stopIfTrue="1">
      <formula>$Z5919="Inactivo"</formula>
    </cfRule>
    <cfRule type="expression" dxfId="605" priority="37" stopIfTrue="1">
      <formula>$Z5919="Pendiente Ingresar"</formula>
    </cfRule>
  </conditionalFormatting>
  <conditionalFormatting sqref="C5922">
    <cfRule type="expression" dxfId="604" priority="31" stopIfTrue="1">
      <formula>$Z5922="Activo"</formula>
    </cfRule>
    <cfRule type="expression" dxfId="603" priority="32" stopIfTrue="1">
      <formula>$Z5922="Inactivo"</formula>
    </cfRule>
    <cfRule type="expression" dxfId="602" priority="33" stopIfTrue="1">
      <formula>$Z5922="Pendiente Ingresar"</formula>
    </cfRule>
  </conditionalFormatting>
  <conditionalFormatting sqref="C5941:C5942">
    <cfRule type="expression" dxfId="601" priority="29" stopIfTrue="1">
      <formula>$Z5941="Inactivo"</formula>
    </cfRule>
    <cfRule type="expression" dxfId="600" priority="30" stopIfTrue="1">
      <formula>$Z5941="Pendiente Ingresar"</formula>
    </cfRule>
    <cfRule type="expression" dxfId="599" priority="28" stopIfTrue="1">
      <formula>$Z5941="Activo"</formula>
    </cfRule>
  </conditionalFormatting>
  <conditionalFormatting sqref="F133">
    <cfRule type="expression" dxfId="598" priority="1148" stopIfTrue="1">
      <formula>$Z133="Pendiente Ingresar"</formula>
    </cfRule>
    <cfRule type="expression" dxfId="597" priority="1145">
      <formula>$Z133="Activo"</formula>
    </cfRule>
    <cfRule type="expression" dxfId="596" priority="1146" stopIfTrue="1">
      <formula>$Z133="Activo"</formula>
    </cfRule>
    <cfRule type="expression" dxfId="595" priority="1147" stopIfTrue="1">
      <formula>$Z133="Inactivo"</formula>
    </cfRule>
  </conditionalFormatting>
  <conditionalFormatting sqref="H1623:H1625">
    <cfRule type="expression" dxfId="594" priority="913">
      <formula>$Y1623="Prueba"</formula>
    </cfRule>
    <cfRule type="expression" dxfId="593" priority="912">
      <formula>$Y1623="Inactivo"</formula>
    </cfRule>
    <cfRule type="expression" dxfId="592" priority="911">
      <formula>$Y1623="Activo"</formula>
    </cfRule>
    <cfRule type="expression" dxfId="591" priority="910">
      <formula>$Y1623="Pendiente Ingresar"</formula>
    </cfRule>
  </conditionalFormatting>
  <conditionalFormatting sqref="H1714:H1718">
    <cfRule type="expression" dxfId="590" priority="904">
      <formula>$Y1714="Inactivo"</formula>
    </cfRule>
    <cfRule type="expression" dxfId="589" priority="902">
      <formula>$Y1714="Pendiente Ingresar"</formula>
    </cfRule>
    <cfRule type="expression" dxfId="588" priority="903">
      <formula>$Y1714="Activo"</formula>
    </cfRule>
    <cfRule type="expression" dxfId="587" priority="905">
      <formula>$Y1714="Prueba"</formula>
    </cfRule>
  </conditionalFormatting>
  <conditionalFormatting sqref="H1724:H1726">
    <cfRule type="expression" dxfId="586" priority="897">
      <formula>$Y1724="Prueba"</formula>
    </cfRule>
    <cfRule type="expression" dxfId="585" priority="894">
      <formula>$Y1724="Pendiente Ingresar"</formula>
    </cfRule>
    <cfRule type="expression" dxfId="584" priority="895">
      <formula>$Y1724="Activo"</formula>
    </cfRule>
    <cfRule type="expression" dxfId="583" priority="896">
      <formula>$Y1724="Inactivo"</formula>
    </cfRule>
  </conditionalFormatting>
  <conditionalFormatting sqref="H1733:H1734">
    <cfRule type="expression" dxfId="582" priority="890">
      <formula>$Y1733="Pendiente Ingresar"</formula>
    </cfRule>
    <cfRule type="expression" dxfId="581" priority="891">
      <formula>$Y1733="Activo"</formula>
    </cfRule>
    <cfRule type="expression" dxfId="580" priority="892">
      <formula>$Y1733="Inactivo"</formula>
    </cfRule>
    <cfRule type="expression" dxfId="579" priority="893">
      <formula>$Y1733="Prueba"</formula>
    </cfRule>
  </conditionalFormatting>
  <conditionalFormatting sqref="H1793">
    <cfRule type="expression" dxfId="578" priority="991">
      <formula>$Y1793="Activo"</formula>
    </cfRule>
    <cfRule type="expression" dxfId="577" priority="990">
      <formula>$Y1793="Pendiente Ingresar"</formula>
    </cfRule>
    <cfRule type="expression" dxfId="576" priority="993">
      <formula>$Y1793="Prueba"</formula>
    </cfRule>
    <cfRule type="expression" dxfId="575" priority="992">
      <formula>$Y1793="Inactivo"</formula>
    </cfRule>
  </conditionalFormatting>
  <conditionalFormatting sqref="H1806:H1807">
    <cfRule type="expression" dxfId="574" priority="884">
      <formula>$Y1806="Inactivo"</formula>
    </cfRule>
    <cfRule type="expression" dxfId="573" priority="883">
      <formula>$Y1806="Activo"</formula>
    </cfRule>
    <cfRule type="expression" dxfId="572" priority="882">
      <formula>$Y1806="Pendiente Ingresar"</formula>
    </cfRule>
    <cfRule type="expression" dxfId="571" priority="885">
      <formula>$Y1806="Prueba"</formula>
    </cfRule>
  </conditionalFormatting>
  <conditionalFormatting sqref="H2241:H2242">
    <cfRule type="expression" dxfId="570" priority="1103" stopIfTrue="1">
      <formula>$Z2241="Inactivo"</formula>
    </cfRule>
    <cfRule type="expression" dxfId="569" priority="1104" stopIfTrue="1">
      <formula>$Z2241="Pendiente Ingresar"</formula>
    </cfRule>
    <cfRule type="expression" dxfId="568" priority="1102" stopIfTrue="1">
      <formula>$Z2241="Activo"</formula>
    </cfRule>
  </conditionalFormatting>
  <conditionalFormatting sqref="H3452:H3462">
    <cfRule type="expression" dxfId="567" priority="979">
      <formula>$Y3452="Activo"</formula>
    </cfRule>
    <cfRule type="expression" dxfId="566" priority="980">
      <formula>$Y3452="Inactivo"</formula>
    </cfRule>
    <cfRule type="expression" dxfId="565" priority="981">
      <formula>$Y3452="Prueba"</formula>
    </cfRule>
    <cfRule type="expression" dxfId="564" priority="978">
      <formula>$Y3452="Pendiente Ingresar"</formula>
    </cfRule>
  </conditionalFormatting>
  <conditionalFormatting sqref="H3467:H3468">
    <cfRule type="expression" dxfId="563" priority="970">
      <formula>$Y3467="Pendiente Ingresar"</formula>
    </cfRule>
    <cfRule type="expression" dxfId="562" priority="971">
      <formula>$Y3467="Activo"</formula>
    </cfRule>
    <cfRule type="expression" dxfId="561" priority="972">
      <formula>$Y3467="Inactivo"</formula>
    </cfRule>
    <cfRule type="expression" dxfId="560" priority="973">
      <formula>$Y3467="Prueba"</formula>
    </cfRule>
  </conditionalFormatting>
  <conditionalFormatting sqref="H3487">
    <cfRule type="expression" dxfId="559" priority="950">
      <formula>$Y3487="Pendiente Ingresar"</formula>
    </cfRule>
    <cfRule type="expression" dxfId="558" priority="951">
      <formula>$Y3487="Activo"</formula>
    </cfRule>
    <cfRule type="expression" dxfId="557" priority="952">
      <formula>$Y3487="Inactivo"</formula>
    </cfRule>
    <cfRule type="expression" dxfId="556" priority="953">
      <formula>$Y3487="Prueba"</formula>
    </cfRule>
  </conditionalFormatting>
  <conditionalFormatting sqref="H3489:H3493">
    <cfRule type="expression" dxfId="555" priority="938">
      <formula>$Y3489="Pendiente Ingresar"</formula>
    </cfRule>
    <cfRule type="expression" dxfId="554" priority="939">
      <formula>$Y3489="Activo"</formula>
    </cfRule>
    <cfRule type="expression" dxfId="553" priority="940">
      <formula>$Y3489="Inactivo"</formula>
    </cfRule>
    <cfRule type="expression" dxfId="552" priority="941">
      <formula>$Y3489="Prueba"</formula>
    </cfRule>
  </conditionalFormatting>
  <conditionalFormatting sqref="H3503:H3509">
    <cfRule type="expression" dxfId="551" priority="930">
      <formula>$Y3503="Pendiente Ingresar"</formula>
    </cfRule>
    <cfRule type="expression" dxfId="550" priority="931">
      <formula>$Y3503="Activo"</formula>
    </cfRule>
    <cfRule type="expression" dxfId="549" priority="932">
      <formula>$Y3503="Inactivo"</formula>
    </cfRule>
    <cfRule type="expression" dxfId="548" priority="933">
      <formula>$Y3503="Prueba"</formula>
    </cfRule>
  </conditionalFormatting>
  <conditionalFormatting sqref="H3513:H3532">
    <cfRule type="expression" dxfId="547" priority="920">
      <formula>$Y3513="Inactivo"</formula>
    </cfRule>
    <cfRule type="expression" dxfId="546" priority="918">
      <formula>$Y3513="Pendiente Ingresar"</formula>
    </cfRule>
    <cfRule type="expression" dxfId="545" priority="919">
      <formula>$Y3513="Activo"</formula>
    </cfRule>
    <cfRule type="expression" dxfId="544" priority="921">
      <formula>$Y3513="Prueba"</formula>
    </cfRule>
  </conditionalFormatting>
  <conditionalFormatting sqref="H3629">
    <cfRule type="expression" dxfId="543" priority="849">
      <formula>$Y3629="Pendiente Ingresar"</formula>
    </cfRule>
    <cfRule type="expression" dxfId="542" priority="850">
      <formula>$Y3629="Activo"</formula>
    </cfRule>
    <cfRule type="expression" dxfId="541" priority="852">
      <formula>$Y3629="Prueba"</formula>
    </cfRule>
    <cfRule type="expression" dxfId="540" priority="851">
      <formula>$Y3629="Inactivo"</formula>
    </cfRule>
  </conditionalFormatting>
  <conditionalFormatting sqref="H3658">
    <cfRule type="expression" dxfId="539" priority="843">
      <formula>$Y3658="Prueba"</formula>
    </cfRule>
    <cfRule type="expression" dxfId="538" priority="842">
      <formula>$Y3658="Inactivo"</formula>
    </cfRule>
    <cfRule type="expression" dxfId="537" priority="841">
      <formula>$Y3658="Activo"</formula>
    </cfRule>
    <cfRule type="expression" dxfId="536" priority="840">
      <formula>$Y3658="Pendiente Ingresar"</formula>
    </cfRule>
  </conditionalFormatting>
  <conditionalFormatting sqref="H3706">
    <cfRule type="expression" dxfId="535" priority="816">
      <formula>$Y3706="Pendiente Ingresar"</formula>
    </cfRule>
    <cfRule type="expression" dxfId="534" priority="819">
      <formula>$Y3706="Prueba"</formula>
    </cfRule>
    <cfRule type="expression" dxfId="533" priority="818">
      <formula>$Y3706="Inactivo"</formula>
    </cfRule>
    <cfRule type="expression" dxfId="532" priority="817">
      <formula>$Y3706="Activo"</formula>
    </cfRule>
  </conditionalFormatting>
  <conditionalFormatting sqref="H3755:H3760">
    <cfRule type="expression" dxfId="531" priority="787">
      <formula>$Y3755="Pendiente Ingresar"</formula>
    </cfRule>
    <cfRule type="expression" dxfId="530" priority="790">
      <formula>$Y3755="Prueba"</formula>
    </cfRule>
    <cfRule type="expression" dxfId="529" priority="789">
      <formula>$Y3755="Inactivo"</formula>
    </cfRule>
    <cfRule type="expression" dxfId="528" priority="788">
      <formula>$Y3755="Activo"</formula>
    </cfRule>
  </conditionalFormatting>
  <conditionalFormatting sqref="H3804">
    <cfRule type="expression" dxfId="527" priority="781">
      <formula>$Y3804="Prueba"</formula>
    </cfRule>
    <cfRule type="expression" dxfId="526" priority="780">
      <formula>$Y3804="Inactivo"</formula>
    </cfRule>
    <cfRule type="expression" dxfId="525" priority="779">
      <formula>$Y3804="Activo"</formula>
    </cfRule>
    <cfRule type="expression" dxfId="524" priority="778">
      <formula>$Y3804="Pendiente Ingresar"</formula>
    </cfRule>
  </conditionalFormatting>
  <conditionalFormatting sqref="H3809:H3811">
    <cfRule type="expression" dxfId="523" priority="768">
      <formula>$Y3809="Inactivo"</formula>
    </cfRule>
    <cfRule type="expression" dxfId="522" priority="767">
      <formula>$Y3809="Activo"</formula>
    </cfRule>
    <cfRule type="expression" dxfId="521" priority="766">
      <formula>$Y3809="Pendiente Ingresar"</formula>
    </cfRule>
    <cfRule type="expression" dxfId="520" priority="769">
      <formula>$Y3809="Prueba"</formula>
    </cfRule>
  </conditionalFormatting>
  <conditionalFormatting sqref="H3810">
    <cfRule type="expression" dxfId="519" priority="762">
      <formula>$Y3810="Pendiente Ingresar"</formula>
    </cfRule>
    <cfRule type="expression" dxfId="518" priority="765">
      <formula>$Y3810="Prueba"</formula>
    </cfRule>
    <cfRule type="expression" dxfId="517" priority="764">
      <formula>$Y3810="Inactivo"</formula>
    </cfRule>
    <cfRule type="expression" dxfId="516" priority="763">
      <formula>$Y3810="Activo"</formula>
    </cfRule>
  </conditionalFormatting>
  <conditionalFormatting sqref="H3868:H3872">
    <cfRule type="expression" dxfId="515" priority="753">
      <formula>$Y3868="Inactivo"</formula>
    </cfRule>
    <cfRule type="expression" dxfId="514" priority="754">
      <formula>$Y3868="Prueba"</formula>
    </cfRule>
    <cfRule type="expression" dxfId="513" priority="751">
      <formula>$Y3868="Pendiente Ingresar"</formula>
    </cfRule>
    <cfRule type="expression" dxfId="512" priority="752">
      <formula>$Y3868="Activo"</formula>
    </cfRule>
  </conditionalFormatting>
  <conditionalFormatting sqref="H3908">
    <cfRule type="expression" dxfId="511" priority="739">
      <formula>$Y3908="Pendiente Ingresar"</formula>
    </cfRule>
    <cfRule type="expression" dxfId="510" priority="740">
      <formula>$Y3908="Activo"</formula>
    </cfRule>
    <cfRule type="expression" dxfId="509" priority="742">
      <formula>$Y3908="Prueba"</formula>
    </cfRule>
    <cfRule type="expression" dxfId="508" priority="741">
      <formula>$Y3908="Inactivo"</formula>
    </cfRule>
  </conditionalFormatting>
  <conditionalFormatting sqref="H4053">
    <cfRule type="expression" dxfId="507" priority="661">
      <formula>$Y4053="Inactivo"</formula>
    </cfRule>
    <cfRule type="expression" dxfId="506" priority="662">
      <formula>$Y4053="Prueba"</formula>
    </cfRule>
    <cfRule type="expression" dxfId="505" priority="659">
      <formula>$Y4053="Pendiente Ingresar"</formula>
    </cfRule>
    <cfRule type="expression" dxfId="504" priority="660">
      <formula>$Y4053="Activo"</formula>
    </cfRule>
  </conditionalFormatting>
  <conditionalFormatting sqref="H4111">
    <cfRule type="expression" dxfId="503" priority="618">
      <formula>$Y4111="Prueba"</formula>
    </cfRule>
    <cfRule type="expression" dxfId="502" priority="617">
      <formula>$Y4111="Inactivo"</formula>
    </cfRule>
    <cfRule type="expression" dxfId="501" priority="616">
      <formula>$Y4111="Activo"</formula>
    </cfRule>
    <cfRule type="expression" dxfId="500" priority="615">
      <formula>$Y4111="Pendiente Ingresar"</formula>
    </cfRule>
  </conditionalFormatting>
  <conditionalFormatting sqref="H4258">
    <cfRule type="expression" dxfId="499" priority="550">
      <formula>$Y4258="Pendiente Ingresar"</formula>
    </cfRule>
    <cfRule type="expression" dxfId="498" priority="551">
      <formula>$Y4258="Activo"</formula>
    </cfRule>
    <cfRule type="expression" dxfId="497" priority="552">
      <formula>$Y4258="Inactivo"</formula>
    </cfRule>
    <cfRule type="expression" dxfId="496" priority="553">
      <formula>$Y4258="Prueba"</formula>
    </cfRule>
  </conditionalFormatting>
  <conditionalFormatting sqref="H4350:H4351">
    <cfRule type="expression" dxfId="495" priority="527">
      <formula>$Y4350="Pendiente Ingresar"</formula>
    </cfRule>
    <cfRule type="expression" dxfId="494" priority="528">
      <formula>$Y4350="Activo"</formula>
    </cfRule>
    <cfRule type="expression" dxfId="493" priority="530">
      <formula>$Y4350="Prueba"</formula>
    </cfRule>
    <cfRule type="expression" dxfId="492" priority="529">
      <formula>$Y4350="Inactivo"</formula>
    </cfRule>
  </conditionalFormatting>
  <conditionalFormatting sqref="H4496">
    <cfRule type="expression" dxfId="491" priority="454">
      <formula>$Y4496="Prueba"</formula>
    </cfRule>
    <cfRule type="expression" dxfId="490" priority="453">
      <formula>$Y4496="Inactivo"</formula>
    </cfRule>
    <cfRule type="expression" dxfId="489" priority="452">
      <formula>$Y4496="Activo"</formula>
    </cfRule>
    <cfRule type="expression" dxfId="488" priority="451">
      <formula>$Y4496="Pendiente Ingresar"</formula>
    </cfRule>
  </conditionalFormatting>
  <conditionalFormatting sqref="H4540">
    <cfRule type="expression" dxfId="487" priority="436">
      <formula>$Y4540="Prueba"</formula>
    </cfRule>
    <cfRule type="expression" dxfId="486" priority="435">
      <formula>$Y4540="Inactivo"</formula>
    </cfRule>
    <cfRule type="expression" dxfId="485" priority="434">
      <formula>$Y4540="Activo"</formula>
    </cfRule>
    <cfRule type="expression" dxfId="484" priority="433">
      <formula>$Y4540="Pendiente Ingresar"</formula>
    </cfRule>
  </conditionalFormatting>
  <conditionalFormatting sqref="H4573">
    <cfRule type="expression" dxfId="483" priority="422">
      <formula>$Y4573="Pendiente Ingresar"</formula>
    </cfRule>
    <cfRule type="expression" dxfId="482" priority="423">
      <formula>$Y4573="Activo"</formula>
    </cfRule>
    <cfRule type="expression" dxfId="481" priority="425">
      <formula>$Y4573="Prueba"</formula>
    </cfRule>
    <cfRule type="expression" dxfId="480" priority="424">
      <formula>$Y4573="Inactivo"</formula>
    </cfRule>
  </conditionalFormatting>
  <conditionalFormatting sqref="H4726">
    <cfRule type="expression" dxfId="479" priority="379">
      <formula>$Y4726="Pendiente Ingresar"</formula>
    </cfRule>
    <cfRule type="expression" dxfId="478" priority="380">
      <formula>$Y4726="Activo"</formula>
    </cfRule>
    <cfRule type="expression" dxfId="477" priority="381">
      <formula>$Y4726="Inactivo"</formula>
    </cfRule>
    <cfRule type="expression" dxfId="476" priority="382">
      <formula>$Y4726="Prueba"</formula>
    </cfRule>
  </conditionalFormatting>
  <conditionalFormatting sqref="H4832">
    <cfRule type="expression" dxfId="475" priority="357">
      <formula>$Y4832="Prueba"</formula>
    </cfRule>
    <cfRule type="expression" dxfId="474" priority="356">
      <formula>$Y4832="Inactivo"</formula>
    </cfRule>
    <cfRule type="expression" dxfId="473" priority="355">
      <formula>$Y4832="Activo"</formula>
    </cfRule>
    <cfRule type="expression" dxfId="472" priority="354">
      <formula>$Y4832="Pendiente Ingresar"</formula>
    </cfRule>
  </conditionalFormatting>
  <conditionalFormatting sqref="H4966">
    <cfRule type="expression" dxfId="471" priority="315">
      <formula>$Y4966="Prueba"</formula>
    </cfRule>
    <cfRule type="expression" dxfId="470" priority="314">
      <formula>$Y4966="Inactivo"</formula>
    </cfRule>
    <cfRule type="expression" dxfId="469" priority="313">
      <formula>$Y4966="Activo"</formula>
    </cfRule>
    <cfRule type="expression" dxfId="468" priority="312">
      <formula>$Y4966="Pendiente Ingresar"</formula>
    </cfRule>
  </conditionalFormatting>
  <conditionalFormatting sqref="H4971">
    <cfRule type="expression" dxfId="467" priority="300">
      <formula>$Y4971="Prueba"</formula>
    </cfRule>
    <cfRule type="expression" dxfId="466" priority="298">
      <formula>$Y4971="Activo"</formula>
    </cfRule>
    <cfRule type="expression" dxfId="465" priority="297">
      <formula>$Y4971="Pendiente Ingresar"</formula>
    </cfRule>
    <cfRule type="expression" dxfId="464" priority="299">
      <formula>$Y4971="Inactivo"</formula>
    </cfRule>
  </conditionalFormatting>
  <conditionalFormatting sqref="H5622">
    <cfRule type="expression" dxfId="463" priority="156">
      <formula>$Y5622="Pendiente Ingresar"</formula>
    </cfRule>
    <cfRule type="expression" dxfId="462" priority="157">
      <formula>$Y5622="Activo"</formula>
    </cfRule>
    <cfRule type="expression" dxfId="461" priority="158">
      <formula>$Y5622="Inactivo"</formula>
    </cfRule>
    <cfRule type="expression" dxfId="460" priority="159">
      <formula>$Y5622="Prueba"</formula>
    </cfRule>
  </conditionalFormatting>
  <conditionalFormatting sqref="H5630:H5631">
    <cfRule type="expression" dxfId="459" priority="131">
      <formula>$Y5630="Prueba"</formula>
    </cfRule>
    <cfRule type="expression" dxfId="458" priority="128">
      <formula>$Y5630="Pendiente Ingresar"</formula>
    </cfRule>
    <cfRule type="expression" dxfId="457" priority="129">
      <formula>$Y5630="Activo"</formula>
    </cfRule>
    <cfRule type="expression" dxfId="456" priority="130">
      <formula>$Y5630="Inactivo"</formula>
    </cfRule>
  </conditionalFormatting>
  <conditionalFormatting sqref="H900:I900">
    <cfRule type="expression" dxfId="455" priority="813">
      <formula>$Y900="Inactivo"</formula>
    </cfRule>
    <cfRule type="expression" dxfId="454" priority="812">
      <formula>$Y900="Activo"</formula>
    </cfRule>
    <cfRule type="expression" dxfId="453" priority="814">
      <formula>$Y900="Prueba"</formula>
    </cfRule>
    <cfRule type="expression" dxfId="452" priority="811">
      <formula>$Y900="Pendiente Ingresar"</formula>
    </cfRule>
  </conditionalFormatting>
  <conditionalFormatting sqref="H1761:I1763">
    <cfRule type="expression" dxfId="451" priority="1000">
      <formula>$Y1761="Inactivo"</formula>
    </cfRule>
    <cfRule type="expression" dxfId="450" priority="1001">
      <formula>$Y1761="Prueba"</formula>
    </cfRule>
    <cfRule type="expression" dxfId="449" priority="998">
      <formula>$Y1761="Pendiente Ingresar"</formula>
    </cfRule>
    <cfRule type="expression" dxfId="448" priority="999">
      <formula>$Y1761="Activo"</formula>
    </cfRule>
  </conditionalFormatting>
  <conditionalFormatting sqref="H1780:I1782">
    <cfRule type="expression" dxfId="447" priority="996">
      <formula>$Y1780="Inactivo"</formula>
    </cfRule>
    <cfRule type="expression" dxfId="446" priority="995">
      <formula>$Y1780="Activo"</formula>
    </cfRule>
    <cfRule type="expression" dxfId="445" priority="994">
      <formula>$Y1780="Pendiente Ingresar"</formula>
    </cfRule>
    <cfRule type="expression" dxfId="444" priority="997">
      <formula>$Y1780="Prueba"</formula>
    </cfRule>
  </conditionalFormatting>
  <conditionalFormatting sqref="H3409:I3414">
    <cfRule type="expression" dxfId="443" priority="989">
      <formula>$Y3409="Prueba"</formula>
    </cfRule>
    <cfRule type="expression" dxfId="442" priority="986">
      <formula>$Y3409="Pendiente Ingresar"</formula>
    </cfRule>
    <cfRule type="expression" dxfId="441" priority="987">
      <formula>$Y3409="Activo"</formula>
    </cfRule>
    <cfRule type="expression" dxfId="440" priority="988">
      <formula>$Y3409="Inactivo"</formula>
    </cfRule>
  </conditionalFormatting>
  <conditionalFormatting sqref="H3469:I3470">
    <cfRule type="expression" dxfId="439" priority="963">
      <formula>$Y3469="Activo"</formula>
    </cfRule>
    <cfRule type="expression" dxfId="438" priority="964">
      <formula>$Y3469="Inactivo"</formula>
    </cfRule>
    <cfRule type="expression" dxfId="437" priority="965">
      <formula>$Y3469="Prueba"</formula>
    </cfRule>
    <cfRule type="expression" dxfId="436" priority="962">
      <formula>$Y3469="Pendiente Ingresar"</formula>
    </cfRule>
  </conditionalFormatting>
  <conditionalFormatting sqref="H3488:I3488">
    <cfRule type="expression" dxfId="435" priority="946">
      <formula>$Y3488="Pendiente Ingresar"</formula>
    </cfRule>
    <cfRule type="expression" dxfId="434" priority="948">
      <formula>$Y3488="Inactivo"</formula>
    </cfRule>
    <cfRule type="expression" dxfId="433" priority="949">
      <formula>$Y3488="Prueba"</formula>
    </cfRule>
    <cfRule type="expression" dxfId="432" priority="947">
      <formula>$Y3488="Activo"</formula>
    </cfRule>
  </conditionalFormatting>
  <conditionalFormatting sqref="H3502:I3502">
    <cfRule type="expression" dxfId="431" priority="934">
      <formula>$Y3502="Pendiente Ingresar"</formula>
    </cfRule>
    <cfRule type="expression" dxfId="430" priority="937">
      <formula>$Y3502="Prueba"</formula>
    </cfRule>
    <cfRule type="expression" dxfId="429" priority="935">
      <formula>$Y3502="Activo"</formula>
    </cfRule>
    <cfRule type="expression" dxfId="428" priority="936">
      <formula>$Y3502="Inactivo"</formula>
    </cfRule>
  </conditionalFormatting>
  <conditionalFormatting sqref="H3564:I3564">
    <cfRule type="expression" dxfId="427" priority="871">
      <formula>$Y3564="Activo"</formula>
    </cfRule>
    <cfRule type="expression" dxfId="426" priority="870">
      <formula>$Y3564="Pendiente Ingresar"</formula>
    </cfRule>
    <cfRule type="expression" dxfId="425" priority="872">
      <formula>$Y3564="Inactivo"</formula>
    </cfRule>
    <cfRule type="expression" dxfId="424" priority="873">
      <formula>$Y3564="Prueba"</formula>
    </cfRule>
  </conditionalFormatting>
  <conditionalFormatting sqref="H3614:I3614">
    <cfRule type="expression" dxfId="423" priority="860">
      <formula>$Y3614="Prueba"</formula>
    </cfRule>
    <cfRule type="expression" dxfId="422" priority="859">
      <formula>$Y3614="Inactivo"</formula>
    </cfRule>
    <cfRule type="expression" dxfId="421" priority="858">
      <formula>$Y3614="Activo"</formula>
    </cfRule>
    <cfRule type="expression" dxfId="420" priority="857">
      <formula>$Y3614="Pendiente Ingresar"</formula>
    </cfRule>
  </conditionalFormatting>
  <conditionalFormatting sqref="H3725:I3725">
    <cfRule type="expression" dxfId="419" priority="803">
      <formula>$Y3725="Pendiente Ingresar"</formula>
    </cfRule>
    <cfRule type="expression" dxfId="418" priority="804">
      <formula>$Y3725="Activo"</formula>
    </cfRule>
    <cfRule type="expression" dxfId="417" priority="805">
      <formula>$Y3725="Inactivo"</formula>
    </cfRule>
    <cfRule type="expression" dxfId="416" priority="806">
      <formula>$Y3725="Prueba"</formula>
    </cfRule>
  </conditionalFormatting>
  <conditionalFormatting sqref="H3730:I3731">
    <cfRule type="expression" dxfId="415" priority="799">
      <formula>$Y3730="Pendiente Ingresar"</formula>
    </cfRule>
    <cfRule type="expression" dxfId="414" priority="801">
      <formula>$Y3730="Inactivo"</formula>
    </cfRule>
    <cfRule type="expression" dxfId="413" priority="802">
      <formula>$Y3730="Prueba"</formula>
    </cfRule>
    <cfRule type="expression" dxfId="412" priority="800">
      <formula>$Y3730="Activo"</formula>
    </cfRule>
  </conditionalFormatting>
  <conditionalFormatting sqref="H3733:I3740">
    <cfRule type="expression" dxfId="411" priority="795">
      <formula>$Y3733="Pendiente Ingresar"</formula>
    </cfRule>
    <cfRule type="expression" dxfId="410" priority="796">
      <formula>$Y3733="Activo"</formula>
    </cfRule>
    <cfRule type="expression" dxfId="409" priority="797">
      <formula>$Y3733="Inactivo"</formula>
    </cfRule>
    <cfRule type="expression" dxfId="408" priority="798">
      <formula>$Y3733="Prueba"</formula>
    </cfRule>
  </conditionalFormatting>
  <conditionalFormatting sqref="H3742:I3750 H3751 H3752:I3754">
    <cfRule type="expression" dxfId="407" priority="793">
      <formula>$Y3742="Inactivo"</formula>
    </cfRule>
    <cfRule type="expression" dxfId="406" priority="794">
      <formula>$Y3742="Prueba"</formula>
    </cfRule>
    <cfRule type="expression" dxfId="405" priority="791">
      <formula>$Y3742="Pendiente Ingresar"</formula>
    </cfRule>
    <cfRule type="expression" dxfId="404" priority="792">
      <formula>$Y3742="Activo"</formula>
    </cfRule>
  </conditionalFormatting>
  <conditionalFormatting sqref="H3905:I3905">
    <cfRule type="expression" dxfId="403" priority="750">
      <formula>$Y3905="Prueba"</formula>
    </cfRule>
    <cfRule type="expression" dxfId="402" priority="749">
      <formula>$Y3905="Inactivo"</formula>
    </cfRule>
    <cfRule type="expression" dxfId="401" priority="747">
      <formula>$Y3905="Pendiente Ingresar"</formula>
    </cfRule>
    <cfRule type="expression" dxfId="400" priority="748">
      <formula>$Y3905="Activo"</formula>
    </cfRule>
  </conditionalFormatting>
  <conditionalFormatting sqref="H3937:I3937">
    <cfRule type="expression" dxfId="399" priority="1349">
      <formula>#REF!="Prueba"</formula>
    </cfRule>
    <cfRule type="expression" dxfId="398" priority="1346">
      <formula>#REF!="Pendiente Ingresar"</formula>
    </cfRule>
    <cfRule type="expression" dxfId="397" priority="1347">
      <formula>#REF!="Activo"</formula>
    </cfRule>
    <cfRule type="expression" dxfId="396" priority="1348">
      <formula>#REF!="Inactivo"</formula>
    </cfRule>
  </conditionalFormatting>
  <conditionalFormatting sqref="H3992:I3995">
    <cfRule type="expression" dxfId="395" priority="709">
      <formula>$Y3992="Inactivo"</formula>
    </cfRule>
    <cfRule type="expression" dxfId="394" priority="710">
      <formula>$Y3992="Prueba"</formula>
    </cfRule>
    <cfRule type="expression" dxfId="393" priority="707">
      <formula>$Y3992="Pendiente Ingresar"</formula>
    </cfRule>
    <cfRule type="expression" dxfId="392" priority="708">
      <formula>$Y3992="Activo"</formula>
    </cfRule>
  </conditionalFormatting>
  <conditionalFormatting sqref="H4068:I4068">
    <cfRule type="expression" dxfId="391" priority="648">
      <formula>$Y4068="Activo"</formula>
    </cfRule>
    <cfRule type="expression" dxfId="390" priority="649">
      <formula>$Y4068="Inactivo"</formula>
    </cfRule>
    <cfRule type="expression" dxfId="389" priority="650">
      <formula>$Y4068="Prueba"</formula>
    </cfRule>
    <cfRule type="expression" dxfId="388" priority="647">
      <formula>$Y4068="Pendiente Ingresar"</formula>
    </cfRule>
  </conditionalFormatting>
  <conditionalFormatting sqref="H4093:I4098">
    <cfRule type="expression" dxfId="387" priority="630">
      <formula>$Y4093="Prueba"</formula>
    </cfRule>
    <cfRule type="expression" dxfId="386" priority="629">
      <formula>$Y4093="Inactivo"</formula>
    </cfRule>
    <cfRule type="expression" dxfId="385" priority="628">
      <formula>$Y4093="Activo"</formula>
    </cfRule>
    <cfRule type="expression" dxfId="384" priority="627">
      <formula>$Y4093="Pendiente Ingresar"</formula>
    </cfRule>
  </conditionalFormatting>
  <conditionalFormatting sqref="H4116:I4118">
    <cfRule type="expression" dxfId="383" priority="591">
      <formula>$Y4116="Pendiente Ingresar"</formula>
    </cfRule>
    <cfRule type="expression" dxfId="382" priority="592">
      <formula>$Y4116="Activo"</formula>
    </cfRule>
    <cfRule type="expression" dxfId="381" priority="593">
      <formula>$Y4116="Inactivo"</formula>
    </cfRule>
    <cfRule type="expression" dxfId="380" priority="594">
      <formula>$Y4116="Prueba"</formula>
    </cfRule>
  </conditionalFormatting>
  <conditionalFormatting sqref="H4442:I4443">
    <cfRule type="expression" dxfId="379" priority="514">
      <formula>$Y4442="Prueba"</formula>
    </cfRule>
    <cfRule type="expression" dxfId="378" priority="513">
      <formula>$Y4442="Inactivo"</formula>
    </cfRule>
    <cfRule type="expression" dxfId="377" priority="512">
      <formula>$Y4442="Activo"</formula>
    </cfRule>
    <cfRule type="expression" dxfId="376" priority="511">
      <formula>$Y4442="Pendiente Ingresar"</formula>
    </cfRule>
  </conditionalFormatting>
  <conditionalFormatting sqref="H4447:I4448">
    <cfRule type="expression" dxfId="375" priority="506">
      <formula>$Y4447="Inactivo"</formula>
    </cfRule>
    <cfRule type="expression" dxfId="374" priority="507">
      <formula>$Y4447="Prueba"</formula>
    </cfRule>
    <cfRule type="expression" dxfId="373" priority="504">
      <formula>$Y4447="Pendiente Ingresar"</formula>
    </cfRule>
    <cfRule type="expression" dxfId="372" priority="505">
      <formula>$Y4447="Activo"</formula>
    </cfRule>
  </conditionalFormatting>
  <conditionalFormatting sqref="H4452:I4452">
    <cfRule type="expression" dxfId="371" priority="491">
      <formula>$Y4452="Inactivo"</formula>
    </cfRule>
    <cfRule type="expression" dxfId="370" priority="492">
      <formula>$Y4452="Prueba"</formula>
    </cfRule>
    <cfRule type="expression" dxfId="369" priority="490">
      <formula>$Y4452="Activo"</formula>
    </cfRule>
    <cfRule type="expression" dxfId="368" priority="489">
      <formula>$Y4452="Pendiente Ingresar"</formula>
    </cfRule>
  </conditionalFormatting>
  <conditionalFormatting sqref="H4884:I4884">
    <cfRule type="expression" dxfId="367" priority="342">
      <formula>$Y4884="Activo"</formula>
    </cfRule>
    <cfRule type="expression" dxfId="366" priority="341">
      <formula>$Y4884="Pendiente Ingresar"</formula>
    </cfRule>
    <cfRule type="expression" dxfId="365" priority="344">
      <formula>$Y4884="Prueba"</formula>
    </cfRule>
    <cfRule type="expression" dxfId="364" priority="343">
      <formula>$Y4884="Inactivo"</formula>
    </cfRule>
  </conditionalFormatting>
  <conditionalFormatting sqref="H4970:I4970">
    <cfRule type="expression" dxfId="363" priority="303">
      <formula>$Y4970="Inactivo"</formula>
    </cfRule>
    <cfRule type="expression" dxfId="362" priority="304">
      <formula>$Y4970="Prueba"</formula>
    </cfRule>
    <cfRule type="expression" dxfId="361" priority="302">
      <formula>$Y4970="Activo"</formula>
    </cfRule>
    <cfRule type="expression" dxfId="360" priority="301">
      <formula>$Y4970="Pendiente Ingresar"</formula>
    </cfRule>
  </conditionalFormatting>
  <conditionalFormatting sqref="H5654:I5655">
    <cfRule type="expression" dxfId="359" priority="120">
      <formula>$Y5654="Activo"</formula>
    </cfRule>
    <cfRule type="expression" dxfId="358" priority="122">
      <formula>$Y5654="Prueba"</formula>
    </cfRule>
    <cfRule type="expression" dxfId="357" priority="119">
      <formula>$Y5654="Pendiente Ingresar"</formula>
    </cfRule>
    <cfRule type="expression" dxfId="356" priority="121">
      <formula>$Y5654="Inactivo"</formula>
    </cfRule>
  </conditionalFormatting>
  <conditionalFormatting sqref="H5942:I5942">
    <cfRule type="expression" dxfId="355" priority="24">
      <formula>$Y5942="Pendiente Ingresar"</formula>
    </cfRule>
    <cfRule type="expression" dxfId="354" priority="27">
      <formula>$Y5942="Prueba"</formula>
    </cfRule>
    <cfRule type="expression" dxfId="353" priority="26">
      <formula>$Y5942="Inactivo"</formula>
    </cfRule>
    <cfRule type="expression" dxfId="352" priority="25">
      <formula>$Y5942="Activo"</formula>
    </cfRule>
  </conditionalFormatting>
  <conditionalFormatting sqref="H6067:I6067">
    <cfRule type="expression" dxfId="351" priority="5">
      <formula>$Y6067="Pendiente Ingresar"</formula>
    </cfRule>
    <cfRule type="expression" dxfId="350" priority="6">
      <formula>$Y6067="Activo"</formula>
    </cfRule>
    <cfRule type="expression" dxfId="349" priority="8">
      <formula>$Y6067="Prueba"</formula>
    </cfRule>
    <cfRule type="expression" dxfId="348" priority="7">
      <formula>$Y6067="Inactivo"</formula>
    </cfRule>
  </conditionalFormatting>
  <conditionalFormatting sqref="I1623:I1625">
    <cfRule type="expression" dxfId="347" priority="917">
      <formula>$Y1623="Prueba"</formula>
    </cfRule>
    <cfRule type="expression" dxfId="346" priority="916">
      <formula>$Y1623="Inactivo"</formula>
    </cfRule>
    <cfRule type="expression" dxfId="345" priority="914">
      <formula>$Y1623="Pendiente Ingresar"</formula>
    </cfRule>
    <cfRule type="expression" dxfId="344" priority="915">
      <formula>$Y1623="Activo"</formula>
    </cfRule>
  </conditionalFormatting>
  <conditionalFormatting sqref="I1714:I1718">
    <cfRule type="expression" dxfId="343" priority="907">
      <formula>$Y1714="Activo"</formula>
    </cfRule>
    <cfRule type="expression" dxfId="342" priority="908">
      <formula>$Y1714="Inactivo"</formula>
    </cfRule>
    <cfRule type="expression" dxfId="341" priority="906">
      <formula>$Y1714="Pendiente Ingresar"</formula>
    </cfRule>
    <cfRule type="expression" dxfId="340" priority="909">
      <formula>$Y1714="Prueba"</formula>
    </cfRule>
  </conditionalFormatting>
  <conditionalFormatting sqref="I1724:I1726">
    <cfRule type="expression" dxfId="339" priority="901">
      <formula>$Y1724="Prueba"</formula>
    </cfRule>
    <cfRule type="expression" dxfId="338" priority="900">
      <formula>$Y1724="Inactivo"</formula>
    </cfRule>
    <cfRule type="expression" dxfId="337" priority="899">
      <formula>$Y1724="Activo"</formula>
    </cfRule>
    <cfRule type="expression" dxfId="336" priority="898">
      <formula>$Y1724="Pendiente Ingresar"</formula>
    </cfRule>
  </conditionalFormatting>
  <conditionalFormatting sqref="I1733:I1734">
    <cfRule type="expression" dxfId="335" priority="150">
      <formula>$Y1733="Inactivo"</formula>
    </cfRule>
    <cfRule type="expression" dxfId="334" priority="148">
      <formula>$Y1733="Pendiente Ingresar"</formula>
    </cfRule>
    <cfRule type="expression" dxfId="333" priority="149">
      <formula>$Y1733="Activo"</formula>
    </cfRule>
    <cfRule type="expression" dxfId="332" priority="151">
      <formula>$Y1733="Prueba"</formula>
    </cfRule>
  </conditionalFormatting>
  <conditionalFormatting sqref="I1737">
    <cfRule type="expression" dxfId="331" priority="145">
      <formula>$Y1737="Activo"</formula>
    </cfRule>
    <cfRule type="expression" dxfId="330" priority="146">
      <formula>$Y1737="Inactivo"</formula>
    </cfRule>
    <cfRule type="expression" dxfId="329" priority="147">
      <formula>$Y1737="Prueba"</formula>
    </cfRule>
    <cfRule type="expression" dxfId="328" priority="144">
      <formula>$Y1737="Pendiente Ingresar"</formula>
    </cfRule>
  </conditionalFormatting>
  <conditionalFormatting sqref="I1806:I1807">
    <cfRule type="expression" dxfId="327" priority="888">
      <formula>$Y1806="Inactivo"</formula>
    </cfRule>
    <cfRule type="expression" dxfId="326" priority="889">
      <formula>$Y1806="Prueba"</formula>
    </cfRule>
    <cfRule type="expression" dxfId="325" priority="887">
      <formula>$Y1806="Activo"</formula>
    </cfRule>
    <cfRule type="expression" dxfId="324" priority="886">
      <formula>$Y1806="Pendiente Ingresar"</formula>
    </cfRule>
  </conditionalFormatting>
  <conditionalFormatting sqref="I3356:I3359">
    <cfRule type="expression" dxfId="323" priority="1008">
      <formula>$Y3356="Inactivo"</formula>
    </cfRule>
    <cfRule type="expression" dxfId="322" priority="1009">
      <formula>$Y3356="Prueba"</formula>
    </cfRule>
    <cfRule type="expression" dxfId="321" priority="1006">
      <formula>$Y3356="Pendiente Ingresar"</formula>
    </cfRule>
    <cfRule type="expression" dxfId="320" priority="1007">
      <formula>$Y3356="Activo"</formula>
    </cfRule>
  </conditionalFormatting>
  <conditionalFormatting sqref="I3385">
    <cfRule type="expression" dxfId="319" priority="1004">
      <formula>$Y3385="Inactivo"</formula>
    </cfRule>
    <cfRule type="expression" dxfId="318" priority="1002">
      <formula>$Y3385="Pendiente Ingresar"</formula>
    </cfRule>
    <cfRule type="expression" dxfId="317" priority="1005">
      <formula>$Y3385="Prueba"</formula>
    </cfRule>
    <cfRule type="expression" dxfId="316" priority="1003">
      <formula>$Y3385="Activo"</formula>
    </cfRule>
  </conditionalFormatting>
  <conditionalFormatting sqref="I3452:I3462">
    <cfRule type="expression" dxfId="315" priority="985">
      <formula>$Y3452="Prueba"</formula>
    </cfRule>
    <cfRule type="expression" dxfId="314" priority="982">
      <formula>$Y3452="Pendiente Ingresar"</formula>
    </cfRule>
    <cfRule type="expression" dxfId="313" priority="983">
      <formula>$Y3452="Activo"</formula>
    </cfRule>
    <cfRule type="expression" dxfId="312" priority="984">
      <formula>$Y3452="Inactivo"</formula>
    </cfRule>
  </conditionalFormatting>
  <conditionalFormatting sqref="I3467:I3468">
    <cfRule type="expression" dxfId="311" priority="977">
      <formula>$Y3467="Prueba"</formula>
    </cfRule>
    <cfRule type="expression" dxfId="310" priority="976">
      <formula>$Y3467="Inactivo"</formula>
    </cfRule>
    <cfRule type="expression" dxfId="309" priority="975">
      <formula>$Y3467="Activo"</formula>
    </cfRule>
    <cfRule type="expression" dxfId="308" priority="974">
      <formula>$Y3467="Pendiente Ingresar"</formula>
    </cfRule>
  </conditionalFormatting>
  <conditionalFormatting sqref="I3471">
    <cfRule type="expression" dxfId="307" priority="969">
      <formula>$Y3471="Prueba"</formula>
    </cfRule>
    <cfRule type="expression" dxfId="306" priority="968">
      <formula>$Y3471="Inactivo"</formula>
    </cfRule>
    <cfRule type="expression" dxfId="305" priority="967">
      <formula>$Y3471="Activo"</formula>
    </cfRule>
    <cfRule type="expression" dxfId="304" priority="966">
      <formula>$Y3471="Pendiente Ingresar"</formula>
    </cfRule>
  </conditionalFormatting>
  <conditionalFormatting sqref="I3474:I3475">
    <cfRule type="expression" dxfId="303" priority="960">
      <formula>$Y3474="Inactivo"</formula>
    </cfRule>
    <cfRule type="expression" dxfId="302" priority="961">
      <formula>$Y3474="Prueba"</formula>
    </cfRule>
    <cfRule type="expression" dxfId="301" priority="958">
      <formula>$Y3474="Pendiente Ingresar"</formula>
    </cfRule>
    <cfRule type="expression" dxfId="300" priority="959">
      <formula>$Y3474="Activo"</formula>
    </cfRule>
  </conditionalFormatting>
  <conditionalFormatting sqref="I3477:I3478">
    <cfRule type="expression" dxfId="299" priority="954">
      <formula>$Y3477="Pendiente Ingresar"</formula>
    </cfRule>
    <cfRule type="expression" dxfId="298" priority="956">
      <formula>$Y3477="Inactivo"</formula>
    </cfRule>
    <cfRule type="expression" dxfId="297" priority="957">
      <formula>$Y3477="Prueba"</formula>
    </cfRule>
    <cfRule type="expression" dxfId="296" priority="955">
      <formula>$Y3477="Activo"</formula>
    </cfRule>
  </conditionalFormatting>
  <conditionalFormatting sqref="I3487">
    <cfRule type="expression" dxfId="295" priority="942">
      <formula>$Y3487="Pendiente Ingresar"</formula>
    </cfRule>
    <cfRule type="expression" dxfId="294" priority="944">
      <formula>$Y3487="Inactivo"</formula>
    </cfRule>
    <cfRule type="expression" dxfId="293" priority="945">
      <formula>$Y3487="Prueba"</formula>
    </cfRule>
    <cfRule type="expression" dxfId="292" priority="943">
      <formula>$Y3487="Activo"</formula>
    </cfRule>
  </conditionalFormatting>
  <conditionalFormatting sqref="I3503:I3509">
    <cfRule type="expression" dxfId="291" priority="926">
      <formula>$Y3503="Pendiente Ingresar"</formula>
    </cfRule>
    <cfRule type="expression" dxfId="290" priority="928">
      <formula>$Y3503="Inactivo"</formula>
    </cfRule>
    <cfRule type="expression" dxfId="289" priority="929">
      <formula>$Y3503="Prueba"</formula>
    </cfRule>
    <cfRule type="expression" dxfId="288" priority="927">
      <formula>$Y3503="Activo"</formula>
    </cfRule>
  </conditionalFormatting>
  <conditionalFormatting sqref="I3513:I3521">
    <cfRule type="expression" dxfId="287" priority="925">
      <formula>$Y3513="Prueba"</formula>
    </cfRule>
    <cfRule type="expression" dxfId="286" priority="922">
      <formula>$Y3513="Pendiente Ingresar"</formula>
    </cfRule>
    <cfRule type="expression" dxfId="285" priority="924">
      <formula>$Y3513="Inactivo"</formula>
    </cfRule>
    <cfRule type="expression" dxfId="284" priority="923">
      <formula>$Y3513="Activo"</formula>
    </cfRule>
  </conditionalFormatting>
  <conditionalFormatting sqref="I3544">
    <cfRule type="expression" dxfId="283" priority="878">
      <formula>$Y3544="Pendiente Ingresar"</formula>
    </cfRule>
    <cfRule type="expression" dxfId="282" priority="880">
      <formula>$Y3544="Inactivo"</formula>
    </cfRule>
    <cfRule type="expression" dxfId="281" priority="881">
      <formula>$Y3544="Prueba"</formula>
    </cfRule>
    <cfRule type="expression" dxfId="280" priority="879">
      <formula>$Y3544="Activo"</formula>
    </cfRule>
  </conditionalFormatting>
  <conditionalFormatting sqref="I3561:I3562">
    <cfRule type="expression" dxfId="279" priority="874">
      <formula>$Y3561="Pendiente Ingresar"</formula>
    </cfRule>
    <cfRule type="expression" dxfId="278" priority="875">
      <formula>$Y3561="Activo"</formula>
    </cfRule>
    <cfRule type="expression" dxfId="277" priority="877">
      <formula>$Y3561="Prueba"</formula>
    </cfRule>
    <cfRule type="expression" dxfId="276" priority="876">
      <formula>$Y3561="Inactivo"</formula>
    </cfRule>
  </conditionalFormatting>
  <conditionalFormatting sqref="I3585:I3586">
    <cfRule type="expression" dxfId="275" priority="865">
      <formula>$Y3585="Pendiente Ingresar"</formula>
    </cfRule>
    <cfRule type="expression" dxfId="274" priority="866">
      <formula>$Y3585="Activo"</formula>
    </cfRule>
    <cfRule type="expression" dxfId="273" priority="867">
      <formula>$Y3585="Inactivo"</formula>
    </cfRule>
    <cfRule type="expression" dxfId="272" priority="868">
      <formula>$Y3585="Prueba"</formula>
    </cfRule>
  </conditionalFormatting>
  <conditionalFormatting sqref="I3588:I3589">
    <cfRule type="expression" dxfId="271" priority="863">
      <formula>$Y3588="Inactivo"</formula>
    </cfRule>
    <cfRule type="expression" dxfId="270" priority="864">
      <formula>$Y3588="Prueba"</formula>
    </cfRule>
    <cfRule type="expression" dxfId="269" priority="862">
      <formula>$Y3588="Activo"</formula>
    </cfRule>
    <cfRule type="expression" dxfId="268" priority="861">
      <formula>$Y3588="Pendiente Ingresar"</formula>
    </cfRule>
  </conditionalFormatting>
  <conditionalFormatting sqref="I3628">
    <cfRule type="expression" dxfId="267" priority="855">
      <formula>$Y3628="Inactivo"</formula>
    </cfRule>
    <cfRule type="expression" dxfId="266" priority="856">
      <formula>$Y3628="Prueba"</formula>
    </cfRule>
    <cfRule type="expression" dxfId="265" priority="854">
      <formula>$Y3628="Activo"</formula>
    </cfRule>
    <cfRule type="expression" dxfId="264" priority="853">
      <formula>$Y3628="Pendiente Ingresar"</formula>
    </cfRule>
  </conditionalFormatting>
  <conditionalFormatting sqref="I3632">
    <cfRule type="expression" dxfId="263" priority="847">
      <formula>$Y3632="Inactivo"</formula>
    </cfRule>
    <cfRule type="expression" dxfId="262" priority="845">
      <formula>$Y3632="Pendiente Ingresar"</formula>
    </cfRule>
    <cfRule type="expression" dxfId="261" priority="848">
      <formula>$Y3632="Prueba"</formula>
    </cfRule>
    <cfRule type="expression" dxfId="260" priority="846">
      <formula>$Y3632="Activo"</formula>
    </cfRule>
  </conditionalFormatting>
  <conditionalFormatting sqref="I3658">
    <cfRule type="expression" dxfId="259" priority="836">
      <formula>$Y3658="Pendiente Ingresar"</formula>
    </cfRule>
    <cfRule type="expression" dxfId="258" priority="839">
      <formula>$Y3658="Prueba"</formula>
    </cfRule>
    <cfRule type="expression" dxfId="257" priority="838">
      <formula>$Y3658="Inactivo"</formula>
    </cfRule>
    <cfRule type="expression" dxfId="256" priority="837">
      <formula>$Y3658="Activo"</formula>
    </cfRule>
  </conditionalFormatting>
  <conditionalFormatting sqref="I3686:I3688">
    <cfRule type="expression" dxfId="255" priority="831">
      <formula>$Y3686="Prueba"</formula>
    </cfRule>
    <cfRule type="expression" dxfId="254" priority="830">
      <formula>$Y3686="Inactivo"</formula>
    </cfRule>
    <cfRule type="expression" dxfId="253" priority="829">
      <formula>$Y3686="Activo"</formula>
    </cfRule>
    <cfRule type="expression" dxfId="252" priority="828">
      <formula>$Y3686="Pendiente Ingresar"</formula>
    </cfRule>
  </conditionalFormatting>
  <conditionalFormatting sqref="I3695:I3696">
    <cfRule type="expression" dxfId="251" priority="827">
      <formula>$Y3695="Prueba"</formula>
    </cfRule>
    <cfRule type="expression" dxfId="250" priority="826">
      <formula>$Y3695="Inactivo"</formula>
    </cfRule>
    <cfRule type="expression" dxfId="249" priority="825">
      <formula>$Y3695="Activo"</formula>
    </cfRule>
    <cfRule type="expression" dxfId="248" priority="824">
      <formula>$Y3695="Pendiente Ingresar"</formula>
    </cfRule>
  </conditionalFormatting>
  <conditionalFormatting sqref="I3706">
    <cfRule type="expression" dxfId="247" priority="821">
      <formula>$Y3706="Activo"</formula>
    </cfRule>
    <cfRule type="expression" dxfId="246" priority="823">
      <formula>$Y3706="Prueba"</formula>
    </cfRule>
    <cfRule type="expression" dxfId="245" priority="820">
      <formula>$Y3706="Pendiente Ingresar"</formula>
    </cfRule>
    <cfRule type="expression" dxfId="244" priority="822">
      <formula>$Y3706="Inactivo"</formula>
    </cfRule>
  </conditionalFormatting>
  <conditionalFormatting sqref="I3755:I3760">
    <cfRule type="expression" dxfId="243" priority="785">
      <formula>$Y3755="Inactivo"</formula>
    </cfRule>
    <cfRule type="expression" dxfId="242" priority="786">
      <formula>$Y3755="Prueba"</formula>
    </cfRule>
    <cfRule type="expression" dxfId="241" priority="783">
      <formula>$Y3755="Pendiente Ingresar"</formula>
    </cfRule>
    <cfRule type="expression" dxfId="240" priority="784">
      <formula>$Y3755="Activo"</formula>
    </cfRule>
  </conditionalFormatting>
  <conditionalFormatting sqref="I3804">
    <cfRule type="expression" dxfId="239" priority="776">
      <formula>$Y3804="Inactivo"</formula>
    </cfRule>
    <cfRule type="expression" dxfId="238" priority="777">
      <formula>$Y3804="Prueba"</formula>
    </cfRule>
    <cfRule type="expression" dxfId="237" priority="775">
      <formula>$Y3804="Activo"</formula>
    </cfRule>
    <cfRule type="expression" dxfId="236" priority="774">
      <formula>$Y3804="Pendiente Ingresar"</formula>
    </cfRule>
  </conditionalFormatting>
  <conditionalFormatting sqref="I3809:I3811">
    <cfRule type="expression" dxfId="235" priority="770">
      <formula>$Y3809="Pendiente Ingresar"</formula>
    </cfRule>
    <cfRule type="expression" dxfId="234" priority="771">
      <formula>$Y3809="Activo"</formula>
    </cfRule>
    <cfRule type="expression" dxfId="233" priority="772">
      <formula>$Y3809="Inactivo"</formula>
    </cfRule>
    <cfRule type="expression" dxfId="232" priority="773">
      <formula>$Y3809="Prueba"</formula>
    </cfRule>
  </conditionalFormatting>
  <conditionalFormatting sqref="I3868:I3875">
    <cfRule type="expression" dxfId="231" priority="755">
      <formula>$Y3868="Pendiente Ingresar"</formula>
    </cfRule>
    <cfRule type="expression" dxfId="230" priority="756">
      <formula>$Y3868="Activo"</formula>
    </cfRule>
    <cfRule type="expression" dxfId="229" priority="757">
      <formula>$Y3868="Inactivo"</formula>
    </cfRule>
    <cfRule type="expression" dxfId="228" priority="758">
      <formula>$Y3868="Prueba"</formula>
    </cfRule>
  </conditionalFormatting>
  <conditionalFormatting sqref="I3908">
    <cfRule type="expression" dxfId="227" priority="743">
      <formula>$Y3908="Pendiente Ingresar"</formula>
    </cfRule>
    <cfRule type="expression" dxfId="226" priority="744">
      <formula>$Y3908="Activo"</formula>
    </cfRule>
    <cfRule type="expression" dxfId="225" priority="745">
      <formula>$Y3908="Inactivo"</formula>
    </cfRule>
    <cfRule type="expression" dxfId="224" priority="746">
      <formula>$Y3908="Prueba"</formula>
    </cfRule>
  </conditionalFormatting>
  <conditionalFormatting sqref="I3939">
    <cfRule type="expression" dxfId="223" priority="736">
      <formula>$Y3939="Activo"</formula>
    </cfRule>
    <cfRule type="expression" dxfId="222" priority="738">
      <formula>$Y3939="Prueba"</formula>
    </cfRule>
    <cfRule type="expression" dxfId="221" priority="737">
      <formula>$Y3939="Inactivo"</formula>
    </cfRule>
    <cfRule type="expression" dxfId="220" priority="735">
      <formula>$Y3939="Pendiente Ingresar"</formula>
    </cfRule>
  </conditionalFormatting>
  <conditionalFormatting sqref="I3950">
    <cfRule type="expression" dxfId="219" priority="731">
      <formula>$Y3950="Pendiente Ingresar"</formula>
    </cfRule>
    <cfRule type="expression" dxfId="218" priority="734">
      <formula>$Y3950="Prueba"</formula>
    </cfRule>
    <cfRule type="expression" dxfId="217" priority="733">
      <formula>$Y3950="Inactivo"</formula>
    </cfRule>
    <cfRule type="expression" dxfId="216" priority="732">
      <formula>$Y3950="Activo"</formula>
    </cfRule>
  </conditionalFormatting>
  <conditionalFormatting sqref="I3963">
    <cfRule type="expression" dxfId="215" priority="730">
      <formula>$Y3963="Prueba"</formula>
    </cfRule>
    <cfRule type="expression" dxfId="214" priority="727">
      <formula>$Y3963="Pendiente Ingresar"</formula>
    </cfRule>
    <cfRule type="expression" dxfId="213" priority="728">
      <formula>$Y3963="Activo"</formula>
    </cfRule>
    <cfRule type="expression" dxfId="212" priority="729">
      <formula>$Y3963="Inactivo"</formula>
    </cfRule>
  </conditionalFormatting>
  <conditionalFormatting sqref="I3991">
    <cfRule type="expression" dxfId="211" priority="723">
      <formula>$Y3991="Pendiente Ingresar"</formula>
    </cfRule>
    <cfRule type="expression" dxfId="210" priority="725">
      <formula>$Y3991="Inactivo"</formula>
    </cfRule>
    <cfRule type="expression" dxfId="209" priority="726">
      <formula>$Y3991="Prueba"</formula>
    </cfRule>
    <cfRule type="expression" dxfId="208" priority="724">
      <formula>$Y3991="Activo"</formula>
    </cfRule>
  </conditionalFormatting>
  <conditionalFormatting sqref="I4044:I4047">
    <cfRule type="expression" dxfId="207" priority="674">
      <formula>$Y4044="Pendiente Ingresar"</formula>
    </cfRule>
    <cfRule type="expression" dxfId="206" priority="677">
      <formula>$Y4044="Prueba"</formula>
    </cfRule>
    <cfRule type="expression" dxfId="205" priority="676">
      <formula>$Y4044="Inactivo"</formula>
    </cfRule>
    <cfRule type="expression" dxfId="204" priority="675">
      <formula>$Y4044="Activo"</formula>
    </cfRule>
  </conditionalFormatting>
  <conditionalFormatting sqref="I4053">
    <cfRule type="expression" dxfId="203" priority="663">
      <formula>$Y4053="Pendiente Ingresar"</formula>
    </cfRule>
    <cfRule type="expression" dxfId="202" priority="664">
      <formula>$Y4053="Activo"</formula>
    </cfRule>
    <cfRule type="expression" dxfId="201" priority="665">
      <formula>$Y4053="Inactivo"</formula>
    </cfRule>
    <cfRule type="expression" dxfId="200" priority="666">
      <formula>$Y4053="Prueba"</formula>
    </cfRule>
  </conditionalFormatting>
  <conditionalFormatting sqref="I4102">
    <cfRule type="expression" dxfId="199" priority="625">
      <formula>$Y4102="Inactivo"</formula>
    </cfRule>
    <cfRule type="expression" dxfId="198" priority="623">
      <formula>$Y4102="Pendiente Ingresar"</formula>
    </cfRule>
    <cfRule type="expression" dxfId="197" priority="624">
      <formula>$Y4102="Activo"</formula>
    </cfRule>
    <cfRule type="expression" dxfId="196" priority="626">
      <formula>$Y4102="Prueba"</formula>
    </cfRule>
  </conditionalFormatting>
  <conditionalFormatting sqref="I4111:I4113">
    <cfRule type="expression" dxfId="195" priority="611">
      <formula>$Y4111="Pendiente Ingresar"</formula>
    </cfRule>
    <cfRule type="expression" dxfId="194" priority="613">
      <formula>$Y4111="Inactivo"</formula>
    </cfRule>
    <cfRule type="expression" dxfId="193" priority="614">
      <formula>$Y4111="Prueba"</formula>
    </cfRule>
    <cfRule type="expression" dxfId="192" priority="612">
      <formula>$Y4111="Activo"</formula>
    </cfRule>
  </conditionalFormatting>
  <conditionalFormatting sqref="I4115">
    <cfRule type="expression" dxfId="191" priority="610">
      <formula>$Y4115="Prueba"</formula>
    </cfRule>
    <cfRule type="expression" dxfId="190" priority="609">
      <formula>$Y4115="Inactivo"</formula>
    </cfRule>
    <cfRule type="expression" dxfId="189" priority="608">
      <formula>$Y4115="Activo"</formula>
    </cfRule>
    <cfRule type="expression" dxfId="188" priority="607">
      <formula>$Y4115="Pendiente Ingresar"</formula>
    </cfRule>
  </conditionalFormatting>
  <conditionalFormatting sqref="I4125:I4127">
    <cfRule type="expression" dxfId="187" priority="590">
      <formula>$Y4125="Prueba"</formula>
    </cfRule>
    <cfRule type="expression" dxfId="186" priority="589">
      <formula>$Y4125="Inactivo"</formula>
    </cfRule>
    <cfRule type="expression" dxfId="185" priority="588">
      <formula>$Y4125="Activo"</formula>
    </cfRule>
    <cfRule type="expression" dxfId="184" priority="587">
      <formula>$Y4125="Pendiente Ingresar"</formula>
    </cfRule>
  </conditionalFormatting>
  <conditionalFormatting sqref="I4177">
    <cfRule type="expression" dxfId="183" priority="576">
      <formula>$Y4177="Activo"</formula>
    </cfRule>
    <cfRule type="expression" dxfId="182" priority="575">
      <formula>$Y4177="Pendiente Ingresar"</formula>
    </cfRule>
    <cfRule type="expression" dxfId="181" priority="577">
      <formula>$Y4177="Inactivo"</formula>
    </cfRule>
    <cfRule type="expression" dxfId="180" priority="578">
      <formula>$Y4177="Prueba"</formula>
    </cfRule>
  </conditionalFormatting>
  <conditionalFormatting sqref="I4199">
    <cfRule type="expression" dxfId="179" priority="569">
      <formula>$Y4199="Activo"</formula>
    </cfRule>
    <cfRule type="expression" dxfId="178" priority="568">
      <formula>$Y4199="Pendiente Ingresar"</formula>
    </cfRule>
    <cfRule type="expression" dxfId="177" priority="570">
      <formula>$Y4199="Inactivo"</formula>
    </cfRule>
    <cfRule type="expression" dxfId="176" priority="571">
      <formula>$Y4199="Prueba"</formula>
    </cfRule>
  </conditionalFormatting>
  <conditionalFormatting sqref="I4484">
    <cfRule type="expression" dxfId="175" priority="478">
      <formula>$Y4484="Prueba"</formula>
    </cfRule>
    <cfRule type="expression" dxfId="174" priority="477">
      <formula>$Y4484="Inactivo"</formula>
    </cfRule>
    <cfRule type="expression" dxfId="173" priority="475">
      <formula>$Y4484="Pendiente Ingresar"</formula>
    </cfRule>
    <cfRule type="expression" dxfId="172" priority="476">
      <formula>$Y4484="Activo"</formula>
    </cfRule>
  </conditionalFormatting>
  <conditionalFormatting sqref="I4491">
    <cfRule type="expression" dxfId="171" priority="468">
      <formula>$Y4491="Pendiente Ingresar"</formula>
    </cfRule>
    <cfRule type="expression" dxfId="170" priority="469">
      <formula>$Y4491="Activo"</formula>
    </cfRule>
    <cfRule type="expression" dxfId="169" priority="470">
      <formula>$Y4491="Inactivo"</formula>
    </cfRule>
    <cfRule type="expression" dxfId="168" priority="471">
      <formula>$Y4491="Prueba"</formula>
    </cfRule>
  </conditionalFormatting>
  <conditionalFormatting sqref="I4496">
    <cfRule type="expression" dxfId="167" priority="458">
      <formula>$Y4496="Prueba"</formula>
    </cfRule>
    <cfRule type="expression" dxfId="166" priority="455">
      <formula>$Y4496="Pendiente Ingresar"</formula>
    </cfRule>
    <cfRule type="expression" dxfId="165" priority="456">
      <formula>$Y4496="Activo"</formula>
    </cfRule>
    <cfRule type="expression" dxfId="164" priority="457">
      <formula>$Y4496="Inactivo"</formula>
    </cfRule>
  </conditionalFormatting>
  <conditionalFormatting sqref="I4545">
    <cfRule type="expression" dxfId="163" priority="430">
      <formula>$Y4545="Activo"</formula>
    </cfRule>
    <cfRule type="expression" dxfId="162" priority="429">
      <formula>$Y4545="Pendiente Ingresar"</formula>
    </cfRule>
    <cfRule type="expression" dxfId="161" priority="431">
      <formula>$Y4545="Inactivo"</formula>
    </cfRule>
    <cfRule type="expression" dxfId="160" priority="432">
      <formula>$Y4545="Prueba"</formula>
    </cfRule>
  </conditionalFormatting>
  <conditionalFormatting sqref="I4621:I4622">
    <cfRule type="expression" dxfId="159" priority="415">
      <formula>$Y4621="Pendiente Ingresar"</formula>
    </cfRule>
    <cfRule type="expression" dxfId="158" priority="416">
      <formula>$Y4621="Activo"</formula>
    </cfRule>
    <cfRule type="expression" dxfId="157" priority="417">
      <formula>$Y4621="Inactivo"</formula>
    </cfRule>
    <cfRule type="expression" dxfId="156" priority="418">
      <formula>$Y4621="Prueba"</formula>
    </cfRule>
  </conditionalFormatting>
  <conditionalFormatting sqref="I4627">
    <cfRule type="expression" dxfId="155" priority="411">
      <formula>$Y4627="Pendiente Ingresar"</formula>
    </cfRule>
    <cfRule type="expression" dxfId="154" priority="412">
      <formula>$Y4627="Activo"</formula>
    </cfRule>
    <cfRule type="expression" dxfId="153" priority="413">
      <formula>$Y4627="Inactivo"</formula>
    </cfRule>
    <cfRule type="expression" dxfId="152" priority="414">
      <formula>$Y4627="Prueba"</formula>
    </cfRule>
  </conditionalFormatting>
  <conditionalFormatting sqref="I4642:I4645">
    <cfRule type="expression" dxfId="151" priority="404">
      <formula>#REF!="Pendiente Ingresar"</formula>
    </cfRule>
    <cfRule type="expression" dxfId="150" priority="405">
      <formula>#REF!="Activo"</formula>
    </cfRule>
    <cfRule type="expression" dxfId="149" priority="406">
      <formula>#REF!="Inactivo"</formula>
    </cfRule>
    <cfRule type="expression" dxfId="148" priority="407">
      <formula>#REF!="Prueba"</formula>
    </cfRule>
  </conditionalFormatting>
  <conditionalFormatting sqref="I4651">
    <cfRule type="expression" dxfId="147" priority="400">
      <formula>$Y4651="Pendiente Ingresar"</formula>
    </cfRule>
    <cfRule type="expression" dxfId="146" priority="401">
      <formula>$Y4651="Activo"</formula>
    </cfRule>
    <cfRule type="expression" dxfId="145" priority="402">
      <formula>$Y4651="Inactivo"</formula>
    </cfRule>
    <cfRule type="expression" dxfId="144" priority="403">
      <formula>$Y4651="Prueba"</formula>
    </cfRule>
  </conditionalFormatting>
  <conditionalFormatting sqref="I4909">
    <cfRule type="expression" dxfId="143" priority="336">
      <formula>#REF!="Inactivo"</formula>
    </cfRule>
    <cfRule type="expression" dxfId="142" priority="337">
      <formula>#REF!="Prueba"</formula>
    </cfRule>
    <cfRule type="expression" dxfId="141" priority="335">
      <formula>#REF!="Activo"</formula>
    </cfRule>
    <cfRule type="expression" dxfId="140" priority="334">
      <formula>#REF!="Pendiente Ingresar"</formula>
    </cfRule>
  </conditionalFormatting>
  <conditionalFormatting sqref="I5201">
    <cfRule type="expression" dxfId="139" priority="244">
      <formula>$Y5201="Activo"</formula>
    </cfRule>
    <cfRule type="expression" dxfId="138" priority="246">
      <formula>$Y5201="Prueba"</formula>
    </cfRule>
    <cfRule type="expression" dxfId="137" priority="245">
      <formula>$Y5201="Inactivo"</formula>
    </cfRule>
    <cfRule type="expression" dxfId="136" priority="243">
      <formula>$Y5201="Pendiente Ingresar"</formula>
    </cfRule>
  </conditionalFormatting>
  <conditionalFormatting sqref="I5373:I5374">
    <cfRule type="expression" dxfId="135" priority="143">
      <formula>$Y5373="Prueba"</formula>
    </cfRule>
    <cfRule type="expression" dxfId="134" priority="142">
      <formula>$Y5373="Inactivo"</formula>
    </cfRule>
    <cfRule type="expression" dxfId="133" priority="141">
      <formula>$Y5373="Activo"</formula>
    </cfRule>
    <cfRule type="expression" dxfId="132" priority="140">
      <formula>$Y5373="Pendiente Ingresar"</formula>
    </cfRule>
  </conditionalFormatting>
  <conditionalFormatting sqref="I5394:I5395">
    <cfRule type="expression" dxfId="131" priority="138">
      <formula>$Y5394="Inactivo"</formula>
    </cfRule>
    <cfRule type="expression" dxfId="130" priority="139">
      <formula>$Y5394="Prueba"</formula>
    </cfRule>
    <cfRule type="expression" dxfId="129" priority="136">
      <formula>$Y5394="Pendiente Ingresar"</formula>
    </cfRule>
    <cfRule type="expression" dxfId="128" priority="137">
      <formula>$Y5394="Activo"</formula>
    </cfRule>
  </conditionalFormatting>
  <conditionalFormatting sqref="I5400">
    <cfRule type="expression" dxfId="127" priority="132">
      <formula>$Y5400="Pendiente Ingresar"</formula>
    </cfRule>
    <cfRule type="expression" dxfId="126" priority="135">
      <formula>$Y5400="Prueba"</formula>
    </cfRule>
    <cfRule type="expression" dxfId="125" priority="133">
      <formula>$Y5400="Activo"</formula>
    </cfRule>
    <cfRule type="expression" dxfId="124" priority="134">
      <formula>$Y5400="Inactivo"</formula>
    </cfRule>
  </conditionalFormatting>
  <conditionalFormatting sqref="I5601">
    <cfRule type="expression" dxfId="123" priority="174">
      <formula>$Y5601="Prueba"</formula>
    </cfRule>
    <cfRule type="expression" dxfId="122" priority="173">
      <formula>$Y5601="Inactivo"</formula>
    </cfRule>
    <cfRule type="expression" dxfId="121" priority="172">
      <formula>$Y5601="Activo"</formula>
    </cfRule>
    <cfRule type="expression" dxfId="120" priority="171">
      <formula>$Y5601="Pendiente Ingresar"</formula>
    </cfRule>
  </conditionalFormatting>
  <conditionalFormatting sqref="I5622">
    <cfRule type="expression" dxfId="119" priority="160">
      <formula>$Y5622="Pendiente Ingresar"</formula>
    </cfRule>
    <cfRule type="expression" dxfId="118" priority="161">
      <formula>$Y5622="Activo"</formula>
    </cfRule>
    <cfRule type="expression" dxfId="117" priority="162">
      <formula>$Y5622="Inactivo"</formula>
    </cfRule>
    <cfRule type="expression" dxfId="116" priority="163">
      <formula>$Y5622="Prueba"</formula>
    </cfRule>
  </conditionalFormatting>
  <conditionalFormatting sqref="I5630:I5632">
    <cfRule type="expression" dxfId="115" priority="124">
      <formula>$Y5630="Pendiente Ingresar"</formula>
    </cfRule>
    <cfRule type="expression" dxfId="114" priority="125">
      <formula>$Y5630="Activo"</formula>
    </cfRule>
    <cfRule type="expression" dxfId="113" priority="126">
      <formula>$Y5630="Inactivo"</formula>
    </cfRule>
    <cfRule type="expression" dxfId="112" priority="127">
      <formula>$Y5630="Prueba"</formula>
    </cfRule>
  </conditionalFormatting>
  <conditionalFormatting sqref="I5736:I5738">
    <cfRule type="expression" dxfId="111" priority="96">
      <formula>$Y5736="Prueba"</formula>
    </cfRule>
    <cfRule type="expression" dxfId="110" priority="93">
      <formula>$Y5736="Pendiente Ingresar"</formula>
    </cfRule>
    <cfRule type="expression" dxfId="109" priority="94">
      <formula>$Y5736="Activo"</formula>
    </cfRule>
    <cfRule type="expression" dxfId="108" priority="95">
      <formula>$Y5736="Inactivo"</formula>
    </cfRule>
  </conditionalFormatting>
  <conditionalFormatting sqref="I5901">
    <cfRule type="expression" dxfId="107" priority="50">
      <formula>$Y5901="Inactivo"</formula>
    </cfRule>
    <cfRule type="expression" dxfId="106" priority="49">
      <formula>$Y5901="Activo"</formula>
    </cfRule>
    <cfRule type="expression" dxfId="105" priority="48">
      <formula>$Y5901="Pendiente Ingresar"</formula>
    </cfRule>
    <cfRule type="expression" dxfId="104" priority="51">
      <formula>$Y5901="Prueba"</formula>
    </cfRule>
  </conditionalFormatting>
  <conditionalFormatting sqref="I5984">
    <cfRule type="expression" dxfId="103" priority="21">
      <formula>$Y5984="Inactivo"</formula>
    </cfRule>
    <cfRule type="expression" dxfId="102" priority="22">
      <formula>$Y5984="Prueba"</formula>
    </cfRule>
    <cfRule type="expression" dxfId="101" priority="19">
      <formula>$Y5984="Pendiente Ingresar"</formula>
    </cfRule>
    <cfRule type="expression" dxfId="100" priority="20">
      <formula>$Y5984="Activo"</formula>
    </cfRule>
  </conditionalFormatting>
  <conditionalFormatting sqref="I6008">
    <cfRule type="expression" dxfId="99" priority="15">
      <formula>$Y6008="Prueba"</formula>
    </cfRule>
    <cfRule type="expression" dxfId="98" priority="12">
      <formula>$Y6008="Pendiente Ingresar"</formula>
    </cfRule>
    <cfRule type="expression" dxfId="97" priority="13">
      <formula>$Y6008="Activo"</formula>
    </cfRule>
    <cfRule type="expression" dxfId="96" priority="14">
      <formula>$Y6008="Inactivo"</formula>
    </cfRule>
  </conditionalFormatting>
  <conditionalFormatting sqref="U900 V2531:V2581 V2629:V2688 V2811:V2855 U3410:U3421 U3475:U3548 U3729 U3741 J3742:J3744 U3759:U3760 U3763 U3771:U3790 U3792 U3794 U3805:U3813 U3876 U3879:U3881 U3884 U3887 U3958:U3960 U3963 U3970 U3992 U4003 U4011:U4019 U4048:U4049 U4051 U4062 U4083:U4090 U4100 U4106 U4120 U4130:U4131 U4137:U4138 U4141:U4142 U4175 U4180:U4186 U4190:U4192 U4218 U4269 U4285 U4299 U4306:U4308 U4344:U4346 U4348 U4363 U4377 U4450 U4482 U4498 U4522:U4523 U4531:U4532 U4547 U4571 U4574:U4576 U4651:U4654 U4657 U4671 U4676:U4678 U4683:U4688 U4690 U4752 U4754 U4782 U4825:U4827 U4854 U4884:U4886 U4895 U4904:U4906 U4930:U4931 U4963:U4966 U4971 U4989:U4990 U5043 U5045:U5047 U5064:U5065 U5075 U5079:U5080 U5083 U5088:U5089 U5091:U5092 U5109:U5111 U5115 U5119:U5120 U5122 U5124 U5126 U5137 U5140 U5142 U5155:U5157 U5162 U5165 U5167:U5168 U5173 U5177:U5180 U5186 U5192:U5194 U5209 U5213:U5214 U5219 U5234 U5237 U5240 U5243 U5260 U5305:U5306 U5367 U5372 U5388 U5397 U5406 U5434:U5437 U5473:U5477 U5485:U5486 U5497 U5520 U5541:U5542 U5544:U5545 U5587 U5591:U5593 U5596:U5602 U5605:U5607 U5611:U5613 U5616:U5625 U5633:U5636 U5651 U5674:U5676 U5684 U5686:U5699 U5701:U5703 U5709:U5716 U5749 U5765 U5780:U5781 U5788:U5790 U5797 U5800:U5801 U5814 U5851:U5854 U5857 U5889 U5893:U5896 U5904:U5908 U5913 U5918 U5935 U5937:U5943 U5947 U5962:U5963 U5965:U5966 U5968 U5978:U5980 U5987:U5989 U5994:U5995 U6027:U6031 U6037:U6042 U6045:U6046 U6050:U6076 AB6077:AB6081 U6080:U1048576">
    <cfRule type="timePeriod" dxfId="95" priority="815" timePeriod="thisWeek">
      <formula>AND(TODAY()-ROUNDDOWN(J900,0)&lt;=WEEKDAY(TODAY())-1,ROUNDDOWN(J900,0)-TODAY()&lt;=7-WEEKDAY(TODAY()))</formula>
    </cfRule>
  </conditionalFormatting>
  <conditionalFormatting sqref="U1956 V2583:V2591 U2689:U2694 U2807 U2810 U2856:U2858 U2860:U2861 U2878 U2881:U2882 U2915:U2921 U2924:U2932 U2943 U2956 U2974:U2977 U3343:U3375 U3378:U3387 U3389:U3391 U3393:U3408 U3423:U3425 U3427:U3432 U3434:U3440 U3442:U3448 U3452:U3453 U3457:U3465 U3467:U3473 U3551:U3559 U3564:U3567 U3569:U3570 U3581 U3584:U3585 U3588:U3593 U3595:U3604 U3606 U3610:U3614 U3616:U3617 U3620:U3623 U3625:U3626 U3628:U3629 U3665 U3699">
    <cfRule type="timePeriod" dxfId="94" priority="1182" timePeriod="thisWeek">
      <formula>AND(TODAY()-ROUNDDOWN(U1956,0)&lt;=WEEKDAY(TODAY())-1,ROUNDDOWN(U1956,0)-TODAY()&lt;=7-WEEKDAY(TODAY()))</formula>
    </cfRule>
  </conditionalFormatting>
  <conditionalFormatting sqref="U2981:U2988">
    <cfRule type="timePeriod" dxfId="93" priority="1020" timePeriod="thisWeek">
      <formula>AND(TODAY()-ROUNDDOWN(U2981,0)&lt;=WEEKDAY(TODAY())-1,ROUNDDOWN(U2981,0)-TODAY()&lt;=7-WEEKDAY(TODAY()))</formula>
    </cfRule>
  </conditionalFormatting>
  <conditionalFormatting sqref="U3090:U3091 U3093:U3120 U3125:U3136 U3138:U3140 U3143:U3163 U3165:U3229 U3231:U3305 U3308:U3337 T3795:T3796 U3930:U3931 U3934:U3943 U3946 U3948:U3949">
    <cfRule type="timePeriod" dxfId="92" priority="782" timePeriod="thisWeek">
      <formula>AND(TODAY()-ROUNDDOWN(T3090,0)&lt;=WEEKDAY(TODAY())-1,ROUNDDOWN(T3090,0)-TODAY()&lt;=7-WEEKDAY(TODAY()))</formula>
    </cfRule>
  </conditionalFormatting>
  <conditionalFormatting sqref="U3635:U3636 U3642 U3645:U3646 U3649">
    <cfRule type="timePeriod" dxfId="91" priority="844" timePeriod="thisWeek">
      <formula>AND(TODAY()-ROUNDDOWN(U3635,0)&lt;=WEEKDAY(TODAY())-1,ROUNDDOWN(U3635,0)-TODAY()&lt;=7-WEEKDAY(TODAY()))</formula>
    </cfRule>
  </conditionalFormatting>
  <conditionalFormatting sqref="U3638:U3639">
    <cfRule type="timePeriod" dxfId="90" priority="519" timePeriod="thisWeek">
      <formula>AND(TODAY()-ROUNDDOWN(U3638,0)&lt;=WEEKDAY(TODAY())-1,ROUNDDOWN(U3638,0)-TODAY()&lt;=7-WEEKDAY(TODAY()))</formula>
    </cfRule>
  </conditionalFormatting>
  <conditionalFormatting sqref="U3682:U3685">
    <cfRule type="timePeriod" dxfId="89" priority="832" timePeriod="thisWeek">
      <formula>AND(TODAY()-ROUNDDOWN(U3682,0)&lt;=WEEKDAY(TODAY())-1,ROUNDDOWN(U3682,0)-TODAY()&lt;=7-WEEKDAY(TODAY()))</formula>
    </cfRule>
  </conditionalFormatting>
  <conditionalFormatting sqref="U3697">
    <cfRule type="timePeriod" dxfId="88" priority="190" timePeriod="thisWeek">
      <formula>AND(TODAY()-ROUNDDOWN(U3697,0)&lt;=WEEKDAY(TODAY())-1,ROUNDDOWN(U3697,0)-TODAY()&lt;=7-WEEKDAY(TODAY()))</formula>
    </cfRule>
  </conditionalFormatting>
  <conditionalFormatting sqref="U5641 U5643:U5649">
    <cfRule type="timePeriod" dxfId="87" priority="123" timePeriod="thisWeek">
      <formula>AND(TODAY()-ROUNDDOWN(U5641,0)&lt;=WEEKDAY(TODAY())-1,ROUNDDOWN(U5641,0)-TODAY()&lt;=7-WEEKDAY(TODAY()))</formula>
    </cfRule>
  </conditionalFormatting>
  <conditionalFormatting sqref="U6078">
    <cfRule type="timePeriod" dxfId="86" priority="1" timePeriod="thisWeek">
      <formula>AND(TODAY()-ROUNDDOWN(U6078,0)&lt;=WEEKDAY(TODAY())-1,ROUNDDOWN(U6078,0)-TODAY()&lt;=7-WEEKDAY(TODAY()))</formula>
    </cfRule>
  </conditionalFormatting>
  <conditionalFormatting sqref="V3:V490 U437 V494:V554 V618:V794 U2466:U2468 U2479:U2480 V3217 V3706:V3707 V4104 V4468 V4470 V4472">
    <cfRule type="timePeriod" dxfId="85" priority="1314" timePeriod="thisWeek">
      <formula>AND(TODAY()-ROUNDDOWN(U3,0)&lt;=WEEKDAY(TODAY())-1,ROUNDDOWN(U3,0)-TODAY()&lt;=7-WEEKDAY(TODAY()))</formula>
    </cfRule>
  </conditionalFormatting>
  <conditionalFormatting sqref="V556:V616 V796:V805 V807:V899 V901:V976 S976:S983 R2067:R2070 U2582 U2593 U2611 U2627:U2630 U2698:U2702 U2704:U2715 U2717:U2724 U2751 U2754 V2804:V2805 U2948 U3031:U3034 U3041:U3042">
    <cfRule type="timePeriod" dxfId="84" priority="1341" timePeriod="thisWeek">
      <formula>AND(TODAY()-ROUNDDOWN(R556,0)&lt;=WEEKDAY(TODAY())-1,ROUNDDOWN(R556,0)-TODAY()&lt;=7-WEEKDAY(TODAY()))</formula>
    </cfRule>
  </conditionalFormatting>
  <conditionalFormatting sqref="V978:V979">
    <cfRule type="timePeriod" dxfId="83" priority="1326" timePeriod="thisWeek">
      <formula>AND(TODAY()-ROUNDDOWN(V978,0)&lt;=WEEKDAY(TODAY())-1,ROUNDDOWN(V978,0)-TODAY()&lt;=7-WEEKDAY(TODAY()))</formula>
    </cfRule>
  </conditionalFormatting>
  <conditionalFormatting sqref="V981:V1295 V1298:V1322 V3108 V3193 V3309 V3320">
    <cfRule type="timePeriod" dxfId="82" priority="1010" timePeriod="thisWeek">
      <formula>AND(TODAY()-ROUNDDOWN(V981,0)&lt;=WEEKDAY(TODAY())-1,ROUNDDOWN(V981,0)-TODAY()&lt;=7-WEEKDAY(TODAY()))</formula>
    </cfRule>
  </conditionalFormatting>
  <conditionalFormatting sqref="V1325:V1680 V2789:V2802 V5187 V5236:V5242 V5275:V5279">
    <cfRule type="timePeriod" dxfId="81" priority="203" timePeriod="thisWeek">
      <formula>AND(TODAY()-ROUNDDOWN(V1325,0)&lt;=WEEKDAY(TODAY())-1,ROUNDDOWN(V1325,0)-TODAY()&lt;=7-WEEKDAY(TODAY()))</formula>
    </cfRule>
  </conditionalFormatting>
  <conditionalFormatting sqref="V1683:V2066 V2186:V2456 V5800:V5808 V5944">
    <cfRule type="timePeriod" dxfId="80" priority="10" timePeriod="thisWeek">
      <formula>AND(TODAY()-ROUNDDOWN(V1683,0)&lt;=WEEKDAY(TODAY())-1,ROUNDDOWN(V1683,0)-TODAY()&lt;=7-WEEKDAY(TODAY()))</formula>
    </cfRule>
  </conditionalFormatting>
  <conditionalFormatting sqref="V2072:V2111">
    <cfRule type="timePeriod" dxfId="79" priority="279" timePeriod="thisWeek">
      <formula>AND(TODAY()-ROUNDDOWN(V2072,0)&lt;=WEEKDAY(TODAY())-1,ROUNDDOWN(V2072,0)-TODAY()&lt;=7-WEEKDAY(TODAY()))</formula>
    </cfRule>
  </conditionalFormatting>
  <conditionalFormatting sqref="V2113:V2184 V3398 V5308:V5313">
    <cfRule type="timePeriod" dxfId="78" priority="81" timePeriod="thisWeek">
      <formula>AND(TODAY()-ROUNDDOWN(V2113,0)&lt;=WEEKDAY(TODAY())-1,ROUNDDOWN(V2113,0)-TODAY()&lt;=7-WEEKDAY(TODAY()))</formula>
    </cfRule>
  </conditionalFormatting>
  <conditionalFormatting sqref="V2458:V2465">
    <cfRule type="timePeriod" dxfId="77" priority="1042" timePeriod="thisWeek">
      <formula>AND(TODAY()-ROUNDDOWN(V2458,0)&lt;=WEEKDAY(TODAY())-1,ROUNDDOWN(V2458,0)-TODAY()&lt;=7-WEEKDAY(TODAY()))</formula>
    </cfRule>
  </conditionalFormatting>
  <conditionalFormatting sqref="V2469:V2478">
    <cfRule type="timePeriod" dxfId="76" priority="1041" timePeriod="thisWeek">
      <formula>AND(TODAY()-ROUNDDOWN(V2469,0)&lt;=WEEKDAY(TODAY())-1,ROUNDDOWN(V2469,0)-TODAY()&lt;=7-WEEKDAY(TODAY()))</formula>
    </cfRule>
  </conditionalFormatting>
  <conditionalFormatting sqref="V2481:V2525 V2527:V2529">
    <cfRule type="timePeriod" dxfId="75" priority="1040" timePeriod="thisWeek">
      <formula>AND(TODAY()-ROUNDDOWN(V2481,0)&lt;=WEEKDAY(TODAY())-1,ROUNDDOWN(V2481,0)-TODAY()&lt;=7-WEEKDAY(TODAY()))</formula>
    </cfRule>
  </conditionalFormatting>
  <conditionalFormatting sqref="V2593:V2610">
    <cfRule type="timePeriod" dxfId="74" priority="1028" timePeriod="thisWeek">
      <formula>AND(TODAY()-ROUNDDOWN(V2593,0)&lt;=WEEKDAY(TODAY())-1,ROUNDDOWN(V2593,0)-TODAY()&lt;=7-WEEKDAY(TODAY()))</formula>
    </cfRule>
  </conditionalFormatting>
  <conditionalFormatting sqref="V2612:V2627">
    <cfRule type="timePeriod" dxfId="73" priority="1039" timePeriod="thisWeek">
      <formula>AND(TODAY()-ROUNDDOWN(V2612,0)&lt;=WEEKDAY(TODAY())-1,ROUNDDOWN(V2612,0)-TODAY()&lt;=7-WEEKDAY(TODAY()))</formula>
    </cfRule>
  </conditionalFormatting>
  <conditionalFormatting sqref="V2691 V2703:V2723 V2725:V2737 V2752 V2933:V2942 V2958:V2973 V3104:V3105 V3247 V3315:V3317">
    <cfRule type="timePeriod" dxfId="72" priority="1022" timePeriod="thisWeek">
      <formula>AND(TODAY()-ROUNDDOWN(V2691,0)&lt;=WEEKDAY(TODAY())-1,ROUNDDOWN(V2691,0)-TODAY()&lt;=7-WEEKDAY(TODAY()))</formula>
    </cfRule>
  </conditionalFormatting>
  <conditionalFormatting sqref="V2695:V2697">
    <cfRule type="timePeriod" dxfId="71" priority="1034" timePeriod="thisWeek">
      <formula>AND(TODAY()-ROUNDDOWN(V2695,0)&lt;=WEEKDAY(TODAY())-1,ROUNDDOWN(V2695,0)-TODAY()&lt;=7-WEEKDAY(TODAY()))</formula>
    </cfRule>
  </conditionalFormatting>
  <conditionalFormatting sqref="V2739:V2742 V2761:V2787">
    <cfRule type="timePeriod" dxfId="70" priority="549" timePeriod="thisWeek">
      <formula>AND(TODAY()-ROUNDDOWN(V2739,0)&lt;=WEEKDAY(TODAY())-1,ROUNDDOWN(V2739,0)-TODAY()&lt;=7-WEEKDAY(TODAY()))</formula>
    </cfRule>
  </conditionalFormatting>
  <conditionalFormatting sqref="V2744:V2746">
    <cfRule type="timePeriod" dxfId="69" priority="1030" timePeriod="thisWeek">
      <formula>AND(TODAY()-ROUNDDOWN(V2744,0)&lt;=WEEKDAY(TODAY())-1,ROUNDDOWN(V2744,0)-TODAY()&lt;=7-WEEKDAY(TODAY()))</formula>
    </cfRule>
  </conditionalFormatting>
  <conditionalFormatting sqref="V2859 V2862">
    <cfRule type="timePeriod" dxfId="68" priority="1016" timePeriod="thisWeek">
      <formula>AND(TODAY()-ROUNDDOWN(V2859,0)&lt;=WEEKDAY(TODAY())-1,ROUNDDOWN(V2859,0)-TODAY()&lt;=7-WEEKDAY(TODAY()))</formula>
    </cfRule>
  </conditionalFormatting>
  <conditionalFormatting sqref="V2871:V2875">
    <cfRule type="timePeriod" dxfId="67" priority="1027" timePeriod="thisWeek">
      <formula>AND(TODAY()-ROUNDDOWN(V2871,0)&lt;=WEEKDAY(TODAY())-1,ROUNDDOWN(V2871,0)-TODAY()&lt;=7-WEEKDAY(TODAY()))</formula>
    </cfRule>
  </conditionalFormatting>
  <conditionalFormatting sqref="V2883:V2897">
    <cfRule type="timePeriod" dxfId="66" priority="1026" timePeriod="thisWeek">
      <formula>AND(TODAY()-ROUNDDOWN(V2883,0)&lt;=WEEKDAY(TODAY())-1,ROUNDDOWN(V2883,0)-TODAY()&lt;=7-WEEKDAY(TODAY()))</formula>
    </cfRule>
  </conditionalFormatting>
  <conditionalFormatting sqref="V2899:V2901 V2903:V2914">
    <cfRule type="timePeriod" dxfId="65" priority="1025" timePeriod="thisWeek">
      <formula>AND(TODAY()-ROUNDDOWN(V2899,0)&lt;=WEEKDAY(TODAY())-1,ROUNDDOWN(V2899,0)-TODAY()&lt;=7-WEEKDAY(TODAY()))</formula>
    </cfRule>
  </conditionalFormatting>
  <conditionalFormatting sqref="V2944:V2947">
    <cfRule type="timePeriod" dxfId="64" priority="1024" timePeriod="thisWeek">
      <formula>AND(TODAY()-ROUNDDOWN(V2944,0)&lt;=WEEKDAY(TODAY())-1,ROUNDDOWN(V2944,0)-TODAY()&lt;=7-WEEKDAY(TODAY()))</formula>
    </cfRule>
  </conditionalFormatting>
  <conditionalFormatting sqref="V2951:V2955">
    <cfRule type="timePeriod" dxfId="63" priority="1023" timePeriod="thisWeek">
      <formula>AND(TODAY()-ROUNDDOWN(V2951,0)&lt;=WEEKDAY(TODAY())-1,ROUNDDOWN(V2951,0)-TODAY()&lt;=7-WEEKDAY(TODAY()))</formula>
    </cfRule>
  </conditionalFormatting>
  <conditionalFormatting sqref="V2981:V2987">
    <cfRule type="timePeriod" dxfId="62" priority="1021" timePeriod="thisWeek">
      <formula>AND(TODAY()-ROUNDDOWN(V2981,0)&lt;=WEEKDAY(TODAY())-1,ROUNDDOWN(V2981,0)-TODAY()&lt;=7-WEEKDAY(TODAY()))</formula>
    </cfRule>
  </conditionalFormatting>
  <conditionalFormatting sqref="V2992 V2994:V3009 V3018:V3019">
    <cfRule type="timePeriod" dxfId="61" priority="1019" timePeriod="thisWeek">
      <formula>AND(TODAY()-ROUNDDOWN(V2992,0)&lt;=WEEKDAY(TODAY())-1,ROUNDDOWN(V2992,0)-TODAY()&lt;=7-WEEKDAY(TODAY()))</formula>
    </cfRule>
  </conditionalFormatting>
  <conditionalFormatting sqref="V3011:V3016">
    <cfRule type="timePeriod" dxfId="60" priority="9" timePeriod="thisWeek">
      <formula>AND(TODAY()-ROUNDDOWN(V3011,0)&lt;=WEEKDAY(TODAY())-1,ROUNDDOWN(V3011,0)-TODAY()&lt;=7-WEEKDAY(TODAY()))</formula>
    </cfRule>
  </conditionalFormatting>
  <conditionalFormatting sqref="V3026:V3027">
    <cfRule type="timePeriod" dxfId="59" priority="1018" timePeriod="thisWeek">
      <formula>AND(TODAY()-ROUNDDOWN(V3026,0)&lt;=WEEKDAY(TODAY())-1,ROUNDDOWN(V3026,0)-TODAY()&lt;=7-WEEKDAY(TODAY()))</formula>
    </cfRule>
  </conditionalFormatting>
  <conditionalFormatting sqref="V3030 V3292 V3849 V3852 V3858:V3859 V3909 V3976 V3983 V3985 V4261:V4262 V4274 V4280 V4282 V4305 V4490:V4492">
    <cfRule type="timePeriod" dxfId="58" priority="290" timePeriod="thisWeek">
      <formula>AND(TODAY()-ROUNDDOWN(V3030,0)&lt;=WEEKDAY(TODAY())-1,ROUNDDOWN(V3030,0)-TODAY()&lt;=7-WEEKDAY(TODAY()))</formula>
    </cfRule>
  </conditionalFormatting>
  <conditionalFormatting sqref="V3037:V3040">
    <cfRule type="timePeriod" dxfId="57" priority="1017" timePeriod="thisWeek">
      <formula>AND(TODAY()-ROUNDDOWN(V3037,0)&lt;=WEEKDAY(TODAY())-1,ROUNDDOWN(V3037,0)-TODAY()&lt;=7-WEEKDAY(TODAY()))</formula>
    </cfRule>
  </conditionalFormatting>
  <conditionalFormatting sqref="V3043:V3046">
    <cfRule type="timePeriod" dxfId="56" priority="1015" timePeriod="thisWeek">
      <formula>AND(TODAY()-ROUNDDOWN(V3043,0)&lt;=WEEKDAY(TODAY())-1,ROUNDDOWN(V3043,0)-TODAY()&lt;=7-WEEKDAY(TODAY()))</formula>
    </cfRule>
  </conditionalFormatting>
  <conditionalFormatting sqref="V3048:V3076">
    <cfRule type="timePeriod" dxfId="55" priority="869" timePeriod="thisWeek">
      <formula>AND(TODAY()-ROUNDDOWN(V3048,0)&lt;=WEEKDAY(TODAY())-1,ROUNDDOWN(V3048,0)-TODAY()&lt;=7-WEEKDAY(TODAY()))</formula>
    </cfRule>
  </conditionalFormatting>
  <conditionalFormatting sqref="V3209:V3211">
    <cfRule type="timePeriod" dxfId="54" priority="1029" timePeriod="thisWeek">
      <formula>AND(TODAY()-ROUNDDOWN(V3209,0)&lt;=WEEKDAY(TODAY())-1,ROUNDDOWN(V3209,0)-TODAY()&lt;=7-WEEKDAY(TODAY()))</formula>
    </cfRule>
  </conditionalFormatting>
  <conditionalFormatting sqref="V3426 V3594 V3627 V3765 V3796 V3803 V3817 V3827 V3854 V3862 V3874 V3885 V3890 V3892 V3903 V3905 V3921 V3951:V3953 V3962 V3979 V4002 V4004 V4114 V4146:V4152 V4173:V4174 V4197:V4201 V4205:V4206 V4208 V4211 V4215 V4235:V4238 V4241:V4244 V4246:V4247">
    <cfRule type="timePeriod" dxfId="53" priority="526" timePeriod="thisWeek">
      <formula>AND(TODAY()-ROUNDDOWN(V3426,0)&lt;=WEEKDAY(TODAY())-1,ROUNDDOWN(V3426,0)-TODAY()&lt;=7-WEEKDAY(TODAY()))</formula>
    </cfRule>
  </conditionalFormatting>
  <conditionalFormatting sqref="V3433">
    <cfRule type="timePeriod" dxfId="52" priority="522" timePeriod="thisWeek">
      <formula>AND(TODAY()-ROUNDDOWN(V3433,0)&lt;=WEEKDAY(TODAY())-1,ROUNDDOWN(V3433,0)-TODAY()&lt;=7-WEEKDAY(TODAY()))</formula>
    </cfRule>
  </conditionalFormatting>
  <conditionalFormatting sqref="V3442">
    <cfRule type="timePeriod" dxfId="51" priority="83" timePeriod="thisWeek">
      <formula>AND(TODAY()-ROUNDDOWN(V3442,0)&lt;=WEEKDAY(TODAY())-1,ROUNDDOWN(V3442,0)-TODAY()&lt;=7-WEEKDAY(TODAY()))</formula>
    </cfRule>
  </conditionalFormatting>
  <conditionalFormatting sqref="V3471 V5722:V5728 V5766:V5767 V5787:V5791 V5793:V5796 V5810:V5812">
    <cfRule type="timePeriod" dxfId="50" priority="69" timePeriod="thisWeek">
      <formula>AND(TODAY()-ROUNDDOWN(V3471,0)&lt;=WEEKDAY(TODAY())-1,ROUNDDOWN(V3471,0)-TODAY()&lt;=7-WEEKDAY(TODAY()))</formula>
    </cfRule>
  </conditionalFormatting>
  <conditionalFormatting sqref="V3585 V3597 V3634 V3731 V4180:V4188 V4332:V4333 V4418:V4419 V4478 V4483 V4548 V4552:V4554 V4692 V4699:V4710 V4773:V4779 V4836:V4849 V4916:V4921 V5158:V5176 V5181:V5185 V5189:V5191 V5197:V5210 V5212:V5213 V5215 V5234 V5245:V5247 V5251:V5256 V5259:V5271 V5316:V5318 V5325:V5328 V5347:V5360 V5365:V5369 V5378:V5382 V5389:V5393 V5405 V5407 V5412 V5415:V5425 V5431:V5433 V5498:V5506 V5522:V5532 V5534:V5537 V5706:V5709 V5737:V5741 V5782:V5784 V5847">
    <cfRule type="timePeriod" dxfId="49" priority="61" timePeriod="thisWeek">
      <formula>AND(TODAY()-ROUNDDOWN(V3585,0)&lt;=WEEKDAY(TODAY())-1,ROUNDDOWN(V3585,0)-TODAY()&lt;=7-WEEKDAY(TODAY()))</formula>
    </cfRule>
  </conditionalFormatting>
  <conditionalFormatting sqref="V3591 V4475">
    <cfRule type="timePeriod" dxfId="48" priority="82" timePeriod="thisWeek">
      <formula>AND(TODAY()-ROUNDDOWN(V3591,0)&lt;=WEEKDAY(TODAY())-1,ROUNDDOWN(V3591,0)-TODAY()&lt;=7-WEEKDAY(TODAY()))</formula>
    </cfRule>
  </conditionalFormatting>
  <conditionalFormatting sqref="V3638 V3994">
    <cfRule type="timePeriod" dxfId="47" priority="518" timePeriod="thisWeek">
      <formula>AND(TODAY()-ROUNDDOWN(V3638,0)&lt;=WEEKDAY(TODAY())-1,ROUNDDOWN(V3638,0)-TODAY()&lt;=7-WEEKDAY(TODAY()))</formula>
    </cfRule>
  </conditionalFormatting>
  <conditionalFormatting sqref="V3665">
    <cfRule type="timePeriod" dxfId="46" priority="521" timePeriod="thisWeek">
      <formula>AND(TODAY()-ROUNDDOWN(V3665,0)&lt;=WEEKDAY(TODAY())-1,ROUNDDOWN(V3665,0)-TODAY()&lt;=7-WEEKDAY(TODAY()))</formula>
    </cfRule>
  </conditionalFormatting>
  <conditionalFormatting sqref="V3690">
    <cfRule type="timePeriod" dxfId="45" priority="520" timePeriod="thisWeek">
      <formula>AND(TODAY()-ROUNDDOWN(V3690,0)&lt;=WEEKDAY(TODAY())-1,ROUNDDOWN(V3690,0)-TODAY()&lt;=7-WEEKDAY(TODAY()))</formula>
    </cfRule>
  </conditionalFormatting>
  <conditionalFormatting sqref="V3700 V4121:V4122 V4125 V4129 V4131:V4132 V4851:V4853 V4859 V4884:V4885">
    <cfRule type="timePeriod" dxfId="44" priority="214" timePeriod="thisWeek">
      <formula>AND(TODAY()-ROUNDDOWN(V3700,0)&lt;=WEEKDAY(TODAY())-1,ROUNDDOWN(V3700,0)-TODAY()&lt;=7-WEEKDAY(TODAY()))</formula>
    </cfRule>
  </conditionalFormatting>
  <conditionalFormatting sqref="V3747:V3749">
    <cfRule type="timePeriod" dxfId="43" priority="60" timePeriod="thisWeek">
      <formula>AND(TODAY()-ROUNDDOWN(V3747,0)&lt;=WEEKDAY(TODAY())-1,ROUNDDOWN(V3747,0)-TODAY()&lt;=7-WEEKDAY(TODAY()))</formula>
    </cfRule>
  </conditionalFormatting>
  <conditionalFormatting sqref="V3939">
    <cfRule type="timePeriod" dxfId="42" priority="225" timePeriod="thisWeek">
      <formula>AND(TODAY()-ROUNDDOWN(V3939,0)&lt;=WEEKDAY(TODAY())-1,ROUNDDOWN(V3939,0)-TODAY()&lt;=7-WEEKDAY(TODAY()))</formula>
    </cfRule>
  </conditionalFormatting>
  <conditionalFormatting sqref="V4106:V4107 V4286 V4291 V4321:V4322 V4568:V4569 V4575 V4587:V4588 V4590 V4592:V4593 V4595:V4597 V4600 V4602:V4607 V4609 V4618:V4628 V4663:V4675 V4680:V4682 V4695:V4696 V4715:V4722 V4726:V4729 V4784:V4799 V4810:V4812">
    <cfRule type="timePeriod" dxfId="41" priority="253" timePeriod="thisWeek">
      <formula>AND(TODAY()-ROUNDDOWN(V4106,0)&lt;=WEEKDAY(TODAY())-1,ROUNDDOWN(V4106,0)-TODAY()&lt;=7-WEEKDAY(TODAY()))</formula>
    </cfRule>
  </conditionalFormatting>
  <conditionalFormatting sqref="V4117:V4118 V4954:V4962 V4967:V4975 V5143:V5149 V5220 V5222:V5223 V5225">
    <cfRule type="timePeriod" dxfId="40" priority="221" timePeriod="thisWeek">
      <formula>AND(TODAY()-ROUNDDOWN(V4117,0)&lt;=WEEKDAY(TODAY())-1,ROUNDDOWN(V4117,0)-TODAY()&lt;=7-WEEKDAY(TODAY()))</formula>
    </cfRule>
  </conditionalFormatting>
  <conditionalFormatting sqref="V4138:V4140">
    <cfRule type="timePeriod" dxfId="39" priority="78" timePeriod="thisWeek">
      <formula>AND(TODAY()-ROUNDDOWN(V4138,0)&lt;=WEEKDAY(TODAY())-1,ROUNDDOWN(V4138,0)-TODAY()&lt;=7-WEEKDAY(TODAY()))</formula>
    </cfRule>
  </conditionalFormatting>
  <conditionalFormatting sqref="V4165:V4166 V4633:V4639 V4818:V4823 V4983 V5107:V5113 V5115:V5116">
    <cfRule type="timePeriod" dxfId="38" priority="207" timePeriod="thisWeek">
      <formula>AND(TODAY()-ROUNDDOWN(V4165,0)&lt;=WEEKDAY(TODAY())-1,ROUNDDOWN(V4165,0)-TODAY()&lt;=7-WEEKDAY(TODAY()))</formula>
    </cfRule>
  </conditionalFormatting>
  <conditionalFormatting sqref="V4225:V4231 V5058:V5059 V5118 V5123:V5127 V5195">
    <cfRule type="timePeriod" dxfId="37" priority="209" timePeriod="thisWeek">
      <formula>AND(TODAY()-ROUNDDOWN(V4225,0)&lt;=WEEKDAY(TODAY())-1,ROUNDDOWN(V4225,0)-TODAY()&lt;=7-WEEKDAY(TODAY()))</formula>
    </cfRule>
  </conditionalFormatting>
  <conditionalFormatting sqref="V4297">
    <cfRule type="timePeriod" dxfId="36" priority="208" timePeriod="thisWeek">
      <formula>AND(TODAY()-ROUNDDOWN(V4297,0)&lt;=WEEKDAY(TODAY())-1,ROUNDDOWN(V4297,0)-TODAY()&lt;=7-WEEKDAY(TODAY()))</formula>
    </cfRule>
  </conditionalFormatting>
  <conditionalFormatting sqref="V4506 V4508 V4513 V4527 V4529:V4530 V4537 V4572:V4573 V4579 V4583 V4585 V4611 V4613 V4615:V4616 V4659">
    <cfRule type="timePeriod" dxfId="35" priority="289" timePeriod="thisWeek">
      <formula>AND(TODAY()-ROUNDDOWN(V4506,0)&lt;=WEEKDAY(TODAY())-1,ROUNDDOWN(V4506,0)-TODAY()&lt;=7-WEEKDAY(TODAY()))</formula>
    </cfRule>
  </conditionalFormatting>
  <conditionalFormatting sqref="V4557:V4561">
    <cfRule type="timePeriod" dxfId="34" priority="265" timePeriod="thisWeek">
      <formula>AND(TODAY()-ROUNDDOWN(V4557,0)&lt;=WEEKDAY(TODAY())-1,ROUNDDOWN(V4557,0)-TODAY()&lt;=7-WEEKDAY(TODAY()))</formula>
    </cfRule>
  </conditionalFormatting>
  <conditionalFormatting sqref="V4649:V4655 V4657">
    <cfRule type="timePeriod" dxfId="33" priority="266" timePeriod="thisWeek">
      <formula>AND(TODAY()-ROUNDDOWN(V4649,0)&lt;=WEEKDAY(TODAY())-1,ROUNDDOWN(V4649,0)-TODAY()&lt;=7-WEEKDAY(TODAY()))</formula>
    </cfRule>
  </conditionalFormatting>
  <conditionalFormatting sqref="V4690 V4755:V4765 V4782">
    <cfRule type="timePeriod" dxfId="32" priority="267" timePeriod="thisWeek">
      <formula>AND(TODAY()-ROUNDDOWN(V4690,0)&lt;=WEEKDAY(TODAY())-1,ROUNDDOWN(V4690,0)-TODAY()&lt;=7-WEEKDAY(TODAY()))</formula>
    </cfRule>
  </conditionalFormatting>
  <conditionalFormatting sqref="V4732:V4736 V4739:V4751 V4825:V4829">
    <cfRule type="timePeriod" dxfId="31" priority="254" timePeriod="thisWeek">
      <formula>AND(TODAY()-ROUNDDOWN(V4732,0)&lt;=WEEKDAY(TODAY())-1,ROUNDDOWN(V4732,0)-TODAY()&lt;=7-WEEKDAY(TODAY()))</formula>
    </cfRule>
  </conditionalFormatting>
  <conditionalFormatting sqref="V4801:V4803">
    <cfRule type="timePeriod" dxfId="30" priority="59" timePeriod="thisWeek">
      <formula>AND(TODAY()-ROUNDDOWN(V4801,0)&lt;=WEEKDAY(TODAY())-1,ROUNDDOWN(V4801,0)-TODAY()&lt;=7-WEEKDAY(TODAY()))</formula>
    </cfRule>
  </conditionalFormatting>
  <conditionalFormatting sqref="V4855:V4857 V4863 V4865 V4876 V4887">
    <cfRule type="timePeriod" dxfId="29" priority="268" timePeriod="thisWeek">
      <formula>AND(TODAY()-ROUNDDOWN(V4855,0)&lt;=WEEKDAY(TODAY())-1,ROUNDDOWN(V4855,0)-TODAY()&lt;=7-WEEKDAY(TODAY()))</formula>
    </cfRule>
  </conditionalFormatting>
  <conditionalFormatting sqref="V4869:V4874">
    <cfRule type="timePeriod" dxfId="28" priority="241" timePeriod="thisWeek">
      <formula>AND(TODAY()-ROUNDDOWN(V4869,0)&lt;=WEEKDAY(TODAY())-1,ROUNDDOWN(V4869,0)-TODAY()&lt;=7-WEEKDAY(TODAY()))</formula>
    </cfRule>
  </conditionalFormatting>
  <conditionalFormatting sqref="V4890:V4894 V4899:V4903 V4914 V4951:V4952 V5014:V5016 V5042">
    <cfRule type="timePeriod" dxfId="27" priority="236" timePeriod="thisWeek">
      <formula>AND(TODAY()-ROUNDDOWN(V4890,0)&lt;=WEEKDAY(TODAY())-1,ROUNDDOWN(V4890,0)-TODAY()&lt;=7-WEEKDAY(TODAY()))</formula>
    </cfRule>
  </conditionalFormatting>
  <conditionalFormatting sqref="V4912 V4935:V4937 V4944:V4947 V4977:V4978 V4987:V4988 V4991:V4997">
    <cfRule type="timePeriod" dxfId="26" priority="288" timePeriod="thisWeek">
      <formula>AND(TODAY()-ROUNDDOWN(V4912,0)&lt;=WEEKDAY(TODAY())-1,ROUNDDOWN(V4912,0)-TODAY()&lt;=7-WEEKDAY(TODAY()))</formula>
    </cfRule>
  </conditionalFormatting>
  <conditionalFormatting sqref="V5002:V5007">
    <cfRule type="timePeriod" dxfId="25" priority="284" timePeriod="thisWeek">
      <formula>AND(TODAY()-ROUNDDOWN(V5002,0)&lt;=WEEKDAY(TODAY())-1,ROUNDDOWN(V5002,0)-TODAY()&lt;=7-WEEKDAY(TODAY()))</formula>
    </cfRule>
  </conditionalFormatting>
  <conditionalFormatting sqref="V5009">
    <cfRule type="timePeriod" dxfId="24" priority="242" timePeriod="thisWeek">
      <formula>AND(TODAY()-ROUNDDOWN(V5009,0)&lt;=WEEKDAY(TODAY())-1,ROUNDDOWN(V5009,0)-TODAY()&lt;=7-WEEKDAY(TODAY()))</formula>
    </cfRule>
  </conditionalFormatting>
  <conditionalFormatting sqref="V5025:V5028">
    <cfRule type="timePeriod" dxfId="23" priority="58" timePeriod="thisWeek">
      <formula>AND(TODAY()-ROUNDDOWN(V5025,0)&lt;=WEEKDAY(TODAY())-1,ROUNDDOWN(V5025,0)-TODAY()&lt;=7-WEEKDAY(TODAY()))</formula>
    </cfRule>
  </conditionalFormatting>
  <conditionalFormatting sqref="V5044 V5048 V5050:V5052 V5077 V5087 V5093:V5095">
    <cfRule type="timePeriod" dxfId="22" priority="240" timePeriod="thisWeek">
      <formula>AND(TODAY()-ROUNDDOWN(V5044,0)&lt;=WEEKDAY(TODAY())-1,ROUNDDOWN(V5044,0)-TODAY()&lt;=7-WEEKDAY(TODAY()))</formula>
    </cfRule>
  </conditionalFormatting>
  <conditionalFormatting sqref="V5068:V5074 V5080 V5084:V5085 V5090:V5091 V5398:V5401 V5483 V5496 V5512:V5514">
    <cfRule type="timePeriod" dxfId="21" priority="170" timePeriod="thisWeek">
      <formula>AND(TODAY()-ROUNDDOWN(V5068,0)&lt;=WEEKDAY(TODAY())-1,ROUNDDOWN(V5068,0)-TODAY()&lt;=7-WEEKDAY(TODAY()))</formula>
    </cfRule>
  </conditionalFormatting>
  <conditionalFormatting sqref="V5099 V5101:V5103 V5337:V5345 V5371 V5395:V5396">
    <cfRule type="timePeriod" dxfId="20" priority="184" timePeriod="thisWeek">
      <formula>AND(TODAY()-ROUNDDOWN(V5099,0)&lt;=WEEKDAY(TODAY())-1,ROUNDDOWN(V5099,0)-TODAY()&lt;=7-WEEKDAY(TODAY()))</formula>
    </cfRule>
  </conditionalFormatting>
  <conditionalFormatting sqref="V5129 V5134:V5136 V5138:V5139">
    <cfRule type="timePeriod" dxfId="19" priority="226" timePeriod="thisWeek">
      <formula>AND(TODAY()-ROUNDDOWN(V5129,0)&lt;=WEEKDAY(TODAY())-1,ROUNDDOWN(V5129,0)-TODAY()&lt;=7-WEEKDAY(TODAY()))</formula>
    </cfRule>
  </conditionalFormatting>
  <conditionalFormatting sqref="V5131 V5151:V5153">
    <cfRule type="timePeriod" dxfId="18" priority="97" timePeriod="thisWeek">
      <formula>AND(TODAY()-ROUNDDOWN(V5131,0)&lt;=WEEKDAY(TODAY())-1,ROUNDDOWN(V5131,0)-TODAY()&lt;=7-WEEKDAY(TODAY()))</formula>
    </cfRule>
  </conditionalFormatting>
  <conditionalFormatting sqref="V5288:V5291">
    <cfRule type="timePeriod" dxfId="17" priority="197" timePeriod="thisWeek">
      <formula>AND(TODAY()-ROUNDDOWN(V5288,0)&lt;=WEEKDAY(TODAY())-1,ROUNDDOWN(V5288,0)-TODAY()&lt;=7-WEEKDAY(TODAY()))</formula>
    </cfRule>
  </conditionalFormatting>
  <conditionalFormatting sqref="V5295:V5303">
    <cfRule type="timePeriod" dxfId="16" priority="198" timePeriod="thisWeek">
      <formula>AND(TODAY()-ROUNDDOWN(V5295,0)&lt;=WEEKDAY(TODAY())-1,ROUNDDOWN(V5295,0)-TODAY()&lt;=7-WEEKDAY(TODAY()))</formula>
    </cfRule>
  </conditionalFormatting>
  <conditionalFormatting sqref="V5320:V5323 V5330:V5335 V5459:V5472 V5474:V5475">
    <cfRule type="timePeriod" dxfId="15" priority="71" timePeriod="thisWeek">
      <formula>AND(TODAY()-ROUNDDOWN(V5320,0)&lt;=WEEKDAY(TODAY())-1,ROUNDDOWN(V5320,0)-TODAY()&lt;=7-WEEKDAY(TODAY()))</formula>
    </cfRule>
  </conditionalFormatting>
  <conditionalFormatting sqref="V5427 V5429 V5441:V5450 V5452:V5457">
    <cfRule type="timePeriod" dxfId="14" priority="185" timePeriod="thisWeek">
      <formula>AND(TODAY()-ROUNDDOWN(V5427,0)&lt;=WEEKDAY(TODAY())-1,ROUNDDOWN(V5427,0)-TODAY()&lt;=7-WEEKDAY(TODAY()))</formula>
    </cfRule>
  </conditionalFormatting>
  <conditionalFormatting sqref="V5487:V5491 V5563:V5564 V5566:V5568">
    <cfRule type="timePeriod" dxfId="13" priority="79" timePeriod="thisWeek">
      <formula>AND(TODAY()-ROUNDDOWN(V5487,0)&lt;=WEEKDAY(TODAY())-1,ROUNDDOWN(V5487,0)-TODAY()&lt;=7-WEEKDAY(TODAY()))</formula>
    </cfRule>
  </conditionalFormatting>
  <conditionalFormatting sqref="V5539 V5603">
    <cfRule type="timePeriod" dxfId="12" priority="70" timePeriod="thisWeek">
      <formula>AND(TODAY()-ROUNDDOWN(V5539,0)&lt;=WEEKDAY(TODAY())-1,ROUNDDOWN(V5539,0)-TODAY()&lt;=7-WEEKDAY(TODAY()))</formula>
    </cfRule>
  </conditionalFormatting>
  <conditionalFormatting sqref="V5541:V5542 V5717:V5718 V5733:V5734">
    <cfRule type="timePeriod" dxfId="11" priority="80" timePeriod="thisWeek">
      <formula>AND(TODAY()-ROUNDDOWN(V5541,0)&lt;=WEEKDAY(TODAY())-1,ROUNDDOWN(V5541,0)-TODAY()&lt;=7-WEEKDAY(TODAY()))</formula>
    </cfRule>
  </conditionalFormatting>
  <conditionalFormatting sqref="V5579">
    <cfRule type="timePeriod" dxfId="10" priority="186" timePeriod="thisWeek">
      <formula>AND(TODAY()-ROUNDDOWN(V5579,0)&lt;=WEEKDAY(TODAY())-1,ROUNDDOWN(V5579,0)-TODAY()&lt;=7-WEEKDAY(TODAY()))</formula>
    </cfRule>
  </conditionalFormatting>
  <conditionalFormatting sqref="V5746:V5748">
    <cfRule type="timePeriod" dxfId="9" priority="44" timePeriod="thisWeek">
      <formula>AND(TODAY()-ROUNDDOWN(V5746,0)&lt;=WEEKDAY(TODAY())-1,ROUNDDOWN(V5746,0)-TODAY()&lt;=7-WEEKDAY(TODAY()))</formula>
    </cfRule>
  </conditionalFormatting>
  <conditionalFormatting sqref="V5769:V5773">
    <cfRule type="timePeriod" dxfId="8" priority="43" timePeriod="thisWeek">
      <formula>AND(TODAY()-ROUNDDOWN(V5769,0)&lt;=WEEKDAY(TODAY())-1,ROUNDDOWN(V5769,0)-TODAY()&lt;=7-WEEKDAY(TODAY()))</formula>
    </cfRule>
  </conditionalFormatting>
  <conditionalFormatting sqref="V5778:V5779">
    <cfRule type="timePeriod" dxfId="7" priority="42" timePeriod="thisWeek">
      <formula>AND(TODAY()-ROUNDDOWN(V5778,0)&lt;=WEEKDAY(TODAY())-1,ROUNDDOWN(V5778,0)-TODAY()&lt;=7-WEEKDAY(TODAY()))</formula>
    </cfRule>
  </conditionalFormatting>
  <conditionalFormatting sqref="V5817 V5819:V5823 V5857 V5863 V5868:V5872 V5874:V5875 V5895 V5914:V5916 V5918:V5921 V5923:V5925 V5927:V5934 V5937:V5939 V6063">
    <cfRule type="timePeriod" dxfId="6" priority="11" timePeriod="thisWeek">
      <formula>AND(TODAY()-ROUNDDOWN(V5817,0)&lt;=WEEKDAY(TODAY())-1,ROUNDDOWN(V5817,0)-TODAY()&lt;=7-WEEKDAY(TODAY()))</formula>
    </cfRule>
  </conditionalFormatting>
  <conditionalFormatting sqref="V5842:V5843">
    <cfRule type="timePeriod" dxfId="5" priority="62" timePeriod="thisWeek">
      <formula>AND(TODAY()-ROUNDDOWN(V5842,0)&lt;=WEEKDAY(TODAY())-1,ROUNDDOWN(V5842,0)-TODAY()&lt;=7-WEEKDAY(TODAY()))</formula>
    </cfRule>
  </conditionalFormatting>
  <conditionalFormatting sqref="V5853:V5854">
    <cfRule type="timePeriod" dxfId="4" priority="17" timePeriod="thisWeek">
      <formula>AND(TODAY()-ROUNDDOWN(V5853,0)&lt;=WEEKDAY(TODAY())-1,ROUNDDOWN(V5853,0)-TODAY()&lt;=7-WEEKDAY(TODAY()))</formula>
    </cfRule>
  </conditionalFormatting>
  <conditionalFormatting sqref="V5866 V5891 V5912">
    <cfRule type="timePeriod" dxfId="3" priority="18" timePeriod="thisWeek">
      <formula>AND(TODAY()-ROUNDDOWN(V5866,0)&lt;=WEEKDAY(TODAY())-1,ROUNDDOWN(V5866,0)-TODAY()&lt;=7-WEEKDAY(TODAY()))</formula>
    </cfRule>
  </conditionalFormatting>
  <conditionalFormatting sqref="V5969">
    <cfRule type="timePeriod" dxfId="2" priority="23" timePeriod="thisWeek">
      <formula>AND(TODAY()-ROUNDDOWN(V5969,0)&lt;=WEEKDAY(TODAY())-1,ROUNDDOWN(V5969,0)-TODAY()&lt;=7-WEEKDAY(TODAY()))</formula>
    </cfRule>
  </conditionalFormatting>
  <conditionalFormatting sqref="V5974:V5975">
    <cfRule type="timePeriod" dxfId="1" priority="16" timePeriod="thisWeek">
      <formula>AND(TODAY()-ROUNDDOWN(V5974,0)&lt;=WEEKDAY(TODAY())-1,ROUNDDOWN(V5974,0)-TODAY()&lt;=7-WEEKDAY(TODAY()))</formula>
    </cfRule>
  </conditionalFormatting>
  <conditionalFormatting sqref="W2457">
    <cfRule type="timePeriod" dxfId="0" priority="1043" timePeriod="thisWeek">
      <formula>AND(TODAY()-ROUNDDOWN(W2457,0)&lt;=WEEKDAY(TODAY())-1,ROUNDDOWN(W2457,0)-TODAY()&lt;=7-WEEKDAY(TODAY()))</formula>
    </cfRule>
  </conditionalFormatting>
  <dataValidations count="3">
    <dataValidation type="list" allowBlank="1" showInputMessage="1" showErrorMessage="1" sqref="C5185 C4289 C3985 C3168 C3156 C3029 C3062 C3059 C2860:C2861 C2908 C2906 C2863 C2849 C2847 C2874:C2875 C2911:C2914 C2932 C3041 C2956:C2958 C2954 C2971 C2976:C2977 C2974 C2981:C2982 C2985:C2986 C3142 C3373 C3363 C3353:C3354 C3347:C3351 C3343:C3344 C3235 C3795 C3542 C3613 C3649 C2406:C2415 C2419:C2429 C2733:C2737 C2719:C2720 C2706:C2709 C2702:C2704 C2580 C2578 C2565:C2574 C2552:C2559 C2538:C2546 C2531:C2536 C2471 C2527:C2529 C2518:C2524 C2549:C2550 C2631:C2640 C2649:C2653 C2741:C2743 C2431:C2432 C2434:C2435 C2437:C2440 C2796 C2801:C2805 C2660:C2670 C5504" xr:uid="{49DE63A8-8331-4B7A-82DE-198B305B545B}">
      <formula1>$B$4:$B$1048576</formula1>
    </dataValidation>
    <dataValidation type="list" allowBlank="1" showInputMessage="1" showErrorMessage="1" sqref="I5901 I5942 I5984 I5736:I5738 I6008 I6067 I3477:I3478 I3474:I3475 I5201 I5400 I5373:I5374 I1737 I1733:I1734 I3849 I1806:I1807 I1627:I1628 I1623:I1625 I1795 I1782 I1780 I1763 I1761 I1714:I1718 I1724:I1726 I4970 I4621:I4622 I4642:I4645 I3481:I3485 I4496 I4491 I4199 I4125:I4127 I4455 I4442:I4443 I4447:I4448 I4146 I4484 I4111 I4093:I4094 I4068 I4053 I4627 I3963 I3939 I3937 I3423:I3431 I3433 I3445 I3449:I3462 I3487:I3492 I3494:I3509 I3467:I3472 I3806:I3807 I3868:I3875 I3811 I3809 I3908 I3628 I3686:I3688 I3658 I3614 I3585:I3586 I3561:I3562 I3531:I3532 I3544 I3518:I3521 I3523:I3528 I3589 I3695:I3696 I3752:I3760 I3733:I3736 I3706 I3731 I3796 I3804 I3387:I3388 I3413:I3414 I3409 I4909 I5394:I5395 I5720 I5654:I5655 I5630:I5632 I5622 I5601" xr:uid="{E07D5CD8-8585-4E16-8E74-3D5980274175}">
      <formula1>$K$5:$K$1048576</formula1>
    </dataValidation>
    <dataValidation allowBlank="1" showErrorMessage="1" sqref="Z1" xr:uid="{41341417-DC09-44BC-8380-8A967FF6890C}"/>
  </dataValidations>
  <hyperlinks>
    <hyperlink ref="G772" r:id="rId1" display="Rafael Gallardo Martin telf: 0034 655 80 64 20" xr:uid="{BB464709-D931-4A0A-9F1C-60BD66B4819B}"/>
    <hyperlink ref="G1754" r:id="rId2" display="Rafael Gallardo Martin telf: 0034 655 80 64 20" xr:uid="{644E5561-9A98-4D6E-A8EF-4D9F327B9051}"/>
    <hyperlink ref="G1756" r:id="rId3" display="Rafael Gallardo Martin telf: 0034 655 80 64 20" xr:uid="{0DE85F99-9D0A-41A7-A85C-0AE6810B17D6}"/>
    <hyperlink ref="G1755" r:id="rId4" display="Rafael Gallardo Martin telf: 0034 655 80 64 20" xr:uid="{75EECB6F-9EE9-4279-B3A4-D5BA9F5418A6}"/>
    <hyperlink ref="G1012" r:id="rId5" display="Manuel Marco Aparicio" xr:uid="{5766DA1E-2AA3-43A8-A207-0C57D4D6FF07}"/>
    <hyperlink ref="G1932" r:id="rId6" display="Manuel Marco Aparicio" xr:uid="{0DE718ED-1B3E-4B3B-B1B5-D13A2C71CBE6}"/>
    <hyperlink ref="G1020" r:id="rId7" display="Manuel Marco Aparicio" xr:uid="{E97D6331-5B85-426A-BEA4-129AB3B3981D}"/>
    <hyperlink ref="G1013" r:id="rId8" display="Manuel Marco Aparicio" xr:uid="{FF029A89-D286-447B-AC18-F50BEFF7F6B0}"/>
    <hyperlink ref="G1014" r:id="rId9" display="Manuel Marco Aparicio" xr:uid="{71A20E79-D7E3-472F-AD76-FC889A178179}"/>
    <hyperlink ref="G3250" r:id="rId10" display=" Jep Lindoso Toral" xr:uid="{74F73D37-19F5-4B54-993D-0F8931BBCCA3}"/>
    <hyperlink ref="G5120" r:id="rId11" display=" Jep Lindoso Toral" xr:uid="{8B2F5CBB-1F04-456B-B1EF-73C266B41E8D}"/>
    <hyperlink ref="G3765" r:id="rId12" display="Robin Oudenhoven" xr:uid="{B2C181D2-4986-49C1-BA3C-E6705B5A1569}"/>
    <hyperlink ref="G4073:G4075" r:id="rId13" display="Robin Oudenhoven" xr:uid="{10B039D8-4870-40F7-A526-9D0CBD6551FB}"/>
  </hyperlinks>
  <pageMargins left="0.25" right="0.25" top="0.75" bottom="0.75" header="0.3" footer="0.3"/>
  <pageSetup paperSize="9" scale="54" orientation="landscape" r:id="rId14"/>
  <rowBreaks count="1" manualBreakCount="1">
    <brk id="1083" max="16383" man="1"/>
  </rowBreaks>
  <colBreaks count="2" manualBreakCount="2">
    <brk id="3" max="25" man="1"/>
    <brk id="5" max="1048575" man="1"/>
  </colBreaks>
  <legacyDrawing r:id="rId15"/>
  <tableParts count="1">
    <tablePart r:id="rId16"/>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1A87E-CE87-4D16-B343-9815FBD3C075}">
  <dimension ref="A1:Q303"/>
  <sheetViews>
    <sheetView workbookViewId="0">
      <selection activeCell="C24" sqref="C24"/>
    </sheetView>
  </sheetViews>
  <sheetFormatPr defaultColWidth="11.42578125" defaultRowHeight="15"/>
  <cols>
    <col min="2" max="2" width="21" bestFit="1" customWidth="1"/>
    <col min="3" max="3" width="73.28515625" customWidth="1"/>
    <col min="4" max="4" width="44.5703125" bestFit="1" customWidth="1"/>
    <col min="5" max="5" width="57" bestFit="1" customWidth="1"/>
    <col min="6" max="6" width="39" customWidth="1"/>
  </cols>
  <sheetData>
    <row r="1" spans="1:17">
      <c r="A1" s="10" t="s">
        <v>3</v>
      </c>
      <c r="B1" s="10" t="s">
        <v>8177</v>
      </c>
      <c r="C1" s="10" t="s">
        <v>5</v>
      </c>
      <c r="D1" s="29" t="s">
        <v>8178</v>
      </c>
      <c r="E1" s="10" t="s">
        <v>6</v>
      </c>
      <c r="F1" s="29" t="s">
        <v>8179</v>
      </c>
      <c r="G1" s="22" t="s">
        <v>9</v>
      </c>
      <c r="H1" s="22" t="s">
        <v>8180</v>
      </c>
      <c r="I1" s="10" t="s">
        <v>8181</v>
      </c>
      <c r="J1" s="354" t="s">
        <v>8182</v>
      </c>
      <c r="K1" s="354" t="s">
        <v>22</v>
      </c>
      <c r="L1" s="10" t="s">
        <v>23</v>
      </c>
      <c r="M1" s="10" t="s">
        <v>8183</v>
      </c>
      <c r="N1" s="29" t="s">
        <v>8184</v>
      </c>
      <c r="O1" s="10" t="s">
        <v>24</v>
      </c>
      <c r="P1" s="10" t="s">
        <v>25</v>
      </c>
      <c r="Q1" s="10" t="s">
        <v>8185</v>
      </c>
    </row>
    <row r="2" spans="1:17">
      <c r="A2" t="s">
        <v>30</v>
      </c>
      <c r="B2" t="s">
        <v>8186</v>
      </c>
      <c r="C2" t="s">
        <v>1488</v>
      </c>
      <c r="D2" t="s">
        <v>8187</v>
      </c>
      <c r="E2" t="s">
        <v>483</v>
      </c>
      <c r="F2" s="355" t="s">
        <v>8188</v>
      </c>
      <c r="G2" s="356">
        <v>45386</v>
      </c>
      <c r="H2" s="356">
        <v>45569</v>
      </c>
      <c r="J2" s="357">
        <v>680</v>
      </c>
      <c r="K2" s="357">
        <v>1360</v>
      </c>
      <c r="L2">
        <v>1</v>
      </c>
      <c r="N2">
        <v>4</v>
      </c>
      <c r="O2" t="s">
        <v>4572</v>
      </c>
      <c r="P2" t="s">
        <v>702</v>
      </c>
    </row>
    <row r="3" spans="1:17">
      <c r="A3" t="s">
        <v>30</v>
      </c>
      <c r="B3" t="s">
        <v>225</v>
      </c>
      <c r="C3" t="s">
        <v>226</v>
      </c>
      <c r="E3" t="s">
        <v>227</v>
      </c>
      <c r="F3" s="30" t="s">
        <v>8189</v>
      </c>
      <c r="G3" s="356">
        <v>45589</v>
      </c>
      <c r="H3" s="356">
        <v>45658</v>
      </c>
      <c r="I3">
        <v>15</v>
      </c>
      <c r="J3" s="357">
        <v>1000</v>
      </c>
      <c r="K3" s="357">
        <v>1020</v>
      </c>
      <c r="L3">
        <v>1</v>
      </c>
      <c r="O3" t="s">
        <v>8190</v>
      </c>
      <c r="P3" t="s">
        <v>702</v>
      </c>
    </row>
    <row r="4" spans="1:17">
      <c r="A4" t="s">
        <v>30</v>
      </c>
      <c r="B4" t="s">
        <v>225</v>
      </c>
      <c r="C4" t="s">
        <v>310</v>
      </c>
      <c r="E4" t="s">
        <v>311</v>
      </c>
      <c r="G4" s="356"/>
      <c r="H4" s="356"/>
      <c r="J4" s="357">
        <v>300</v>
      </c>
      <c r="K4" s="357"/>
      <c r="L4">
        <v>1</v>
      </c>
      <c r="P4" s="30" t="s">
        <v>36</v>
      </c>
    </row>
    <row r="5" spans="1:17">
      <c r="A5" t="s">
        <v>30</v>
      </c>
      <c r="B5" t="s">
        <v>380</v>
      </c>
      <c r="C5" t="s">
        <v>1579</v>
      </c>
      <c r="D5" t="s">
        <v>8191</v>
      </c>
      <c r="E5" t="s">
        <v>1580</v>
      </c>
      <c r="F5" s="30" t="s">
        <v>8192</v>
      </c>
      <c r="G5" s="356">
        <v>45566</v>
      </c>
      <c r="H5" s="356">
        <v>45656</v>
      </c>
      <c r="J5" s="357">
        <v>1200</v>
      </c>
      <c r="K5" s="357">
        <v>1650</v>
      </c>
      <c r="L5">
        <v>1</v>
      </c>
      <c r="N5">
        <v>4</v>
      </c>
      <c r="O5" t="s">
        <v>8193</v>
      </c>
      <c r="P5" t="s">
        <v>702</v>
      </c>
    </row>
    <row r="6" spans="1:17">
      <c r="A6" t="s">
        <v>30</v>
      </c>
      <c r="B6" t="s">
        <v>31</v>
      </c>
      <c r="C6" t="s">
        <v>67</v>
      </c>
      <c r="E6" t="s">
        <v>68</v>
      </c>
      <c r="G6" s="356"/>
      <c r="H6" s="356"/>
      <c r="J6" s="357">
        <v>450</v>
      </c>
      <c r="K6" s="357"/>
      <c r="L6">
        <v>1</v>
      </c>
      <c r="O6" t="s">
        <v>2919</v>
      </c>
      <c r="P6" s="30" t="s">
        <v>36</v>
      </c>
    </row>
    <row r="7" spans="1:17">
      <c r="A7" t="s">
        <v>30</v>
      </c>
      <c r="B7" t="s">
        <v>31</v>
      </c>
      <c r="C7" t="s">
        <v>3728</v>
      </c>
      <c r="E7" s="30" t="s">
        <v>3729</v>
      </c>
      <c r="F7" s="30" t="s">
        <v>8194</v>
      </c>
      <c r="G7" s="356"/>
      <c r="H7" s="356"/>
      <c r="J7" s="357">
        <v>350</v>
      </c>
      <c r="K7" s="357"/>
      <c r="L7">
        <v>1</v>
      </c>
      <c r="O7" t="s">
        <v>8195</v>
      </c>
      <c r="P7" t="s">
        <v>702</v>
      </c>
    </row>
    <row r="8" spans="1:17">
      <c r="A8" t="s">
        <v>30</v>
      </c>
      <c r="B8" t="s">
        <v>55</v>
      </c>
      <c r="C8" t="s">
        <v>1653</v>
      </c>
      <c r="E8" t="s">
        <v>1440</v>
      </c>
      <c r="F8" s="355" t="s">
        <v>8196</v>
      </c>
      <c r="G8" s="356"/>
      <c r="H8" s="356"/>
      <c r="J8" s="357">
        <v>2000</v>
      </c>
      <c r="K8" s="357"/>
      <c r="L8">
        <v>1</v>
      </c>
      <c r="N8">
        <v>4</v>
      </c>
      <c r="O8" t="s">
        <v>8197</v>
      </c>
      <c r="P8" t="s">
        <v>702</v>
      </c>
    </row>
    <row r="9" spans="1:17">
      <c r="A9" t="s">
        <v>30</v>
      </c>
      <c r="B9" t="s">
        <v>380</v>
      </c>
      <c r="C9" t="s">
        <v>2236</v>
      </c>
      <c r="D9" s="30" t="s">
        <v>8198</v>
      </c>
      <c r="E9" s="30" t="s">
        <v>2237</v>
      </c>
      <c r="F9" s="30" t="s">
        <v>8199</v>
      </c>
      <c r="G9" s="356">
        <v>45566</v>
      </c>
      <c r="H9" s="356">
        <v>45657</v>
      </c>
      <c r="J9" s="357">
        <v>1200</v>
      </c>
      <c r="K9" s="357">
        <v>1200</v>
      </c>
      <c r="L9">
        <v>1</v>
      </c>
      <c r="N9">
        <v>5</v>
      </c>
      <c r="O9" t="s">
        <v>8200</v>
      </c>
      <c r="P9" t="s">
        <v>702</v>
      </c>
    </row>
    <row r="10" spans="1:17">
      <c r="A10" t="s">
        <v>30</v>
      </c>
      <c r="B10" t="s">
        <v>8186</v>
      </c>
      <c r="C10" s="30" t="s">
        <v>482</v>
      </c>
      <c r="D10" t="s">
        <v>8187</v>
      </c>
      <c r="E10" t="s">
        <v>483</v>
      </c>
      <c r="F10" s="30" t="s">
        <v>8201</v>
      </c>
      <c r="G10" s="356">
        <v>45411</v>
      </c>
      <c r="H10" s="356">
        <v>45594</v>
      </c>
      <c r="I10" t="s">
        <v>8202</v>
      </c>
      <c r="J10" s="357">
        <v>635</v>
      </c>
      <c r="K10" s="357">
        <v>1270</v>
      </c>
      <c r="L10">
        <v>1</v>
      </c>
      <c r="N10">
        <v>4</v>
      </c>
      <c r="O10" t="s">
        <v>8203</v>
      </c>
      <c r="P10" t="s">
        <v>702</v>
      </c>
    </row>
    <row r="11" spans="1:17">
      <c r="A11" t="s">
        <v>30</v>
      </c>
      <c r="B11" t="s">
        <v>92</v>
      </c>
      <c r="C11" t="s">
        <v>5957</v>
      </c>
      <c r="E11" t="s">
        <v>94</v>
      </c>
      <c r="G11" s="356"/>
      <c r="H11" s="356"/>
      <c r="J11" s="357">
        <v>1900</v>
      </c>
      <c r="K11" s="357"/>
      <c r="L11">
        <v>1</v>
      </c>
      <c r="P11" t="s">
        <v>36</v>
      </c>
    </row>
    <row r="12" spans="1:17">
      <c r="A12" t="s">
        <v>30</v>
      </c>
      <c r="B12" t="s">
        <v>127</v>
      </c>
      <c r="C12" s="30" t="s">
        <v>8204</v>
      </c>
      <c r="D12" s="30"/>
      <c r="E12" t="s">
        <v>8205</v>
      </c>
      <c r="G12" s="356">
        <v>45499</v>
      </c>
      <c r="H12" s="356">
        <v>45565</v>
      </c>
      <c r="J12" s="357">
        <v>700</v>
      </c>
      <c r="K12" s="357">
        <v>300</v>
      </c>
      <c r="L12">
        <v>1</v>
      </c>
      <c r="O12" t="s">
        <v>8206</v>
      </c>
      <c r="P12" t="s">
        <v>36</v>
      </c>
    </row>
    <row r="13" spans="1:17">
      <c r="A13" t="s">
        <v>30</v>
      </c>
      <c r="B13" t="s">
        <v>127</v>
      </c>
      <c r="C13" s="30" t="s">
        <v>856</v>
      </c>
      <c r="D13" s="30" t="s">
        <v>8207</v>
      </c>
      <c r="E13" t="s">
        <v>857</v>
      </c>
      <c r="F13" s="30" t="s">
        <v>8208</v>
      </c>
      <c r="G13" s="356">
        <v>45536</v>
      </c>
      <c r="H13" s="356">
        <v>45627</v>
      </c>
      <c r="J13" s="357">
        <v>1200</v>
      </c>
      <c r="K13" s="357">
        <v>300</v>
      </c>
      <c r="L13">
        <v>1</v>
      </c>
      <c r="N13">
        <v>4</v>
      </c>
      <c r="P13" t="s">
        <v>702</v>
      </c>
    </row>
    <row r="14" spans="1:17">
      <c r="A14" t="s">
        <v>30</v>
      </c>
      <c r="B14" t="s">
        <v>939</v>
      </c>
      <c r="C14" s="30" t="s">
        <v>1253</v>
      </c>
      <c r="D14" s="30" t="s">
        <v>8209</v>
      </c>
      <c r="E14" t="s">
        <v>941</v>
      </c>
      <c r="F14" t="s">
        <v>8210</v>
      </c>
      <c r="G14" s="356"/>
      <c r="H14" s="356"/>
      <c r="J14" s="357">
        <v>370</v>
      </c>
      <c r="K14" s="357">
        <v>150</v>
      </c>
      <c r="L14">
        <v>1</v>
      </c>
      <c r="P14" t="s">
        <v>702</v>
      </c>
    </row>
    <row r="15" spans="1:17">
      <c r="A15" t="s">
        <v>30</v>
      </c>
      <c r="B15" t="s">
        <v>31</v>
      </c>
      <c r="C15" t="s">
        <v>907</v>
      </c>
      <c r="D15" s="30" t="s">
        <v>8211</v>
      </c>
      <c r="E15" t="s">
        <v>296</v>
      </c>
      <c r="F15" s="30" t="s">
        <v>8212</v>
      </c>
      <c r="G15" s="356">
        <v>45474</v>
      </c>
      <c r="H15" s="356"/>
      <c r="J15" s="357">
        <v>600</v>
      </c>
      <c r="K15" s="357">
        <v>1200</v>
      </c>
      <c r="L15">
        <v>1</v>
      </c>
      <c r="N15">
        <v>4</v>
      </c>
      <c r="O15" t="s">
        <v>8213</v>
      </c>
      <c r="P15" t="s">
        <v>702</v>
      </c>
    </row>
    <row r="16" spans="1:17">
      <c r="A16" t="s">
        <v>30</v>
      </c>
      <c r="B16" t="s">
        <v>31</v>
      </c>
      <c r="C16" t="s">
        <v>1477</v>
      </c>
      <c r="E16" t="s">
        <v>1478</v>
      </c>
      <c r="F16" s="30" t="s">
        <v>8214</v>
      </c>
      <c r="G16" s="356">
        <v>45484</v>
      </c>
      <c r="H16" s="356"/>
      <c r="I16" t="s">
        <v>8215</v>
      </c>
      <c r="J16" s="357">
        <v>500</v>
      </c>
      <c r="K16" s="357">
        <v>1000</v>
      </c>
      <c r="L16">
        <v>1</v>
      </c>
      <c r="O16" t="s">
        <v>1481</v>
      </c>
      <c r="P16" t="s">
        <v>702</v>
      </c>
    </row>
    <row r="17" spans="1:17">
      <c r="A17" t="s">
        <v>30</v>
      </c>
      <c r="B17" t="s">
        <v>502</v>
      </c>
      <c r="C17" t="s">
        <v>2834</v>
      </c>
      <c r="D17" s="30" t="s">
        <v>8216</v>
      </c>
      <c r="E17" t="s">
        <v>2835</v>
      </c>
      <c r="F17" s="30" t="s">
        <v>8217</v>
      </c>
      <c r="G17" s="356">
        <v>45536</v>
      </c>
      <c r="H17" s="356">
        <v>45747</v>
      </c>
      <c r="J17" s="357">
        <v>750</v>
      </c>
      <c r="K17" s="357">
        <v>500</v>
      </c>
      <c r="L17">
        <v>1</v>
      </c>
      <c r="N17">
        <v>3</v>
      </c>
      <c r="P17" t="s">
        <v>702</v>
      </c>
    </row>
    <row r="18" spans="1:17">
      <c r="A18" t="s">
        <v>30</v>
      </c>
      <c r="B18" t="s">
        <v>502</v>
      </c>
      <c r="C18" t="s">
        <v>1049</v>
      </c>
      <c r="D18" s="30" t="s">
        <v>8218</v>
      </c>
      <c r="E18" t="s">
        <v>1050</v>
      </c>
      <c r="F18" s="30" t="s">
        <v>8219</v>
      </c>
      <c r="G18" s="356">
        <v>45536</v>
      </c>
      <c r="H18" s="358">
        <v>45747</v>
      </c>
      <c r="J18" s="357">
        <v>650</v>
      </c>
      <c r="K18" s="357">
        <v>400</v>
      </c>
      <c r="L18">
        <v>1</v>
      </c>
      <c r="N18">
        <v>3</v>
      </c>
      <c r="P18" t="s">
        <v>702</v>
      </c>
    </row>
    <row r="19" spans="1:17">
      <c r="A19" t="s">
        <v>30</v>
      </c>
      <c r="B19" t="s">
        <v>648</v>
      </c>
      <c r="C19" s="30" t="s">
        <v>8220</v>
      </c>
      <c r="D19" s="30" t="s">
        <v>8221</v>
      </c>
      <c r="E19" t="s">
        <v>1545</v>
      </c>
      <c r="F19" s="171" t="s">
        <v>8222</v>
      </c>
      <c r="G19" s="356">
        <v>45434</v>
      </c>
      <c r="H19" s="356">
        <v>45442</v>
      </c>
      <c r="I19" t="s">
        <v>8223</v>
      </c>
      <c r="J19" s="357">
        <v>1200</v>
      </c>
      <c r="K19" s="357">
        <v>1200</v>
      </c>
      <c r="L19">
        <v>1</v>
      </c>
      <c r="N19">
        <v>5</v>
      </c>
      <c r="P19" t="s">
        <v>702</v>
      </c>
    </row>
    <row r="20" spans="1:17">
      <c r="A20" t="s">
        <v>30</v>
      </c>
      <c r="B20" t="s">
        <v>213</v>
      </c>
      <c r="C20" s="30" t="s">
        <v>996</v>
      </c>
      <c r="D20" s="30"/>
      <c r="E20" t="s">
        <v>997</v>
      </c>
      <c r="F20" s="30" t="s">
        <v>8224</v>
      </c>
      <c r="G20" s="356"/>
      <c r="H20" s="356"/>
      <c r="J20" s="357">
        <v>3410</v>
      </c>
      <c r="K20" s="357"/>
      <c r="L20">
        <v>1</v>
      </c>
      <c r="P20" s="30" t="s">
        <v>36</v>
      </c>
    </row>
    <row r="21" spans="1:17">
      <c r="A21" s="70" t="s">
        <v>30</v>
      </c>
      <c r="B21" s="70" t="s">
        <v>31</v>
      </c>
      <c r="C21" s="70" t="s">
        <v>8225</v>
      </c>
      <c r="D21" s="70"/>
      <c r="E21" s="70" t="s">
        <v>8226</v>
      </c>
      <c r="F21" s="70"/>
      <c r="G21" s="359">
        <v>45492</v>
      </c>
      <c r="H21" s="359">
        <v>45584</v>
      </c>
      <c r="I21" s="70"/>
      <c r="J21" s="360">
        <v>350</v>
      </c>
      <c r="K21" s="360">
        <v>350</v>
      </c>
      <c r="L21" s="70">
        <v>1</v>
      </c>
      <c r="M21" s="70"/>
      <c r="N21" s="70"/>
      <c r="O21" s="70" t="s">
        <v>3007</v>
      </c>
      <c r="P21" s="70" t="s">
        <v>702</v>
      </c>
      <c r="Q21" s="70"/>
    </row>
    <row r="22" spans="1:17">
      <c r="A22" t="s">
        <v>30</v>
      </c>
      <c r="B22" t="s">
        <v>734</v>
      </c>
      <c r="C22" t="s">
        <v>735</v>
      </c>
      <c r="E22" t="s">
        <v>736</v>
      </c>
      <c r="F22" t="s">
        <v>8227</v>
      </c>
      <c r="G22" s="356">
        <v>45506</v>
      </c>
      <c r="H22" s="356">
        <v>45537</v>
      </c>
      <c r="J22" s="357">
        <v>400</v>
      </c>
      <c r="K22" s="357">
        <v>400</v>
      </c>
      <c r="L22">
        <v>1</v>
      </c>
      <c r="O22" t="s">
        <v>8228</v>
      </c>
      <c r="P22" t="s">
        <v>702</v>
      </c>
    </row>
    <row r="23" spans="1:17">
      <c r="A23" t="s">
        <v>30</v>
      </c>
      <c r="B23" t="s">
        <v>648</v>
      </c>
      <c r="C23" t="s">
        <v>1544</v>
      </c>
      <c r="D23" s="30" t="s">
        <v>8221</v>
      </c>
      <c r="E23" t="s">
        <v>1545</v>
      </c>
      <c r="F23" t="s">
        <v>8229</v>
      </c>
      <c r="G23" s="356">
        <v>45474</v>
      </c>
      <c r="H23" s="356">
        <v>45503</v>
      </c>
      <c r="I23" t="s">
        <v>8223</v>
      </c>
      <c r="J23" s="357">
        <v>725</v>
      </c>
      <c r="K23" s="357">
        <v>550</v>
      </c>
      <c r="L23">
        <v>1</v>
      </c>
      <c r="N23">
        <v>4</v>
      </c>
      <c r="P23" t="s">
        <v>702</v>
      </c>
    </row>
    <row r="24" spans="1:17">
      <c r="A24" t="s">
        <v>30</v>
      </c>
      <c r="B24" t="s">
        <v>31</v>
      </c>
      <c r="C24" s="11" t="s">
        <v>530</v>
      </c>
      <c r="D24" s="30" t="s">
        <v>8230</v>
      </c>
      <c r="E24" t="s">
        <v>531</v>
      </c>
      <c r="F24" s="355" t="s">
        <v>8231</v>
      </c>
      <c r="G24" s="356">
        <v>45505</v>
      </c>
      <c r="H24" s="356">
        <v>45838</v>
      </c>
      <c r="J24" s="357">
        <v>1500</v>
      </c>
      <c r="K24" s="357">
        <v>3000</v>
      </c>
      <c r="L24">
        <v>1</v>
      </c>
      <c r="N24">
        <v>10</v>
      </c>
      <c r="P24" t="s">
        <v>702</v>
      </c>
    </row>
    <row r="25" spans="1:17">
      <c r="A25" t="s">
        <v>30</v>
      </c>
      <c r="B25" t="s">
        <v>31</v>
      </c>
      <c r="C25" t="s">
        <v>451</v>
      </c>
      <c r="D25" s="30" t="s">
        <v>8232</v>
      </c>
      <c r="E25" t="s">
        <v>452</v>
      </c>
      <c r="F25" s="30" t="s">
        <v>8233</v>
      </c>
      <c r="G25" s="356">
        <v>45498</v>
      </c>
      <c r="H25" s="356">
        <v>45682</v>
      </c>
      <c r="J25" s="357">
        <v>1700</v>
      </c>
      <c r="K25" s="357">
        <v>1700</v>
      </c>
      <c r="L25">
        <v>1</v>
      </c>
      <c r="N25">
        <v>6</v>
      </c>
      <c r="P25" t="s">
        <v>702</v>
      </c>
    </row>
    <row r="26" spans="1:17">
      <c r="A26" t="s">
        <v>30</v>
      </c>
      <c r="B26" t="s">
        <v>422</v>
      </c>
      <c r="C26" t="s">
        <v>2183</v>
      </c>
      <c r="D26" t="s">
        <v>8234</v>
      </c>
      <c r="E26" t="s">
        <v>698</v>
      </c>
      <c r="F26" t="s">
        <v>8235</v>
      </c>
      <c r="G26" s="356">
        <v>45514</v>
      </c>
      <c r="H26" s="356">
        <v>45688</v>
      </c>
      <c r="J26" s="357">
        <v>1580</v>
      </c>
      <c r="K26" s="357">
        <v>1580</v>
      </c>
      <c r="L26">
        <v>1</v>
      </c>
      <c r="N26">
        <v>5</v>
      </c>
      <c r="P26" t="s">
        <v>702</v>
      </c>
    </row>
    <row r="27" spans="1:17">
      <c r="A27" t="s">
        <v>30</v>
      </c>
      <c r="B27" t="s">
        <v>422</v>
      </c>
      <c r="C27" s="152" t="s">
        <v>956</v>
      </c>
      <c r="D27" t="s">
        <v>8236</v>
      </c>
      <c r="E27" t="s">
        <v>957</v>
      </c>
      <c r="F27" t="s">
        <v>8237</v>
      </c>
      <c r="G27" s="356">
        <v>45503</v>
      </c>
      <c r="H27" s="356">
        <v>46142</v>
      </c>
      <c r="J27" s="357">
        <f>1100</f>
        <v>1100</v>
      </c>
      <c r="K27" s="357">
        <v>2200</v>
      </c>
      <c r="L27">
        <v>1</v>
      </c>
      <c r="N27">
        <v>4</v>
      </c>
      <c r="O27" t="s">
        <v>960</v>
      </c>
      <c r="P27" t="s">
        <v>702</v>
      </c>
    </row>
    <row r="28" spans="1:17">
      <c r="A28" t="s">
        <v>30</v>
      </c>
      <c r="B28" t="s">
        <v>626</v>
      </c>
      <c r="C28" t="s">
        <v>2792</v>
      </c>
      <c r="E28">
        <v>34622279691</v>
      </c>
      <c r="F28" s="30" t="s">
        <v>8238</v>
      </c>
      <c r="G28" s="356"/>
      <c r="H28" s="356"/>
      <c r="J28" s="357">
        <v>380</v>
      </c>
      <c r="K28" s="357">
        <v>380</v>
      </c>
      <c r="L28">
        <v>1</v>
      </c>
      <c r="O28" t="s">
        <v>8239</v>
      </c>
      <c r="P28" t="s">
        <v>702</v>
      </c>
    </row>
    <row r="29" spans="1:17">
      <c r="A29" t="s">
        <v>749</v>
      </c>
      <c r="B29" t="s">
        <v>288</v>
      </c>
      <c r="C29" t="s">
        <v>976</v>
      </c>
      <c r="E29" t="s">
        <v>156</v>
      </c>
      <c r="G29" s="356"/>
      <c r="H29" s="356"/>
      <c r="J29" s="357">
        <v>400</v>
      </c>
      <c r="K29" s="357"/>
      <c r="L29">
        <v>1</v>
      </c>
      <c r="P29" s="30" t="s">
        <v>36</v>
      </c>
    </row>
    <row r="30" spans="1:17">
      <c r="A30" t="s">
        <v>30</v>
      </c>
      <c r="B30" t="s">
        <v>31</v>
      </c>
      <c r="C30" t="s">
        <v>1004</v>
      </c>
      <c r="E30" s="30" t="s">
        <v>1005</v>
      </c>
      <c r="F30" s="30" t="s">
        <v>8240</v>
      </c>
      <c r="G30" s="356">
        <v>45526</v>
      </c>
      <c r="H30" s="356">
        <v>45901</v>
      </c>
      <c r="J30" s="357">
        <v>1600</v>
      </c>
      <c r="K30" s="357">
        <v>1600</v>
      </c>
      <c r="L30">
        <v>1</v>
      </c>
      <c r="N30">
        <v>5</v>
      </c>
      <c r="O30" t="s">
        <v>8241</v>
      </c>
      <c r="P30" t="s">
        <v>702</v>
      </c>
    </row>
    <row r="31" spans="1:17">
      <c r="A31" t="s">
        <v>30</v>
      </c>
      <c r="B31" t="s">
        <v>415</v>
      </c>
      <c r="C31" t="s">
        <v>487</v>
      </c>
      <c r="E31" t="s">
        <v>488</v>
      </c>
      <c r="F31" t="s">
        <v>8242</v>
      </c>
      <c r="G31" s="356">
        <v>45420</v>
      </c>
      <c r="H31" s="356">
        <v>45450</v>
      </c>
      <c r="J31" s="357">
        <v>2300</v>
      </c>
      <c r="K31" s="357">
        <v>700</v>
      </c>
      <c r="L31">
        <v>1</v>
      </c>
      <c r="N31">
        <v>9</v>
      </c>
      <c r="O31" t="s">
        <v>8243</v>
      </c>
      <c r="P31" t="s">
        <v>702</v>
      </c>
    </row>
    <row r="32" spans="1:17">
      <c r="A32" t="s">
        <v>30</v>
      </c>
      <c r="B32" t="s">
        <v>502</v>
      </c>
      <c r="C32" t="s">
        <v>503</v>
      </c>
      <c r="E32" t="s">
        <v>504</v>
      </c>
      <c r="F32" t="s">
        <v>8244</v>
      </c>
      <c r="G32" s="356">
        <v>45499</v>
      </c>
      <c r="H32" s="356">
        <v>45747</v>
      </c>
      <c r="J32" s="357">
        <v>1200</v>
      </c>
      <c r="K32" s="357">
        <v>1200</v>
      </c>
      <c r="L32">
        <v>1</v>
      </c>
      <c r="N32">
        <v>4</v>
      </c>
      <c r="O32" t="s">
        <v>8245</v>
      </c>
      <c r="P32" t="s">
        <v>702</v>
      </c>
    </row>
    <row r="33" spans="1:17">
      <c r="A33" s="70" t="s">
        <v>30</v>
      </c>
      <c r="B33" s="70" t="s">
        <v>31</v>
      </c>
      <c r="C33" s="70" t="s">
        <v>8246</v>
      </c>
      <c r="D33" s="70"/>
      <c r="E33" s="251" t="s">
        <v>8247</v>
      </c>
      <c r="F33" s="70"/>
      <c r="G33" s="359">
        <v>45530</v>
      </c>
      <c r="H33" s="359"/>
      <c r="I33" s="70"/>
      <c r="J33" s="360">
        <v>400</v>
      </c>
      <c r="K33" s="360">
        <v>300</v>
      </c>
      <c r="L33" s="70">
        <v>1</v>
      </c>
      <c r="M33" s="70"/>
      <c r="N33" s="70"/>
      <c r="O33" s="70"/>
      <c r="P33" s="70" t="s">
        <v>702</v>
      </c>
      <c r="Q33" s="70"/>
    </row>
    <row r="34" spans="1:17">
      <c r="A34" t="s">
        <v>749</v>
      </c>
      <c r="B34" t="s">
        <v>288</v>
      </c>
      <c r="C34" t="s">
        <v>8248</v>
      </c>
      <c r="E34" t="s">
        <v>156</v>
      </c>
      <c r="G34" s="356"/>
      <c r="H34" s="356"/>
      <c r="J34" s="357">
        <v>417.95</v>
      </c>
      <c r="K34" s="357"/>
      <c r="L34">
        <v>1</v>
      </c>
      <c r="P34" s="30" t="s">
        <v>36</v>
      </c>
    </row>
    <row r="35" spans="1:17">
      <c r="A35" t="s">
        <v>749</v>
      </c>
      <c r="B35" t="s">
        <v>288</v>
      </c>
      <c r="C35" t="s">
        <v>2621</v>
      </c>
      <c r="E35" t="s">
        <v>156</v>
      </c>
      <c r="G35" s="356"/>
      <c r="H35" s="356"/>
      <c r="J35" s="357"/>
      <c r="K35" s="357"/>
      <c r="L35">
        <v>1</v>
      </c>
      <c r="O35" t="s">
        <v>2841</v>
      </c>
      <c r="P35" s="30" t="s">
        <v>36</v>
      </c>
    </row>
    <row r="36" spans="1:17">
      <c r="A36" t="s">
        <v>30</v>
      </c>
      <c r="B36" t="s">
        <v>31</v>
      </c>
      <c r="C36" t="s">
        <v>2498</v>
      </c>
      <c r="E36" t="s">
        <v>2499</v>
      </c>
      <c r="F36" s="30" t="s">
        <v>8249</v>
      </c>
      <c r="G36" s="356">
        <v>45536</v>
      </c>
      <c r="H36" s="356"/>
      <c r="J36" s="357">
        <v>400</v>
      </c>
      <c r="K36" s="357"/>
      <c r="L36">
        <v>1</v>
      </c>
      <c r="N36">
        <v>1</v>
      </c>
      <c r="P36" t="s">
        <v>702</v>
      </c>
    </row>
    <row r="37" spans="1:17">
      <c r="A37" t="s">
        <v>30</v>
      </c>
      <c r="B37" t="s">
        <v>538</v>
      </c>
      <c r="C37" s="11" t="s">
        <v>539</v>
      </c>
      <c r="D37" s="179"/>
      <c r="E37" t="s">
        <v>540</v>
      </c>
      <c r="F37" s="355" t="s">
        <v>8250</v>
      </c>
      <c r="G37" s="356">
        <v>45717</v>
      </c>
      <c r="H37" s="356">
        <v>45798</v>
      </c>
      <c r="J37" s="357">
        <v>810</v>
      </c>
      <c r="K37" s="357">
        <v>900</v>
      </c>
      <c r="L37">
        <v>1</v>
      </c>
      <c r="P37" s="30" t="s">
        <v>702</v>
      </c>
    </row>
    <row r="38" spans="1:17">
      <c r="A38" t="s">
        <v>30</v>
      </c>
      <c r="B38" t="s">
        <v>790</v>
      </c>
      <c r="C38" t="s">
        <v>791</v>
      </c>
      <c r="D38" s="30" t="s">
        <v>8251</v>
      </c>
      <c r="E38" t="s">
        <v>8252</v>
      </c>
      <c r="F38" s="30" t="s">
        <v>8253</v>
      </c>
      <c r="G38" s="356">
        <v>2023</v>
      </c>
      <c r="H38" s="356"/>
      <c r="J38" s="357">
        <v>250</v>
      </c>
      <c r="K38" s="357"/>
      <c r="L38">
        <v>10</v>
      </c>
      <c r="P38" t="s">
        <v>702</v>
      </c>
    </row>
    <row r="39" spans="1:17">
      <c r="A39" t="s">
        <v>30</v>
      </c>
      <c r="B39" t="s">
        <v>790</v>
      </c>
      <c r="C39" t="s">
        <v>791</v>
      </c>
      <c r="E39" s="30" t="s">
        <v>1108</v>
      </c>
      <c r="F39" s="30" t="s">
        <v>8254</v>
      </c>
      <c r="G39" s="356"/>
      <c r="H39" s="356"/>
      <c r="J39" s="357">
        <v>250</v>
      </c>
      <c r="K39" s="357"/>
      <c r="L39">
        <v>10</v>
      </c>
      <c r="P39" s="30" t="s">
        <v>36</v>
      </c>
    </row>
    <row r="40" spans="1:17">
      <c r="A40" t="s">
        <v>30</v>
      </c>
      <c r="B40" t="s">
        <v>245</v>
      </c>
      <c r="C40" t="s">
        <v>1013</v>
      </c>
      <c r="E40" t="s">
        <v>1014</v>
      </c>
      <c r="G40" s="356"/>
      <c r="H40" s="356"/>
      <c r="J40" s="357">
        <v>340</v>
      </c>
      <c r="K40" s="357">
        <v>280</v>
      </c>
      <c r="L40">
        <v>1</v>
      </c>
      <c r="P40" s="30" t="s">
        <v>36</v>
      </c>
    </row>
    <row r="41" spans="1:17">
      <c r="A41" t="s">
        <v>30</v>
      </c>
      <c r="B41" t="s">
        <v>720</v>
      </c>
      <c r="C41" t="s">
        <v>721</v>
      </c>
      <c r="E41" t="s">
        <v>722</v>
      </c>
      <c r="F41" s="30"/>
      <c r="G41" s="356"/>
      <c r="H41" s="356"/>
      <c r="J41" s="357">
        <v>1000</v>
      </c>
      <c r="K41" s="357">
        <v>250</v>
      </c>
      <c r="L41">
        <v>1</v>
      </c>
      <c r="O41" t="s">
        <v>8255</v>
      </c>
      <c r="P41" s="30" t="s">
        <v>36</v>
      </c>
    </row>
    <row r="42" spans="1:17">
      <c r="A42" t="s">
        <v>30</v>
      </c>
      <c r="B42" t="s">
        <v>31</v>
      </c>
      <c r="C42" s="30" t="s">
        <v>715</v>
      </c>
      <c r="E42" t="s">
        <v>8044</v>
      </c>
      <c r="G42" s="356"/>
      <c r="H42" s="356"/>
      <c r="J42" s="357">
        <v>1643.2</v>
      </c>
      <c r="K42" s="357">
        <v>3200</v>
      </c>
      <c r="L42">
        <v>1</v>
      </c>
      <c r="N42">
        <v>10</v>
      </c>
      <c r="O42" t="s">
        <v>1553</v>
      </c>
      <c r="P42" t="s">
        <v>702</v>
      </c>
    </row>
    <row r="43" spans="1:17">
      <c r="A43" t="s">
        <v>30</v>
      </c>
      <c r="B43" t="s">
        <v>127</v>
      </c>
      <c r="C43" t="s">
        <v>865</v>
      </c>
      <c r="E43" t="s">
        <v>866</v>
      </c>
      <c r="F43" t="s">
        <v>8256</v>
      </c>
      <c r="G43" s="356">
        <v>45522</v>
      </c>
      <c r="H43" s="356">
        <v>45657</v>
      </c>
      <c r="J43" s="357">
        <v>700</v>
      </c>
      <c r="K43" s="357">
        <v>700</v>
      </c>
      <c r="L43">
        <v>1</v>
      </c>
      <c r="N43">
        <v>2</v>
      </c>
      <c r="P43" t="s">
        <v>702</v>
      </c>
    </row>
    <row r="44" spans="1:17">
      <c r="A44" t="s">
        <v>30</v>
      </c>
      <c r="B44" t="s">
        <v>985</v>
      </c>
      <c r="C44" s="30" t="s">
        <v>1607</v>
      </c>
      <c r="D44" s="30"/>
      <c r="E44" t="s">
        <v>1127</v>
      </c>
      <c r="F44" s="30" t="s">
        <v>8257</v>
      </c>
      <c r="G44" s="356">
        <v>45538</v>
      </c>
      <c r="H44" s="356">
        <v>45626</v>
      </c>
      <c r="J44" s="357">
        <v>850</v>
      </c>
      <c r="K44" s="357">
        <v>850</v>
      </c>
      <c r="L44">
        <v>1</v>
      </c>
      <c r="O44" t="s">
        <v>8258</v>
      </c>
      <c r="P44" t="s">
        <v>702</v>
      </c>
    </row>
    <row r="45" spans="1:17">
      <c r="A45" s="70" t="s">
        <v>30</v>
      </c>
      <c r="B45" s="70" t="s">
        <v>127</v>
      </c>
      <c r="C45" s="70" t="s">
        <v>544</v>
      </c>
      <c r="D45" s="70"/>
      <c r="E45" s="70" t="s">
        <v>545</v>
      </c>
      <c r="F45" s="70" t="s">
        <v>8259</v>
      </c>
      <c r="G45" s="359">
        <v>45505</v>
      </c>
      <c r="H45" s="359">
        <v>45565</v>
      </c>
      <c r="I45" s="70"/>
      <c r="J45" s="360">
        <v>350</v>
      </c>
      <c r="K45" s="360">
        <f>300+600</f>
        <v>900</v>
      </c>
      <c r="L45" s="70">
        <v>2</v>
      </c>
      <c r="M45" s="70"/>
      <c r="N45" s="70"/>
      <c r="O45" s="70" t="s">
        <v>8260</v>
      </c>
      <c r="P45" s="70" t="s">
        <v>36</v>
      </c>
      <c r="Q45" s="70"/>
    </row>
    <row r="46" spans="1:17">
      <c r="A46" s="70" t="s">
        <v>30</v>
      </c>
      <c r="B46" s="70" t="s">
        <v>31</v>
      </c>
      <c r="C46" s="70" t="s">
        <v>178</v>
      </c>
      <c r="D46" s="70"/>
      <c r="E46" s="70" t="s">
        <v>179</v>
      </c>
      <c r="F46" s="70"/>
      <c r="G46" s="359"/>
      <c r="H46" s="359"/>
      <c r="I46" s="70"/>
      <c r="J46" s="360">
        <v>300</v>
      </c>
      <c r="K46" s="360">
        <v>300</v>
      </c>
      <c r="L46" s="70">
        <v>3</v>
      </c>
      <c r="M46" s="70"/>
      <c r="N46" s="70"/>
      <c r="O46" s="70" t="s">
        <v>182</v>
      </c>
      <c r="P46" s="251" t="s">
        <v>36</v>
      </c>
      <c r="Q46" s="70"/>
    </row>
    <row r="47" spans="1:17">
      <c r="A47" t="s">
        <v>78</v>
      </c>
      <c r="B47" t="s">
        <v>266</v>
      </c>
      <c r="C47" t="s">
        <v>962</v>
      </c>
      <c r="E47" t="s">
        <v>963</v>
      </c>
      <c r="F47" s="30" t="s">
        <v>8261</v>
      </c>
      <c r="G47" s="356">
        <v>45478</v>
      </c>
      <c r="H47" s="356"/>
      <c r="J47" s="357">
        <v>1180</v>
      </c>
      <c r="K47" s="357"/>
      <c r="L47">
        <v>1</v>
      </c>
      <c r="M47" s="30" t="s">
        <v>35</v>
      </c>
      <c r="N47">
        <v>2</v>
      </c>
      <c r="P47" t="s">
        <v>702</v>
      </c>
    </row>
    <row r="48" spans="1:17">
      <c r="A48" s="70" t="s">
        <v>30</v>
      </c>
      <c r="B48" s="70" t="s">
        <v>31</v>
      </c>
      <c r="C48" s="251" t="s">
        <v>3445</v>
      </c>
      <c r="D48" s="251"/>
      <c r="E48" s="70" t="s">
        <v>3446</v>
      </c>
      <c r="F48" s="251" t="s">
        <v>8262</v>
      </c>
      <c r="G48" s="359">
        <v>45478</v>
      </c>
      <c r="H48" s="359">
        <v>45631</v>
      </c>
      <c r="I48" s="70"/>
      <c r="J48" s="360">
        <v>380</v>
      </c>
      <c r="K48" s="360">
        <v>380</v>
      </c>
      <c r="L48" s="70">
        <v>4</v>
      </c>
      <c r="M48" s="70"/>
      <c r="N48" s="70"/>
      <c r="O48" s="70" t="s">
        <v>8263</v>
      </c>
      <c r="P48" s="251" t="s">
        <v>36</v>
      </c>
      <c r="Q48" s="70"/>
    </row>
    <row r="49" spans="1:17">
      <c r="A49" t="s">
        <v>30</v>
      </c>
      <c r="B49" t="s">
        <v>213</v>
      </c>
      <c r="C49" t="s">
        <v>871</v>
      </c>
      <c r="E49" t="s">
        <v>872</v>
      </c>
      <c r="G49" s="356"/>
      <c r="H49" s="356"/>
      <c r="J49" s="357">
        <v>903.2</v>
      </c>
      <c r="K49" s="357"/>
      <c r="L49">
        <v>4</v>
      </c>
      <c r="O49" t="s">
        <v>8264</v>
      </c>
      <c r="P49" t="s">
        <v>702</v>
      </c>
    </row>
    <row r="50" spans="1:17">
      <c r="A50" t="s">
        <v>30</v>
      </c>
      <c r="B50" t="s">
        <v>415</v>
      </c>
      <c r="C50" s="355" t="s">
        <v>8265</v>
      </c>
      <c r="D50" s="355"/>
      <c r="E50" t="s">
        <v>798</v>
      </c>
      <c r="F50" s="30" t="s">
        <v>8266</v>
      </c>
      <c r="G50" s="356">
        <v>45580</v>
      </c>
      <c r="H50" s="356">
        <v>45611</v>
      </c>
      <c r="I50" s="30" t="s">
        <v>8215</v>
      </c>
      <c r="J50" s="357">
        <v>400</v>
      </c>
      <c r="K50" s="357">
        <v>400</v>
      </c>
      <c r="L50">
        <v>15</v>
      </c>
      <c r="N50">
        <v>1</v>
      </c>
      <c r="O50" t="s">
        <v>8267</v>
      </c>
      <c r="P50" s="30" t="s">
        <v>702</v>
      </c>
    </row>
    <row r="51" spans="1:17">
      <c r="A51" s="30" t="s">
        <v>30</v>
      </c>
      <c r="B51" s="30" t="s">
        <v>422</v>
      </c>
      <c r="C51" s="30" t="s">
        <v>697</v>
      </c>
      <c r="D51" s="30"/>
      <c r="E51" s="30" t="s">
        <v>8268</v>
      </c>
      <c r="F51" s="30" t="s">
        <v>8269</v>
      </c>
      <c r="G51" s="358">
        <v>45512</v>
      </c>
      <c r="H51" s="361" t="s">
        <v>8270</v>
      </c>
      <c r="I51" s="30"/>
      <c r="J51" s="362">
        <v>1380</v>
      </c>
      <c r="K51" s="362">
        <v>2760</v>
      </c>
      <c r="L51" s="30">
        <v>5</v>
      </c>
      <c r="M51" s="30"/>
      <c r="N51" s="30">
        <v>4</v>
      </c>
      <c r="O51" s="30" t="s">
        <v>8271</v>
      </c>
      <c r="P51" s="30" t="s">
        <v>702</v>
      </c>
      <c r="Q51" s="30"/>
    </row>
    <row r="52" spans="1:17">
      <c r="A52" t="s">
        <v>30</v>
      </c>
      <c r="B52" t="s">
        <v>380</v>
      </c>
      <c r="C52" t="s">
        <v>383</v>
      </c>
      <c r="E52" t="s">
        <v>381</v>
      </c>
      <c r="F52" s="355" t="s">
        <v>8272</v>
      </c>
      <c r="G52" s="356">
        <v>45485</v>
      </c>
      <c r="H52" s="356"/>
      <c r="I52" t="s">
        <v>8273</v>
      </c>
      <c r="J52" s="357">
        <v>900</v>
      </c>
      <c r="K52" s="357">
        <v>1800</v>
      </c>
      <c r="L52">
        <v>5</v>
      </c>
      <c r="N52">
        <v>3</v>
      </c>
      <c r="O52" t="s">
        <v>8274</v>
      </c>
      <c r="P52" t="s">
        <v>702</v>
      </c>
    </row>
    <row r="53" spans="1:17">
      <c r="A53" t="s">
        <v>30</v>
      </c>
      <c r="B53" t="s">
        <v>8275</v>
      </c>
      <c r="C53" t="s">
        <v>3473</v>
      </c>
      <c r="E53" t="s">
        <v>3474</v>
      </c>
      <c r="F53" t="s">
        <v>8276</v>
      </c>
      <c r="G53" s="356">
        <v>45352</v>
      </c>
      <c r="H53" s="356">
        <v>45536</v>
      </c>
      <c r="J53" s="357">
        <v>370</v>
      </c>
      <c r="K53" s="357">
        <v>370</v>
      </c>
      <c r="L53">
        <v>5</v>
      </c>
      <c r="P53" s="30" t="s">
        <v>36</v>
      </c>
    </row>
    <row r="54" spans="1:17">
      <c r="A54" t="s">
        <v>30</v>
      </c>
      <c r="B54" t="s">
        <v>626</v>
      </c>
      <c r="C54" t="s">
        <v>1037</v>
      </c>
      <c r="E54" s="49" t="s">
        <v>1038</v>
      </c>
      <c r="G54" s="356"/>
      <c r="H54" s="356"/>
      <c r="J54" s="357">
        <v>1300</v>
      </c>
      <c r="K54" s="357">
        <v>200</v>
      </c>
      <c r="L54">
        <v>5</v>
      </c>
      <c r="N54">
        <v>3</v>
      </c>
      <c r="P54" t="s">
        <v>702</v>
      </c>
    </row>
    <row r="55" spans="1:17">
      <c r="A55" t="s">
        <v>30</v>
      </c>
      <c r="B55" t="s">
        <v>608</v>
      </c>
      <c r="C55" t="s">
        <v>8277</v>
      </c>
      <c r="E55" t="s">
        <v>1919</v>
      </c>
      <c r="F55" s="30" t="s">
        <v>8278</v>
      </c>
      <c r="G55" s="356">
        <v>45440</v>
      </c>
      <c r="H55" s="356">
        <v>45563</v>
      </c>
      <c r="J55" s="357">
        <v>900</v>
      </c>
      <c r="K55" s="357">
        <v>900</v>
      </c>
      <c r="L55">
        <v>5</v>
      </c>
      <c r="N55">
        <v>3</v>
      </c>
      <c r="P55" t="s">
        <v>702</v>
      </c>
    </row>
    <row r="56" spans="1:17">
      <c r="A56" t="s">
        <v>30</v>
      </c>
      <c r="B56" t="s">
        <v>259</v>
      </c>
      <c r="C56" s="30" t="s">
        <v>7283</v>
      </c>
      <c r="D56" s="30"/>
      <c r="E56" t="s">
        <v>7282</v>
      </c>
      <c r="F56" s="30" t="s">
        <v>8279</v>
      </c>
      <c r="G56" s="356">
        <v>45420</v>
      </c>
      <c r="H56" s="356">
        <v>45574</v>
      </c>
      <c r="J56" s="357">
        <v>1300</v>
      </c>
      <c r="K56" s="357">
        <v>300</v>
      </c>
      <c r="L56">
        <v>5</v>
      </c>
      <c r="O56" t="s">
        <v>8280</v>
      </c>
      <c r="P56" s="30" t="s">
        <v>36</v>
      </c>
    </row>
    <row r="57" spans="1:17">
      <c r="A57" t="s">
        <v>30</v>
      </c>
      <c r="B57" t="s">
        <v>259</v>
      </c>
      <c r="C57" s="30" t="s">
        <v>7283</v>
      </c>
      <c r="D57" s="30"/>
      <c r="E57" t="s">
        <v>7282</v>
      </c>
      <c r="F57" s="30" t="s">
        <v>8281</v>
      </c>
      <c r="G57" s="356">
        <v>45420</v>
      </c>
      <c r="H57" s="356">
        <v>45574</v>
      </c>
      <c r="J57" s="357">
        <v>1300</v>
      </c>
      <c r="K57" s="357">
        <v>300</v>
      </c>
      <c r="P57" s="30" t="s">
        <v>36</v>
      </c>
    </row>
    <row r="58" spans="1:17">
      <c r="A58" t="s">
        <v>30</v>
      </c>
      <c r="B58" t="s">
        <v>127</v>
      </c>
      <c r="C58" t="s">
        <v>682</v>
      </c>
      <c r="E58" t="s">
        <v>683</v>
      </c>
      <c r="G58" s="356"/>
      <c r="H58" s="356"/>
      <c r="J58" s="357">
        <v>2200</v>
      </c>
      <c r="K58" s="357">
        <v>650</v>
      </c>
      <c r="L58">
        <v>5</v>
      </c>
      <c r="O58" t="s">
        <v>685</v>
      </c>
      <c r="P58" s="30" t="s">
        <v>36</v>
      </c>
    </row>
    <row r="59" spans="1:17">
      <c r="A59" t="s">
        <v>30</v>
      </c>
      <c r="B59" t="s">
        <v>31</v>
      </c>
      <c r="C59" s="30" t="s">
        <v>409</v>
      </c>
      <c r="D59" s="30"/>
      <c r="E59" t="s">
        <v>410</v>
      </c>
      <c r="F59" s="30" t="s">
        <v>8282</v>
      </c>
      <c r="G59" s="356">
        <v>45446</v>
      </c>
      <c r="H59" s="356"/>
      <c r="J59" s="357">
        <v>350</v>
      </c>
      <c r="K59" s="357">
        <v>350</v>
      </c>
      <c r="L59">
        <v>5</v>
      </c>
      <c r="P59" t="s">
        <v>702</v>
      </c>
    </row>
    <row r="60" spans="1:17">
      <c r="A60" t="s">
        <v>30</v>
      </c>
      <c r="B60" t="s">
        <v>259</v>
      </c>
      <c r="C60" t="s">
        <v>260</v>
      </c>
      <c r="E60" t="s">
        <v>261</v>
      </c>
      <c r="F60" s="30" t="s">
        <v>8283</v>
      </c>
      <c r="G60" s="356"/>
      <c r="H60" s="356"/>
      <c r="J60" s="357">
        <v>450</v>
      </c>
      <c r="K60" s="357"/>
      <c r="L60">
        <v>5</v>
      </c>
      <c r="P60" t="s">
        <v>702</v>
      </c>
    </row>
    <row r="61" spans="1:17">
      <c r="A61" s="70" t="s">
        <v>30</v>
      </c>
      <c r="B61" s="70" t="s">
        <v>380</v>
      </c>
      <c r="C61" s="70" t="s">
        <v>623</v>
      </c>
      <c r="D61" s="70"/>
      <c r="E61" s="70" t="s">
        <v>622</v>
      </c>
      <c r="F61" s="70"/>
      <c r="G61" s="359">
        <v>45478</v>
      </c>
      <c r="H61" s="359"/>
      <c r="I61" s="70" t="s">
        <v>8273</v>
      </c>
      <c r="J61" s="360">
        <v>1200</v>
      </c>
      <c r="K61" s="360">
        <v>2400</v>
      </c>
      <c r="L61" s="70">
        <v>5</v>
      </c>
      <c r="M61" s="70"/>
      <c r="N61" s="70"/>
      <c r="O61" s="70" t="s">
        <v>3060</v>
      </c>
      <c r="P61" s="251" t="s">
        <v>36</v>
      </c>
      <c r="Q61" s="70"/>
    </row>
    <row r="62" spans="1:17">
      <c r="A62" s="70" t="s">
        <v>30</v>
      </c>
      <c r="B62" s="70" t="s">
        <v>3533</v>
      </c>
      <c r="C62" s="70" t="s">
        <v>3534</v>
      </c>
      <c r="D62" s="70"/>
      <c r="E62" s="70" t="s">
        <v>3535</v>
      </c>
      <c r="F62" s="70"/>
      <c r="G62" s="359"/>
      <c r="H62" s="359"/>
      <c r="I62" s="70"/>
      <c r="J62" s="360">
        <v>700</v>
      </c>
      <c r="K62" s="360">
        <v>700</v>
      </c>
      <c r="L62" s="70">
        <v>5</v>
      </c>
      <c r="M62" s="70"/>
      <c r="N62" s="70"/>
      <c r="O62" s="70"/>
      <c r="P62" s="251" t="s">
        <v>36</v>
      </c>
      <c r="Q62" s="70"/>
    </row>
    <row r="63" spans="1:17">
      <c r="A63" t="s">
        <v>30</v>
      </c>
      <c r="B63" t="s">
        <v>55</v>
      </c>
      <c r="C63" s="30" t="s">
        <v>231</v>
      </c>
      <c r="D63" s="30"/>
      <c r="E63" t="s">
        <v>106</v>
      </c>
      <c r="F63" t="s">
        <v>8284</v>
      </c>
      <c r="G63" s="356">
        <v>45351</v>
      </c>
      <c r="H63" s="356">
        <v>45563</v>
      </c>
      <c r="J63" s="357">
        <v>1500</v>
      </c>
      <c r="K63" s="357">
        <v>600</v>
      </c>
      <c r="L63">
        <v>6</v>
      </c>
      <c r="N63">
        <v>3</v>
      </c>
      <c r="P63" t="s">
        <v>36</v>
      </c>
    </row>
    <row r="64" spans="1:17">
      <c r="A64" t="s">
        <v>30</v>
      </c>
      <c r="B64" t="s">
        <v>151</v>
      </c>
      <c r="C64" t="s">
        <v>1499</v>
      </c>
      <c r="E64" t="s">
        <v>8285</v>
      </c>
      <c r="G64" s="356"/>
      <c r="H64" s="356"/>
      <c r="J64" s="357">
        <v>350</v>
      </c>
      <c r="K64" s="357">
        <v>350</v>
      </c>
      <c r="L64">
        <v>7</v>
      </c>
      <c r="O64" t="s">
        <v>8286</v>
      </c>
      <c r="P64" t="s">
        <v>702</v>
      </c>
    </row>
    <row r="65" spans="1:17">
      <c r="A65" t="s">
        <v>30</v>
      </c>
      <c r="B65" t="s">
        <v>31</v>
      </c>
      <c r="C65" t="s">
        <v>832</v>
      </c>
      <c r="E65" t="s">
        <v>833</v>
      </c>
      <c r="G65" s="356"/>
      <c r="H65" s="356"/>
      <c r="J65" s="357">
        <v>450</v>
      </c>
      <c r="K65" s="357"/>
      <c r="L65">
        <v>8</v>
      </c>
      <c r="O65" t="s">
        <v>836</v>
      </c>
      <c r="P65" t="s">
        <v>36</v>
      </c>
    </row>
    <row r="66" spans="1:17">
      <c r="A66" t="s">
        <v>30</v>
      </c>
      <c r="B66" t="s">
        <v>31</v>
      </c>
      <c r="C66" t="s">
        <v>1305</v>
      </c>
      <c r="E66" t="s">
        <v>1306</v>
      </c>
      <c r="F66" s="30" t="s">
        <v>8287</v>
      </c>
      <c r="G66" s="356"/>
      <c r="H66" s="356"/>
      <c r="J66" s="357">
        <v>400</v>
      </c>
      <c r="K66" s="357">
        <v>200</v>
      </c>
      <c r="L66">
        <v>8</v>
      </c>
      <c r="O66" t="s">
        <v>836</v>
      </c>
      <c r="P66" t="s">
        <v>702</v>
      </c>
    </row>
    <row r="67" spans="1:17">
      <c r="A67" t="s">
        <v>30</v>
      </c>
      <c r="B67" s="29" t="s">
        <v>87</v>
      </c>
      <c r="C67" t="s">
        <v>567</v>
      </c>
      <c r="E67" t="s">
        <v>947</v>
      </c>
      <c r="G67" s="356"/>
      <c r="H67" s="356"/>
      <c r="J67" s="357">
        <v>1300</v>
      </c>
      <c r="K67" s="357"/>
      <c r="L67">
        <v>5</v>
      </c>
      <c r="N67">
        <v>4</v>
      </c>
      <c r="O67" t="s">
        <v>8288</v>
      </c>
      <c r="P67" t="s">
        <v>702</v>
      </c>
    </row>
    <row r="68" spans="1:17">
      <c r="A68" t="s">
        <v>30</v>
      </c>
      <c r="B68" t="s">
        <v>151</v>
      </c>
      <c r="C68" t="s">
        <v>706</v>
      </c>
      <c r="E68" t="s">
        <v>707</v>
      </c>
      <c r="F68" s="30"/>
      <c r="G68" s="356"/>
      <c r="H68" s="356"/>
      <c r="J68" s="357">
        <v>290</v>
      </c>
      <c r="K68" s="357"/>
      <c r="L68">
        <v>10</v>
      </c>
      <c r="P68" s="30" t="s">
        <v>36</v>
      </c>
    </row>
    <row r="69" spans="1:17">
      <c r="A69" t="s">
        <v>30</v>
      </c>
      <c r="B69" t="s">
        <v>648</v>
      </c>
      <c r="C69" s="30" t="s">
        <v>1386</v>
      </c>
      <c r="D69" s="30"/>
      <c r="E69" t="s">
        <v>1387</v>
      </c>
      <c r="F69" s="30" t="s">
        <v>8289</v>
      </c>
      <c r="G69" s="356">
        <v>45454</v>
      </c>
      <c r="H69" s="356">
        <v>45515</v>
      </c>
      <c r="J69" s="357">
        <v>500</v>
      </c>
      <c r="K69" s="357">
        <v>500</v>
      </c>
      <c r="L69">
        <v>10</v>
      </c>
      <c r="N69">
        <v>2</v>
      </c>
      <c r="P69" t="s">
        <v>702</v>
      </c>
    </row>
    <row r="70" spans="1:17">
      <c r="A70" t="s">
        <v>749</v>
      </c>
      <c r="B70" t="s">
        <v>288</v>
      </c>
      <c r="C70" t="s">
        <v>750</v>
      </c>
      <c r="E70" t="s">
        <v>156</v>
      </c>
      <c r="F70" t="s">
        <v>8290</v>
      </c>
      <c r="G70" s="356"/>
      <c r="H70" s="356"/>
      <c r="J70" s="357">
        <v>520</v>
      </c>
      <c r="K70" s="357"/>
      <c r="L70">
        <v>10</v>
      </c>
      <c r="P70" s="30" t="s">
        <v>36</v>
      </c>
    </row>
    <row r="71" spans="1:17">
      <c r="A71" t="s">
        <v>30</v>
      </c>
      <c r="B71" t="s">
        <v>92</v>
      </c>
      <c r="C71" t="s">
        <v>2958</v>
      </c>
      <c r="E71" t="s">
        <v>94</v>
      </c>
      <c r="G71" s="356"/>
      <c r="H71" s="356"/>
      <c r="J71" s="357">
        <v>1300</v>
      </c>
      <c r="K71" s="357"/>
      <c r="L71">
        <v>11</v>
      </c>
      <c r="P71" t="s">
        <v>36</v>
      </c>
    </row>
    <row r="72" spans="1:17">
      <c r="A72" t="s">
        <v>30</v>
      </c>
      <c r="B72" t="s">
        <v>92</v>
      </c>
      <c r="C72" t="s">
        <v>93</v>
      </c>
      <c r="E72" t="s">
        <v>94</v>
      </c>
      <c r="G72" s="356"/>
      <c r="H72" s="356"/>
      <c r="J72" s="357">
        <v>2500</v>
      </c>
      <c r="K72" s="357"/>
      <c r="L72">
        <v>11</v>
      </c>
      <c r="P72" t="s">
        <v>36</v>
      </c>
    </row>
    <row r="73" spans="1:17">
      <c r="A73" t="s">
        <v>30</v>
      </c>
      <c r="B73" t="s">
        <v>608</v>
      </c>
      <c r="C73" t="s">
        <v>609</v>
      </c>
      <c r="E73" t="s">
        <v>610</v>
      </c>
      <c r="F73" s="30" t="s">
        <v>8291</v>
      </c>
      <c r="G73" s="356">
        <v>45517</v>
      </c>
      <c r="H73" s="356">
        <v>45609</v>
      </c>
      <c r="J73" s="357">
        <v>1040</v>
      </c>
      <c r="K73" s="357">
        <v>1560</v>
      </c>
      <c r="L73">
        <v>12</v>
      </c>
      <c r="O73" t="s">
        <v>8292</v>
      </c>
      <c r="P73" t="s">
        <v>702</v>
      </c>
    </row>
    <row r="74" spans="1:17">
      <c r="A74" t="s">
        <v>30</v>
      </c>
      <c r="B74" t="s">
        <v>370</v>
      </c>
      <c r="C74" t="s">
        <v>2123</v>
      </c>
      <c r="E74" t="s">
        <v>2124</v>
      </c>
      <c r="F74" s="30" t="s">
        <v>8293</v>
      </c>
      <c r="G74" s="356">
        <v>45534</v>
      </c>
      <c r="H74" s="356">
        <v>45627</v>
      </c>
      <c r="J74" s="357">
        <v>1500</v>
      </c>
      <c r="K74" s="357">
        <v>1500</v>
      </c>
      <c r="L74">
        <v>13</v>
      </c>
      <c r="N74">
        <v>4</v>
      </c>
      <c r="O74" t="s">
        <v>8294</v>
      </c>
      <c r="P74" t="s">
        <v>702</v>
      </c>
    </row>
    <row r="75" spans="1:17">
      <c r="A75" t="s">
        <v>30</v>
      </c>
      <c r="B75" t="s">
        <v>253</v>
      </c>
      <c r="C75" s="30" t="s">
        <v>1688</v>
      </c>
      <c r="D75" s="30"/>
      <c r="E75" s="30" t="s">
        <v>8295</v>
      </c>
      <c r="F75" s="363" t="s">
        <v>8296</v>
      </c>
      <c r="G75" s="356"/>
      <c r="H75" s="356"/>
      <c r="J75" s="357">
        <v>480</v>
      </c>
      <c r="K75" s="357"/>
      <c r="L75">
        <v>14</v>
      </c>
      <c r="P75" t="s">
        <v>702</v>
      </c>
    </row>
    <row r="76" spans="1:17">
      <c r="A76" t="s">
        <v>30</v>
      </c>
      <c r="B76" t="s">
        <v>253</v>
      </c>
      <c r="C76" s="30" t="s">
        <v>777</v>
      </c>
      <c r="D76" s="30"/>
      <c r="E76" t="s">
        <v>778</v>
      </c>
      <c r="G76" s="356"/>
      <c r="H76" s="356"/>
      <c r="J76" s="357">
        <v>550</v>
      </c>
      <c r="K76" s="357"/>
      <c r="L76">
        <v>15</v>
      </c>
      <c r="P76" t="s">
        <v>702</v>
      </c>
    </row>
    <row r="77" spans="1:17">
      <c r="A77" s="70" t="s">
        <v>30</v>
      </c>
      <c r="B77" s="70" t="s">
        <v>92</v>
      </c>
      <c r="C77" s="364" t="s">
        <v>803</v>
      </c>
      <c r="D77" s="364"/>
      <c r="E77" s="70" t="s">
        <v>804</v>
      </c>
      <c r="F77" s="346" t="s">
        <v>8297</v>
      </c>
      <c r="G77" s="359">
        <v>45488</v>
      </c>
      <c r="H77" s="359">
        <v>45550</v>
      </c>
      <c r="I77" s="70"/>
      <c r="J77" s="360">
        <v>600</v>
      </c>
      <c r="K77" s="360">
        <v>600</v>
      </c>
      <c r="L77" s="70">
        <v>15</v>
      </c>
      <c r="M77" s="70"/>
      <c r="N77" s="70"/>
      <c r="O77" s="251" t="s">
        <v>8298</v>
      </c>
      <c r="P77" s="251" t="s">
        <v>36</v>
      </c>
      <c r="Q77" s="70"/>
    </row>
    <row r="78" spans="1:17">
      <c r="A78" t="s">
        <v>30</v>
      </c>
      <c r="B78" t="s">
        <v>259</v>
      </c>
      <c r="C78" t="s">
        <v>691</v>
      </c>
      <c r="E78" t="s">
        <v>692</v>
      </c>
      <c r="F78" s="30" t="s">
        <v>8299</v>
      </c>
      <c r="G78" s="356">
        <v>45586</v>
      </c>
      <c r="H78" s="356"/>
      <c r="J78" s="357">
        <v>425</v>
      </c>
      <c r="K78" s="357"/>
      <c r="L78">
        <v>1</v>
      </c>
      <c r="N78">
        <v>1</v>
      </c>
      <c r="O78" s="30"/>
      <c r="P78" s="30" t="s">
        <v>36</v>
      </c>
    </row>
    <row r="79" spans="1:17">
      <c r="A79" t="s">
        <v>30</v>
      </c>
      <c r="B79" t="s">
        <v>31</v>
      </c>
      <c r="C79" t="s">
        <v>8300</v>
      </c>
      <c r="E79" t="s">
        <v>8301</v>
      </c>
      <c r="G79" s="356"/>
      <c r="H79" s="356"/>
      <c r="J79" s="357">
        <v>350</v>
      </c>
      <c r="K79" s="357"/>
      <c r="L79">
        <v>15</v>
      </c>
      <c r="O79" t="s">
        <v>8302</v>
      </c>
      <c r="P79" s="30" t="s">
        <v>36</v>
      </c>
    </row>
    <row r="80" spans="1:17">
      <c r="A80" t="s">
        <v>30</v>
      </c>
      <c r="B80" t="s">
        <v>92</v>
      </c>
      <c r="C80" t="s">
        <v>2960</v>
      </c>
      <c r="E80" t="s">
        <v>7056</v>
      </c>
      <c r="G80" s="356"/>
      <c r="H80" s="356"/>
      <c r="J80" s="357">
        <v>1300</v>
      </c>
      <c r="K80" s="357"/>
      <c r="L80">
        <v>16</v>
      </c>
      <c r="P80" t="s">
        <v>36</v>
      </c>
    </row>
    <row r="81" spans="1:17">
      <c r="A81" t="s">
        <v>30</v>
      </c>
      <c r="B81" t="s">
        <v>253</v>
      </c>
      <c r="C81" s="30" t="s">
        <v>771</v>
      </c>
      <c r="D81" s="355" t="s">
        <v>8303</v>
      </c>
      <c r="E81" s="30" t="s">
        <v>772</v>
      </c>
      <c r="F81" s="30" t="s">
        <v>8304</v>
      </c>
      <c r="G81" s="356"/>
      <c r="H81" s="356"/>
      <c r="J81" s="357">
        <v>300</v>
      </c>
      <c r="K81" s="357"/>
      <c r="L81">
        <v>18</v>
      </c>
      <c r="P81" t="s">
        <v>702</v>
      </c>
    </row>
    <row r="82" spans="1:17">
      <c r="A82" t="s">
        <v>30</v>
      </c>
      <c r="B82" t="s">
        <v>253</v>
      </c>
      <c r="C82" t="s">
        <v>5833</v>
      </c>
      <c r="E82" s="30" t="s">
        <v>981</v>
      </c>
      <c r="F82" s="30" t="s">
        <v>8305</v>
      </c>
      <c r="G82" s="356"/>
      <c r="H82" s="356"/>
      <c r="J82" s="357">
        <v>550</v>
      </c>
      <c r="K82" s="357"/>
      <c r="L82">
        <v>20</v>
      </c>
      <c r="P82" t="s">
        <v>702</v>
      </c>
    </row>
    <row r="83" spans="1:17">
      <c r="A83" t="s">
        <v>30</v>
      </c>
      <c r="B83" t="s">
        <v>213</v>
      </c>
      <c r="C83" t="s">
        <v>1728</v>
      </c>
      <c r="E83" t="s">
        <v>1729</v>
      </c>
      <c r="G83" s="356"/>
      <c r="H83" s="356"/>
      <c r="J83" s="357">
        <v>350</v>
      </c>
      <c r="K83" s="357"/>
      <c r="O83" t="s">
        <v>8306</v>
      </c>
      <c r="P83" t="s">
        <v>702</v>
      </c>
    </row>
    <row r="84" spans="1:17">
      <c r="A84" t="s">
        <v>30</v>
      </c>
      <c r="B84" t="s">
        <v>213</v>
      </c>
      <c r="C84" t="s">
        <v>557</v>
      </c>
      <c r="E84" t="s">
        <v>558</v>
      </c>
      <c r="F84" s="30" t="s">
        <v>8307</v>
      </c>
      <c r="G84" s="356">
        <v>45404</v>
      </c>
      <c r="H84" s="356"/>
      <c r="I84">
        <v>30</v>
      </c>
      <c r="J84" s="357">
        <v>1300</v>
      </c>
      <c r="K84" s="357">
        <v>1300</v>
      </c>
      <c r="L84">
        <v>20</v>
      </c>
      <c r="N84">
        <v>3</v>
      </c>
      <c r="P84" t="s">
        <v>702</v>
      </c>
    </row>
    <row r="85" spans="1:17">
      <c r="A85" t="s">
        <v>30</v>
      </c>
      <c r="B85" t="s">
        <v>127</v>
      </c>
      <c r="C85" t="s">
        <v>128</v>
      </c>
      <c r="E85" t="s">
        <v>1900</v>
      </c>
      <c r="F85" t="s">
        <v>8308</v>
      </c>
      <c r="G85" s="356">
        <v>45689</v>
      </c>
      <c r="H85" s="356">
        <v>46053</v>
      </c>
      <c r="J85" s="357">
        <v>1250</v>
      </c>
      <c r="K85" s="357">
        <v>1000</v>
      </c>
      <c r="L85">
        <v>1</v>
      </c>
      <c r="N85">
        <v>5</v>
      </c>
      <c r="O85" s="30" t="s">
        <v>8309</v>
      </c>
      <c r="P85" t="s">
        <v>702</v>
      </c>
    </row>
    <row r="86" spans="1:17">
      <c r="A86" s="70" t="s">
        <v>30</v>
      </c>
      <c r="B86" s="70" t="s">
        <v>380</v>
      </c>
      <c r="C86" s="70" t="s">
        <v>1861</v>
      </c>
      <c r="D86" s="70"/>
      <c r="E86" s="70" t="s">
        <v>2991</v>
      </c>
      <c r="F86" s="70"/>
      <c r="G86" s="359"/>
      <c r="H86" s="359"/>
      <c r="I86" s="70"/>
      <c r="J86" s="360">
        <v>350</v>
      </c>
      <c r="K86" s="360">
        <v>320</v>
      </c>
      <c r="L86" s="70">
        <v>20</v>
      </c>
      <c r="M86" s="70"/>
      <c r="N86" s="70"/>
      <c r="O86" s="70" t="s">
        <v>8310</v>
      </c>
      <c r="P86" s="251" t="s">
        <v>36</v>
      </c>
      <c r="Q86" s="70"/>
    </row>
    <row r="87" spans="1:17">
      <c r="A87" s="70" t="s">
        <v>30</v>
      </c>
      <c r="B87" s="70" t="s">
        <v>225</v>
      </c>
      <c r="C87" s="70" t="s">
        <v>1502</v>
      </c>
      <c r="D87" s="70"/>
      <c r="E87" s="70" t="s">
        <v>1505</v>
      </c>
      <c r="F87" s="70"/>
      <c r="G87" s="359">
        <v>45374</v>
      </c>
      <c r="H87" s="359">
        <v>45558</v>
      </c>
      <c r="I87" s="70"/>
      <c r="J87" s="360">
        <v>750</v>
      </c>
      <c r="K87" s="360">
        <v>1500</v>
      </c>
      <c r="L87" s="70">
        <v>20</v>
      </c>
      <c r="M87" s="70"/>
      <c r="N87" s="70"/>
      <c r="O87" s="70"/>
      <c r="P87" s="251" t="s">
        <v>36</v>
      </c>
      <c r="Q87" s="70"/>
    </row>
    <row r="88" spans="1:17">
      <c r="A88" t="s">
        <v>30</v>
      </c>
      <c r="B88" t="s">
        <v>415</v>
      </c>
      <c r="C88" s="30" t="s">
        <v>8311</v>
      </c>
      <c r="D88" s="30"/>
      <c r="E88" t="s">
        <v>1250</v>
      </c>
      <c r="F88" s="355" t="s">
        <v>8312</v>
      </c>
      <c r="G88" s="356">
        <v>45523</v>
      </c>
      <c r="H88" s="356">
        <v>45585</v>
      </c>
      <c r="J88" s="357">
        <v>350</v>
      </c>
      <c r="K88" s="357">
        <v>350</v>
      </c>
      <c r="L88">
        <v>15</v>
      </c>
      <c r="O88" t="s">
        <v>7768</v>
      </c>
      <c r="P88" t="s">
        <v>36</v>
      </c>
    </row>
    <row r="89" spans="1:17">
      <c r="A89" t="s">
        <v>749</v>
      </c>
      <c r="B89" t="s">
        <v>288</v>
      </c>
      <c r="C89" t="s">
        <v>924</v>
      </c>
      <c r="E89" t="s">
        <v>925</v>
      </c>
      <c r="G89" s="356"/>
      <c r="H89" s="356"/>
      <c r="J89" s="357">
        <v>514.37</v>
      </c>
      <c r="K89" s="357"/>
      <c r="L89">
        <v>20</v>
      </c>
      <c r="P89" s="30" t="s">
        <v>36</v>
      </c>
    </row>
    <row r="90" spans="1:17">
      <c r="A90" t="s">
        <v>30</v>
      </c>
      <c r="B90" t="s">
        <v>87</v>
      </c>
      <c r="C90" t="s">
        <v>121</v>
      </c>
      <c r="E90" t="s">
        <v>122</v>
      </c>
      <c r="G90" s="356"/>
      <c r="H90" s="356"/>
      <c r="J90" s="357">
        <f>450*2</f>
        <v>900</v>
      </c>
      <c r="K90" s="357"/>
      <c r="L90">
        <v>20</v>
      </c>
      <c r="N90">
        <v>2</v>
      </c>
      <c r="P90" t="s">
        <v>702</v>
      </c>
    </row>
    <row r="91" spans="1:17">
      <c r="A91" t="s">
        <v>30</v>
      </c>
      <c r="B91" t="s">
        <v>253</v>
      </c>
      <c r="C91" s="30" t="s">
        <v>3577</v>
      </c>
      <c r="D91" s="30"/>
      <c r="E91" t="s">
        <v>660</v>
      </c>
      <c r="F91" t="s">
        <v>8313</v>
      </c>
      <c r="G91" s="356"/>
      <c r="H91" s="356"/>
      <c r="J91" s="357">
        <v>480</v>
      </c>
      <c r="K91" s="357"/>
      <c r="L91">
        <v>22</v>
      </c>
      <c r="P91" t="s">
        <v>702</v>
      </c>
    </row>
    <row r="92" spans="1:17">
      <c r="A92" t="s">
        <v>30</v>
      </c>
      <c r="B92" t="s">
        <v>370</v>
      </c>
      <c r="C92" t="s">
        <v>4173</v>
      </c>
      <c r="E92" t="s">
        <v>2124</v>
      </c>
      <c r="F92" s="30" t="s">
        <v>8314</v>
      </c>
      <c r="G92" s="356">
        <v>45497</v>
      </c>
      <c r="H92" s="356">
        <v>45747</v>
      </c>
      <c r="J92" s="357">
        <v>1500</v>
      </c>
      <c r="K92" s="357">
        <v>1500</v>
      </c>
      <c r="L92">
        <v>22</v>
      </c>
      <c r="N92">
        <v>4</v>
      </c>
      <c r="P92" t="s">
        <v>702</v>
      </c>
    </row>
    <row r="93" spans="1:17">
      <c r="A93" t="s">
        <v>30</v>
      </c>
      <c r="B93" t="s">
        <v>114</v>
      </c>
      <c r="C93" t="s">
        <v>3881</v>
      </c>
      <c r="E93" t="s">
        <v>3882</v>
      </c>
      <c r="G93" s="356"/>
      <c r="H93" s="356"/>
      <c r="J93" s="357">
        <v>400</v>
      </c>
      <c r="K93" s="357"/>
      <c r="L93">
        <v>23</v>
      </c>
      <c r="P93" s="30" t="s">
        <v>36</v>
      </c>
    </row>
    <row r="94" spans="1:17">
      <c r="A94" t="s">
        <v>30</v>
      </c>
      <c r="B94" t="s">
        <v>31</v>
      </c>
      <c r="C94" t="s">
        <v>409</v>
      </c>
      <c r="E94" t="s">
        <v>410</v>
      </c>
      <c r="G94" s="356"/>
      <c r="H94" s="356"/>
      <c r="J94" s="357">
        <v>300</v>
      </c>
      <c r="K94" s="357">
        <v>300</v>
      </c>
      <c r="L94">
        <v>23</v>
      </c>
      <c r="O94" t="s">
        <v>3898</v>
      </c>
      <c r="P94" t="s">
        <v>702</v>
      </c>
    </row>
    <row r="95" spans="1:17">
      <c r="A95" t="s">
        <v>30</v>
      </c>
      <c r="B95" t="s">
        <v>985</v>
      </c>
      <c r="C95" t="s">
        <v>1269</v>
      </c>
      <c r="E95" t="s">
        <v>1270</v>
      </c>
      <c r="F95" s="30" t="s">
        <v>8315</v>
      </c>
      <c r="G95" s="356">
        <v>45561</v>
      </c>
      <c r="H95" s="356">
        <v>45652</v>
      </c>
      <c r="J95" s="357">
        <v>1800</v>
      </c>
      <c r="K95" s="357">
        <v>1500</v>
      </c>
      <c r="L95">
        <v>25</v>
      </c>
      <c r="O95" t="s">
        <v>8316</v>
      </c>
      <c r="P95" t="s">
        <v>702</v>
      </c>
    </row>
    <row r="96" spans="1:17">
      <c r="A96" t="s">
        <v>30</v>
      </c>
      <c r="B96" t="s">
        <v>259</v>
      </c>
      <c r="C96" t="s">
        <v>516</v>
      </c>
      <c r="D96" s="30" t="s">
        <v>8317</v>
      </c>
      <c r="E96" t="s">
        <v>517</v>
      </c>
      <c r="F96" s="355" t="s">
        <v>8318</v>
      </c>
      <c r="G96" s="356"/>
      <c r="H96" s="356"/>
      <c r="J96" s="357">
        <v>350</v>
      </c>
      <c r="K96" s="357"/>
      <c r="L96">
        <v>25</v>
      </c>
      <c r="P96" t="s">
        <v>702</v>
      </c>
    </row>
    <row r="97" spans="1:16">
      <c r="A97" t="s">
        <v>30</v>
      </c>
      <c r="B97" t="s">
        <v>720</v>
      </c>
      <c r="C97" s="30" t="s">
        <v>935</v>
      </c>
      <c r="D97" s="30"/>
      <c r="E97" s="30" t="s">
        <v>8319</v>
      </c>
      <c r="F97" s="30" t="s">
        <v>8320</v>
      </c>
      <c r="G97" s="356">
        <v>45531</v>
      </c>
      <c r="H97" s="356">
        <v>45562</v>
      </c>
      <c r="J97" s="357">
        <v>650</v>
      </c>
      <c r="K97" s="357">
        <v>650</v>
      </c>
      <c r="L97">
        <v>25</v>
      </c>
      <c r="P97" t="s">
        <v>36</v>
      </c>
    </row>
    <row r="98" spans="1:16">
      <c r="A98" t="s">
        <v>30</v>
      </c>
      <c r="B98" t="s">
        <v>626</v>
      </c>
      <c r="C98" t="s">
        <v>627</v>
      </c>
      <c r="E98" s="49" t="s">
        <v>628</v>
      </c>
      <c r="G98" s="356"/>
      <c r="H98" s="356"/>
      <c r="J98" s="357">
        <v>1500</v>
      </c>
      <c r="K98" s="357">
        <v>150</v>
      </c>
      <c r="L98">
        <v>26</v>
      </c>
      <c r="N98">
        <v>4</v>
      </c>
      <c r="O98" t="s">
        <v>8321</v>
      </c>
      <c r="P98" t="s">
        <v>36</v>
      </c>
    </row>
    <row r="99" spans="1:16">
      <c r="A99" t="s">
        <v>30</v>
      </c>
      <c r="B99" t="s">
        <v>253</v>
      </c>
      <c r="C99" s="30" t="s">
        <v>659</v>
      </c>
      <c r="D99" s="30"/>
      <c r="E99" s="30" t="s">
        <v>8322</v>
      </c>
      <c r="F99" s="30" t="s">
        <v>8323</v>
      </c>
      <c r="G99" s="356"/>
      <c r="H99" s="356"/>
      <c r="J99" s="357">
        <v>480</v>
      </c>
      <c r="K99" s="357"/>
      <c r="L99">
        <v>27</v>
      </c>
      <c r="P99" t="s">
        <v>702</v>
      </c>
    </row>
    <row r="100" spans="1:16">
      <c r="A100" t="s">
        <v>30</v>
      </c>
      <c r="B100" t="s">
        <v>92</v>
      </c>
      <c r="C100" t="s">
        <v>3081</v>
      </c>
      <c r="E100" t="s">
        <v>94</v>
      </c>
      <c r="G100" s="356"/>
      <c r="H100" s="356"/>
      <c r="J100" s="357">
        <v>1800</v>
      </c>
      <c r="K100" s="357"/>
      <c r="L100">
        <v>27</v>
      </c>
      <c r="P100" t="s">
        <v>36</v>
      </c>
    </row>
    <row r="101" spans="1:16">
      <c r="A101" t="s">
        <v>30</v>
      </c>
      <c r="B101" t="s">
        <v>92</v>
      </c>
      <c r="C101" t="s">
        <v>585</v>
      </c>
      <c r="E101" t="s">
        <v>94</v>
      </c>
      <c r="G101" s="356"/>
      <c r="H101" s="356"/>
      <c r="J101" s="357">
        <v>1900</v>
      </c>
      <c r="K101" s="357"/>
      <c r="L101">
        <v>28</v>
      </c>
      <c r="P101" t="s">
        <v>36</v>
      </c>
    </row>
    <row r="102" spans="1:16">
      <c r="A102" t="s">
        <v>30</v>
      </c>
      <c r="B102" t="s">
        <v>213</v>
      </c>
      <c r="C102" t="s">
        <v>1971</v>
      </c>
      <c r="D102" t="s">
        <v>8324</v>
      </c>
      <c r="E102" t="s">
        <v>8325</v>
      </c>
      <c r="F102" s="30" t="s">
        <v>8326</v>
      </c>
      <c r="G102" s="356"/>
      <c r="H102" s="356"/>
      <c r="J102" s="357">
        <v>1500</v>
      </c>
      <c r="K102" s="357">
        <v>1500</v>
      </c>
      <c r="L102">
        <v>29</v>
      </c>
      <c r="N102">
        <v>4</v>
      </c>
      <c r="O102" t="s">
        <v>8327</v>
      </c>
      <c r="P102" t="s">
        <v>702</v>
      </c>
    </row>
    <row r="103" spans="1:16">
      <c r="A103" t="s">
        <v>30</v>
      </c>
      <c r="B103" t="s">
        <v>253</v>
      </c>
      <c r="C103" t="s">
        <v>581</v>
      </c>
      <c r="E103" t="s">
        <v>8328</v>
      </c>
      <c r="G103" s="356"/>
      <c r="H103" s="356"/>
      <c r="J103" s="357">
        <v>650</v>
      </c>
      <c r="K103" s="357"/>
      <c r="O103" t="s">
        <v>8329</v>
      </c>
      <c r="P103" t="s">
        <v>702</v>
      </c>
    </row>
    <row r="104" spans="1:16">
      <c r="A104" t="s">
        <v>30</v>
      </c>
      <c r="B104" t="s">
        <v>31</v>
      </c>
      <c r="C104" s="30" t="s">
        <v>1450</v>
      </c>
      <c r="E104" t="s">
        <v>1451</v>
      </c>
      <c r="G104" s="356"/>
      <c r="H104" s="356"/>
      <c r="J104" s="357">
        <v>978.63</v>
      </c>
      <c r="K104" s="357"/>
      <c r="O104" t="s">
        <v>8330</v>
      </c>
      <c r="P104" t="s">
        <v>702</v>
      </c>
    </row>
    <row r="105" spans="1:16">
      <c r="A105" t="s">
        <v>30</v>
      </c>
      <c r="B105" t="s">
        <v>31</v>
      </c>
      <c r="C105" t="s">
        <v>8331</v>
      </c>
      <c r="E105" s="30" t="s">
        <v>345</v>
      </c>
      <c r="G105" s="356"/>
      <c r="H105" s="356"/>
      <c r="J105" s="357">
        <v>1677.13</v>
      </c>
      <c r="K105" s="357"/>
      <c r="N105">
        <v>5</v>
      </c>
      <c r="P105" t="s">
        <v>702</v>
      </c>
    </row>
    <row r="106" spans="1:16">
      <c r="A106" t="s">
        <v>30</v>
      </c>
      <c r="B106" t="s">
        <v>31</v>
      </c>
      <c r="C106" s="30" t="s">
        <v>32</v>
      </c>
      <c r="E106" t="s">
        <v>33</v>
      </c>
      <c r="G106" s="356"/>
      <c r="H106" s="356"/>
      <c r="J106" s="357">
        <v>875.5</v>
      </c>
      <c r="K106" s="357">
        <v>1700</v>
      </c>
      <c r="N106">
        <v>4</v>
      </c>
      <c r="P106" t="s">
        <v>702</v>
      </c>
    </row>
    <row r="107" spans="1:16">
      <c r="A107" t="s">
        <v>30</v>
      </c>
      <c r="B107" t="s">
        <v>213</v>
      </c>
      <c r="C107" t="s">
        <v>916</v>
      </c>
      <c r="E107" t="s">
        <v>917</v>
      </c>
      <c r="G107" s="356"/>
      <c r="H107" s="356"/>
      <c r="J107" s="357">
        <v>955</v>
      </c>
      <c r="K107" s="357"/>
      <c r="N107">
        <v>4</v>
      </c>
      <c r="P107" t="s">
        <v>702</v>
      </c>
    </row>
    <row r="108" spans="1:16">
      <c r="A108" t="s">
        <v>30</v>
      </c>
      <c r="B108" t="s">
        <v>734</v>
      </c>
      <c r="C108" s="11" t="s">
        <v>2468</v>
      </c>
      <c r="G108" s="356">
        <v>45410</v>
      </c>
      <c r="H108" s="356"/>
      <c r="J108" s="357"/>
      <c r="K108" s="357"/>
      <c r="N108">
        <v>4</v>
      </c>
      <c r="O108" t="s">
        <v>2470</v>
      </c>
      <c r="P108" t="s">
        <v>702</v>
      </c>
    </row>
    <row r="109" spans="1:16">
      <c r="A109" t="s">
        <v>8332</v>
      </c>
      <c r="B109" t="s">
        <v>73</v>
      </c>
      <c r="C109" s="30" t="s">
        <v>74</v>
      </c>
      <c r="E109" t="s">
        <v>75</v>
      </c>
      <c r="G109" s="356"/>
      <c r="H109" s="356"/>
      <c r="J109" s="357">
        <v>950</v>
      </c>
      <c r="K109" s="357">
        <v>1900</v>
      </c>
      <c r="N109">
        <v>8</v>
      </c>
      <c r="P109" t="s">
        <v>702</v>
      </c>
    </row>
    <row r="110" spans="1:16">
      <c r="A110" t="s">
        <v>8332</v>
      </c>
      <c r="B110" t="s">
        <v>73</v>
      </c>
      <c r="C110" t="s">
        <v>241</v>
      </c>
      <c r="E110" t="s">
        <v>242</v>
      </c>
      <c r="G110" s="356"/>
      <c r="H110" s="356"/>
      <c r="J110" s="357"/>
      <c r="K110" s="357"/>
      <c r="P110" t="s">
        <v>702</v>
      </c>
    </row>
    <row r="111" spans="1:16">
      <c r="A111" t="s">
        <v>30</v>
      </c>
      <c r="B111" t="s">
        <v>31</v>
      </c>
      <c r="C111" s="30" t="s">
        <v>758</v>
      </c>
      <c r="D111" s="30"/>
      <c r="E111" t="s">
        <v>759</v>
      </c>
      <c r="G111" s="356"/>
      <c r="H111" s="356"/>
      <c r="J111" s="357">
        <v>850</v>
      </c>
      <c r="K111" s="357"/>
      <c r="N111">
        <v>6</v>
      </c>
      <c r="P111" t="s">
        <v>702</v>
      </c>
    </row>
    <row r="112" spans="1:16">
      <c r="A112" t="s">
        <v>30</v>
      </c>
      <c r="B112" t="s">
        <v>38</v>
      </c>
      <c r="C112" t="s">
        <v>88</v>
      </c>
      <c r="E112" t="s">
        <v>89</v>
      </c>
      <c r="G112" s="356"/>
      <c r="H112" s="356"/>
      <c r="J112" s="357"/>
      <c r="K112" s="357"/>
      <c r="O112" t="s">
        <v>8333</v>
      </c>
      <c r="P112" t="s">
        <v>702</v>
      </c>
    </row>
    <row r="113" spans="1:17">
      <c r="A113" s="70" t="s">
        <v>30</v>
      </c>
      <c r="B113" s="70" t="s">
        <v>626</v>
      </c>
      <c r="C113" s="70" t="s">
        <v>8334</v>
      </c>
      <c r="D113" s="70"/>
      <c r="E113" s="197">
        <v>34622279691</v>
      </c>
      <c r="F113" s="70"/>
      <c r="G113" s="359"/>
      <c r="H113" s="359"/>
      <c r="I113" s="70"/>
      <c r="J113" s="360">
        <v>330</v>
      </c>
      <c r="K113" s="360">
        <v>330</v>
      </c>
      <c r="L113" s="70"/>
      <c r="M113" s="70"/>
      <c r="N113" s="70"/>
      <c r="O113" s="70"/>
      <c r="P113" s="251" t="s">
        <v>36</v>
      </c>
      <c r="Q113" s="70"/>
    </row>
    <row r="114" spans="1:17">
      <c r="A114" t="s">
        <v>30</v>
      </c>
      <c r="B114" t="s">
        <v>253</v>
      </c>
      <c r="C114" t="s">
        <v>254</v>
      </c>
      <c r="E114" t="s">
        <v>255</v>
      </c>
      <c r="G114" s="356"/>
      <c r="H114" s="356"/>
      <c r="J114" s="357">
        <v>650</v>
      </c>
      <c r="K114" s="357"/>
      <c r="N114">
        <v>4</v>
      </c>
      <c r="P114" t="s">
        <v>702</v>
      </c>
    </row>
    <row r="115" spans="1:17">
      <c r="A115" t="s">
        <v>30</v>
      </c>
      <c r="B115" t="s">
        <v>8335</v>
      </c>
      <c r="C115" t="s">
        <v>827</v>
      </c>
      <c r="E115" t="s">
        <v>828</v>
      </c>
      <c r="G115" s="356"/>
      <c r="H115" s="356"/>
      <c r="J115" s="357">
        <v>300</v>
      </c>
      <c r="K115" s="357"/>
      <c r="O115" t="s">
        <v>8336</v>
      </c>
      <c r="P115" t="s">
        <v>702</v>
      </c>
    </row>
    <row r="116" spans="1:17">
      <c r="A116" t="s">
        <v>30</v>
      </c>
      <c r="B116" t="s">
        <v>109</v>
      </c>
      <c r="C116" t="s">
        <v>898</v>
      </c>
      <c r="D116" s="30" t="s">
        <v>8337</v>
      </c>
      <c r="E116" t="s">
        <v>899</v>
      </c>
      <c r="F116" s="355" t="s">
        <v>8338</v>
      </c>
      <c r="G116" s="356">
        <v>45597</v>
      </c>
      <c r="H116" s="356" t="s">
        <v>8270</v>
      </c>
      <c r="J116" s="357">
        <v>1400</v>
      </c>
      <c r="K116" s="357">
        <v>2800</v>
      </c>
      <c r="L116">
        <v>1</v>
      </c>
      <c r="N116">
        <v>7</v>
      </c>
      <c r="O116" s="30" t="s">
        <v>8339</v>
      </c>
      <c r="P116" t="s">
        <v>702</v>
      </c>
    </row>
    <row r="117" spans="1:17">
      <c r="A117" s="70" t="s">
        <v>30</v>
      </c>
      <c r="B117" s="70" t="s">
        <v>538</v>
      </c>
      <c r="C117" s="364" t="s">
        <v>1081</v>
      </c>
      <c r="D117" s="364"/>
      <c r="E117" s="251" t="s">
        <v>1082</v>
      </c>
      <c r="F117" s="251" t="s">
        <v>8340</v>
      </c>
      <c r="G117" s="359">
        <v>45552</v>
      </c>
      <c r="H117" s="359">
        <v>45613</v>
      </c>
      <c r="I117" s="70"/>
      <c r="J117" s="360">
        <v>400</v>
      </c>
      <c r="K117" s="360">
        <v>400</v>
      </c>
      <c r="L117" s="70">
        <v>17</v>
      </c>
      <c r="M117" s="70"/>
      <c r="N117" s="70"/>
      <c r="O117" s="251" t="s">
        <v>8341</v>
      </c>
      <c r="P117" s="251" t="s">
        <v>36</v>
      </c>
      <c r="Q117" s="70"/>
    </row>
    <row r="118" spans="1:17">
      <c r="A118" t="s">
        <v>30</v>
      </c>
      <c r="B118" t="s">
        <v>31</v>
      </c>
      <c r="C118" t="s">
        <v>1599</v>
      </c>
      <c r="E118" t="s">
        <v>512</v>
      </c>
      <c r="F118" s="30" t="s">
        <v>8342</v>
      </c>
      <c r="G118" s="356"/>
      <c r="H118" s="356"/>
      <c r="J118" s="357">
        <v>330</v>
      </c>
      <c r="K118" s="357"/>
      <c r="L118">
        <v>18</v>
      </c>
    </row>
    <row r="119" spans="1:17">
      <c r="A119" s="70" t="s">
        <v>30</v>
      </c>
      <c r="B119" s="70" t="s">
        <v>31</v>
      </c>
      <c r="C119" s="70" t="s">
        <v>3810</v>
      </c>
      <c r="D119" s="70"/>
      <c r="E119" s="70" t="s">
        <v>3806</v>
      </c>
      <c r="F119" s="70" t="s">
        <v>3810</v>
      </c>
      <c r="G119" s="359"/>
      <c r="H119" s="359"/>
      <c r="I119" s="70"/>
      <c r="J119" s="360">
        <v>700</v>
      </c>
      <c r="K119" s="360">
        <v>350</v>
      </c>
      <c r="L119" s="70">
        <v>19</v>
      </c>
      <c r="M119" s="70"/>
      <c r="N119" s="70"/>
      <c r="O119" s="70"/>
      <c r="P119" s="251" t="s">
        <v>36</v>
      </c>
      <c r="Q119" s="70"/>
    </row>
    <row r="120" spans="1:17">
      <c r="A120" s="70" t="s">
        <v>30</v>
      </c>
      <c r="B120" s="70" t="s">
        <v>3975</v>
      </c>
      <c r="C120" s="70" t="s">
        <v>3800</v>
      </c>
      <c r="D120" s="70"/>
      <c r="E120" s="70" t="s">
        <v>3801</v>
      </c>
      <c r="F120" s="251" t="s">
        <v>8343</v>
      </c>
      <c r="G120" s="359">
        <v>45554</v>
      </c>
      <c r="H120" s="359">
        <v>45614</v>
      </c>
      <c r="I120" s="70"/>
      <c r="J120" s="360">
        <v>850</v>
      </c>
      <c r="K120" s="360">
        <v>850</v>
      </c>
      <c r="L120" s="70">
        <v>19</v>
      </c>
      <c r="M120" s="70"/>
      <c r="N120" s="70"/>
      <c r="O120" s="70"/>
      <c r="P120" s="251" t="s">
        <v>36</v>
      </c>
      <c r="Q120" s="70"/>
    </row>
    <row r="121" spans="1:17">
      <c r="A121" t="s">
        <v>749</v>
      </c>
      <c r="B121" t="s">
        <v>288</v>
      </c>
      <c r="C121" t="s">
        <v>1141</v>
      </c>
      <c r="E121" t="s">
        <v>156</v>
      </c>
      <c r="G121" s="356"/>
      <c r="H121" s="356"/>
      <c r="J121" s="357">
        <v>1800</v>
      </c>
      <c r="K121" s="357"/>
      <c r="L121">
        <v>22</v>
      </c>
      <c r="P121" s="30" t="s">
        <v>36</v>
      </c>
    </row>
    <row r="122" spans="1:17">
      <c r="A122" s="70" t="s">
        <v>30</v>
      </c>
      <c r="B122" s="70" t="s">
        <v>608</v>
      </c>
      <c r="C122" s="70" t="s">
        <v>1007</v>
      </c>
      <c r="D122" s="70"/>
      <c r="E122" s="70" t="s">
        <v>8344</v>
      </c>
      <c r="F122" s="251" t="s">
        <v>8345</v>
      </c>
      <c r="G122" s="359">
        <v>45558</v>
      </c>
      <c r="H122" s="359">
        <v>45619</v>
      </c>
      <c r="I122" s="70"/>
      <c r="J122" s="360">
        <v>300</v>
      </c>
      <c r="K122" s="360">
        <v>300</v>
      </c>
      <c r="L122" s="70">
        <v>21</v>
      </c>
      <c r="M122" s="70"/>
      <c r="N122" s="70"/>
      <c r="O122" s="70"/>
      <c r="P122" s="251" t="s">
        <v>36</v>
      </c>
      <c r="Q122" s="70"/>
    </row>
    <row r="123" spans="1:17">
      <c r="A123" s="70" t="s">
        <v>30</v>
      </c>
      <c r="B123" s="70" t="s">
        <v>608</v>
      </c>
      <c r="C123" s="251" t="s">
        <v>3646</v>
      </c>
      <c r="D123" s="251"/>
      <c r="E123" s="70" t="s">
        <v>8344</v>
      </c>
      <c r="F123" s="70" t="s">
        <v>8346</v>
      </c>
      <c r="G123" s="359">
        <v>45542</v>
      </c>
      <c r="H123" s="359">
        <v>45603</v>
      </c>
      <c r="I123" s="70"/>
      <c r="J123" s="360">
        <v>350</v>
      </c>
      <c r="K123" s="360">
        <v>250</v>
      </c>
      <c r="L123" s="70">
        <v>7</v>
      </c>
      <c r="M123" s="70"/>
      <c r="N123" s="70"/>
      <c r="O123" s="70"/>
      <c r="P123" s="251" t="s">
        <v>36</v>
      </c>
      <c r="Q123" s="70"/>
    </row>
    <row r="124" spans="1:17">
      <c r="A124" s="70" t="s">
        <v>30</v>
      </c>
      <c r="B124" s="70" t="s">
        <v>109</v>
      </c>
      <c r="C124" s="251" t="s">
        <v>1383</v>
      </c>
      <c r="D124" s="251"/>
      <c r="E124" s="197">
        <v>973283107</v>
      </c>
      <c r="F124" s="70"/>
      <c r="G124" s="359"/>
      <c r="H124" s="359"/>
      <c r="I124" s="70"/>
      <c r="J124" s="360">
        <v>390</v>
      </c>
      <c r="K124" s="360"/>
      <c r="L124" s="70">
        <v>15</v>
      </c>
      <c r="M124" s="70"/>
      <c r="N124" s="70"/>
      <c r="O124" s="70"/>
      <c r="P124" s="70"/>
      <c r="Q124" s="70"/>
    </row>
    <row r="125" spans="1:17">
      <c r="A125" t="s">
        <v>30</v>
      </c>
      <c r="B125" t="s">
        <v>1719</v>
      </c>
      <c r="C125" s="179" t="s">
        <v>3708</v>
      </c>
      <c r="D125" s="179"/>
      <c r="E125" s="30" t="s">
        <v>3709</v>
      </c>
      <c r="F125" s="30" t="s">
        <v>8347</v>
      </c>
      <c r="G125" s="356">
        <v>45550</v>
      </c>
      <c r="H125" s="356">
        <v>45611</v>
      </c>
      <c r="J125" s="357">
        <v>1900</v>
      </c>
      <c r="K125" s="357">
        <v>1900</v>
      </c>
      <c r="L125">
        <v>12</v>
      </c>
      <c r="O125" s="30" t="s">
        <v>8348</v>
      </c>
    </row>
    <row r="126" spans="1:17">
      <c r="A126" t="s">
        <v>30</v>
      </c>
      <c r="B126" t="s">
        <v>626</v>
      </c>
      <c r="C126" t="s">
        <v>1041</v>
      </c>
      <c r="E126" s="49" t="s">
        <v>628</v>
      </c>
      <c r="F126" s="355" t="s">
        <v>8349</v>
      </c>
      <c r="G126" s="356"/>
      <c r="H126" s="356"/>
      <c r="J126" s="357">
        <v>2300</v>
      </c>
      <c r="K126" s="357"/>
      <c r="L126">
        <v>23</v>
      </c>
      <c r="N126">
        <v>5</v>
      </c>
      <c r="P126" t="s">
        <v>36</v>
      </c>
    </row>
    <row r="127" spans="1:17">
      <c r="A127" t="s">
        <v>30</v>
      </c>
      <c r="B127" t="s">
        <v>855</v>
      </c>
      <c r="C127" s="179" t="s">
        <v>8350</v>
      </c>
      <c r="D127" s="179"/>
      <c r="E127" s="30" t="s">
        <v>8351</v>
      </c>
      <c r="F127" s="30" t="s">
        <v>8352</v>
      </c>
      <c r="G127" s="356">
        <v>45550</v>
      </c>
      <c r="H127" s="356">
        <v>45611</v>
      </c>
      <c r="I127" t="s">
        <v>8353</v>
      </c>
      <c r="J127" s="357">
        <v>750</v>
      </c>
      <c r="K127" s="357">
        <v>300</v>
      </c>
      <c r="L127">
        <v>15</v>
      </c>
      <c r="O127" s="30" t="s">
        <v>8348</v>
      </c>
    </row>
    <row r="128" spans="1:17">
      <c r="A128" t="s">
        <v>99</v>
      </c>
      <c r="B128" s="30" t="s">
        <v>87</v>
      </c>
      <c r="C128" s="30" t="s">
        <v>8354</v>
      </c>
      <c r="D128" s="30"/>
      <c r="E128" s="30" t="s">
        <v>8355</v>
      </c>
      <c r="F128" s="30" t="s">
        <v>8356</v>
      </c>
      <c r="G128" s="356">
        <v>45539</v>
      </c>
      <c r="H128" s="356">
        <v>45600</v>
      </c>
      <c r="I128" t="s">
        <v>8223</v>
      </c>
      <c r="J128" s="357">
        <v>1683</v>
      </c>
      <c r="K128" s="357">
        <v>950</v>
      </c>
      <c r="L128">
        <v>5</v>
      </c>
      <c r="N128">
        <v>6</v>
      </c>
      <c r="P128" s="30" t="s">
        <v>702</v>
      </c>
    </row>
    <row r="129" spans="1:16">
      <c r="A129" t="s">
        <v>99</v>
      </c>
      <c r="B129" s="30" t="s">
        <v>87</v>
      </c>
      <c r="C129" t="s">
        <v>946</v>
      </c>
      <c r="E129" s="30" t="s">
        <v>8357</v>
      </c>
      <c r="F129" s="30" t="s">
        <v>8358</v>
      </c>
      <c r="G129" s="356">
        <v>45539</v>
      </c>
      <c r="H129" s="356">
        <v>45600</v>
      </c>
      <c r="J129" s="357"/>
      <c r="K129" s="357"/>
      <c r="L129">
        <v>5</v>
      </c>
      <c r="P129" s="30" t="s">
        <v>702</v>
      </c>
    </row>
    <row r="130" spans="1:16">
      <c r="A130" t="s">
        <v>99</v>
      </c>
      <c r="B130" t="s">
        <v>87</v>
      </c>
      <c r="C130" t="s">
        <v>7927</v>
      </c>
      <c r="E130" t="s">
        <v>7928</v>
      </c>
      <c r="F130" s="30" t="s">
        <v>8359</v>
      </c>
      <c r="G130" s="356">
        <v>45554</v>
      </c>
      <c r="H130" s="356">
        <v>45707</v>
      </c>
      <c r="J130" s="357">
        <v>400</v>
      </c>
      <c r="K130" s="357">
        <v>400</v>
      </c>
      <c r="L130">
        <v>24</v>
      </c>
    </row>
    <row r="131" spans="1:16">
      <c r="A131" t="s">
        <v>30</v>
      </c>
      <c r="B131" t="s">
        <v>245</v>
      </c>
      <c r="C131" s="30" t="s">
        <v>1021</v>
      </c>
      <c r="D131" s="30" t="s">
        <v>8360</v>
      </c>
      <c r="E131" t="s">
        <v>8361</v>
      </c>
      <c r="F131" t="s">
        <v>8362</v>
      </c>
      <c r="G131" s="356">
        <v>45563</v>
      </c>
      <c r="H131" s="356">
        <v>45654</v>
      </c>
      <c r="J131" s="357">
        <v>1195</v>
      </c>
      <c r="K131" s="357">
        <v>1800</v>
      </c>
      <c r="L131">
        <v>1</v>
      </c>
      <c r="N131">
        <v>3</v>
      </c>
      <c r="P131" s="30" t="s">
        <v>702</v>
      </c>
    </row>
    <row r="132" spans="1:16">
      <c r="A132" t="s">
        <v>30</v>
      </c>
      <c r="B132" t="s">
        <v>380</v>
      </c>
      <c r="C132" t="s">
        <v>3476</v>
      </c>
      <c r="E132" t="s">
        <v>3477</v>
      </c>
      <c r="G132" s="356">
        <v>45566</v>
      </c>
      <c r="H132" s="356">
        <v>45596</v>
      </c>
      <c r="J132" s="357">
        <v>345</v>
      </c>
      <c r="K132" s="357">
        <v>310</v>
      </c>
      <c r="L132">
        <v>1</v>
      </c>
      <c r="O132" t="s">
        <v>8363</v>
      </c>
      <c r="P132" t="s">
        <v>36</v>
      </c>
    </row>
    <row r="133" spans="1:16">
      <c r="A133" t="s">
        <v>30</v>
      </c>
      <c r="B133" t="s">
        <v>213</v>
      </c>
      <c r="C133" t="s">
        <v>8364</v>
      </c>
      <c r="E133" t="s">
        <v>8365</v>
      </c>
      <c r="G133" s="356"/>
      <c r="H133" s="356"/>
      <c r="J133" s="357">
        <v>770</v>
      </c>
      <c r="K133" s="357">
        <v>200</v>
      </c>
      <c r="L133">
        <v>21</v>
      </c>
      <c r="M133" t="s">
        <v>44</v>
      </c>
      <c r="O133" t="s">
        <v>8366</v>
      </c>
      <c r="P133" t="s">
        <v>702</v>
      </c>
    </row>
    <row r="134" spans="1:16">
      <c r="A134" t="s">
        <v>30</v>
      </c>
      <c r="B134" t="s">
        <v>422</v>
      </c>
      <c r="C134" t="s">
        <v>8367</v>
      </c>
      <c r="E134" t="s">
        <v>8368</v>
      </c>
      <c r="G134" s="356"/>
      <c r="H134" s="356"/>
      <c r="J134" s="357"/>
      <c r="K134" s="357"/>
      <c r="M134" t="s">
        <v>44</v>
      </c>
      <c r="P134" s="30" t="s">
        <v>36</v>
      </c>
    </row>
    <row r="135" spans="1:16">
      <c r="A135" t="s">
        <v>30</v>
      </c>
      <c r="B135" t="s">
        <v>31</v>
      </c>
      <c r="C135" t="s">
        <v>8369</v>
      </c>
      <c r="E135" t="s">
        <v>8370</v>
      </c>
      <c r="G135" s="356"/>
      <c r="H135" s="356"/>
      <c r="J135" s="357">
        <v>350</v>
      </c>
      <c r="K135" s="357"/>
      <c r="P135" s="30" t="s">
        <v>36</v>
      </c>
    </row>
    <row r="136" spans="1:16">
      <c r="A136" s="11" t="s">
        <v>30</v>
      </c>
      <c r="B136" s="11" t="s">
        <v>213</v>
      </c>
      <c r="C136" s="11" t="s">
        <v>1733</v>
      </c>
      <c r="D136" s="11"/>
      <c r="E136" t="s">
        <v>8365</v>
      </c>
      <c r="G136" s="356">
        <v>45572</v>
      </c>
      <c r="H136" s="356">
        <v>45484</v>
      </c>
      <c r="J136" s="357">
        <v>722.21</v>
      </c>
      <c r="K136" s="357">
        <v>150</v>
      </c>
      <c r="L136">
        <v>7</v>
      </c>
      <c r="M136" t="s">
        <v>44</v>
      </c>
      <c r="O136" t="s">
        <v>8366</v>
      </c>
      <c r="P136" t="s">
        <v>702</v>
      </c>
    </row>
    <row r="137" spans="1:16">
      <c r="A137" t="s">
        <v>30</v>
      </c>
      <c r="B137" t="s">
        <v>253</v>
      </c>
      <c r="C137" t="s">
        <v>8371</v>
      </c>
      <c r="E137" s="30" t="s">
        <v>1529</v>
      </c>
      <c r="F137" t="s">
        <v>8372</v>
      </c>
      <c r="G137" s="356">
        <v>45574</v>
      </c>
      <c r="H137" s="356"/>
      <c r="J137" s="357">
        <v>800</v>
      </c>
      <c r="K137" s="357"/>
      <c r="L137">
        <v>9</v>
      </c>
      <c r="P137" t="s">
        <v>702</v>
      </c>
    </row>
    <row r="138" spans="1:16">
      <c r="A138" s="30" t="s">
        <v>749</v>
      </c>
      <c r="B138" s="30" t="s">
        <v>288</v>
      </c>
      <c r="C138" t="s">
        <v>8373</v>
      </c>
      <c r="E138" t="s">
        <v>2822</v>
      </c>
      <c r="F138" s="30" t="s">
        <v>8374</v>
      </c>
      <c r="G138" s="356"/>
      <c r="H138" s="356"/>
      <c r="J138" s="357"/>
      <c r="K138" s="357"/>
    </row>
    <row r="139" spans="1:16">
      <c r="A139" s="30" t="s">
        <v>30</v>
      </c>
      <c r="B139" s="30" t="s">
        <v>55</v>
      </c>
      <c r="C139" t="s">
        <v>8375</v>
      </c>
      <c r="E139" t="s">
        <v>8376</v>
      </c>
      <c r="F139" s="30" t="s">
        <v>8377</v>
      </c>
      <c r="G139" s="356">
        <v>45580</v>
      </c>
      <c r="H139" s="356"/>
      <c r="J139" s="357">
        <v>450</v>
      </c>
      <c r="K139" s="357">
        <v>225</v>
      </c>
      <c r="L139">
        <v>14</v>
      </c>
      <c r="P139" s="30" t="s">
        <v>702</v>
      </c>
    </row>
    <row r="140" spans="1:16">
      <c r="A140" t="s">
        <v>30</v>
      </c>
      <c r="B140" t="s">
        <v>31</v>
      </c>
      <c r="C140" t="s">
        <v>1589</v>
      </c>
      <c r="E140" t="s">
        <v>1590</v>
      </c>
      <c r="F140" s="30" t="s">
        <v>8378</v>
      </c>
      <c r="G140" s="356"/>
      <c r="H140" s="356"/>
      <c r="J140" s="357">
        <v>350</v>
      </c>
      <c r="K140" s="357"/>
      <c r="L140">
        <v>12</v>
      </c>
      <c r="P140" s="30" t="s">
        <v>702</v>
      </c>
    </row>
    <row r="141" spans="1:16">
      <c r="A141" s="11" t="s">
        <v>30</v>
      </c>
      <c r="B141" s="11" t="s">
        <v>1404</v>
      </c>
      <c r="C141" s="11" t="s">
        <v>8379</v>
      </c>
      <c r="D141" s="11"/>
      <c r="E141" s="118" t="s">
        <v>8380</v>
      </c>
      <c r="F141" s="30" t="s">
        <v>8381</v>
      </c>
      <c r="G141" s="356"/>
      <c r="H141" s="356"/>
      <c r="J141" s="357"/>
      <c r="K141" s="357"/>
      <c r="O141" s="30" t="s">
        <v>44</v>
      </c>
      <c r="P141" s="30" t="s">
        <v>36</v>
      </c>
    </row>
    <row r="142" spans="1:16">
      <c r="A142" s="11" t="s">
        <v>30</v>
      </c>
      <c r="B142" t="s">
        <v>8382</v>
      </c>
      <c r="C142" t="s">
        <v>3733</v>
      </c>
      <c r="E142" t="s">
        <v>3734</v>
      </c>
      <c r="F142" t="s">
        <v>8383</v>
      </c>
      <c r="G142" s="356">
        <v>45577</v>
      </c>
      <c r="H142" s="356">
        <v>45608</v>
      </c>
      <c r="J142" s="357">
        <v>380</v>
      </c>
      <c r="K142" s="357">
        <v>200</v>
      </c>
      <c r="L142">
        <v>12</v>
      </c>
      <c r="P142" s="30" t="s">
        <v>702</v>
      </c>
    </row>
    <row r="143" spans="1:16">
      <c r="A143" s="11" t="s">
        <v>30</v>
      </c>
      <c r="B143" s="11" t="s">
        <v>31</v>
      </c>
      <c r="C143" s="11" t="s">
        <v>8300</v>
      </c>
      <c r="D143" s="11"/>
      <c r="E143" s="11" t="s">
        <v>8301</v>
      </c>
      <c r="G143" s="356"/>
      <c r="H143" s="356"/>
      <c r="J143" s="357"/>
      <c r="K143" s="357"/>
      <c r="O143" t="s">
        <v>8384</v>
      </c>
      <c r="P143" t="s">
        <v>36</v>
      </c>
    </row>
    <row r="144" spans="1:16">
      <c r="A144" s="11" t="s">
        <v>30</v>
      </c>
      <c r="B144" t="s">
        <v>447</v>
      </c>
      <c r="C144" s="11" t="s">
        <v>840</v>
      </c>
      <c r="D144" s="11"/>
      <c r="E144" s="11" t="s">
        <v>3867</v>
      </c>
      <c r="F144" t="s">
        <v>8385</v>
      </c>
      <c r="G144" s="356">
        <v>45566</v>
      </c>
      <c r="H144" s="356">
        <v>45626</v>
      </c>
      <c r="J144" s="357">
        <v>2500</v>
      </c>
      <c r="K144" s="357">
        <v>300</v>
      </c>
      <c r="L144">
        <v>1</v>
      </c>
      <c r="P144" t="s">
        <v>702</v>
      </c>
    </row>
    <row r="145" spans="1:16" ht="90">
      <c r="A145" s="11" t="s">
        <v>30</v>
      </c>
      <c r="B145" s="365" t="s">
        <v>87</v>
      </c>
      <c r="C145" s="11" t="s">
        <v>1864</v>
      </c>
      <c r="D145" s="11"/>
      <c r="E145" s="366" t="s">
        <v>8386</v>
      </c>
      <c r="F145" s="366" t="s">
        <v>8387</v>
      </c>
      <c r="G145" s="367">
        <v>45572</v>
      </c>
      <c r="H145" s="367">
        <v>45485</v>
      </c>
      <c r="J145" s="368">
        <v>1752.5</v>
      </c>
      <c r="K145" s="368">
        <v>950</v>
      </c>
      <c r="L145" s="45">
        <v>5</v>
      </c>
      <c r="M145" s="45"/>
      <c r="N145" s="45">
        <v>6</v>
      </c>
      <c r="O145" s="45"/>
      <c r="P145" s="45" t="s">
        <v>702</v>
      </c>
    </row>
    <row r="146" spans="1:16">
      <c r="A146" t="s">
        <v>99</v>
      </c>
      <c r="B146" t="s">
        <v>1719</v>
      </c>
      <c r="C146" s="30" t="s">
        <v>3712</v>
      </c>
      <c r="D146" s="30"/>
      <c r="E146" t="s">
        <v>3709</v>
      </c>
      <c r="F146" t="s">
        <v>8347</v>
      </c>
      <c r="G146" s="356">
        <v>45563</v>
      </c>
      <c r="H146" s="369" t="s">
        <v>8388</v>
      </c>
      <c r="J146" s="357">
        <v>1200</v>
      </c>
      <c r="K146" s="357">
        <v>1200</v>
      </c>
      <c r="L146">
        <v>28</v>
      </c>
      <c r="M146" s="45"/>
      <c r="P146" t="s">
        <v>702</v>
      </c>
    </row>
    <row r="147" spans="1:16">
      <c r="A147" t="s">
        <v>30</v>
      </c>
      <c r="B147" t="s">
        <v>31</v>
      </c>
      <c r="C147" s="30" t="s">
        <v>1325</v>
      </c>
      <c r="D147" s="30"/>
      <c r="E147" s="30" t="s">
        <v>8389</v>
      </c>
      <c r="F147" s="30" t="s">
        <v>8390</v>
      </c>
      <c r="G147" s="356">
        <v>45585</v>
      </c>
      <c r="H147" s="356"/>
      <c r="J147" s="357">
        <v>350</v>
      </c>
      <c r="K147" s="357">
        <v>350</v>
      </c>
      <c r="L147">
        <v>16</v>
      </c>
      <c r="P147" s="30" t="s">
        <v>702</v>
      </c>
    </row>
    <row r="148" spans="1:16">
      <c r="A148" t="s">
        <v>30</v>
      </c>
      <c r="B148" t="s">
        <v>648</v>
      </c>
      <c r="C148" t="s">
        <v>649</v>
      </c>
      <c r="E148" t="s">
        <v>8391</v>
      </c>
      <c r="F148" t="s">
        <v>8392</v>
      </c>
      <c r="G148" s="356">
        <v>45582</v>
      </c>
      <c r="H148" s="356"/>
      <c r="J148" s="357">
        <v>700</v>
      </c>
      <c r="K148" s="357"/>
      <c r="L148">
        <v>15</v>
      </c>
      <c r="N148">
        <v>4</v>
      </c>
      <c r="P148" t="s">
        <v>702</v>
      </c>
    </row>
    <row r="149" spans="1:16">
      <c r="A149" s="30" t="s">
        <v>30</v>
      </c>
      <c r="B149" s="30" t="s">
        <v>55</v>
      </c>
      <c r="C149" t="s">
        <v>972</v>
      </c>
      <c r="E149" s="30" t="s">
        <v>973</v>
      </c>
      <c r="F149" s="30" t="s">
        <v>8393</v>
      </c>
      <c r="G149" s="356">
        <v>45592</v>
      </c>
      <c r="H149" s="356"/>
      <c r="J149" s="357">
        <v>550</v>
      </c>
      <c r="K149" s="357"/>
      <c r="L149">
        <v>25</v>
      </c>
      <c r="M149" s="30" t="s">
        <v>44</v>
      </c>
      <c r="P149" s="30" t="s">
        <v>36</v>
      </c>
    </row>
    <row r="150" spans="1:16">
      <c r="A150" s="30" t="s">
        <v>30</v>
      </c>
      <c r="B150" s="30" t="s">
        <v>253</v>
      </c>
      <c r="C150" s="30" t="s">
        <v>980</v>
      </c>
      <c r="D150" s="30"/>
      <c r="E150" s="30" t="s">
        <v>981</v>
      </c>
      <c r="F150" s="30" t="s">
        <v>8394</v>
      </c>
      <c r="G150" s="356">
        <v>45591</v>
      </c>
      <c r="H150" s="356"/>
      <c r="J150" s="357">
        <v>550</v>
      </c>
      <c r="K150" s="357"/>
      <c r="L150">
        <v>24</v>
      </c>
      <c r="P150" s="30" t="s">
        <v>702</v>
      </c>
    </row>
    <row r="151" spans="1:16">
      <c r="A151" s="11" t="s">
        <v>30</v>
      </c>
      <c r="B151" s="11" t="s">
        <v>8395</v>
      </c>
      <c r="C151" s="11" t="s">
        <v>1525</v>
      </c>
      <c r="D151" t="s">
        <v>8396</v>
      </c>
      <c r="E151" t="s">
        <v>1197</v>
      </c>
      <c r="F151" s="136" t="s">
        <v>8397</v>
      </c>
      <c r="G151" s="356">
        <v>45593</v>
      </c>
      <c r="H151" s="356">
        <v>45626</v>
      </c>
      <c r="J151" s="357">
        <v>2870</v>
      </c>
      <c r="K151" s="357">
        <v>2870</v>
      </c>
      <c r="L151">
        <v>5</v>
      </c>
      <c r="N151">
        <v>8</v>
      </c>
      <c r="P151" t="s">
        <v>702</v>
      </c>
    </row>
    <row r="152" spans="1:16">
      <c r="A152" s="11" t="s">
        <v>30</v>
      </c>
      <c r="B152" s="11" t="s">
        <v>8398</v>
      </c>
      <c r="C152" s="11" t="s">
        <v>3889</v>
      </c>
      <c r="D152" s="11"/>
      <c r="E152" s="146" t="s">
        <v>987</v>
      </c>
      <c r="F152" t="s">
        <v>8399</v>
      </c>
      <c r="G152" s="356">
        <v>45587</v>
      </c>
      <c r="H152" s="356">
        <v>45648</v>
      </c>
      <c r="J152" s="357">
        <v>550</v>
      </c>
      <c r="K152" s="357">
        <v>550</v>
      </c>
      <c r="L152">
        <v>22</v>
      </c>
      <c r="N152">
        <v>4</v>
      </c>
      <c r="P152" t="s">
        <v>702</v>
      </c>
    </row>
    <row r="153" spans="1:16">
      <c r="A153" s="30" t="s">
        <v>30</v>
      </c>
      <c r="B153" s="30" t="s">
        <v>253</v>
      </c>
      <c r="C153" s="11" t="s">
        <v>3497</v>
      </c>
      <c r="D153" t="s">
        <v>8400</v>
      </c>
      <c r="E153" s="30" t="s">
        <v>3498</v>
      </c>
      <c r="F153" s="30" t="s">
        <v>8401</v>
      </c>
      <c r="G153" s="356">
        <v>45597</v>
      </c>
      <c r="H153" s="361" t="s">
        <v>8402</v>
      </c>
      <c r="J153" s="357">
        <v>1500</v>
      </c>
      <c r="K153" s="357">
        <v>1000</v>
      </c>
      <c r="L153">
        <v>5</v>
      </c>
      <c r="N153">
        <v>4</v>
      </c>
      <c r="P153" t="s">
        <v>702</v>
      </c>
    </row>
    <row r="154" spans="1:16">
      <c r="A154" s="11" t="s">
        <v>30</v>
      </c>
      <c r="B154" s="11" t="s">
        <v>8395</v>
      </c>
      <c r="C154" s="11" t="s">
        <v>1196</v>
      </c>
      <c r="D154" t="s">
        <v>8396</v>
      </c>
      <c r="E154" t="s">
        <v>1197</v>
      </c>
      <c r="F154" s="136" t="s">
        <v>8397</v>
      </c>
      <c r="G154" s="356">
        <v>45602</v>
      </c>
      <c r="H154" s="356">
        <v>45626</v>
      </c>
      <c r="J154" s="357">
        <v>2870</v>
      </c>
      <c r="K154" s="357">
        <v>1435</v>
      </c>
      <c r="L154">
        <v>5</v>
      </c>
      <c r="N154">
        <v>8</v>
      </c>
      <c r="P154" t="s">
        <v>702</v>
      </c>
    </row>
    <row r="155" spans="1:16">
      <c r="A155" t="s">
        <v>99</v>
      </c>
      <c r="B155" t="s">
        <v>8403</v>
      </c>
      <c r="C155" t="s">
        <v>3656</v>
      </c>
      <c r="E155" t="s">
        <v>3657</v>
      </c>
      <c r="F155" t="s">
        <v>8404</v>
      </c>
      <c r="G155" s="356">
        <v>45574</v>
      </c>
      <c r="H155" s="356">
        <v>45635</v>
      </c>
      <c r="J155" s="357">
        <v>300</v>
      </c>
      <c r="K155" s="357"/>
      <c r="L155">
        <v>9</v>
      </c>
      <c r="P155" t="s">
        <v>702</v>
      </c>
    </row>
    <row r="156" spans="1:16">
      <c r="A156" s="11" t="s">
        <v>30</v>
      </c>
      <c r="B156" s="11" t="s">
        <v>422</v>
      </c>
      <c r="C156" s="11" t="s">
        <v>2295</v>
      </c>
      <c r="D156" s="11"/>
      <c r="E156" s="136" t="s">
        <v>2296</v>
      </c>
      <c r="F156" t="s">
        <v>8405</v>
      </c>
      <c r="G156" s="356">
        <v>45605</v>
      </c>
      <c r="H156" s="356">
        <v>45626</v>
      </c>
      <c r="J156" s="357">
        <v>400</v>
      </c>
      <c r="K156" s="357"/>
      <c r="M156" s="30" t="s">
        <v>44</v>
      </c>
      <c r="N156">
        <v>1</v>
      </c>
      <c r="P156" t="s">
        <v>702</v>
      </c>
    </row>
    <row r="157" spans="1:16">
      <c r="A157" s="11" t="s">
        <v>30</v>
      </c>
      <c r="B157" s="11" t="s">
        <v>8398</v>
      </c>
      <c r="C157" s="30" t="s">
        <v>1126</v>
      </c>
      <c r="D157" s="30"/>
      <c r="E157" s="30" t="s">
        <v>1127</v>
      </c>
      <c r="F157" t="s">
        <v>8257</v>
      </c>
      <c r="G157" s="356">
        <v>45602</v>
      </c>
      <c r="H157" s="356">
        <v>45657</v>
      </c>
      <c r="J157" s="357">
        <v>1650</v>
      </c>
      <c r="K157" s="357">
        <v>1550</v>
      </c>
      <c r="L157">
        <v>3</v>
      </c>
      <c r="P157" t="s">
        <v>702</v>
      </c>
    </row>
    <row r="158" spans="1:16">
      <c r="A158" s="11" t="s">
        <v>30</v>
      </c>
      <c r="B158" t="s">
        <v>8406</v>
      </c>
      <c r="C158" t="s">
        <v>1131</v>
      </c>
      <c r="D158" s="30" t="s">
        <v>8407</v>
      </c>
      <c r="E158" t="s">
        <v>1132</v>
      </c>
      <c r="F158" t="s">
        <v>8408</v>
      </c>
      <c r="G158" s="356">
        <v>45610</v>
      </c>
      <c r="H158" s="356">
        <v>45671</v>
      </c>
      <c r="J158" s="357">
        <v>1000</v>
      </c>
      <c r="K158" s="357">
        <v>1000</v>
      </c>
      <c r="L158">
        <v>14</v>
      </c>
      <c r="N158">
        <v>4</v>
      </c>
      <c r="P158" t="s">
        <v>702</v>
      </c>
    </row>
    <row r="159" spans="1:16">
      <c r="A159" t="s">
        <v>30</v>
      </c>
      <c r="B159" t="s">
        <v>31</v>
      </c>
      <c r="C159" t="s">
        <v>2284</v>
      </c>
      <c r="D159" s="30" t="s">
        <v>8409</v>
      </c>
      <c r="E159" t="s">
        <v>2285</v>
      </c>
      <c r="F159" t="s">
        <v>8410</v>
      </c>
      <c r="G159" s="356">
        <v>45611</v>
      </c>
      <c r="H159" s="356"/>
      <c r="J159" s="357">
        <v>400</v>
      </c>
      <c r="K159" s="357">
        <v>0</v>
      </c>
      <c r="L159">
        <v>15</v>
      </c>
      <c r="N159">
        <v>1</v>
      </c>
      <c r="P159" t="s">
        <v>702</v>
      </c>
    </row>
    <row r="160" spans="1:16">
      <c r="A160" t="s">
        <v>30</v>
      </c>
      <c r="B160" s="30" t="s">
        <v>245</v>
      </c>
      <c r="C160" t="s">
        <v>1858</v>
      </c>
      <c r="D160" s="30" t="s">
        <v>8411</v>
      </c>
      <c r="E160" s="30" t="s">
        <v>1859</v>
      </c>
      <c r="F160" s="30" t="s">
        <v>8412</v>
      </c>
      <c r="G160" s="356">
        <v>45618</v>
      </c>
      <c r="H160" s="356">
        <v>45648</v>
      </c>
      <c r="J160" s="357">
        <v>1080</v>
      </c>
      <c r="K160" s="357"/>
      <c r="L160">
        <v>1</v>
      </c>
      <c r="M160" s="30" t="s">
        <v>44</v>
      </c>
      <c r="N160">
        <v>4</v>
      </c>
      <c r="P160" s="30" t="s">
        <v>702</v>
      </c>
    </row>
    <row r="161" spans="1:17">
      <c r="A161" s="11" t="s">
        <v>30</v>
      </c>
      <c r="B161" s="11" t="s">
        <v>8398</v>
      </c>
      <c r="C161" s="49" t="s">
        <v>1848</v>
      </c>
      <c r="D161" s="49"/>
      <c r="E161" s="49" t="s">
        <v>1849</v>
      </c>
      <c r="F161" s="49" t="s">
        <v>8413</v>
      </c>
      <c r="G161" s="369">
        <v>45612</v>
      </c>
      <c r="H161" s="369">
        <v>45673</v>
      </c>
      <c r="I161" s="49"/>
      <c r="J161" s="370">
        <v>700</v>
      </c>
      <c r="K161" s="370">
        <v>700</v>
      </c>
      <c r="L161" s="371">
        <v>15</v>
      </c>
      <c r="M161" s="49" t="s">
        <v>35</v>
      </c>
      <c r="N161" s="49"/>
      <c r="O161" s="49"/>
      <c r="P161" s="30" t="s">
        <v>702</v>
      </c>
      <c r="Q161" s="49"/>
    </row>
    <row r="162" spans="1:17">
      <c r="A162" s="11" t="s">
        <v>30</v>
      </c>
      <c r="B162" s="11" t="s">
        <v>31</v>
      </c>
      <c r="C162" s="11" t="s">
        <v>8414</v>
      </c>
      <c r="D162" s="11"/>
      <c r="E162" s="21" t="s">
        <v>7216</v>
      </c>
      <c r="F162" t="s">
        <v>8415</v>
      </c>
      <c r="G162" s="356">
        <v>45620</v>
      </c>
      <c r="H162" s="356"/>
      <c r="J162" s="357">
        <v>400</v>
      </c>
      <c r="K162" s="357">
        <v>480</v>
      </c>
      <c r="L162">
        <v>22</v>
      </c>
      <c r="P162" s="30" t="s">
        <v>702</v>
      </c>
    </row>
    <row r="163" spans="1:17">
      <c r="A163" s="11" t="s">
        <v>30</v>
      </c>
      <c r="B163" s="11" t="s">
        <v>8398</v>
      </c>
      <c r="C163" t="s">
        <v>2135</v>
      </c>
      <c r="E163" s="146" t="s">
        <v>987</v>
      </c>
      <c r="F163" t="s">
        <v>8416</v>
      </c>
      <c r="G163" s="356">
        <v>45595</v>
      </c>
      <c r="H163" s="356">
        <v>45656</v>
      </c>
      <c r="J163" s="357">
        <v>650</v>
      </c>
      <c r="K163" s="357">
        <v>650</v>
      </c>
      <c r="L163">
        <v>30</v>
      </c>
      <c r="N163">
        <v>4</v>
      </c>
      <c r="P163" t="s">
        <v>702</v>
      </c>
    </row>
    <row r="164" spans="1:17">
      <c r="A164" s="11" t="s">
        <v>30</v>
      </c>
      <c r="B164" s="11" t="s">
        <v>31</v>
      </c>
      <c r="C164" s="11" t="s">
        <v>8414</v>
      </c>
      <c r="D164" s="11"/>
      <c r="E164" s="49" t="s">
        <v>7216</v>
      </c>
      <c r="F164" s="136" t="s">
        <v>8415</v>
      </c>
      <c r="G164" s="372">
        <v>45620</v>
      </c>
      <c r="H164" s="356">
        <v>45716</v>
      </c>
      <c r="J164" s="357">
        <v>480</v>
      </c>
      <c r="K164" s="357">
        <v>480</v>
      </c>
      <c r="L164">
        <v>24</v>
      </c>
      <c r="O164" t="s">
        <v>7217</v>
      </c>
      <c r="P164" t="s">
        <v>702</v>
      </c>
    </row>
    <row r="165" spans="1:17">
      <c r="A165" s="11" t="s">
        <v>30</v>
      </c>
      <c r="B165" s="11" t="s">
        <v>31</v>
      </c>
      <c r="C165" s="30" t="s">
        <v>1206</v>
      </c>
      <c r="D165" s="30"/>
      <c r="E165" t="s">
        <v>1005</v>
      </c>
      <c r="F165" t="s">
        <v>8240</v>
      </c>
      <c r="G165" s="356">
        <v>45623</v>
      </c>
      <c r="H165" s="356">
        <v>45957</v>
      </c>
      <c r="J165" s="357">
        <v>2500</v>
      </c>
      <c r="K165" s="357">
        <v>2500</v>
      </c>
      <c r="L165">
        <v>27</v>
      </c>
      <c r="N165">
        <v>8</v>
      </c>
      <c r="P165" t="s">
        <v>702</v>
      </c>
    </row>
    <row r="166" spans="1:17">
      <c r="A166" s="11" t="s">
        <v>30</v>
      </c>
      <c r="B166" s="11" t="s">
        <v>31</v>
      </c>
      <c r="C166" s="30" t="s">
        <v>8417</v>
      </c>
      <c r="D166" s="30"/>
      <c r="E166" s="30" t="s">
        <v>4400</v>
      </c>
      <c r="F166" s="30" t="s">
        <v>8418</v>
      </c>
      <c r="G166" s="356">
        <v>45627</v>
      </c>
      <c r="H166" s="373">
        <v>45717</v>
      </c>
      <c r="I166">
        <v>30</v>
      </c>
      <c r="J166" s="357">
        <v>390</v>
      </c>
      <c r="K166" s="357">
        <v>500</v>
      </c>
      <c r="L166">
        <v>1</v>
      </c>
      <c r="N166">
        <v>1</v>
      </c>
      <c r="P166" s="30" t="s">
        <v>702</v>
      </c>
    </row>
    <row r="167" spans="1:17">
      <c r="A167" s="11" t="s">
        <v>30</v>
      </c>
      <c r="B167" s="11" t="s">
        <v>790</v>
      </c>
      <c r="C167" s="11" t="s">
        <v>1672</v>
      </c>
      <c r="D167" s="11"/>
      <c r="E167" s="11" t="s">
        <v>1673</v>
      </c>
      <c r="F167" t="s">
        <v>8419</v>
      </c>
      <c r="G167" s="356">
        <v>45630</v>
      </c>
      <c r="H167" s="356"/>
      <c r="J167" s="357">
        <v>300</v>
      </c>
      <c r="K167" s="357"/>
      <c r="L167">
        <v>1</v>
      </c>
      <c r="P167" s="30" t="s">
        <v>702</v>
      </c>
    </row>
    <row r="168" spans="1:17">
      <c r="A168" s="11" t="s">
        <v>30</v>
      </c>
      <c r="B168" s="11" t="s">
        <v>8382</v>
      </c>
      <c r="C168" s="11" t="s">
        <v>4577</v>
      </c>
      <c r="D168" s="11"/>
      <c r="E168" s="46" t="s">
        <v>4400</v>
      </c>
      <c r="F168" s="30" t="s">
        <v>8418</v>
      </c>
      <c r="G168" s="356">
        <v>45627</v>
      </c>
      <c r="H168" s="373">
        <v>45717</v>
      </c>
      <c r="I168">
        <v>30</v>
      </c>
      <c r="J168" s="357">
        <v>395</v>
      </c>
      <c r="K168" s="357">
        <v>500</v>
      </c>
      <c r="L168">
        <v>1</v>
      </c>
      <c r="N168">
        <v>1</v>
      </c>
      <c r="P168" s="30" t="s">
        <v>702</v>
      </c>
    </row>
    <row r="169" spans="1:17">
      <c r="A169" s="11" t="s">
        <v>30</v>
      </c>
      <c r="B169" s="11" t="s">
        <v>415</v>
      </c>
      <c r="C169" s="87" t="s">
        <v>1290</v>
      </c>
      <c r="D169" s="30" t="s">
        <v>8420</v>
      </c>
      <c r="E169" s="46" t="s">
        <v>1291</v>
      </c>
      <c r="F169" s="30" t="s">
        <v>8421</v>
      </c>
      <c r="G169" s="356">
        <v>45635</v>
      </c>
      <c r="H169" s="356">
        <v>45716</v>
      </c>
      <c r="J169" s="357">
        <v>580</v>
      </c>
      <c r="K169" s="357">
        <v>580</v>
      </c>
      <c r="L169">
        <v>1</v>
      </c>
      <c r="N169">
        <v>4</v>
      </c>
      <c r="O169" s="30" t="s">
        <v>8422</v>
      </c>
      <c r="P169" s="30" t="s">
        <v>702</v>
      </c>
    </row>
    <row r="170" spans="1:17">
      <c r="A170" s="11" t="s">
        <v>30</v>
      </c>
      <c r="B170" s="11" t="s">
        <v>87</v>
      </c>
      <c r="C170" s="11" t="s">
        <v>1515</v>
      </c>
      <c r="D170" s="11"/>
      <c r="E170" s="30" t="s">
        <v>1516</v>
      </c>
      <c r="F170" t="s">
        <v>8423</v>
      </c>
      <c r="G170" s="356">
        <v>45635</v>
      </c>
      <c r="H170" s="356"/>
      <c r="J170" s="357">
        <v>500</v>
      </c>
      <c r="K170" s="357">
        <v>500</v>
      </c>
      <c r="L170">
        <v>7</v>
      </c>
      <c r="P170" s="30" t="s">
        <v>702</v>
      </c>
    </row>
    <row r="171" spans="1:17">
      <c r="A171" s="11" t="s">
        <v>30</v>
      </c>
      <c r="B171" s="11" t="s">
        <v>8382</v>
      </c>
      <c r="C171" t="s">
        <v>1222</v>
      </c>
      <c r="E171" t="s">
        <v>1223</v>
      </c>
      <c r="F171" s="30" t="s">
        <v>8424</v>
      </c>
      <c r="G171" s="356">
        <v>45625</v>
      </c>
      <c r="H171" s="356">
        <v>45688</v>
      </c>
      <c r="J171" s="357">
        <v>695</v>
      </c>
      <c r="K171" s="357">
        <v>695</v>
      </c>
      <c r="L171">
        <v>28</v>
      </c>
      <c r="N171">
        <v>4</v>
      </c>
      <c r="P171" s="30" t="s">
        <v>702</v>
      </c>
    </row>
    <row r="172" spans="1:17">
      <c r="A172" s="11" t="s">
        <v>30</v>
      </c>
      <c r="B172" s="11" t="s">
        <v>8382</v>
      </c>
      <c r="C172" s="30" t="s">
        <v>1492</v>
      </c>
      <c r="D172" t="s">
        <v>8396</v>
      </c>
      <c r="E172" t="s">
        <v>1197</v>
      </c>
      <c r="F172" s="30" t="s">
        <v>8397</v>
      </c>
      <c r="G172" s="356">
        <v>45631</v>
      </c>
      <c r="H172" s="356">
        <v>45688</v>
      </c>
      <c r="J172" s="357">
        <v>3300</v>
      </c>
      <c r="K172" s="357">
        <v>1700</v>
      </c>
      <c r="L172">
        <v>1</v>
      </c>
      <c r="N172">
        <v>10</v>
      </c>
      <c r="P172" s="30" t="s">
        <v>702</v>
      </c>
    </row>
    <row r="173" spans="1:17">
      <c r="A173" t="s">
        <v>30</v>
      </c>
      <c r="B173" s="30" t="s">
        <v>1161</v>
      </c>
      <c r="C173" s="30" t="s">
        <v>1344</v>
      </c>
      <c r="D173" s="30"/>
      <c r="E173" s="30" t="s">
        <v>1345</v>
      </c>
      <c r="F173" s="30" t="s">
        <v>8425</v>
      </c>
      <c r="G173" s="356">
        <v>45638</v>
      </c>
      <c r="H173" s="356"/>
      <c r="J173" s="357">
        <v>2000</v>
      </c>
      <c r="K173" s="357"/>
      <c r="P173" s="30" t="s">
        <v>702</v>
      </c>
    </row>
    <row r="174" spans="1:17">
      <c r="A174" s="11" t="s">
        <v>30</v>
      </c>
      <c r="B174" s="30" t="s">
        <v>253</v>
      </c>
      <c r="C174" s="30" t="s">
        <v>8426</v>
      </c>
      <c r="D174" s="30"/>
      <c r="E174" s="30" t="s">
        <v>1693</v>
      </c>
      <c r="F174" s="30" t="s">
        <v>8427</v>
      </c>
      <c r="G174" s="356">
        <v>45645</v>
      </c>
      <c r="H174" s="356">
        <v>45716</v>
      </c>
      <c r="J174" s="357">
        <v>2400</v>
      </c>
      <c r="K174" s="357">
        <v>2400</v>
      </c>
      <c r="L174">
        <v>1</v>
      </c>
      <c r="N174">
        <v>5</v>
      </c>
      <c r="O174" s="11" t="s">
        <v>1884</v>
      </c>
      <c r="P174" s="30" t="s">
        <v>36</v>
      </c>
    </row>
    <row r="175" spans="1:17">
      <c r="A175" s="11" t="s">
        <v>30</v>
      </c>
      <c r="B175" s="11" t="s">
        <v>8382</v>
      </c>
      <c r="C175" s="30" t="s">
        <v>8428</v>
      </c>
      <c r="D175" s="67" t="s">
        <v>8429</v>
      </c>
      <c r="E175" s="30" t="s">
        <v>4400</v>
      </c>
      <c r="F175" s="30" t="s">
        <v>8418</v>
      </c>
      <c r="G175" s="356">
        <v>45658</v>
      </c>
      <c r="H175" s="373">
        <v>45748</v>
      </c>
      <c r="I175">
        <v>30</v>
      </c>
      <c r="J175" s="357">
        <v>410</v>
      </c>
      <c r="K175" s="357">
        <v>500</v>
      </c>
      <c r="L175">
        <v>1</v>
      </c>
      <c r="N175">
        <v>1</v>
      </c>
      <c r="P175" s="30" t="s">
        <v>702</v>
      </c>
    </row>
    <row r="176" spans="1:17">
      <c r="A176" t="s">
        <v>30</v>
      </c>
      <c r="B176" s="30" t="s">
        <v>245</v>
      </c>
      <c r="C176" s="30" t="s">
        <v>1952</v>
      </c>
      <c r="E176" t="s">
        <v>1953</v>
      </c>
      <c r="F176" t="s">
        <v>8430</v>
      </c>
      <c r="G176" s="356">
        <v>45637</v>
      </c>
      <c r="H176" s="356">
        <v>45699</v>
      </c>
      <c r="J176" s="357">
        <v>600</v>
      </c>
      <c r="K176" s="357">
        <v>600</v>
      </c>
      <c r="L176">
        <v>10</v>
      </c>
      <c r="N176">
        <v>3</v>
      </c>
      <c r="P176" s="30" t="s">
        <v>702</v>
      </c>
    </row>
    <row r="177" spans="1:17">
      <c r="A177" s="11" t="s">
        <v>30</v>
      </c>
      <c r="B177" s="30" t="s">
        <v>151</v>
      </c>
      <c r="C177" s="30" t="s">
        <v>2114</v>
      </c>
      <c r="D177" s="30"/>
      <c r="E177" s="30" t="s">
        <v>8431</v>
      </c>
      <c r="F177" s="30" t="s">
        <v>8189</v>
      </c>
      <c r="G177" s="356">
        <v>45665</v>
      </c>
      <c r="H177" s="356">
        <v>45724</v>
      </c>
      <c r="J177" s="357">
        <v>375</v>
      </c>
      <c r="K177" s="357">
        <v>375</v>
      </c>
      <c r="L177">
        <v>5</v>
      </c>
      <c r="N177">
        <v>1</v>
      </c>
      <c r="P177" s="30" t="s">
        <v>702</v>
      </c>
    </row>
    <row r="178" spans="1:17">
      <c r="A178" s="11" t="s">
        <v>30</v>
      </c>
      <c r="B178" s="30" t="s">
        <v>422</v>
      </c>
      <c r="C178" s="30" t="s">
        <v>1375</v>
      </c>
      <c r="D178" t="s">
        <v>8432</v>
      </c>
      <c r="E178" s="30" t="s">
        <v>1376</v>
      </c>
      <c r="F178" s="30" t="s">
        <v>8433</v>
      </c>
      <c r="G178" s="356">
        <v>45665</v>
      </c>
      <c r="H178" s="356">
        <v>45723</v>
      </c>
      <c r="J178" s="357">
        <v>2100</v>
      </c>
      <c r="K178" s="357">
        <v>2100</v>
      </c>
      <c r="L178">
        <v>5</v>
      </c>
      <c r="N178">
        <v>9</v>
      </c>
      <c r="P178" s="30" t="s">
        <v>702</v>
      </c>
    </row>
    <row r="179" spans="1:17">
      <c r="A179" s="11" t="s">
        <v>30</v>
      </c>
      <c r="B179" s="30" t="s">
        <v>626</v>
      </c>
      <c r="C179" s="30" t="s">
        <v>8434</v>
      </c>
      <c r="D179" s="30"/>
      <c r="E179" s="46" t="s">
        <v>628</v>
      </c>
      <c r="G179" s="356">
        <v>45665</v>
      </c>
      <c r="H179" s="356"/>
      <c r="J179" s="357">
        <v>1300</v>
      </c>
      <c r="K179" s="357"/>
      <c r="L179">
        <v>5</v>
      </c>
      <c r="N179">
        <v>4</v>
      </c>
      <c r="P179" s="30" t="s">
        <v>36</v>
      </c>
    </row>
    <row r="180" spans="1:17">
      <c r="A180" s="11" t="s">
        <v>30</v>
      </c>
      <c r="B180" s="11" t="s">
        <v>8435</v>
      </c>
      <c r="C180" s="31" t="s">
        <v>2153</v>
      </c>
      <c r="D180" s="30" t="s">
        <v>8436</v>
      </c>
      <c r="E180" s="46" t="s">
        <v>2154</v>
      </c>
      <c r="F180" s="30" t="s">
        <v>8437</v>
      </c>
      <c r="G180" s="356">
        <v>45663</v>
      </c>
      <c r="H180" s="356">
        <v>45722</v>
      </c>
      <c r="J180" s="357">
        <v>800</v>
      </c>
      <c r="K180" s="357">
        <v>1000</v>
      </c>
      <c r="L180">
        <v>5</v>
      </c>
      <c r="M180" s="30" t="s">
        <v>35</v>
      </c>
      <c r="N180">
        <v>3</v>
      </c>
      <c r="P180" s="30" t="s">
        <v>702</v>
      </c>
    </row>
    <row r="181" spans="1:17">
      <c r="A181" s="11" t="s">
        <v>30</v>
      </c>
      <c r="B181" s="11" t="s">
        <v>8438</v>
      </c>
      <c r="C181" s="11" t="s">
        <v>2084</v>
      </c>
      <c r="D181" s="11"/>
      <c r="E181" s="46" t="s">
        <v>804</v>
      </c>
      <c r="F181" s="30" t="s">
        <v>8439</v>
      </c>
      <c r="G181" s="356">
        <v>45672</v>
      </c>
      <c r="H181" s="356">
        <v>45762</v>
      </c>
      <c r="J181" s="357">
        <v>500</v>
      </c>
      <c r="K181" s="357">
        <v>500</v>
      </c>
      <c r="L181">
        <v>13</v>
      </c>
      <c r="N181">
        <v>4</v>
      </c>
      <c r="P181" t="s">
        <v>702</v>
      </c>
    </row>
    <row r="182" spans="1:17">
      <c r="A182" t="s">
        <v>30</v>
      </c>
      <c r="B182" t="s">
        <v>415</v>
      </c>
      <c r="C182" s="374" t="s">
        <v>2173</v>
      </c>
      <c r="D182" s="374"/>
      <c r="E182" s="67" t="s">
        <v>2174</v>
      </c>
      <c r="F182" t="s">
        <v>8440</v>
      </c>
      <c r="G182" s="356">
        <v>45675</v>
      </c>
      <c r="H182" s="356">
        <v>45706</v>
      </c>
      <c r="J182" s="357">
        <v>1100</v>
      </c>
      <c r="K182" s="357"/>
      <c r="L182">
        <v>16</v>
      </c>
      <c r="N182">
        <v>4</v>
      </c>
      <c r="P182" t="s">
        <v>702</v>
      </c>
    </row>
    <row r="183" spans="1:17">
      <c r="A183" t="s">
        <v>30</v>
      </c>
      <c r="B183" t="s">
        <v>415</v>
      </c>
      <c r="C183" t="s">
        <v>1389</v>
      </c>
      <c r="E183" s="67" t="s">
        <v>1390</v>
      </c>
      <c r="F183" t="s">
        <v>8441</v>
      </c>
      <c r="G183" s="356">
        <v>45678</v>
      </c>
      <c r="H183" s="356">
        <v>45709</v>
      </c>
      <c r="J183" s="357">
        <v>1100</v>
      </c>
      <c r="K183" s="357"/>
      <c r="L183">
        <v>18</v>
      </c>
      <c r="N183">
        <v>4</v>
      </c>
      <c r="P183" t="s">
        <v>702</v>
      </c>
    </row>
    <row r="184" spans="1:17">
      <c r="A184" t="s">
        <v>30</v>
      </c>
      <c r="B184" t="s">
        <v>1404</v>
      </c>
      <c r="C184" t="s">
        <v>8442</v>
      </c>
      <c r="E184" t="s">
        <v>3152</v>
      </c>
      <c r="F184" t="s">
        <v>8443</v>
      </c>
      <c r="G184" s="356">
        <v>45671</v>
      </c>
      <c r="H184" s="356">
        <v>45687</v>
      </c>
      <c r="J184" s="357">
        <v>2904</v>
      </c>
      <c r="K184" s="357"/>
      <c r="N184">
        <v>5</v>
      </c>
      <c r="O184" t="s">
        <v>35</v>
      </c>
      <c r="P184" t="s">
        <v>702</v>
      </c>
    </row>
    <row r="185" spans="1:17">
      <c r="A185" s="11" t="s">
        <v>30</v>
      </c>
      <c r="B185" s="11" t="s">
        <v>1404</v>
      </c>
      <c r="C185" s="30" t="s">
        <v>5396</v>
      </c>
      <c r="D185" s="30"/>
      <c r="E185" s="30" t="s">
        <v>5397</v>
      </c>
      <c r="F185" s="30" t="s">
        <v>8444</v>
      </c>
      <c r="G185" s="356"/>
      <c r="H185" s="356"/>
      <c r="J185" s="357">
        <v>700</v>
      </c>
      <c r="K185" s="357"/>
      <c r="O185" s="30" t="s">
        <v>44</v>
      </c>
      <c r="P185" s="30" t="s">
        <v>36</v>
      </c>
    </row>
    <row r="186" spans="1:17">
      <c r="A186" s="11" t="s">
        <v>30</v>
      </c>
      <c r="B186" s="11" t="s">
        <v>8445</v>
      </c>
      <c r="C186" s="11" t="s">
        <v>1949</v>
      </c>
      <c r="D186" s="11"/>
      <c r="E186" s="30" t="s">
        <v>1950</v>
      </c>
      <c r="F186" s="30" t="s">
        <v>8446</v>
      </c>
      <c r="G186" s="356">
        <v>45677</v>
      </c>
      <c r="H186" s="356"/>
      <c r="J186" s="357">
        <v>1500</v>
      </c>
      <c r="K186" s="357"/>
      <c r="L186">
        <v>18</v>
      </c>
      <c r="O186" s="30" t="s">
        <v>44</v>
      </c>
      <c r="P186" s="30" t="s">
        <v>702</v>
      </c>
    </row>
    <row r="187" spans="1:17">
      <c r="A187" s="11" t="s">
        <v>30</v>
      </c>
      <c r="B187" s="30" t="s">
        <v>55</v>
      </c>
      <c r="C187" t="s">
        <v>1439</v>
      </c>
      <c r="E187" s="30" t="s">
        <v>1440</v>
      </c>
      <c r="F187" s="30" t="s">
        <v>8447</v>
      </c>
      <c r="G187" s="356">
        <v>45678</v>
      </c>
      <c r="H187" s="356"/>
      <c r="J187" s="357">
        <v>2000</v>
      </c>
      <c r="K187" s="357"/>
      <c r="L187">
        <v>18</v>
      </c>
      <c r="N187">
        <v>4</v>
      </c>
      <c r="O187" s="30" t="s">
        <v>35</v>
      </c>
      <c r="P187" s="30" t="s">
        <v>702</v>
      </c>
    </row>
    <row r="188" spans="1:17">
      <c r="A188" s="11" t="s">
        <v>30</v>
      </c>
      <c r="B188" s="11" t="s">
        <v>415</v>
      </c>
      <c r="C188" s="11" t="s">
        <v>2773</v>
      </c>
      <c r="D188" s="11" t="s">
        <v>8448</v>
      </c>
      <c r="E188" s="46" t="s">
        <v>1413</v>
      </c>
      <c r="F188" s="30" t="s">
        <v>8449</v>
      </c>
      <c r="G188" s="356">
        <v>45675</v>
      </c>
      <c r="H188" s="356"/>
      <c r="I188">
        <v>15</v>
      </c>
      <c r="J188" s="357">
        <v>1650</v>
      </c>
      <c r="K188" s="357">
        <v>1650</v>
      </c>
      <c r="L188">
        <v>1</v>
      </c>
      <c r="N188">
        <v>5</v>
      </c>
      <c r="O188" s="30" t="s">
        <v>8450</v>
      </c>
      <c r="P188" s="30" t="s">
        <v>702</v>
      </c>
      <c r="Q188" s="30" t="s">
        <v>8451</v>
      </c>
    </row>
    <row r="189" spans="1:17">
      <c r="A189" s="11" t="s">
        <v>30</v>
      </c>
      <c r="B189" s="11" t="s">
        <v>855</v>
      </c>
      <c r="C189" s="11" t="s">
        <v>8452</v>
      </c>
      <c r="D189" s="11"/>
      <c r="E189" s="21" t="s">
        <v>1474</v>
      </c>
      <c r="F189" t="s">
        <v>8453</v>
      </c>
      <c r="G189" s="356">
        <v>45679</v>
      </c>
      <c r="H189" s="356">
        <v>45707</v>
      </c>
      <c r="J189" s="357">
        <v>1080</v>
      </c>
      <c r="K189" s="357"/>
      <c r="L189">
        <v>22</v>
      </c>
      <c r="O189" t="s">
        <v>44</v>
      </c>
      <c r="P189" t="s">
        <v>702</v>
      </c>
    </row>
    <row r="190" spans="1:17">
      <c r="A190" t="s">
        <v>30</v>
      </c>
      <c r="B190" t="s">
        <v>648</v>
      </c>
      <c r="C190" s="30" t="s">
        <v>5107</v>
      </c>
      <c r="D190" s="30" t="s">
        <v>8221</v>
      </c>
      <c r="E190" t="s">
        <v>1545</v>
      </c>
      <c r="F190" t="s">
        <v>8222</v>
      </c>
      <c r="G190" s="356">
        <v>45683</v>
      </c>
      <c r="H190" s="356">
        <v>45777</v>
      </c>
      <c r="J190" s="357">
        <v>550</v>
      </c>
      <c r="K190" s="357">
        <v>550</v>
      </c>
      <c r="L190">
        <v>1</v>
      </c>
      <c r="N190">
        <v>3</v>
      </c>
      <c r="P190" t="s">
        <v>702</v>
      </c>
    </row>
    <row r="191" spans="1:17">
      <c r="A191" t="s">
        <v>741</v>
      </c>
      <c r="B191" s="11" t="s">
        <v>266</v>
      </c>
      <c r="C191" t="s">
        <v>1511</v>
      </c>
      <c r="E191" t="s">
        <v>1512</v>
      </c>
      <c r="F191" t="s">
        <v>8454</v>
      </c>
      <c r="G191" s="356">
        <v>45659</v>
      </c>
      <c r="H191" s="356"/>
      <c r="J191" s="357">
        <v>1300</v>
      </c>
      <c r="K191" s="357"/>
      <c r="L191">
        <v>1</v>
      </c>
      <c r="M191" s="30" t="s">
        <v>35</v>
      </c>
      <c r="N191">
        <v>2</v>
      </c>
      <c r="P191" t="s">
        <v>702</v>
      </c>
    </row>
    <row r="192" spans="1:17">
      <c r="A192" s="11" t="s">
        <v>30</v>
      </c>
      <c r="B192" s="11" t="s">
        <v>151</v>
      </c>
      <c r="C192" s="11" t="s">
        <v>2962</v>
      </c>
      <c r="D192" s="11" t="s">
        <v>8455</v>
      </c>
      <c r="E192" s="46" t="s">
        <v>2963</v>
      </c>
      <c r="F192" s="30" t="s">
        <v>8456</v>
      </c>
      <c r="G192" s="356">
        <v>45685</v>
      </c>
      <c r="H192" s="356"/>
      <c r="J192" s="357">
        <v>320</v>
      </c>
      <c r="K192" s="362" t="s">
        <v>8457</v>
      </c>
      <c r="L192">
        <v>1</v>
      </c>
      <c r="N192">
        <v>1</v>
      </c>
      <c r="O192" t="s">
        <v>35</v>
      </c>
      <c r="P192" t="s">
        <v>702</v>
      </c>
    </row>
    <row r="193" spans="1:16">
      <c r="A193" s="11" t="s">
        <v>30</v>
      </c>
      <c r="B193" s="11" t="s">
        <v>31</v>
      </c>
      <c r="C193" s="30" t="s">
        <v>6878</v>
      </c>
      <c r="D193" s="67" t="s">
        <v>8429</v>
      </c>
      <c r="E193" t="s">
        <v>4400</v>
      </c>
      <c r="F193" t="s">
        <v>8418</v>
      </c>
      <c r="G193" s="356">
        <v>45689</v>
      </c>
      <c r="H193" s="373">
        <v>45778</v>
      </c>
      <c r="I193">
        <v>30</v>
      </c>
      <c r="J193" s="357">
        <v>410</v>
      </c>
      <c r="K193" s="357">
        <v>500</v>
      </c>
      <c r="L193">
        <v>1</v>
      </c>
      <c r="N193">
        <v>1</v>
      </c>
      <c r="P193" t="s">
        <v>702</v>
      </c>
    </row>
    <row r="194" spans="1:16">
      <c r="A194" s="11" t="s">
        <v>30</v>
      </c>
      <c r="B194" s="11" t="s">
        <v>359</v>
      </c>
      <c r="C194" s="136" t="s">
        <v>8458</v>
      </c>
      <c r="D194" s="136"/>
      <c r="E194" s="46" t="s">
        <v>3326</v>
      </c>
      <c r="F194" t="s">
        <v>8459</v>
      </c>
      <c r="G194" s="356">
        <v>45690</v>
      </c>
      <c r="H194" s="356">
        <v>45710</v>
      </c>
      <c r="J194" s="357">
        <v>990</v>
      </c>
      <c r="K194" s="357">
        <v>300</v>
      </c>
      <c r="L194">
        <v>1</v>
      </c>
      <c r="N194">
        <v>3</v>
      </c>
      <c r="P194" t="s">
        <v>702</v>
      </c>
    </row>
    <row r="195" spans="1:16">
      <c r="A195" s="11" t="s">
        <v>30</v>
      </c>
      <c r="B195" s="11" t="s">
        <v>359</v>
      </c>
      <c r="C195" s="136" t="s">
        <v>8460</v>
      </c>
      <c r="D195" s="136"/>
      <c r="E195" s="46" t="s">
        <v>3326</v>
      </c>
      <c r="F195" t="s">
        <v>8459</v>
      </c>
      <c r="G195" s="356">
        <v>45690</v>
      </c>
      <c r="H195" s="356">
        <v>45710</v>
      </c>
      <c r="J195" s="357">
        <v>990</v>
      </c>
      <c r="K195" s="357">
        <v>300</v>
      </c>
      <c r="L195">
        <v>1</v>
      </c>
      <c r="N195">
        <v>3</v>
      </c>
      <c r="P195" t="s">
        <v>702</v>
      </c>
    </row>
    <row r="196" spans="1:16">
      <c r="A196" t="s">
        <v>30</v>
      </c>
      <c r="B196" t="s">
        <v>3684</v>
      </c>
      <c r="C196" s="11" t="s">
        <v>3685</v>
      </c>
      <c r="D196" s="11"/>
      <c r="E196" s="49" t="s">
        <v>3686</v>
      </c>
      <c r="F196" t="s">
        <v>8461</v>
      </c>
      <c r="G196" s="356">
        <v>45696</v>
      </c>
      <c r="H196" s="356">
        <v>45785</v>
      </c>
      <c r="I196">
        <v>30</v>
      </c>
      <c r="J196" s="357">
        <v>1500</v>
      </c>
      <c r="K196" s="357">
        <v>1200</v>
      </c>
      <c r="L196">
        <v>5</v>
      </c>
      <c r="N196">
        <v>4</v>
      </c>
      <c r="O196" t="s">
        <v>35</v>
      </c>
      <c r="P196" t="s">
        <v>702</v>
      </c>
    </row>
    <row r="197" spans="1:16">
      <c r="A197" t="s">
        <v>30</v>
      </c>
      <c r="B197" t="s">
        <v>8438</v>
      </c>
      <c r="C197" s="30" t="s">
        <v>1671</v>
      </c>
      <c r="D197" t="s">
        <v>8462</v>
      </c>
      <c r="E197" s="46" t="s">
        <v>804</v>
      </c>
      <c r="F197" t="s">
        <v>8463</v>
      </c>
      <c r="G197" s="356">
        <v>45698</v>
      </c>
      <c r="H197" s="356">
        <v>45787</v>
      </c>
      <c r="I197">
        <v>30</v>
      </c>
      <c r="J197" s="357">
        <v>600</v>
      </c>
      <c r="K197" s="357">
        <v>600</v>
      </c>
      <c r="L197">
        <v>5</v>
      </c>
      <c r="N197">
        <v>3</v>
      </c>
      <c r="O197" t="s">
        <v>35</v>
      </c>
      <c r="P197" t="s">
        <v>702</v>
      </c>
    </row>
    <row r="198" spans="1:16">
      <c r="A198" s="11" t="s">
        <v>30</v>
      </c>
      <c r="B198" s="11" t="s">
        <v>1130</v>
      </c>
      <c r="C198" s="11" t="s">
        <v>2012</v>
      </c>
      <c r="D198" s="11"/>
      <c r="E198" t="s">
        <v>2013</v>
      </c>
      <c r="F198" s="30" t="s">
        <v>8408</v>
      </c>
      <c r="G198" s="356">
        <v>45691</v>
      </c>
      <c r="H198" s="356"/>
      <c r="I198">
        <v>15</v>
      </c>
      <c r="J198" s="357">
        <f>350*7</f>
        <v>2450</v>
      </c>
      <c r="K198" s="357">
        <f>4*350+3*350</f>
        <v>2450</v>
      </c>
      <c r="L198">
        <v>1</v>
      </c>
      <c r="N198">
        <v>7</v>
      </c>
      <c r="P198" s="30" t="s">
        <v>702</v>
      </c>
    </row>
    <row r="199" spans="1:16">
      <c r="A199" s="11" t="s">
        <v>30</v>
      </c>
      <c r="B199" t="s">
        <v>877</v>
      </c>
      <c r="C199" t="s">
        <v>2248</v>
      </c>
      <c r="E199" s="67" t="s">
        <v>2249</v>
      </c>
      <c r="G199" s="356">
        <v>45701</v>
      </c>
      <c r="H199" s="356">
        <v>45729</v>
      </c>
      <c r="I199">
        <v>30</v>
      </c>
      <c r="J199" s="357">
        <v>300</v>
      </c>
      <c r="K199" s="357"/>
      <c r="L199">
        <v>10</v>
      </c>
      <c r="N199">
        <v>1</v>
      </c>
      <c r="O199" t="s">
        <v>35</v>
      </c>
      <c r="P199" t="s">
        <v>702</v>
      </c>
    </row>
    <row r="200" spans="1:16">
      <c r="A200" t="s">
        <v>30</v>
      </c>
      <c r="B200" t="s">
        <v>109</v>
      </c>
      <c r="C200" s="11" t="s">
        <v>2161</v>
      </c>
      <c r="D200" s="11"/>
      <c r="E200" t="s">
        <v>2162</v>
      </c>
      <c r="G200" s="356"/>
      <c r="H200" s="356"/>
      <c r="J200" s="357"/>
      <c r="K200" s="357"/>
    </row>
    <row r="201" spans="1:16">
      <c r="A201" t="s">
        <v>30</v>
      </c>
      <c r="B201" t="s">
        <v>648</v>
      </c>
      <c r="C201" s="11" t="s">
        <v>1698</v>
      </c>
      <c r="D201" s="11"/>
      <c r="E201" t="s">
        <v>1699</v>
      </c>
      <c r="F201" t="s">
        <v>8464</v>
      </c>
      <c r="G201" s="356">
        <v>45705</v>
      </c>
      <c r="H201" s="356">
        <v>45368</v>
      </c>
      <c r="J201" s="357">
        <v>750</v>
      </c>
      <c r="K201" s="357"/>
      <c r="L201">
        <v>15</v>
      </c>
      <c r="P201" t="s">
        <v>702</v>
      </c>
    </row>
    <row r="202" spans="1:16">
      <c r="A202" t="s">
        <v>30</v>
      </c>
      <c r="B202" t="s">
        <v>855</v>
      </c>
      <c r="C202" s="11" t="s">
        <v>1662</v>
      </c>
      <c r="D202" s="11"/>
      <c r="E202" t="s">
        <v>1474</v>
      </c>
      <c r="F202" t="s">
        <v>8453</v>
      </c>
      <c r="G202" s="356">
        <v>45688</v>
      </c>
      <c r="H202" s="356">
        <v>45715</v>
      </c>
      <c r="J202" s="357">
        <v>1100</v>
      </c>
      <c r="K202" s="357"/>
      <c r="L202">
        <v>25</v>
      </c>
      <c r="N202">
        <v>2</v>
      </c>
      <c r="O202" t="s">
        <v>44</v>
      </c>
      <c r="P202" t="s">
        <v>702</v>
      </c>
    </row>
    <row r="203" spans="1:16" ht="75">
      <c r="A203" s="11" t="s">
        <v>30</v>
      </c>
      <c r="B203" s="365" t="s">
        <v>87</v>
      </c>
      <c r="C203" s="45" t="s">
        <v>8465</v>
      </c>
      <c r="D203" s="366"/>
      <c r="E203" s="45" t="s">
        <v>8386</v>
      </c>
      <c r="F203" s="366" t="s">
        <v>8466</v>
      </c>
      <c r="G203" s="367">
        <v>45706</v>
      </c>
      <c r="H203" s="367">
        <v>45765</v>
      </c>
      <c r="J203" s="375" t="s">
        <v>8467</v>
      </c>
      <c r="K203" s="357"/>
      <c r="L203" s="376">
        <v>5</v>
      </c>
      <c r="M203" s="371"/>
      <c r="N203" s="371">
        <v>6</v>
      </c>
      <c r="P203" t="s">
        <v>702</v>
      </c>
    </row>
    <row r="204" spans="1:16">
      <c r="A204" t="s">
        <v>30</v>
      </c>
      <c r="B204" t="s">
        <v>245</v>
      </c>
      <c r="C204" t="s">
        <v>2760</v>
      </c>
      <c r="E204" t="s">
        <v>2597</v>
      </c>
      <c r="F204" t="s">
        <v>8468</v>
      </c>
      <c r="G204" s="356">
        <v>45707</v>
      </c>
      <c r="H204" s="356">
        <v>45734</v>
      </c>
      <c r="J204" s="357">
        <v>1200</v>
      </c>
      <c r="K204" s="357">
        <v>600</v>
      </c>
      <c r="L204">
        <v>16</v>
      </c>
      <c r="N204">
        <v>3</v>
      </c>
      <c r="O204" t="s">
        <v>35</v>
      </c>
      <c r="P204" t="s">
        <v>702</v>
      </c>
    </row>
    <row r="205" spans="1:16">
      <c r="A205" s="11" t="s">
        <v>99</v>
      </c>
      <c r="B205" s="340" t="s">
        <v>664</v>
      </c>
      <c r="C205" s="11" t="s">
        <v>5834</v>
      </c>
      <c r="D205" s="11"/>
      <c r="E205" s="49" t="s">
        <v>5835</v>
      </c>
      <c r="F205" t="s">
        <v>8469</v>
      </c>
      <c r="G205" s="356">
        <v>45710</v>
      </c>
      <c r="H205" s="356"/>
      <c r="J205" s="357">
        <v>500</v>
      </c>
      <c r="K205" s="357">
        <v>0</v>
      </c>
      <c r="L205">
        <v>20</v>
      </c>
      <c r="N205">
        <v>1</v>
      </c>
      <c r="P205" t="s">
        <v>702</v>
      </c>
    </row>
    <row r="206" spans="1:16">
      <c r="A206" t="s">
        <v>30</v>
      </c>
      <c r="B206" t="s">
        <v>8470</v>
      </c>
      <c r="C206" t="s">
        <v>3088</v>
      </c>
      <c r="D206" s="30" t="s">
        <v>8471</v>
      </c>
      <c r="E206" t="s">
        <v>8472</v>
      </c>
      <c r="F206" t="s">
        <v>8441</v>
      </c>
      <c r="G206" s="356">
        <v>45711</v>
      </c>
      <c r="H206" s="356">
        <v>45739</v>
      </c>
      <c r="J206" s="357">
        <v>1400</v>
      </c>
      <c r="K206" s="357"/>
      <c r="L206">
        <v>23</v>
      </c>
      <c r="N206">
        <v>5</v>
      </c>
      <c r="O206" t="s">
        <v>35</v>
      </c>
      <c r="P206" t="s">
        <v>702</v>
      </c>
    </row>
    <row r="207" spans="1:16">
      <c r="A207" s="11" t="s">
        <v>30</v>
      </c>
      <c r="B207" s="340" t="s">
        <v>100</v>
      </c>
      <c r="C207" s="11" t="s">
        <v>101</v>
      </c>
      <c r="D207" s="11"/>
      <c r="E207" s="21" t="s">
        <v>102</v>
      </c>
      <c r="F207" s="30" t="s">
        <v>8473</v>
      </c>
      <c r="G207" s="356">
        <v>45685</v>
      </c>
      <c r="H207" s="356"/>
      <c r="J207" s="357">
        <v>550</v>
      </c>
      <c r="K207" s="357"/>
      <c r="L207">
        <v>25</v>
      </c>
      <c r="N207">
        <v>2</v>
      </c>
      <c r="O207" t="s">
        <v>35</v>
      </c>
      <c r="P207" t="s">
        <v>702</v>
      </c>
    </row>
    <row r="208" spans="1:16">
      <c r="A208" s="11" t="s">
        <v>30</v>
      </c>
      <c r="B208" s="30" t="s">
        <v>55</v>
      </c>
      <c r="C208" s="355" t="s">
        <v>1776</v>
      </c>
      <c r="D208" s="355" t="s">
        <v>8474</v>
      </c>
      <c r="E208" s="30" t="s">
        <v>106</v>
      </c>
      <c r="F208" s="30" t="s">
        <v>8284</v>
      </c>
      <c r="G208" s="356">
        <v>45709</v>
      </c>
      <c r="H208" s="356">
        <v>45838</v>
      </c>
      <c r="J208" s="357">
        <v>1450</v>
      </c>
      <c r="K208" s="357">
        <v>600</v>
      </c>
      <c r="L208">
        <v>1</v>
      </c>
      <c r="N208">
        <v>3</v>
      </c>
      <c r="O208" s="30" t="s">
        <v>35</v>
      </c>
      <c r="P208" s="30" t="s">
        <v>702</v>
      </c>
    </row>
    <row r="209" spans="1:17">
      <c r="A209" t="s">
        <v>30</v>
      </c>
      <c r="B209" t="s">
        <v>8382</v>
      </c>
      <c r="C209" s="11" t="s">
        <v>3911</v>
      </c>
      <c r="D209" s="11" t="s">
        <v>8475</v>
      </c>
      <c r="E209" t="s">
        <v>3912</v>
      </c>
      <c r="F209" t="s">
        <v>8476</v>
      </c>
      <c r="G209" s="356">
        <v>45716</v>
      </c>
      <c r="H209" s="356">
        <v>45744</v>
      </c>
      <c r="J209" s="357">
        <v>450</v>
      </c>
      <c r="K209" s="357">
        <v>150</v>
      </c>
      <c r="L209">
        <v>26</v>
      </c>
      <c r="N209">
        <v>1</v>
      </c>
      <c r="O209" t="s">
        <v>35</v>
      </c>
      <c r="P209" t="s">
        <v>702</v>
      </c>
    </row>
    <row r="210" spans="1:17">
      <c r="A210" t="s">
        <v>30</v>
      </c>
      <c r="B210" t="s">
        <v>151</v>
      </c>
      <c r="C210" t="s">
        <v>8477</v>
      </c>
      <c r="D210" s="11" t="s">
        <v>8478</v>
      </c>
      <c r="E210" t="s">
        <v>8479</v>
      </c>
      <c r="F210" t="s">
        <v>8480</v>
      </c>
      <c r="G210" s="356">
        <v>45719</v>
      </c>
      <c r="H210" s="356">
        <v>45750</v>
      </c>
      <c r="J210" s="357">
        <v>320</v>
      </c>
      <c r="K210" s="357"/>
      <c r="L210">
        <v>1</v>
      </c>
      <c r="N210">
        <v>1</v>
      </c>
      <c r="O210" t="s">
        <v>35</v>
      </c>
      <c r="P210" t="s">
        <v>702</v>
      </c>
    </row>
    <row r="211" spans="1:17">
      <c r="A211" s="11" t="s">
        <v>99</v>
      </c>
      <c r="B211" s="340" t="s">
        <v>415</v>
      </c>
      <c r="C211" s="46" t="s">
        <v>8481</v>
      </c>
      <c r="D211" s="30" t="s">
        <v>8482</v>
      </c>
      <c r="E211" s="11" t="s">
        <v>2795</v>
      </c>
      <c r="F211" s="30" t="s">
        <v>8242</v>
      </c>
      <c r="G211" s="356">
        <v>45720</v>
      </c>
      <c r="H211" s="356"/>
      <c r="J211" s="357">
        <v>1600</v>
      </c>
      <c r="K211" s="357">
        <v>500</v>
      </c>
      <c r="L211">
        <v>1</v>
      </c>
      <c r="N211">
        <v>7</v>
      </c>
      <c r="P211" s="30" t="s">
        <v>702</v>
      </c>
    </row>
    <row r="212" spans="1:17">
      <c r="A212" s="11" t="s">
        <v>30</v>
      </c>
      <c r="B212" s="340" t="s">
        <v>31</v>
      </c>
      <c r="C212" s="49" t="s">
        <v>4148</v>
      </c>
      <c r="D212" s="11" t="s">
        <v>8483</v>
      </c>
      <c r="E212" t="s">
        <v>3391</v>
      </c>
      <c r="F212" t="s">
        <v>8484</v>
      </c>
      <c r="G212" s="356">
        <v>45705</v>
      </c>
      <c r="H212" s="356"/>
      <c r="J212" s="357">
        <v>380</v>
      </c>
      <c r="K212" s="357"/>
      <c r="L212">
        <v>15</v>
      </c>
      <c r="N212">
        <v>1</v>
      </c>
      <c r="P212" t="s">
        <v>702</v>
      </c>
    </row>
    <row r="213" spans="1:17">
      <c r="A213" s="30" t="s">
        <v>30</v>
      </c>
      <c r="B213" s="30" t="s">
        <v>415</v>
      </c>
      <c r="C213" t="s">
        <v>2198</v>
      </c>
      <c r="D213" s="11" t="s">
        <v>8485</v>
      </c>
      <c r="E213" s="30" t="s">
        <v>2174</v>
      </c>
      <c r="F213" s="30" t="s">
        <v>8486</v>
      </c>
      <c r="G213" s="356">
        <v>45727</v>
      </c>
      <c r="H213" s="356">
        <v>45788</v>
      </c>
      <c r="J213" s="357">
        <v>1350</v>
      </c>
      <c r="K213" s="357"/>
      <c r="L213">
        <v>8</v>
      </c>
      <c r="N213">
        <v>4</v>
      </c>
      <c r="O213" s="30" t="s">
        <v>35</v>
      </c>
      <c r="P213" s="30" t="s">
        <v>702</v>
      </c>
    </row>
    <row r="214" spans="1:17">
      <c r="A214" t="s">
        <v>30</v>
      </c>
      <c r="B214" t="s">
        <v>3213</v>
      </c>
      <c r="C214" t="s">
        <v>3653</v>
      </c>
      <c r="D214" s="11" t="s">
        <v>8487</v>
      </c>
      <c r="E214" t="s">
        <v>3654</v>
      </c>
      <c r="F214" t="s">
        <v>8488</v>
      </c>
      <c r="G214" s="356">
        <v>45727</v>
      </c>
      <c r="H214" s="356">
        <v>45788</v>
      </c>
      <c r="J214" s="357">
        <v>285</v>
      </c>
      <c r="K214" s="357">
        <v>285</v>
      </c>
      <c r="L214">
        <v>9</v>
      </c>
      <c r="N214">
        <v>1</v>
      </c>
      <c r="O214" t="s">
        <v>35</v>
      </c>
      <c r="P214" t="s">
        <v>702</v>
      </c>
    </row>
    <row r="215" spans="1:17">
      <c r="A215" s="2" t="s">
        <v>72</v>
      </c>
      <c r="B215" s="340" t="s">
        <v>1115</v>
      </c>
      <c r="C215" s="11" t="s">
        <v>3278</v>
      </c>
      <c r="D215" s="11"/>
      <c r="G215" s="356">
        <v>45717</v>
      </c>
      <c r="H215" s="356"/>
      <c r="J215" s="357">
        <v>1500</v>
      </c>
      <c r="K215" s="357">
        <v>500</v>
      </c>
      <c r="M215" t="s">
        <v>44</v>
      </c>
      <c r="N215">
        <v>2</v>
      </c>
      <c r="P215" t="s">
        <v>702</v>
      </c>
    </row>
    <row r="216" spans="1:17">
      <c r="A216" t="s">
        <v>30</v>
      </c>
      <c r="B216" t="s">
        <v>213</v>
      </c>
      <c r="C216" s="30" t="s">
        <v>1841</v>
      </c>
      <c r="D216" t="s">
        <v>8396</v>
      </c>
      <c r="E216" t="s">
        <v>1197</v>
      </c>
      <c r="F216" s="136" t="s">
        <v>8397</v>
      </c>
      <c r="G216" s="356">
        <v>45726</v>
      </c>
      <c r="H216" s="356">
        <v>45777</v>
      </c>
      <c r="J216" s="357">
        <v>2200</v>
      </c>
      <c r="K216" s="357"/>
      <c r="L216">
        <v>5</v>
      </c>
      <c r="N216">
        <v>5</v>
      </c>
      <c r="P216" t="s">
        <v>702</v>
      </c>
    </row>
    <row r="217" spans="1:17">
      <c r="A217" t="s">
        <v>30</v>
      </c>
      <c r="B217" t="s">
        <v>213</v>
      </c>
      <c r="C217" s="30" t="s">
        <v>8489</v>
      </c>
      <c r="D217" t="s">
        <v>8396</v>
      </c>
      <c r="E217" t="s">
        <v>1197</v>
      </c>
      <c r="F217" s="136" t="s">
        <v>8397</v>
      </c>
      <c r="G217" s="356">
        <v>45725</v>
      </c>
      <c r="H217" s="356">
        <v>45756</v>
      </c>
      <c r="J217" s="357">
        <v>1950</v>
      </c>
      <c r="K217" s="357">
        <v>800</v>
      </c>
      <c r="L217">
        <v>5</v>
      </c>
      <c r="N217">
        <v>4</v>
      </c>
      <c r="P217" t="s">
        <v>702</v>
      </c>
    </row>
    <row r="218" spans="1:17">
      <c r="A218" s="11" t="s">
        <v>30</v>
      </c>
      <c r="B218" s="340" t="s">
        <v>648</v>
      </c>
      <c r="C218" s="49" t="s">
        <v>712</v>
      </c>
      <c r="D218" s="30" t="s">
        <v>8490</v>
      </c>
      <c r="E218" s="30" t="s">
        <v>8491</v>
      </c>
      <c r="F218" t="s">
        <v>8492</v>
      </c>
      <c r="G218" s="356">
        <v>45730</v>
      </c>
      <c r="H218" s="356">
        <v>45913</v>
      </c>
      <c r="J218" s="357">
        <v>400</v>
      </c>
      <c r="K218" s="357">
        <v>400</v>
      </c>
      <c r="L218">
        <v>14</v>
      </c>
      <c r="N218">
        <v>4</v>
      </c>
      <c r="P218" t="s">
        <v>702</v>
      </c>
    </row>
    <row r="219" spans="1:17">
      <c r="A219" t="s">
        <v>30</v>
      </c>
      <c r="B219" t="s">
        <v>109</v>
      </c>
      <c r="C219" s="30" t="s">
        <v>3066</v>
      </c>
      <c r="D219" s="11" t="s">
        <v>8493</v>
      </c>
      <c r="E219" t="s">
        <v>8494</v>
      </c>
      <c r="F219" t="s">
        <v>8495</v>
      </c>
      <c r="G219" s="356">
        <v>45737</v>
      </c>
      <c r="H219" s="356">
        <v>45798</v>
      </c>
      <c r="J219" s="357">
        <v>1200</v>
      </c>
      <c r="K219" s="357">
        <v>2400</v>
      </c>
      <c r="L219">
        <v>4</v>
      </c>
      <c r="N219">
        <v>6</v>
      </c>
      <c r="P219" t="s">
        <v>702</v>
      </c>
    </row>
    <row r="220" spans="1:17">
      <c r="A220" s="11" t="s">
        <v>30</v>
      </c>
      <c r="B220" s="340" t="s">
        <v>8496</v>
      </c>
      <c r="C220" s="11" t="s">
        <v>6112</v>
      </c>
      <c r="D220" s="30" t="s">
        <v>8497</v>
      </c>
      <c r="E220" s="11" t="s">
        <v>4584</v>
      </c>
      <c r="F220" t="s">
        <v>8498</v>
      </c>
      <c r="G220" s="356">
        <v>45739</v>
      </c>
      <c r="H220" s="356">
        <v>45800</v>
      </c>
      <c r="J220" s="357">
        <v>350</v>
      </c>
      <c r="K220" s="357">
        <v>350</v>
      </c>
      <c r="L220">
        <v>1</v>
      </c>
      <c r="N220">
        <v>2</v>
      </c>
      <c r="P220" t="s">
        <v>702</v>
      </c>
    </row>
    <row r="221" spans="1:17">
      <c r="A221" t="s">
        <v>30</v>
      </c>
      <c r="B221" t="s">
        <v>626</v>
      </c>
      <c r="C221" s="30" t="s">
        <v>1964</v>
      </c>
      <c r="D221" s="11" t="s">
        <v>8499</v>
      </c>
      <c r="E221" s="49" t="s">
        <v>8500</v>
      </c>
      <c r="F221" t="s">
        <v>8501</v>
      </c>
      <c r="G221" s="356">
        <v>45738</v>
      </c>
      <c r="H221" s="356">
        <v>46053</v>
      </c>
      <c r="J221" s="357">
        <v>2000</v>
      </c>
      <c r="K221" s="357">
        <v>500</v>
      </c>
      <c r="L221">
        <v>5</v>
      </c>
      <c r="N221">
        <v>5</v>
      </c>
      <c r="P221" t="s">
        <v>36</v>
      </c>
    </row>
    <row r="222" spans="1:17">
      <c r="A222" t="s">
        <v>30</v>
      </c>
      <c r="B222" t="s">
        <v>359</v>
      </c>
      <c r="C222" t="s">
        <v>494</v>
      </c>
      <c r="D222" s="11"/>
      <c r="E222" t="s">
        <v>495</v>
      </c>
      <c r="F222" t="s">
        <v>8502</v>
      </c>
      <c r="G222" s="356">
        <v>45716</v>
      </c>
      <c r="H222" s="356">
        <v>45747</v>
      </c>
      <c r="J222" s="357">
        <v>850</v>
      </c>
      <c r="K222" s="357">
        <v>850</v>
      </c>
      <c r="L222">
        <v>1</v>
      </c>
      <c r="N222">
        <v>6</v>
      </c>
      <c r="P222" t="s">
        <v>702</v>
      </c>
    </row>
    <row r="223" spans="1:17">
      <c r="A223" s="365" t="s">
        <v>30</v>
      </c>
      <c r="B223" s="365" t="s">
        <v>359</v>
      </c>
      <c r="C223" s="365" t="s">
        <v>360</v>
      </c>
      <c r="D223" s="11" t="s">
        <v>8503</v>
      </c>
      <c r="E223" s="365" t="s">
        <v>361</v>
      </c>
      <c r="F223" s="365" t="s">
        <v>8504</v>
      </c>
      <c r="G223" s="367">
        <v>45749</v>
      </c>
      <c r="H223" s="367">
        <v>45779</v>
      </c>
      <c r="I223" s="377"/>
      <c r="J223" s="378">
        <v>800</v>
      </c>
      <c r="K223" s="378">
        <v>400</v>
      </c>
      <c r="L223" s="379">
        <v>1</v>
      </c>
      <c r="M223" s="377"/>
      <c r="N223" s="377"/>
      <c r="O223" s="365" t="s">
        <v>35</v>
      </c>
      <c r="P223" s="365" t="s">
        <v>702</v>
      </c>
      <c r="Q223" s="377"/>
    </row>
    <row r="224" spans="1:17">
      <c r="A224" t="s">
        <v>30</v>
      </c>
      <c r="B224" t="s">
        <v>855</v>
      </c>
      <c r="C224" s="365" t="s">
        <v>4010</v>
      </c>
      <c r="D224" s="11" t="s">
        <v>8505</v>
      </c>
      <c r="E224" t="s">
        <v>4011</v>
      </c>
      <c r="F224" t="s">
        <v>8506</v>
      </c>
      <c r="G224" s="356">
        <v>45749</v>
      </c>
      <c r="H224" s="356">
        <v>45810</v>
      </c>
      <c r="J224" s="357">
        <v>600</v>
      </c>
      <c r="K224" s="357">
        <v>600</v>
      </c>
      <c r="L224">
        <v>2</v>
      </c>
      <c r="O224" t="s">
        <v>35</v>
      </c>
      <c r="P224" t="s">
        <v>702</v>
      </c>
    </row>
    <row r="225" spans="1:16">
      <c r="A225" t="s">
        <v>30</v>
      </c>
      <c r="B225" t="s">
        <v>855</v>
      </c>
      <c r="C225" s="365" t="s">
        <v>4604</v>
      </c>
      <c r="D225" s="11" t="s">
        <v>8507</v>
      </c>
      <c r="E225" s="171" t="s">
        <v>8508</v>
      </c>
      <c r="F225" t="s">
        <v>8509</v>
      </c>
      <c r="G225" s="356">
        <v>45749</v>
      </c>
      <c r="H225" s="356">
        <v>45810</v>
      </c>
      <c r="J225" s="357">
        <v>900</v>
      </c>
      <c r="K225" s="357">
        <v>900</v>
      </c>
      <c r="L225">
        <v>2</v>
      </c>
      <c r="O225" t="s">
        <v>35</v>
      </c>
      <c r="P225" t="s">
        <v>702</v>
      </c>
    </row>
    <row r="226" spans="1:16">
      <c r="A226" t="s">
        <v>30</v>
      </c>
      <c r="B226" t="s">
        <v>626</v>
      </c>
      <c r="C226" s="30" t="s">
        <v>1408</v>
      </c>
      <c r="D226" s="11" t="s">
        <v>8499</v>
      </c>
      <c r="E226" s="49" t="s">
        <v>8500</v>
      </c>
      <c r="F226" t="s">
        <v>8501</v>
      </c>
      <c r="G226" s="356">
        <v>45738</v>
      </c>
      <c r="H226" s="356">
        <v>46053</v>
      </c>
      <c r="J226" s="357">
        <v>1800</v>
      </c>
      <c r="K226" s="357">
        <v>500</v>
      </c>
      <c r="L226">
        <v>5</v>
      </c>
      <c r="N226">
        <v>4</v>
      </c>
      <c r="P226" t="s">
        <v>36</v>
      </c>
    </row>
    <row r="227" spans="1:16">
      <c r="A227" s="11" t="s">
        <v>99</v>
      </c>
      <c r="B227" s="11" t="s">
        <v>422</v>
      </c>
      <c r="C227" s="11" t="s">
        <v>2723</v>
      </c>
      <c r="D227" t="s">
        <v>8510</v>
      </c>
      <c r="E227" s="11" t="s">
        <v>2724</v>
      </c>
      <c r="F227" t="s">
        <v>8511</v>
      </c>
      <c r="G227" s="356">
        <v>45759</v>
      </c>
      <c r="H227" s="356"/>
      <c r="J227" s="357">
        <v>500</v>
      </c>
      <c r="K227" s="357">
        <v>0</v>
      </c>
      <c r="L227">
        <v>10</v>
      </c>
      <c r="N227">
        <v>1</v>
      </c>
      <c r="P227" t="s">
        <v>702</v>
      </c>
    </row>
    <row r="228" spans="1:16">
      <c r="A228" t="s">
        <v>30</v>
      </c>
      <c r="B228" t="s">
        <v>686</v>
      </c>
      <c r="C228" s="11" t="s">
        <v>3068</v>
      </c>
      <c r="D228" t="s">
        <v>8512</v>
      </c>
      <c r="E228" s="11" t="s">
        <v>3069</v>
      </c>
      <c r="F228" t="s">
        <v>8513</v>
      </c>
      <c r="G228" s="356">
        <v>45770</v>
      </c>
      <c r="H228" s="356">
        <v>45841</v>
      </c>
      <c r="J228" s="357">
        <v>900</v>
      </c>
      <c r="K228" s="357">
        <v>0</v>
      </c>
      <c r="L228">
        <v>21</v>
      </c>
      <c r="N228">
        <v>2</v>
      </c>
      <c r="P228" t="s">
        <v>702</v>
      </c>
    </row>
    <row r="229" spans="1:16">
      <c r="A229" s="11" t="s">
        <v>30</v>
      </c>
      <c r="B229" s="11" t="s">
        <v>648</v>
      </c>
      <c r="C229" s="136" t="s">
        <v>5049</v>
      </c>
      <c r="D229" s="11" t="s">
        <v>8514</v>
      </c>
      <c r="E229" s="11" t="s">
        <v>5050</v>
      </c>
      <c r="F229" s="355" t="s">
        <v>8515</v>
      </c>
      <c r="G229" s="356">
        <v>45772</v>
      </c>
      <c r="H229" s="356"/>
      <c r="J229" s="357">
        <v>250</v>
      </c>
      <c r="K229" s="357">
        <v>50</v>
      </c>
      <c r="L229">
        <v>23</v>
      </c>
      <c r="N229">
        <v>1</v>
      </c>
      <c r="P229" t="s">
        <v>702</v>
      </c>
    </row>
    <row r="230" spans="1:16">
      <c r="A230" s="11" t="s">
        <v>30</v>
      </c>
      <c r="B230" t="s">
        <v>253</v>
      </c>
      <c r="C230" s="380" t="s">
        <v>8516</v>
      </c>
      <c r="D230" t="s">
        <v>8517</v>
      </c>
      <c r="F230" t="s">
        <v>8518</v>
      </c>
      <c r="G230" s="356">
        <v>45760</v>
      </c>
      <c r="H230" s="356"/>
      <c r="J230" s="357">
        <v>500</v>
      </c>
      <c r="K230" s="357"/>
      <c r="L230">
        <v>1</v>
      </c>
      <c r="N230">
        <v>1</v>
      </c>
      <c r="O230" t="s">
        <v>8519</v>
      </c>
      <c r="P230" t="s">
        <v>702</v>
      </c>
    </row>
    <row r="231" spans="1:16">
      <c r="A231" t="s">
        <v>30</v>
      </c>
      <c r="B231" t="s">
        <v>8496</v>
      </c>
      <c r="C231" s="11" t="s">
        <v>4583</v>
      </c>
      <c r="D231" s="30" t="s">
        <v>8497</v>
      </c>
      <c r="E231" s="11" t="s">
        <v>4584</v>
      </c>
      <c r="F231" t="s">
        <v>8498</v>
      </c>
      <c r="G231" s="356">
        <v>45781</v>
      </c>
      <c r="H231" s="356">
        <v>45812</v>
      </c>
      <c r="J231" s="357">
        <v>550</v>
      </c>
      <c r="K231" s="357">
        <v>550</v>
      </c>
      <c r="L231">
        <v>1</v>
      </c>
      <c r="N231">
        <v>2</v>
      </c>
      <c r="P231" t="s">
        <v>702</v>
      </c>
    </row>
    <row r="232" spans="1:16">
      <c r="A232" t="s">
        <v>30</v>
      </c>
      <c r="B232" s="30" t="s">
        <v>985</v>
      </c>
      <c r="C232" s="30" t="s">
        <v>8520</v>
      </c>
      <c r="D232" s="30" t="s">
        <v>8521</v>
      </c>
      <c r="E232" s="30" t="s">
        <v>2133</v>
      </c>
      <c r="F232" s="30" t="s">
        <v>8522</v>
      </c>
      <c r="G232" s="356">
        <v>45748</v>
      </c>
      <c r="H232" s="356">
        <v>45809</v>
      </c>
      <c r="J232" s="357"/>
      <c r="K232" s="357">
        <v>600</v>
      </c>
      <c r="M232" s="30" t="s">
        <v>44</v>
      </c>
      <c r="P232" t="s">
        <v>702</v>
      </c>
    </row>
    <row r="233" spans="1:16">
      <c r="A233" t="s">
        <v>30</v>
      </c>
      <c r="B233" s="30" t="s">
        <v>985</v>
      </c>
      <c r="C233" s="30" t="s">
        <v>8523</v>
      </c>
      <c r="D233" s="30" t="s">
        <v>8521</v>
      </c>
      <c r="E233" s="30" t="s">
        <v>2133</v>
      </c>
      <c r="F233" s="30" t="s">
        <v>8522</v>
      </c>
      <c r="G233" s="356">
        <v>45748</v>
      </c>
      <c r="H233" s="356">
        <v>45809</v>
      </c>
      <c r="J233" s="357"/>
      <c r="K233" s="357">
        <v>600</v>
      </c>
      <c r="M233" s="30" t="s">
        <v>44</v>
      </c>
      <c r="P233" t="s">
        <v>702</v>
      </c>
    </row>
    <row r="234" spans="1:16">
      <c r="A234" t="s">
        <v>30</v>
      </c>
      <c r="B234" s="30" t="s">
        <v>985</v>
      </c>
      <c r="C234" s="30" t="s">
        <v>8524</v>
      </c>
      <c r="D234" s="30" t="s">
        <v>8521</v>
      </c>
      <c r="E234" s="30" t="s">
        <v>2133</v>
      </c>
      <c r="F234" s="30" t="s">
        <v>8522</v>
      </c>
      <c r="G234" s="356">
        <v>45748</v>
      </c>
      <c r="H234" s="356">
        <v>45809</v>
      </c>
      <c r="J234" s="357"/>
      <c r="K234" s="357">
        <v>600</v>
      </c>
      <c r="M234" s="30" t="s">
        <v>44</v>
      </c>
      <c r="P234" t="s">
        <v>702</v>
      </c>
    </row>
    <row r="235" spans="1:16">
      <c r="A235" t="s">
        <v>30</v>
      </c>
      <c r="B235" s="30" t="s">
        <v>985</v>
      </c>
      <c r="C235" s="30" t="s">
        <v>8525</v>
      </c>
      <c r="D235" s="30" t="s">
        <v>8521</v>
      </c>
      <c r="E235" s="30" t="s">
        <v>2133</v>
      </c>
      <c r="F235" s="30" t="s">
        <v>8522</v>
      </c>
      <c r="G235" s="356">
        <v>45748</v>
      </c>
      <c r="H235" s="356">
        <v>45809</v>
      </c>
      <c r="J235" s="357"/>
      <c r="K235" s="357">
        <v>600</v>
      </c>
      <c r="M235" s="30" t="s">
        <v>44</v>
      </c>
      <c r="P235" t="s">
        <v>702</v>
      </c>
    </row>
    <row r="236" spans="1:16">
      <c r="A236" s="11" t="s">
        <v>30</v>
      </c>
      <c r="B236" s="49" t="s">
        <v>8445</v>
      </c>
      <c r="C236" t="s">
        <v>4141</v>
      </c>
      <c r="D236" t="s">
        <v>8526</v>
      </c>
      <c r="E236" t="s">
        <v>3474</v>
      </c>
      <c r="F236" t="s">
        <v>8276</v>
      </c>
      <c r="G236" s="356">
        <v>45790</v>
      </c>
      <c r="H236" s="356">
        <v>45838</v>
      </c>
      <c r="J236" s="357">
        <v>1200</v>
      </c>
      <c r="K236" s="357">
        <v>600</v>
      </c>
      <c r="L236">
        <v>10</v>
      </c>
      <c r="O236" t="s">
        <v>35</v>
      </c>
      <c r="P236" t="s">
        <v>702</v>
      </c>
    </row>
    <row r="237" spans="1:16">
      <c r="A237" s="11" t="s">
        <v>30</v>
      </c>
      <c r="B237" t="s">
        <v>253</v>
      </c>
      <c r="C237" s="380" t="s">
        <v>4021</v>
      </c>
      <c r="D237" t="s">
        <v>8527</v>
      </c>
      <c r="E237" t="s">
        <v>4072</v>
      </c>
      <c r="F237" t="s">
        <v>8528</v>
      </c>
      <c r="G237" s="356">
        <v>45791</v>
      </c>
      <c r="H237" s="356">
        <v>46156</v>
      </c>
      <c r="J237" s="357">
        <v>900</v>
      </c>
      <c r="K237" s="357">
        <v>900</v>
      </c>
      <c r="L237">
        <v>10</v>
      </c>
      <c r="N237">
        <v>3</v>
      </c>
      <c r="O237" t="s">
        <v>8529</v>
      </c>
      <c r="P237" t="s">
        <v>702</v>
      </c>
    </row>
    <row r="238" spans="1:16">
      <c r="A238" t="s">
        <v>30</v>
      </c>
      <c r="B238" t="s">
        <v>253</v>
      </c>
      <c r="C238" s="365" t="s">
        <v>2576</v>
      </c>
      <c r="D238" s="11" t="s">
        <v>8530</v>
      </c>
      <c r="E238" t="s">
        <v>2577</v>
      </c>
      <c r="F238" t="s">
        <v>8531</v>
      </c>
      <c r="G238" s="356">
        <v>45782</v>
      </c>
      <c r="H238" s="356">
        <v>45813</v>
      </c>
      <c r="J238" s="357">
        <v>500</v>
      </c>
      <c r="K238" s="357">
        <v>0</v>
      </c>
      <c r="L238">
        <v>2</v>
      </c>
      <c r="O238" t="s">
        <v>35</v>
      </c>
      <c r="P238" t="s">
        <v>702</v>
      </c>
    </row>
    <row r="239" spans="1:16">
      <c r="A239" t="s">
        <v>30</v>
      </c>
      <c r="B239" t="s">
        <v>8382</v>
      </c>
      <c r="C239" s="11" t="s">
        <v>4399</v>
      </c>
      <c r="D239" s="67" t="s">
        <v>8429</v>
      </c>
      <c r="E239" t="s">
        <v>4400</v>
      </c>
      <c r="F239" t="s">
        <v>8418</v>
      </c>
      <c r="G239" s="356">
        <v>45792</v>
      </c>
      <c r="H239" s="356">
        <v>45884</v>
      </c>
      <c r="I239">
        <v>30</v>
      </c>
      <c r="J239" s="357">
        <v>415</v>
      </c>
      <c r="K239" s="357">
        <v>500</v>
      </c>
      <c r="L239">
        <v>1</v>
      </c>
      <c r="N239">
        <v>1</v>
      </c>
      <c r="P239" t="s">
        <v>702</v>
      </c>
    </row>
    <row r="240" spans="1:16">
      <c r="A240" t="s">
        <v>30</v>
      </c>
      <c r="B240" t="s">
        <v>8382</v>
      </c>
      <c r="C240" s="11" t="s">
        <v>4399</v>
      </c>
      <c r="D240" s="67" t="s">
        <v>8429</v>
      </c>
      <c r="E240" t="s">
        <v>4400</v>
      </c>
      <c r="F240" t="s">
        <v>8418</v>
      </c>
      <c r="G240" s="356">
        <v>45792</v>
      </c>
      <c r="H240" s="356">
        <v>45884</v>
      </c>
      <c r="I240">
        <v>30</v>
      </c>
      <c r="J240" s="357">
        <v>455</v>
      </c>
      <c r="K240" s="357">
        <v>500</v>
      </c>
      <c r="L240">
        <v>1</v>
      </c>
      <c r="N240">
        <v>1</v>
      </c>
      <c r="P240" t="s">
        <v>702</v>
      </c>
    </row>
    <row r="241" spans="1:16">
      <c r="A241" s="11" t="s">
        <v>30</v>
      </c>
      <c r="B241" s="11" t="s">
        <v>1130</v>
      </c>
      <c r="C241" s="11" t="s">
        <v>2012</v>
      </c>
      <c r="D241" s="11"/>
      <c r="E241" t="s">
        <v>2013</v>
      </c>
      <c r="F241" t="s">
        <v>8408</v>
      </c>
      <c r="G241" s="356">
        <v>45800</v>
      </c>
      <c r="H241" s="356">
        <v>45861</v>
      </c>
      <c r="I241">
        <v>15</v>
      </c>
      <c r="J241" s="357">
        <f>2*350</f>
        <v>700</v>
      </c>
      <c r="K241" s="357">
        <f>2*350</f>
        <v>700</v>
      </c>
      <c r="L241">
        <v>1</v>
      </c>
      <c r="N241">
        <v>2</v>
      </c>
      <c r="P241" t="s">
        <v>702</v>
      </c>
    </row>
    <row r="242" spans="1:16">
      <c r="A242" s="11" t="s">
        <v>30</v>
      </c>
      <c r="B242" t="s">
        <v>31</v>
      </c>
      <c r="C242" t="s">
        <v>5421</v>
      </c>
      <c r="D242" s="11" t="s">
        <v>8532</v>
      </c>
      <c r="E242" s="67" t="s">
        <v>5422</v>
      </c>
      <c r="F242" s="30" t="s">
        <v>8533</v>
      </c>
      <c r="G242" s="356">
        <v>45806</v>
      </c>
      <c r="H242" s="356"/>
      <c r="J242" s="357">
        <v>1300</v>
      </c>
      <c r="K242" s="357">
        <v>1300</v>
      </c>
      <c r="L242">
        <v>1</v>
      </c>
      <c r="N242">
        <v>4</v>
      </c>
      <c r="O242" t="s">
        <v>8534</v>
      </c>
      <c r="P242" t="s">
        <v>702</v>
      </c>
    </row>
    <row r="243" spans="1:16">
      <c r="A243" s="11" t="s">
        <v>30</v>
      </c>
      <c r="B243" s="30" t="s">
        <v>422</v>
      </c>
      <c r="C243" s="30" t="s">
        <v>4842</v>
      </c>
      <c r="D243" s="30" t="s">
        <v>8535</v>
      </c>
      <c r="E243" s="30" t="s">
        <v>1376</v>
      </c>
      <c r="F243" s="30" t="s">
        <v>8536</v>
      </c>
      <c r="G243" s="356">
        <v>45820</v>
      </c>
      <c r="H243" s="356">
        <v>45880</v>
      </c>
      <c r="I243">
        <v>30</v>
      </c>
      <c r="J243" s="357">
        <v>1400</v>
      </c>
      <c r="K243" s="357">
        <v>990</v>
      </c>
      <c r="L243">
        <v>10</v>
      </c>
      <c r="N243">
        <v>6</v>
      </c>
      <c r="P243" t="s">
        <v>702</v>
      </c>
    </row>
    <row r="244" spans="1:16">
      <c r="A244" s="11" t="s">
        <v>30</v>
      </c>
      <c r="B244" s="30" t="s">
        <v>422</v>
      </c>
      <c r="C244" s="30" t="s">
        <v>5145</v>
      </c>
      <c r="D244" s="30" t="s">
        <v>8537</v>
      </c>
      <c r="E244" s="30" t="s">
        <v>1376</v>
      </c>
      <c r="F244" s="30" t="s">
        <v>8538</v>
      </c>
      <c r="G244" s="356">
        <v>45820</v>
      </c>
      <c r="H244" s="356"/>
      <c r="J244" s="357">
        <v>1200</v>
      </c>
      <c r="K244" s="357">
        <v>1200</v>
      </c>
      <c r="N244">
        <v>5</v>
      </c>
      <c r="P244" t="s">
        <v>702</v>
      </c>
    </row>
    <row r="245" spans="1:16">
      <c r="A245" s="11" t="s">
        <v>30</v>
      </c>
      <c r="B245" s="30" t="s">
        <v>422</v>
      </c>
      <c r="C245" s="30" t="s">
        <v>7887</v>
      </c>
      <c r="D245" s="11" t="s">
        <v>7888</v>
      </c>
      <c r="E245" s="30" t="s">
        <v>8539</v>
      </c>
      <c r="F245" s="30" t="s">
        <v>8540</v>
      </c>
      <c r="G245" s="356">
        <v>45812</v>
      </c>
      <c r="H245" s="356">
        <v>46177</v>
      </c>
      <c r="I245">
        <v>30</v>
      </c>
      <c r="J245" s="357">
        <v>940</v>
      </c>
      <c r="K245" s="357">
        <f>940*2</f>
        <v>1880</v>
      </c>
      <c r="N245">
        <v>3</v>
      </c>
      <c r="P245" t="s">
        <v>702</v>
      </c>
    </row>
    <row r="246" spans="1:16">
      <c r="A246" s="11" t="s">
        <v>30</v>
      </c>
      <c r="B246" s="30" t="s">
        <v>422</v>
      </c>
      <c r="C246" t="s">
        <v>8541</v>
      </c>
      <c r="D246" t="s">
        <v>8542</v>
      </c>
      <c r="E246" t="s">
        <v>698</v>
      </c>
      <c r="F246" t="s">
        <v>8543</v>
      </c>
      <c r="G246" s="356">
        <v>45810</v>
      </c>
      <c r="H246" s="356">
        <v>45991</v>
      </c>
      <c r="J246" s="357">
        <f>1050+150</f>
        <v>1200</v>
      </c>
      <c r="K246" s="357">
        <v>2100</v>
      </c>
      <c r="L246">
        <v>5</v>
      </c>
      <c r="N246">
        <v>3</v>
      </c>
      <c r="O246" t="s">
        <v>8544</v>
      </c>
      <c r="P246" t="s">
        <v>702</v>
      </c>
    </row>
    <row r="247" spans="1:16">
      <c r="A247" s="11" t="s">
        <v>30</v>
      </c>
      <c r="B247" s="30" t="s">
        <v>422</v>
      </c>
      <c r="C247" s="30" t="s">
        <v>4837</v>
      </c>
      <c r="D247" s="30" t="s">
        <v>8545</v>
      </c>
      <c r="E247" t="s">
        <v>698</v>
      </c>
      <c r="F247" s="30" t="s">
        <v>8546</v>
      </c>
      <c r="G247" s="356">
        <v>45810</v>
      </c>
      <c r="H247" s="356">
        <v>45991</v>
      </c>
      <c r="J247" s="357">
        <v>1400</v>
      </c>
      <c r="K247" s="357">
        <v>2400</v>
      </c>
      <c r="L247">
        <v>5</v>
      </c>
      <c r="N247">
        <v>4</v>
      </c>
      <c r="P247" t="s">
        <v>702</v>
      </c>
    </row>
    <row r="248" spans="1:16">
      <c r="A248" t="s">
        <v>30</v>
      </c>
      <c r="B248" s="30" t="s">
        <v>790</v>
      </c>
      <c r="C248" s="30" t="s">
        <v>4317</v>
      </c>
      <c r="D248" s="30" t="s">
        <v>8547</v>
      </c>
      <c r="E248" s="30" t="s">
        <v>4317</v>
      </c>
      <c r="F248" s="30" t="s">
        <v>8548</v>
      </c>
      <c r="G248" s="356">
        <v>45830</v>
      </c>
      <c r="H248" s="356">
        <v>45891</v>
      </c>
      <c r="J248" s="357">
        <v>600</v>
      </c>
      <c r="K248" s="357">
        <v>600</v>
      </c>
      <c r="N248">
        <v>3</v>
      </c>
      <c r="P248" t="s">
        <v>702</v>
      </c>
    </row>
    <row r="249" spans="1:16">
      <c r="A249" t="s">
        <v>30</v>
      </c>
      <c r="B249" s="30" t="s">
        <v>259</v>
      </c>
      <c r="C249" s="11" t="s">
        <v>4894</v>
      </c>
      <c r="D249" s="11"/>
      <c r="E249" t="s">
        <v>8549</v>
      </c>
      <c r="G249" s="356">
        <v>45829</v>
      </c>
      <c r="H249" s="356"/>
      <c r="J249" s="357">
        <v>1300</v>
      </c>
      <c r="K249" s="357">
        <v>1300</v>
      </c>
      <c r="L249">
        <v>1</v>
      </c>
      <c r="N249">
        <v>4</v>
      </c>
      <c r="O249" s="30" t="s">
        <v>8550</v>
      </c>
      <c r="P249" t="s">
        <v>702</v>
      </c>
    </row>
    <row r="250" spans="1:16">
      <c r="A250" t="s">
        <v>30</v>
      </c>
      <c r="B250" t="s">
        <v>31</v>
      </c>
      <c r="C250" t="s">
        <v>5761</v>
      </c>
      <c r="D250" s="11" t="s">
        <v>8551</v>
      </c>
      <c r="E250" t="s">
        <v>5762</v>
      </c>
      <c r="F250" t="s">
        <v>8552</v>
      </c>
      <c r="G250" s="356">
        <v>45834</v>
      </c>
      <c r="H250" s="356"/>
      <c r="J250" s="357">
        <v>350</v>
      </c>
      <c r="K250" s="357"/>
      <c r="L250">
        <v>1</v>
      </c>
      <c r="N250">
        <v>1</v>
      </c>
      <c r="P250" t="s">
        <v>702</v>
      </c>
    </row>
    <row r="251" spans="1:16">
      <c r="A251" s="11" t="s">
        <v>30</v>
      </c>
      <c r="B251" s="11" t="s">
        <v>790</v>
      </c>
      <c r="C251" s="30" t="s">
        <v>4318</v>
      </c>
      <c r="D251" s="30" t="s">
        <v>8553</v>
      </c>
      <c r="E251" s="30" t="s">
        <v>8554</v>
      </c>
      <c r="F251" s="30" t="s">
        <v>8555</v>
      </c>
      <c r="G251" s="356">
        <v>45839</v>
      </c>
      <c r="H251" s="356">
        <v>45899</v>
      </c>
      <c r="J251" s="357">
        <v>700</v>
      </c>
      <c r="K251" s="357">
        <v>0</v>
      </c>
      <c r="L251">
        <v>1</v>
      </c>
      <c r="N251">
        <v>2</v>
      </c>
      <c r="P251" t="s">
        <v>702</v>
      </c>
    </row>
    <row r="252" spans="1:16">
      <c r="D252" s="11"/>
      <c r="G252" s="356"/>
      <c r="H252" s="356"/>
      <c r="J252" s="357"/>
      <c r="K252" s="357"/>
    </row>
    <row r="253" spans="1:16">
      <c r="A253" s="11" t="s">
        <v>99</v>
      </c>
      <c r="B253" s="11" t="s">
        <v>855</v>
      </c>
      <c r="C253" s="30" t="s">
        <v>4510</v>
      </c>
      <c r="D253" s="30" t="s">
        <v>8556</v>
      </c>
      <c r="E253" s="46" t="s">
        <v>4511</v>
      </c>
      <c r="F253" s="30" t="s">
        <v>8557</v>
      </c>
      <c r="G253" s="356">
        <v>45799</v>
      </c>
      <c r="H253" s="356"/>
      <c r="J253" s="357">
        <v>1400</v>
      </c>
      <c r="K253" s="357">
        <v>1400</v>
      </c>
      <c r="L253">
        <v>1</v>
      </c>
      <c r="N253">
        <v>6</v>
      </c>
      <c r="O253" s="30" t="s">
        <v>8558</v>
      </c>
      <c r="P253" t="s">
        <v>702</v>
      </c>
    </row>
    <row r="254" spans="1:16">
      <c r="A254" s="11" t="s">
        <v>99</v>
      </c>
      <c r="B254" s="11" t="s">
        <v>855</v>
      </c>
      <c r="C254" s="30" t="s">
        <v>4802</v>
      </c>
      <c r="D254" s="30" t="s">
        <v>8559</v>
      </c>
      <c r="E254" s="46" t="s">
        <v>4511</v>
      </c>
      <c r="F254" s="30" t="s">
        <v>8560</v>
      </c>
      <c r="G254" s="358">
        <v>45785</v>
      </c>
      <c r="H254" s="356"/>
      <c r="J254" s="357">
        <v>750</v>
      </c>
      <c r="K254" s="357">
        <v>750</v>
      </c>
      <c r="L254">
        <v>5</v>
      </c>
      <c r="N254">
        <v>3</v>
      </c>
      <c r="P254" t="s">
        <v>702</v>
      </c>
    </row>
    <row r="255" spans="1:16">
      <c r="A255" s="11" t="s">
        <v>99</v>
      </c>
      <c r="B255" s="11" t="s">
        <v>855</v>
      </c>
      <c r="C255" s="11" t="s">
        <v>4734</v>
      </c>
      <c r="D255" s="11" t="s">
        <v>8561</v>
      </c>
      <c r="E255" s="46" t="s">
        <v>4511</v>
      </c>
      <c r="F255" s="30" t="s">
        <v>8562</v>
      </c>
      <c r="G255" s="356">
        <v>45800</v>
      </c>
      <c r="H255" s="356">
        <v>45923</v>
      </c>
      <c r="J255" s="357">
        <v>1000</v>
      </c>
      <c r="K255" s="357">
        <v>1000</v>
      </c>
      <c r="L255">
        <v>20</v>
      </c>
      <c r="N255">
        <v>6</v>
      </c>
      <c r="P255" t="s">
        <v>702</v>
      </c>
    </row>
    <row r="256" spans="1:16">
      <c r="A256" s="11" t="s">
        <v>30</v>
      </c>
      <c r="B256" s="11" t="s">
        <v>31</v>
      </c>
      <c r="C256" s="46" t="s">
        <v>4976</v>
      </c>
      <c r="D256" s="30" t="s">
        <v>8563</v>
      </c>
      <c r="E256" s="30" t="s">
        <v>4977</v>
      </c>
      <c r="F256" s="30" t="s">
        <v>8564</v>
      </c>
      <c r="G256" s="356">
        <v>45810</v>
      </c>
      <c r="H256" s="356"/>
      <c r="J256" s="357">
        <v>450</v>
      </c>
      <c r="K256" s="357">
        <v>225</v>
      </c>
      <c r="L256">
        <v>1</v>
      </c>
      <c r="N256">
        <v>1</v>
      </c>
      <c r="O256" s="30" t="s">
        <v>8558</v>
      </c>
      <c r="P256" s="30" t="s">
        <v>702</v>
      </c>
    </row>
    <row r="257" spans="1:16">
      <c r="A257" s="11" t="s">
        <v>30</v>
      </c>
      <c r="B257" s="11" t="s">
        <v>826</v>
      </c>
      <c r="C257" s="11" t="s">
        <v>4289</v>
      </c>
      <c r="D257" s="30" t="s">
        <v>8565</v>
      </c>
      <c r="E257" s="11" t="s">
        <v>4290</v>
      </c>
      <c r="F257" s="30" t="s">
        <v>8566</v>
      </c>
      <c r="G257" s="356">
        <v>45758</v>
      </c>
      <c r="H257" s="356"/>
      <c r="J257" s="357">
        <v>280</v>
      </c>
      <c r="K257" s="357">
        <v>280</v>
      </c>
      <c r="L257">
        <v>5</v>
      </c>
      <c r="N257">
        <v>1</v>
      </c>
      <c r="O257" s="30" t="s">
        <v>8558</v>
      </c>
      <c r="P257" t="s">
        <v>702</v>
      </c>
    </row>
    <row r="258" spans="1:16">
      <c r="A258" s="11" t="s">
        <v>30</v>
      </c>
      <c r="B258" s="11" t="s">
        <v>259</v>
      </c>
      <c r="C258" s="11" t="s">
        <v>4206</v>
      </c>
      <c r="D258" s="30" t="s">
        <v>8567</v>
      </c>
      <c r="E258" t="s">
        <v>8568</v>
      </c>
      <c r="F258" s="30" t="s">
        <v>8569</v>
      </c>
      <c r="G258" s="356">
        <v>45785</v>
      </c>
      <c r="H258" s="356"/>
      <c r="J258" s="357">
        <v>850</v>
      </c>
      <c r="K258" s="357">
        <v>850</v>
      </c>
      <c r="L258">
        <v>5</v>
      </c>
      <c r="N258">
        <v>3</v>
      </c>
      <c r="O258" s="30" t="s">
        <v>8558</v>
      </c>
      <c r="P258" t="s">
        <v>702</v>
      </c>
    </row>
    <row r="259" spans="1:16">
      <c r="A259" s="11" t="s">
        <v>30</v>
      </c>
      <c r="B259" s="11" t="s">
        <v>1393</v>
      </c>
      <c r="C259" s="11" t="s">
        <v>4998</v>
      </c>
      <c r="D259" s="30" t="s">
        <v>8570</v>
      </c>
      <c r="E259" t="s">
        <v>4999</v>
      </c>
      <c r="F259" s="30" t="s">
        <v>8571</v>
      </c>
      <c r="G259" s="356"/>
      <c r="H259" s="356"/>
      <c r="J259" s="357">
        <f>325*2</f>
        <v>650</v>
      </c>
      <c r="K259" s="357"/>
      <c r="L259">
        <v>1</v>
      </c>
      <c r="M259" s="30" t="s">
        <v>8572</v>
      </c>
      <c r="N259">
        <v>2</v>
      </c>
      <c r="O259" s="30" t="s">
        <v>8558</v>
      </c>
      <c r="P259" t="s">
        <v>702</v>
      </c>
    </row>
    <row r="260" spans="1:16">
      <c r="A260" s="11" t="s">
        <v>30</v>
      </c>
      <c r="B260" s="11" t="s">
        <v>31</v>
      </c>
      <c r="C260" s="30" t="s">
        <v>5279</v>
      </c>
      <c r="D260" s="30" t="s">
        <v>8573</v>
      </c>
      <c r="E260" s="30" t="s">
        <v>5280</v>
      </c>
      <c r="F260" s="30" t="s">
        <v>8574</v>
      </c>
      <c r="G260" s="356">
        <v>45817</v>
      </c>
      <c r="H260" s="356"/>
      <c r="J260" s="357">
        <v>470</v>
      </c>
      <c r="K260" s="357">
        <v>100</v>
      </c>
      <c r="L260">
        <v>5</v>
      </c>
      <c r="N260">
        <v>1</v>
      </c>
      <c r="O260" s="30" t="s">
        <v>8558</v>
      </c>
      <c r="P260" s="30" t="s">
        <v>702</v>
      </c>
    </row>
    <row r="261" spans="1:16">
      <c r="A261" s="11" t="s">
        <v>30</v>
      </c>
      <c r="B261" s="11" t="s">
        <v>31</v>
      </c>
      <c r="C261" t="s">
        <v>8575</v>
      </c>
      <c r="D261" s="30" t="s">
        <v>8576</v>
      </c>
      <c r="F261" s="30" t="s">
        <v>8397</v>
      </c>
      <c r="G261" s="356">
        <v>45737</v>
      </c>
      <c r="H261" s="356">
        <v>45838</v>
      </c>
      <c r="J261" s="357">
        <v>2000</v>
      </c>
      <c r="K261" s="357">
        <v>1000</v>
      </c>
      <c r="L261">
        <v>1</v>
      </c>
      <c r="N261">
        <v>6</v>
      </c>
      <c r="O261" s="30" t="s">
        <v>8558</v>
      </c>
      <c r="P261" s="30" t="s">
        <v>702</v>
      </c>
    </row>
    <row r="262" spans="1:16">
      <c r="A262" s="11" t="s">
        <v>99</v>
      </c>
      <c r="B262" s="11" t="s">
        <v>3400</v>
      </c>
      <c r="C262" s="46" t="s">
        <v>4294</v>
      </c>
      <c r="D262" s="30" t="s">
        <v>8577</v>
      </c>
      <c r="E262" s="11" t="s">
        <v>4295</v>
      </c>
      <c r="F262" s="30" t="s">
        <v>8578</v>
      </c>
      <c r="G262" s="356">
        <v>45839</v>
      </c>
      <c r="H262" s="356">
        <v>45869</v>
      </c>
      <c r="J262" s="357">
        <v>1200</v>
      </c>
      <c r="K262" s="357">
        <v>1200</v>
      </c>
      <c r="N262">
        <v>5</v>
      </c>
      <c r="O262" s="30" t="s">
        <v>8558</v>
      </c>
      <c r="P262" s="30" t="s">
        <v>702</v>
      </c>
    </row>
    <row r="263" spans="1:16">
      <c r="A263" s="11" t="s">
        <v>30</v>
      </c>
      <c r="B263" s="11" t="s">
        <v>259</v>
      </c>
      <c r="C263" s="46" t="s">
        <v>5662</v>
      </c>
      <c r="D263" s="30" t="s">
        <v>8579</v>
      </c>
      <c r="E263" t="s">
        <v>8568</v>
      </c>
      <c r="F263" s="30" t="s">
        <v>8580</v>
      </c>
      <c r="G263" s="356">
        <v>45782</v>
      </c>
      <c r="H263" s="356">
        <v>45869</v>
      </c>
      <c r="J263" s="357">
        <v>1200</v>
      </c>
      <c r="K263" s="357">
        <v>1200</v>
      </c>
      <c r="L263">
        <v>5</v>
      </c>
      <c r="N263">
        <v>4</v>
      </c>
      <c r="O263" s="30" t="s">
        <v>8558</v>
      </c>
      <c r="P263" s="30" t="s">
        <v>702</v>
      </c>
    </row>
    <row r="264" spans="1:16">
      <c r="A264" s="11" t="s">
        <v>30</v>
      </c>
      <c r="B264" s="11" t="s">
        <v>608</v>
      </c>
      <c r="C264" s="46" t="s">
        <v>4741</v>
      </c>
      <c r="D264" s="11" t="s">
        <v>8581</v>
      </c>
      <c r="E264" s="30" t="s">
        <v>4742</v>
      </c>
      <c r="F264" s="30" t="s">
        <v>8582</v>
      </c>
      <c r="G264" s="356">
        <v>45809</v>
      </c>
      <c r="H264" s="356"/>
      <c r="J264" s="357">
        <f>450*2</f>
        <v>900</v>
      </c>
      <c r="K264" s="357">
        <f>450*2</f>
        <v>900</v>
      </c>
      <c r="L264">
        <v>5</v>
      </c>
      <c r="N264">
        <v>2</v>
      </c>
      <c r="O264" s="30" t="s">
        <v>8583</v>
      </c>
      <c r="P264" s="30" t="s">
        <v>702</v>
      </c>
    </row>
    <row r="265" spans="1:16">
      <c r="A265" s="11" t="s">
        <v>30</v>
      </c>
      <c r="B265" s="11" t="s">
        <v>608</v>
      </c>
      <c r="C265" s="46" t="s">
        <v>1918</v>
      </c>
      <c r="D265" s="11" t="s">
        <v>8584</v>
      </c>
      <c r="E265" t="s">
        <v>4772</v>
      </c>
      <c r="F265" s="30" t="s">
        <v>8278</v>
      </c>
      <c r="G265" s="356">
        <v>45763</v>
      </c>
      <c r="H265" s="356"/>
      <c r="J265" s="357">
        <v>900</v>
      </c>
      <c r="K265" s="357">
        <v>900</v>
      </c>
      <c r="L265">
        <v>3</v>
      </c>
      <c r="N265">
        <v>3</v>
      </c>
      <c r="O265" s="30" t="s">
        <v>8558</v>
      </c>
      <c r="P265" s="30" t="s">
        <v>702</v>
      </c>
    </row>
    <row r="266" spans="1:16">
      <c r="A266" s="11" t="s">
        <v>30</v>
      </c>
      <c r="B266" s="11" t="s">
        <v>213</v>
      </c>
      <c r="C266" s="46" t="s">
        <v>8585</v>
      </c>
      <c r="D266" s="30" t="s">
        <v>8586</v>
      </c>
      <c r="E266" s="30" t="s">
        <v>558</v>
      </c>
      <c r="F266" s="30" t="s">
        <v>8587</v>
      </c>
      <c r="G266" s="356"/>
      <c r="H266" s="356"/>
      <c r="I266">
        <v>30</v>
      </c>
      <c r="J266" s="357">
        <v>1500</v>
      </c>
      <c r="K266" s="357">
        <v>1500</v>
      </c>
      <c r="L266">
        <v>5</v>
      </c>
      <c r="N266">
        <v>3</v>
      </c>
      <c r="O266" s="30" t="s">
        <v>8558</v>
      </c>
      <c r="P266" s="30" t="s">
        <v>702</v>
      </c>
    </row>
    <row r="267" spans="1:16">
      <c r="A267" s="11" t="s">
        <v>30</v>
      </c>
      <c r="B267" s="11" t="s">
        <v>253</v>
      </c>
      <c r="C267" s="46" t="s">
        <v>4267</v>
      </c>
      <c r="D267" s="30" t="s">
        <v>8588</v>
      </c>
      <c r="E267" s="30" t="s">
        <v>4268</v>
      </c>
      <c r="F267" s="30" t="s">
        <v>8589</v>
      </c>
      <c r="G267" s="356">
        <v>45748</v>
      </c>
      <c r="H267" s="356">
        <v>45900</v>
      </c>
      <c r="J267" s="357">
        <v>1460</v>
      </c>
      <c r="K267" s="357">
        <v>1400</v>
      </c>
      <c r="L267">
        <v>1</v>
      </c>
      <c r="N267">
        <v>4</v>
      </c>
      <c r="O267" s="30" t="s">
        <v>8558</v>
      </c>
      <c r="P267" s="30" t="s">
        <v>36</v>
      </c>
    </row>
    <row r="268" spans="1:16">
      <c r="A268" s="11" t="s">
        <v>30</v>
      </c>
      <c r="B268" s="11" t="s">
        <v>422</v>
      </c>
      <c r="C268" s="46" t="s">
        <v>5435</v>
      </c>
      <c r="D268" s="11" t="s">
        <v>8590</v>
      </c>
      <c r="E268" s="11" t="s">
        <v>5428</v>
      </c>
      <c r="F268" s="30" t="s">
        <v>8591</v>
      </c>
      <c r="G268" s="356">
        <v>45840</v>
      </c>
      <c r="H268" s="356"/>
      <c r="J268" s="357">
        <v>600</v>
      </c>
      <c r="K268" s="357"/>
      <c r="L268">
        <v>1</v>
      </c>
      <c r="N268">
        <v>2</v>
      </c>
      <c r="O268" s="30" t="s">
        <v>8558</v>
      </c>
      <c r="P268" s="30" t="s">
        <v>702</v>
      </c>
    </row>
    <row r="269" spans="1:16">
      <c r="A269" s="11" t="s">
        <v>30</v>
      </c>
      <c r="B269" s="11" t="s">
        <v>2231</v>
      </c>
      <c r="C269" s="30" t="s">
        <v>4340</v>
      </c>
      <c r="D269" s="30" t="s">
        <v>8592</v>
      </c>
      <c r="E269" s="11" t="s">
        <v>4330</v>
      </c>
      <c r="F269" s="30" t="s">
        <v>8593</v>
      </c>
      <c r="G269" s="356">
        <v>45839</v>
      </c>
      <c r="H269" s="356">
        <v>45869</v>
      </c>
      <c r="J269" s="357">
        <v>1800</v>
      </c>
      <c r="K269" s="357">
        <v>400</v>
      </c>
      <c r="L269">
        <v>1</v>
      </c>
      <c r="N269">
        <v>4</v>
      </c>
      <c r="O269" s="30" t="s">
        <v>8558</v>
      </c>
      <c r="P269" s="30" t="s">
        <v>702</v>
      </c>
    </row>
    <row r="270" spans="1:16">
      <c r="A270" s="11" t="s">
        <v>30</v>
      </c>
      <c r="B270" s="11" t="s">
        <v>2231</v>
      </c>
      <c r="C270" s="30" t="s">
        <v>4329</v>
      </c>
      <c r="D270" s="30" t="s">
        <v>8592</v>
      </c>
      <c r="E270" s="11" t="s">
        <v>4330</v>
      </c>
      <c r="F270" s="30" t="s">
        <v>8593</v>
      </c>
      <c r="G270" s="356">
        <v>45810</v>
      </c>
      <c r="H270" s="356">
        <v>45865</v>
      </c>
      <c r="J270" s="357">
        <v>1600</v>
      </c>
      <c r="K270" s="357">
        <v>400</v>
      </c>
      <c r="L270">
        <v>25</v>
      </c>
      <c r="N270">
        <v>3</v>
      </c>
      <c r="O270" s="30" t="s">
        <v>8558</v>
      </c>
      <c r="P270" s="30" t="s">
        <v>702</v>
      </c>
    </row>
    <row r="271" spans="1:16">
      <c r="A271" s="11" t="s">
        <v>30</v>
      </c>
      <c r="B271" s="11" t="s">
        <v>1404</v>
      </c>
      <c r="C271" s="30" t="s">
        <v>5626</v>
      </c>
      <c r="D271" s="30" t="s">
        <v>8594</v>
      </c>
      <c r="E271" s="30" t="s">
        <v>8595</v>
      </c>
      <c r="F271" s="30" t="s">
        <v>8596</v>
      </c>
      <c r="G271" s="356">
        <v>45758</v>
      </c>
      <c r="H271" s="356">
        <v>45879</v>
      </c>
      <c r="J271" s="357">
        <v>2117.5</v>
      </c>
      <c r="K271" s="357">
        <v>1750</v>
      </c>
      <c r="M271" s="30" t="s">
        <v>35</v>
      </c>
      <c r="N271">
        <v>7</v>
      </c>
      <c r="O271" s="30" t="s">
        <v>8558</v>
      </c>
      <c r="P271" s="30" t="s">
        <v>702</v>
      </c>
    </row>
    <row r="272" spans="1:16">
      <c r="A272" s="11" t="s">
        <v>30</v>
      </c>
      <c r="B272" s="11" t="s">
        <v>259</v>
      </c>
      <c r="C272" t="s">
        <v>4894</v>
      </c>
      <c r="D272" s="30" t="s">
        <v>8597</v>
      </c>
      <c r="E272" s="30" t="s">
        <v>8568</v>
      </c>
      <c r="F272" s="30" t="s">
        <v>8598</v>
      </c>
      <c r="G272" s="356">
        <v>45790</v>
      </c>
      <c r="H272" s="356"/>
      <c r="J272" s="357">
        <v>1300</v>
      </c>
      <c r="K272" s="357">
        <v>1300</v>
      </c>
      <c r="L272">
        <v>5</v>
      </c>
      <c r="N272">
        <v>4</v>
      </c>
      <c r="P272" s="30" t="s">
        <v>702</v>
      </c>
    </row>
    <row r="273" spans="1:16">
      <c r="A273" s="11" t="s">
        <v>30</v>
      </c>
      <c r="B273" s="11" t="s">
        <v>2231</v>
      </c>
      <c r="C273" s="11" t="s">
        <v>4335</v>
      </c>
      <c r="D273" s="30" t="s">
        <v>8592</v>
      </c>
      <c r="E273" s="11" t="s">
        <v>4330</v>
      </c>
      <c r="F273" t="s">
        <v>8593</v>
      </c>
      <c r="G273" s="356">
        <v>45839</v>
      </c>
      <c r="H273" s="356">
        <v>45869</v>
      </c>
      <c r="J273" s="357">
        <v>1500</v>
      </c>
      <c r="K273" s="357">
        <v>400</v>
      </c>
      <c r="L273">
        <v>1</v>
      </c>
      <c r="N273">
        <v>3</v>
      </c>
      <c r="O273" s="30" t="s">
        <v>8558</v>
      </c>
      <c r="P273" s="30" t="s">
        <v>702</v>
      </c>
    </row>
    <row r="274" spans="1:16">
      <c r="A274" s="2" t="s">
        <v>99</v>
      </c>
      <c r="B274" s="2" t="s">
        <v>3400</v>
      </c>
      <c r="C274" s="30" t="s">
        <v>4310</v>
      </c>
      <c r="D274" s="30" t="s">
        <v>8599</v>
      </c>
      <c r="E274" s="11" t="s">
        <v>4311</v>
      </c>
      <c r="F274" s="30" t="s">
        <v>8600</v>
      </c>
      <c r="G274" s="356"/>
      <c r="H274" s="356"/>
      <c r="J274" s="357">
        <v>325</v>
      </c>
      <c r="K274" s="357">
        <v>325</v>
      </c>
      <c r="L274">
        <v>1</v>
      </c>
      <c r="N274">
        <v>1</v>
      </c>
      <c r="O274" s="30" t="s">
        <v>8558</v>
      </c>
      <c r="P274" t="s">
        <v>36</v>
      </c>
    </row>
    <row r="275" spans="1:16">
      <c r="A275" s="2" t="s">
        <v>99</v>
      </c>
      <c r="B275" s="2" t="s">
        <v>3400</v>
      </c>
      <c r="C275" s="30" t="s">
        <v>4310</v>
      </c>
      <c r="D275" s="30" t="s">
        <v>8599</v>
      </c>
      <c r="E275" s="11" t="s">
        <v>4311</v>
      </c>
      <c r="F275" s="30" t="s">
        <v>8600</v>
      </c>
      <c r="G275" s="356"/>
      <c r="H275" s="356"/>
      <c r="J275" s="357">
        <v>350</v>
      </c>
      <c r="K275" s="357">
        <v>350</v>
      </c>
      <c r="L275">
        <v>1</v>
      </c>
      <c r="N275">
        <v>1</v>
      </c>
      <c r="O275" s="30" t="s">
        <v>8558</v>
      </c>
      <c r="P275" t="s">
        <v>702</v>
      </c>
    </row>
    <row r="276" spans="1:16">
      <c r="A276" s="11" t="s">
        <v>78</v>
      </c>
      <c r="B276" s="11" t="s">
        <v>266</v>
      </c>
      <c r="C276" s="11" t="s">
        <v>4857</v>
      </c>
      <c r="D276" s="11" t="s">
        <v>4858</v>
      </c>
      <c r="G276" s="356"/>
      <c r="H276" s="356"/>
      <c r="J276" s="357"/>
      <c r="K276" s="357">
        <v>500</v>
      </c>
      <c r="N276">
        <v>5</v>
      </c>
      <c r="P276" s="30" t="s">
        <v>702</v>
      </c>
    </row>
    <row r="277" spans="1:16">
      <c r="A277" s="11" t="s">
        <v>30</v>
      </c>
      <c r="B277" s="11" t="s">
        <v>253</v>
      </c>
      <c r="C277" s="46" t="s">
        <v>5004</v>
      </c>
      <c r="D277" s="30" t="s">
        <v>8601</v>
      </c>
      <c r="E277" t="s">
        <v>5005</v>
      </c>
      <c r="F277" s="30" t="s">
        <v>8602</v>
      </c>
      <c r="G277" s="356">
        <v>45737</v>
      </c>
      <c r="H277" s="356"/>
      <c r="J277" s="357">
        <v>475</v>
      </c>
      <c r="K277" s="357">
        <v>475</v>
      </c>
      <c r="L277">
        <v>1</v>
      </c>
      <c r="N277">
        <v>1</v>
      </c>
      <c r="O277" s="30" t="s">
        <v>8558</v>
      </c>
      <c r="P277" s="30" t="s">
        <v>702</v>
      </c>
    </row>
    <row r="278" spans="1:16">
      <c r="A278" t="s">
        <v>30</v>
      </c>
      <c r="B278" t="s">
        <v>259</v>
      </c>
      <c r="C278" s="49" t="s">
        <v>4956</v>
      </c>
      <c r="D278" s="11" t="s">
        <v>8603</v>
      </c>
      <c r="E278" t="s">
        <v>8568</v>
      </c>
      <c r="F278" t="s">
        <v>8604</v>
      </c>
      <c r="G278" s="356">
        <v>45864</v>
      </c>
      <c r="H278" s="356">
        <v>45895</v>
      </c>
      <c r="J278" s="357">
        <v>2400</v>
      </c>
      <c r="K278" s="357">
        <v>0</v>
      </c>
      <c r="L278">
        <v>24</v>
      </c>
      <c r="N278">
        <v>6</v>
      </c>
      <c r="O278" t="s">
        <v>28</v>
      </c>
      <c r="P278" t="s">
        <v>702</v>
      </c>
    </row>
    <row r="279" spans="1:16">
      <c r="A279" t="s">
        <v>30</v>
      </c>
      <c r="B279" t="s">
        <v>380</v>
      </c>
      <c r="C279" s="11" t="s">
        <v>6222</v>
      </c>
      <c r="D279" s="11" t="s">
        <v>8605</v>
      </c>
      <c r="E279" s="21" t="s">
        <v>6223</v>
      </c>
      <c r="F279" t="s">
        <v>8606</v>
      </c>
      <c r="G279" s="356">
        <v>45696</v>
      </c>
      <c r="H279" s="356">
        <v>45666</v>
      </c>
      <c r="J279" s="357">
        <v>2180</v>
      </c>
      <c r="K279" s="357">
        <v>600</v>
      </c>
      <c r="L279">
        <v>29</v>
      </c>
      <c r="N279">
        <v>5</v>
      </c>
      <c r="P279" t="s">
        <v>702</v>
      </c>
    </row>
    <row r="280" spans="1:16">
      <c r="A280" t="s">
        <v>30</v>
      </c>
      <c r="B280" s="11" t="s">
        <v>790</v>
      </c>
      <c r="C280" s="11" t="s">
        <v>4649</v>
      </c>
      <c r="D280" s="30" t="s">
        <v>8547</v>
      </c>
      <c r="E280" s="30" t="s">
        <v>4317</v>
      </c>
      <c r="F280" s="30" t="s">
        <v>8548</v>
      </c>
      <c r="G280" s="356">
        <v>45845</v>
      </c>
      <c r="H280" s="356">
        <v>45900</v>
      </c>
      <c r="J280" s="357">
        <v>750</v>
      </c>
      <c r="K280" s="357">
        <v>750</v>
      </c>
      <c r="N280">
        <v>4</v>
      </c>
      <c r="P280" t="s">
        <v>702</v>
      </c>
    </row>
    <row r="281" spans="1:16">
      <c r="A281" s="381" t="s">
        <v>30</v>
      </c>
      <c r="B281" s="381" t="s">
        <v>31</v>
      </c>
      <c r="C281" s="382" t="s">
        <v>8575</v>
      </c>
      <c r="D281" t="s">
        <v>8396</v>
      </c>
      <c r="E281" t="s">
        <v>1197</v>
      </c>
      <c r="F281" s="136" t="s">
        <v>8397</v>
      </c>
      <c r="G281" s="356"/>
      <c r="H281" s="356"/>
      <c r="J281" s="357"/>
      <c r="K281" s="357">
        <v>1000</v>
      </c>
      <c r="O281" s="30" t="s">
        <v>8558</v>
      </c>
    </row>
    <row r="282" spans="1:16">
      <c r="A282" t="s">
        <v>30</v>
      </c>
      <c r="B282" t="s">
        <v>259</v>
      </c>
      <c r="C282" t="s">
        <v>5657</v>
      </c>
      <c r="D282" s="11" t="s">
        <v>8607</v>
      </c>
      <c r="E282" t="s">
        <v>8568</v>
      </c>
      <c r="F282" t="s">
        <v>8608</v>
      </c>
      <c r="G282" s="356">
        <v>45894</v>
      </c>
      <c r="H282" s="356">
        <v>45955</v>
      </c>
      <c r="J282" s="357">
        <v>1400</v>
      </c>
      <c r="K282" s="357">
        <v>1400</v>
      </c>
      <c r="L282">
        <v>1</v>
      </c>
      <c r="N282">
        <v>4</v>
      </c>
      <c r="O282" t="s">
        <v>28</v>
      </c>
      <c r="P282" t="s">
        <v>702</v>
      </c>
    </row>
    <row r="283" spans="1:16">
      <c r="A283" t="s">
        <v>30</v>
      </c>
      <c r="B283" t="s">
        <v>213</v>
      </c>
      <c r="C283" s="11" t="s">
        <v>6353</v>
      </c>
      <c r="D283" t="s">
        <v>8396</v>
      </c>
      <c r="E283" t="s">
        <v>1197</v>
      </c>
      <c r="F283" s="136" t="s">
        <v>8397</v>
      </c>
      <c r="G283" s="356">
        <v>45910</v>
      </c>
      <c r="H283" s="356">
        <v>46001</v>
      </c>
      <c r="J283" s="357">
        <v>1900</v>
      </c>
      <c r="K283" s="357"/>
      <c r="L283">
        <v>5</v>
      </c>
      <c r="N283">
        <v>4</v>
      </c>
      <c r="P283" t="s">
        <v>702</v>
      </c>
    </row>
    <row r="284" spans="1:16">
      <c r="A284" t="s">
        <v>30</v>
      </c>
      <c r="B284" t="s">
        <v>31</v>
      </c>
      <c r="C284" t="s">
        <v>5258</v>
      </c>
      <c r="D284" s="11" t="s">
        <v>8609</v>
      </c>
      <c r="E284" t="s">
        <v>5083</v>
      </c>
      <c r="F284" t="s">
        <v>8610</v>
      </c>
      <c r="G284" s="356">
        <v>45897</v>
      </c>
      <c r="H284" s="356">
        <v>45928</v>
      </c>
      <c r="J284" s="357">
        <v>2500</v>
      </c>
      <c r="K284" s="357">
        <v>500</v>
      </c>
      <c r="L284">
        <v>25</v>
      </c>
      <c r="N284">
        <v>6</v>
      </c>
      <c r="P284" t="s">
        <v>702</v>
      </c>
    </row>
    <row r="285" spans="1:16">
      <c r="A285" t="s">
        <v>30</v>
      </c>
      <c r="B285" t="s">
        <v>31</v>
      </c>
      <c r="C285" t="s">
        <v>5082</v>
      </c>
      <c r="D285" s="11" t="s">
        <v>8609</v>
      </c>
      <c r="E285" t="s">
        <v>5083</v>
      </c>
      <c r="F285" t="s">
        <v>8610</v>
      </c>
      <c r="G285" s="356">
        <v>45887</v>
      </c>
      <c r="H285" s="356">
        <v>45991</v>
      </c>
      <c r="J285" s="357">
        <v>2500</v>
      </c>
      <c r="K285" s="357"/>
      <c r="L285">
        <v>15</v>
      </c>
      <c r="N285">
        <v>6</v>
      </c>
      <c r="P285" t="s">
        <v>702</v>
      </c>
    </row>
    <row r="286" spans="1:16">
      <c r="A286" s="2" t="s">
        <v>99</v>
      </c>
      <c r="B286" s="2" t="s">
        <v>3400</v>
      </c>
      <c r="C286" t="s">
        <v>4310</v>
      </c>
      <c r="D286" s="11" t="s">
        <v>8599</v>
      </c>
      <c r="E286" s="11" t="s">
        <v>4311</v>
      </c>
      <c r="F286" t="s">
        <v>8600</v>
      </c>
      <c r="G286" s="356">
        <v>45932</v>
      </c>
      <c r="H286" s="356"/>
      <c r="J286" s="357">
        <v>310</v>
      </c>
      <c r="K286" s="357">
        <v>310</v>
      </c>
      <c r="L286">
        <v>1</v>
      </c>
      <c r="N286">
        <v>1</v>
      </c>
      <c r="O286" t="s">
        <v>8558</v>
      </c>
      <c r="P286" t="s">
        <v>702</v>
      </c>
    </row>
    <row r="287" spans="1:16">
      <c r="A287" t="s">
        <v>30</v>
      </c>
      <c r="B287" t="s">
        <v>31</v>
      </c>
      <c r="C287" t="s">
        <v>6074</v>
      </c>
      <c r="D287" s="11" t="s">
        <v>8609</v>
      </c>
      <c r="E287" t="s">
        <v>5083</v>
      </c>
      <c r="F287" t="s">
        <v>8610</v>
      </c>
      <c r="G287" s="356">
        <v>45928</v>
      </c>
      <c r="H287" s="356">
        <v>45959</v>
      </c>
      <c r="J287" s="357">
        <v>2700</v>
      </c>
      <c r="K287" s="357">
        <v>500</v>
      </c>
      <c r="L287">
        <v>25</v>
      </c>
      <c r="N287">
        <v>6</v>
      </c>
      <c r="P287" t="s">
        <v>702</v>
      </c>
    </row>
    <row r="288" spans="1:16">
      <c r="A288" s="30" t="s">
        <v>30</v>
      </c>
      <c r="B288" s="30" t="s">
        <v>415</v>
      </c>
      <c r="C288" t="s">
        <v>6089</v>
      </c>
      <c r="D288" s="11" t="s">
        <v>8448</v>
      </c>
      <c r="E288" s="11" t="s">
        <v>1413</v>
      </c>
      <c r="F288" s="30" t="s">
        <v>8449</v>
      </c>
      <c r="G288" s="356">
        <v>45868</v>
      </c>
      <c r="H288" s="356"/>
      <c r="J288" s="357">
        <v>2000</v>
      </c>
      <c r="K288" s="357">
        <v>2000</v>
      </c>
      <c r="L288">
        <v>30</v>
      </c>
      <c r="N288">
        <v>4</v>
      </c>
      <c r="O288" s="30" t="s">
        <v>35</v>
      </c>
      <c r="P288" s="30" t="s">
        <v>702</v>
      </c>
    </row>
    <row r="289" spans="1:16">
      <c r="A289" t="s">
        <v>30</v>
      </c>
      <c r="B289" t="s">
        <v>1130</v>
      </c>
      <c r="C289" s="11" t="s">
        <v>5654</v>
      </c>
      <c r="D289" s="11" t="s">
        <v>8611</v>
      </c>
      <c r="E289" s="21" t="s">
        <v>5655</v>
      </c>
      <c r="F289" t="s">
        <v>8408</v>
      </c>
      <c r="G289" s="356">
        <v>45940</v>
      </c>
      <c r="H289" s="356">
        <v>45942</v>
      </c>
      <c r="J289" s="357">
        <v>865</v>
      </c>
      <c r="K289" s="357">
        <v>865</v>
      </c>
      <c r="L289">
        <v>1</v>
      </c>
      <c r="N289">
        <v>3</v>
      </c>
      <c r="P289" t="s">
        <v>702</v>
      </c>
    </row>
    <row r="290" spans="1:16">
      <c r="A290" t="s">
        <v>30</v>
      </c>
      <c r="B290" t="s">
        <v>31</v>
      </c>
      <c r="C290" t="s">
        <v>6256</v>
      </c>
      <c r="D290" s="11" t="s">
        <v>8609</v>
      </c>
      <c r="E290" t="s">
        <v>5083</v>
      </c>
      <c r="F290" t="s">
        <v>8610</v>
      </c>
      <c r="G290" s="356">
        <v>45949</v>
      </c>
      <c r="H290" s="356">
        <v>45991</v>
      </c>
      <c r="J290" s="357">
        <v>2800</v>
      </c>
      <c r="K290" s="357">
        <v>500</v>
      </c>
      <c r="L290">
        <v>15</v>
      </c>
      <c r="N290">
        <v>6</v>
      </c>
      <c r="P290" t="s">
        <v>702</v>
      </c>
    </row>
    <row r="291" spans="1:16">
      <c r="A291" t="s">
        <v>30</v>
      </c>
      <c r="B291" t="s">
        <v>253</v>
      </c>
      <c r="C291" t="s">
        <v>8612</v>
      </c>
      <c r="D291" t="s">
        <v>8613</v>
      </c>
      <c r="E291" t="s">
        <v>8614</v>
      </c>
      <c r="F291" t="s">
        <v>8615</v>
      </c>
      <c r="G291" s="356">
        <v>45917</v>
      </c>
      <c r="H291" s="356"/>
      <c r="J291" s="357">
        <v>500</v>
      </c>
      <c r="K291" s="357">
        <v>300</v>
      </c>
      <c r="L291">
        <v>15</v>
      </c>
      <c r="N291">
        <v>1</v>
      </c>
      <c r="P291" t="s">
        <v>702</v>
      </c>
    </row>
    <row r="292" spans="1:16">
      <c r="A292" t="s">
        <v>30</v>
      </c>
      <c r="B292" t="s">
        <v>608</v>
      </c>
      <c r="C292" t="s">
        <v>8616</v>
      </c>
      <c r="D292" s="11" t="s">
        <v>8617</v>
      </c>
      <c r="E292" t="s">
        <v>6833</v>
      </c>
      <c r="F292" t="s">
        <v>8618</v>
      </c>
      <c r="G292" s="356">
        <v>45597</v>
      </c>
      <c r="H292" s="356">
        <v>46053</v>
      </c>
      <c r="J292" s="357">
        <v>1122</v>
      </c>
      <c r="K292" s="357">
        <v>2200</v>
      </c>
      <c r="L292">
        <v>1</v>
      </c>
      <c r="N292">
        <v>4</v>
      </c>
      <c r="P292" t="s">
        <v>702</v>
      </c>
    </row>
    <row r="293" spans="1:16">
      <c r="A293" t="s">
        <v>30</v>
      </c>
      <c r="B293" t="s">
        <v>213</v>
      </c>
      <c r="C293" s="11" t="s">
        <v>8095</v>
      </c>
      <c r="D293" s="11" t="s">
        <v>8619</v>
      </c>
      <c r="E293" s="30" t="s">
        <v>558</v>
      </c>
      <c r="F293" t="s">
        <v>8307</v>
      </c>
      <c r="G293" s="356">
        <v>45959</v>
      </c>
      <c r="H293" s="356">
        <v>45990</v>
      </c>
      <c r="I293">
        <v>30</v>
      </c>
      <c r="J293" s="357">
        <v>1500</v>
      </c>
      <c r="K293" s="357">
        <v>1500</v>
      </c>
      <c r="L293">
        <v>25</v>
      </c>
      <c r="N293">
        <v>3</v>
      </c>
      <c r="P293" t="s">
        <v>702</v>
      </c>
    </row>
    <row r="294" spans="1:16">
      <c r="A294" s="11" t="s">
        <v>30</v>
      </c>
      <c r="B294" s="30" t="s">
        <v>55</v>
      </c>
      <c r="C294" t="s">
        <v>6694</v>
      </c>
      <c r="D294" s="355" t="s">
        <v>8474</v>
      </c>
      <c r="E294" s="30" t="s">
        <v>106</v>
      </c>
      <c r="F294" s="30" t="s">
        <v>8284</v>
      </c>
      <c r="G294" s="356">
        <v>45931</v>
      </c>
      <c r="H294" s="356">
        <v>46022</v>
      </c>
      <c r="J294" s="357">
        <v>1500</v>
      </c>
      <c r="K294" s="357">
        <v>600</v>
      </c>
      <c r="L294">
        <v>1</v>
      </c>
      <c r="N294">
        <v>3</v>
      </c>
      <c r="O294" t="s">
        <v>35</v>
      </c>
      <c r="P294" t="s">
        <v>702</v>
      </c>
    </row>
    <row r="295" spans="1:16">
      <c r="A295" t="s">
        <v>30</v>
      </c>
      <c r="B295" t="s">
        <v>259</v>
      </c>
      <c r="C295" t="s">
        <v>5261</v>
      </c>
      <c r="D295" s="11" t="s">
        <v>8620</v>
      </c>
      <c r="E295" t="s">
        <v>8568</v>
      </c>
      <c r="F295" t="s">
        <v>8621</v>
      </c>
      <c r="G295" s="356">
        <v>45955</v>
      </c>
      <c r="H295" s="356">
        <v>46023</v>
      </c>
      <c r="J295" s="357">
        <v>1900</v>
      </c>
      <c r="K295" s="357">
        <v>1900</v>
      </c>
      <c r="L295">
        <v>1</v>
      </c>
      <c r="N295">
        <v>7</v>
      </c>
      <c r="P295" t="s">
        <v>702</v>
      </c>
    </row>
    <row r="296" spans="1:16">
      <c r="A296" t="s">
        <v>30</v>
      </c>
      <c r="B296" t="s">
        <v>31</v>
      </c>
      <c r="C296" t="s">
        <v>6473</v>
      </c>
      <c r="D296" s="11"/>
      <c r="E296" t="s">
        <v>6474</v>
      </c>
      <c r="F296" t="s">
        <v>8622</v>
      </c>
      <c r="G296" s="356">
        <v>46021</v>
      </c>
      <c r="H296" s="356">
        <v>46081</v>
      </c>
      <c r="J296" s="357">
        <v>3500</v>
      </c>
      <c r="K296" s="357">
        <v>0</v>
      </c>
      <c r="L296">
        <v>28</v>
      </c>
      <c r="N296">
        <v>9</v>
      </c>
      <c r="P296" t="s">
        <v>702</v>
      </c>
    </row>
    <row r="297" spans="1:16">
      <c r="A297" t="s">
        <v>30</v>
      </c>
      <c r="B297" t="s">
        <v>31</v>
      </c>
      <c r="C297" t="s">
        <v>8623</v>
      </c>
      <c r="D297" s="11"/>
      <c r="E297" t="s">
        <v>6474</v>
      </c>
      <c r="F297" t="s">
        <v>8622</v>
      </c>
      <c r="G297" s="356">
        <v>46021</v>
      </c>
      <c r="H297" s="356">
        <v>46081</v>
      </c>
      <c r="J297" s="357">
        <v>2500</v>
      </c>
      <c r="K297" s="357">
        <v>0</v>
      </c>
      <c r="L297">
        <v>28</v>
      </c>
      <c r="N297">
        <v>5</v>
      </c>
      <c r="P297" t="s">
        <v>702</v>
      </c>
    </row>
    <row r="298" spans="1:16">
      <c r="A298" t="s">
        <v>30</v>
      </c>
      <c r="B298" t="s">
        <v>626</v>
      </c>
      <c r="C298" t="s">
        <v>6744</v>
      </c>
      <c r="D298" s="11" t="s">
        <v>8624</v>
      </c>
      <c r="E298" t="s">
        <v>6745</v>
      </c>
      <c r="F298" t="s">
        <v>8349</v>
      </c>
      <c r="G298" s="356">
        <v>46053</v>
      </c>
      <c r="H298" s="356">
        <v>46142</v>
      </c>
      <c r="J298" s="357">
        <v>2600</v>
      </c>
      <c r="K298" s="357">
        <v>500</v>
      </c>
      <c r="L298">
        <v>1</v>
      </c>
      <c r="N298">
        <v>7</v>
      </c>
      <c r="P298" t="s">
        <v>702</v>
      </c>
    </row>
    <row r="299" spans="1:16">
      <c r="A299" t="s">
        <v>30</v>
      </c>
      <c r="B299" t="s">
        <v>626</v>
      </c>
      <c r="C299" t="s">
        <v>8625</v>
      </c>
      <c r="D299" s="11" t="s">
        <v>8624</v>
      </c>
      <c r="E299" t="s">
        <v>6745</v>
      </c>
      <c r="F299" t="s">
        <v>8349</v>
      </c>
      <c r="G299" s="356">
        <v>46053</v>
      </c>
      <c r="H299" s="356">
        <v>46142</v>
      </c>
      <c r="J299" s="357">
        <v>750</v>
      </c>
      <c r="K299" s="357">
        <v>500</v>
      </c>
      <c r="L299">
        <v>1</v>
      </c>
      <c r="N299">
        <v>3</v>
      </c>
      <c r="P299" t="s">
        <v>702</v>
      </c>
    </row>
    <row r="300" spans="1:16">
      <c r="A300" t="s">
        <v>30</v>
      </c>
      <c r="B300" t="s">
        <v>2378</v>
      </c>
      <c r="C300" t="s">
        <v>7279</v>
      </c>
      <c r="D300" s="11" t="s">
        <v>8626</v>
      </c>
      <c r="E300" t="s">
        <v>8627</v>
      </c>
      <c r="F300" t="s">
        <v>8628</v>
      </c>
      <c r="G300" s="356">
        <v>46134</v>
      </c>
      <c r="H300" s="356">
        <v>46233</v>
      </c>
      <c r="J300" s="357">
        <v>1200</v>
      </c>
      <c r="K300" s="357">
        <v>1200</v>
      </c>
      <c r="L300">
        <v>1</v>
      </c>
      <c r="N300">
        <v>3</v>
      </c>
      <c r="O300" t="s">
        <v>8629</v>
      </c>
      <c r="P300" t="s">
        <v>702</v>
      </c>
    </row>
    <row r="301" spans="1:16">
      <c r="A301" t="s">
        <v>30</v>
      </c>
      <c r="B301" t="s">
        <v>213</v>
      </c>
      <c r="C301" s="11" t="s">
        <v>1971</v>
      </c>
      <c r="D301" t="s">
        <v>8630</v>
      </c>
      <c r="E301" t="s">
        <v>8631</v>
      </c>
      <c r="F301" t="s">
        <v>8326</v>
      </c>
      <c r="G301" s="356">
        <v>45322</v>
      </c>
      <c r="H301" s="356"/>
      <c r="I301">
        <v>30</v>
      </c>
      <c r="J301" s="357">
        <v>1500</v>
      </c>
      <c r="K301" s="357">
        <v>1500</v>
      </c>
      <c r="L301">
        <v>29</v>
      </c>
      <c r="N301">
        <v>3</v>
      </c>
      <c r="P301" t="s">
        <v>702</v>
      </c>
    </row>
    <row r="302" spans="1:16">
      <c r="A302" t="s">
        <v>30</v>
      </c>
      <c r="B302" t="s">
        <v>213</v>
      </c>
      <c r="C302" s="11" t="s">
        <v>8084</v>
      </c>
      <c r="D302" s="11" t="s">
        <v>8632</v>
      </c>
      <c r="E302" t="s">
        <v>558</v>
      </c>
      <c r="F302" t="s">
        <v>8307</v>
      </c>
      <c r="G302" s="356">
        <v>46224</v>
      </c>
      <c r="H302" s="356"/>
      <c r="I302">
        <v>30</v>
      </c>
      <c r="J302" s="357">
        <v>1500</v>
      </c>
      <c r="K302" s="357">
        <v>0</v>
      </c>
      <c r="L302">
        <v>20</v>
      </c>
      <c r="N302">
        <v>3</v>
      </c>
      <c r="P302" t="s">
        <v>702</v>
      </c>
    </row>
    <row r="303" spans="1:16">
      <c r="A303" t="s">
        <v>30</v>
      </c>
      <c r="B303" t="s">
        <v>213</v>
      </c>
      <c r="C303" s="11" t="s">
        <v>7492</v>
      </c>
      <c r="D303" s="11" t="s">
        <v>8632</v>
      </c>
      <c r="E303" t="s">
        <v>558</v>
      </c>
      <c r="F303" t="s">
        <v>8307</v>
      </c>
      <c r="G303" s="356">
        <v>46067</v>
      </c>
      <c r="H303" s="356"/>
      <c r="I303">
        <v>30</v>
      </c>
      <c r="J303" s="357">
        <v>1500</v>
      </c>
      <c r="K303" s="357">
        <v>0</v>
      </c>
      <c r="L303">
        <v>10</v>
      </c>
      <c r="N303">
        <v>3</v>
      </c>
      <c r="P303" t="s">
        <v>702</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2</vt:i4>
      </vt:variant>
      <vt:variant>
        <vt:lpstr>Intervalos Nomeados</vt:lpstr>
      </vt:variant>
      <vt:variant>
        <vt:i4>1</vt:i4>
      </vt:variant>
    </vt:vector>
  </HeadingPairs>
  <TitlesOfParts>
    <vt:vector size="3" baseType="lpstr">
      <vt:lpstr>General_assignaciones</vt:lpstr>
      <vt:lpstr>provedores_alojamentos</vt:lpstr>
      <vt:lpstr>General_assignaciones!Area_de_impressao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dc:creator>
  <cp:lastModifiedBy>Valter</cp:lastModifiedBy>
  <dcterms:created xsi:type="dcterms:W3CDTF">2026-08-26T13:56:03Z</dcterms:created>
  <dcterms:modified xsi:type="dcterms:W3CDTF">2026-08-26T20:31:06Z</dcterms:modified>
</cp:coreProperties>
</file>